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Objects="placeholders" codeName="ThisWorkbook" defaultThemeVersion="124226"/>
  <bookViews>
    <workbookView xWindow="240" yWindow="30" windowWidth="12120" windowHeight="8580" tabRatio="710" firstSheet="3" activeTab="3"/>
  </bookViews>
  <sheets>
    <sheet name="Sheet2" sheetId="51070" state="hidden" r:id="rId1"/>
    <sheet name="tong_hop_khoa" sheetId="51059" state="hidden" r:id="rId2"/>
    <sheet name="Sheet1" sheetId="51067" state="hidden" r:id="rId3"/>
    <sheet name="vuot2019_2020_I" sheetId="51055" r:id="rId4"/>
    <sheet name="TH_Bo_mon" sheetId="51061" r:id="rId5"/>
    <sheet name="ma_dinhmuc" sheetId="16" state="hidden" r:id="rId6"/>
    <sheet name="Tro_Ly" sheetId="51058" state="hidden" r:id="rId7"/>
    <sheet name="ma_miengiam" sheetId="3676" state="hidden" r:id="rId8"/>
    <sheet name="tiet" sheetId="51048" state="hidden" r:id="rId9"/>
    <sheet name="tien_so" sheetId="101" state="hidden" r:id="rId10"/>
  </sheets>
  <externalReferences>
    <externalReference r:id="rId11"/>
  </externalReferences>
  <definedNames>
    <definedName name="_xlnm._FilterDatabase" localSheetId="5" hidden="1">ma_dinhmuc!$A$1:$M$31</definedName>
    <definedName name="_xlnm._FilterDatabase" localSheetId="9" hidden="1">tien_so!#REF!</definedName>
    <definedName name="_xlnm._FilterDatabase" localSheetId="4" hidden="1">TH_Bo_mon!$A$7:$AH$111</definedName>
    <definedName name="_xlnm._FilterDatabase" localSheetId="3" hidden="1">vuot2019_2020_I!$A$11:$FM$740</definedName>
    <definedName name="CNV">#REF!</definedName>
    <definedName name="_xlnm.Criteria" localSheetId="3">vuot2019_2020_I!#REF!</definedName>
    <definedName name="ma_dinhmuc_moi">ma_dinhmuc!$A$37:$D$69</definedName>
    <definedName name="madvi">vuot2019_2020_I!$H$12:$H$752</definedName>
    <definedName name="madvi1">vuot2019_2020_I!$I$12:$I$741</definedName>
    <definedName name="ngach">#REF!</definedName>
    <definedName name="pc">#REF!</definedName>
    <definedName name="_xlnm.Print_Area" localSheetId="3">vuot2019_2020_I!$A$1:$FJ$752</definedName>
    <definedName name="_xlnm.Print_Titles" localSheetId="9">tien_so!#REF!</definedName>
    <definedName name="_xlnm.Print_Titles" localSheetId="4">TH_Bo_mon!$3:$5</definedName>
    <definedName name="_xlnm.Print_Titles" localSheetId="6">Tro_Ly!$2:$2</definedName>
    <definedName name="_xlnm.Print_Titles" localSheetId="3">vuot2019_2020_I!$7:$11</definedName>
    <definedName name="tam">#REF!</definedName>
  </definedNames>
  <calcPr calcId="124519" fullCalcOnLoad="1"/>
</workbook>
</file>

<file path=xl/calcChain.xml><?xml version="1.0" encoding="utf-8"?>
<calcChain xmlns="http://schemas.openxmlformats.org/spreadsheetml/2006/main">
  <c r="EH739" i="51055"/>
  <c r="EH738"/>
  <c r="EH737"/>
  <c r="EH736"/>
  <c r="EH735"/>
  <c r="EH734"/>
  <c r="EH733"/>
  <c r="EH732"/>
  <c r="EH731"/>
  <c r="EH730"/>
  <c r="EH729"/>
  <c r="EH728"/>
  <c r="EH727"/>
  <c r="EH726"/>
  <c r="EH725"/>
  <c r="EH724"/>
  <c r="EH723"/>
  <c r="EH722"/>
  <c r="EH721"/>
  <c r="EH720"/>
  <c r="EH719"/>
  <c r="EH718"/>
  <c r="EH717"/>
  <c r="EH716"/>
  <c r="EH715"/>
  <c r="EH714"/>
  <c r="EH713"/>
  <c r="EH712"/>
  <c r="EH711"/>
  <c r="EH710"/>
  <c r="EH709"/>
  <c r="EH708"/>
  <c r="EH707"/>
  <c r="EH706"/>
  <c r="EH705"/>
  <c r="EH704"/>
  <c r="EH703"/>
  <c r="EH702"/>
  <c r="EH701"/>
  <c r="EH700"/>
  <c r="EH699"/>
  <c r="EH698"/>
  <c r="EH697"/>
  <c r="EH696"/>
  <c r="EH695"/>
  <c r="EH694"/>
  <c r="EH693"/>
  <c r="EH692"/>
  <c r="EH691"/>
  <c r="EH690"/>
  <c r="EH689"/>
  <c r="EH688"/>
  <c r="EH687"/>
  <c r="EH686"/>
  <c r="EH685"/>
  <c r="EH684"/>
  <c r="EH683"/>
  <c r="EH682"/>
  <c r="EH681"/>
  <c r="EH680"/>
  <c r="EH679"/>
  <c r="EH678"/>
  <c r="EH677"/>
  <c r="EH676"/>
  <c r="EH675"/>
  <c r="EH674"/>
  <c r="EH673"/>
  <c r="EH672"/>
  <c r="EH671"/>
  <c r="EH670"/>
  <c r="EH669"/>
  <c r="EH668"/>
  <c r="EH667"/>
  <c r="EH666"/>
  <c r="EH665"/>
  <c r="EH664"/>
  <c r="EH663"/>
  <c r="EH662"/>
  <c r="EH661"/>
  <c r="EH660"/>
  <c r="EH659"/>
  <c r="EH658"/>
  <c r="EH657"/>
  <c r="EH656"/>
  <c r="EH655"/>
  <c r="EH654"/>
  <c r="EH653"/>
  <c r="EH652"/>
  <c r="EH651"/>
  <c r="EH650"/>
  <c r="EH649"/>
  <c r="EH648"/>
  <c r="EH647"/>
  <c r="EH646"/>
  <c r="EH645"/>
  <c r="EH644"/>
  <c r="EH643"/>
  <c r="EH642"/>
  <c r="EH641"/>
  <c r="EH640"/>
  <c r="EH639"/>
  <c r="EH638"/>
  <c r="EH637"/>
  <c r="EH636"/>
  <c r="EH635"/>
  <c r="EH634"/>
  <c r="EH633"/>
  <c r="EH632"/>
  <c r="EH631"/>
  <c r="EH630"/>
  <c r="EH629"/>
  <c r="EH628"/>
  <c r="EH627"/>
  <c r="EH626"/>
  <c r="EH625"/>
  <c r="EH624"/>
  <c r="EH623"/>
  <c r="EH622"/>
  <c r="EH621"/>
  <c r="EH620"/>
  <c r="EH619"/>
  <c r="EH618"/>
  <c r="EH617"/>
  <c r="EH616"/>
  <c r="EH615"/>
  <c r="EH614"/>
  <c r="EH613"/>
  <c r="EH612"/>
  <c r="EH611"/>
  <c r="EH610"/>
  <c r="EH609"/>
  <c r="EH608"/>
  <c r="EH607"/>
  <c r="EH606"/>
  <c r="EH605"/>
  <c r="EH604"/>
  <c r="EH603"/>
  <c r="EH602"/>
  <c r="EH601"/>
  <c r="EH600"/>
  <c r="EH599"/>
  <c r="EH598"/>
  <c r="EH597"/>
  <c r="EH596"/>
  <c r="EH595"/>
  <c r="EH594"/>
  <c r="EH593"/>
  <c r="EH592"/>
  <c r="EH591"/>
  <c r="EH590"/>
  <c r="EH589"/>
  <c r="EH588"/>
  <c r="EH587"/>
  <c r="EH586"/>
  <c r="EH585"/>
  <c r="EH584"/>
  <c r="EH583"/>
  <c r="EH582"/>
  <c r="EH581"/>
  <c r="EH580"/>
  <c r="EH579"/>
  <c r="EH578"/>
  <c r="EH577"/>
  <c r="EH576"/>
  <c r="EH575"/>
  <c r="EH574"/>
  <c r="EH573"/>
  <c r="EH572"/>
  <c r="EH571"/>
  <c r="EH570"/>
  <c r="EH569"/>
  <c r="EH568"/>
  <c r="EH567"/>
  <c r="EH566"/>
  <c r="EH565"/>
  <c r="EH564"/>
  <c r="EH563"/>
  <c r="EH562"/>
  <c r="EH561"/>
  <c r="EH560"/>
  <c r="EH559"/>
  <c r="EH558"/>
  <c r="EH557"/>
  <c r="EH556"/>
  <c r="EH555"/>
  <c r="EH554"/>
  <c r="EH553"/>
  <c r="EH552"/>
  <c r="EH551"/>
  <c r="EH550"/>
  <c r="EH549"/>
  <c r="EH548"/>
  <c r="EH547"/>
  <c r="EH546"/>
  <c r="EH545"/>
  <c r="EH544"/>
  <c r="EH543"/>
  <c r="EH542"/>
  <c r="EH541"/>
  <c r="EH540"/>
  <c r="EH539"/>
  <c r="EH538"/>
  <c r="EH537"/>
  <c r="EH536"/>
  <c r="EH535"/>
  <c r="EH534"/>
  <c r="EH533"/>
  <c r="EH532"/>
  <c r="EH531"/>
  <c r="EH530"/>
  <c r="EH529"/>
  <c r="EH528"/>
  <c r="EH527"/>
  <c r="EH526"/>
  <c r="EH525"/>
  <c r="EH524"/>
  <c r="EH523"/>
  <c r="EH522"/>
  <c r="EH521"/>
  <c r="EH520"/>
  <c r="EH519"/>
  <c r="EH518"/>
  <c r="EH517"/>
  <c r="EH516"/>
  <c r="EH515"/>
  <c r="EH514"/>
  <c r="EH513"/>
  <c r="EH512"/>
  <c r="EH511"/>
  <c r="EH510"/>
  <c r="EH509"/>
  <c r="EH508"/>
  <c r="EH507"/>
  <c r="EH506"/>
  <c r="EH505"/>
  <c r="EH504"/>
  <c r="EH503"/>
  <c r="EH502"/>
  <c r="EH501"/>
  <c r="EH500"/>
  <c r="EH499"/>
  <c r="EH498"/>
  <c r="EH497"/>
  <c r="EH496"/>
  <c r="EH495"/>
  <c r="EH494"/>
  <c r="EH493"/>
  <c r="EH492"/>
  <c r="EH491"/>
  <c r="EH490"/>
  <c r="EH489"/>
  <c r="EH488"/>
  <c r="EH487"/>
  <c r="EH486"/>
  <c r="EH485"/>
  <c r="EH484"/>
  <c r="EH483"/>
  <c r="EH482"/>
  <c r="EH481"/>
  <c r="EH480"/>
  <c r="EH479"/>
  <c r="EH478"/>
  <c r="EH477"/>
  <c r="EH476"/>
  <c r="EH475"/>
  <c r="EH474"/>
  <c r="EH473"/>
  <c r="EH472"/>
  <c r="EH471"/>
  <c r="EH470"/>
  <c r="EH469"/>
  <c r="EH468"/>
  <c r="EH467"/>
  <c r="EH466"/>
  <c r="EH465"/>
  <c r="EH464"/>
  <c r="EH463"/>
  <c r="EH462"/>
  <c r="EH461"/>
  <c r="EH460"/>
  <c r="EH459"/>
  <c r="EH458"/>
  <c r="EH457"/>
  <c r="EH456"/>
  <c r="EH455"/>
  <c r="EH454"/>
  <c r="EH453"/>
  <c r="EH452"/>
  <c r="EH451"/>
  <c r="EH450"/>
  <c r="EH449"/>
  <c r="EH448"/>
  <c r="EH447"/>
  <c r="EH446"/>
  <c r="EH445"/>
  <c r="EH444"/>
  <c r="EH443"/>
  <c r="EH442"/>
  <c r="EH441"/>
  <c r="EH440"/>
  <c r="EH439"/>
  <c r="EH438"/>
  <c r="EH437"/>
  <c r="EH436"/>
  <c r="EH435"/>
  <c r="EH434"/>
  <c r="EH433"/>
  <c r="EH432"/>
  <c r="EH431"/>
  <c r="EH430"/>
  <c r="EH429"/>
  <c r="EH428"/>
  <c r="EH427"/>
  <c r="EH426"/>
  <c r="EH425"/>
  <c r="EH424"/>
  <c r="EH423"/>
  <c r="EH422"/>
  <c r="EH421"/>
  <c r="EH420"/>
  <c r="EH419"/>
  <c r="EH418"/>
  <c r="EH417"/>
  <c r="EH416"/>
  <c r="EH415"/>
  <c r="EH414"/>
  <c r="EH413"/>
  <c r="EH412"/>
  <c r="EH411"/>
  <c r="EH410"/>
  <c r="EH409"/>
  <c r="EH408"/>
  <c r="EH407"/>
  <c r="EH406"/>
  <c r="EH405"/>
  <c r="EH404"/>
  <c r="EH403"/>
  <c r="EH402"/>
  <c r="EH401"/>
  <c r="EH400"/>
  <c r="EH399"/>
  <c r="EH398"/>
  <c r="EH397"/>
  <c r="EH396"/>
  <c r="EH395"/>
  <c r="EH394"/>
  <c r="EH393"/>
  <c r="EH392"/>
  <c r="EH391"/>
  <c r="EH390"/>
  <c r="EH389"/>
  <c r="EH388"/>
  <c r="EH387"/>
  <c r="EH386"/>
  <c r="EH385"/>
  <c r="EH384"/>
  <c r="EH383"/>
  <c r="EH382"/>
  <c r="EH381"/>
  <c r="EH380"/>
  <c r="EH379"/>
  <c r="EH378"/>
  <c r="EH377"/>
  <c r="EH376"/>
  <c r="EH375"/>
  <c r="EH374"/>
  <c r="EH373"/>
  <c r="EH372"/>
  <c r="EH371"/>
  <c r="EH370"/>
  <c r="EH369"/>
  <c r="EH368"/>
  <c r="EH367"/>
  <c r="EH366"/>
  <c r="EH365"/>
  <c r="EH364"/>
  <c r="EH363"/>
  <c r="EH362"/>
  <c r="EH361"/>
  <c r="EH360"/>
  <c r="EH359"/>
  <c r="EH358"/>
  <c r="EH357"/>
  <c r="EH356"/>
  <c r="EH355"/>
  <c r="EH354"/>
  <c r="EH353"/>
  <c r="EH352"/>
  <c r="EH351"/>
  <c r="EH350"/>
  <c r="EH349"/>
  <c r="EH348"/>
  <c r="EH347"/>
  <c r="EH346"/>
  <c r="EH345"/>
  <c r="EH344"/>
  <c r="EH343"/>
  <c r="EH342"/>
  <c r="EH341"/>
  <c r="EH340"/>
  <c r="EH339"/>
  <c r="EH338"/>
  <c r="EH337"/>
  <c r="EH336"/>
  <c r="EH335"/>
  <c r="EH334"/>
  <c r="EH333"/>
  <c r="EH332"/>
  <c r="EH331"/>
  <c r="EH330"/>
  <c r="EH329"/>
  <c r="EH328"/>
  <c r="EH327"/>
  <c r="EH326"/>
  <c r="EH325"/>
  <c r="EH324"/>
  <c r="EH323"/>
  <c r="EH322"/>
  <c r="EH321"/>
  <c r="EH320"/>
  <c r="EH319"/>
  <c r="EH318"/>
  <c r="EH317"/>
  <c r="EH316"/>
  <c r="EH315"/>
  <c r="EH314"/>
  <c r="EH313"/>
  <c r="EH312"/>
  <c r="EH311"/>
  <c r="EH310"/>
  <c r="EH309"/>
  <c r="EH308"/>
  <c r="EH307"/>
  <c r="EH306"/>
  <c r="EH305"/>
  <c r="EH304"/>
  <c r="EH303"/>
  <c r="EH302"/>
  <c r="EH301"/>
  <c r="EH300"/>
  <c r="EH299"/>
  <c r="EH298"/>
  <c r="EH297"/>
  <c r="EH296"/>
  <c r="EH295"/>
  <c r="EH294"/>
  <c r="EH293"/>
  <c r="EH292"/>
  <c r="EH291"/>
  <c r="EH290"/>
  <c r="EH289"/>
  <c r="EH288"/>
  <c r="EH287"/>
  <c r="EH286"/>
  <c r="EH285"/>
  <c r="EH284"/>
  <c r="EH283"/>
  <c r="EH282"/>
  <c r="EH281"/>
  <c r="EH280"/>
  <c r="EH279"/>
  <c r="EH278"/>
  <c r="EH277"/>
  <c r="EH276"/>
  <c r="EH275"/>
  <c r="EH274"/>
  <c r="EH273"/>
  <c r="EH272"/>
  <c r="EH271"/>
  <c r="EH270"/>
  <c r="EH269"/>
  <c r="EH268"/>
  <c r="EH267"/>
  <c r="EH266"/>
  <c r="EH265"/>
  <c r="EH264"/>
  <c r="EH263"/>
  <c r="EH262"/>
  <c r="EH261"/>
  <c r="EH260"/>
  <c r="EH259"/>
  <c r="EH258"/>
  <c r="EH257"/>
  <c r="EH256"/>
  <c r="EH255"/>
  <c r="EH254"/>
  <c r="EH253"/>
  <c r="EH252"/>
  <c r="EH251"/>
  <c r="EH250"/>
  <c r="EH249"/>
  <c r="EH248"/>
  <c r="EH247"/>
  <c r="EH246"/>
  <c r="EH245"/>
  <c r="EH244"/>
  <c r="EH243"/>
  <c r="EH242"/>
  <c r="EH241"/>
  <c r="EH240"/>
  <c r="EH239"/>
  <c r="EH238"/>
  <c r="EH237"/>
  <c r="EH236"/>
  <c r="EH235"/>
  <c r="EH234"/>
  <c r="EH233"/>
  <c r="EH232"/>
  <c r="EH231"/>
  <c r="EH230"/>
  <c r="EH229"/>
  <c r="EH228"/>
  <c r="EH227"/>
  <c r="EH226"/>
  <c r="EH225"/>
  <c r="EH224"/>
  <c r="EH223"/>
  <c r="EH222"/>
  <c r="EH221"/>
  <c r="EH220"/>
  <c r="EH219"/>
  <c r="EH218"/>
  <c r="EH217"/>
  <c r="EH216"/>
  <c r="EH215"/>
  <c r="EH214"/>
  <c r="EH213"/>
  <c r="EH212"/>
  <c r="EH211"/>
  <c r="EH210"/>
  <c r="EH209"/>
  <c r="EH208"/>
  <c r="EH207"/>
  <c r="EH206"/>
  <c r="EH205"/>
  <c r="EH204"/>
  <c r="EH203"/>
  <c r="EH202"/>
  <c r="EH201"/>
  <c r="EH200"/>
  <c r="EH199"/>
  <c r="EH198"/>
  <c r="EH197"/>
  <c r="EH196"/>
  <c r="EH195"/>
  <c r="EH194"/>
  <c r="EH193"/>
  <c r="EH192"/>
  <c r="EH191"/>
  <c r="EH190"/>
  <c r="EH189"/>
  <c r="EH188"/>
  <c r="EH187"/>
  <c r="EH186"/>
  <c r="EH185"/>
  <c r="EH184"/>
  <c r="EH183"/>
  <c r="EH182"/>
  <c r="EH181"/>
  <c r="EH180"/>
  <c r="EH179"/>
  <c r="EH178"/>
  <c r="EH177"/>
  <c r="EH176"/>
  <c r="EH175"/>
  <c r="EH174"/>
  <c r="EH173"/>
  <c r="EH172"/>
  <c r="EH171"/>
  <c r="EH170"/>
  <c r="EH169"/>
  <c r="EH168"/>
  <c r="EH167"/>
  <c r="EH166"/>
  <c r="EH165"/>
  <c r="EH164"/>
  <c r="EH163"/>
  <c r="EH162"/>
  <c r="EH161"/>
  <c r="EH160"/>
  <c r="EH159"/>
  <c r="EH158"/>
  <c r="EH157"/>
  <c r="EH156"/>
  <c r="EH155"/>
  <c r="EH154"/>
  <c r="EH153"/>
  <c r="EH152"/>
  <c r="EH151"/>
  <c r="EH150"/>
  <c r="EH149"/>
  <c r="EH148"/>
  <c r="EH147"/>
  <c r="EH146"/>
  <c r="EH145"/>
  <c r="EH144"/>
  <c r="EH143"/>
  <c r="EH142"/>
  <c r="EH141"/>
  <c r="EH140"/>
  <c r="EH139"/>
  <c r="EH138"/>
  <c r="EH137"/>
  <c r="EH136"/>
  <c r="EH135"/>
  <c r="EH134"/>
  <c r="EH133"/>
  <c r="EH132"/>
  <c r="EH131"/>
  <c r="EH130"/>
  <c r="EH129"/>
  <c r="EH128"/>
  <c r="EH127"/>
  <c r="EH126"/>
  <c r="EH125"/>
  <c r="EH124"/>
  <c r="EH123"/>
  <c r="EH122"/>
  <c r="EH121"/>
  <c r="EH120"/>
  <c r="EH119"/>
  <c r="EH118"/>
  <c r="EH117"/>
  <c r="EH116"/>
  <c r="EH115"/>
  <c r="EH114"/>
  <c r="EH113"/>
  <c r="EH112"/>
  <c r="EH111"/>
  <c r="EH110"/>
  <c r="EH109"/>
  <c r="EH108"/>
  <c r="EH10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EH65"/>
  <c r="EH64"/>
  <c r="EH63"/>
  <c r="EH62"/>
  <c r="EH61"/>
  <c r="EH60"/>
  <c r="EH59"/>
  <c r="EH58"/>
  <c r="EH57"/>
  <c r="EH56"/>
  <c r="EH55"/>
  <c r="EH54"/>
  <c r="EH53"/>
  <c r="EH52"/>
  <c r="EH51"/>
  <c r="EH50"/>
  <c r="EH49"/>
  <c r="EH48"/>
  <c r="EH47"/>
  <c r="EH46"/>
  <c r="EH45"/>
  <c r="EH44"/>
  <c r="EH43"/>
  <c r="EH42"/>
  <c r="EH41"/>
  <c r="EH40"/>
  <c r="EH39"/>
  <c r="EH38"/>
  <c r="EH37"/>
  <c r="EH36"/>
  <c r="EH35"/>
  <c r="EH34"/>
  <c r="EH33"/>
  <c r="EH32"/>
  <c r="EH31"/>
  <c r="EH30"/>
  <c r="EH29"/>
  <c r="EH28"/>
  <c r="EH27"/>
  <c r="EH26"/>
  <c r="EH25"/>
  <c r="EH24"/>
  <c r="EH23"/>
  <c r="EH22"/>
  <c r="EH21"/>
  <c r="EH20"/>
  <c r="EH19"/>
  <c r="EH18"/>
  <c r="EH17"/>
  <c r="EH16"/>
  <c r="EH15"/>
  <c r="EH14"/>
  <c r="EH13"/>
  <c r="EH12"/>
  <c r="EH740"/>
  <c r="FN742"/>
  <c r="DQ614"/>
  <c r="DR614"/>
  <c r="DS614"/>
  <c r="DT614"/>
  <c r="DU614"/>
  <c r="AM614"/>
  <c r="AN614" s="1"/>
  <c r="CP614"/>
  <c r="CQ614"/>
  <c r="CR614"/>
  <c r="CS614"/>
  <c r="CT614"/>
  <c r="CU614"/>
  <c r="CV614"/>
  <c r="CW614"/>
  <c r="CX614"/>
  <c r="AL614"/>
  <c r="EO614"/>
  <c r="AH614" s="1"/>
  <c r="EN614"/>
  <c r="AI614" s="1"/>
  <c r="BO614"/>
  <c r="P614"/>
  <c r="R614" s="1"/>
  <c r="DA740"/>
  <c r="CZ740"/>
  <c r="CY740"/>
  <c r="CX740"/>
  <c r="CW740"/>
  <c r="CV740"/>
  <c r="CU740"/>
  <c r="CT740"/>
  <c r="CS740"/>
  <c r="CR740"/>
  <c r="CQ740"/>
  <c r="CP740"/>
  <c r="DA739"/>
  <c r="CZ739"/>
  <c r="CY739"/>
  <c r="CX739"/>
  <c r="CW739"/>
  <c r="CV739"/>
  <c r="CU739"/>
  <c r="CT739"/>
  <c r="CS739"/>
  <c r="CR739"/>
  <c r="CQ739"/>
  <c r="CP739"/>
  <c r="DA738"/>
  <c r="CZ738"/>
  <c r="CY738"/>
  <c r="CX738"/>
  <c r="CW738"/>
  <c r="CV738"/>
  <c r="CU738"/>
  <c r="CT738"/>
  <c r="CS738"/>
  <c r="CR738"/>
  <c r="CQ738"/>
  <c r="CP738"/>
  <c r="DA737"/>
  <c r="CZ737"/>
  <c r="CY737"/>
  <c r="CX737"/>
  <c r="CW737"/>
  <c r="CV737"/>
  <c r="CU737"/>
  <c r="CT737"/>
  <c r="CS737"/>
  <c r="CR737"/>
  <c r="CQ737"/>
  <c r="CP737"/>
  <c r="DA736"/>
  <c r="CZ736"/>
  <c r="CY736"/>
  <c r="CX736"/>
  <c r="CW736"/>
  <c r="CV736"/>
  <c r="CU736"/>
  <c r="CT736"/>
  <c r="CS736"/>
  <c r="CR736"/>
  <c r="CQ736"/>
  <c r="CP736"/>
  <c r="DA735"/>
  <c r="CZ735"/>
  <c r="CY735"/>
  <c r="CX735"/>
  <c r="CW735"/>
  <c r="CV735"/>
  <c r="CU735"/>
  <c r="CT735"/>
  <c r="CS735"/>
  <c r="CR735"/>
  <c r="CQ735"/>
  <c r="CP735"/>
  <c r="DA734"/>
  <c r="CZ734"/>
  <c r="CY734"/>
  <c r="CX734"/>
  <c r="CW734"/>
  <c r="CV734"/>
  <c r="CU734"/>
  <c r="CT734"/>
  <c r="CS734"/>
  <c r="CR734"/>
  <c r="CQ734"/>
  <c r="CP734"/>
  <c r="DA733"/>
  <c r="CZ733"/>
  <c r="CY733"/>
  <c r="CX733"/>
  <c r="CW733"/>
  <c r="CV733"/>
  <c r="CU733"/>
  <c r="CT733"/>
  <c r="CS733"/>
  <c r="CR733"/>
  <c r="CQ733"/>
  <c r="CP733"/>
  <c r="DA732"/>
  <c r="CZ732"/>
  <c r="CY732"/>
  <c r="CX732"/>
  <c r="CW732"/>
  <c r="CV732"/>
  <c r="CU732"/>
  <c r="CT732"/>
  <c r="CS732"/>
  <c r="CR732"/>
  <c r="CQ732"/>
  <c r="CP732"/>
  <c r="DA731"/>
  <c r="CZ731"/>
  <c r="CY731"/>
  <c r="CX731"/>
  <c r="CW731"/>
  <c r="CV731"/>
  <c r="CU731"/>
  <c r="CT731"/>
  <c r="CS731"/>
  <c r="CR731"/>
  <c r="CQ731"/>
  <c r="CP731"/>
  <c r="DA730"/>
  <c r="CZ730"/>
  <c r="CY730"/>
  <c r="CX730"/>
  <c r="CW730"/>
  <c r="CV730"/>
  <c r="CU730"/>
  <c r="CT730"/>
  <c r="CS730"/>
  <c r="CR730"/>
  <c r="CQ730"/>
  <c r="CP730"/>
  <c r="DA729"/>
  <c r="CZ729"/>
  <c r="CY729"/>
  <c r="CX729"/>
  <c r="CW729"/>
  <c r="CV729"/>
  <c r="CU729"/>
  <c r="CT729"/>
  <c r="CS729"/>
  <c r="CR729"/>
  <c r="CQ729"/>
  <c r="CP729"/>
  <c r="DA728"/>
  <c r="CZ728"/>
  <c r="CY728"/>
  <c r="CX728"/>
  <c r="CW728"/>
  <c r="CV728"/>
  <c r="CU728"/>
  <c r="CT728"/>
  <c r="CS728"/>
  <c r="CR728"/>
  <c r="CQ728"/>
  <c r="CP728"/>
  <c r="DA727"/>
  <c r="CZ727"/>
  <c r="CY727"/>
  <c r="CX727"/>
  <c r="CW727"/>
  <c r="CV727"/>
  <c r="CU727"/>
  <c r="CT727"/>
  <c r="CS727"/>
  <c r="CR727"/>
  <c r="CQ727"/>
  <c r="CP727"/>
  <c r="DA726"/>
  <c r="CZ726"/>
  <c r="CY726"/>
  <c r="CX726"/>
  <c r="CW726"/>
  <c r="CV726"/>
  <c r="CU726"/>
  <c r="CT726"/>
  <c r="CS726"/>
  <c r="CR726"/>
  <c r="CQ726"/>
  <c r="CP726"/>
  <c r="DA725"/>
  <c r="CZ725"/>
  <c r="CY725"/>
  <c r="CX725"/>
  <c r="CW725"/>
  <c r="CV725"/>
  <c r="CU725"/>
  <c r="CT725"/>
  <c r="CS725"/>
  <c r="CR725"/>
  <c r="CQ725"/>
  <c r="CP725"/>
  <c r="DA724"/>
  <c r="CZ724"/>
  <c r="CY724"/>
  <c r="CX724"/>
  <c r="CW724"/>
  <c r="CV724"/>
  <c r="CU724"/>
  <c r="CT724"/>
  <c r="CS724"/>
  <c r="CR724"/>
  <c r="CQ724"/>
  <c r="CP724"/>
  <c r="DA723"/>
  <c r="CZ723"/>
  <c r="CY723"/>
  <c r="CX723"/>
  <c r="CW723"/>
  <c r="CV723"/>
  <c r="CU723"/>
  <c r="CT723"/>
  <c r="CS723"/>
  <c r="CR723"/>
  <c r="CQ723"/>
  <c r="CP723"/>
  <c r="DA722"/>
  <c r="CZ722"/>
  <c r="CY722"/>
  <c r="CX722"/>
  <c r="CW722"/>
  <c r="CV722"/>
  <c r="CU722"/>
  <c r="CT722"/>
  <c r="CS722"/>
  <c r="CR722"/>
  <c r="CQ722"/>
  <c r="CP722"/>
  <c r="DA721"/>
  <c r="CZ721"/>
  <c r="CY721"/>
  <c r="CX721"/>
  <c r="CW721"/>
  <c r="CV721"/>
  <c r="CU721"/>
  <c r="CT721"/>
  <c r="CS721"/>
  <c r="CR721"/>
  <c r="CQ721"/>
  <c r="CP721"/>
  <c r="DA720"/>
  <c r="CZ720"/>
  <c r="CY720"/>
  <c r="CX720"/>
  <c r="CW720"/>
  <c r="CV720"/>
  <c r="CU720"/>
  <c r="CT720"/>
  <c r="CS720"/>
  <c r="CR720"/>
  <c r="CQ720"/>
  <c r="CP720"/>
  <c r="DA719"/>
  <c r="CZ719"/>
  <c r="CY719"/>
  <c r="CX719"/>
  <c r="CW719"/>
  <c r="CV719"/>
  <c r="CU719"/>
  <c r="CT719"/>
  <c r="CS719"/>
  <c r="CR719"/>
  <c r="CQ719"/>
  <c r="CP719"/>
  <c r="DA718"/>
  <c r="CZ718"/>
  <c r="CY718"/>
  <c r="CX718"/>
  <c r="CW718"/>
  <c r="CV718"/>
  <c r="CU718"/>
  <c r="CT718"/>
  <c r="CS718"/>
  <c r="CR718"/>
  <c r="CQ718"/>
  <c r="CP718"/>
  <c r="DA717"/>
  <c r="CZ717"/>
  <c r="CY717"/>
  <c r="CX717"/>
  <c r="CW717"/>
  <c r="CV717"/>
  <c r="CU717"/>
  <c r="CT717"/>
  <c r="CS717"/>
  <c r="CR717"/>
  <c r="CQ717"/>
  <c r="CP717"/>
  <c r="DA716"/>
  <c r="CZ716"/>
  <c r="CY716"/>
  <c r="CX716"/>
  <c r="CW716"/>
  <c r="CV716"/>
  <c r="CU716"/>
  <c r="CT716"/>
  <c r="CS716"/>
  <c r="CR716"/>
  <c r="CQ716"/>
  <c r="CP716"/>
  <c r="DA715"/>
  <c r="CZ715"/>
  <c r="CY715"/>
  <c r="CX715"/>
  <c r="CW715"/>
  <c r="CV715"/>
  <c r="CU715"/>
  <c r="CT715"/>
  <c r="CS715"/>
  <c r="CR715"/>
  <c r="CQ715"/>
  <c r="CP715"/>
  <c r="DA714"/>
  <c r="CZ714"/>
  <c r="CY714"/>
  <c r="CX714"/>
  <c r="CW714"/>
  <c r="CV714"/>
  <c r="CU714"/>
  <c r="CT714"/>
  <c r="CS714"/>
  <c r="CR714"/>
  <c r="CQ714"/>
  <c r="CP714"/>
  <c r="DA713"/>
  <c r="CZ713"/>
  <c r="CY713"/>
  <c r="CX713"/>
  <c r="CW713"/>
  <c r="CV713"/>
  <c r="CU713"/>
  <c r="CT713"/>
  <c r="CS713"/>
  <c r="CR713"/>
  <c r="CQ713"/>
  <c r="CP713"/>
  <c r="DA712"/>
  <c r="CZ712"/>
  <c r="CY712"/>
  <c r="CX712"/>
  <c r="CW712"/>
  <c r="CV712"/>
  <c r="CU712"/>
  <c r="CT712"/>
  <c r="CS712"/>
  <c r="CR712"/>
  <c r="CQ712"/>
  <c r="CP712"/>
  <c r="DA711"/>
  <c r="CZ711"/>
  <c r="CY711"/>
  <c r="CX711"/>
  <c r="CW711"/>
  <c r="CV711"/>
  <c r="CU711"/>
  <c r="CT711"/>
  <c r="CS711"/>
  <c r="CR711"/>
  <c r="CQ711"/>
  <c r="CP711"/>
  <c r="DA710"/>
  <c r="CZ710"/>
  <c r="CY710"/>
  <c r="CX710"/>
  <c r="CW710"/>
  <c r="CV710"/>
  <c r="CU710"/>
  <c r="CT710"/>
  <c r="CS710"/>
  <c r="CR710"/>
  <c r="CQ710"/>
  <c r="CP710"/>
  <c r="DA709"/>
  <c r="CZ709"/>
  <c r="CY709"/>
  <c r="CX709"/>
  <c r="CW709"/>
  <c r="CV709"/>
  <c r="CU709"/>
  <c r="CT709"/>
  <c r="CS709"/>
  <c r="CR709"/>
  <c r="CQ709"/>
  <c r="CP709"/>
  <c r="DA708"/>
  <c r="CZ708"/>
  <c r="CY708"/>
  <c r="CX708"/>
  <c r="CW708"/>
  <c r="CV708"/>
  <c r="CU708"/>
  <c r="CT708"/>
  <c r="CS708"/>
  <c r="CR708"/>
  <c r="CQ708"/>
  <c r="CP708"/>
  <c r="DA707"/>
  <c r="CZ707"/>
  <c r="CY707"/>
  <c r="CX707"/>
  <c r="CW707"/>
  <c r="CV707"/>
  <c r="CU707"/>
  <c r="CT707"/>
  <c r="CS707"/>
  <c r="CR707"/>
  <c r="CQ707"/>
  <c r="CP707"/>
  <c r="DA706"/>
  <c r="CZ706"/>
  <c r="CY706"/>
  <c r="CX706"/>
  <c r="CW706"/>
  <c r="CV706"/>
  <c r="CU706"/>
  <c r="CT706"/>
  <c r="CS706"/>
  <c r="CR706"/>
  <c r="CQ706"/>
  <c r="CP706"/>
  <c r="DA705"/>
  <c r="CZ705"/>
  <c r="CY705"/>
  <c r="CX705"/>
  <c r="CW705"/>
  <c r="CV705"/>
  <c r="CU705"/>
  <c r="CT705"/>
  <c r="CS705"/>
  <c r="CR705"/>
  <c r="CQ705"/>
  <c r="CP705"/>
  <c r="DA704"/>
  <c r="CZ704"/>
  <c r="CY704"/>
  <c r="CX704"/>
  <c r="CW704"/>
  <c r="CV704"/>
  <c r="CU704"/>
  <c r="CT704"/>
  <c r="CS704"/>
  <c r="CR704"/>
  <c r="CQ704"/>
  <c r="CP704"/>
  <c r="DA703"/>
  <c r="CZ703"/>
  <c r="CY703"/>
  <c r="CX703"/>
  <c r="CW703"/>
  <c r="CV703"/>
  <c r="CU703"/>
  <c r="CT703"/>
  <c r="CS703"/>
  <c r="CR703"/>
  <c r="CQ703"/>
  <c r="CP703"/>
  <c r="DA702"/>
  <c r="CZ702"/>
  <c r="CY702"/>
  <c r="CX702"/>
  <c r="CW702"/>
  <c r="CV702"/>
  <c r="CU702"/>
  <c r="CT702"/>
  <c r="CS702"/>
  <c r="CR702"/>
  <c r="CQ702"/>
  <c r="CP702"/>
  <c r="DA701"/>
  <c r="CZ701"/>
  <c r="CY701"/>
  <c r="CX701"/>
  <c r="CW701"/>
  <c r="CV701"/>
  <c r="CU701"/>
  <c r="CT701"/>
  <c r="CS701"/>
  <c r="CR701"/>
  <c r="CQ701"/>
  <c r="CP701"/>
  <c r="DA700"/>
  <c r="CZ700"/>
  <c r="CY700"/>
  <c r="CX700"/>
  <c r="CW700"/>
  <c r="CV700"/>
  <c r="CU700"/>
  <c r="CT700"/>
  <c r="CS700"/>
  <c r="CR700"/>
  <c r="CQ700"/>
  <c r="CP700"/>
  <c r="DA699"/>
  <c r="CZ699"/>
  <c r="CY699"/>
  <c r="CX699"/>
  <c r="CW699"/>
  <c r="CV699"/>
  <c r="CU699"/>
  <c r="CT699"/>
  <c r="CS699"/>
  <c r="CR699"/>
  <c r="CQ699"/>
  <c r="CP699"/>
  <c r="DA698"/>
  <c r="CZ698"/>
  <c r="CY698"/>
  <c r="CX698"/>
  <c r="CW698"/>
  <c r="CV698"/>
  <c r="CU698"/>
  <c r="CT698"/>
  <c r="CS698"/>
  <c r="CR698"/>
  <c r="CQ698"/>
  <c r="CP698"/>
  <c r="DA697"/>
  <c r="CZ697"/>
  <c r="CY697"/>
  <c r="CX697"/>
  <c r="CW697"/>
  <c r="CV697"/>
  <c r="CU697"/>
  <c r="CT697"/>
  <c r="CS697"/>
  <c r="CR697"/>
  <c r="CQ697"/>
  <c r="CP697"/>
  <c r="DA696"/>
  <c r="CZ696"/>
  <c r="CY696"/>
  <c r="CX696"/>
  <c r="CW696"/>
  <c r="CV696"/>
  <c r="CU696"/>
  <c r="CT696"/>
  <c r="CS696"/>
  <c r="CR696"/>
  <c r="CQ696"/>
  <c r="CP696"/>
  <c r="DA695"/>
  <c r="CZ695"/>
  <c r="CY695"/>
  <c r="CX695"/>
  <c r="CW695"/>
  <c r="CV695"/>
  <c r="CU695"/>
  <c r="CT695"/>
  <c r="CS695"/>
  <c r="CR695"/>
  <c r="CQ695"/>
  <c r="CP695"/>
  <c r="DA694"/>
  <c r="CZ694"/>
  <c r="CY694"/>
  <c r="CX694"/>
  <c r="CW694"/>
  <c r="CV694"/>
  <c r="CU694"/>
  <c r="CT694"/>
  <c r="CS694"/>
  <c r="CR694"/>
  <c r="CQ694"/>
  <c r="CP694"/>
  <c r="DA693"/>
  <c r="CZ693"/>
  <c r="CY693"/>
  <c r="CX693"/>
  <c r="CW693"/>
  <c r="CV693"/>
  <c r="CU693"/>
  <c r="CT693"/>
  <c r="CS693"/>
  <c r="CR693"/>
  <c r="CQ693"/>
  <c r="CP693"/>
  <c r="DA692"/>
  <c r="CZ692"/>
  <c r="CY692"/>
  <c r="CX692"/>
  <c r="CW692"/>
  <c r="CV692"/>
  <c r="CU692"/>
  <c r="CT692"/>
  <c r="CS692"/>
  <c r="CR692"/>
  <c r="CQ692"/>
  <c r="CP692"/>
  <c r="DA691"/>
  <c r="CZ691"/>
  <c r="CY691"/>
  <c r="CX691"/>
  <c r="CW691"/>
  <c r="CV691"/>
  <c r="CU691"/>
  <c r="CT691"/>
  <c r="CS691"/>
  <c r="CR691"/>
  <c r="CQ691"/>
  <c r="CP691"/>
  <c r="DA690"/>
  <c r="CZ690"/>
  <c r="CY690"/>
  <c r="CX690"/>
  <c r="CW690"/>
  <c r="CV690"/>
  <c r="CU690"/>
  <c r="CT690"/>
  <c r="CS690"/>
  <c r="CR690"/>
  <c r="CQ690"/>
  <c r="CP690"/>
  <c r="DA689"/>
  <c r="CZ689"/>
  <c r="CY689"/>
  <c r="CX689"/>
  <c r="CW689"/>
  <c r="CV689"/>
  <c r="CU689"/>
  <c r="CT689"/>
  <c r="CS689"/>
  <c r="CR689"/>
  <c r="CQ689"/>
  <c r="CP689"/>
  <c r="DA688"/>
  <c r="CZ688"/>
  <c r="CY688"/>
  <c r="CX688"/>
  <c r="CW688"/>
  <c r="CV688"/>
  <c r="CU688"/>
  <c r="CT688"/>
  <c r="CS688"/>
  <c r="CR688"/>
  <c r="CQ688"/>
  <c r="CP688"/>
  <c r="DA687"/>
  <c r="CZ687"/>
  <c r="CY687"/>
  <c r="CX687"/>
  <c r="CW687"/>
  <c r="CV687"/>
  <c r="CU687"/>
  <c r="CT687"/>
  <c r="CS687"/>
  <c r="CR687"/>
  <c r="CQ687"/>
  <c r="CP687"/>
  <c r="DA686"/>
  <c r="CZ686"/>
  <c r="CY686"/>
  <c r="CX686"/>
  <c r="CW686"/>
  <c r="CV686"/>
  <c r="CU686"/>
  <c r="CT686"/>
  <c r="CS686"/>
  <c r="CR686"/>
  <c r="CQ686"/>
  <c r="CP686"/>
  <c r="DA685"/>
  <c r="CZ685"/>
  <c r="CY685"/>
  <c r="CX685"/>
  <c r="CW685"/>
  <c r="CV685"/>
  <c r="CU685"/>
  <c r="CT685"/>
  <c r="CS685"/>
  <c r="CR685"/>
  <c r="CQ685"/>
  <c r="CP685"/>
  <c r="DA684"/>
  <c r="CZ684"/>
  <c r="CY684"/>
  <c r="CX684"/>
  <c r="CW684"/>
  <c r="CV684"/>
  <c r="CU684"/>
  <c r="CT684"/>
  <c r="CS684"/>
  <c r="CR684"/>
  <c r="CQ684"/>
  <c r="CP684"/>
  <c r="DA683"/>
  <c r="CZ683"/>
  <c r="CY683"/>
  <c r="CX683"/>
  <c r="CW683"/>
  <c r="CV683"/>
  <c r="CU683"/>
  <c r="CT683"/>
  <c r="CS683"/>
  <c r="CR683"/>
  <c r="CQ683"/>
  <c r="CP683"/>
  <c r="DA682"/>
  <c r="CZ682"/>
  <c r="CY682"/>
  <c r="CX682"/>
  <c r="CW682"/>
  <c r="CV682"/>
  <c r="CU682"/>
  <c r="CT682"/>
  <c r="CS682"/>
  <c r="CR682"/>
  <c r="CQ682"/>
  <c r="CP682"/>
  <c r="DA681"/>
  <c r="CZ681"/>
  <c r="CY681"/>
  <c r="CX681"/>
  <c r="CW681"/>
  <c r="CV681"/>
  <c r="CU681"/>
  <c r="CT681"/>
  <c r="CS681"/>
  <c r="CR681"/>
  <c r="CQ681"/>
  <c r="CP681"/>
  <c r="DA680"/>
  <c r="CZ680"/>
  <c r="CY680"/>
  <c r="CX680"/>
  <c r="CW680"/>
  <c r="CV680"/>
  <c r="CU680"/>
  <c r="CT680"/>
  <c r="CS680"/>
  <c r="CR680"/>
  <c r="CQ680"/>
  <c r="CP680"/>
  <c r="DA679"/>
  <c r="CZ679"/>
  <c r="CY679"/>
  <c r="CX679"/>
  <c r="CW679"/>
  <c r="CV679"/>
  <c r="CU679"/>
  <c r="CT679"/>
  <c r="CS679"/>
  <c r="CR679"/>
  <c r="CQ679"/>
  <c r="CP679"/>
  <c r="DA678"/>
  <c r="CZ678"/>
  <c r="CY678"/>
  <c r="CX678"/>
  <c r="CW678"/>
  <c r="CV678"/>
  <c r="CU678"/>
  <c r="CT678"/>
  <c r="CS678"/>
  <c r="CR678"/>
  <c r="CQ678"/>
  <c r="CP678"/>
  <c r="DA677"/>
  <c r="CZ677"/>
  <c r="CY677"/>
  <c r="CX677"/>
  <c r="CW677"/>
  <c r="CV677"/>
  <c r="CU677"/>
  <c r="CT677"/>
  <c r="CS677"/>
  <c r="CR677"/>
  <c r="CQ677"/>
  <c r="CP677"/>
  <c r="DA676"/>
  <c r="CZ676"/>
  <c r="CY676"/>
  <c r="CX676"/>
  <c r="CW676"/>
  <c r="CV676"/>
  <c r="CU676"/>
  <c r="CT676"/>
  <c r="CS676"/>
  <c r="CR676"/>
  <c r="CQ676"/>
  <c r="CP676"/>
  <c r="DA675"/>
  <c r="CZ675"/>
  <c r="CY675"/>
  <c r="CX675"/>
  <c r="CW675"/>
  <c r="CV675"/>
  <c r="CU675"/>
  <c r="CT675"/>
  <c r="CS675"/>
  <c r="CR675"/>
  <c r="CQ675"/>
  <c r="CP675"/>
  <c r="DA674"/>
  <c r="CZ674"/>
  <c r="CY674"/>
  <c r="CX674"/>
  <c r="CW674"/>
  <c r="CV674"/>
  <c r="CU674"/>
  <c r="CT674"/>
  <c r="CS674"/>
  <c r="CR674"/>
  <c r="CQ674"/>
  <c r="CP674"/>
  <c r="DA673"/>
  <c r="CZ673"/>
  <c r="CY673"/>
  <c r="CX673"/>
  <c r="CW673"/>
  <c r="CV673"/>
  <c r="CU673"/>
  <c r="CT673"/>
  <c r="CS673"/>
  <c r="CR673"/>
  <c r="CQ673"/>
  <c r="CP673"/>
  <c r="DA672"/>
  <c r="CZ672"/>
  <c r="CY672"/>
  <c r="CX672"/>
  <c r="CW672"/>
  <c r="CV672"/>
  <c r="CU672"/>
  <c r="CT672"/>
  <c r="CS672"/>
  <c r="CR672"/>
  <c r="CQ672"/>
  <c r="CP672"/>
  <c r="DA671"/>
  <c r="CZ671"/>
  <c r="CY671"/>
  <c r="CX671"/>
  <c r="CW671"/>
  <c r="CV671"/>
  <c r="CU671"/>
  <c r="CT671"/>
  <c r="CS671"/>
  <c r="CR671"/>
  <c r="CQ671"/>
  <c r="CP671"/>
  <c r="DA670"/>
  <c r="CZ670"/>
  <c r="CY670"/>
  <c r="CX670"/>
  <c r="CW670"/>
  <c r="CV670"/>
  <c r="CU670"/>
  <c r="CT670"/>
  <c r="CS670"/>
  <c r="CR670"/>
  <c r="CQ670"/>
  <c r="CP670"/>
  <c r="DA669"/>
  <c r="CZ669"/>
  <c r="CY669"/>
  <c r="CX669"/>
  <c r="CW669"/>
  <c r="CV669"/>
  <c r="CU669"/>
  <c r="CT669"/>
  <c r="CS669"/>
  <c r="CR669"/>
  <c r="CQ669"/>
  <c r="CP669"/>
  <c r="DA668"/>
  <c r="CZ668"/>
  <c r="CY668"/>
  <c r="CX668"/>
  <c r="CW668"/>
  <c r="CV668"/>
  <c r="CU668"/>
  <c r="CT668"/>
  <c r="CS668"/>
  <c r="CR668"/>
  <c r="CQ668"/>
  <c r="CP668"/>
  <c r="DA667"/>
  <c r="CZ667"/>
  <c r="CY667"/>
  <c r="CX667"/>
  <c r="CW667"/>
  <c r="CV667"/>
  <c r="CU667"/>
  <c r="CT667"/>
  <c r="CS667"/>
  <c r="CR667"/>
  <c r="CQ667"/>
  <c r="CP667"/>
  <c r="DA666"/>
  <c r="CZ666"/>
  <c r="CY666"/>
  <c r="CX666"/>
  <c r="CW666"/>
  <c r="CV666"/>
  <c r="CU666"/>
  <c r="CT666"/>
  <c r="CS666"/>
  <c r="CR666"/>
  <c r="CQ666"/>
  <c r="CP666"/>
  <c r="DA665"/>
  <c r="CZ665"/>
  <c r="CY665"/>
  <c r="CX665"/>
  <c r="CW665"/>
  <c r="CV665"/>
  <c r="CU665"/>
  <c r="CT665"/>
  <c r="CS665"/>
  <c r="CR665"/>
  <c r="CQ665"/>
  <c r="CP665"/>
  <c r="DA664"/>
  <c r="CZ664"/>
  <c r="CY664"/>
  <c r="CX664"/>
  <c r="CW664"/>
  <c r="CV664"/>
  <c r="CU664"/>
  <c r="CT664"/>
  <c r="CS664"/>
  <c r="CR664"/>
  <c r="CQ664"/>
  <c r="CP664"/>
  <c r="DA663"/>
  <c r="CZ663"/>
  <c r="CY663"/>
  <c r="CX663"/>
  <c r="CW663"/>
  <c r="CV663"/>
  <c r="CU663"/>
  <c r="CT663"/>
  <c r="CS663"/>
  <c r="CR663"/>
  <c r="CQ663"/>
  <c r="CP663"/>
  <c r="DA662"/>
  <c r="CZ662"/>
  <c r="CY662"/>
  <c r="CX662"/>
  <c r="CW662"/>
  <c r="CV662"/>
  <c r="CU662"/>
  <c r="CT662"/>
  <c r="CS662"/>
  <c r="CR662"/>
  <c r="CQ662"/>
  <c r="CP662"/>
  <c r="DA661"/>
  <c r="CZ661"/>
  <c r="CY661"/>
  <c r="CX661"/>
  <c r="CW661"/>
  <c r="CV661"/>
  <c r="CU661"/>
  <c r="CT661"/>
  <c r="CS661"/>
  <c r="CR661"/>
  <c r="CQ661"/>
  <c r="CP661"/>
  <c r="DA660"/>
  <c r="CZ660"/>
  <c r="CY660"/>
  <c r="CX660"/>
  <c r="CW660"/>
  <c r="CV660"/>
  <c r="CU660"/>
  <c r="CT660"/>
  <c r="CS660"/>
  <c r="CR660"/>
  <c r="CQ660"/>
  <c r="CP660"/>
  <c r="DA659"/>
  <c r="CZ659"/>
  <c r="CY659"/>
  <c r="CX659"/>
  <c r="CW659"/>
  <c r="CV659"/>
  <c r="CU659"/>
  <c r="CT659"/>
  <c r="CS659"/>
  <c r="CR659"/>
  <c r="CQ659"/>
  <c r="CP659"/>
  <c r="DA658"/>
  <c r="CZ658"/>
  <c r="CY658"/>
  <c r="CX658"/>
  <c r="CW658"/>
  <c r="CV658"/>
  <c r="CU658"/>
  <c r="CT658"/>
  <c r="CS658"/>
  <c r="CR658"/>
  <c r="CQ658"/>
  <c r="CP658"/>
  <c r="DA657"/>
  <c r="CZ657"/>
  <c r="CY657"/>
  <c r="CX657"/>
  <c r="CW657"/>
  <c r="CV657"/>
  <c r="CU657"/>
  <c r="CT657"/>
  <c r="CS657"/>
  <c r="CR657"/>
  <c r="CQ657"/>
  <c r="CP657"/>
  <c r="DA656"/>
  <c r="CZ656"/>
  <c r="CY656"/>
  <c r="CX656"/>
  <c r="CW656"/>
  <c r="CV656"/>
  <c r="CU656"/>
  <c r="CT656"/>
  <c r="CS656"/>
  <c r="CR656"/>
  <c r="CQ656"/>
  <c r="CP656"/>
  <c r="DA655"/>
  <c r="CZ655"/>
  <c r="CY655"/>
  <c r="CX655"/>
  <c r="CW655"/>
  <c r="CV655"/>
  <c r="CU655"/>
  <c r="CT655"/>
  <c r="CS655"/>
  <c r="CR655"/>
  <c r="CQ655"/>
  <c r="CP655"/>
  <c r="DA654"/>
  <c r="CZ654"/>
  <c r="CY654"/>
  <c r="CX654"/>
  <c r="CW654"/>
  <c r="CV654"/>
  <c r="CU654"/>
  <c r="CT654"/>
  <c r="CS654"/>
  <c r="CR654"/>
  <c r="CQ654"/>
  <c r="CP654"/>
  <c r="DA653"/>
  <c r="CZ653"/>
  <c r="CY653"/>
  <c r="CX653"/>
  <c r="CW653"/>
  <c r="CV653"/>
  <c r="CU653"/>
  <c r="CT653"/>
  <c r="CS653"/>
  <c r="CR653"/>
  <c r="CQ653"/>
  <c r="CP653"/>
  <c r="DA652"/>
  <c r="CZ652"/>
  <c r="CY652"/>
  <c r="CX652"/>
  <c r="CW652"/>
  <c r="CV652"/>
  <c r="CU652"/>
  <c r="CT652"/>
  <c r="CS652"/>
  <c r="CR652"/>
  <c r="CQ652"/>
  <c r="CP652"/>
  <c r="DA651"/>
  <c r="CZ651"/>
  <c r="CY651"/>
  <c r="CX651"/>
  <c r="CW651"/>
  <c r="CV651"/>
  <c r="CU651"/>
  <c r="CT651"/>
  <c r="CS651"/>
  <c r="CR651"/>
  <c r="CQ651"/>
  <c r="CP651"/>
  <c r="DA650"/>
  <c r="CZ650"/>
  <c r="CY650"/>
  <c r="CX650"/>
  <c r="CW650"/>
  <c r="CV650"/>
  <c r="CU650"/>
  <c r="CT650"/>
  <c r="CS650"/>
  <c r="CR650"/>
  <c r="CQ650"/>
  <c r="CP650"/>
  <c r="DA649"/>
  <c r="CZ649"/>
  <c r="CY649"/>
  <c r="CX649"/>
  <c r="CW649"/>
  <c r="CV649"/>
  <c r="CU649"/>
  <c r="CT649"/>
  <c r="CS649"/>
  <c r="CR649"/>
  <c r="CQ649"/>
  <c r="CP649"/>
  <c r="DA648"/>
  <c r="CZ648"/>
  <c r="CY648"/>
  <c r="CX648"/>
  <c r="CW648"/>
  <c r="CV648"/>
  <c r="CU648"/>
  <c r="CT648"/>
  <c r="CS648"/>
  <c r="CR648"/>
  <c r="CQ648"/>
  <c r="CP648"/>
  <c r="DA647"/>
  <c r="CZ647"/>
  <c r="CY647"/>
  <c r="CX647"/>
  <c r="CW647"/>
  <c r="CV647"/>
  <c r="CU647"/>
  <c r="CT647"/>
  <c r="CS647"/>
  <c r="CR647"/>
  <c r="CQ647"/>
  <c r="CP647"/>
  <c r="DA646"/>
  <c r="CZ646"/>
  <c r="CY646"/>
  <c r="CX646"/>
  <c r="CW646"/>
  <c r="CV646"/>
  <c r="CU646"/>
  <c r="CT646"/>
  <c r="CS646"/>
  <c r="CR646"/>
  <c r="CQ646"/>
  <c r="CP646"/>
  <c r="DA645"/>
  <c r="CZ645"/>
  <c r="CY645"/>
  <c r="CX645"/>
  <c r="CW645"/>
  <c r="CV645"/>
  <c r="CU645"/>
  <c r="CT645"/>
  <c r="CS645"/>
  <c r="CR645"/>
  <c r="CQ645"/>
  <c r="CP645"/>
  <c r="DA644"/>
  <c r="CZ644"/>
  <c r="CY644"/>
  <c r="CX644"/>
  <c r="CW644"/>
  <c r="CV644"/>
  <c r="CU644"/>
  <c r="CT644"/>
  <c r="CS644"/>
  <c r="CR644"/>
  <c r="CQ644"/>
  <c r="CP644"/>
  <c r="DA643"/>
  <c r="CZ643"/>
  <c r="CY643"/>
  <c r="CX643"/>
  <c r="CW643"/>
  <c r="CV643"/>
  <c r="CU643"/>
  <c r="CT643"/>
  <c r="CS643"/>
  <c r="CR643"/>
  <c r="CQ643"/>
  <c r="CP643"/>
  <c r="DA642"/>
  <c r="CZ642"/>
  <c r="CY642"/>
  <c r="CX642"/>
  <c r="CW642"/>
  <c r="CV642"/>
  <c r="CU642"/>
  <c r="CT642"/>
  <c r="CS642"/>
  <c r="CR642"/>
  <c r="CQ642"/>
  <c r="CP642"/>
  <c r="DA641"/>
  <c r="CZ641"/>
  <c r="CY641"/>
  <c r="CX641"/>
  <c r="CW641"/>
  <c r="CV641"/>
  <c r="CU641"/>
  <c r="CT641"/>
  <c r="CS641"/>
  <c r="CR641"/>
  <c r="CQ641"/>
  <c r="CP641"/>
  <c r="DA640"/>
  <c r="CZ640"/>
  <c r="CY640"/>
  <c r="CX640"/>
  <c r="CW640"/>
  <c r="CV640"/>
  <c r="CU640"/>
  <c r="CT640"/>
  <c r="CS640"/>
  <c r="CR640"/>
  <c r="CQ640"/>
  <c r="CP640"/>
  <c r="DA639"/>
  <c r="CZ639"/>
  <c r="CY639"/>
  <c r="CX639"/>
  <c r="CW639"/>
  <c r="CV639"/>
  <c r="CU639"/>
  <c r="CT639"/>
  <c r="CS639"/>
  <c r="CR639"/>
  <c r="CQ639"/>
  <c r="CP639"/>
  <c r="DA638"/>
  <c r="CZ638"/>
  <c r="CY638"/>
  <c r="CX638"/>
  <c r="CW638"/>
  <c r="CV638"/>
  <c r="CU638"/>
  <c r="CT638"/>
  <c r="CS638"/>
  <c r="CR638"/>
  <c r="CQ638"/>
  <c r="CP638"/>
  <c r="DA637"/>
  <c r="CZ637"/>
  <c r="CY637"/>
  <c r="CX637"/>
  <c r="CW637"/>
  <c r="CV637"/>
  <c r="CU637"/>
  <c r="CT637"/>
  <c r="CS637"/>
  <c r="CR637"/>
  <c r="CQ637"/>
  <c r="CP637"/>
  <c r="DA636"/>
  <c r="CZ636"/>
  <c r="CY636"/>
  <c r="CX636"/>
  <c r="CW636"/>
  <c r="CV636"/>
  <c r="CU636"/>
  <c r="CT636"/>
  <c r="CS636"/>
  <c r="CR636"/>
  <c r="CQ636"/>
  <c r="CP636"/>
  <c r="DA635"/>
  <c r="CZ635"/>
  <c r="CY635"/>
  <c r="CX635"/>
  <c r="CW635"/>
  <c r="CV635"/>
  <c r="CU635"/>
  <c r="CT635"/>
  <c r="CS635"/>
  <c r="CR635"/>
  <c r="CQ635"/>
  <c r="CP635"/>
  <c r="DA634"/>
  <c r="CZ634"/>
  <c r="CY634"/>
  <c r="CX634"/>
  <c r="CW634"/>
  <c r="CV634"/>
  <c r="CU634"/>
  <c r="CT634"/>
  <c r="CS634"/>
  <c r="CR634"/>
  <c r="CQ634"/>
  <c r="CP634"/>
  <c r="DA633"/>
  <c r="CZ633"/>
  <c r="CY633"/>
  <c r="CX633"/>
  <c r="CW633"/>
  <c r="CV633"/>
  <c r="CU633"/>
  <c r="CT633"/>
  <c r="CS633"/>
  <c r="CR633"/>
  <c r="CQ633"/>
  <c r="CP633"/>
  <c r="DA632"/>
  <c r="CZ632"/>
  <c r="CY632"/>
  <c r="CX632"/>
  <c r="CW632"/>
  <c r="CV632"/>
  <c r="CU632"/>
  <c r="CT632"/>
  <c r="CS632"/>
  <c r="CR632"/>
  <c r="CQ632"/>
  <c r="CP632"/>
  <c r="DA631"/>
  <c r="CZ631"/>
  <c r="CY631"/>
  <c r="CX631"/>
  <c r="CW631"/>
  <c r="CV631"/>
  <c r="CU631"/>
  <c r="CT631"/>
  <c r="CS631"/>
  <c r="CR631"/>
  <c r="CQ631"/>
  <c r="CP631"/>
  <c r="DA630"/>
  <c r="CZ630"/>
  <c r="CY630"/>
  <c r="CX630"/>
  <c r="CW630"/>
  <c r="CV630"/>
  <c r="CU630"/>
  <c r="CT630"/>
  <c r="CS630"/>
  <c r="CR630"/>
  <c r="CQ630"/>
  <c r="CP630"/>
  <c r="DA629"/>
  <c r="CZ629"/>
  <c r="CY629"/>
  <c r="CX629"/>
  <c r="CW629"/>
  <c r="CV629"/>
  <c r="CU629"/>
  <c r="CT629"/>
  <c r="CS629"/>
  <c r="CR629"/>
  <c r="CQ629"/>
  <c r="CP629"/>
  <c r="DA628"/>
  <c r="CZ628"/>
  <c r="CY628"/>
  <c r="CX628"/>
  <c r="CW628"/>
  <c r="CV628"/>
  <c r="CU628"/>
  <c r="CT628"/>
  <c r="CS628"/>
  <c r="CR628"/>
  <c r="CQ628"/>
  <c r="CP628"/>
  <c r="DA627"/>
  <c r="CZ627"/>
  <c r="CY627"/>
  <c r="CX627"/>
  <c r="CW627"/>
  <c r="CV627"/>
  <c r="CU627"/>
  <c r="CT627"/>
  <c r="CS627"/>
  <c r="CR627"/>
  <c r="CQ627"/>
  <c r="CP627"/>
  <c r="DA626"/>
  <c r="CZ626"/>
  <c r="CY626"/>
  <c r="CX626"/>
  <c r="CW626"/>
  <c r="CV626"/>
  <c r="CU626"/>
  <c r="CT626"/>
  <c r="CS626"/>
  <c r="CR626"/>
  <c r="CQ626"/>
  <c r="CP626"/>
  <c r="DA625"/>
  <c r="CZ625"/>
  <c r="CY625"/>
  <c r="CX625"/>
  <c r="CW625"/>
  <c r="CV625"/>
  <c r="CU625"/>
  <c r="CT625"/>
  <c r="CS625"/>
  <c r="CR625"/>
  <c r="CQ625"/>
  <c r="CP625"/>
  <c r="DA624"/>
  <c r="CZ624"/>
  <c r="CY624"/>
  <c r="CX624"/>
  <c r="CW624"/>
  <c r="CV624"/>
  <c r="CU624"/>
  <c r="CT624"/>
  <c r="CS624"/>
  <c r="CR624"/>
  <c r="CQ624"/>
  <c r="CP624"/>
  <c r="DA623"/>
  <c r="CZ623"/>
  <c r="CY623"/>
  <c r="CX623"/>
  <c r="CW623"/>
  <c r="CV623"/>
  <c r="CU623"/>
  <c r="CT623"/>
  <c r="CS623"/>
  <c r="CR623"/>
  <c r="CQ623"/>
  <c r="CP623"/>
  <c r="DA622"/>
  <c r="CZ622"/>
  <c r="CY622"/>
  <c r="CX622"/>
  <c r="CW622"/>
  <c r="CV622"/>
  <c r="CU622"/>
  <c r="CT622"/>
  <c r="CS622"/>
  <c r="CR622"/>
  <c r="CQ622"/>
  <c r="CP622"/>
  <c r="DA621"/>
  <c r="CZ621"/>
  <c r="CY621"/>
  <c r="CX621"/>
  <c r="CW621"/>
  <c r="CV621"/>
  <c r="CU621"/>
  <c r="CT621"/>
  <c r="CS621"/>
  <c r="CR621"/>
  <c r="CQ621"/>
  <c r="CP621"/>
  <c r="DA620"/>
  <c r="CZ620"/>
  <c r="CY620"/>
  <c r="CX620"/>
  <c r="CW620"/>
  <c r="CV620"/>
  <c r="CU620"/>
  <c r="CT620"/>
  <c r="CS620"/>
  <c r="CR620"/>
  <c r="CQ620"/>
  <c r="CP620"/>
  <c r="DA619"/>
  <c r="CZ619"/>
  <c r="CY619"/>
  <c r="CX619"/>
  <c r="CW619"/>
  <c r="CV619"/>
  <c r="CU619"/>
  <c r="CT619"/>
  <c r="CS619"/>
  <c r="CR619"/>
  <c r="CQ619"/>
  <c r="CP619"/>
  <c r="DA618"/>
  <c r="CZ618"/>
  <c r="CY618"/>
  <c r="CX618"/>
  <c r="CW618"/>
  <c r="CV618"/>
  <c r="CU618"/>
  <c r="CT618"/>
  <c r="CS618"/>
  <c r="CR618"/>
  <c r="CQ618"/>
  <c r="CP618"/>
  <c r="DA617"/>
  <c r="CZ617"/>
  <c r="CY617"/>
  <c r="CX617"/>
  <c r="CW617"/>
  <c r="CV617"/>
  <c r="CU617"/>
  <c r="CT617"/>
  <c r="CS617"/>
  <c r="CR617"/>
  <c r="CQ617"/>
  <c r="CP617"/>
  <c r="DA616"/>
  <c r="CZ616"/>
  <c r="CY616"/>
  <c r="CX616"/>
  <c r="CW616"/>
  <c r="CV616"/>
  <c r="CU616"/>
  <c r="CT616"/>
  <c r="CS616"/>
  <c r="CR616"/>
  <c r="CQ616"/>
  <c r="CP616"/>
  <c r="DA615"/>
  <c r="CZ615"/>
  <c r="CY615"/>
  <c r="CX615"/>
  <c r="CW615"/>
  <c r="CV615"/>
  <c r="CU615"/>
  <c r="CT615"/>
  <c r="CS615"/>
  <c r="CR615"/>
  <c r="CQ615"/>
  <c r="CP615"/>
  <c r="DA614"/>
  <c r="CZ614"/>
  <c r="CY614"/>
  <c r="DA613"/>
  <c r="CZ613"/>
  <c r="CY613"/>
  <c r="CX613"/>
  <c r="CW613"/>
  <c r="CV613"/>
  <c r="CU613"/>
  <c r="CT613"/>
  <c r="CS613"/>
  <c r="CR613"/>
  <c r="CQ613"/>
  <c r="CP613"/>
  <c r="DA612"/>
  <c r="CZ612"/>
  <c r="CY612"/>
  <c r="CX612"/>
  <c r="CW612"/>
  <c r="CV612"/>
  <c r="CU612"/>
  <c r="CT612"/>
  <c r="CS612"/>
  <c r="CR612"/>
  <c r="CQ612"/>
  <c r="CP612"/>
  <c r="DA611"/>
  <c r="CZ611"/>
  <c r="CY611"/>
  <c r="CX611"/>
  <c r="CW611"/>
  <c r="CV611"/>
  <c r="CU611"/>
  <c r="CT611"/>
  <c r="CS611"/>
  <c r="CR611"/>
  <c r="CQ611"/>
  <c r="CP611"/>
  <c r="DA610"/>
  <c r="CZ610"/>
  <c r="CY610"/>
  <c r="CX610"/>
  <c r="CW610"/>
  <c r="CV610"/>
  <c r="CU610"/>
  <c r="CT610"/>
  <c r="CS610"/>
  <c r="CR610"/>
  <c r="CQ610"/>
  <c r="CP610"/>
  <c r="DA609"/>
  <c r="CZ609"/>
  <c r="CY609"/>
  <c r="CX609"/>
  <c r="CW609"/>
  <c r="CV609"/>
  <c r="CU609"/>
  <c r="CT609"/>
  <c r="CS609"/>
  <c r="CR609"/>
  <c r="CQ609"/>
  <c r="CP609"/>
  <c r="DA608"/>
  <c r="CZ608"/>
  <c r="CY608"/>
  <c r="CX608"/>
  <c r="CW608"/>
  <c r="CV608"/>
  <c r="CU608"/>
  <c r="CT608"/>
  <c r="CS608"/>
  <c r="CR608"/>
  <c r="CQ608"/>
  <c r="CP608"/>
  <c r="DA607"/>
  <c r="CZ607"/>
  <c r="CY607"/>
  <c r="CX607"/>
  <c r="CW607"/>
  <c r="CV607"/>
  <c r="CU607"/>
  <c r="CT607"/>
  <c r="CS607"/>
  <c r="CR607"/>
  <c r="CQ607"/>
  <c r="CP607"/>
  <c r="DA606"/>
  <c r="CZ606"/>
  <c r="CY606"/>
  <c r="CX606"/>
  <c r="CW606"/>
  <c r="CV606"/>
  <c r="CU606"/>
  <c r="CT606"/>
  <c r="CS606"/>
  <c r="CR606"/>
  <c r="CQ606"/>
  <c r="CP606"/>
  <c r="DA605"/>
  <c r="CZ605"/>
  <c r="CY605"/>
  <c r="CX605"/>
  <c r="CW605"/>
  <c r="CV605"/>
  <c r="CU605"/>
  <c r="CT605"/>
  <c r="CS605"/>
  <c r="CR605"/>
  <c r="CQ605"/>
  <c r="CP605"/>
  <c r="DA604"/>
  <c r="CZ604"/>
  <c r="CY604"/>
  <c r="CX604"/>
  <c r="CW604"/>
  <c r="CV604"/>
  <c r="CU604"/>
  <c r="CT604"/>
  <c r="CS604"/>
  <c r="CR604"/>
  <c r="CQ604"/>
  <c r="CP604"/>
  <c r="DA603"/>
  <c r="CZ603"/>
  <c r="CY603"/>
  <c r="CX603"/>
  <c r="CW603"/>
  <c r="CV603"/>
  <c r="CU603"/>
  <c r="CT603"/>
  <c r="CS603"/>
  <c r="CR603"/>
  <c r="CQ603"/>
  <c r="CP603"/>
  <c r="DA602"/>
  <c r="CZ602"/>
  <c r="CY602"/>
  <c r="CX602"/>
  <c r="CW602"/>
  <c r="CV602"/>
  <c r="CU602"/>
  <c r="CT602"/>
  <c r="CS602"/>
  <c r="CR602"/>
  <c r="CQ602"/>
  <c r="CP602"/>
  <c r="DA601"/>
  <c r="CZ601"/>
  <c r="CY601"/>
  <c r="CX601"/>
  <c r="CW601"/>
  <c r="CV601"/>
  <c r="CU601"/>
  <c r="CT601"/>
  <c r="CS601"/>
  <c r="CR601"/>
  <c r="CQ601"/>
  <c r="CP601"/>
  <c r="DA600"/>
  <c r="CZ600"/>
  <c r="CY600"/>
  <c r="CX600"/>
  <c r="CW600"/>
  <c r="CV600"/>
  <c r="CU600"/>
  <c r="CT600"/>
  <c r="CS600"/>
  <c r="CR600"/>
  <c r="CQ600"/>
  <c r="CP600"/>
  <c r="DA599"/>
  <c r="CZ599"/>
  <c r="CY599"/>
  <c r="CX599"/>
  <c r="CW599"/>
  <c r="CV599"/>
  <c r="CU599"/>
  <c r="CT599"/>
  <c r="CS599"/>
  <c r="CR599"/>
  <c r="CQ599"/>
  <c r="CP599"/>
  <c r="DA598"/>
  <c r="CZ598"/>
  <c r="CY598"/>
  <c r="CX598"/>
  <c r="CW598"/>
  <c r="CV598"/>
  <c r="CU598"/>
  <c r="CT598"/>
  <c r="CS598"/>
  <c r="CR598"/>
  <c r="CQ598"/>
  <c r="CP598"/>
  <c r="DA597"/>
  <c r="CZ597"/>
  <c r="CY597"/>
  <c r="CX597"/>
  <c r="CW597"/>
  <c r="CV597"/>
  <c r="CU597"/>
  <c r="CT597"/>
  <c r="CS597"/>
  <c r="CR597"/>
  <c r="CQ597"/>
  <c r="CP597"/>
  <c r="DA596"/>
  <c r="CZ596"/>
  <c r="CY596"/>
  <c r="CX596"/>
  <c r="CW596"/>
  <c r="CV596"/>
  <c r="CU596"/>
  <c r="CT596"/>
  <c r="CS596"/>
  <c r="CR596"/>
  <c r="CQ596"/>
  <c r="CP596"/>
  <c r="DA595"/>
  <c r="CZ595"/>
  <c r="CY595"/>
  <c r="CX595"/>
  <c r="CW595"/>
  <c r="CV595"/>
  <c r="CU595"/>
  <c r="CT595"/>
  <c r="CS595"/>
  <c r="CR595"/>
  <c r="CQ595"/>
  <c r="CP595"/>
  <c r="DA594"/>
  <c r="CZ594"/>
  <c r="CY594"/>
  <c r="CX594"/>
  <c r="CW594"/>
  <c r="CV594"/>
  <c r="CU594"/>
  <c r="CT594"/>
  <c r="CS594"/>
  <c r="CR594"/>
  <c r="CQ594"/>
  <c r="CP594"/>
  <c r="DA593"/>
  <c r="CZ593"/>
  <c r="CY593"/>
  <c r="CX593"/>
  <c r="CW593"/>
  <c r="CV593"/>
  <c r="CU593"/>
  <c r="CT593"/>
  <c r="CS593"/>
  <c r="CR593"/>
  <c r="CQ593"/>
  <c r="CP593"/>
  <c r="DA592"/>
  <c r="CZ592"/>
  <c r="CY592"/>
  <c r="CX592"/>
  <c r="CW592"/>
  <c r="CV592"/>
  <c r="CU592"/>
  <c r="CT592"/>
  <c r="CS592"/>
  <c r="CR592"/>
  <c r="CQ592"/>
  <c r="CP592"/>
  <c r="DA591"/>
  <c r="CZ591"/>
  <c r="CY591"/>
  <c r="CX591"/>
  <c r="CW591"/>
  <c r="CV591"/>
  <c r="CU591"/>
  <c r="CT591"/>
  <c r="CS591"/>
  <c r="CR591"/>
  <c r="CQ591"/>
  <c r="CP591"/>
  <c r="DA590"/>
  <c r="CZ590"/>
  <c r="CY590"/>
  <c r="CX590"/>
  <c r="CW590"/>
  <c r="CV590"/>
  <c r="CU590"/>
  <c r="CT590"/>
  <c r="CS590"/>
  <c r="CR590"/>
  <c r="CQ590"/>
  <c r="CP590"/>
  <c r="DA589"/>
  <c r="CZ589"/>
  <c r="CY589"/>
  <c r="CX589"/>
  <c r="CW589"/>
  <c r="CV589"/>
  <c r="CU589"/>
  <c r="CT589"/>
  <c r="CS589"/>
  <c r="CR589"/>
  <c r="CQ589"/>
  <c r="CP589"/>
  <c r="DA588"/>
  <c r="CZ588"/>
  <c r="CY588"/>
  <c r="CX588"/>
  <c r="CW588"/>
  <c r="CV588"/>
  <c r="CU588"/>
  <c r="CT588"/>
  <c r="CS588"/>
  <c r="CR588"/>
  <c r="CQ588"/>
  <c r="CP588"/>
  <c r="DA587"/>
  <c r="CZ587"/>
  <c r="CY587"/>
  <c r="CX587"/>
  <c r="CW587"/>
  <c r="CV587"/>
  <c r="CU587"/>
  <c r="CT587"/>
  <c r="CS587"/>
  <c r="CR587"/>
  <c r="CQ587"/>
  <c r="CP587"/>
  <c r="DA586"/>
  <c r="CZ586"/>
  <c r="CY586"/>
  <c r="CX586"/>
  <c r="CW586"/>
  <c r="CV586"/>
  <c r="CU586"/>
  <c r="CT586"/>
  <c r="CS586"/>
  <c r="CR586"/>
  <c r="CQ586"/>
  <c r="CP586"/>
  <c r="DA585"/>
  <c r="CZ585"/>
  <c r="CY585"/>
  <c r="CX585"/>
  <c r="CW585"/>
  <c r="CV585"/>
  <c r="CU585"/>
  <c r="CT585"/>
  <c r="CS585"/>
  <c r="CR585"/>
  <c r="CQ585"/>
  <c r="CP585"/>
  <c r="DA584"/>
  <c r="CZ584"/>
  <c r="CY584"/>
  <c r="CX584"/>
  <c r="CW584"/>
  <c r="CV584"/>
  <c r="CU584"/>
  <c r="CT584"/>
  <c r="CS584"/>
  <c r="CR584"/>
  <c r="CQ584"/>
  <c r="CP584"/>
  <c r="DA583"/>
  <c r="CZ583"/>
  <c r="CY583"/>
  <c r="CX583"/>
  <c r="CW583"/>
  <c r="CV583"/>
  <c r="CU583"/>
  <c r="CT583"/>
  <c r="CS583"/>
  <c r="CR583"/>
  <c r="CQ583"/>
  <c r="CP583"/>
  <c r="DA582"/>
  <c r="CZ582"/>
  <c r="CY582"/>
  <c r="CX582"/>
  <c r="CW582"/>
  <c r="CV582"/>
  <c r="CU582"/>
  <c r="CT582"/>
  <c r="CS582"/>
  <c r="CR582"/>
  <c r="CQ582"/>
  <c r="CP582"/>
  <c r="DA581"/>
  <c r="CZ581"/>
  <c r="CY581"/>
  <c r="CX581"/>
  <c r="CW581"/>
  <c r="CV581"/>
  <c r="CU581"/>
  <c r="CT581"/>
  <c r="CS581"/>
  <c r="CR581"/>
  <c r="CQ581"/>
  <c r="CP581"/>
  <c r="DA580"/>
  <c r="CZ580"/>
  <c r="CY580"/>
  <c r="CX580"/>
  <c r="CW580"/>
  <c r="CV580"/>
  <c r="CU580"/>
  <c r="CT580"/>
  <c r="CS580"/>
  <c r="CR580"/>
  <c r="CQ580"/>
  <c r="CP580"/>
  <c r="DA579"/>
  <c r="CZ579"/>
  <c r="CY579"/>
  <c r="CX579"/>
  <c r="CW579"/>
  <c r="CV579"/>
  <c r="CU579"/>
  <c r="CT579"/>
  <c r="CS579"/>
  <c r="CR579"/>
  <c r="CQ579"/>
  <c r="CP579"/>
  <c r="DA578"/>
  <c r="CZ578"/>
  <c r="CY578"/>
  <c r="CX578"/>
  <c r="CW578"/>
  <c r="CV578"/>
  <c r="CU578"/>
  <c r="CT578"/>
  <c r="CS578"/>
  <c r="CR578"/>
  <c r="CQ578"/>
  <c r="CP578"/>
  <c r="DA577"/>
  <c r="CZ577"/>
  <c r="CY577"/>
  <c r="CX577"/>
  <c r="CW577"/>
  <c r="CV577"/>
  <c r="CU577"/>
  <c r="CT577"/>
  <c r="CS577"/>
  <c r="CR577"/>
  <c r="CQ577"/>
  <c r="CP577"/>
  <c r="DA576"/>
  <c r="CZ576"/>
  <c r="CY576"/>
  <c r="CX576"/>
  <c r="CW576"/>
  <c r="CV576"/>
  <c r="CU576"/>
  <c r="CT576"/>
  <c r="CS576"/>
  <c r="CR576"/>
  <c r="CQ576"/>
  <c r="CP576"/>
  <c r="DA575"/>
  <c r="CZ575"/>
  <c r="CY575"/>
  <c r="CX575"/>
  <c r="CW575"/>
  <c r="CV575"/>
  <c r="CU575"/>
  <c r="CT575"/>
  <c r="CS575"/>
  <c r="CR575"/>
  <c r="CQ575"/>
  <c r="CP575"/>
  <c r="DA574"/>
  <c r="CZ574"/>
  <c r="CY574"/>
  <c r="CX574"/>
  <c r="CW574"/>
  <c r="CV574"/>
  <c r="CU574"/>
  <c r="CT574"/>
  <c r="CS574"/>
  <c r="CR574"/>
  <c r="CQ574"/>
  <c r="CP574"/>
  <c r="DA573"/>
  <c r="CZ573"/>
  <c r="CY573"/>
  <c r="CX573"/>
  <c r="CW573"/>
  <c r="CV573"/>
  <c r="CU573"/>
  <c r="CT573"/>
  <c r="CS573"/>
  <c r="CR573"/>
  <c r="CQ573"/>
  <c r="CP573"/>
  <c r="DA572"/>
  <c r="CZ572"/>
  <c r="CY572"/>
  <c r="CX572"/>
  <c r="CW572"/>
  <c r="CV572"/>
  <c r="CU572"/>
  <c r="CT572"/>
  <c r="CS572"/>
  <c r="CR572"/>
  <c r="CQ572"/>
  <c r="CP572"/>
  <c r="DA571"/>
  <c r="CZ571"/>
  <c r="CY571"/>
  <c r="CX571"/>
  <c r="CW571"/>
  <c r="CV571"/>
  <c r="CU571"/>
  <c r="CT571"/>
  <c r="CS571"/>
  <c r="CR571"/>
  <c r="CQ571"/>
  <c r="CP571"/>
  <c r="DA570"/>
  <c r="CZ570"/>
  <c r="CY570"/>
  <c r="CX570"/>
  <c r="CW570"/>
  <c r="CV570"/>
  <c r="CU570"/>
  <c r="CT570"/>
  <c r="CS570"/>
  <c r="CR570"/>
  <c r="CQ570"/>
  <c r="CP570"/>
  <c r="DA569"/>
  <c r="CZ569"/>
  <c r="CY569"/>
  <c r="CX569"/>
  <c r="CW569"/>
  <c r="CV569"/>
  <c r="CU569"/>
  <c r="CT569"/>
  <c r="CS569"/>
  <c r="CR569"/>
  <c r="CQ569"/>
  <c r="CP569"/>
  <c r="DA568"/>
  <c r="CZ568"/>
  <c r="CY568"/>
  <c r="CX568"/>
  <c r="CW568"/>
  <c r="CV568"/>
  <c r="CU568"/>
  <c r="CT568"/>
  <c r="CS568"/>
  <c r="CR568"/>
  <c r="CQ568"/>
  <c r="CP568"/>
  <c r="DA567"/>
  <c r="CZ567"/>
  <c r="CY567"/>
  <c r="CX567"/>
  <c r="CW567"/>
  <c r="CV567"/>
  <c r="CU567"/>
  <c r="CT567"/>
  <c r="CS567"/>
  <c r="CR567"/>
  <c r="CQ567"/>
  <c r="CP567"/>
  <c r="DA566"/>
  <c r="CZ566"/>
  <c r="CY566"/>
  <c r="CX566"/>
  <c r="CW566"/>
  <c r="CV566"/>
  <c r="CU566"/>
  <c r="CT566"/>
  <c r="CS566"/>
  <c r="CR566"/>
  <c r="CQ566"/>
  <c r="CP566"/>
  <c r="DA565"/>
  <c r="CZ565"/>
  <c r="CY565"/>
  <c r="CX565"/>
  <c r="CW565"/>
  <c r="CV565"/>
  <c r="CU565"/>
  <c r="CT565"/>
  <c r="CS565"/>
  <c r="CR565"/>
  <c r="CQ565"/>
  <c r="CP565"/>
  <c r="DA564"/>
  <c r="CZ564"/>
  <c r="CY564"/>
  <c r="CX564"/>
  <c r="CW564"/>
  <c r="CV564"/>
  <c r="CU564"/>
  <c r="CT564"/>
  <c r="CS564"/>
  <c r="CR564"/>
  <c r="CQ564"/>
  <c r="CP564"/>
  <c r="DA563"/>
  <c r="CZ563"/>
  <c r="CY563"/>
  <c r="CX563"/>
  <c r="CW563"/>
  <c r="CV563"/>
  <c r="CU563"/>
  <c r="CT563"/>
  <c r="CS563"/>
  <c r="CR563"/>
  <c r="CQ563"/>
  <c r="CP563"/>
  <c r="DA562"/>
  <c r="CZ562"/>
  <c r="CY562"/>
  <c r="CX562"/>
  <c r="CW562"/>
  <c r="CV562"/>
  <c r="CU562"/>
  <c r="CT562"/>
  <c r="CS562"/>
  <c r="CR562"/>
  <c r="CQ562"/>
  <c r="CP562"/>
  <c r="DA561"/>
  <c r="CZ561"/>
  <c r="CY561"/>
  <c r="CX561"/>
  <c r="CW561"/>
  <c r="CV561"/>
  <c r="CU561"/>
  <c r="CT561"/>
  <c r="CS561"/>
  <c r="CR561"/>
  <c r="CQ561"/>
  <c r="CP561"/>
  <c r="DA560"/>
  <c r="CZ560"/>
  <c r="CY560"/>
  <c r="CX560"/>
  <c r="CW560"/>
  <c r="CV560"/>
  <c r="CU560"/>
  <c r="CT560"/>
  <c r="CS560"/>
  <c r="CR560"/>
  <c r="CQ560"/>
  <c r="CP560"/>
  <c r="DA559"/>
  <c r="CZ559"/>
  <c r="CY559"/>
  <c r="CX559"/>
  <c r="CW559"/>
  <c r="CV559"/>
  <c r="CU559"/>
  <c r="CT559"/>
  <c r="CS559"/>
  <c r="CR559"/>
  <c r="CQ559"/>
  <c r="CP559"/>
  <c r="DA558"/>
  <c r="CZ558"/>
  <c r="CY558"/>
  <c r="CX558"/>
  <c r="CW558"/>
  <c r="CV558"/>
  <c r="CU558"/>
  <c r="CT558"/>
  <c r="CS558"/>
  <c r="CR558"/>
  <c r="CQ558"/>
  <c r="CP558"/>
  <c r="DA557"/>
  <c r="CZ557"/>
  <c r="CY557"/>
  <c r="CX557"/>
  <c r="CW557"/>
  <c r="CV557"/>
  <c r="CU557"/>
  <c r="CT557"/>
  <c r="CS557"/>
  <c r="CR557"/>
  <c r="CQ557"/>
  <c r="CP557"/>
  <c r="DA556"/>
  <c r="CZ556"/>
  <c r="CY556"/>
  <c r="CX556"/>
  <c r="CW556"/>
  <c r="CV556"/>
  <c r="CU556"/>
  <c r="CT556"/>
  <c r="CS556"/>
  <c r="CR556"/>
  <c r="CQ556"/>
  <c r="CP556"/>
  <c r="DA555"/>
  <c r="CZ555"/>
  <c r="CY555"/>
  <c r="CX555"/>
  <c r="CW555"/>
  <c r="CV555"/>
  <c r="CU555"/>
  <c r="CT555"/>
  <c r="CS555"/>
  <c r="CR555"/>
  <c r="CQ555"/>
  <c r="CP555"/>
  <c r="DA554"/>
  <c r="CZ554"/>
  <c r="CY554"/>
  <c r="CX554"/>
  <c r="CW554"/>
  <c r="CV554"/>
  <c r="CU554"/>
  <c r="CT554"/>
  <c r="CS554"/>
  <c r="CR554"/>
  <c r="CQ554"/>
  <c r="CP554"/>
  <c r="DA553"/>
  <c r="CZ553"/>
  <c r="CY553"/>
  <c r="CX553"/>
  <c r="CW553"/>
  <c r="CV553"/>
  <c r="CU553"/>
  <c r="CT553"/>
  <c r="CS553"/>
  <c r="CR553"/>
  <c r="CQ553"/>
  <c r="CP553"/>
  <c r="DA552"/>
  <c r="CZ552"/>
  <c r="CY552"/>
  <c r="CX552"/>
  <c r="CW552"/>
  <c r="CV552"/>
  <c r="CU552"/>
  <c r="CT552"/>
  <c r="CS552"/>
  <c r="CR552"/>
  <c r="CQ552"/>
  <c r="CP552"/>
  <c r="DA551"/>
  <c r="CZ551"/>
  <c r="CY551"/>
  <c r="CX551"/>
  <c r="CW551"/>
  <c r="CV551"/>
  <c r="CU551"/>
  <c r="CT551"/>
  <c r="CS551"/>
  <c r="CR551"/>
  <c r="CQ551"/>
  <c r="CP551"/>
  <c r="DA550"/>
  <c r="CZ550"/>
  <c r="CY550"/>
  <c r="CX550"/>
  <c r="CW550"/>
  <c r="CV550"/>
  <c r="CU550"/>
  <c r="CT550"/>
  <c r="CS550"/>
  <c r="CR550"/>
  <c r="CQ550"/>
  <c r="CP550"/>
  <c r="DA549"/>
  <c r="CZ549"/>
  <c r="CY549"/>
  <c r="CX549"/>
  <c r="CW549"/>
  <c r="CV549"/>
  <c r="CU549"/>
  <c r="CT549"/>
  <c r="CS549"/>
  <c r="CR549"/>
  <c r="CQ549"/>
  <c r="CP549"/>
  <c r="DA548"/>
  <c r="CZ548"/>
  <c r="CY548"/>
  <c r="CX548"/>
  <c r="CW548"/>
  <c r="CV548"/>
  <c r="CU548"/>
  <c r="CT548"/>
  <c r="CS548"/>
  <c r="CR548"/>
  <c r="CQ548"/>
  <c r="CP548"/>
  <c r="DA547"/>
  <c r="CZ547"/>
  <c r="CY547"/>
  <c r="CX547"/>
  <c r="CW547"/>
  <c r="CV547"/>
  <c r="CU547"/>
  <c r="CT547"/>
  <c r="CS547"/>
  <c r="CR547"/>
  <c r="CQ547"/>
  <c r="CP547"/>
  <c r="DA546"/>
  <c r="CZ546"/>
  <c r="CY546"/>
  <c r="CX546"/>
  <c r="CW546"/>
  <c r="CV546"/>
  <c r="CU546"/>
  <c r="CT546"/>
  <c r="CS546"/>
  <c r="CR546"/>
  <c r="CQ546"/>
  <c r="CP546"/>
  <c r="DA545"/>
  <c r="CZ545"/>
  <c r="CY545"/>
  <c r="CX545"/>
  <c r="CW545"/>
  <c r="CV545"/>
  <c r="CU545"/>
  <c r="CT545"/>
  <c r="CS545"/>
  <c r="CR545"/>
  <c r="CQ545"/>
  <c r="CP545"/>
  <c r="DA544"/>
  <c r="CZ544"/>
  <c r="CY544"/>
  <c r="CX544"/>
  <c r="CW544"/>
  <c r="CV544"/>
  <c r="CU544"/>
  <c r="CT544"/>
  <c r="CS544"/>
  <c r="CR544"/>
  <c r="CQ544"/>
  <c r="CP544"/>
  <c r="DA543"/>
  <c r="CZ543"/>
  <c r="CY543"/>
  <c r="CX543"/>
  <c r="CW543"/>
  <c r="CV543"/>
  <c r="CU543"/>
  <c r="CT543"/>
  <c r="CS543"/>
  <c r="CR543"/>
  <c r="CQ543"/>
  <c r="CP543"/>
  <c r="DA542"/>
  <c r="CZ542"/>
  <c r="CY542"/>
  <c r="CX542"/>
  <c r="CW542"/>
  <c r="CV542"/>
  <c r="CU542"/>
  <c r="CT542"/>
  <c r="CS542"/>
  <c r="CR542"/>
  <c r="CQ542"/>
  <c r="CP542"/>
  <c r="DA541"/>
  <c r="CZ541"/>
  <c r="CY541"/>
  <c r="CX541"/>
  <c r="CW541"/>
  <c r="CV541"/>
  <c r="CU541"/>
  <c r="CT541"/>
  <c r="CS541"/>
  <c r="CR541"/>
  <c r="CQ541"/>
  <c r="CP541"/>
  <c r="DA540"/>
  <c r="CZ540"/>
  <c r="CY540"/>
  <c r="CX540"/>
  <c r="CW540"/>
  <c r="CV540"/>
  <c r="CU540"/>
  <c r="CT540"/>
  <c r="CS540"/>
  <c r="CR540"/>
  <c r="CQ540"/>
  <c r="CP540"/>
  <c r="DA539"/>
  <c r="CZ539"/>
  <c r="CY539"/>
  <c r="CX539"/>
  <c r="CW539"/>
  <c r="CV539"/>
  <c r="CU539"/>
  <c r="CT539"/>
  <c r="CS539"/>
  <c r="CR539"/>
  <c r="CQ539"/>
  <c r="CP539"/>
  <c r="DA538"/>
  <c r="CZ538"/>
  <c r="CY538"/>
  <c r="CX538"/>
  <c r="CW538"/>
  <c r="CV538"/>
  <c r="CU538"/>
  <c r="CT538"/>
  <c r="CS538"/>
  <c r="CR538"/>
  <c r="CQ538"/>
  <c r="CP538"/>
  <c r="DA537"/>
  <c r="CZ537"/>
  <c r="CY537"/>
  <c r="CX537"/>
  <c r="CW537"/>
  <c r="CV537"/>
  <c r="CU537"/>
  <c r="CT537"/>
  <c r="CS537"/>
  <c r="CR537"/>
  <c r="CQ537"/>
  <c r="CP537"/>
  <c r="DA536"/>
  <c r="CZ536"/>
  <c r="CY536"/>
  <c r="CX536"/>
  <c r="CW536"/>
  <c r="CV536"/>
  <c r="CU536"/>
  <c r="CT536"/>
  <c r="CS536"/>
  <c r="CR536"/>
  <c r="CQ536"/>
  <c r="CP536"/>
  <c r="DA535"/>
  <c r="CZ535"/>
  <c r="CY535"/>
  <c r="CX535"/>
  <c r="CW535"/>
  <c r="CV535"/>
  <c r="CU535"/>
  <c r="CT535"/>
  <c r="CS535"/>
  <c r="CR535"/>
  <c r="CQ535"/>
  <c r="CP535"/>
  <c r="DA534"/>
  <c r="CZ534"/>
  <c r="CY534"/>
  <c r="CX534"/>
  <c r="CW534"/>
  <c r="CV534"/>
  <c r="CU534"/>
  <c r="CT534"/>
  <c r="CS534"/>
  <c r="CR534"/>
  <c r="CQ534"/>
  <c r="CP534"/>
  <c r="DA533"/>
  <c r="CZ533"/>
  <c r="CY533"/>
  <c r="CX533"/>
  <c r="CW533"/>
  <c r="CV533"/>
  <c r="CU533"/>
  <c r="CT533"/>
  <c r="CS533"/>
  <c r="CR533"/>
  <c r="CQ533"/>
  <c r="CP533"/>
  <c r="DA532"/>
  <c r="CZ532"/>
  <c r="CY532"/>
  <c r="CX532"/>
  <c r="CW532"/>
  <c r="CV532"/>
  <c r="CU532"/>
  <c r="CT532"/>
  <c r="CS532"/>
  <c r="CR532"/>
  <c r="CQ532"/>
  <c r="CP532"/>
  <c r="DA531"/>
  <c r="CZ531"/>
  <c r="CY531"/>
  <c r="CX531"/>
  <c r="CW531"/>
  <c r="CV531"/>
  <c r="CU531"/>
  <c r="CT531"/>
  <c r="CS531"/>
  <c r="CR531"/>
  <c r="CQ531"/>
  <c r="CP531"/>
  <c r="DA530"/>
  <c r="CZ530"/>
  <c r="CY530"/>
  <c r="CX530"/>
  <c r="CW530"/>
  <c r="CV530"/>
  <c r="CU530"/>
  <c r="CT530"/>
  <c r="CS530"/>
  <c r="CR530"/>
  <c r="CQ530"/>
  <c r="CP530"/>
  <c r="DA529"/>
  <c r="CZ529"/>
  <c r="CY529"/>
  <c r="CX529"/>
  <c r="CW529"/>
  <c r="CV529"/>
  <c r="CU529"/>
  <c r="CT529"/>
  <c r="CS529"/>
  <c r="CR529"/>
  <c r="CQ529"/>
  <c r="CP529"/>
  <c r="DA528"/>
  <c r="CZ528"/>
  <c r="CY528"/>
  <c r="CX528"/>
  <c r="CW528"/>
  <c r="CV528"/>
  <c r="CU528"/>
  <c r="CT528"/>
  <c r="CS528"/>
  <c r="CR528"/>
  <c r="CQ528"/>
  <c r="CP528"/>
  <c r="DA527"/>
  <c r="CZ527"/>
  <c r="CY527"/>
  <c r="CX527"/>
  <c r="CW527"/>
  <c r="CV527"/>
  <c r="CU527"/>
  <c r="CT527"/>
  <c r="CS527"/>
  <c r="CR527"/>
  <c r="CQ527"/>
  <c r="CP527"/>
  <c r="DA526"/>
  <c r="CZ526"/>
  <c r="CY526"/>
  <c r="CX526"/>
  <c r="CW526"/>
  <c r="CV526"/>
  <c r="CU526"/>
  <c r="CT526"/>
  <c r="CS526"/>
  <c r="CR526"/>
  <c r="CQ526"/>
  <c r="CP526"/>
  <c r="DA525"/>
  <c r="CZ525"/>
  <c r="CY525"/>
  <c r="CX525"/>
  <c r="CW525"/>
  <c r="CV525"/>
  <c r="CU525"/>
  <c r="CT525"/>
  <c r="CS525"/>
  <c r="CR525"/>
  <c r="CQ525"/>
  <c r="CP525"/>
  <c r="DA524"/>
  <c r="CZ524"/>
  <c r="CY524"/>
  <c r="CX524"/>
  <c r="CW524"/>
  <c r="CV524"/>
  <c r="CU524"/>
  <c r="CT524"/>
  <c r="CS524"/>
  <c r="CR524"/>
  <c r="CQ524"/>
  <c r="CP524"/>
  <c r="DA523"/>
  <c r="CZ523"/>
  <c r="CY523"/>
  <c r="CX523"/>
  <c r="CW523"/>
  <c r="CV523"/>
  <c r="CU523"/>
  <c r="CT523"/>
  <c r="CS523"/>
  <c r="CR523"/>
  <c r="CQ523"/>
  <c r="CP523"/>
  <c r="DA522"/>
  <c r="CZ522"/>
  <c r="CY522"/>
  <c r="CX522"/>
  <c r="CW522"/>
  <c r="CV522"/>
  <c r="CU522"/>
  <c r="CT522"/>
  <c r="CS522"/>
  <c r="CR522"/>
  <c r="CQ522"/>
  <c r="CP522"/>
  <c r="DA521"/>
  <c r="CZ521"/>
  <c r="CY521"/>
  <c r="CX521"/>
  <c r="CW521"/>
  <c r="CV521"/>
  <c r="CU521"/>
  <c r="CT521"/>
  <c r="CS521"/>
  <c r="CR521"/>
  <c r="CQ521"/>
  <c r="CP521"/>
  <c r="DA520"/>
  <c r="CZ520"/>
  <c r="CY520"/>
  <c r="CX520"/>
  <c r="CW520"/>
  <c r="CV520"/>
  <c r="CU520"/>
  <c r="CT520"/>
  <c r="CS520"/>
  <c r="CR520"/>
  <c r="CQ520"/>
  <c r="CP520"/>
  <c r="DA519"/>
  <c r="CZ519"/>
  <c r="CY519"/>
  <c r="CX519"/>
  <c r="CW519"/>
  <c r="CV519"/>
  <c r="CU519"/>
  <c r="CT519"/>
  <c r="CS519"/>
  <c r="CR519"/>
  <c r="CQ519"/>
  <c r="CP519"/>
  <c r="DA518"/>
  <c r="CZ518"/>
  <c r="CY518"/>
  <c r="CX518"/>
  <c r="CW518"/>
  <c r="CV518"/>
  <c r="CU518"/>
  <c r="CT518"/>
  <c r="CS518"/>
  <c r="CR518"/>
  <c r="CQ518"/>
  <c r="CP518"/>
  <c r="DA517"/>
  <c r="CZ517"/>
  <c r="CY517"/>
  <c r="CX517"/>
  <c r="CW517"/>
  <c r="CV517"/>
  <c r="CU517"/>
  <c r="CT517"/>
  <c r="CS517"/>
  <c r="CR517"/>
  <c r="CQ517"/>
  <c r="CP517"/>
  <c r="DA516"/>
  <c r="CZ516"/>
  <c r="CY516"/>
  <c r="CX516"/>
  <c r="CW516"/>
  <c r="CV516"/>
  <c r="CU516"/>
  <c r="CT516"/>
  <c r="CS516"/>
  <c r="CR516"/>
  <c r="CQ516"/>
  <c r="CP516"/>
  <c r="DA515"/>
  <c r="CZ515"/>
  <c r="CY515"/>
  <c r="CX515"/>
  <c r="CW515"/>
  <c r="CV515"/>
  <c r="CU515"/>
  <c r="CT515"/>
  <c r="CS515"/>
  <c r="CR515"/>
  <c r="CQ515"/>
  <c r="CP515"/>
  <c r="DA514"/>
  <c r="CZ514"/>
  <c r="CY514"/>
  <c r="CX514"/>
  <c r="CW514"/>
  <c r="CV514"/>
  <c r="CU514"/>
  <c r="CT514"/>
  <c r="CS514"/>
  <c r="CR514"/>
  <c r="CQ514"/>
  <c r="CP514"/>
  <c r="DA513"/>
  <c r="CZ513"/>
  <c r="CY513"/>
  <c r="CX513"/>
  <c r="CW513"/>
  <c r="CV513"/>
  <c r="CU513"/>
  <c r="CT513"/>
  <c r="CS513"/>
  <c r="CR513"/>
  <c r="CQ513"/>
  <c r="CP513"/>
  <c r="DA512"/>
  <c r="CZ512"/>
  <c r="CY512"/>
  <c r="CX512"/>
  <c r="CW512"/>
  <c r="CV512"/>
  <c r="CU512"/>
  <c r="CT512"/>
  <c r="CS512"/>
  <c r="CR512"/>
  <c r="CQ512"/>
  <c r="CP512"/>
  <c r="DA511"/>
  <c r="CZ511"/>
  <c r="CY511"/>
  <c r="CX511"/>
  <c r="CW511"/>
  <c r="CV511"/>
  <c r="CU511"/>
  <c r="CT511"/>
  <c r="CS511"/>
  <c r="CR511"/>
  <c r="CQ511"/>
  <c r="CP511"/>
  <c r="DA510"/>
  <c r="CZ510"/>
  <c r="CY510"/>
  <c r="CX510"/>
  <c r="CW510"/>
  <c r="CV510"/>
  <c r="CU510"/>
  <c r="CT510"/>
  <c r="CS510"/>
  <c r="CR510"/>
  <c r="CQ510"/>
  <c r="CP510"/>
  <c r="DA509"/>
  <c r="CZ509"/>
  <c r="CY509"/>
  <c r="CX509"/>
  <c r="CW509"/>
  <c r="CV509"/>
  <c r="CU509"/>
  <c r="CT509"/>
  <c r="CS509"/>
  <c r="CR509"/>
  <c r="CQ509"/>
  <c r="CP509"/>
  <c r="DA508"/>
  <c r="CZ508"/>
  <c r="CY508"/>
  <c r="CX508"/>
  <c r="CW508"/>
  <c r="CV508"/>
  <c r="CU508"/>
  <c r="CT508"/>
  <c r="CS508"/>
  <c r="CR508"/>
  <c r="CQ508"/>
  <c r="CP508"/>
  <c r="DA507"/>
  <c r="CZ507"/>
  <c r="CY507"/>
  <c r="CX507"/>
  <c r="CW507"/>
  <c r="CV507"/>
  <c r="CU507"/>
  <c r="CT507"/>
  <c r="CS507"/>
  <c r="CR507"/>
  <c r="CQ507"/>
  <c r="CP507"/>
  <c r="DA506"/>
  <c r="CZ506"/>
  <c r="CY506"/>
  <c r="CX506"/>
  <c r="CW506"/>
  <c r="CV506"/>
  <c r="CU506"/>
  <c r="CT506"/>
  <c r="CS506"/>
  <c r="CR506"/>
  <c r="CQ506"/>
  <c r="CP506"/>
  <c r="DA505"/>
  <c r="CZ505"/>
  <c r="CY505"/>
  <c r="CX505"/>
  <c r="CW505"/>
  <c r="CV505"/>
  <c r="CU505"/>
  <c r="CT505"/>
  <c r="CS505"/>
  <c r="CR505"/>
  <c r="CQ505"/>
  <c r="CP505"/>
  <c r="DA504"/>
  <c r="CZ504"/>
  <c r="CY504"/>
  <c r="CX504"/>
  <c r="CW504"/>
  <c r="CV504"/>
  <c r="CU504"/>
  <c r="CT504"/>
  <c r="CS504"/>
  <c r="CR504"/>
  <c r="CQ504"/>
  <c r="CP504"/>
  <c r="DA503"/>
  <c r="CZ503"/>
  <c r="CY503"/>
  <c r="CX503"/>
  <c r="CW503"/>
  <c r="CV503"/>
  <c r="CU503"/>
  <c r="CT503"/>
  <c r="CS503"/>
  <c r="CR503"/>
  <c r="CQ503"/>
  <c r="CP503"/>
  <c r="DA502"/>
  <c r="CZ502"/>
  <c r="CY502"/>
  <c r="CX502"/>
  <c r="CW502"/>
  <c r="CV502"/>
  <c r="CU502"/>
  <c r="CT502"/>
  <c r="CS502"/>
  <c r="CR502"/>
  <c r="CQ502"/>
  <c r="CP502"/>
  <c r="DA501"/>
  <c r="CZ501"/>
  <c r="CY501"/>
  <c r="CX501"/>
  <c r="CW501"/>
  <c r="CV501"/>
  <c r="CU501"/>
  <c r="CT501"/>
  <c r="CS501"/>
  <c r="CR501"/>
  <c r="CQ501"/>
  <c r="CP501"/>
  <c r="DA500"/>
  <c r="CZ500"/>
  <c r="CY500"/>
  <c r="CX500"/>
  <c r="CW500"/>
  <c r="CV500"/>
  <c r="CU500"/>
  <c r="CT500"/>
  <c r="CS500"/>
  <c r="CR500"/>
  <c r="CQ500"/>
  <c r="CP500"/>
  <c r="DA499"/>
  <c r="CZ499"/>
  <c r="CY499"/>
  <c r="CX499"/>
  <c r="CW499"/>
  <c r="CV499"/>
  <c r="CU499"/>
  <c r="CT499"/>
  <c r="CS499"/>
  <c r="CR499"/>
  <c r="CQ499"/>
  <c r="CP499"/>
  <c r="DA498"/>
  <c r="CZ498"/>
  <c r="CY498"/>
  <c r="CX498"/>
  <c r="CW498"/>
  <c r="CV498"/>
  <c r="CU498"/>
  <c r="CT498"/>
  <c r="CS498"/>
  <c r="CR498"/>
  <c r="CQ498"/>
  <c r="CP498"/>
  <c r="DA497"/>
  <c r="CZ497"/>
  <c r="CY497"/>
  <c r="CX497"/>
  <c r="CW497"/>
  <c r="CV497"/>
  <c r="CU497"/>
  <c r="CT497"/>
  <c r="CS497"/>
  <c r="CR497"/>
  <c r="CQ497"/>
  <c r="CP497"/>
  <c r="DA496"/>
  <c r="CZ496"/>
  <c r="CY496"/>
  <c r="CX496"/>
  <c r="CW496"/>
  <c r="CV496"/>
  <c r="CU496"/>
  <c r="CT496"/>
  <c r="CS496"/>
  <c r="CR496"/>
  <c r="CQ496"/>
  <c r="CP496"/>
  <c r="DA495"/>
  <c r="CZ495"/>
  <c r="CY495"/>
  <c r="CX495"/>
  <c r="CW495"/>
  <c r="CV495"/>
  <c r="CU495"/>
  <c r="CT495"/>
  <c r="CS495"/>
  <c r="CR495"/>
  <c r="CQ495"/>
  <c r="CP495"/>
  <c r="DA494"/>
  <c r="CZ494"/>
  <c r="CY494"/>
  <c r="CX494"/>
  <c r="CW494"/>
  <c r="CV494"/>
  <c r="CU494"/>
  <c r="CT494"/>
  <c r="CS494"/>
  <c r="CR494"/>
  <c r="CQ494"/>
  <c r="CP494"/>
  <c r="DA493"/>
  <c r="CZ493"/>
  <c r="CY493"/>
  <c r="CX493"/>
  <c r="CW493"/>
  <c r="CV493"/>
  <c r="CU493"/>
  <c r="CT493"/>
  <c r="CS493"/>
  <c r="CR493"/>
  <c r="CQ493"/>
  <c r="CP493"/>
  <c r="DA492"/>
  <c r="CZ492"/>
  <c r="CY492"/>
  <c r="CX492"/>
  <c r="CW492"/>
  <c r="CV492"/>
  <c r="CU492"/>
  <c r="CT492"/>
  <c r="CS492"/>
  <c r="CR492"/>
  <c r="CQ492"/>
  <c r="CP492"/>
  <c r="DA491"/>
  <c r="CZ491"/>
  <c r="CY491"/>
  <c r="CX491"/>
  <c r="CW491"/>
  <c r="CV491"/>
  <c r="CU491"/>
  <c r="CT491"/>
  <c r="CS491"/>
  <c r="CR491"/>
  <c r="CQ491"/>
  <c r="CP491"/>
  <c r="DA490"/>
  <c r="CZ490"/>
  <c r="CY490"/>
  <c r="CX490"/>
  <c r="CW490"/>
  <c r="CV490"/>
  <c r="CU490"/>
  <c r="CT490"/>
  <c r="CS490"/>
  <c r="CR490"/>
  <c r="CQ490"/>
  <c r="CP490"/>
  <c r="DA489"/>
  <c r="CZ489"/>
  <c r="CY489"/>
  <c r="CX489"/>
  <c r="CW489"/>
  <c r="CV489"/>
  <c r="CU489"/>
  <c r="CT489"/>
  <c r="CS489"/>
  <c r="CR489"/>
  <c r="CQ489"/>
  <c r="CP489"/>
  <c r="DA488"/>
  <c r="CZ488"/>
  <c r="CY488"/>
  <c r="CX488"/>
  <c r="CW488"/>
  <c r="CV488"/>
  <c r="CU488"/>
  <c r="CT488"/>
  <c r="CS488"/>
  <c r="CR488"/>
  <c r="CQ488"/>
  <c r="CP488"/>
  <c r="DA487"/>
  <c r="CZ487"/>
  <c r="CY487"/>
  <c r="CX487"/>
  <c r="CW487"/>
  <c r="CV487"/>
  <c r="CU487"/>
  <c r="CT487"/>
  <c r="CS487"/>
  <c r="CR487"/>
  <c r="CQ487"/>
  <c r="CP487"/>
  <c r="DA486"/>
  <c r="CZ486"/>
  <c r="CY486"/>
  <c r="CX486"/>
  <c r="CW486"/>
  <c r="CV486"/>
  <c r="CU486"/>
  <c r="CT486"/>
  <c r="CS486"/>
  <c r="CR486"/>
  <c r="CQ486"/>
  <c r="CP486"/>
  <c r="DA485"/>
  <c r="CZ485"/>
  <c r="CY485"/>
  <c r="CX485"/>
  <c r="CW485"/>
  <c r="CV485"/>
  <c r="CU485"/>
  <c r="CT485"/>
  <c r="CS485"/>
  <c r="CR485"/>
  <c r="CQ485"/>
  <c r="CP485"/>
  <c r="DA484"/>
  <c r="CZ484"/>
  <c r="CY484"/>
  <c r="CX484"/>
  <c r="CW484"/>
  <c r="CV484"/>
  <c r="CU484"/>
  <c r="CT484"/>
  <c r="CS484"/>
  <c r="CR484"/>
  <c r="CQ484"/>
  <c r="CP484"/>
  <c r="DA483"/>
  <c r="CZ483"/>
  <c r="CY483"/>
  <c r="CX483"/>
  <c r="CW483"/>
  <c r="CV483"/>
  <c r="CU483"/>
  <c r="CT483"/>
  <c r="CS483"/>
  <c r="CR483"/>
  <c r="CQ483"/>
  <c r="CP483"/>
  <c r="DA482"/>
  <c r="CZ482"/>
  <c r="CY482"/>
  <c r="CX482"/>
  <c r="CW482"/>
  <c r="CV482"/>
  <c r="CU482"/>
  <c r="CT482"/>
  <c r="CS482"/>
  <c r="CR482"/>
  <c r="CQ482"/>
  <c r="CP482"/>
  <c r="DA481"/>
  <c r="CZ481"/>
  <c r="CY481"/>
  <c r="CX481"/>
  <c r="CW481"/>
  <c r="CV481"/>
  <c r="CU481"/>
  <c r="CT481"/>
  <c r="CS481"/>
  <c r="CR481"/>
  <c r="CQ481"/>
  <c r="CP481"/>
  <c r="DA480"/>
  <c r="CZ480"/>
  <c r="CY480"/>
  <c r="CX480"/>
  <c r="CW480"/>
  <c r="CV480"/>
  <c r="CU480"/>
  <c r="CT480"/>
  <c r="CS480"/>
  <c r="CR480"/>
  <c r="CQ480"/>
  <c r="CP480"/>
  <c r="DA479"/>
  <c r="CZ479"/>
  <c r="CY479"/>
  <c r="CX479"/>
  <c r="CW479"/>
  <c r="CV479"/>
  <c r="CU479"/>
  <c r="CT479"/>
  <c r="CS479"/>
  <c r="CR479"/>
  <c r="CQ479"/>
  <c r="CP479"/>
  <c r="DA478"/>
  <c r="CZ478"/>
  <c r="CY478"/>
  <c r="CX478"/>
  <c r="CW478"/>
  <c r="CV478"/>
  <c r="CU478"/>
  <c r="CT478"/>
  <c r="CS478"/>
  <c r="CR478"/>
  <c r="CQ478"/>
  <c r="CP478"/>
  <c r="DA477"/>
  <c r="CZ477"/>
  <c r="CY477"/>
  <c r="CX477"/>
  <c r="CW477"/>
  <c r="CV477"/>
  <c r="CU477"/>
  <c r="CT477"/>
  <c r="CS477"/>
  <c r="CR477"/>
  <c r="CQ477"/>
  <c r="CP477"/>
  <c r="DA476"/>
  <c r="CZ476"/>
  <c r="CY476"/>
  <c r="CX476"/>
  <c r="CW476"/>
  <c r="CV476"/>
  <c r="CU476"/>
  <c r="CT476"/>
  <c r="CS476"/>
  <c r="CR476"/>
  <c r="CQ476"/>
  <c r="CP476"/>
  <c r="DA475"/>
  <c r="CZ475"/>
  <c r="CY475"/>
  <c r="CX475"/>
  <c r="CW475"/>
  <c r="CV475"/>
  <c r="CU475"/>
  <c r="CT475"/>
  <c r="CS475"/>
  <c r="CR475"/>
  <c r="CQ475"/>
  <c r="CP475"/>
  <c r="DA474"/>
  <c r="CZ474"/>
  <c r="CY474"/>
  <c r="CX474"/>
  <c r="CW474"/>
  <c r="CV474"/>
  <c r="CU474"/>
  <c r="CT474"/>
  <c r="CS474"/>
  <c r="CR474"/>
  <c r="CQ474"/>
  <c r="CP474"/>
  <c r="DA473"/>
  <c r="CZ473"/>
  <c r="CY473"/>
  <c r="CX473"/>
  <c r="CW473"/>
  <c r="CV473"/>
  <c r="CU473"/>
  <c r="CT473"/>
  <c r="CS473"/>
  <c r="CR473"/>
  <c r="CQ473"/>
  <c r="CP473"/>
  <c r="DA472"/>
  <c r="CZ472"/>
  <c r="CY472"/>
  <c r="CX472"/>
  <c r="CW472"/>
  <c r="CV472"/>
  <c r="CU472"/>
  <c r="CT472"/>
  <c r="CS472"/>
  <c r="CR472"/>
  <c r="CQ472"/>
  <c r="CP472"/>
  <c r="DA471"/>
  <c r="CZ471"/>
  <c r="CY471"/>
  <c r="CX471"/>
  <c r="CW471"/>
  <c r="CV471"/>
  <c r="CU471"/>
  <c r="CT471"/>
  <c r="CS471"/>
  <c r="CR471"/>
  <c r="CQ471"/>
  <c r="CP471"/>
  <c r="DA470"/>
  <c r="CZ470"/>
  <c r="CY470"/>
  <c r="CX470"/>
  <c r="CW470"/>
  <c r="CV470"/>
  <c r="CU470"/>
  <c r="CT470"/>
  <c r="CS470"/>
  <c r="CR470"/>
  <c r="CQ470"/>
  <c r="CP470"/>
  <c r="DA469"/>
  <c r="CZ469"/>
  <c r="CY469"/>
  <c r="CX469"/>
  <c r="CW469"/>
  <c r="CV469"/>
  <c r="CU469"/>
  <c r="CT469"/>
  <c r="CS469"/>
  <c r="CR469"/>
  <c r="CQ469"/>
  <c r="CP469"/>
  <c r="DA468"/>
  <c r="CZ468"/>
  <c r="CY468"/>
  <c r="CX468"/>
  <c r="CW468"/>
  <c r="CV468"/>
  <c r="CU468"/>
  <c r="CT468"/>
  <c r="CS468"/>
  <c r="CR468"/>
  <c r="CQ468"/>
  <c r="CP468"/>
  <c r="DA467"/>
  <c r="CZ467"/>
  <c r="CY467"/>
  <c r="CX467"/>
  <c r="CW467"/>
  <c r="CV467"/>
  <c r="CU467"/>
  <c r="CT467"/>
  <c r="CS467"/>
  <c r="CR467"/>
  <c r="CQ467"/>
  <c r="CP467"/>
  <c r="DA466"/>
  <c r="CZ466"/>
  <c r="CY466"/>
  <c r="CX466"/>
  <c r="CW466"/>
  <c r="CV466"/>
  <c r="CU466"/>
  <c r="CT466"/>
  <c r="CS466"/>
  <c r="CR466"/>
  <c r="CQ466"/>
  <c r="CP466"/>
  <c r="DA465"/>
  <c r="CZ465"/>
  <c r="CY465"/>
  <c r="CX465"/>
  <c r="CW465"/>
  <c r="CV465"/>
  <c r="CU465"/>
  <c r="CT465"/>
  <c r="CS465"/>
  <c r="CR465"/>
  <c r="CQ465"/>
  <c r="CP465"/>
  <c r="DA464"/>
  <c r="CZ464"/>
  <c r="CY464"/>
  <c r="CX464"/>
  <c r="CW464"/>
  <c r="CV464"/>
  <c r="CU464"/>
  <c r="CT464"/>
  <c r="CS464"/>
  <c r="CR464"/>
  <c r="CQ464"/>
  <c r="CP464"/>
  <c r="DA463"/>
  <c r="CZ463"/>
  <c r="CY463"/>
  <c r="CX463"/>
  <c r="CW463"/>
  <c r="CV463"/>
  <c r="CU463"/>
  <c r="CT463"/>
  <c r="CS463"/>
  <c r="CR463"/>
  <c r="CQ463"/>
  <c r="CP463"/>
  <c r="DA462"/>
  <c r="CZ462"/>
  <c r="CY462"/>
  <c r="CX462"/>
  <c r="CW462"/>
  <c r="CV462"/>
  <c r="CU462"/>
  <c r="CT462"/>
  <c r="CS462"/>
  <c r="CR462"/>
  <c r="CQ462"/>
  <c r="CP462"/>
  <c r="DA461"/>
  <c r="CZ461"/>
  <c r="CY461"/>
  <c r="CX461"/>
  <c r="CW461"/>
  <c r="CV461"/>
  <c r="CU461"/>
  <c r="CT461"/>
  <c r="CS461"/>
  <c r="CR461"/>
  <c r="CQ461"/>
  <c r="CP461"/>
  <c r="DA460"/>
  <c r="CZ460"/>
  <c r="CY460"/>
  <c r="CX460"/>
  <c r="CW460"/>
  <c r="CV460"/>
  <c r="CU460"/>
  <c r="CT460"/>
  <c r="CS460"/>
  <c r="CR460"/>
  <c r="CQ460"/>
  <c r="CP460"/>
  <c r="DA459"/>
  <c r="CZ459"/>
  <c r="CY459"/>
  <c r="CX459"/>
  <c r="CW459"/>
  <c r="CV459"/>
  <c r="CU459"/>
  <c r="CT459"/>
  <c r="CS459"/>
  <c r="CR459"/>
  <c r="CQ459"/>
  <c r="CP459"/>
  <c r="DA458"/>
  <c r="CZ458"/>
  <c r="CY458"/>
  <c r="CX458"/>
  <c r="CW458"/>
  <c r="CV458"/>
  <c r="CU458"/>
  <c r="CT458"/>
  <c r="CS458"/>
  <c r="CR458"/>
  <c r="CQ458"/>
  <c r="CP458"/>
  <c r="DA457"/>
  <c r="CZ457"/>
  <c r="CY457"/>
  <c r="CX457"/>
  <c r="CW457"/>
  <c r="CV457"/>
  <c r="CU457"/>
  <c r="CT457"/>
  <c r="CS457"/>
  <c r="CR457"/>
  <c r="CQ457"/>
  <c r="CP457"/>
  <c r="DA456"/>
  <c r="CZ456"/>
  <c r="CY456"/>
  <c r="CX456"/>
  <c r="CW456"/>
  <c r="CV456"/>
  <c r="CU456"/>
  <c r="CT456"/>
  <c r="CS456"/>
  <c r="CR456"/>
  <c r="CQ456"/>
  <c r="CP456"/>
  <c r="DA455"/>
  <c r="CZ455"/>
  <c r="CY455"/>
  <c r="CX455"/>
  <c r="CW455"/>
  <c r="CV455"/>
  <c r="CU455"/>
  <c r="CT455"/>
  <c r="CS455"/>
  <c r="CR455"/>
  <c r="CQ455"/>
  <c r="CP455"/>
  <c r="DA454"/>
  <c r="CZ454"/>
  <c r="CY454"/>
  <c r="CX454"/>
  <c r="CW454"/>
  <c r="CV454"/>
  <c r="CU454"/>
  <c r="CT454"/>
  <c r="CS454"/>
  <c r="CR454"/>
  <c r="CQ454"/>
  <c r="CP454"/>
  <c r="DA453"/>
  <c r="CZ453"/>
  <c r="CY453"/>
  <c r="CX453"/>
  <c r="CW453"/>
  <c r="CV453"/>
  <c r="CU453"/>
  <c r="CT453"/>
  <c r="CS453"/>
  <c r="CR453"/>
  <c r="CQ453"/>
  <c r="CP453"/>
  <c r="DA452"/>
  <c r="CZ452"/>
  <c r="CY452"/>
  <c r="CX452"/>
  <c r="CW452"/>
  <c r="CV452"/>
  <c r="CU452"/>
  <c r="CT452"/>
  <c r="CS452"/>
  <c r="CR452"/>
  <c r="CQ452"/>
  <c r="CP452"/>
  <c r="DA451"/>
  <c r="CZ451"/>
  <c r="CY451"/>
  <c r="CX451"/>
  <c r="CW451"/>
  <c r="CV451"/>
  <c r="CU451"/>
  <c r="CT451"/>
  <c r="CS451"/>
  <c r="CR451"/>
  <c r="CQ451"/>
  <c r="CP451"/>
  <c r="DA450"/>
  <c r="CZ450"/>
  <c r="CY450"/>
  <c r="CX450"/>
  <c r="CW450"/>
  <c r="CV450"/>
  <c r="CU450"/>
  <c r="CT450"/>
  <c r="CS450"/>
  <c r="CR450"/>
  <c r="CQ450"/>
  <c r="CP450"/>
  <c r="DA449"/>
  <c r="CZ449"/>
  <c r="CY449"/>
  <c r="CX449"/>
  <c r="CW449"/>
  <c r="CV449"/>
  <c r="CU449"/>
  <c r="CT449"/>
  <c r="CS449"/>
  <c r="CR449"/>
  <c r="CQ449"/>
  <c r="CP449"/>
  <c r="DA448"/>
  <c r="CZ448"/>
  <c r="CY448"/>
  <c r="CX448"/>
  <c r="CW448"/>
  <c r="CV448"/>
  <c r="CU448"/>
  <c r="CT448"/>
  <c r="CS448"/>
  <c r="CR448"/>
  <c r="CQ448"/>
  <c r="CP448"/>
  <c r="DA447"/>
  <c r="CZ447"/>
  <c r="CY447"/>
  <c r="CX447"/>
  <c r="CW447"/>
  <c r="CV447"/>
  <c r="CU447"/>
  <c r="CT447"/>
  <c r="CS447"/>
  <c r="CR447"/>
  <c r="CQ447"/>
  <c r="CP447"/>
  <c r="DA446"/>
  <c r="CZ446"/>
  <c r="CY446"/>
  <c r="CX446"/>
  <c r="CW446"/>
  <c r="CV446"/>
  <c r="CU446"/>
  <c r="CT446"/>
  <c r="CS446"/>
  <c r="CR446"/>
  <c r="CQ446"/>
  <c r="CP446"/>
  <c r="DA445"/>
  <c r="CZ445"/>
  <c r="CY445"/>
  <c r="CX445"/>
  <c r="CW445"/>
  <c r="CV445"/>
  <c r="CU445"/>
  <c r="CT445"/>
  <c r="CS445"/>
  <c r="CR445"/>
  <c r="CQ445"/>
  <c r="CP445"/>
  <c r="DA444"/>
  <c r="CZ444"/>
  <c r="CY444"/>
  <c r="CX444"/>
  <c r="CW444"/>
  <c r="CV444"/>
  <c r="CU444"/>
  <c r="CT444"/>
  <c r="CS444"/>
  <c r="CR444"/>
  <c r="CQ444"/>
  <c r="CP444"/>
  <c r="DA443"/>
  <c r="CZ443"/>
  <c r="CY443"/>
  <c r="CX443"/>
  <c r="CW443"/>
  <c r="CV443"/>
  <c r="CU443"/>
  <c r="CT443"/>
  <c r="CS443"/>
  <c r="CR443"/>
  <c r="CQ443"/>
  <c r="CP443"/>
  <c r="DA442"/>
  <c r="CZ442"/>
  <c r="CY442"/>
  <c r="CX442"/>
  <c r="CW442"/>
  <c r="CV442"/>
  <c r="CU442"/>
  <c r="CT442"/>
  <c r="CS442"/>
  <c r="CR442"/>
  <c r="CQ442"/>
  <c r="CP442"/>
  <c r="DA441"/>
  <c r="CZ441"/>
  <c r="CY441"/>
  <c r="CX441"/>
  <c r="CW441"/>
  <c r="CV441"/>
  <c r="CU441"/>
  <c r="CT441"/>
  <c r="CS441"/>
  <c r="CR441"/>
  <c r="CQ441"/>
  <c r="CP441"/>
  <c r="DA440"/>
  <c r="CZ440"/>
  <c r="CY440"/>
  <c r="CX440"/>
  <c r="CW440"/>
  <c r="CV440"/>
  <c r="CU440"/>
  <c r="CT440"/>
  <c r="CS440"/>
  <c r="CR440"/>
  <c r="CQ440"/>
  <c r="CP440"/>
  <c r="DA439"/>
  <c r="CZ439"/>
  <c r="CY439"/>
  <c r="CX439"/>
  <c r="CW439"/>
  <c r="CV439"/>
  <c r="CU439"/>
  <c r="CT439"/>
  <c r="CS439"/>
  <c r="CR439"/>
  <c r="CQ439"/>
  <c r="CP439"/>
  <c r="DA438"/>
  <c r="CZ438"/>
  <c r="CY438"/>
  <c r="CX438"/>
  <c r="CW438"/>
  <c r="CV438"/>
  <c r="CU438"/>
  <c r="CT438"/>
  <c r="CS438"/>
  <c r="CR438"/>
  <c r="CQ438"/>
  <c r="CP438"/>
  <c r="DA437"/>
  <c r="CZ437"/>
  <c r="CY437"/>
  <c r="CX437"/>
  <c r="CW437"/>
  <c r="CV437"/>
  <c r="CU437"/>
  <c r="CT437"/>
  <c r="CS437"/>
  <c r="CR437"/>
  <c r="CQ437"/>
  <c r="CP437"/>
  <c r="DA436"/>
  <c r="CZ436"/>
  <c r="CY436"/>
  <c r="CX436"/>
  <c r="CW436"/>
  <c r="CV436"/>
  <c r="CU436"/>
  <c r="CT436"/>
  <c r="CS436"/>
  <c r="CR436"/>
  <c r="CQ436"/>
  <c r="CP436"/>
  <c r="DA435"/>
  <c r="CZ435"/>
  <c r="CY435"/>
  <c r="CX435"/>
  <c r="CW435"/>
  <c r="CV435"/>
  <c r="CU435"/>
  <c r="CT435"/>
  <c r="CS435"/>
  <c r="CR435"/>
  <c r="CQ435"/>
  <c r="CP435"/>
  <c r="DA434"/>
  <c r="CZ434"/>
  <c r="CY434"/>
  <c r="CX434"/>
  <c r="CW434"/>
  <c r="CV434"/>
  <c r="CU434"/>
  <c r="CT434"/>
  <c r="CS434"/>
  <c r="CR434"/>
  <c r="CQ434"/>
  <c r="CP434"/>
  <c r="DA433"/>
  <c r="CZ433"/>
  <c r="CY433"/>
  <c r="CX433"/>
  <c r="CW433"/>
  <c r="CV433"/>
  <c r="CU433"/>
  <c r="CT433"/>
  <c r="CS433"/>
  <c r="CR433"/>
  <c r="CQ433"/>
  <c r="CP433"/>
  <c r="DA432"/>
  <c r="CZ432"/>
  <c r="CY432"/>
  <c r="CX432"/>
  <c r="CW432"/>
  <c r="CV432"/>
  <c r="CU432"/>
  <c r="CT432"/>
  <c r="CS432"/>
  <c r="CR432"/>
  <c r="CQ432"/>
  <c r="CP432"/>
  <c r="DA431"/>
  <c r="CZ431"/>
  <c r="CY431"/>
  <c r="CX431"/>
  <c r="CW431"/>
  <c r="CV431"/>
  <c r="CU431"/>
  <c r="CT431"/>
  <c r="CS431"/>
  <c r="CR431"/>
  <c r="CQ431"/>
  <c r="CP431"/>
  <c r="DA430"/>
  <c r="CZ430"/>
  <c r="CY430"/>
  <c r="CX430"/>
  <c r="CW430"/>
  <c r="CV430"/>
  <c r="CU430"/>
  <c r="CT430"/>
  <c r="CS430"/>
  <c r="CR430"/>
  <c r="CQ430"/>
  <c r="CP430"/>
  <c r="DA429"/>
  <c r="CZ429"/>
  <c r="CY429"/>
  <c r="CX429"/>
  <c r="CW429"/>
  <c r="CV429"/>
  <c r="CU429"/>
  <c r="CT429"/>
  <c r="CS429"/>
  <c r="CR429"/>
  <c r="CQ429"/>
  <c r="CP429"/>
  <c r="DA428"/>
  <c r="CZ428"/>
  <c r="CY428"/>
  <c r="CX428"/>
  <c r="CW428"/>
  <c r="CV428"/>
  <c r="CU428"/>
  <c r="CT428"/>
  <c r="CS428"/>
  <c r="CR428"/>
  <c r="CQ428"/>
  <c r="CP428"/>
  <c r="DA427"/>
  <c r="CZ427"/>
  <c r="CY427"/>
  <c r="CX427"/>
  <c r="CW427"/>
  <c r="CV427"/>
  <c r="CU427"/>
  <c r="CT427"/>
  <c r="CS427"/>
  <c r="CR427"/>
  <c r="CQ427"/>
  <c r="CP427"/>
  <c r="DA426"/>
  <c r="CZ426"/>
  <c r="CY426"/>
  <c r="CX426"/>
  <c r="CW426"/>
  <c r="CV426"/>
  <c r="CU426"/>
  <c r="CT426"/>
  <c r="CS426"/>
  <c r="CR426"/>
  <c r="CQ426"/>
  <c r="CP426"/>
  <c r="DA425"/>
  <c r="CZ425"/>
  <c r="CY425"/>
  <c r="CX425"/>
  <c r="CW425"/>
  <c r="CV425"/>
  <c r="CU425"/>
  <c r="CT425"/>
  <c r="CS425"/>
  <c r="CR425"/>
  <c r="CQ425"/>
  <c r="CP425"/>
  <c r="DA424"/>
  <c r="CZ424"/>
  <c r="CY424"/>
  <c r="CX424"/>
  <c r="CW424"/>
  <c r="CV424"/>
  <c r="CU424"/>
  <c r="CT424"/>
  <c r="CS424"/>
  <c r="CR424"/>
  <c r="CQ424"/>
  <c r="CP424"/>
  <c r="DA423"/>
  <c r="CZ423"/>
  <c r="CY423"/>
  <c r="CX423"/>
  <c r="CW423"/>
  <c r="CV423"/>
  <c r="CU423"/>
  <c r="CT423"/>
  <c r="CS423"/>
  <c r="CR423"/>
  <c r="CQ423"/>
  <c r="CP423"/>
  <c r="DA422"/>
  <c r="CZ422"/>
  <c r="CY422"/>
  <c r="CX422"/>
  <c r="CW422"/>
  <c r="CV422"/>
  <c r="CU422"/>
  <c r="CT422"/>
  <c r="CS422"/>
  <c r="CR422"/>
  <c r="CQ422"/>
  <c r="CP422"/>
  <c r="DA421"/>
  <c r="CZ421"/>
  <c r="CY421"/>
  <c r="CX421"/>
  <c r="CW421"/>
  <c r="CV421"/>
  <c r="CU421"/>
  <c r="CT421"/>
  <c r="CS421"/>
  <c r="CR421"/>
  <c r="CQ421"/>
  <c r="CP421"/>
  <c r="DA420"/>
  <c r="CZ420"/>
  <c r="CY420"/>
  <c r="CX420"/>
  <c r="CW420"/>
  <c r="CV420"/>
  <c r="CU420"/>
  <c r="CT420"/>
  <c r="CS420"/>
  <c r="CR420"/>
  <c r="CQ420"/>
  <c r="CP420"/>
  <c r="DA419"/>
  <c r="CZ419"/>
  <c r="CY419"/>
  <c r="CX419"/>
  <c r="CW419"/>
  <c r="CV419"/>
  <c r="CU419"/>
  <c r="CT419"/>
  <c r="CS419"/>
  <c r="CR419"/>
  <c r="CQ419"/>
  <c r="CP419"/>
  <c r="DA418"/>
  <c r="CZ418"/>
  <c r="CY418"/>
  <c r="CX418"/>
  <c r="CW418"/>
  <c r="CV418"/>
  <c r="CU418"/>
  <c r="CT418"/>
  <c r="CS418"/>
  <c r="CR418"/>
  <c r="CQ418"/>
  <c r="CP418"/>
  <c r="DA417"/>
  <c r="CZ417"/>
  <c r="CY417"/>
  <c r="CX417"/>
  <c r="CW417"/>
  <c r="CV417"/>
  <c r="CU417"/>
  <c r="CT417"/>
  <c r="CS417"/>
  <c r="CR417"/>
  <c r="CQ417"/>
  <c r="CP417"/>
  <c r="DA416"/>
  <c r="CZ416"/>
  <c r="CY416"/>
  <c r="CX416"/>
  <c r="CW416"/>
  <c r="CV416"/>
  <c r="CU416"/>
  <c r="CT416"/>
  <c r="CS416"/>
  <c r="CR416"/>
  <c r="CQ416"/>
  <c r="CP416"/>
  <c r="DA415"/>
  <c r="CZ415"/>
  <c r="CY415"/>
  <c r="CX415"/>
  <c r="CW415"/>
  <c r="CV415"/>
  <c r="CU415"/>
  <c r="CT415"/>
  <c r="CS415"/>
  <c r="CR415"/>
  <c r="CQ415"/>
  <c r="CP415"/>
  <c r="DA414"/>
  <c r="CZ414"/>
  <c r="CY414"/>
  <c r="CX414"/>
  <c r="CW414"/>
  <c r="CV414"/>
  <c r="CU414"/>
  <c r="CT414"/>
  <c r="CS414"/>
  <c r="CR414"/>
  <c r="CQ414"/>
  <c r="CP414"/>
  <c r="DA413"/>
  <c r="CZ413"/>
  <c r="CY413"/>
  <c r="CX413"/>
  <c r="CW413"/>
  <c r="CV413"/>
  <c r="CU413"/>
  <c r="CT413"/>
  <c r="CS413"/>
  <c r="CR413"/>
  <c r="CQ413"/>
  <c r="CP413"/>
  <c r="DA412"/>
  <c r="CZ412"/>
  <c r="CY412"/>
  <c r="CX412"/>
  <c r="CW412"/>
  <c r="CV412"/>
  <c r="CU412"/>
  <c r="CT412"/>
  <c r="CS412"/>
  <c r="CR412"/>
  <c r="CQ412"/>
  <c r="CP412"/>
  <c r="DA411"/>
  <c r="CZ411"/>
  <c r="CY411"/>
  <c r="CX411"/>
  <c r="CW411"/>
  <c r="CV411"/>
  <c r="CU411"/>
  <c r="CT411"/>
  <c r="CS411"/>
  <c r="CR411"/>
  <c r="CQ411"/>
  <c r="CP411"/>
  <c r="DA410"/>
  <c r="CZ410"/>
  <c r="CY410"/>
  <c r="CX410"/>
  <c r="CW410"/>
  <c r="CV410"/>
  <c r="CU410"/>
  <c r="CT410"/>
  <c r="CS410"/>
  <c r="CR410"/>
  <c r="CQ410"/>
  <c r="CP410"/>
  <c r="DA409"/>
  <c r="CZ409"/>
  <c r="CY409"/>
  <c r="CX409"/>
  <c r="CW409"/>
  <c r="CV409"/>
  <c r="CU409"/>
  <c r="CT409"/>
  <c r="CS409"/>
  <c r="CR409"/>
  <c r="CQ409"/>
  <c r="CP409"/>
  <c r="DA408"/>
  <c r="CZ408"/>
  <c r="CY408"/>
  <c r="CX408"/>
  <c r="CW408"/>
  <c r="CV408"/>
  <c r="CU408"/>
  <c r="CT408"/>
  <c r="CS408"/>
  <c r="CR408"/>
  <c r="CQ408"/>
  <c r="CP408"/>
  <c r="DA407"/>
  <c r="CZ407"/>
  <c r="CY407"/>
  <c r="CX407"/>
  <c r="CW407"/>
  <c r="CV407"/>
  <c r="CU407"/>
  <c r="CT407"/>
  <c r="CS407"/>
  <c r="CR407"/>
  <c r="CQ407"/>
  <c r="CP407"/>
  <c r="DA406"/>
  <c r="CZ406"/>
  <c r="CY406"/>
  <c r="CX406"/>
  <c r="CW406"/>
  <c r="CV406"/>
  <c r="CU406"/>
  <c r="CT406"/>
  <c r="CS406"/>
  <c r="CR406"/>
  <c r="CQ406"/>
  <c r="CP406"/>
  <c r="DA405"/>
  <c r="CZ405"/>
  <c r="CY405"/>
  <c r="CX405"/>
  <c r="CW405"/>
  <c r="CV405"/>
  <c r="CU405"/>
  <c r="CT405"/>
  <c r="CS405"/>
  <c r="CR405"/>
  <c r="CQ405"/>
  <c r="CP405"/>
  <c r="DA404"/>
  <c r="CZ404"/>
  <c r="CY404"/>
  <c r="CX404"/>
  <c r="CW404"/>
  <c r="CV404"/>
  <c r="CU404"/>
  <c r="CT404"/>
  <c r="CS404"/>
  <c r="CR404"/>
  <c r="CQ404"/>
  <c r="CP404"/>
  <c r="DA403"/>
  <c r="CZ403"/>
  <c r="CY403"/>
  <c r="CX403"/>
  <c r="CW403"/>
  <c r="CV403"/>
  <c r="CU403"/>
  <c r="CT403"/>
  <c r="CS403"/>
  <c r="CR403"/>
  <c r="CQ403"/>
  <c r="CP403"/>
  <c r="DA402"/>
  <c r="CZ402"/>
  <c r="CY402"/>
  <c r="CX402"/>
  <c r="CW402"/>
  <c r="CV402"/>
  <c r="CU402"/>
  <c r="CT402"/>
  <c r="CS402"/>
  <c r="CR402"/>
  <c r="CQ402"/>
  <c r="CP402"/>
  <c r="DA401"/>
  <c r="CZ401"/>
  <c r="CY401"/>
  <c r="CX401"/>
  <c r="CW401"/>
  <c r="CV401"/>
  <c r="CU401"/>
  <c r="CT401"/>
  <c r="CS401"/>
  <c r="CR401"/>
  <c r="CQ401"/>
  <c r="CP401"/>
  <c r="DA400"/>
  <c r="CZ400"/>
  <c r="CY400"/>
  <c r="CX400"/>
  <c r="CW400"/>
  <c r="CV400"/>
  <c r="CU400"/>
  <c r="CT400"/>
  <c r="CS400"/>
  <c r="CR400"/>
  <c r="CQ400"/>
  <c r="CP400"/>
  <c r="DA399"/>
  <c r="CZ399"/>
  <c r="CY399"/>
  <c r="CX399"/>
  <c r="CW399"/>
  <c r="CV399"/>
  <c r="CU399"/>
  <c r="CT399"/>
  <c r="CS399"/>
  <c r="CR399"/>
  <c r="CQ399"/>
  <c r="CP399"/>
  <c r="DA398"/>
  <c r="CZ398"/>
  <c r="CY398"/>
  <c r="CX398"/>
  <c r="CW398"/>
  <c r="CV398"/>
  <c r="CU398"/>
  <c r="CT398"/>
  <c r="CS398"/>
  <c r="CR398"/>
  <c r="CQ398"/>
  <c r="CP398"/>
  <c r="DA397"/>
  <c r="CZ397"/>
  <c r="CY397"/>
  <c r="CX397"/>
  <c r="CW397"/>
  <c r="CV397"/>
  <c r="CU397"/>
  <c r="CT397"/>
  <c r="CS397"/>
  <c r="CR397"/>
  <c r="CQ397"/>
  <c r="CP397"/>
  <c r="DA396"/>
  <c r="CZ396"/>
  <c r="CY396"/>
  <c r="CX396"/>
  <c r="CW396"/>
  <c r="CV396"/>
  <c r="CU396"/>
  <c r="CT396"/>
  <c r="CS396"/>
  <c r="CR396"/>
  <c r="CQ396"/>
  <c r="CP396"/>
  <c r="DA395"/>
  <c r="CZ395"/>
  <c r="CY395"/>
  <c r="CX395"/>
  <c r="CW395"/>
  <c r="CV395"/>
  <c r="CU395"/>
  <c r="CT395"/>
  <c r="CS395"/>
  <c r="CR395"/>
  <c r="CQ395"/>
  <c r="CP395"/>
  <c r="DA394"/>
  <c r="CZ394"/>
  <c r="CY394"/>
  <c r="CX394"/>
  <c r="CW394"/>
  <c r="CV394"/>
  <c r="CU394"/>
  <c r="CT394"/>
  <c r="CS394"/>
  <c r="CR394"/>
  <c r="CQ394"/>
  <c r="CP394"/>
  <c r="DA393"/>
  <c r="CZ393"/>
  <c r="CY393"/>
  <c r="CX393"/>
  <c r="CW393"/>
  <c r="CV393"/>
  <c r="CU393"/>
  <c r="CT393"/>
  <c r="CS393"/>
  <c r="CR393"/>
  <c r="CQ393"/>
  <c r="CP393"/>
  <c r="DA392"/>
  <c r="CZ392"/>
  <c r="CY392"/>
  <c r="CX392"/>
  <c r="CW392"/>
  <c r="CV392"/>
  <c r="CU392"/>
  <c r="CT392"/>
  <c r="CS392"/>
  <c r="CR392"/>
  <c r="CQ392"/>
  <c r="CP392"/>
  <c r="DA391"/>
  <c r="CZ391"/>
  <c r="CY391"/>
  <c r="CX391"/>
  <c r="CW391"/>
  <c r="CV391"/>
  <c r="CU391"/>
  <c r="CT391"/>
  <c r="CS391"/>
  <c r="CR391"/>
  <c r="CQ391"/>
  <c r="CP391"/>
  <c r="DA390"/>
  <c r="CZ390"/>
  <c r="CY390"/>
  <c r="CX390"/>
  <c r="CW390"/>
  <c r="CV390"/>
  <c r="CU390"/>
  <c r="CT390"/>
  <c r="CS390"/>
  <c r="CR390"/>
  <c r="CQ390"/>
  <c r="CP390"/>
  <c r="DA389"/>
  <c r="CZ389"/>
  <c r="CY389"/>
  <c r="CX389"/>
  <c r="CW389"/>
  <c r="CV389"/>
  <c r="CU389"/>
  <c r="CT389"/>
  <c r="CS389"/>
  <c r="CR389"/>
  <c r="CQ389"/>
  <c r="CP389"/>
  <c r="DA388"/>
  <c r="CZ388"/>
  <c r="CY388"/>
  <c r="CX388"/>
  <c r="CW388"/>
  <c r="CV388"/>
  <c r="CU388"/>
  <c r="CT388"/>
  <c r="CS388"/>
  <c r="CR388"/>
  <c r="CQ388"/>
  <c r="CP388"/>
  <c r="DA387"/>
  <c r="CZ387"/>
  <c r="CY387"/>
  <c r="CX387"/>
  <c r="CW387"/>
  <c r="CV387"/>
  <c r="CU387"/>
  <c r="CT387"/>
  <c r="CS387"/>
  <c r="CR387"/>
  <c r="CQ387"/>
  <c r="CP387"/>
  <c r="DA386"/>
  <c r="CZ386"/>
  <c r="CY386"/>
  <c r="CX386"/>
  <c r="CW386"/>
  <c r="CV386"/>
  <c r="CU386"/>
  <c r="CT386"/>
  <c r="CS386"/>
  <c r="CR386"/>
  <c r="CQ386"/>
  <c r="CP386"/>
  <c r="DA385"/>
  <c r="CZ385"/>
  <c r="CY385"/>
  <c r="CX385"/>
  <c r="CW385"/>
  <c r="CV385"/>
  <c r="CU385"/>
  <c r="CT385"/>
  <c r="CS385"/>
  <c r="CR385"/>
  <c r="CQ385"/>
  <c r="CP385"/>
  <c r="DA384"/>
  <c r="CZ384"/>
  <c r="CY384"/>
  <c r="CX384"/>
  <c r="CW384"/>
  <c r="CV384"/>
  <c r="CU384"/>
  <c r="CT384"/>
  <c r="CS384"/>
  <c r="CR384"/>
  <c r="CQ384"/>
  <c r="CP384"/>
  <c r="DA383"/>
  <c r="CZ383"/>
  <c r="CY383"/>
  <c r="CX383"/>
  <c r="CW383"/>
  <c r="CV383"/>
  <c r="CU383"/>
  <c r="CT383"/>
  <c r="CS383"/>
  <c r="CR383"/>
  <c r="CQ383"/>
  <c r="CP383"/>
  <c r="DA382"/>
  <c r="CZ382"/>
  <c r="CY382"/>
  <c r="CX382"/>
  <c r="CW382"/>
  <c r="CV382"/>
  <c r="CU382"/>
  <c r="CT382"/>
  <c r="CS382"/>
  <c r="CR382"/>
  <c r="CQ382"/>
  <c r="CP382"/>
  <c r="DA381"/>
  <c r="CZ381"/>
  <c r="CY381"/>
  <c r="CX381"/>
  <c r="CW381"/>
  <c r="CV381"/>
  <c r="CU381"/>
  <c r="CT381"/>
  <c r="CS381"/>
  <c r="CR381"/>
  <c r="CQ381"/>
  <c r="CP381"/>
  <c r="DA380"/>
  <c r="CZ380"/>
  <c r="CY380"/>
  <c r="CX380"/>
  <c r="CW380"/>
  <c r="CV380"/>
  <c r="CU380"/>
  <c r="CT380"/>
  <c r="CS380"/>
  <c r="CR380"/>
  <c r="CQ380"/>
  <c r="CP380"/>
  <c r="DA379"/>
  <c r="CZ379"/>
  <c r="CY379"/>
  <c r="CX379"/>
  <c r="CW379"/>
  <c r="CV379"/>
  <c r="CU379"/>
  <c r="CT379"/>
  <c r="CS379"/>
  <c r="CR379"/>
  <c r="CQ379"/>
  <c r="CP379"/>
  <c r="DA378"/>
  <c r="CZ378"/>
  <c r="CY378"/>
  <c r="CX378"/>
  <c r="CW378"/>
  <c r="CV378"/>
  <c r="CU378"/>
  <c r="CT378"/>
  <c r="CS378"/>
  <c r="CR378"/>
  <c r="CQ378"/>
  <c r="CP378"/>
  <c r="DA377"/>
  <c r="CZ377"/>
  <c r="CY377"/>
  <c r="CX377"/>
  <c r="CW377"/>
  <c r="CV377"/>
  <c r="CU377"/>
  <c r="CT377"/>
  <c r="CS377"/>
  <c r="CR377"/>
  <c r="CQ377"/>
  <c r="CP377"/>
  <c r="DA376"/>
  <c r="CZ376"/>
  <c r="CY376"/>
  <c r="CX376"/>
  <c r="CW376"/>
  <c r="CV376"/>
  <c r="CU376"/>
  <c r="CT376"/>
  <c r="CS376"/>
  <c r="CR376"/>
  <c r="CQ376"/>
  <c r="CP376"/>
  <c r="DA375"/>
  <c r="CZ375"/>
  <c r="CY375"/>
  <c r="CX375"/>
  <c r="CW375"/>
  <c r="CV375"/>
  <c r="CU375"/>
  <c r="CT375"/>
  <c r="CS375"/>
  <c r="CR375"/>
  <c r="CQ375"/>
  <c r="CP375"/>
  <c r="DA374"/>
  <c r="CZ374"/>
  <c r="CY374"/>
  <c r="CX374"/>
  <c r="CW374"/>
  <c r="CV374"/>
  <c r="CU374"/>
  <c r="CT374"/>
  <c r="CS374"/>
  <c r="CR374"/>
  <c r="CQ374"/>
  <c r="CP374"/>
  <c r="DA373"/>
  <c r="CZ373"/>
  <c r="CY373"/>
  <c r="CX373"/>
  <c r="CW373"/>
  <c r="CV373"/>
  <c r="CU373"/>
  <c r="CT373"/>
  <c r="CS373"/>
  <c r="CR373"/>
  <c r="CQ373"/>
  <c r="CP373"/>
  <c r="DA372"/>
  <c r="CZ372"/>
  <c r="CY372"/>
  <c r="CX372"/>
  <c r="CW372"/>
  <c r="CV372"/>
  <c r="CU372"/>
  <c r="CT372"/>
  <c r="CS372"/>
  <c r="CR372"/>
  <c r="CQ372"/>
  <c r="CP372"/>
  <c r="DA371"/>
  <c r="CZ371"/>
  <c r="CY371"/>
  <c r="CX371"/>
  <c r="CW371"/>
  <c r="CV371"/>
  <c r="CU371"/>
  <c r="CT371"/>
  <c r="CS371"/>
  <c r="CR371"/>
  <c r="CQ371"/>
  <c r="CP371"/>
  <c r="DA370"/>
  <c r="CZ370"/>
  <c r="CY370"/>
  <c r="CX370"/>
  <c r="CW370"/>
  <c r="CV370"/>
  <c r="CU370"/>
  <c r="CT370"/>
  <c r="CS370"/>
  <c r="CR370"/>
  <c r="CQ370"/>
  <c r="CP370"/>
  <c r="DA369"/>
  <c r="CZ369"/>
  <c r="CY369"/>
  <c r="CX369"/>
  <c r="CW369"/>
  <c r="CV369"/>
  <c r="CU369"/>
  <c r="CT369"/>
  <c r="CS369"/>
  <c r="CR369"/>
  <c r="CQ369"/>
  <c r="CP369"/>
  <c r="DA368"/>
  <c r="CZ368"/>
  <c r="CY368"/>
  <c r="CX368"/>
  <c r="CW368"/>
  <c r="CV368"/>
  <c r="CU368"/>
  <c r="CT368"/>
  <c r="CS368"/>
  <c r="CR368"/>
  <c r="CQ368"/>
  <c r="CP368"/>
  <c r="DA367"/>
  <c r="CZ367"/>
  <c r="CY367"/>
  <c r="CX367"/>
  <c r="CW367"/>
  <c r="CV367"/>
  <c r="CU367"/>
  <c r="CT367"/>
  <c r="CS367"/>
  <c r="CR367"/>
  <c r="CQ367"/>
  <c r="CP367"/>
  <c r="DA366"/>
  <c r="CZ366"/>
  <c r="CY366"/>
  <c r="CX366"/>
  <c r="CW366"/>
  <c r="CV366"/>
  <c r="CU366"/>
  <c r="CT366"/>
  <c r="CS366"/>
  <c r="CR366"/>
  <c r="CQ366"/>
  <c r="CP366"/>
  <c r="DA365"/>
  <c r="CZ365"/>
  <c r="CY365"/>
  <c r="CX365"/>
  <c r="CW365"/>
  <c r="CV365"/>
  <c r="CU365"/>
  <c r="CT365"/>
  <c r="CS365"/>
  <c r="CR365"/>
  <c r="CQ365"/>
  <c r="CP365"/>
  <c r="DA364"/>
  <c r="CZ364"/>
  <c r="CY364"/>
  <c r="CX364"/>
  <c r="CW364"/>
  <c r="CV364"/>
  <c r="CU364"/>
  <c r="CT364"/>
  <c r="CS364"/>
  <c r="CR364"/>
  <c r="CQ364"/>
  <c r="CP364"/>
  <c r="DA363"/>
  <c r="CZ363"/>
  <c r="CY363"/>
  <c r="CX363"/>
  <c r="CW363"/>
  <c r="CV363"/>
  <c r="CU363"/>
  <c r="CT363"/>
  <c r="CS363"/>
  <c r="CR363"/>
  <c r="CQ363"/>
  <c r="CP363"/>
  <c r="DA362"/>
  <c r="CZ362"/>
  <c r="CY362"/>
  <c r="CX362"/>
  <c r="CW362"/>
  <c r="CV362"/>
  <c r="CU362"/>
  <c r="CT362"/>
  <c r="CS362"/>
  <c r="CR362"/>
  <c r="CQ362"/>
  <c r="CP362"/>
  <c r="DA361"/>
  <c r="CZ361"/>
  <c r="CY361"/>
  <c r="CX361"/>
  <c r="CW361"/>
  <c r="CV361"/>
  <c r="CU361"/>
  <c r="CT361"/>
  <c r="CS361"/>
  <c r="CR361"/>
  <c r="CQ361"/>
  <c r="CP361"/>
  <c r="DA360"/>
  <c r="CZ360"/>
  <c r="CY360"/>
  <c r="CX360"/>
  <c r="CW360"/>
  <c r="CV360"/>
  <c r="CU360"/>
  <c r="CT360"/>
  <c r="CS360"/>
  <c r="CR360"/>
  <c r="CQ360"/>
  <c r="CP360"/>
  <c r="DA359"/>
  <c r="CZ359"/>
  <c r="CY359"/>
  <c r="CX359"/>
  <c r="CW359"/>
  <c r="CV359"/>
  <c r="CU359"/>
  <c r="CT359"/>
  <c r="CS359"/>
  <c r="CR359"/>
  <c r="CQ359"/>
  <c r="CP359"/>
  <c r="DA358"/>
  <c r="CZ358"/>
  <c r="CY358"/>
  <c r="CX358"/>
  <c r="CW358"/>
  <c r="CV358"/>
  <c r="CU358"/>
  <c r="CT358"/>
  <c r="CS358"/>
  <c r="CR358"/>
  <c r="CQ358"/>
  <c r="CP358"/>
  <c r="DA357"/>
  <c r="CZ357"/>
  <c r="CY357"/>
  <c r="CX357"/>
  <c r="CW357"/>
  <c r="CV357"/>
  <c r="CU357"/>
  <c r="CT357"/>
  <c r="CS357"/>
  <c r="CR357"/>
  <c r="CQ357"/>
  <c r="CP357"/>
  <c r="DA356"/>
  <c r="CZ356"/>
  <c r="CY356"/>
  <c r="CX356"/>
  <c r="CW356"/>
  <c r="CV356"/>
  <c r="CU356"/>
  <c r="CT356"/>
  <c r="CS356"/>
  <c r="CR356"/>
  <c r="CQ356"/>
  <c r="CP356"/>
  <c r="DA355"/>
  <c r="CZ355"/>
  <c r="CY355"/>
  <c r="CX355"/>
  <c r="CW355"/>
  <c r="CV355"/>
  <c r="CU355"/>
  <c r="CT355"/>
  <c r="CS355"/>
  <c r="CR355"/>
  <c r="CQ355"/>
  <c r="CP355"/>
  <c r="DA354"/>
  <c r="CZ354"/>
  <c r="CY354"/>
  <c r="CX354"/>
  <c r="CW354"/>
  <c r="CV354"/>
  <c r="CU354"/>
  <c r="CT354"/>
  <c r="CS354"/>
  <c r="CR354"/>
  <c r="CQ354"/>
  <c r="CP354"/>
  <c r="DA353"/>
  <c r="CZ353"/>
  <c r="CY353"/>
  <c r="CX353"/>
  <c r="CW353"/>
  <c r="CV353"/>
  <c r="CU353"/>
  <c r="CT353"/>
  <c r="CS353"/>
  <c r="CR353"/>
  <c r="CQ353"/>
  <c r="CP353"/>
  <c r="DA352"/>
  <c r="CZ352"/>
  <c r="CY352"/>
  <c r="CX352"/>
  <c r="CW352"/>
  <c r="CV352"/>
  <c r="CU352"/>
  <c r="CT352"/>
  <c r="CS352"/>
  <c r="CR352"/>
  <c r="CQ352"/>
  <c r="CP352"/>
  <c r="DA351"/>
  <c r="CZ351"/>
  <c r="CY351"/>
  <c r="CX351"/>
  <c r="CW351"/>
  <c r="CV351"/>
  <c r="CU351"/>
  <c r="CT351"/>
  <c r="CS351"/>
  <c r="CR351"/>
  <c r="CQ351"/>
  <c r="CP351"/>
  <c r="DA350"/>
  <c r="CZ350"/>
  <c r="CY350"/>
  <c r="CX350"/>
  <c r="CW350"/>
  <c r="CV350"/>
  <c r="CU350"/>
  <c r="CT350"/>
  <c r="CS350"/>
  <c r="CR350"/>
  <c r="CQ350"/>
  <c r="CP350"/>
  <c r="DA349"/>
  <c r="CZ349"/>
  <c r="CY349"/>
  <c r="CX349"/>
  <c r="CW349"/>
  <c r="CV349"/>
  <c r="CU349"/>
  <c r="CT349"/>
  <c r="CS349"/>
  <c r="CR349"/>
  <c r="CQ349"/>
  <c r="CP349"/>
  <c r="DA348"/>
  <c r="CZ348"/>
  <c r="CY348"/>
  <c r="CX348"/>
  <c r="CW348"/>
  <c r="CV348"/>
  <c r="CU348"/>
  <c r="CT348"/>
  <c r="CS348"/>
  <c r="CR348"/>
  <c r="CQ348"/>
  <c r="CP348"/>
  <c r="DA347"/>
  <c r="CZ347"/>
  <c r="CY347"/>
  <c r="CX347"/>
  <c r="CW347"/>
  <c r="CV347"/>
  <c r="CU347"/>
  <c r="CT347"/>
  <c r="CS347"/>
  <c r="CR347"/>
  <c r="CQ347"/>
  <c r="CP347"/>
  <c r="DA346"/>
  <c r="CZ346"/>
  <c r="CY346"/>
  <c r="CX346"/>
  <c r="CW346"/>
  <c r="CV346"/>
  <c r="CU346"/>
  <c r="CT346"/>
  <c r="CS346"/>
  <c r="CR346"/>
  <c r="CQ346"/>
  <c r="CP346"/>
  <c r="DA345"/>
  <c r="CZ345"/>
  <c r="CY345"/>
  <c r="CX345"/>
  <c r="CW345"/>
  <c r="CV345"/>
  <c r="CU345"/>
  <c r="CT345"/>
  <c r="CS345"/>
  <c r="CR345"/>
  <c r="CQ345"/>
  <c r="CP345"/>
  <c r="DA344"/>
  <c r="CZ344"/>
  <c r="CY344"/>
  <c r="CX344"/>
  <c r="CW344"/>
  <c r="CV344"/>
  <c r="CU344"/>
  <c r="CT344"/>
  <c r="CS344"/>
  <c r="CR344"/>
  <c r="CQ344"/>
  <c r="CP344"/>
  <c r="DA343"/>
  <c r="CZ343"/>
  <c r="CY343"/>
  <c r="CX343"/>
  <c r="CW343"/>
  <c r="CV343"/>
  <c r="CU343"/>
  <c r="CT343"/>
  <c r="CS343"/>
  <c r="CR343"/>
  <c r="CQ343"/>
  <c r="CP343"/>
  <c r="DA342"/>
  <c r="CZ342"/>
  <c r="CY342"/>
  <c r="CX342"/>
  <c r="CW342"/>
  <c r="CV342"/>
  <c r="CU342"/>
  <c r="CT342"/>
  <c r="CS342"/>
  <c r="CR342"/>
  <c r="CQ342"/>
  <c r="CP342"/>
  <c r="DA341"/>
  <c r="CZ341"/>
  <c r="CY341"/>
  <c r="CX341"/>
  <c r="CW341"/>
  <c r="CV341"/>
  <c r="CU341"/>
  <c r="CT341"/>
  <c r="CS341"/>
  <c r="CR341"/>
  <c r="CQ341"/>
  <c r="CP341"/>
  <c r="DA340"/>
  <c r="CZ340"/>
  <c r="CY340"/>
  <c r="CX340"/>
  <c r="CW340"/>
  <c r="CV340"/>
  <c r="CU340"/>
  <c r="CT340"/>
  <c r="CS340"/>
  <c r="CR340"/>
  <c r="CQ340"/>
  <c r="CP340"/>
  <c r="DA339"/>
  <c r="CZ339"/>
  <c r="CY339"/>
  <c r="CX339"/>
  <c r="CW339"/>
  <c r="CV339"/>
  <c r="CU339"/>
  <c r="CT339"/>
  <c r="CS339"/>
  <c r="CR339"/>
  <c r="CQ339"/>
  <c r="CP339"/>
  <c r="DA338"/>
  <c r="CZ338"/>
  <c r="CY338"/>
  <c r="CX338"/>
  <c r="CW338"/>
  <c r="CV338"/>
  <c r="CU338"/>
  <c r="CT338"/>
  <c r="CS338"/>
  <c r="CR338"/>
  <c r="CQ338"/>
  <c r="CP338"/>
  <c r="DA337"/>
  <c r="CZ337"/>
  <c r="CY337"/>
  <c r="CX337"/>
  <c r="CW337"/>
  <c r="CV337"/>
  <c r="CU337"/>
  <c r="CT337"/>
  <c r="CS337"/>
  <c r="CR337"/>
  <c r="CQ337"/>
  <c r="CP337"/>
  <c r="DA336"/>
  <c r="CZ336"/>
  <c r="CY336"/>
  <c r="CX336"/>
  <c r="CW336"/>
  <c r="CV336"/>
  <c r="CU336"/>
  <c r="CT336"/>
  <c r="CS336"/>
  <c r="CR336"/>
  <c r="CQ336"/>
  <c r="CP336"/>
  <c r="DA335"/>
  <c r="CZ335"/>
  <c r="CY335"/>
  <c r="CX335"/>
  <c r="CW335"/>
  <c r="CV335"/>
  <c r="CU335"/>
  <c r="CT335"/>
  <c r="CS335"/>
  <c r="CR335"/>
  <c r="CQ335"/>
  <c r="CP335"/>
  <c r="DA334"/>
  <c r="CZ334"/>
  <c r="CY334"/>
  <c r="CX334"/>
  <c r="CW334"/>
  <c r="CV334"/>
  <c r="CU334"/>
  <c r="CT334"/>
  <c r="CS334"/>
  <c r="CR334"/>
  <c r="CQ334"/>
  <c r="CP334"/>
  <c r="DA333"/>
  <c r="CZ333"/>
  <c r="CY333"/>
  <c r="CX333"/>
  <c r="CW333"/>
  <c r="CV333"/>
  <c r="CU333"/>
  <c r="CT333"/>
  <c r="CS333"/>
  <c r="CR333"/>
  <c r="CQ333"/>
  <c r="CP333"/>
  <c r="DA332"/>
  <c r="CZ332"/>
  <c r="CY332"/>
  <c r="CX332"/>
  <c r="CW332"/>
  <c r="CV332"/>
  <c r="CU332"/>
  <c r="CT332"/>
  <c r="CS332"/>
  <c r="CR332"/>
  <c r="CQ332"/>
  <c r="CP332"/>
  <c r="DA331"/>
  <c r="CZ331"/>
  <c r="CY331"/>
  <c r="CX331"/>
  <c r="CW331"/>
  <c r="CV331"/>
  <c r="CU331"/>
  <c r="CT331"/>
  <c r="CS331"/>
  <c r="CR331"/>
  <c r="CQ331"/>
  <c r="CP331"/>
  <c r="DA330"/>
  <c r="CZ330"/>
  <c r="CY330"/>
  <c r="CX330"/>
  <c r="CW330"/>
  <c r="CV330"/>
  <c r="CU330"/>
  <c r="CT330"/>
  <c r="CS330"/>
  <c r="CR330"/>
  <c r="CQ330"/>
  <c r="CP330"/>
  <c r="DA329"/>
  <c r="CZ329"/>
  <c r="CY329"/>
  <c r="CX329"/>
  <c r="CW329"/>
  <c r="CV329"/>
  <c r="CU329"/>
  <c r="CT329"/>
  <c r="CS329"/>
  <c r="CR329"/>
  <c r="CQ329"/>
  <c r="CP329"/>
  <c r="DA328"/>
  <c r="CZ328"/>
  <c r="CY328"/>
  <c r="CX328"/>
  <c r="CW328"/>
  <c r="CV328"/>
  <c r="CU328"/>
  <c r="CT328"/>
  <c r="CS328"/>
  <c r="CR328"/>
  <c r="CQ328"/>
  <c r="CP328"/>
  <c r="DA327"/>
  <c r="CZ327"/>
  <c r="CY327"/>
  <c r="CX327"/>
  <c r="CW327"/>
  <c r="CV327"/>
  <c r="CU327"/>
  <c r="CT327"/>
  <c r="CS327"/>
  <c r="CR327"/>
  <c r="CQ327"/>
  <c r="CP327"/>
  <c r="DA326"/>
  <c r="CZ326"/>
  <c r="CY326"/>
  <c r="CX326"/>
  <c r="CW326"/>
  <c r="CV326"/>
  <c r="CU326"/>
  <c r="CT326"/>
  <c r="CS326"/>
  <c r="CR326"/>
  <c r="CQ326"/>
  <c r="CP326"/>
  <c r="DA325"/>
  <c r="CZ325"/>
  <c r="CY325"/>
  <c r="CX325"/>
  <c r="CW325"/>
  <c r="CV325"/>
  <c r="CU325"/>
  <c r="CT325"/>
  <c r="CS325"/>
  <c r="CR325"/>
  <c r="CQ325"/>
  <c r="CP325"/>
  <c r="DA324"/>
  <c r="CZ324"/>
  <c r="CY324"/>
  <c r="CX324"/>
  <c r="CW324"/>
  <c r="CV324"/>
  <c r="CU324"/>
  <c r="CT324"/>
  <c r="CS324"/>
  <c r="CR324"/>
  <c r="CQ324"/>
  <c r="CP324"/>
  <c r="DA323"/>
  <c r="CZ323"/>
  <c r="CY323"/>
  <c r="CX323"/>
  <c r="CW323"/>
  <c r="CV323"/>
  <c r="CU323"/>
  <c r="CT323"/>
  <c r="CS323"/>
  <c r="CR323"/>
  <c r="CQ323"/>
  <c r="CP323"/>
  <c r="DA322"/>
  <c r="CZ322"/>
  <c r="CY322"/>
  <c r="CX322"/>
  <c r="CW322"/>
  <c r="CV322"/>
  <c r="CU322"/>
  <c r="CT322"/>
  <c r="CS322"/>
  <c r="CR322"/>
  <c r="CQ322"/>
  <c r="CP322"/>
  <c r="DA321"/>
  <c r="CZ321"/>
  <c r="CY321"/>
  <c r="CX321"/>
  <c r="CW321"/>
  <c r="CV321"/>
  <c r="CU321"/>
  <c r="CT321"/>
  <c r="CS321"/>
  <c r="CR321"/>
  <c r="CQ321"/>
  <c r="CP321"/>
  <c r="DA320"/>
  <c r="CZ320"/>
  <c r="CY320"/>
  <c r="CX320"/>
  <c r="CW320"/>
  <c r="CV320"/>
  <c r="CU320"/>
  <c r="CT320"/>
  <c r="CS320"/>
  <c r="CR320"/>
  <c r="CQ320"/>
  <c r="CP320"/>
  <c r="DA319"/>
  <c r="CZ319"/>
  <c r="CY319"/>
  <c r="CX319"/>
  <c r="CW319"/>
  <c r="CV319"/>
  <c r="CU319"/>
  <c r="CT319"/>
  <c r="CS319"/>
  <c r="CR319"/>
  <c r="CQ319"/>
  <c r="CP319"/>
  <c r="DA318"/>
  <c r="CZ318"/>
  <c r="CY318"/>
  <c r="CX318"/>
  <c r="CW318"/>
  <c r="CV318"/>
  <c r="CU318"/>
  <c r="CT318"/>
  <c r="CS318"/>
  <c r="CR318"/>
  <c r="CQ318"/>
  <c r="CP318"/>
  <c r="DA317"/>
  <c r="CZ317"/>
  <c r="CY317"/>
  <c r="CX317"/>
  <c r="CW317"/>
  <c r="CV317"/>
  <c r="CU317"/>
  <c r="CT317"/>
  <c r="CS317"/>
  <c r="CR317"/>
  <c r="CQ317"/>
  <c r="CP317"/>
  <c r="DA316"/>
  <c r="CZ316"/>
  <c r="CY316"/>
  <c r="CX316"/>
  <c r="CW316"/>
  <c r="CV316"/>
  <c r="CU316"/>
  <c r="CT316"/>
  <c r="CS316"/>
  <c r="CR316"/>
  <c r="CQ316"/>
  <c r="CP316"/>
  <c r="DA315"/>
  <c r="CZ315"/>
  <c r="CY315"/>
  <c r="CX315"/>
  <c r="CW315"/>
  <c r="CV315"/>
  <c r="CU315"/>
  <c r="CT315"/>
  <c r="CS315"/>
  <c r="CR315"/>
  <c r="CQ315"/>
  <c r="CP315"/>
  <c r="DA314"/>
  <c r="CZ314"/>
  <c r="CY314"/>
  <c r="CX314"/>
  <c r="CW314"/>
  <c r="CV314"/>
  <c r="CU314"/>
  <c r="CT314"/>
  <c r="CS314"/>
  <c r="CR314"/>
  <c r="CQ314"/>
  <c r="CP314"/>
  <c r="DA313"/>
  <c r="CZ313"/>
  <c r="CY313"/>
  <c r="CX313"/>
  <c r="CW313"/>
  <c r="CV313"/>
  <c r="CU313"/>
  <c r="CT313"/>
  <c r="CS313"/>
  <c r="CR313"/>
  <c r="CQ313"/>
  <c r="CP313"/>
  <c r="DA312"/>
  <c r="CZ312"/>
  <c r="CY312"/>
  <c r="CX312"/>
  <c r="CW312"/>
  <c r="CV312"/>
  <c r="CU312"/>
  <c r="CT312"/>
  <c r="CS312"/>
  <c r="CR312"/>
  <c r="CQ312"/>
  <c r="CP312"/>
  <c r="DA311"/>
  <c r="CZ311"/>
  <c r="CY311"/>
  <c r="CX311"/>
  <c r="CW311"/>
  <c r="CV311"/>
  <c r="CU311"/>
  <c r="CT311"/>
  <c r="CS311"/>
  <c r="CR311"/>
  <c r="CQ311"/>
  <c r="CP311"/>
  <c r="DA310"/>
  <c r="CZ310"/>
  <c r="CY310"/>
  <c r="CX310"/>
  <c r="CW310"/>
  <c r="CV310"/>
  <c r="CU310"/>
  <c r="CT310"/>
  <c r="CS310"/>
  <c r="CR310"/>
  <c r="CQ310"/>
  <c r="CP310"/>
  <c r="DA309"/>
  <c r="CZ309"/>
  <c r="CY309"/>
  <c r="CX309"/>
  <c r="CW309"/>
  <c r="CV309"/>
  <c r="CU309"/>
  <c r="CT309"/>
  <c r="CS309"/>
  <c r="CR309"/>
  <c r="CQ309"/>
  <c r="CP309"/>
  <c r="DA308"/>
  <c r="CZ308"/>
  <c r="CY308"/>
  <c r="CX308"/>
  <c r="CW308"/>
  <c r="CV308"/>
  <c r="CU308"/>
  <c r="CT308"/>
  <c r="CS308"/>
  <c r="CR308"/>
  <c r="CQ308"/>
  <c r="CP308"/>
  <c r="DA307"/>
  <c r="CZ307"/>
  <c r="CY307"/>
  <c r="CX307"/>
  <c r="CW307"/>
  <c r="CV307"/>
  <c r="CU307"/>
  <c r="CT307"/>
  <c r="CS307"/>
  <c r="CR307"/>
  <c r="CQ307"/>
  <c r="CP307"/>
  <c r="DA306"/>
  <c r="CZ306"/>
  <c r="CY306"/>
  <c r="CX306"/>
  <c r="CW306"/>
  <c r="CV306"/>
  <c r="CU306"/>
  <c r="CT306"/>
  <c r="CS306"/>
  <c r="CR306"/>
  <c r="CQ306"/>
  <c r="CP306"/>
  <c r="DA305"/>
  <c r="CZ305"/>
  <c r="CY305"/>
  <c r="CX305"/>
  <c r="CW305"/>
  <c r="CV305"/>
  <c r="CU305"/>
  <c r="CT305"/>
  <c r="CS305"/>
  <c r="CR305"/>
  <c r="CQ305"/>
  <c r="CP305"/>
  <c r="DA304"/>
  <c r="CZ304"/>
  <c r="CY304"/>
  <c r="CX304"/>
  <c r="CW304"/>
  <c r="CV304"/>
  <c r="CU304"/>
  <c r="CT304"/>
  <c r="CS304"/>
  <c r="CR304"/>
  <c r="CQ304"/>
  <c r="CP304"/>
  <c r="DA303"/>
  <c r="CZ303"/>
  <c r="CY303"/>
  <c r="CX303"/>
  <c r="CW303"/>
  <c r="CV303"/>
  <c r="CU303"/>
  <c r="CT303"/>
  <c r="CS303"/>
  <c r="CR303"/>
  <c r="CQ303"/>
  <c r="CP303"/>
  <c r="DA302"/>
  <c r="CZ302"/>
  <c r="CY302"/>
  <c r="CX302"/>
  <c r="CW302"/>
  <c r="CV302"/>
  <c r="CU302"/>
  <c r="CT302"/>
  <c r="CS302"/>
  <c r="CR302"/>
  <c r="CQ302"/>
  <c r="CP302"/>
  <c r="DA301"/>
  <c r="CZ301"/>
  <c r="CY301"/>
  <c r="CX301"/>
  <c r="CW301"/>
  <c r="CV301"/>
  <c r="CU301"/>
  <c r="CT301"/>
  <c r="CS301"/>
  <c r="CR301"/>
  <c r="CQ301"/>
  <c r="CP301"/>
  <c r="DA300"/>
  <c r="CZ300"/>
  <c r="CY300"/>
  <c r="CX300"/>
  <c r="CW300"/>
  <c r="CV300"/>
  <c r="CU300"/>
  <c r="CT300"/>
  <c r="CS300"/>
  <c r="CR300"/>
  <c r="CQ300"/>
  <c r="CP300"/>
  <c r="DA299"/>
  <c r="CZ299"/>
  <c r="CY299"/>
  <c r="CX299"/>
  <c r="CW299"/>
  <c r="CV299"/>
  <c r="CU299"/>
  <c r="CT299"/>
  <c r="CS299"/>
  <c r="CR299"/>
  <c r="CQ299"/>
  <c r="CP299"/>
  <c r="DA298"/>
  <c r="CZ298"/>
  <c r="CY298"/>
  <c r="CX298"/>
  <c r="CW298"/>
  <c r="CV298"/>
  <c r="CU298"/>
  <c r="CT298"/>
  <c r="CS298"/>
  <c r="CR298"/>
  <c r="CQ298"/>
  <c r="CP298"/>
  <c r="DA297"/>
  <c r="CZ297"/>
  <c r="CY297"/>
  <c r="CX297"/>
  <c r="CW297"/>
  <c r="CV297"/>
  <c r="CU297"/>
  <c r="CT297"/>
  <c r="CS297"/>
  <c r="CR297"/>
  <c r="CQ297"/>
  <c r="CP297"/>
  <c r="DA296"/>
  <c r="CZ296"/>
  <c r="CY296"/>
  <c r="CX296"/>
  <c r="CW296"/>
  <c r="CV296"/>
  <c r="CU296"/>
  <c r="CT296"/>
  <c r="CS296"/>
  <c r="CR296"/>
  <c r="CQ296"/>
  <c r="CP296"/>
  <c r="DA295"/>
  <c r="CZ295"/>
  <c r="CY295"/>
  <c r="CX295"/>
  <c r="CW295"/>
  <c r="CV295"/>
  <c r="CU295"/>
  <c r="CT295"/>
  <c r="CS295"/>
  <c r="CR295"/>
  <c r="CQ295"/>
  <c r="CP295"/>
  <c r="DA294"/>
  <c r="CZ294"/>
  <c r="CY294"/>
  <c r="CX294"/>
  <c r="CW294"/>
  <c r="CV294"/>
  <c r="CU294"/>
  <c r="CT294"/>
  <c r="CS294"/>
  <c r="CR294"/>
  <c r="CQ294"/>
  <c r="CP294"/>
  <c r="DA293"/>
  <c r="CZ293"/>
  <c r="CY293"/>
  <c r="CX293"/>
  <c r="CW293"/>
  <c r="CV293"/>
  <c r="CU293"/>
  <c r="CT293"/>
  <c r="CS293"/>
  <c r="CR293"/>
  <c r="CQ293"/>
  <c r="CP293"/>
  <c r="DA292"/>
  <c r="CZ292"/>
  <c r="CY292"/>
  <c r="CX292"/>
  <c r="CW292"/>
  <c r="CV292"/>
  <c r="CU292"/>
  <c r="CT292"/>
  <c r="CS292"/>
  <c r="CR292"/>
  <c r="CQ292"/>
  <c r="CP292"/>
  <c r="DA291"/>
  <c r="CZ291"/>
  <c r="CY291"/>
  <c r="CX291"/>
  <c r="CW291"/>
  <c r="CV291"/>
  <c r="CU291"/>
  <c r="CT291"/>
  <c r="CS291"/>
  <c r="CR291"/>
  <c r="CQ291"/>
  <c r="CP291"/>
  <c r="DA290"/>
  <c r="CZ290"/>
  <c r="CY290"/>
  <c r="CX290"/>
  <c r="CW290"/>
  <c r="CV290"/>
  <c r="CU290"/>
  <c r="CT290"/>
  <c r="CS290"/>
  <c r="CR290"/>
  <c r="CQ290"/>
  <c r="CP290"/>
  <c r="DA289"/>
  <c r="CZ289"/>
  <c r="CY289"/>
  <c r="CX289"/>
  <c r="CW289"/>
  <c r="CV289"/>
  <c r="CU289"/>
  <c r="CT289"/>
  <c r="CS289"/>
  <c r="CR289"/>
  <c r="CQ289"/>
  <c r="CP289"/>
  <c r="DA288"/>
  <c r="CZ288"/>
  <c r="CY288"/>
  <c r="CX288"/>
  <c r="CW288"/>
  <c r="CV288"/>
  <c r="CU288"/>
  <c r="CT288"/>
  <c r="CS288"/>
  <c r="CR288"/>
  <c r="CQ288"/>
  <c r="CP288"/>
  <c r="DA287"/>
  <c r="CZ287"/>
  <c r="CY287"/>
  <c r="CX287"/>
  <c r="CW287"/>
  <c r="CV287"/>
  <c r="CU287"/>
  <c r="CT287"/>
  <c r="CS287"/>
  <c r="CR287"/>
  <c r="CQ287"/>
  <c r="CP287"/>
  <c r="DA286"/>
  <c r="CZ286"/>
  <c r="CY286"/>
  <c r="CX286"/>
  <c r="CW286"/>
  <c r="CV286"/>
  <c r="CU286"/>
  <c r="CT286"/>
  <c r="CS286"/>
  <c r="CR286"/>
  <c r="CQ286"/>
  <c r="CP286"/>
  <c r="DA285"/>
  <c r="CZ285"/>
  <c r="CY285"/>
  <c r="CX285"/>
  <c r="CW285"/>
  <c r="CV285"/>
  <c r="CU285"/>
  <c r="CT285"/>
  <c r="CS285"/>
  <c r="CR285"/>
  <c r="CQ285"/>
  <c r="CP285"/>
  <c r="DA284"/>
  <c r="CZ284"/>
  <c r="CY284"/>
  <c r="CX284"/>
  <c r="CW284"/>
  <c r="CV284"/>
  <c r="CU284"/>
  <c r="CT284"/>
  <c r="CS284"/>
  <c r="CR284"/>
  <c r="CQ284"/>
  <c r="CP284"/>
  <c r="DA283"/>
  <c r="CZ283"/>
  <c r="CY283"/>
  <c r="CX283"/>
  <c r="CW283"/>
  <c r="CV283"/>
  <c r="CU283"/>
  <c r="CT283"/>
  <c r="CS283"/>
  <c r="CR283"/>
  <c r="CQ283"/>
  <c r="CP283"/>
  <c r="DA282"/>
  <c r="CZ282"/>
  <c r="CY282"/>
  <c r="CX282"/>
  <c r="CW282"/>
  <c r="CV282"/>
  <c r="CU282"/>
  <c r="CT282"/>
  <c r="CS282"/>
  <c r="CR282"/>
  <c r="CQ282"/>
  <c r="CP282"/>
  <c r="DA281"/>
  <c r="CZ281"/>
  <c r="CY281"/>
  <c r="CX281"/>
  <c r="CW281"/>
  <c r="CV281"/>
  <c r="CU281"/>
  <c r="CT281"/>
  <c r="CS281"/>
  <c r="CR281"/>
  <c r="CQ281"/>
  <c r="CP281"/>
  <c r="DA280"/>
  <c r="CZ280"/>
  <c r="CY280"/>
  <c r="CX280"/>
  <c r="CW280"/>
  <c r="CV280"/>
  <c r="CU280"/>
  <c r="CT280"/>
  <c r="CS280"/>
  <c r="CR280"/>
  <c r="CQ280"/>
  <c r="CP280"/>
  <c r="DA279"/>
  <c r="CZ279"/>
  <c r="CY279"/>
  <c r="CX279"/>
  <c r="CW279"/>
  <c r="CV279"/>
  <c r="CU279"/>
  <c r="CT279"/>
  <c r="CS279"/>
  <c r="CR279"/>
  <c r="CQ279"/>
  <c r="CP279"/>
  <c r="DA278"/>
  <c r="CZ278"/>
  <c r="CY278"/>
  <c r="CX278"/>
  <c r="CW278"/>
  <c r="CV278"/>
  <c r="CU278"/>
  <c r="CT278"/>
  <c r="CS278"/>
  <c r="CR278"/>
  <c r="CQ278"/>
  <c r="CP278"/>
  <c r="DA277"/>
  <c r="CZ277"/>
  <c r="CY277"/>
  <c r="CX277"/>
  <c r="CW277"/>
  <c r="CV277"/>
  <c r="CU277"/>
  <c r="CT277"/>
  <c r="CS277"/>
  <c r="CR277"/>
  <c r="CQ277"/>
  <c r="CP277"/>
  <c r="DA276"/>
  <c r="CZ276"/>
  <c r="CY276"/>
  <c r="CX276"/>
  <c r="CW276"/>
  <c r="CV276"/>
  <c r="CU276"/>
  <c r="CT276"/>
  <c r="CS276"/>
  <c r="CR276"/>
  <c r="CQ276"/>
  <c r="CP276"/>
  <c r="DA275"/>
  <c r="CZ275"/>
  <c r="CY275"/>
  <c r="CX275"/>
  <c r="CW275"/>
  <c r="CV275"/>
  <c r="CU275"/>
  <c r="CT275"/>
  <c r="CS275"/>
  <c r="CR275"/>
  <c r="CQ275"/>
  <c r="CP275"/>
  <c r="DA274"/>
  <c r="CZ274"/>
  <c r="CY274"/>
  <c r="CX274"/>
  <c r="CW274"/>
  <c r="CV274"/>
  <c r="CU274"/>
  <c r="CT274"/>
  <c r="CS274"/>
  <c r="CR274"/>
  <c r="CQ274"/>
  <c r="CP274"/>
  <c r="DA273"/>
  <c r="CZ273"/>
  <c r="CY273"/>
  <c r="CX273"/>
  <c r="CW273"/>
  <c r="CV273"/>
  <c r="CU273"/>
  <c r="CT273"/>
  <c r="CS273"/>
  <c r="CR273"/>
  <c r="CQ273"/>
  <c r="CP273"/>
  <c r="DA272"/>
  <c r="CZ272"/>
  <c r="CY272"/>
  <c r="CX272"/>
  <c r="CW272"/>
  <c r="CV272"/>
  <c r="CU272"/>
  <c r="CT272"/>
  <c r="CS272"/>
  <c r="CR272"/>
  <c r="CQ272"/>
  <c r="CP272"/>
  <c r="DA271"/>
  <c r="CZ271"/>
  <c r="CY271"/>
  <c r="CX271"/>
  <c r="CW271"/>
  <c r="CV271"/>
  <c r="CU271"/>
  <c r="CT271"/>
  <c r="CS271"/>
  <c r="CR271"/>
  <c r="CQ271"/>
  <c r="CP271"/>
  <c r="DA270"/>
  <c r="CZ270"/>
  <c r="CY270"/>
  <c r="CX270"/>
  <c r="CW270"/>
  <c r="CV270"/>
  <c r="CU270"/>
  <c r="CT270"/>
  <c r="CS270"/>
  <c r="CR270"/>
  <c r="CQ270"/>
  <c r="CP270"/>
  <c r="DA269"/>
  <c r="CZ269"/>
  <c r="CY269"/>
  <c r="CX269"/>
  <c r="CW269"/>
  <c r="CV269"/>
  <c r="CU269"/>
  <c r="CT269"/>
  <c r="CS269"/>
  <c r="CR269"/>
  <c r="CQ269"/>
  <c r="CP269"/>
  <c r="DA268"/>
  <c r="CZ268"/>
  <c r="CY268"/>
  <c r="CX268"/>
  <c r="CW268"/>
  <c r="CV268"/>
  <c r="CU268"/>
  <c r="CT268"/>
  <c r="CS268"/>
  <c r="CR268"/>
  <c r="CQ268"/>
  <c r="CP268"/>
  <c r="DA267"/>
  <c r="CZ267"/>
  <c r="CY267"/>
  <c r="CX267"/>
  <c r="CW267"/>
  <c r="CV267"/>
  <c r="CU267"/>
  <c r="CT267"/>
  <c r="CS267"/>
  <c r="CR267"/>
  <c r="CQ267"/>
  <c r="CP267"/>
  <c r="DA266"/>
  <c r="CZ266"/>
  <c r="CY266"/>
  <c r="CX266"/>
  <c r="CW266"/>
  <c r="CV266"/>
  <c r="CU266"/>
  <c r="CT266"/>
  <c r="CS266"/>
  <c r="CR266"/>
  <c r="CQ266"/>
  <c r="CP266"/>
  <c r="DA265"/>
  <c r="CZ265"/>
  <c r="CY265"/>
  <c r="CX265"/>
  <c r="CW265"/>
  <c r="CV265"/>
  <c r="CU265"/>
  <c r="CT265"/>
  <c r="CS265"/>
  <c r="CR265"/>
  <c r="CQ265"/>
  <c r="CP265"/>
  <c r="DA264"/>
  <c r="CZ264"/>
  <c r="CY264"/>
  <c r="CX264"/>
  <c r="CW264"/>
  <c r="CV264"/>
  <c r="CU264"/>
  <c r="CT264"/>
  <c r="CS264"/>
  <c r="CR264"/>
  <c r="CQ264"/>
  <c r="CP264"/>
  <c r="DA263"/>
  <c r="CZ263"/>
  <c r="CY263"/>
  <c r="CX263"/>
  <c r="CW263"/>
  <c r="CV263"/>
  <c r="CU263"/>
  <c r="CT263"/>
  <c r="CS263"/>
  <c r="CR263"/>
  <c r="CQ263"/>
  <c r="CP263"/>
  <c r="DA262"/>
  <c r="CZ262"/>
  <c r="CY262"/>
  <c r="CX262"/>
  <c r="CW262"/>
  <c r="CV262"/>
  <c r="CU262"/>
  <c r="CT262"/>
  <c r="CS262"/>
  <c r="CR262"/>
  <c r="CQ262"/>
  <c r="CP262"/>
  <c r="DA261"/>
  <c r="CZ261"/>
  <c r="CY261"/>
  <c r="CX261"/>
  <c r="CW261"/>
  <c r="CV261"/>
  <c r="CU261"/>
  <c r="CT261"/>
  <c r="CS261"/>
  <c r="CR261"/>
  <c r="CQ261"/>
  <c r="CP261"/>
  <c r="DA260"/>
  <c r="CZ260"/>
  <c r="CY260"/>
  <c r="CX260"/>
  <c r="CW260"/>
  <c r="CV260"/>
  <c r="CU260"/>
  <c r="CT260"/>
  <c r="CS260"/>
  <c r="CR260"/>
  <c r="CQ260"/>
  <c r="CP260"/>
  <c r="DA259"/>
  <c r="CZ259"/>
  <c r="CY259"/>
  <c r="CX259"/>
  <c r="CW259"/>
  <c r="CV259"/>
  <c r="CU259"/>
  <c r="CT259"/>
  <c r="CS259"/>
  <c r="CR259"/>
  <c r="CQ259"/>
  <c r="CP259"/>
  <c r="DA258"/>
  <c r="CZ258"/>
  <c r="CY258"/>
  <c r="CX258"/>
  <c r="CW258"/>
  <c r="CV258"/>
  <c r="CU258"/>
  <c r="CT258"/>
  <c r="CS258"/>
  <c r="CR258"/>
  <c r="CQ258"/>
  <c r="CP258"/>
  <c r="DA257"/>
  <c r="CZ257"/>
  <c r="CY257"/>
  <c r="CX257"/>
  <c r="CW257"/>
  <c r="CV257"/>
  <c r="CU257"/>
  <c r="CT257"/>
  <c r="CS257"/>
  <c r="CR257"/>
  <c r="CQ257"/>
  <c r="CP257"/>
  <c r="DA256"/>
  <c r="CZ256"/>
  <c r="CY256"/>
  <c r="CX256"/>
  <c r="CW256"/>
  <c r="CV256"/>
  <c r="CU256"/>
  <c r="CT256"/>
  <c r="CS256"/>
  <c r="CR256"/>
  <c r="CQ256"/>
  <c r="CP256"/>
  <c r="DA255"/>
  <c r="CZ255"/>
  <c r="CY255"/>
  <c r="CX255"/>
  <c r="CW255"/>
  <c r="CV255"/>
  <c r="CU255"/>
  <c r="CT255"/>
  <c r="CS255"/>
  <c r="CR255"/>
  <c r="CQ255"/>
  <c r="CP255"/>
  <c r="DA254"/>
  <c r="CZ254"/>
  <c r="CY254"/>
  <c r="CX254"/>
  <c r="CW254"/>
  <c r="CV254"/>
  <c r="CU254"/>
  <c r="CT254"/>
  <c r="CS254"/>
  <c r="CR254"/>
  <c r="CQ254"/>
  <c r="CP254"/>
  <c r="DA253"/>
  <c r="CZ253"/>
  <c r="CY253"/>
  <c r="CX253"/>
  <c r="CW253"/>
  <c r="CV253"/>
  <c r="CU253"/>
  <c r="CT253"/>
  <c r="CS253"/>
  <c r="CR253"/>
  <c r="CQ253"/>
  <c r="CP253"/>
  <c r="DA252"/>
  <c r="CZ252"/>
  <c r="CY252"/>
  <c r="CX252"/>
  <c r="CW252"/>
  <c r="CV252"/>
  <c r="CU252"/>
  <c r="CT252"/>
  <c r="CS252"/>
  <c r="CR252"/>
  <c r="CQ252"/>
  <c r="CP252"/>
  <c r="DA251"/>
  <c r="CZ251"/>
  <c r="CY251"/>
  <c r="CX251"/>
  <c r="CW251"/>
  <c r="CV251"/>
  <c r="CU251"/>
  <c r="CT251"/>
  <c r="CS251"/>
  <c r="CR251"/>
  <c r="CQ251"/>
  <c r="CP251"/>
  <c r="DA250"/>
  <c r="CZ250"/>
  <c r="CY250"/>
  <c r="CX250"/>
  <c r="CW250"/>
  <c r="CV250"/>
  <c r="CU250"/>
  <c r="CT250"/>
  <c r="CS250"/>
  <c r="CR250"/>
  <c r="CQ250"/>
  <c r="CP250"/>
  <c r="DA249"/>
  <c r="CZ249"/>
  <c r="CY249"/>
  <c r="CX249"/>
  <c r="CW249"/>
  <c r="CV249"/>
  <c r="CU249"/>
  <c r="CT249"/>
  <c r="CS249"/>
  <c r="CR249"/>
  <c r="CQ249"/>
  <c r="CP249"/>
  <c r="DA248"/>
  <c r="CZ248"/>
  <c r="CY248"/>
  <c r="CX248"/>
  <c r="CW248"/>
  <c r="CV248"/>
  <c r="CU248"/>
  <c r="CT248"/>
  <c r="CS248"/>
  <c r="CR248"/>
  <c r="CQ248"/>
  <c r="CP248"/>
  <c r="DA247"/>
  <c r="CZ247"/>
  <c r="CY247"/>
  <c r="CX247"/>
  <c r="CW247"/>
  <c r="CV247"/>
  <c r="CU247"/>
  <c r="CT247"/>
  <c r="CS247"/>
  <c r="CR247"/>
  <c r="CQ247"/>
  <c r="CP247"/>
  <c r="DA246"/>
  <c r="CZ246"/>
  <c r="CY246"/>
  <c r="CX246"/>
  <c r="CW246"/>
  <c r="CV246"/>
  <c r="CU246"/>
  <c r="CT246"/>
  <c r="CS246"/>
  <c r="CR246"/>
  <c r="CQ246"/>
  <c r="CP246"/>
  <c r="DA245"/>
  <c r="CZ245"/>
  <c r="CY245"/>
  <c r="CX245"/>
  <c r="CW245"/>
  <c r="CV245"/>
  <c r="CU245"/>
  <c r="CT245"/>
  <c r="CS245"/>
  <c r="CR245"/>
  <c r="CQ245"/>
  <c r="CP245"/>
  <c r="DA244"/>
  <c r="CZ244"/>
  <c r="CY244"/>
  <c r="CX244"/>
  <c r="CW244"/>
  <c r="CV244"/>
  <c r="CU244"/>
  <c r="CT244"/>
  <c r="CS244"/>
  <c r="CR244"/>
  <c r="CQ244"/>
  <c r="CP244"/>
  <c r="DA243"/>
  <c r="CZ243"/>
  <c r="CY243"/>
  <c r="CX243"/>
  <c r="CW243"/>
  <c r="CV243"/>
  <c r="CU243"/>
  <c r="CT243"/>
  <c r="CS243"/>
  <c r="CR243"/>
  <c r="CQ243"/>
  <c r="CP243"/>
  <c r="DA242"/>
  <c r="CZ242"/>
  <c r="CY242"/>
  <c r="CX242"/>
  <c r="CW242"/>
  <c r="CV242"/>
  <c r="CU242"/>
  <c r="CT242"/>
  <c r="CS242"/>
  <c r="CR242"/>
  <c r="CQ242"/>
  <c r="CP242"/>
  <c r="DA241"/>
  <c r="CZ241"/>
  <c r="CY241"/>
  <c r="CX241"/>
  <c r="CW241"/>
  <c r="CV241"/>
  <c r="CU241"/>
  <c r="CT241"/>
  <c r="CS241"/>
  <c r="CR241"/>
  <c r="CQ241"/>
  <c r="CP241"/>
  <c r="DA240"/>
  <c r="CZ240"/>
  <c r="CY240"/>
  <c r="CX240"/>
  <c r="CW240"/>
  <c r="CV240"/>
  <c r="CU240"/>
  <c r="CT240"/>
  <c r="CS240"/>
  <c r="CR240"/>
  <c r="CQ240"/>
  <c r="CP240"/>
  <c r="DA239"/>
  <c r="CZ239"/>
  <c r="CY239"/>
  <c r="CX239"/>
  <c r="CW239"/>
  <c r="CV239"/>
  <c r="CU239"/>
  <c r="CT239"/>
  <c r="CS239"/>
  <c r="CR239"/>
  <c r="CQ239"/>
  <c r="CP239"/>
  <c r="DA238"/>
  <c r="CZ238"/>
  <c r="CY238"/>
  <c r="CX238"/>
  <c r="CW238"/>
  <c r="CV238"/>
  <c r="CU238"/>
  <c r="CT238"/>
  <c r="CS238"/>
  <c r="CR238"/>
  <c r="CQ238"/>
  <c r="CP238"/>
  <c r="DA237"/>
  <c r="CZ237"/>
  <c r="CY237"/>
  <c r="CX237"/>
  <c r="CW237"/>
  <c r="CV237"/>
  <c r="CU237"/>
  <c r="CT237"/>
  <c r="CS237"/>
  <c r="CR237"/>
  <c r="CQ237"/>
  <c r="CP237"/>
  <c r="DA236"/>
  <c r="CZ236"/>
  <c r="CY236"/>
  <c r="CX236"/>
  <c r="CW236"/>
  <c r="CV236"/>
  <c r="CU236"/>
  <c r="CT236"/>
  <c r="CS236"/>
  <c r="CR236"/>
  <c r="CQ236"/>
  <c r="CP236"/>
  <c r="DA235"/>
  <c r="CZ235"/>
  <c r="CY235"/>
  <c r="CX235"/>
  <c r="CW235"/>
  <c r="CV235"/>
  <c r="CU235"/>
  <c r="CT235"/>
  <c r="CS235"/>
  <c r="CR235"/>
  <c r="CQ235"/>
  <c r="CP235"/>
  <c r="DA234"/>
  <c r="CZ234"/>
  <c r="CY234"/>
  <c r="CX234"/>
  <c r="CW234"/>
  <c r="CV234"/>
  <c r="CU234"/>
  <c r="CT234"/>
  <c r="CS234"/>
  <c r="CR234"/>
  <c r="CQ234"/>
  <c r="CP234"/>
  <c r="DA233"/>
  <c r="CZ233"/>
  <c r="CY233"/>
  <c r="CX233"/>
  <c r="CW233"/>
  <c r="CV233"/>
  <c r="CU233"/>
  <c r="CT233"/>
  <c r="CS233"/>
  <c r="CR233"/>
  <c r="CQ233"/>
  <c r="CP233"/>
  <c r="DA232"/>
  <c r="CZ232"/>
  <c r="CY232"/>
  <c r="CX232"/>
  <c r="CW232"/>
  <c r="CV232"/>
  <c r="CU232"/>
  <c r="CT232"/>
  <c r="CS232"/>
  <c r="CR232"/>
  <c r="CQ232"/>
  <c r="CP232"/>
  <c r="DA231"/>
  <c r="CZ231"/>
  <c r="CY231"/>
  <c r="CX231"/>
  <c r="CW231"/>
  <c r="CV231"/>
  <c r="CU231"/>
  <c r="CT231"/>
  <c r="CS231"/>
  <c r="CR231"/>
  <c r="CQ231"/>
  <c r="CP231"/>
  <c r="DA230"/>
  <c r="CZ230"/>
  <c r="CY230"/>
  <c r="CX230"/>
  <c r="CW230"/>
  <c r="CV230"/>
  <c r="CU230"/>
  <c r="CT230"/>
  <c r="CS230"/>
  <c r="CR230"/>
  <c r="CQ230"/>
  <c r="CP230"/>
  <c r="DA229"/>
  <c r="CZ229"/>
  <c r="CY229"/>
  <c r="CX229"/>
  <c r="CW229"/>
  <c r="CV229"/>
  <c r="CU229"/>
  <c r="CT229"/>
  <c r="CS229"/>
  <c r="CR229"/>
  <c r="CQ229"/>
  <c r="CP229"/>
  <c r="DA228"/>
  <c r="CZ228"/>
  <c r="CY228"/>
  <c r="CX228"/>
  <c r="CW228"/>
  <c r="CV228"/>
  <c r="CU228"/>
  <c r="CT228"/>
  <c r="CS228"/>
  <c r="CR228"/>
  <c r="CQ228"/>
  <c r="CP228"/>
  <c r="DA227"/>
  <c r="CZ227"/>
  <c r="CY227"/>
  <c r="CX227"/>
  <c r="CW227"/>
  <c r="CV227"/>
  <c r="CU227"/>
  <c r="CT227"/>
  <c r="CS227"/>
  <c r="CR227"/>
  <c r="CQ227"/>
  <c r="CP227"/>
  <c r="DA226"/>
  <c r="CZ226"/>
  <c r="CY226"/>
  <c r="CX226"/>
  <c r="CW226"/>
  <c r="CV226"/>
  <c r="CU226"/>
  <c r="CT226"/>
  <c r="CS226"/>
  <c r="CR226"/>
  <c r="CQ226"/>
  <c r="CP226"/>
  <c r="DA225"/>
  <c r="CZ225"/>
  <c r="CY225"/>
  <c r="CX225"/>
  <c r="CW225"/>
  <c r="CV225"/>
  <c r="CU225"/>
  <c r="CT225"/>
  <c r="CS225"/>
  <c r="CR225"/>
  <c r="CQ225"/>
  <c r="CP225"/>
  <c r="DA224"/>
  <c r="CZ224"/>
  <c r="CY224"/>
  <c r="CX224"/>
  <c r="CW224"/>
  <c r="CV224"/>
  <c r="CU224"/>
  <c r="CT224"/>
  <c r="CS224"/>
  <c r="CR224"/>
  <c r="CQ224"/>
  <c r="CP224"/>
  <c r="DA223"/>
  <c r="CZ223"/>
  <c r="CY223"/>
  <c r="CX223"/>
  <c r="CW223"/>
  <c r="CV223"/>
  <c r="CU223"/>
  <c r="CT223"/>
  <c r="CS223"/>
  <c r="CR223"/>
  <c r="CQ223"/>
  <c r="CP223"/>
  <c r="DA222"/>
  <c r="CZ222"/>
  <c r="CY222"/>
  <c r="CX222"/>
  <c r="CW222"/>
  <c r="CV222"/>
  <c r="CU222"/>
  <c r="CT222"/>
  <c r="CS222"/>
  <c r="CR222"/>
  <c r="CQ222"/>
  <c r="CP222"/>
  <c r="DA221"/>
  <c r="CZ221"/>
  <c r="CY221"/>
  <c r="CX221"/>
  <c r="CW221"/>
  <c r="CV221"/>
  <c r="CU221"/>
  <c r="CT221"/>
  <c r="CS221"/>
  <c r="CR221"/>
  <c r="CQ221"/>
  <c r="CP221"/>
  <c r="DA220"/>
  <c r="CZ220"/>
  <c r="CY220"/>
  <c r="CX220"/>
  <c r="CW220"/>
  <c r="CV220"/>
  <c r="CU220"/>
  <c r="CT220"/>
  <c r="CS220"/>
  <c r="CR220"/>
  <c r="CQ220"/>
  <c r="CP220"/>
  <c r="DA219"/>
  <c r="CZ219"/>
  <c r="CY219"/>
  <c r="CX219"/>
  <c r="CW219"/>
  <c r="CV219"/>
  <c r="CU219"/>
  <c r="CT219"/>
  <c r="CS219"/>
  <c r="CR219"/>
  <c r="CQ219"/>
  <c r="CP219"/>
  <c r="DA218"/>
  <c r="CZ218"/>
  <c r="CY218"/>
  <c r="CX218"/>
  <c r="CW218"/>
  <c r="CV218"/>
  <c r="CU218"/>
  <c r="CT218"/>
  <c r="CS218"/>
  <c r="CR218"/>
  <c r="CQ218"/>
  <c r="CP218"/>
  <c r="DA217"/>
  <c r="CZ217"/>
  <c r="CY217"/>
  <c r="CX217"/>
  <c r="CW217"/>
  <c r="CV217"/>
  <c r="CU217"/>
  <c r="CT217"/>
  <c r="CS217"/>
  <c r="CR217"/>
  <c r="CQ217"/>
  <c r="CP217"/>
  <c r="DA216"/>
  <c r="CZ216"/>
  <c r="CY216"/>
  <c r="CX216"/>
  <c r="CW216"/>
  <c r="CV216"/>
  <c r="CU216"/>
  <c r="CT216"/>
  <c r="CS216"/>
  <c r="CR216"/>
  <c r="CQ216"/>
  <c r="CP216"/>
  <c r="DA215"/>
  <c r="CZ215"/>
  <c r="CY215"/>
  <c r="CX215"/>
  <c r="CW215"/>
  <c r="CV215"/>
  <c r="CU215"/>
  <c r="CT215"/>
  <c r="CS215"/>
  <c r="CR215"/>
  <c r="CQ215"/>
  <c r="CP215"/>
  <c r="DA214"/>
  <c r="CZ214"/>
  <c r="CY214"/>
  <c r="CX214"/>
  <c r="CW214"/>
  <c r="CV214"/>
  <c r="CU214"/>
  <c r="CT214"/>
  <c r="CS214"/>
  <c r="CR214"/>
  <c r="CQ214"/>
  <c r="CP214"/>
  <c r="DA213"/>
  <c r="CZ213"/>
  <c r="CY213"/>
  <c r="CX213"/>
  <c r="CW213"/>
  <c r="CV213"/>
  <c r="CU213"/>
  <c r="CT213"/>
  <c r="CS213"/>
  <c r="CR213"/>
  <c r="CQ213"/>
  <c r="CP213"/>
  <c r="DA212"/>
  <c r="CZ212"/>
  <c r="CY212"/>
  <c r="CX212"/>
  <c r="CW212"/>
  <c r="CV212"/>
  <c r="CU212"/>
  <c r="CT212"/>
  <c r="CS212"/>
  <c r="CR212"/>
  <c r="CQ212"/>
  <c r="CP212"/>
  <c r="DA211"/>
  <c r="CZ211"/>
  <c r="CY211"/>
  <c r="CX211"/>
  <c r="CW211"/>
  <c r="CV211"/>
  <c r="CU211"/>
  <c r="CT211"/>
  <c r="CS211"/>
  <c r="CR211"/>
  <c r="CQ211"/>
  <c r="CP211"/>
  <c r="DA210"/>
  <c r="CZ210"/>
  <c r="CY210"/>
  <c r="CX210"/>
  <c r="CW210"/>
  <c r="CV210"/>
  <c r="CU210"/>
  <c r="CT210"/>
  <c r="CS210"/>
  <c r="CR210"/>
  <c r="CQ210"/>
  <c r="CP210"/>
  <c r="DA209"/>
  <c r="CZ209"/>
  <c r="CY209"/>
  <c r="CX209"/>
  <c r="CW209"/>
  <c r="CV209"/>
  <c r="CU209"/>
  <c r="CT209"/>
  <c r="CS209"/>
  <c r="CR209"/>
  <c r="CQ209"/>
  <c r="CP209"/>
  <c r="DA208"/>
  <c r="CZ208"/>
  <c r="CY208"/>
  <c r="CX208"/>
  <c r="CW208"/>
  <c r="CV208"/>
  <c r="CU208"/>
  <c r="CT208"/>
  <c r="CS208"/>
  <c r="CR208"/>
  <c r="CQ208"/>
  <c r="CP208"/>
  <c r="DA207"/>
  <c r="CZ207"/>
  <c r="CY207"/>
  <c r="CX207"/>
  <c r="CW207"/>
  <c r="CV207"/>
  <c r="CU207"/>
  <c r="CT207"/>
  <c r="CS207"/>
  <c r="CR207"/>
  <c r="CQ207"/>
  <c r="CP207"/>
  <c r="DA206"/>
  <c r="CZ206"/>
  <c r="CY206"/>
  <c r="CX206"/>
  <c r="CW206"/>
  <c r="CV206"/>
  <c r="CU206"/>
  <c r="CT206"/>
  <c r="CS206"/>
  <c r="CR206"/>
  <c r="CQ206"/>
  <c r="CP206"/>
  <c r="DA205"/>
  <c r="CZ205"/>
  <c r="CY205"/>
  <c r="CX205"/>
  <c r="CW205"/>
  <c r="CV205"/>
  <c r="CU205"/>
  <c r="CT205"/>
  <c r="CS205"/>
  <c r="CR205"/>
  <c r="CQ205"/>
  <c r="CP205"/>
  <c r="DA204"/>
  <c r="CZ204"/>
  <c r="CY204"/>
  <c r="CX204"/>
  <c r="CW204"/>
  <c r="CV204"/>
  <c r="CU204"/>
  <c r="CT204"/>
  <c r="CS204"/>
  <c r="CR204"/>
  <c r="CQ204"/>
  <c r="CP204"/>
  <c r="DA203"/>
  <c r="CZ203"/>
  <c r="CY203"/>
  <c r="CX203"/>
  <c r="CW203"/>
  <c r="CV203"/>
  <c r="CU203"/>
  <c r="CT203"/>
  <c r="CS203"/>
  <c r="CR203"/>
  <c r="CQ203"/>
  <c r="CP203"/>
  <c r="DA202"/>
  <c r="CZ202"/>
  <c r="CY202"/>
  <c r="CX202"/>
  <c r="CW202"/>
  <c r="CV202"/>
  <c r="CU202"/>
  <c r="CT202"/>
  <c r="CS202"/>
  <c r="CR202"/>
  <c r="CQ202"/>
  <c r="CP202"/>
  <c r="DA201"/>
  <c r="CZ201"/>
  <c r="CY201"/>
  <c r="CX201"/>
  <c r="CW201"/>
  <c r="CV201"/>
  <c r="CU201"/>
  <c r="CT201"/>
  <c r="CS201"/>
  <c r="CR201"/>
  <c r="CQ201"/>
  <c r="CP201"/>
  <c r="DA200"/>
  <c r="CZ200"/>
  <c r="CY200"/>
  <c r="CX200"/>
  <c r="CW200"/>
  <c r="CV200"/>
  <c r="CU200"/>
  <c r="CT200"/>
  <c r="CS200"/>
  <c r="CR200"/>
  <c r="CQ200"/>
  <c r="CP200"/>
  <c r="DA199"/>
  <c r="CZ199"/>
  <c r="CY199"/>
  <c r="CX199"/>
  <c r="CW199"/>
  <c r="CV199"/>
  <c r="CU199"/>
  <c r="CT199"/>
  <c r="CS199"/>
  <c r="CR199"/>
  <c r="CQ199"/>
  <c r="CP199"/>
  <c r="DA198"/>
  <c r="CZ198"/>
  <c r="CY198"/>
  <c r="CX198"/>
  <c r="CW198"/>
  <c r="CV198"/>
  <c r="CU198"/>
  <c r="CT198"/>
  <c r="CS198"/>
  <c r="CR198"/>
  <c r="CQ198"/>
  <c r="CP198"/>
  <c r="DA197"/>
  <c r="CZ197"/>
  <c r="CY197"/>
  <c r="CX197"/>
  <c r="CW197"/>
  <c r="CV197"/>
  <c r="CU197"/>
  <c r="CT197"/>
  <c r="CS197"/>
  <c r="CR197"/>
  <c r="CQ197"/>
  <c r="CP197"/>
  <c r="DA196"/>
  <c r="CZ196"/>
  <c r="CY196"/>
  <c r="CX196"/>
  <c r="CW196"/>
  <c r="CV196"/>
  <c r="CU196"/>
  <c r="CT196"/>
  <c r="CS196"/>
  <c r="CR196"/>
  <c r="CQ196"/>
  <c r="CP196"/>
  <c r="DA195"/>
  <c r="CZ195"/>
  <c r="CY195"/>
  <c r="CX195"/>
  <c r="CW195"/>
  <c r="CV195"/>
  <c r="CU195"/>
  <c r="CT195"/>
  <c r="CS195"/>
  <c r="CR195"/>
  <c r="CQ195"/>
  <c r="CP195"/>
  <c r="DA194"/>
  <c r="CZ194"/>
  <c r="CY194"/>
  <c r="CX194"/>
  <c r="CW194"/>
  <c r="CV194"/>
  <c r="CU194"/>
  <c r="CT194"/>
  <c r="CS194"/>
  <c r="CR194"/>
  <c r="CQ194"/>
  <c r="CP194"/>
  <c r="DA193"/>
  <c r="CZ193"/>
  <c r="CY193"/>
  <c r="CX193"/>
  <c r="CW193"/>
  <c r="CV193"/>
  <c r="CU193"/>
  <c r="CT193"/>
  <c r="CS193"/>
  <c r="CR193"/>
  <c r="CQ193"/>
  <c r="CP193"/>
  <c r="DA192"/>
  <c r="CZ192"/>
  <c r="CY192"/>
  <c r="CX192"/>
  <c r="CW192"/>
  <c r="CV192"/>
  <c r="CU192"/>
  <c r="CT192"/>
  <c r="CS192"/>
  <c r="CR192"/>
  <c r="CQ192"/>
  <c r="CP192"/>
  <c r="DA191"/>
  <c r="CZ191"/>
  <c r="CY191"/>
  <c r="CX191"/>
  <c r="CW191"/>
  <c r="CV191"/>
  <c r="CU191"/>
  <c r="CT191"/>
  <c r="CS191"/>
  <c r="CR191"/>
  <c r="CQ191"/>
  <c r="CP191"/>
  <c r="DA190"/>
  <c r="CZ190"/>
  <c r="CY190"/>
  <c r="CX190"/>
  <c r="CW190"/>
  <c r="CV190"/>
  <c r="CU190"/>
  <c r="CT190"/>
  <c r="CS190"/>
  <c r="CR190"/>
  <c r="CQ190"/>
  <c r="CP190"/>
  <c r="DA189"/>
  <c r="CZ189"/>
  <c r="CY189"/>
  <c r="CX189"/>
  <c r="CW189"/>
  <c r="CV189"/>
  <c r="CU189"/>
  <c r="CT189"/>
  <c r="CS189"/>
  <c r="CR189"/>
  <c r="CQ189"/>
  <c r="CP189"/>
  <c r="DA188"/>
  <c r="CZ188"/>
  <c r="CY188"/>
  <c r="CX188"/>
  <c r="CW188"/>
  <c r="CV188"/>
  <c r="CU188"/>
  <c r="CT188"/>
  <c r="CS188"/>
  <c r="CR188"/>
  <c r="CQ188"/>
  <c r="CP188"/>
  <c r="DA187"/>
  <c r="CZ187"/>
  <c r="CY187"/>
  <c r="CX187"/>
  <c r="CW187"/>
  <c r="CV187"/>
  <c r="CU187"/>
  <c r="CT187"/>
  <c r="CS187"/>
  <c r="CR187"/>
  <c r="CQ187"/>
  <c r="CP187"/>
  <c r="DA186"/>
  <c r="CZ186"/>
  <c r="CY186"/>
  <c r="CX186"/>
  <c r="CW186"/>
  <c r="CV186"/>
  <c r="CU186"/>
  <c r="CT186"/>
  <c r="CS186"/>
  <c r="CR186"/>
  <c r="CQ186"/>
  <c r="CP186"/>
  <c r="DA185"/>
  <c r="CZ185"/>
  <c r="CY185"/>
  <c r="CX185"/>
  <c r="CW185"/>
  <c r="CV185"/>
  <c r="CU185"/>
  <c r="CT185"/>
  <c r="CS185"/>
  <c r="CR185"/>
  <c r="CQ185"/>
  <c r="CP185"/>
  <c r="DA184"/>
  <c r="CZ184"/>
  <c r="CY184"/>
  <c r="CX184"/>
  <c r="CW184"/>
  <c r="CV184"/>
  <c r="CU184"/>
  <c r="CT184"/>
  <c r="CS184"/>
  <c r="CR184"/>
  <c r="CQ184"/>
  <c r="CP184"/>
  <c r="DA183"/>
  <c r="CZ183"/>
  <c r="CY183"/>
  <c r="CX183"/>
  <c r="CW183"/>
  <c r="CV183"/>
  <c r="CU183"/>
  <c r="CT183"/>
  <c r="CS183"/>
  <c r="CR183"/>
  <c r="CQ183"/>
  <c r="CP183"/>
  <c r="DA182"/>
  <c r="CZ182"/>
  <c r="CY182"/>
  <c r="CX182"/>
  <c r="CW182"/>
  <c r="CV182"/>
  <c r="CU182"/>
  <c r="CT182"/>
  <c r="CS182"/>
  <c r="CR182"/>
  <c r="CQ182"/>
  <c r="CP182"/>
  <c r="DA181"/>
  <c r="CZ181"/>
  <c r="CY181"/>
  <c r="CX181"/>
  <c r="CW181"/>
  <c r="CV181"/>
  <c r="CU181"/>
  <c r="CT181"/>
  <c r="CS181"/>
  <c r="CR181"/>
  <c r="CQ181"/>
  <c r="CP181"/>
  <c r="DA180"/>
  <c r="CZ180"/>
  <c r="CY180"/>
  <c r="CX180"/>
  <c r="CW180"/>
  <c r="CV180"/>
  <c r="CU180"/>
  <c r="CT180"/>
  <c r="CS180"/>
  <c r="CR180"/>
  <c r="CQ180"/>
  <c r="CP180"/>
  <c r="DA179"/>
  <c r="CZ179"/>
  <c r="CY179"/>
  <c r="CX179"/>
  <c r="CW179"/>
  <c r="CV179"/>
  <c r="CU179"/>
  <c r="CT179"/>
  <c r="CS179"/>
  <c r="CR179"/>
  <c r="CQ179"/>
  <c r="CP179"/>
  <c r="DA178"/>
  <c r="CZ178"/>
  <c r="CY178"/>
  <c r="CX178"/>
  <c r="CW178"/>
  <c r="CV178"/>
  <c r="CU178"/>
  <c r="CT178"/>
  <c r="CS178"/>
  <c r="CR178"/>
  <c r="CQ178"/>
  <c r="CP178"/>
  <c r="DA177"/>
  <c r="CZ177"/>
  <c r="CY177"/>
  <c r="CX177"/>
  <c r="CW177"/>
  <c r="CV177"/>
  <c r="CU177"/>
  <c r="CT177"/>
  <c r="CS177"/>
  <c r="CR177"/>
  <c r="CQ177"/>
  <c r="CP177"/>
  <c r="DA176"/>
  <c r="AQ176" s="1"/>
  <c r="CZ176"/>
  <c r="CY176"/>
  <c r="AO176" s="1"/>
  <c r="CX176"/>
  <c r="CW176"/>
  <c r="CV176"/>
  <c r="CU176"/>
  <c r="CT176"/>
  <c r="CS176"/>
  <c r="CR176"/>
  <c r="CQ176"/>
  <c r="AL176" s="1"/>
  <c r="CP176"/>
  <c r="DA175"/>
  <c r="CZ175"/>
  <c r="CY175"/>
  <c r="CX175"/>
  <c r="CW175"/>
  <c r="CV175"/>
  <c r="CU175"/>
  <c r="CT175"/>
  <c r="CS175"/>
  <c r="CR175"/>
  <c r="CQ175"/>
  <c r="CP175"/>
  <c r="DA174"/>
  <c r="CZ174"/>
  <c r="CY174"/>
  <c r="CX174"/>
  <c r="CW174"/>
  <c r="CV174"/>
  <c r="CU174"/>
  <c r="CT174"/>
  <c r="CS174"/>
  <c r="CR174"/>
  <c r="CQ174"/>
  <c r="CP174"/>
  <c r="DA173"/>
  <c r="CZ173"/>
  <c r="CY173"/>
  <c r="CX173"/>
  <c r="CW173"/>
  <c r="CV173"/>
  <c r="CU173"/>
  <c r="CT173"/>
  <c r="CS173"/>
  <c r="CR173"/>
  <c r="CQ173"/>
  <c r="CP173"/>
  <c r="DA172"/>
  <c r="CZ172"/>
  <c r="CY172"/>
  <c r="CX172"/>
  <c r="CW172"/>
  <c r="CV172"/>
  <c r="CU172"/>
  <c r="CT172"/>
  <c r="CS172"/>
  <c r="CR172"/>
  <c r="CQ172"/>
  <c r="CP172"/>
  <c r="DA171"/>
  <c r="CZ171"/>
  <c r="CY171"/>
  <c r="CX171"/>
  <c r="CW171"/>
  <c r="CV171"/>
  <c r="CU171"/>
  <c r="CT171"/>
  <c r="CS171"/>
  <c r="CR171"/>
  <c r="CQ171"/>
  <c r="CP171"/>
  <c r="DA170"/>
  <c r="CZ170"/>
  <c r="CY170"/>
  <c r="CX170"/>
  <c r="CW170"/>
  <c r="CV170"/>
  <c r="CU170"/>
  <c r="CT170"/>
  <c r="CS170"/>
  <c r="CR170"/>
  <c r="CQ170"/>
  <c r="CP170"/>
  <c r="DA169"/>
  <c r="CZ169"/>
  <c r="CY169"/>
  <c r="CX169"/>
  <c r="CW169"/>
  <c r="CV169"/>
  <c r="CU169"/>
  <c r="CT169"/>
  <c r="CS169"/>
  <c r="CR169"/>
  <c r="CQ169"/>
  <c r="CP169"/>
  <c r="DA168"/>
  <c r="CZ168"/>
  <c r="CY168"/>
  <c r="CX168"/>
  <c r="CW168"/>
  <c r="CV168"/>
  <c r="CU168"/>
  <c r="CT168"/>
  <c r="CS168"/>
  <c r="CR168"/>
  <c r="CQ168"/>
  <c r="CP168"/>
  <c r="DA167"/>
  <c r="CZ167"/>
  <c r="CY167"/>
  <c r="CX167"/>
  <c r="CW167"/>
  <c r="CV167"/>
  <c r="CU167"/>
  <c r="CT167"/>
  <c r="CS167"/>
  <c r="CR167"/>
  <c r="CQ167"/>
  <c r="CP167"/>
  <c r="DA166"/>
  <c r="CZ166"/>
  <c r="CY166"/>
  <c r="CX166"/>
  <c r="CW166"/>
  <c r="CV166"/>
  <c r="CU166"/>
  <c r="CT166"/>
  <c r="CS166"/>
  <c r="CR166"/>
  <c r="CQ166"/>
  <c r="CP166"/>
  <c r="DA165"/>
  <c r="CZ165"/>
  <c r="CY165"/>
  <c r="CX165"/>
  <c r="CW165"/>
  <c r="CV165"/>
  <c r="CU165"/>
  <c r="CT165"/>
  <c r="CS165"/>
  <c r="CR165"/>
  <c r="CQ165"/>
  <c r="CP165"/>
  <c r="DA164"/>
  <c r="CZ164"/>
  <c r="CY164"/>
  <c r="CX164"/>
  <c r="CW164"/>
  <c r="CV164"/>
  <c r="CU164"/>
  <c r="CT164"/>
  <c r="CS164"/>
  <c r="CR164"/>
  <c r="CQ164"/>
  <c r="CP164"/>
  <c r="DA163"/>
  <c r="CZ163"/>
  <c r="CY163"/>
  <c r="CX163"/>
  <c r="CW163"/>
  <c r="CV163"/>
  <c r="CU163"/>
  <c r="CT163"/>
  <c r="CS163"/>
  <c r="CR163"/>
  <c r="CQ163"/>
  <c r="CP163"/>
  <c r="DA162"/>
  <c r="CZ162"/>
  <c r="CY162"/>
  <c r="CX162"/>
  <c r="CW162"/>
  <c r="CV162"/>
  <c r="CU162"/>
  <c r="CT162"/>
  <c r="CS162"/>
  <c r="CR162"/>
  <c r="CQ162"/>
  <c r="CP162"/>
  <c r="DA161"/>
  <c r="CZ161"/>
  <c r="CY161"/>
  <c r="CX161"/>
  <c r="CW161"/>
  <c r="CV161"/>
  <c r="CU161"/>
  <c r="CT161"/>
  <c r="CS161"/>
  <c r="CR161"/>
  <c r="CQ161"/>
  <c r="CP161"/>
  <c r="DA160"/>
  <c r="CZ160"/>
  <c r="CY160"/>
  <c r="CX160"/>
  <c r="CW160"/>
  <c r="CV160"/>
  <c r="CU160"/>
  <c r="CT160"/>
  <c r="CS160"/>
  <c r="CR160"/>
  <c r="CQ160"/>
  <c r="CP160"/>
  <c r="DA159"/>
  <c r="CZ159"/>
  <c r="CY159"/>
  <c r="CX159"/>
  <c r="CW159"/>
  <c r="CV159"/>
  <c r="CU159"/>
  <c r="CT159"/>
  <c r="CS159"/>
  <c r="CR159"/>
  <c r="CQ159"/>
  <c r="CP159"/>
  <c r="DA158"/>
  <c r="CZ158"/>
  <c r="CY158"/>
  <c r="CX158"/>
  <c r="CW158"/>
  <c r="CV158"/>
  <c r="CU158"/>
  <c r="CT158"/>
  <c r="CS158"/>
  <c r="CR158"/>
  <c r="CQ158"/>
  <c r="CP158"/>
  <c r="DA157"/>
  <c r="CZ157"/>
  <c r="CY157"/>
  <c r="CX157"/>
  <c r="CW157"/>
  <c r="CV157"/>
  <c r="CU157"/>
  <c r="CT157"/>
  <c r="CS157"/>
  <c r="CR157"/>
  <c r="CQ157"/>
  <c r="CP157"/>
  <c r="DA156"/>
  <c r="CZ156"/>
  <c r="CY156"/>
  <c r="CX156"/>
  <c r="CW156"/>
  <c r="CV156"/>
  <c r="CU156"/>
  <c r="CT156"/>
  <c r="CS156"/>
  <c r="CR156"/>
  <c r="CQ156"/>
  <c r="CP156"/>
  <c r="DA155"/>
  <c r="CZ155"/>
  <c r="CY155"/>
  <c r="CX155"/>
  <c r="CW155"/>
  <c r="CV155"/>
  <c r="CU155"/>
  <c r="CT155"/>
  <c r="CS155"/>
  <c r="CR155"/>
  <c r="CQ155"/>
  <c r="CP155"/>
  <c r="DA154"/>
  <c r="CZ154"/>
  <c r="CY154"/>
  <c r="CX154"/>
  <c r="CW154"/>
  <c r="CV154"/>
  <c r="CU154"/>
  <c r="CT154"/>
  <c r="CS154"/>
  <c r="CR154"/>
  <c r="CQ154"/>
  <c r="CP154"/>
  <c r="DA153"/>
  <c r="CZ153"/>
  <c r="CY153"/>
  <c r="CX153"/>
  <c r="CW153"/>
  <c r="CV153"/>
  <c r="CU153"/>
  <c r="CT153"/>
  <c r="CS153"/>
  <c r="CR153"/>
  <c r="CQ153"/>
  <c r="CP153"/>
  <c r="DA152"/>
  <c r="CZ152"/>
  <c r="CY152"/>
  <c r="CX152"/>
  <c r="CW152"/>
  <c r="CV152"/>
  <c r="CU152"/>
  <c r="CT152"/>
  <c r="CS152"/>
  <c r="CR152"/>
  <c r="CQ152"/>
  <c r="CP152"/>
  <c r="DA151"/>
  <c r="CZ151"/>
  <c r="CY151"/>
  <c r="CX151"/>
  <c r="CW151"/>
  <c r="CV151"/>
  <c r="CU151"/>
  <c r="CT151"/>
  <c r="CS151"/>
  <c r="CR151"/>
  <c r="CQ151"/>
  <c r="CP151"/>
  <c r="DA150"/>
  <c r="CZ150"/>
  <c r="CY150"/>
  <c r="CX150"/>
  <c r="CW150"/>
  <c r="CV150"/>
  <c r="CU150"/>
  <c r="CT150"/>
  <c r="CS150"/>
  <c r="CR150"/>
  <c r="CQ150"/>
  <c r="CP150"/>
  <c r="DA149"/>
  <c r="CZ149"/>
  <c r="CY149"/>
  <c r="CX149"/>
  <c r="CW149"/>
  <c r="CV149"/>
  <c r="CU149"/>
  <c r="CT149"/>
  <c r="CS149"/>
  <c r="CR149"/>
  <c r="CQ149"/>
  <c r="CP149"/>
  <c r="DA148"/>
  <c r="CZ148"/>
  <c r="CY148"/>
  <c r="CX148"/>
  <c r="CW148"/>
  <c r="CV148"/>
  <c r="CU148"/>
  <c r="CT148"/>
  <c r="CS148"/>
  <c r="CR148"/>
  <c r="CQ148"/>
  <c r="CP148"/>
  <c r="DA147"/>
  <c r="CZ147"/>
  <c r="CY147"/>
  <c r="CX147"/>
  <c r="CW147"/>
  <c r="CV147"/>
  <c r="CU147"/>
  <c r="CT147"/>
  <c r="CS147"/>
  <c r="CR147"/>
  <c r="CQ147"/>
  <c r="CP147"/>
  <c r="DA146"/>
  <c r="CZ146"/>
  <c r="CY146"/>
  <c r="CX146"/>
  <c r="CW146"/>
  <c r="CV146"/>
  <c r="CU146"/>
  <c r="CT146"/>
  <c r="CS146"/>
  <c r="CR146"/>
  <c r="CQ146"/>
  <c r="CP146"/>
  <c r="DA145"/>
  <c r="CZ145"/>
  <c r="CY145"/>
  <c r="CX145"/>
  <c r="CW145"/>
  <c r="CV145"/>
  <c r="CU145"/>
  <c r="CT145"/>
  <c r="CS145"/>
  <c r="CR145"/>
  <c r="CQ145"/>
  <c r="CP145"/>
  <c r="DA144"/>
  <c r="CZ144"/>
  <c r="CY144"/>
  <c r="CX144"/>
  <c r="CW144"/>
  <c r="CV144"/>
  <c r="CU144"/>
  <c r="CT144"/>
  <c r="CS144"/>
  <c r="CR144"/>
  <c r="CQ144"/>
  <c r="CP144"/>
  <c r="DA143"/>
  <c r="CZ143"/>
  <c r="CY143"/>
  <c r="CX143"/>
  <c r="CW143"/>
  <c r="CV143"/>
  <c r="CU143"/>
  <c r="CT143"/>
  <c r="CS143"/>
  <c r="CR143"/>
  <c r="CQ143"/>
  <c r="CP143"/>
  <c r="DA142"/>
  <c r="CZ142"/>
  <c r="CY142"/>
  <c r="CX142"/>
  <c r="CW142"/>
  <c r="CV142"/>
  <c r="CU142"/>
  <c r="CT142"/>
  <c r="CS142"/>
  <c r="CR142"/>
  <c r="CQ142"/>
  <c r="CP142"/>
  <c r="DA141"/>
  <c r="CZ141"/>
  <c r="CY141"/>
  <c r="CX141"/>
  <c r="CW141"/>
  <c r="CV141"/>
  <c r="CU141"/>
  <c r="CT141"/>
  <c r="CS141"/>
  <c r="CR141"/>
  <c r="CQ141"/>
  <c r="CP141"/>
  <c r="DA140"/>
  <c r="CZ140"/>
  <c r="CY140"/>
  <c r="CX140"/>
  <c r="CW140"/>
  <c r="CV140"/>
  <c r="CU140"/>
  <c r="CT140"/>
  <c r="CS140"/>
  <c r="CR140"/>
  <c r="CQ140"/>
  <c r="CP140"/>
  <c r="DA139"/>
  <c r="CZ139"/>
  <c r="CY139"/>
  <c r="CX139"/>
  <c r="CW139"/>
  <c r="CV139"/>
  <c r="CU139"/>
  <c r="CT139"/>
  <c r="CS139"/>
  <c r="CR139"/>
  <c r="CQ139"/>
  <c r="CP139"/>
  <c r="DA138"/>
  <c r="CZ138"/>
  <c r="CY138"/>
  <c r="CX138"/>
  <c r="CW138"/>
  <c r="CV138"/>
  <c r="CU138"/>
  <c r="CT138"/>
  <c r="CS138"/>
  <c r="CR138"/>
  <c r="CQ138"/>
  <c r="CP138"/>
  <c r="DA137"/>
  <c r="CZ137"/>
  <c r="CY137"/>
  <c r="CX137"/>
  <c r="CW137"/>
  <c r="CV137"/>
  <c r="CU137"/>
  <c r="CT137"/>
  <c r="CS137"/>
  <c r="CR137"/>
  <c r="CQ137"/>
  <c r="CP137"/>
  <c r="DA136"/>
  <c r="CZ136"/>
  <c r="CY136"/>
  <c r="CX136"/>
  <c r="CW136"/>
  <c r="CV136"/>
  <c r="CU136"/>
  <c r="CT136"/>
  <c r="CS136"/>
  <c r="CR136"/>
  <c r="CQ136"/>
  <c r="CP136"/>
  <c r="DA135"/>
  <c r="CZ135"/>
  <c r="CY135"/>
  <c r="CX135"/>
  <c r="CW135"/>
  <c r="CV135"/>
  <c r="CU135"/>
  <c r="CT135"/>
  <c r="CS135"/>
  <c r="CR135"/>
  <c r="CQ135"/>
  <c r="CP135"/>
  <c r="DA134"/>
  <c r="CZ134"/>
  <c r="CY134"/>
  <c r="CX134"/>
  <c r="CW134"/>
  <c r="CV134"/>
  <c r="CU134"/>
  <c r="CT134"/>
  <c r="CS134"/>
  <c r="CR134"/>
  <c r="CQ134"/>
  <c r="CP134"/>
  <c r="DA133"/>
  <c r="CZ133"/>
  <c r="CY133"/>
  <c r="CX133"/>
  <c r="CW133"/>
  <c r="CV133"/>
  <c r="CU133"/>
  <c r="CT133"/>
  <c r="CS133"/>
  <c r="CR133"/>
  <c r="CQ133"/>
  <c r="CP133"/>
  <c r="DA132"/>
  <c r="CZ132"/>
  <c r="CY132"/>
  <c r="CX132"/>
  <c r="CW132"/>
  <c r="CV132"/>
  <c r="CU132"/>
  <c r="CT132"/>
  <c r="CS132"/>
  <c r="CR132"/>
  <c r="CQ132"/>
  <c r="CP132"/>
  <c r="DA131"/>
  <c r="CZ131"/>
  <c r="CY131"/>
  <c r="CX131"/>
  <c r="CW131"/>
  <c r="CV131"/>
  <c r="CU131"/>
  <c r="CT131"/>
  <c r="CS131"/>
  <c r="CR131"/>
  <c r="CQ131"/>
  <c r="CP131"/>
  <c r="DA130"/>
  <c r="CZ130"/>
  <c r="CY130"/>
  <c r="CX130"/>
  <c r="CW130"/>
  <c r="CV130"/>
  <c r="CU130"/>
  <c r="CT130"/>
  <c r="CS130"/>
  <c r="CR130"/>
  <c r="CQ130"/>
  <c r="CP130"/>
  <c r="DA129"/>
  <c r="CZ129"/>
  <c r="CY129"/>
  <c r="CX129"/>
  <c r="CW129"/>
  <c r="CV129"/>
  <c r="CU129"/>
  <c r="CT129"/>
  <c r="CS129"/>
  <c r="CR129"/>
  <c r="CQ129"/>
  <c r="CP129"/>
  <c r="DA128"/>
  <c r="CZ128"/>
  <c r="CY128"/>
  <c r="CX128"/>
  <c r="CW128"/>
  <c r="CV128"/>
  <c r="CU128"/>
  <c r="CT128"/>
  <c r="CS128"/>
  <c r="CR128"/>
  <c r="CQ128"/>
  <c r="CP128"/>
  <c r="DA127"/>
  <c r="CZ127"/>
  <c r="CY127"/>
  <c r="CX127"/>
  <c r="CW127"/>
  <c r="CV127"/>
  <c r="CU127"/>
  <c r="CT127"/>
  <c r="CS127"/>
  <c r="CR127"/>
  <c r="CQ127"/>
  <c r="CP127"/>
  <c r="DA126"/>
  <c r="CZ126"/>
  <c r="CY126"/>
  <c r="CX126"/>
  <c r="CW126"/>
  <c r="CV126"/>
  <c r="CU126"/>
  <c r="CT126"/>
  <c r="CS126"/>
  <c r="CR126"/>
  <c r="CQ126"/>
  <c r="CP126"/>
  <c r="DA125"/>
  <c r="CZ125"/>
  <c r="CY125"/>
  <c r="CX125"/>
  <c r="CW125"/>
  <c r="CV125"/>
  <c r="CU125"/>
  <c r="CT125"/>
  <c r="CS125"/>
  <c r="CR125"/>
  <c r="CQ125"/>
  <c r="CP125"/>
  <c r="DA124"/>
  <c r="CZ124"/>
  <c r="CY124"/>
  <c r="CX124"/>
  <c r="CW124"/>
  <c r="CV124"/>
  <c r="CU124"/>
  <c r="CT124"/>
  <c r="CS124"/>
  <c r="CR124"/>
  <c r="CQ124"/>
  <c r="CP124"/>
  <c r="DA123"/>
  <c r="CZ123"/>
  <c r="CY123"/>
  <c r="CX123"/>
  <c r="CW123"/>
  <c r="CV123"/>
  <c r="CU123"/>
  <c r="CT123"/>
  <c r="CS123"/>
  <c r="CR123"/>
  <c r="CQ123"/>
  <c r="CP123"/>
  <c r="DA122"/>
  <c r="CZ122"/>
  <c r="CY122"/>
  <c r="CX122"/>
  <c r="CW122"/>
  <c r="CV122"/>
  <c r="CU122"/>
  <c r="CT122"/>
  <c r="CS122"/>
  <c r="CR122"/>
  <c r="CQ122"/>
  <c r="CP122"/>
  <c r="DA121"/>
  <c r="CZ121"/>
  <c r="CY121"/>
  <c r="CX121"/>
  <c r="CW121"/>
  <c r="CV121"/>
  <c r="CU121"/>
  <c r="CT121"/>
  <c r="CS121"/>
  <c r="CR121"/>
  <c r="CQ121"/>
  <c r="CP121"/>
  <c r="DA120"/>
  <c r="CZ120"/>
  <c r="CY120"/>
  <c r="CX120"/>
  <c r="CW120"/>
  <c r="CV120"/>
  <c r="CU120"/>
  <c r="CT120"/>
  <c r="CS120"/>
  <c r="CR120"/>
  <c r="CQ120"/>
  <c r="CP120"/>
  <c r="DA119"/>
  <c r="CZ119"/>
  <c r="CY119"/>
  <c r="CX119"/>
  <c r="CW119"/>
  <c r="CV119"/>
  <c r="CU119"/>
  <c r="CT119"/>
  <c r="CS119"/>
  <c r="CR119"/>
  <c r="CQ119"/>
  <c r="CP119"/>
  <c r="DA118"/>
  <c r="CZ118"/>
  <c r="CY118"/>
  <c r="CX118"/>
  <c r="CW118"/>
  <c r="CV118"/>
  <c r="CU118"/>
  <c r="CT118"/>
  <c r="CS118"/>
  <c r="CR118"/>
  <c r="CQ118"/>
  <c r="CP118"/>
  <c r="DA117"/>
  <c r="CZ117"/>
  <c r="CY117"/>
  <c r="CX117"/>
  <c r="CW117"/>
  <c r="CV117"/>
  <c r="CU117"/>
  <c r="CT117"/>
  <c r="CS117"/>
  <c r="CR117"/>
  <c r="CQ117"/>
  <c r="CP117"/>
  <c r="DA116"/>
  <c r="CZ116"/>
  <c r="CY116"/>
  <c r="CX116"/>
  <c r="CW116"/>
  <c r="CV116"/>
  <c r="CU116"/>
  <c r="CT116"/>
  <c r="CS116"/>
  <c r="CR116"/>
  <c r="CQ116"/>
  <c r="CP116"/>
  <c r="DA115"/>
  <c r="CZ115"/>
  <c r="CY115"/>
  <c r="CX115"/>
  <c r="CW115"/>
  <c r="CV115"/>
  <c r="CU115"/>
  <c r="CT115"/>
  <c r="CS115"/>
  <c r="CR115"/>
  <c r="CQ115"/>
  <c r="CP115"/>
  <c r="DA114"/>
  <c r="CZ114"/>
  <c r="CY114"/>
  <c r="CX114"/>
  <c r="CW114"/>
  <c r="CV114"/>
  <c r="CU114"/>
  <c r="CT114"/>
  <c r="CS114"/>
  <c r="CR114"/>
  <c r="CQ114"/>
  <c r="CP114"/>
  <c r="DA113"/>
  <c r="CZ113"/>
  <c r="CY113"/>
  <c r="CX113"/>
  <c r="CW113"/>
  <c r="CV113"/>
  <c r="CU113"/>
  <c r="CT113"/>
  <c r="CS113"/>
  <c r="CR113"/>
  <c r="CQ113"/>
  <c r="CP113"/>
  <c r="DA112"/>
  <c r="CZ112"/>
  <c r="CY112"/>
  <c r="CX112"/>
  <c r="CW112"/>
  <c r="CV112"/>
  <c r="CU112"/>
  <c r="CT112"/>
  <c r="CS112"/>
  <c r="CR112"/>
  <c r="CQ112"/>
  <c r="CP112"/>
  <c r="DA111"/>
  <c r="CZ111"/>
  <c r="CY111"/>
  <c r="CX111"/>
  <c r="CW111"/>
  <c r="CV111"/>
  <c r="CU111"/>
  <c r="CT111"/>
  <c r="CS111"/>
  <c r="CR111"/>
  <c r="CQ111"/>
  <c r="CP111"/>
  <c r="DA110"/>
  <c r="CZ110"/>
  <c r="CY110"/>
  <c r="CX110"/>
  <c r="CW110"/>
  <c r="CV110"/>
  <c r="CU110"/>
  <c r="CT110"/>
  <c r="CS110"/>
  <c r="CR110"/>
  <c r="CQ110"/>
  <c r="CP110"/>
  <c r="DA109"/>
  <c r="CZ109"/>
  <c r="CY109"/>
  <c r="CX109"/>
  <c r="CW109"/>
  <c r="CV109"/>
  <c r="CU109"/>
  <c r="CT109"/>
  <c r="CS109"/>
  <c r="CR109"/>
  <c r="CQ109"/>
  <c r="CP109"/>
  <c r="DA108"/>
  <c r="CZ108"/>
  <c r="CY108"/>
  <c r="CX108"/>
  <c r="CW108"/>
  <c r="CV108"/>
  <c r="CU108"/>
  <c r="CT108"/>
  <c r="CS108"/>
  <c r="CR108"/>
  <c r="CQ108"/>
  <c r="CP108"/>
  <c r="DA107"/>
  <c r="CZ107"/>
  <c r="CY107"/>
  <c r="CX107"/>
  <c r="CW107"/>
  <c r="CV107"/>
  <c r="CU107"/>
  <c r="CT107"/>
  <c r="CS107"/>
  <c r="CR107"/>
  <c r="CQ107"/>
  <c r="CP107"/>
  <c r="DA106"/>
  <c r="CZ106"/>
  <c r="CY106"/>
  <c r="CX106"/>
  <c r="CW106"/>
  <c r="CV106"/>
  <c r="CU106"/>
  <c r="CT106"/>
  <c r="CS106"/>
  <c r="CR106"/>
  <c r="CQ106"/>
  <c r="CP106"/>
  <c r="DA105"/>
  <c r="CZ105"/>
  <c r="CY105"/>
  <c r="CX105"/>
  <c r="CW105"/>
  <c r="CV105"/>
  <c r="CU105"/>
  <c r="CT105"/>
  <c r="CS105"/>
  <c r="CR105"/>
  <c r="CQ105"/>
  <c r="CP105"/>
  <c r="DA104"/>
  <c r="CZ104"/>
  <c r="CY104"/>
  <c r="CX104"/>
  <c r="CW104"/>
  <c r="CV104"/>
  <c r="CU104"/>
  <c r="CT104"/>
  <c r="CS104"/>
  <c r="CR104"/>
  <c r="CQ104"/>
  <c r="CP104"/>
  <c r="DA103"/>
  <c r="CZ103"/>
  <c r="CY103"/>
  <c r="CX103"/>
  <c r="CW103"/>
  <c r="CV103"/>
  <c r="CU103"/>
  <c r="CT103"/>
  <c r="CS103"/>
  <c r="CR103"/>
  <c r="CQ103"/>
  <c r="CP103"/>
  <c r="DA102"/>
  <c r="CZ102"/>
  <c r="CY102"/>
  <c r="CX102"/>
  <c r="CW102"/>
  <c r="CV102"/>
  <c r="CU102"/>
  <c r="CT102"/>
  <c r="CS102"/>
  <c r="CR102"/>
  <c r="CQ102"/>
  <c r="CP102"/>
  <c r="DA101"/>
  <c r="CZ101"/>
  <c r="CY101"/>
  <c r="CX101"/>
  <c r="CW101"/>
  <c r="CV101"/>
  <c r="CU101"/>
  <c r="CT101"/>
  <c r="CS101"/>
  <c r="CR101"/>
  <c r="CQ101"/>
  <c r="CP101"/>
  <c r="DA100"/>
  <c r="CZ100"/>
  <c r="CY100"/>
  <c r="CX100"/>
  <c r="CW100"/>
  <c r="CV100"/>
  <c r="CU100"/>
  <c r="CT100"/>
  <c r="CS100"/>
  <c r="CR100"/>
  <c r="CQ100"/>
  <c r="CP100"/>
  <c r="DA99"/>
  <c r="CZ99"/>
  <c r="CY99"/>
  <c r="CX99"/>
  <c r="CW99"/>
  <c r="CV99"/>
  <c r="CU99"/>
  <c r="CT99"/>
  <c r="CS99"/>
  <c r="CR99"/>
  <c r="CQ99"/>
  <c r="CP99"/>
  <c r="DA98"/>
  <c r="CZ98"/>
  <c r="CY98"/>
  <c r="CX98"/>
  <c r="CW98"/>
  <c r="CV98"/>
  <c r="CU98"/>
  <c r="CT98"/>
  <c r="CS98"/>
  <c r="CR98"/>
  <c r="CQ98"/>
  <c r="CP98"/>
  <c r="DA97"/>
  <c r="CZ97"/>
  <c r="CY97"/>
  <c r="CX97"/>
  <c r="CW97"/>
  <c r="CV97"/>
  <c r="CU97"/>
  <c r="CT97"/>
  <c r="CS97"/>
  <c r="CR97"/>
  <c r="CQ97"/>
  <c r="CP97"/>
  <c r="DA96"/>
  <c r="CZ96"/>
  <c r="CY96"/>
  <c r="CX96"/>
  <c r="CW96"/>
  <c r="CV96"/>
  <c r="CU96"/>
  <c r="CT96"/>
  <c r="CS96"/>
  <c r="CR96"/>
  <c r="CQ96"/>
  <c r="CP96"/>
  <c r="DA95"/>
  <c r="CZ95"/>
  <c r="CY95"/>
  <c r="CX95"/>
  <c r="CW95"/>
  <c r="CV95"/>
  <c r="CU95"/>
  <c r="CT95"/>
  <c r="CS95"/>
  <c r="CR95"/>
  <c r="CQ95"/>
  <c r="CP95"/>
  <c r="DA94"/>
  <c r="CZ94"/>
  <c r="CY94"/>
  <c r="CX94"/>
  <c r="CW94"/>
  <c r="CV94"/>
  <c r="CU94"/>
  <c r="CT94"/>
  <c r="CS94"/>
  <c r="CR94"/>
  <c r="CQ94"/>
  <c r="CP94"/>
  <c r="DA93"/>
  <c r="CZ93"/>
  <c r="CY93"/>
  <c r="CX93"/>
  <c r="CW93"/>
  <c r="CV93"/>
  <c r="CU93"/>
  <c r="CT93"/>
  <c r="CS93"/>
  <c r="CR93"/>
  <c r="CQ93"/>
  <c r="CP93"/>
  <c r="DA92"/>
  <c r="CZ92"/>
  <c r="CY92"/>
  <c r="CX92"/>
  <c r="CW92"/>
  <c r="CV92"/>
  <c r="CU92"/>
  <c r="CT92"/>
  <c r="CS92"/>
  <c r="CR92"/>
  <c r="CQ92"/>
  <c r="CP92"/>
  <c r="DA91"/>
  <c r="CZ91"/>
  <c r="CY91"/>
  <c r="CX91"/>
  <c r="CW91"/>
  <c r="CV91"/>
  <c r="CU91"/>
  <c r="CT91"/>
  <c r="CS91"/>
  <c r="CR91"/>
  <c r="CQ91"/>
  <c r="CP91"/>
  <c r="DA90"/>
  <c r="CZ90"/>
  <c r="CY90"/>
  <c r="CX90"/>
  <c r="CW90"/>
  <c r="CV90"/>
  <c r="CU90"/>
  <c r="CT90"/>
  <c r="CS90"/>
  <c r="CR90"/>
  <c r="CQ90"/>
  <c r="CP90"/>
  <c r="DA89"/>
  <c r="CZ89"/>
  <c r="CY89"/>
  <c r="CX89"/>
  <c r="CW89"/>
  <c r="CV89"/>
  <c r="CU89"/>
  <c r="CT89"/>
  <c r="CS89"/>
  <c r="CR89"/>
  <c r="CQ89"/>
  <c r="CP89"/>
  <c r="DA88"/>
  <c r="CZ88"/>
  <c r="CY88"/>
  <c r="CX88"/>
  <c r="CW88"/>
  <c r="CV88"/>
  <c r="CU88"/>
  <c r="CT88"/>
  <c r="CS88"/>
  <c r="CR88"/>
  <c r="CQ88"/>
  <c r="CP88"/>
  <c r="DA87"/>
  <c r="CZ87"/>
  <c r="CY87"/>
  <c r="CX87"/>
  <c r="CW87"/>
  <c r="CV87"/>
  <c r="CU87"/>
  <c r="CT87"/>
  <c r="CS87"/>
  <c r="CR87"/>
  <c r="CQ87"/>
  <c r="CP87"/>
  <c r="DA86"/>
  <c r="CZ86"/>
  <c r="CY86"/>
  <c r="CX86"/>
  <c r="CW86"/>
  <c r="CV86"/>
  <c r="CU86"/>
  <c r="CT86"/>
  <c r="CS86"/>
  <c r="CR86"/>
  <c r="CQ86"/>
  <c r="CP86"/>
  <c r="DA85"/>
  <c r="CZ85"/>
  <c r="CY85"/>
  <c r="CX85"/>
  <c r="CW85"/>
  <c r="CV85"/>
  <c r="CU85"/>
  <c r="CT85"/>
  <c r="CS85"/>
  <c r="CR85"/>
  <c r="CQ85"/>
  <c r="CP85"/>
  <c r="DA84"/>
  <c r="CZ84"/>
  <c r="CY84"/>
  <c r="CX84"/>
  <c r="CW84"/>
  <c r="CV84"/>
  <c r="CU84"/>
  <c r="CT84"/>
  <c r="CS84"/>
  <c r="CR84"/>
  <c r="CQ84"/>
  <c r="CP84"/>
  <c r="DA83"/>
  <c r="CZ83"/>
  <c r="CY83"/>
  <c r="CX83"/>
  <c r="CW83"/>
  <c r="CV83"/>
  <c r="CU83"/>
  <c r="CT83"/>
  <c r="CS83"/>
  <c r="CR83"/>
  <c r="CQ83"/>
  <c r="CP83"/>
  <c r="DA82"/>
  <c r="CZ82"/>
  <c r="CY82"/>
  <c r="CX82"/>
  <c r="CW82"/>
  <c r="CV82"/>
  <c r="CU82"/>
  <c r="CT82"/>
  <c r="CS82"/>
  <c r="CR82"/>
  <c r="CQ82"/>
  <c r="CP82"/>
  <c r="DA81"/>
  <c r="CZ81"/>
  <c r="CY81"/>
  <c r="CX81"/>
  <c r="CW81"/>
  <c r="CV81"/>
  <c r="CU81"/>
  <c r="CT81"/>
  <c r="CS81"/>
  <c r="CR81"/>
  <c r="CQ81"/>
  <c r="CP81"/>
  <c r="DA80"/>
  <c r="CZ80"/>
  <c r="CY80"/>
  <c r="CX80"/>
  <c r="CW80"/>
  <c r="CV80"/>
  <c r="CU80"/>
  <c r="CT80"/>
  <c r="CS80"/>
  <c r="CR80"/>
  <c r="CQ80"/>
  <c r="CP80"/>
  <c r="DA79"/>
  <c r="CZ79"/>
  <c r="CY79"/>
  <c r="CX79"/>
  <c r="CW79"/>
  <c r="CV79"/>
  <c r="CU79"/>
  <c r="CT79"/>
  <c r="CS79"/>
  <c r="CR79"/>
  <c r="CQ79"/>
  <c r="CP79"/>
  <c r="DA78"/>
  <c r="CZ78"/>
  <c r="CY78"/>
  <c r="CX78"/>
  <c r="CW78"/>
  <c r="CV78"/>
  <c r="CU78"/>
  <c r="CT78"/>
  <c r="CS78"/>
  <c r="CR78"/>
  <c r="CQ78"/>
  <c r="CP78"/>
  <c r="DA77"/>
  <c r="CZ77"/>
  <c r="CY77"/>
  <c r="CX77"/>
  <c r="CW77"/>
  <c r="CV77"/>
  <c r="CU77"/>
  <c r="CT77"/>
  <c r="CS77"/>
  <c r="CR77"/>
  <c r="CQ77"/>
  <c r="CP77"/>
  <c r="DA76"/>
  <c r="CZ76"/>
  <c r="CY76"/>
  <c r="CX76"/>
  <c r="CW76"/>
  <c r="CV76"/>
  <c r="CU76"/>
  <c r="CT76"/>
  <c r="CS76"/>
  <c r="CR76"/>
  <c r="CQ76"/>
  <c r="CP76"/>
  <c r="DA75"/>
  <c r="CZ75"/>
  <c r="CY75"/>
  <c r="CX75"/>
  <c r="CW75"/>
  <c r="CV75"/>
  <c r="CU75"/>
  <c r="CT75"/>
  <c r="CS75"/>
  <c r="CR75"/>
  <c r="CQ75"/>
  <c r="CP75"/>
  <c r="DA74"/>
  <c r="CZ74"/>
  <c r="CY74"/>
  <c r="CX74"/>
  <c r="CW74"/>
  <c r="CV74"/>
  <c r="CU74"/>
  <c r="CT74"/>
  <c r="CS74"/>
  <c r="CR74"/>
  <c r="CQ74"/>
  <c r="CP74"/>
  <c r="DA73"/>
  <c r="CZ73"/>
  <c r="CY73"/>
  <c r="CX73"/>
  <c r="CW73"/>
  <c r="CV73"/>
  <c r="CU73"/>
  <c r="CT73"/>
  <c r="CS73"/>
  <c r="CR73"/>
  <c r="CQ73"/>
  <c r="CP73"/>
  <c r="DA72"/>
  <c r="CZ72"/>
  <c r="CY72"/>
  <c r="CX72"/>
  <c r="CW72"/>
  <c r="CV72"/>
  <c r="CU72"/>
  <c r="CT72"/>
  <c r="CS72"/>
  <c r="CR72"/>
  <c r="CQ72"/>
  <c r="CP72"/>
  <c r="DA71"/>
  <c r="CZ71"/>
  <c r="CY71"/>
  <c r="CX71"/>
  <c r="CW71"/>
  <c r="CV71"/>
  <c r="CU71"/>
  <c r="CT71"/>
  <c r="CS71"/>
  <c r="CR71"/>
  <c r="CQ71"/>
  <c r="CP71"/>
  <c r="DA70"/>
  <c r="CZ70"/>
  <c r="CY70"/>
  <c r="CX70"/>
  <c r="CW70"/>
  <c r="CV70"/>
  <c r="CU70"/>
  <c r="CT70"/>
  <c r="CS70"/>
  <c r="CR70"/>
  <c r="CQ70"/>
  <c r="CP70"/>
  <c r="DA69"/>
  <c r="CZ69"/>
  <c r="CY69"/>
  <c r="CX69"/>
  <c r="CW69"/>
  <c r="CV69"/>
  <c r="CU69"/>
  <c r="CT69"/>
  <c r="CS69"/>
  <c r="CR69"/>
  <c r="CQ69"/>
  <c r="CP69"/>
  <c r="DA68"/>
  <c r="CZ68"/>
  <c r="CY68"/>
  <c r="CX68"/>
  <c r="CW68"/>
  <c r="CV68"/>
  <c r="CU68"/>
  <c r="CT68"/>
  <c r="CS68"/>
  <c r="CR68"/>
  <c r="CQ68"/>
  <c r="CP68"/>
  <c r="DA67"/>
  <c r="CZ67"/>
  <c r="CY67"/>
  <c r="CX67"/>
  <c r="CW67"/>
  <c r="CV67"/>
  <c r="CU67"/>
  <c r="CT67"/>
  <c r="CS67"/>
  <c r="CR67"/>
  <c r="CQ67"/>
  <c r="CP67"/>
  <c r="DA66"/>
  <c r="CZ66"/>
  <c r="CY66"/>
  <c r="CX66"/>
  <c r="CW66"/>
  <c r="CV66"/>
  <c r="CU66"/>
  <c r="CT66"/>
  <c r="CS66"/>
  <c r="CR66"/>
  <c r="CQ66"/>
  <c r="CP66"/>
  <c r="DA65"/>
  <c r="CZ65"/>
  <c r="CY65"/>
  <c r="CX65"/>
  <c r="CW65"/>
  <c r="CV65"/>
  <c r="CU65"/>
  <c r="CT65"/>
  <c r="CS65"/>
  <c r="CR65"/>
  <c r="CQ65"/>
  <c r="CP65"/>
  <c r="DA64"/>
  <c r="CZ64"/>
  <c r="CY64"/>
  <c r="CX64"/>
  <c r="CW64"/>
  <c r="CV64"/>
  <c r="CU64"/>
  <c r="CT64"/>
  <c r="CS64"/>
  <c r="CR64"/>
  <c r="CQ64"/>
  <c r="CP64"/>
  <c r="DA63"/>
  <c r="CZ63"/>
  <c r="CY63"/>
  <c r="CX63"/>
  <c r="CW63"/>
  <c r="CV63"/>
  <c r="CU63"/>
  <c r="CT63"/>
  <c r="CS63"/>
  <c r="CR63"/>
  <c r="CQ63"/>
  <c r="CP63"/>
  <c r="DA62"/>
  <c r="CZ62"/>
  <c r="CY62"/>
  <c r="CX62"/>
  <c r="CW62"/>
  <c r="CV62"/>
  <c r="CU62"/>
  <c r="CT62"/>
  <c r="CS62"/>
  <c r="CR62"/>
  <c r="CQ62"/>
  <c r="CP62"/>
  <c r="DA61"/>
  <c r="CZ61"/>
  <c r="CY61"/>
  <c r="CX61"/>
  <c r="CW61"/>
  <c r="CV61"/>
  <c r="CU61"/>
  <c r="CT61"/>
  <c r="CS61"/>
  <c r="CR61"/>
  <c r="CQ61"/>
  <c r="CP61"/>
  <c r="DA60"/>
  <c r="CZ60"/>
  <c r="CY60"/>
  <c r="CX60"/>
  <c r="CW60"/>
  <c r="CV60"/>
  <c r="CU60"/>
  <c r="CT60"/>
  <c r="CS60"/>
  <c r="CR60"/>
  <c r="CQ60"/>
  <c r="CP60"/>
  <c r="DA59"/>
  <c r="CZ59"/>
  <c r="CY59"/>
  <c r="CX59"/>
  <c r="CW59"/>
  <c r="CV59"/>
  <c r="CU59"/>
  <c r="CT59"/>
  <c r="CS59"/>
  <c r="CR59"/>
  <c r="CQ59"/>
  <c r="CP59"/>
  <c r="DA58"/>
  <c r="CZ58"/>
  <c r="CY58"/>
  <c r="CX58"/>
  <c r="CW58"/>
  <c r="CV58"/>
  <c r="CU58"/>
  <c r="CT58"/>
  <c r="CS58"/>
  <c r="CR58"/>
  <c r="CQ58"/>
  <c r="CP58"/>
  <c r="DA57"/>
  <c r="CZ57"/>
  <c r="CY57"/>
  <c r="CX57"/>
  <c r="CW57"/>
  <c r="CV57"/>
  <c r="CU57"/>
  <c r="CT57"/>
  <c r="CS57"/>
  <c r="CR57"/>
  <c r="CQ57"/>
  <c r="CP57"/>
  <c r="DA56"/>
  <c r="CZ56"/>
  <c r="CY56"/>
  <c r="CX56"/>
  <c r="CW56"/>
  <c r="CV56"/>
  <c r="CU56"/>
  <c r="CT56"/>
  <c r="CS56"/>
  <c r="CR56"/>
  <c r="CQ56"/>
  <c r="CP56"/>
  <c r="DA55"/>
  <c r="CZ55"/>
  <c r="CY55"/>
  <c r="CX55"/>
  <c r="CW55"/>
  <c r="CV55"/>
  <c r="CU55"/>
  <c r="CT55"/>
  <c r="CS55"/>
  <c r="CR55"/>
  <c r="CQ55"/>
  <c r="CP55"/>
  <c r="DA54"/>
  <c r="CZ54"/>
  <c r="CY54"/>
  <c r="CX54"/>
  <c r="CW54"/>
  <c r="CV54"/>
  <c r="CU54"/>
  <c r="CT54"/>
  <c r="CS54"/>
  <c r="CR54"/>
  <c r="CQ54"/>
  <c r="CP54"/>
  <c r="DA53"/>
  <c r="CZ53"/>
  <c r="CY53"/>
  <c r="CX53"/>
  <c r="CW53"/>
  <c r="CV53"/>
  <c r="CU53"/>
  <c r="CT53"/>
  <c r="CS53"/>
  <c r="CR53"/>
  <c r="CQ53"/>
  <c r="CP53"/>
  <c r="DA52"/>
  <c r="CZ52"/>
  <c r="CY52"/>
  <c r="CX52"/>
  <c r="CW52"/>
  <c r="CV52"/>
  <c r="CU52"/>
  <c r="CT52"/>
  <c r="CS52"/>
  <c r="CR52"/>
  <c r="CQ52"/>
  <c r="CP52"/>
  <c r="DA51"/>
  <c r="CZ51"/>
  <c r="CY51"/>
  <c r="CX51"/>
  <c r="CW51"/>
  <c r="CV51"/>
  <c r="CU51"/>
  <c r="CT51"/>
  <c r="CS51"/>
  <c r="CR51"/>
  <c r="CQ51"/>
  <c r="CP51"/>
  <c r="DA50"/>
  <c r="CZ50"/>
  <c r="CY50"/>
  <c r="CX50"/>
  <c r="CW50"/>
  <c r="CV50"/>
  <c r="CU50"/>
  <c r="CT50"/>
  <c r="CS50"/>
  <c r="CR50"/>
  <c r="CQ50"/>
  <c r="CP50"/>
  <c r="DA49"/>
  <c r="CZ49"/>
  <c r="CY49"/>
  <c r="CX49"/>
  <c r="CW49"/>
  <c r="CV49"/>
  <c r="CU49"/>
  <c r="CT49"/>
  <c r="CS49"/>
  <c r="CR49"/>
  <c r="CQ49"/>
  <c r="CP49"/>
  <c r="DA48"/>
  <c r="CZ48"/>
  <c r="CY48"/>
  <c r="CX48"/>
  <c r="CW48"/>
  <c r="CV48"/>
  <c r="CU48"/>
  <c r="CT48"/>
  <c r="CS48"/>
  <c r="CR48"/>
  <c r="CQ48"/>
  <c r="CP48"/>
  <c r="DA47"/>
  <c r="CZ47"/>
  <c r="CY47"/>
  <c r="CX47"/>
  <c r="CW47"/>
  <c r="CV47"/>
  <c r="CU47"/>
  <c r="CT47"/>
  <c r="CS47"/>
  <c r="CR47"/>
  <c r="CQ47"/>
  <c r="CP47"/>
  <c r="DA46"/>
  <c r="CZ46"/>
  <c r="CY46"/>
  <c r="CX46"/>
  <c r="CW46"/>
  <c r="CV46"/>
  <c r="CU46"/>
  <c r="CT46"/>
  <c r="CS46"/>
  <c r="CR46"/>
  <c r="CQ46"/>
  <c r="CP46"/>
  <c r="DA45"/>
  <c r="CZ45"/>
  <c r="CY45"/>
  <c r="CX45"/>
  <c r="CW45"/>
  <c r="CV45"/>
  <c r="CU45"/>
  <c r="CT45"/>
  <c r="CS45"/>
  <c r="CR45"/>
  <c r="CQ45"/>
  <c r="CP45"/>
  <c r="DA44"/>
  <c r="CZ44"/>
  <c r="CY44"/>
  <c r="CX44"/>
  <c r="CW44"/>
  <c r="CV44"/>
  <c r="CU44"/>
  <c r="CT44"/>
  <c r="CS44"/>
  <c r="CR44"/>
  <c r="CQ44"/>
  <c r="CP44"/>
  <c r="DA43"/>
  <c r="CZ43"/>
  <c r="CY43"/>
  <c r="CX43"/>
  <c r="CW43"/>
  <c r="CV43"/>
  <c r="CU43"/>
  <c r="CT43"/>
  <c r="CS43"/>
  <c r="CR43"/>
  <c r="CQ43"/>
  <c r="CP43"/>
  <c r="DA42"/>
  <c r="CZ42"/>
  <c r="CY42"/>
  <c r="CX42"/>
  <c r="CW42"/>
  <c r="CV42"/>
  <c r="CU42"/>
  <c r="CT42"/>
  <c r="CS42"/>
  <c r="CR42"/>
  <c r="CQ42"/>
  <c r="CP42"/>
  <c r="DA41"/>
  <c r="CZ41"/>
  <c r="CY41"/>
  <c r="CX41"/>
  <c r="CW41"/>
  <c r="CV41"/>
  <c r="CU41"/>
  <c r="CT41"/>
  <c r="CS41"/>
  <c r="CR41"/>
  <c r="CQ41"/>
  <c r="CP41"/>
  <c r="DA40"/>
  <c r="CZ40"/>
  <c r="CY40"/>
  <c r="CX40"/>
  <c r="CW40"/>
  <c r="CV40"/>
  <c r="CU40"/>
  <c r="CT40"/>
  <c r="CS40"/>
  <c r="CR40"/>
  <c r="CQ40"/>
  <c r="CP40"/>
  <c r="DA39"/>
  <c r="CZ39"/>
  <c r="CY39"/>
  <c r="CX39"/>
  <c r="CW39"/>
  <c r="CV39"/>
  <c r="CU39"/>
  <c r="CT39"/>
  <c r="CS39"/>
  <c r="CR39"/>
  <c r="CQ39"/>
  <c r="CP39"/>
  <c r="DA38"/>
  <c r="CZ38"/>
  <c r="CY38"/>
  <c r="CX38"/>
  <c r="CW38"/>
  <c r="CV38"/>
  <c r="CU38"/>
  <c r="CT38"/>
  <c r="CS38"/>
  <c r="CR38"/>
  <c r="CQ38"/>
  <c r="CP38"/>
  <c r="DA37"/>
  <c r="CZ37"/>
  <c r="CY37"/>
  <c r="CX37"/>
  <c r="CW37"/>
  <c r="CV37"/>
  <c r="CU37"/>
  <c r="CT37"/>
  <c r="CS37"/>
  <c r="CR37"/>
  <c r="CQ37"/>
  <c r="CP37"/>
  <c r="DA36"/>
  <c r="CZ36"/>
  <c r="CY36"/>
  <c r="CX36"/>
  <c r="CW36"/>
  <c r="CV36"/>
  <c r="CU36"/>
  <c r="CT36"/>
  <c r="CS36"/>
  <c r="CR36"/>
  <c r="CQ36"/>
  <c r="CP36"/>
  <c r="DA35"/>
  <c r="CZ35"/>
  <c r="CY35"/>
  <c r="CX35"/>
  <c r="CW35"/>
  <c r="CV35"/>
  <c r="CU35"/>
  <c r="CT35"/>
  <c r="CS35"/>
  <c r="CR35"/>
  <c r="CQ35"/>
  <c r="CP35"/>
  <c r="DA34"/>
  <c r="CZ34"/>
  <c r="CY34"/>
  <c r="CX34"/>
  <c r="CW34"/>
  <c r="CV34"/>
  <c r="CU34"/>
  <c r="CT34"/>
  <c r="CS34"/>
  <c r="CR34"/>
  <c r="CQ34"/>
  <c r="CP34"/>
  <c r="DA33"/>
  <c r="CZ33"/>
  <c r="CY33"/>
  <c r="CX33"/>
  <c r="CW33"/>
  <c r="CV33"/>
  <c r="CU33"/>
  <c r="CT33"/>
  <c r="CS33"/>
  <c r="CR33"/>
  <c r="CQ33"/>
  <c r="CP33"/>
  <c r="DA32"/>
  <c r="CZ32"/>
  <c r="CY32"/>
  <c r="CX32"/>
  <c r="CW32"/>
  <c r="CV32"/>
  <c r="CU32"/>
  <c r="CT32"/>
  <c r="CS32"/>
  <c r="CR32"/>
  <c r="CQ32"/>
  <c r="CP32"/>
  <c r="DA31"/>
  <c r="CZ31"/>
  <c r="CY31"/>
  <c r="CX31"/>
  <c r="CW31"/>
  <c r="CV31"/>
  <c r="CU31"/>
  <c r="CT31"/>
  <c r="CS31"/>
  <c r="CR31"/>
  <c r="CQ31"/>
  <c r="CP31"/>
  <c r="DA30"/>
  <c r="CZ30"/>
  <c r="CY30"/>
  <c r="CX30"/>
  <c r="CW30"/>
  <c r="CV30"/>
  <c r="CU30"/>
  <c r="CT30"/>
  <c r="CS30"/>
  <c r="CR30"/>
  <c r="CQ30"/>
  <c r="CP30"/>
  <c r="DA29"/>
  <c r="CZ29"/>
  <c r="CY29"/>
  <c r="CX29"/>
  <c r="CW29"/>
  <c r="CV29"/>
  <c r="CU29"/>
  <c r="CT29"/>
  <c r="CS29"/>
  <c r="CR29"/>
  <c r="CQ29"/>
  <c r="CP29"/>
  <c r="DA28"/>
  <c r="CZ28"/>
  <c r="CY28"/>
  <c r="CX28"/>
  <c r="CW28"/>
  <c r="CV28"/>
  <c r="CU28"/>
  <c r="CT28"/>
  <c r="CS28"/>
  <c r="CR28"/>
  <c r="CQ28"/>
  <c r="CP28"/>
  <c r="DA27"/>
  <c r="CZ27"/>
  <c r="CY27"/>
  <c r="CX27"/>
  <c r="CW27"/>
  <c r="CV27"/>
  <c r="CU27"/>
  <c r="CT27"/>
  <c r="CS27"/>
  <c r="CR27"/>
  <c r="CQ27"/>
  <c r="CP27"/>
  <c r="DA26"/>
  <c r="CZ26"/>
  <c r="CY26"/>
  <c r="CX26"/>
  <c r="CW26"/>
  <c r="CV26"/>
  <c r="CU26"/>
  <c r="CT26"/>
  <c r="CS26"/>
  <c r="CR26"/>
  <c r="CQ26"/>
  <c r="CP26"/>
  <c r="DA25"/>
  <c r="CZ25"/>
  <c r="CY25"/>
  <c r="CX25"/>
  <c r="CW25"/>
  <c r="CV25"/>
  <c r="CU25"/>
  <c r="CT25"/>
  <c r="CS25"/>
  <c r="CR25"/>
  <c r="CQ25"/>
  <c r="CP25"/>
  <c r="DA24"/>
  <c r="CZ24"/>
  <c r="CY24"/>
  <c r="CX24"/>
  <c r="CW24"/>
  <c r="CV24"/>
  <c r="CU24"/>
  <c r="CT24"/>
  <c r="CS24"/>
  <c r="CR24"/>
  <c r="CQ24"/>
  <c r="CP24"/>
  <c r="DA23"/>
  <c r="CZ23"/>
  <c r="CY23"/>
  <c r="CX23"/>
  <c r="CW23"/>
  <c r="CV23"/>
  <c r="CU23"/>
  <c r="CT23"/>
  <c r="CS23"/>
  <c r="CR23"/>
  <c r="CQ23"/>
  <c r="CP23"/>
  <c r="DA22"/>
  <c r="CZ22"/>
  <c r="CY22"/>
  <c r="CX22"/>
  <c r="CW22"/>
  <c r="CV22"/>
  <c r="CU22"/>
  <c r="CT22"/>
  <c r="CS22"/>
  <c r="CR22"/>
  <c r="CQ22"/>
  <c r="CP22"/>
  <c r="DA21"/>
  <c r="CZ21"/>
  <c r="CY21"/>
  <c r="CX21"/>
  <c r="CW21"/>
  <c r="CV21"/>
  <c r="CU21"/>
  <c r="CT21"/>
  <c r="CS21"/>
  <c r="CR21"/>
  <c r="CQ21"/>
  <c r="CP21"/>
  <c r="DA20"/>
  <c r="CZ20"/>
  <c r="CY20"/>
  <c r="CX20"/>
  <c r="CW20"/>
  <c r="CV20"/>
  <c r="CU20"/>
  <c r="CT20"/>
  <c r="CS20"/>
  <c r="CR20"/>
  <c r="CQ20"/>
  <c r="CP20"/>
  <c r="DA19"/>
  <c r="CZ19"/>
  <c r="CY19"/>
  <c r="CX19"/>
  <c r="CW19"/>
  <c r="CV19"/>
  <c r="CU19"/>
  <c r="CT19"/>
  <c r="CS19"/>
  <c r="CR19"/>
  <c r="CQ19"/>
  <c r="CP19"/>
  <c r="DA18"/>
  <c r="CZ18"/>
  <c r="CY18"/>
  <c r="CX18"/>
  <c r="CW18"/>
  <c r="CV18"/>
  <c r="CU18"/>
  <c r="CT18"/>
  <c r="CS18"/>
  <c r="CR18"/>
  <c r="CQ18"/>
  <c r="CP18"/>
  <c r="DA17"/>
  <c r="CZ17"/>
  <c r="CY17"/>
  <c r="CX17"/>
  <c r="CW17"/>
  <c r="CV17"/>
  <c r="CU17"/>
  <c r="CT17"/>
  <c r="CS17"/>
  <c r="CR17"/>
  <c r="CQ17"/>
  <c r="CP17"/>
  <c r="DA16"/>
  <c r="CZ16"/>
  <c r="CY16"/>
  <c r="CX16"/>
  <c r="CW16"/>
  <c r="CV16"/>
  <c r="CU16"/>
  <c r="CT16"/>
  <c r="CS16"/>
  <c r="CR16"/>
  <c r="CQ16"/>
  <c r="CP16"/>
  <c r="DA15"/>
  <c r="CZ15"/>
  <c r="CY15"/>
  <c r="CX15"/>
  <c r="CW15"/>
  <c r="CV15"/>
  <c r="CU15"/>
  <c r="CT15"/>
  <c r="CS15"/>
  <c r="CR15"/>
  <c r="CQ15"/>
  <c r="CP15"/>
  <c r="DA14"/>
  <c r="CZ14"/>
  <c r="CY14"/>
  <c r="CX14"/>
  <c r="CW14"/>
  <c r="CV14"/>
  <c r="CU14"/>
  <c r="CT14"/>
  <c r="CS14"/>
  <c r="CR14"/>
  <c r="CQ14"/>
  <c r="CP14"/>
  <c r="DA13"/>
  <c r="CZ13"/>
  <c r="CY13"/>
  <c r="CX13"/>
  <c r="CW13"/>
  <c r="CV13"/>
  <c r="CU13"/>
  <c r="CT13"/>
  <c r="CS13"/>
  <c r="CR13"/>
  <c r="CQ13"/>
  <c r="CP13"/>
  <c r="CX12"/>
  <c r="CW12"/>
  <c r="CV12"/>
  <c r="CU12"/>
  <c r="CT12"/>
  <c r="CS12"/>
  <c r="CR12"/>
  <c r="CQ12"/>
  <c r="CP12"/>
  <c r="DA12"/>
  <c r="CZ12"/>
  <c r="CY12"/>
  <c r="DW740"/>
  <c r="DV740"/>
  <c r="DU740"/>
  <c r="DT740"/>
  <c r="DS740"/>
  <c r="DR740"/>
  <c r="DQ740"/>
  <c r="DW739"/>
  <c r="DV739"/>
  <c r="DU739"/>
  <c r="DT739"/>
  <c r="DS739"/>
  <c r="DR739"/>
  <c r="DQ739"/>
  <c r="DW738"/>
  <c r="DV738"/>
  <c r="DU738"/>
  <c r="DT738"/>
  <c r="DS738"/>
  <c r="DR738"/>
  <c r="DQ738"/>
  <c r="DW737"/>
  <c r="DV737"/>
  <c r="DU737"/>
  <c r="DT737"/>
  <c r="DS737"/>
  <c r="DR737"/>
  <c r="DQ737"/>
  <c r="DW736"/>
  <c r="DV736"/>
  <c r="DU736"/>
  <c r="DT736"/>
  <c r="DS736"/>
  <c r="DR736"/>
  <c r="DQ736"/>
  <c r="DW735"/>
  <c r="DV735"/>
  <c r="DU735"/>
  <c r="DT735"/>
  <c r="DS735"/>
  <c r="DR735"/>
  <c r="DQ735"/>
  <c r="DW734"/>
  <c r="DV734"/>
  <c r="DU734"/>
  <c r="DT734"/>
  <c r="DS734"/>
  <c r="DR734"/>
  <c r="DQ734"/>
  <c r="DW733"/>
  <c r="DV733"/>
  <c r="DU733"/>
  <c r="DT733"/>
  <c r="DS733"/>
  <c r="DR733"/>
  <c r="DQ733"/>
  <c r="DW732"/>
  <c r="DV732"/>
  <c r="DU732"/>
  <c r="DT732"/>
  <c r="DS732"/>
  <c r="DR732"/>
  <c r="DQ732"/>
  <c r="DW731"/>
  <c r="DV731"/>
  <c r="DU731"/>
  <c r="DT731"/>
  <c r="DS731"/>
  <c r="DR731"/>
  <c r="DQ731"/>
  <c r="DW730"/>
  <c r="DV730"/>
  <c r="DU730"/>
  <c r="DT730"/>
  <c r="DS730"/>
  <c r="DR730"/>
  <c r="DQ730"/>
  <c r="DW729"/>
  <c r="DV729"/>
  <c r="DU729"/>
  <c r="DT729"/>
  <c r="DS729"/>
  <c r="DR729"/>
  <c r="DQ729"/>
  <c r="DW728"/>
  <c r="DV728"/>
  <c r="DU728"/>
  <c r="DT728"/>
  <c r="DS728"/>
  <c r="DR728"/>
  <c r="DQ728"/>
  <c r="DW727"/>
  <c r="DV727"/>
  <c r="DU727"/>
  <c r="DT727"/>
  <c r="DS727"/>
  <c r="DR727"/>
  <c r="DQ727"/>
  <c r="DW726"/>
  <c r="DV726"/>
  <c r="DU726"/>
  <c r="DT726"/>
  <c r="DS726"/>
  <c r="DR726"/>
  <c r="DQ726"/>
  <c r="DW725"/>
  <c r="DV725"/>
  <c r="DU725"/>
  <c r="DT725"/>
  <c r="DS725"/>
  <c r="DR725"/>
  <c r="DQ725"/>
  <c r="DW724"/>
  <c r="DV724"/>
  <c r="DU724"/>
  <c r="DT724"/>
  <c r="DS724"/>
  <c r="DR724"/>
  <c r="DQ724"/>
  <c r="DW723"/>
  <c r="DV723"/>
  <c r="DU723"/>
  <c r="DT723"/>
  <c r="DS723"/>
  <c r="DR723"/>
  <c r="DQ723"/>
  <c r="DW722"/>
  <c r="DV722"/>
  <c r="DU722"/>
  <c r="DT722"/>
  <c r="DS722"/>
  <c r="DR722"/>
  <c r="DQ722"/>
  <c r="DW721"/>
  <c r="DV721"/>
  <c r="DU721"/>
  <c r="DT721"/>
  <c r="DS721"/>
  <c r="DR721"/>
  <c r="DQ721"/>
  <c r="DW720"/>
  <c r="DV720"/>
  <c r="DU720"/>
  <c r="DT720"/>
  <c r="DS720"/>
  <c r="DR720"/>
  <c r="DQ720"/>
  <c r="DW719"/>
  <c r="DV719"/>
  <c r="DU719"/>
  <c r="DT719"/>
  <c r="DS719"/>
  <c r="DR719"/>
  <c r="DQ719"/>
  <c r="DW718"/>
  <c r="DV718"/>
  <c r="DU718"/>
  <c r="DT718"/>
  <c r="DS718"/>
  <c r="DR718"/>
  <c r="DQ718"/>
  <c r="DW717"/>
  <c r="DV717"/>
  <c r="DU717"/>
  <c r="DT717"/>
  <c r="DS717"/>
  <c r="DR717"/>
  <c r="DQ717"/>
  <c r="DW716"/>
  <c r="DV716"/>
  <c r="DU716"/>
  <c r="DT716"/>
  <c r="DS716"/>
  <c r="DR716"/>
  <c r="DQ716"/>
  <c r="DW715"/>
  <c r="DV715"/>
  <c r="DU715"/>
  <c r="DT715"/>
  <c r="DS715"/>
  <c r="DR715"/>
  <c r="DQ715"/>
  <c r="DW714"/>
  <c r="DV714"/>
  <c r="DU714"/>
  <c r="DT714"/>
  <c r="DS714"/>
  <c r="DR714"/>
  <c r="DQ714"/>
  <c r="DW713"/>
  <c r="DV713"/>
  <c r="DU713"/>
  <c r="DT713"/>
  <c r="DS713"/>
  <c r="DR713"/>
  <c r="DQ713"/>
  <c r="DW712"/>
  <c r="DV712"/>
  <c r="DU712"/>
  <c r="DT712"/>
  <c r="DS712"/>
  <c r="DR712"/>
  <c r="DQ712"/>
  <c r="DW711"/>
  <c r="DV711"/>
  <c r="DU711"/>
  <c r="DT711"/>
  <c r="DS711"/>
  <c r="DR711"/>
  <c r="DQ711"/>
  <c r="DW710"/>
  <c r="DV710"/>
  <c r="DU710"/>
  <c r="DT710"/>
  <c r="DS710"/>
  <c r="DR710"/>
  <c r="DQ710"/>
  <c r="DW709"/>
  <c r="DV709"/>
  <c r="DU709"/>
  <c r="DT709"/>
  <c r="DS709"/>
  <c r="DR709"/>
  <c r="DQ709"/>
  <c r="DW708"/>
  <c r="DV708"/>
  <c r="DU708"/>
  <c r="DT708"/>
  <c r="DS708"/>
  <c r="DR708"/>
  <c r="DQ708"/>
  <c r="DW707"/>
  <c r="DV707"/>
  <c r="DU707"/>
  <c r="DT707"/>
  <c r="DS707"/>
  <c r="DR707"/>
  <c r="DQ707"/>
  <c r="DW706"/>
  <c r="DV706"/>
  <c r="DU706"/>
  <c r="DT706"/>
  <c r="DS706"/>
  <c r="DR706"/>
  <c r="DQ706"/>
  <c r="DW705"/>
  <c r="DV705"/>
  <c r="DU705"/>
  <c r="DT705"/>
  <c r="DS705"/>
  <c r="DR705"/>
  <c r="DQ705"/>
  <c r="DW704"/>
  <c r="DV704"/>
  <c r="DU704"/>
  <c r="DT704"/>
  <c r="DS704"/>
  <c r="DR704"/>
  <c r="DQ704"/>
  <c r="DW703"/>
  <c r="DV703"/>
  <c r="DU703"/>
  <c r="DT703"/>
  <c r="DS703"/>
  <c r="DR703"/>
  <c r="DQ703"/>
  <c r="DW702"/>
  <c r="DV702"/>
  <c r="DU702"/>
  <c r="DT702"/>
  <c r="DS702"/>
  <c r="DR702"/>
  <c r="DQ702"/>
  <c r="DW701"/>
  <c r="DV701"/>
  <c r="DU701"/>
  <c r="DT701"/>
  <c r="DS701"/>
  <c r="DR701"/>
  <c r="DQ701"/>
  <c r="DW700"/>
  <c r="DV700"/>
  <c r="DU700"/>
  <c r="DT700"/>
  <c r="DS700"/>
  <c r="DR700"/>
  <c r="DQ700"/>
  <c r="DW699"/>
  <c r="DV699"/>
  <c r="DU699"/>
  <c r="DT699"/>
  <c r="DS699"/>
  <c r="DR699"/>
  <c r="DQ699"/>
  <c r="DW698"/>
  <c r="DV698"/>
  <c r="DU698"/>
  <c r="DT698"/>
  <c r="DS698"/>
  <c r="DR698"/>
  <c r="DQ698"/>
  <c r="DW697"/>
  <c r="DV697"/>
  <c r="DU697"/>
  <c r="DT697"/>
  <c r="DS697"/>
  <c r="DR697"/>
  <c r="DQ697"/>
  <c r="DW696"/>
  <c r="DV696"/>
  <c r="DU696"/>
  <c r="DT696"/>
  <c r="DS696"/>
  <c r="DR696"/>
  <c r="DQ696"/>
  <c r="DW695"/>
  <c r="DV695"/>
  <c r="DU695"/>
  <c r="DT695"/>
  <c r="DS695"/>
  <c r="DR695"/>
  <c r="DQ695"/>
  <c r="DW694"/>
  <c r="DV694"/>
  <c r="DU694"/>
  <c r="DT694"/>
  <c r="DS694"/>
  <c r="DR694"/>
  <c r="DQ694"/>
  <c r="DW693"/>
  <c r="DV693"/>
  <c r="DU693"/>
  <c r="DT693"/>
  <c r="DS693"/>
  <c r="DR693"/>
  <c r="DQ693"/>
  <c r="DW692"/>
  <c r="DV692"/>
  <c r="DU692"/>
  <c r="DT692"/>
  <c r="DS692"/>
  <c r="DR692"/>
  <c r="DQ692"/>
  <c r="DW691"/>
  <c r="DV691"/>
  <c r="DU691"/>
  <c r="DT691"/>
  <c r="DS691"/>
  <c r="DR691"/>
  <c r="DQ691"/>
  <c r="DW690"/>
  <c r="DV690"/>
  <c r="DU690"/>
  <c r="DT690"/>
  <c r="DS690"/>
  <c r="DR690"/>
  <c r="DQ690"/>
  <c r="DW689"/>
  <c r="DV689"/>
  <c r="DU689"/>
  <c r="DT689"/>
  <c r="DS689"/>
  <c r="DR689"/>
  <c r="DQ689"/>
  <c r="DW688"/>
  <c r="DV688"/>
  <c r="DU688"/>
  <c r="DT688"/>
  <c r="DS688"/>
  <c r="DR688"/>
  <c r="DQ688"/>
  <c r="DW687"/>
  <c r="DV687"/>
  <c r="DU687"/>
  <c r="DT687"/>
  <c r="DS687"/>
  <c r="DR687"/>
  <c r="DQ687"/>
  <c r="DW686"/>
  <c r="DV686"/>
  <c r="DU686"/>
  <c r="DT686"/>
  <c r="DS686"/>
  <c r="DR686"/>
  <c r="DQ686"/>
  <c r="DW685"/>
  <c r="DV685"/>
  <c r="DU685"/>
  <c r="DT685"/>
  <c r="DS685"/>
  <c r="DR685"/>
  <c r="DQ685"/>
  <c r="DW684"/>
  <c r="DV684"/>
  <c r="DU684"/>
  <c r="DT684"/>
  <c r="DS684"/>
  <c r="DR684"/>
  <c r="DQ684"/>
  <c r="DW683"/>
  <c r="DV683"/>
  <c r="DU683"/>
  <c r="DT683"/>
  <c r="DS683"/>
  <c r="DR683"/>
  <c r="DQ683"/>
  <c r="DW682"/>
  <c r="DV682"/>
  <c r="DU682"/>
  <c r="DT682"/>
  <c r="DS682"/>
  <c r="DR682"/>
  <c r="DQ682"/>
  <c r="DW681"/>
  <c r="DV681"/>
  <c r="DU681"/>
  <c r="DT681"/>
  <c r="DS681"/>
  <c r="DR681"/>
  <c r="DQ681"/>
  <c r="DW680"/>
  <c r="DV680"/>
  <c r="DU680"/>
  <c r="DT680"/>
  <c r="DS680"/>
  <c r="DR680"/>
  <c r="DQ680"/>
  <c r="DW679"/>
  <c r="DV679"/>
  <c r="DU679"/>
  <c r="DT679"/>
  <c r="DS679"/>
  <c r="DR679"/>
  <c r="DQ679"/>
  <c r="DW678"/>
  <c r="DV678"/>
  <c r="DU678"/>
  <c r="DT678"/>
  <c r="DS678"/>
  <c r="DR678"/>
  <c r="DQ678"/>
  <c r="DW677"/>
  <c r="DV677"/>
  <c r="DU677"/>
  <c r="DT677"/>
  <c r="DS677"/>
  <c r="DR677"/>
  <c r="DQ677"/>
  <c r="DW676"/>
  <c r="DV676"/>
  <c r="DU676"/>
  <c r="DT676"/>
  <c r="DS676"/>
  <c r="DR676"/>
  <c r="DQ676"/>
  <c r="DW675"/>
  <c r="DV675"/>
  <c r="DU675"/>
  <c r="DT675"/>
  <c r="DS675"/>
  <c r="DR675"/>
  <c r="DQ675"/>
  <c r="DW674"/>
  <c r="DV674"/>
  <c r="DU674"/>
  <c r="DT674"/>
  <c r="DS674"/>
  <c r="DR674"/>
  <c r="DQ674"/>
  <c r="DW673"/>
  <c r="DV673"/>
  <c r="DU673"/>
  <c r="DT673"/>
  <c r="DS673"/>
  <c r="DR673"/>
  <c r="DQ673"/>
  <c r="DW672"/>
  <c r="DV672"/>
  <c r="DU672"/>
  <c r="DT672"/>
  <c r="DS672"/>
  <c r="DR672"/>
  <c r="DQ672"/>
  <c r="DW671"/>
  <c r="DV671"/>
  <c r="DU671"/>
  <c r="DT671"/>
  <c r="DS671"/>
  <c r="DR671"/>
  <c r="DQ671"/>
  <c r="DW670"/>
  <c r="DV670"/>
  <c r="DU670"/>
  <c r="DT670"/>
  <c r="DS670"/>
  <c r="DR670"/>
  <c r="DQ670"/>
  <c r="DW669"/>
  <c r="DV669"/>
  <c r="DU669"/>
  <c r="DT669"/>
  <c r="DS669"/>
  <c r="DR669"/>
  <c r="DQ669"/>
  <c r="DW668"/>
  <c r="DV668"/>
  <c r="DU668"/>
  <c r="DT668"/>
  <c r="DS668"/>
  <c r="DR668"/>
  <c r="DQ668"/>
  <c r="DW667"/>
  <c r="DV667"/>
  <c r="DU667"/>
  <c r="DT667"/>
  <c r="DS667"/>
  <c r="DR667"/>
  <c r="DQ667"/>
  <c r="DW666"/>
  <c r="DV666"/>
  <c r="DU666"/>
  <c r="DT666"/>
  <c r="DS666"/>
  <c r="DR666"/>
  <c r="DQ666"/>
  <c r="DW665"/>
  <c r="DV665"/>
  <c r="DU665"/>
  <c r="DT665"/>
  <c r="DS665"/>
  <c r="DR665"/>
  <c r="DQ665"/>
  <c r="DW664"/>
  <c r="DV664"/>
  <c r="DU664"/>
  <c r="DT664"/>
  <c r="DS664"/>
  <c r="DR664"/>
  <c r="DQ664"/>
  <c r="DW663"/>
  <c r="DV663"/>
  <c r="DU663"/>
  <c r="DT663"/>
  <c r="DS663"/>
  <c r="DR663"/>
  <c r="DQ663"/>
  <c r="DW662"/>
  <c r="DV662"/>
  <c r="DU662"/>
  <c r="DT662"/>
  <c r="DS662"/>
  <c r="DR662"/>
  <c r="DQ662"/>
  <c r="DW661"/>
  <c r="DV661"/>
  <c r="DU661"/>
  <c r="DT661"/>
  <c r="DS661"/>
  <c r="DR661"/>
  <c r="DQ661"/>
  <c r="DW660"/>
  <c r="DV660"/>
  <c r="DU660"/>
  <c r="DT660"/>
  <c r="DS660"/>
  <c r="DR660"/>
  <c r="DQ660"/>
  <c r="DW659"/>
  <c r="DV659"/>
  <c r="DU659"/>
  <c r="DT659"/>
  <c r="DS659"/>
  <c r="DR659"/>
  <c r="DQ659"/>
  <c r="DW658"/>
  <c r="DV658"/>
  <c r="DU658"/>
  <c r="DT658"/>
  <c r="DS658"/>
  <c r="DR658"/>
  <c r="DQ658"/>
  <c r="DW657"/>
  <c r="DV657"/>
  <c r="DU657"/>
  <c r="DT657"/>
  <c r="DS657"/>
  <c r="DR657"/>
  <c r="DQ657"/>
  <c r="DW656"/>
  <c r="DV656"/>
  <c r="DU656"/>
  <c r="DT656"/>
  <c r="DS656"/>
  <c r="DR656"/>
  <c r="DQ656"/>
  <c r="DW655"/>
  <c r="DV655"/>
  <c r="DU655"/>
  <c r="DT655"/>
  <c r="DS655"/>
  <c r="DR655"/>
  <c r="DQ655"/>
  <c r="DW654"/>
  <c r="DV654"/>
  <c r="DU654"/>
  <c r="DT654"/>
  <c r="DS654"/>
  <c r="DR654"/>
  <c r="DQ654"/>
  <c r="DW653"/>
  <c r="DV653"/>
  <c r="DU653"/>
  <c r="DT653"/>
  <c r="DS653"/>
  <c r="DR653"/>
  <c r="DQ653"/>
  <c r="DW652"/>
  <c r="DV652"/>
  <c r="DU652"/>
  <c r="DT652"/>
  <c r="DS652"/>
  <c r="DR652"/>
  <c r="DQ652"/>
  <c r="DW651"/>
  <c r="DV651"/>
  <c r="DU651"/>
  <c r="DT651"/>
  <c r="DS651"/>
  <c r="DR651"/>
  <c r="DQ651"/>
  <c r="DW650"/>
  <c r="DV650"/>
  <c r="DU650"/>
  <c r="DT650"/>
  <c r="DS650"/>
  <c r="DR650"/>
  <c r="DQ650"/>
  <c r="DW649"/>
  <c r="DV649"/>
  <c r="DU649"/>
  <c r="DT649"/>
  <c r="DS649"/>
  <c r="DR649"/>
  <c r="DQ649"/>
  <c r="DW648"/>
  <c r="DV648"/>
  <c r="DU648"/>
  <c r="DT648"/>
  <c r="DS648"/>
  <c r="DR648"/>
  <c r="DQ648"/>
  <c r="DW647"/>
  <c r="DV647"/>
  <c r="DU647"/>
  <c r="DT647"/>
  <c r="DS647"/>
  <c r="DR647"/>
  <c r="DQ647"/>
  <c r="DW646"/>
  <c r="DV646"/>
  <c r="DU646"/>
  <c r="DT646"/>
  <c r="DS646"/>
  <c r="DR646"/>
  <c r="DQ646"/>
  <c r="DW645"/>
  <c r="DV645"/>
  <c r="DU645"/>
  <c r="DT645"/>
  <c r="DS645"/>
  <c r="DR645"/>
  <c r="DQ645"/>
  <c r="DW644"/>
  <c r="DV644"/>
  <c r="DU644"/>
  <c r="DT644"/>
  <c r="DS644"/>
  <c r="DR644"/>
  <c r="DQ644"/>
  <c r="DW643"/>
  <c r="DV643"/>
  <c r="DU643"/>
  <c r="DT643"/>
  <c r="DS643"/>
  <c r="DR643"/>
  <c r="DQ643"/>
  <c r="DW642"/>
  <c r="DV642"/>
  <c r="DU642"/>
  <c r="DT642"/>
  <c r="DS642"/>
  <c r="DR642"/>
  <c r="DQ642"/>
  <c r="DW641"/>
  <c r="DV641"/>
  <c r="DU641"/>
  <c r="DT641"/>
  <c r="DS641"/>
  <c r="DR641"/>
  <c r="DQ641"/>
  <c r="DW640"/>
  <c r="DV640"/>
  <c r="DU640"/>
  <c r="DT640"/>
  <c r="DS640"/>
  <c r="DR640"/>
  <c r="DQ640"/>
  <c r="DW639"/>
  <c r="DV639"/>
  <c r="DU639"/>
  <c r="DT639"/>
  <c r="DS639"/>
  <c r="DR639"/>
  <c r="DQ639"/>
  <c r="DW638"/>
  <c r="DV638"/>
  <c r="DU638"/>
  <c r="DT638"/>
  <c r="DS638"/>
  <c r="DR638"/>
  <c r="DQ638"/>
  <c r="DW637"/>
  <c r="DV637"/>
  <c r="DU637"/>
  <c r="DT637"/>
  <c r="DS637"/>
  <c r="DR637"/>
  <c r="DQ637"/>
  <c r="DW636"/>
  <c r="DV636"/>
  <c r="DU636"/>
  <c r="DT636"/>
  <c r="DS636"/>
  <c r="DR636"/>
  <c r="DQ636"/>
  <c r="DW635"/>
  <c r="DV635"/>
  <c r="DU635"/>
  <c r="DT635"/>
  <c r="DS635"/>
  <c r="DR635"/>
  <c r="DQ635"/>
  <c r="DW634"/>
  <c r="DV634"/>
  <c r="DU634"/>
  <c r="DT634"/>
  <c r="DS634"/>
  <c r="DR634"/>
  <c r="DQ634"/>
  <c r="DW633"/>
  <c r="DV633"/>
  <c r="DU633"/>
  <c r="DT633"/>
  <c r="DS633"/>
  <c r="DR633"/>
  <c r="DQ633"/>
  <c r="DW632"/>
  <c r="DV632"/>
  <c r="DU632"/>
  <c r="DT632"/>
  <c r="DS632"/>
  <c r="DR632"/>
  <c r="DQ632"/>
  <c r="DW631"/>
  <c r="DV631"/>
  <c r="DU631"/>
  <c r="DT631"/>
  <c r="DS631"/>
  <c r="DR631"/>
  <c r="DQ631"/>
  <c r="DW630"/>
  <c r="DV630"/>
  <c r="DU630"/>
  <c r="DT630"/>
  <c r="DS630"/>
  <c r="DR630"/>
  <c r="DQ630"/>
  <c r="DW629"/>
  <c r="DV629"/>
  <c r="DU629"/>
  <c r="DT629"/>
  <c r="DS629"/>
  <c r="DR629"/>
  <c r="DQ629"/>
  <c r="DW628"/>
  <c r="DV628"/>
  <c r="DU628"/>
  <c r="DT628"/>
  <c r="DS628"/>
  <c r="DR628"/>
  <c r="DQ628"/>
  <c r="DW627"/>
  <c r="DV627"/>
  <c r="DU627"/>
  <c r="DT627"/>
  <c r="DS627"/>
  <c r="DR627"/>
  <c r="DQ627"/>
  <c r="DW626"/>
  <c r="DV626"/>
  <c r="DU626"/>
  <c r="DT626"/>
  <c r="DS626"/>
  <c r="DR626"/>
  <c r="DQ626"/>
  <c r="DW625"/>
  <c r="DV625"/>
  <c r="DU625"/>
  <c r="DT625"/>
  <c r="DS625"/>
  <c r="DR625"/>
  <c r="DQ625"/>
  <c r="DW624"/>
  <c r="DV624"/>
  <c r="DU624"/>
  <c r="DT624"/>
  <c r="DS624"/>
  <c r="DR624"/>
  <c r="DQ624"/>
  <c r="DW623"/>
  <c r="DV623"/>
  <c r="DU623"/>
  <c r="DT623"/>
  <c r="DS623"/>
  <c r="DR623"/>
  <c r="DQ623"/>
  <c r="DW622"/>
  <c r="DV622"/>
  <c r="DU622"/>
  <c r="DT622"/>
  <c r="DS622"/>
  <c r="DR622"/>
  <c r="DQ622"/>
  <c r="DW621"/>
  <c r="DV621"/>
  <c r="DU621"/>
  <c r="DT621"/>
  <c r="DS621"/>
  <c r="DR621"/>
  <c r="DQ621"/>
  <c r="DW620"/>
  <c r="DV620"/>
  <c r="DU620"/>
  <c r="DT620"/>
  <c r="DS620"/>
  <c r="DR620"/>
  <c r="DQ620"/>
  <c r="DW619"/>
  <c r="DV619"/>
  <c r="DU619"/>
  <c r="DT619"/>
  <c r="DS619"/>
  <c r="DR619"/>
  <c r="DQ619"/>
  <c r="DW618"/>
  <c r="DV618"/>
  <c r="DU618"/>
  <c r="DT618"/>
  <c r="DS618"/>
  <c r="DR618"/>
  <c r="DQ618"/>
  <c r="DW617"/>
  <c r="DV617"/>
  <c r="DU617"/>
  <c r="DT617"/>
  <c r="DS617"/>
  <c r="DR617"/>
  <c r="DQ617"/>
  <c r="DW616"/>
  <c r="DV616"/>
  <c r="DU616"/>
  <c r="DT616"/>
  <c r="DS616"/>
  <c r="DR616"/>
  <c r="DQ616"/>
  <c r="DW615"/>
  <c r="DV615"/>
  <c r="DU615"/>
  <c r="DT615"/>
  <c r="DS615"/>
  <c r="DR615"/>
  <c r="DQ615"/>
  <c r="DW614"/>
  <c r="DV614"/>
  <c r="DW613"/>
  <c r="DV613"/>
  <c r="DU613"/>
  <c r="DT613"/>
  <c r="DS613"/>
  <c r="DR613"/>
  <c r="DQ613"/>
  <c r="DW612"/>
  <c r="DV612"/>
  <c r="DU612"/>
  <c r="DT612"/>
  <c r="DS612"/>
  <c r="DR612"/>
  <c r="DQ612"/>
  <c r="DW611"/>
  <c r="DV611"/>
  <c r="DU611"/>
  <c r="DT611"/>
  <c r="DS611"/>
  <c r="DR611"/>
  <c r="DQ611"/>
  <c r="DW610"/>
  <c r="DV610"/>
  <c r="DU610"/>
  <c r="DT610"/>
  <c r="DS610"/>
  <c r="DR610"/>
  <c r="DQ610"/>
  <c r="DW609"/>
  <c r="DV609"/>
  <c r="DU609"/>
  <c r="DT609"/>
  <c r="DS609"/>
  <c r="DR609"/>
  <c r="DQ609"/>
  <c r="DW608"/>
  <c r="DV608"/>
  <c r="DU608"/>
  <c r="DT608"/>
  <c r="DS608"/>
  <c r="DR608"/>
  <c r="DQ608"/>
  <c r="DW607"/>
  <c r="DV607"/>
  <c r="DU607"/>
  <c r="DT607"/>
  <c r="DS607"/>
  <c r="DR607"/>
  <c r="DQ607"/>
  <c r="DW606"/>
  <c r="DV606"/>
  <c r="DU606"/>
  <c r="DT606"/>
  <c r="DS606"/>
  <c r="DR606"/>
  <c r="DQ606"/>
  <c r="DW605"/>
  <c r="DV605"/>
  <c r="DU605"/>
  <c r="DT605"/>
  <c r="DS605"/>
  <c r="DR605"/>
  <c r="DQ605"/>
  <c r="DW604"/>
  <c r="DV604"/>
  <c r="DU604"/>
  <c r="DT604"/>
  <c r="DS604"/>
  <c r="DR604"/>
  <c r="DQ604"/>
  <c r="DW603"/>
  <c r="DV603"/>
  <c r="DU603"/>
  <c r="DT603"/>
  <c r="DS603"/>
  <c r="DR603"/>
  <c r="DQ603"/>
  <c r="DW602"/>
  <c r="DV602"/>
  <c r="DU602"/>
  <c r="DT602"/>
  <c r="DS602"/>
  <c r="DR602"/>
  <c r="DQ602"/>
  <c r="DW601"/>
  <c r="DV601"/>
  <c r="DU601"/>
  <c r="DT601"/>
  <c r="DS601"/>
  <c r="DR601"/>
  <c r="DQ601"/>
  <c r="DW600"/>
  <c r="DV600"/>
  <c r="DU600"/>
  <c r="DT600"/>
  <c r="DS600"/>
  <c r="DR600"/>
  <c r="DQ600"/>
  <c r="DW599"/>
  <c r="DV599"/>
  <c r="DU599"/>
  <c r="DT599"/>
  <c r="DS599"/>
  <c r="DR599"/>
  <c r="DQ599"/>
  <c r="DW598"/>
  <c r="DV598"/>
  <c r="DU598"/>
  <c r="DT598"/>
  <c r="DS598"/>
  <c r="DR598"/>
  <c r="DQ598"/>
  <c r="DW597"/>
  <c r="DV597"/>
  <c r="DU597"/>
  <c r="DT597"/>
  <c r="DS597"/>
  <c r="DR597"/>
  <c r="DQ597"/>
  <c r="DW596"/>
  <c r="DV596"/>
  <c r="DU596"/>
  <c r="DT596"/>
  <c r="DS596"/>
  <c r="DR596"/>
  <c r="DQ596"/>
  <c r="DW595"/>
  <c r="DV595"/>
  <c r="DU595"/>
  <c r="DT595"/>
  <c r="DS595"/>
  <c r="DR595"/>
  <c r="DQ595"/>
  <c r="DW594"/>
  <c r="DV594"/>
  <c r="DU594"/>
  <c r="DT594"/>
  <c r="DS594"/>
  <c r="DR594"/>
  <c r="DQ594"/>
  <c r="DW593"/>
  <c r="DV593"/>
  <c r="DU593"/>
  <c r="DT593"/>
  <c r="DS593"/>
  <c r="DR593"/>
  <c r="DQ593"/>
  <c r="DW592"/>
  <c r="DV592"/>
  <c r="DU592"/>
  <c r="DT592"/>
  <c r="DS592"/>
  <c r="DR592"/>
  <c r="DQ592"/>
  <c r="DW591"/>
  <c r="DV591"/>
  <c r="DU591"/>
  <c r="DT591"/>
  <c r="DS591"/>
  <c r="DR591"/>
  <c r="DQ591"/>
  <c r="DW590"/>
  <c r="DV590"/>
  <c r="DU590"/>
  <c r="DT590"/>
  <c r="DS590"/>
  <c r="DR590"/>
  <c r="DQ590"/>
  <c r="DW589"/>
  <c r="DV589"/>
  <c r="DU589"/>
  <c r="DT589"/>
  <c r="DS589"/>
  <c r="DR589"/>
  <c r="DQ589"/>
  <c r="DW588"/>
  <c r="DV588"/>
  <c r="DU588"/>
  <c r="DT588"/>
  <c r="DS588"/>
  <c r="DR588"/>
  <c r="DQ588"/>
  <c r="DW587"/>
  <c r="DV587"/>
  <c r="DU587"/>
  <c r="DT587"/>
  <c r="DS587"/>
  <c r="DR587"/>
  <c r="DQ587"/>
  <c r="DW586"/>
  <c r="DV586"/>
  <c r="DU586"/>
  <c r="DT586"/>
  <c r="DS586"/>
  <c r="DR586"/>
  <c r="DQ586"/>
  <c r="DW585"/>
  <c r="DV585"/>
  <c r="DU585"/>
  <c r="DT585"/>
  <c r="DS585"/>
  <c r="DR585"/>
  <c r="DQ585"/>
  <c r="DW584"/>
  <c r="DV584"/>
  <c r="DU584"/>
  <c r="DT584"/>
  <c r="DS584"/>
  <c r="DR584"/>
  <c r="DQ584"/>
  <c r="DW583"/>
  <c r="DV583"/>
  <c r="DU583"/>
  <c r="DT583"/>
  <c r="DS583"/>
  <c r="DR583"/>
  <c r="DQ583"/>
  <c r="DW582"/>
  <c r="DV582"/>
  <c r="DU582"/>
  <c r="DT582"/>
  <c r="DS582"/>
  <c r="DR582"/>
  <c r="DQ582"/>
  <c r="DW581"/>
  <c r="DV581"/>
  <c r="DU581"/>
  <c r="DT581"/>
  <c r="DS581"/>
  <c r="DR581"/>
  <c r="DQ581"/>
  <c r="DW580"/>
  <c r="DV580"/>
  <c r="DU580"/>
  <c r="DT580"/>
  <c r="DS580"/>
  <c r="DR580"/>
  <c r="DQ580"/>
  <c r="DW579"/>
  <c r="DV579"/>
  <c r="DU579"/>
  <c r="DT579"/>
  <c r="DS579"/>
  <c r="DR579"/>
  <c r="DQ579"/>
  <c r="DW578"/>
  <c r="DV578"/>
  <c r="DU578"/>
  <c r="DT578"/>
  <c r="DS578"/>
  <c r="DR578"/>
  <c r="DQ578"/>
  <c r="DW577"/>
  <c r="DV577"/>
  <c r="DU577"/>
  <c r="DT577"/>
  <c r="DS577"/>
  <c r="DR577"/>
  <c r="DQ577"/>
  <c r="DW576"/>
  <c r="DV576"/>
  <c r="DU576"/>
  <c r="DT576"/>
  <c r="DS576"/>
  <c r="DR576"/>
  <c r="DQ576"/>
  <c r="DW575"/>
  <c r="DV575"/>
  <c r="DU575"/>
  <c r="DT575"/>
  <c r="DS575"/>
  <c r="DR575"/>
  <c r="DQ575"/>
  <c r="DW574"/>
  <c r="DV574"/>
  <c r="DU574"/>
  <c r="DT574"/>
  <c r="DS574"/>
  <c r="DR574"/>
  <c r="DQ574"/>
  <c r="DW573"/>
  <c r="DV573"/>
  <c r="DU573"/>
  <c r="DT573"/>
  <c r="DS573"/>
  <c r="DR573"/>
  <c r="DQ573"/>
  <c r="DW572"/>
  <c r="DV572"/>
  <c r="DU572"/>
  <c r="DT572"/>
  <c r="DS572"/>
  <c r="DR572"/>
  <c r="DQ572"/>
  <c r="DW571"/>
  <c r="DV571"/>
  <c r="DU571"/>
  <c r="DT571"/>
  <c r="DS571"/>
  <c r="DR571"/>
  <c r="DQ571"/>
  <c r="DW570"/>
  <c r="DV570"/>
  <c r="DU570"/>
  <c r="DT570"/>
  <c r="DS570"/>
  <c r="DR570"/>
  <c r="DQ570"/>
  <c r="DW569"/>
  <c r="DV569"/>
  <c r="DU569"/>
  <c r="DT569"/>
  <c r="DS569"/>
  <c r="DR569"/>
  <c r="DQ569"/>
  <c r="DW568"/>
  <c r="DV568"/>
  <c r="DU568"/>
  <c r="DT568"/>
  <c r="DS568"/>
  <c r="DR568"/>
  <c r="DQ568"/>
  <c r="DW567"/>
  <c r="DV567"/>
  <c r="DU567"/>
  <c r="DT567"/>
  <c r="DS567"/>
  <c r="DR567"/>
  <c r="DQ567"/>
  <c r="DW566"/>
  <c r="DV566"/>
  <c r="DU566"/>
  <c r="DT566"/>
  <c r="DS566"/>
  <c r="DR566"/>
  <c r="DQ566"/>
  <c r="DW565"/>
  <c r="DV565"/>
  <c r="DU565"/>
  <c r="DT565"/>
  <c r="DS565"/>
  <c r="DR565"/>
  <c r="DQ565"/>
  <c r="DW564"/>
  <c r="DV564"/>
  <c r="DU564"/>
  <c r="DT564"/>
  <c r="DS564"/>
  <c r="DR564"/>
  <c r="DQ564"/>
  <c r="DW563"/>
  <c r="DV563"/>
  <c r="DU563"/>
  <c r="DT563"/>
  <c r="DS563"/>
  <c r="DR563"/>
  <c r="DQ563"/>
  <c r="DW562"/>
  <c r="DV562"/>
  <c r="DU562"/>
  <c r="DT562"/>
  <c r="DS562"/>
  <c r="DR562"/>
  <c r="DQ562"/>
  <c r="DW561"/>
  <c r="DV561"/>
  <c r="DU561"/>
  <c r="DT561"/>
  <c r="DS561"/>
  <c r="DR561"/>
  <c r="DQ561"/>
  <c r="DW560"/>
  <c r="DV560"/>
  <c r="DU560"/>
  <c r="DT560"/>
  <c r="DS560"/>
  <c r="DR560"/>
  <c r="DQ560"/>
  <c r="DW559"/>
  <c r="DV559"/>
  <c r="DU559"/>
  <c r="DT559"/>
  <c r="DS559"/>
  <c r="DR559"/>
  <c r="DQ559"/>
  <c r="DW558"/>
  <c r="DV558"/>
  <c r="DU558"/>
  <c r="DT558"/>
  <c r="DS558"/>
  <c r="DR558"/>
  <c r="DQ558"/>
  <c r="DW557"/>
  <c r="DV557"/>
  <c r="DU557"/>
  <c r="DT557"/>
  <c r="DS557"/>
  <c r="DR557"/>
  <c r="DQ557"/>
  <c r="DW556"/>
  <c r="DV556"/>
  <c r="DU556"/>
  <c r="DT556"/>
  <c r="DS556"/>
  <c r="DR556"/>
  <c r="DQ556"/>
  <c r="DW555"/>
  <c r="DV555"/>
  <c r="DU555"/>
  <c r="DT555"/>
  <c r="DS555"/>
  <c r="DR555"/>
  <c r="DQ555"/>
  <c r="DW554"/>
  <c r="DV554"/>
  <c r="DU554"/>
  <c r="DT554"/>
  <c r="DS554"/>
  <c r="DR554"/>
  <c r="DQ554"/>
  <c r="DW553"/>
  <c r="DV553"/>
  <c r="DU553"/>
  <c r="DT553"/>
  <c r="DS553"/>
  <c r="DR553"/>
  <c r="DQ553"/>
  <c r="DW552"/>
  <c r="DV552"/>
  <c r="DU552"/>
  <c r="DT552"/>
  <c r="DS552"/>
  <c r="DR552"/>
  <c r="DQ552"/>
  <c r="DW551"/>
  <c r="DV551"/>
  <c r="DU551"/>
  <c r="DT551"/>
  <c r="DS551"/>
  <c r="DR551"/>
  <c r="DQ551"/>
  <c r="DW550"/>
  <c r="DV550"/>
  <c r="DU550"/>
  <c r="DT550"/>
  <c r="DS550"/>
  <c r="DR550"/>
  <c r="DQ550"/>
  <c r="DW549"/>
  <c r="DV549"/>
  <c r="DU549"/>
  <c r="DT549"/>
  <c r="DS549"/>
  <c r="DR549"/>
  <c r="DQ549"/>
  <c r="DW548"/>
  <c r="DV548"/>
  <c r="DU548"/>
  <c r="DT548"/>
  <c r="DS548"/>
  <c r="DR548"/>
  <c r="DQ548"/>
  <c r="DW547"/>
  <c r="DV547"/>
  <c r="DU547"/>
  <c r="DT547"/>
  <c r="DS547"/>
  <c r="DR547"/>
  <c r="DQ547"/>
  <c r="DW546"/>
  <c r="DV546"/>
  <c r="DU546"/>
  <c r="DT546"/>
  <c r="DS546"/>
  <c r="DR546"/>
  <c r="DQ546"/>
  <c r="DW545"/>
  <c r="DV545"/>
  <c r="DU545"/>
  <c r="DT545"/>
  <c r="DS545"/>
  <c r="DR545"/>
  <c r="DQ545"/>
  <c r="DW544"/>
  <c r="DV544"/>
  <c r="DU544"/>
  <c r="DT544"/>
  <c r="DS544"/>
  <c r="DR544"/>
  <c r="DQ544"/>
  <c r="DW543"/>
  <c r="DV543"/>
  <c r="DU543"/>
  <c r="DT543"/>
  <c r="DS543"/>
  <c r="DR543"/>
  <c r="DQ543"/>
  <c r="DW542"/>
  <c r="DV542"/>
  <c r="DU542"/>
  <c r="DT542"/>
  <c r="DS542"/>
  <c r="DR542"/>
  <c r="DQ542"/>
  <c r="DW541"/>
  <c r="DV541"/>
  <c r="DU541"/>
  <c r="DT541"/>
  <c r="DS541"/>
  <c r="DR541"/>
  <c r="DQ541"/>
  <c r="DW540"/>
  <c r="DV540"/>
  <c r="DU540"/>
  <c r="DT540"/>
  <c r="DS540"/>
  <c r="DR540"/>
  <c r="DQ540"/>
  <c r="DW539"/>
  <c r="DV539"/>
  <c r="DU539"/>
  <c r="DT539"/>
  <c r="DS539"/>
  <c r="DR539"/>
  <c r="DQ539"/>
  <c r="DW538"/>
  <c r="DV538"/>
  <c r="DU538"/>
  <c r="DT538"/>
  <c r="DS538"/>
  <c r="DR538"/>
  <c r="DQ538"/>
  <c r="DW537"/>
  <c r="DV537"/>
  <c r="DU537"/>
  <c r="DT537"/>
  <c r="DS537"/>
  <c r="DR537"/>
  <c r="DQ537"/>
  <c r="DW536"/>
  <c r="DV536"/>
  <c r="DU536"/>
  <c r="DT536"/>
  <c r="DS536"/>
  <c r="DR536"/>
  <c r="DQ536"/>
  <c r="DW535"/>
  <c r="DV535"/>
  <c r="DU535"/>
  <c r="DT535"/>
  <c r="DS535"/>
  <c r="DR535"/>
  <c r="DQ535"/>
  <c r="DW534"/>
  <c r="DV534"/>
  <c r="DU534"/>
  <c r="DT534"/>
  <c r="DS534"/>
  <c r="DR534"/>
  <c r="DQ534"/>
  <c r="DW533"/>
  <c r="DV533"/>
  <c r="DU533"/>
  <c r="DT533"/>
  <c r="DS533"/>
  <c r="DR533"/>
  <c r="DQ533"/>
  <c r="DW532"/>
  <c r="DV532"/>
  <c r="DU532"/>
  <c r="DT532"/>
  <c r="DS532"/>
  <c r="DR532"/>
  <c r="DQ532"/>
  <c r="DW531"/>
  <c r="DV531"/>
  <c r="DU531"/>
  <c r="DT531"/>
  <c r="DS531"/>
  <c r="DR531"/>
  <c r="DQ531"/>
  <c r="DW530"/>
  <c r="DV530"/>
  <c r="DU530"/>
  <c r="DT530"/>
  <c r="DS530"/>
  <c r="DR530"/>
  <c r="DQ530"/>
  <c r="DW529"/>
  <c r="DV529"/>
  <c r="DU529"/>
  <c r="DT529"/>
  <c r="DS529"/>
  <c r="DR529"/>
  <c r="DQ529"/>
  <c r="DW528"/>
  <c r="DV528"/>
  <c r="DU528"/>
  <c r="DT528"/>
  <c r="DS528"/>
  <c r="DR528"/>
  <c r="DQ528"/>
  <c r="DW527"/>
  <c r="DV527"/>
  <c r="DU527"/>
  <c r="DT527"/>
  <c r="DS527"/>
  <c r="DR527"/>
  <c r="DQ527"/>
  <c r="DW526"/>
  <c r="DV526"/>
  <c r="DU526"/>
  <c r="DT526"/>
  <c r="DS526"/>
  <c r="DR526"/>
  <c r="DQ526"/>
  <c r="DW525"/>
  <c r="DV525"/>
  <c r="DU525"/>
  <c r="DT525"/>
  <c r="DS525"/>
  <c r="DR525"/>
  <c r="DQ525"/>
  <c r="DW524"/>
  <c r="DV524"/>
  <c r="DU524"/>
  <c r="DT524"/>
  <c r="DS524"/>
  <c r="DR524"/>
  <c r="DQ524"/>
  <c r="DW523"/>
  <c r="DV523"/>
  <c r="DU523"/>
  <c r="DT523"/>
  <c r="DS523"/>
  <c r="DR523"/>
  <c r="DQ523"/>
  <c r="DW522"/>
  <c r="DV522"/>
  <c r="DU522"/>
  <c r="DT522"/>
  <c r="DS522"/>
  <c r="DR522"/>
  <c r="DQ522"/>
  <c r="DW521"/>
  <c r="DV521"/>
  <c r="DU521"/>
  <c r="DT521"/>
  <c r="DS521"/>
  <c r="DR521"/>
  <c r="DQ521"/>
  <c r="DW520"/>
  <c r="DV520"/>
  <c r="DU520"/>
  <c r="DT520"/>
  <c r="DS520"/>
  <c r="DR520"/>
  <c r="DQ520"/>
  <c r="DW519"/>
  <c r="DV519"/>
  <c r="DU519"/>
  <c r="DT519"/>
  <c r="DS519"/>
  <c r="DR519"/>
  <c r="DQ519"/>
  <c r="DW518"/>
  <c r="DV518"/>
  <c r="DU518"/>
  <c r="DT518"/>
  <c r="DS518"/>
  <c r="DR518"/>
  <c r="DQ518"/>
  <c r="DW517"/>
  <c r="DV517"/>
  <c r="DU517"/>
  <c r="DT517"/>
  <c r="DS517"/>
  <c r="DR517"/>
  <c r="DQ517"/>
  <c r="DW516"/>
  <c r="DV516"/>
  <c r="DU516"/>
  <c r="DT516"/>
  <c r="DS516"/>
  <c r="DR516"/>
  <c r="DQ516"/>
  <c r="DW515"/>
  <c r="DV515"/>
  <c r="DU515"/>
  <c r="DT515"/>
  <c r="DS515"/>
  <c r="DR515"/>
  <c r="DQ515"/>
  <c r="DW514"/>
  <c r="DV514"/>
  <c r="DU514"/>
  <c r="DT514"/>
  <c r="DS514"/>
  <c r="DR514"/>
  <c r="DQ514"/>
  <c r="DW513"/>
  <c r="DV513"/>
  <c r="DU513"/>
  <c r="DT513"/>
  <c r="DS513"/>
  <c r="DR513"/>
  <c r="DQ513"/>
  <c r="DW512"/>
  <c r="DV512"/>
  <c r="DU512"/>
  <c r="DT512"/>
  <c r="DS512"/>
  <c r="DR512"/>
  <c r="DQ512"/>
  <c r="DW511"/>
  <c r="DV511"/>
  <c r="DU511"/>
  <c r="DT511"/>
  <c r="DS511"/>
  <c r="DR511"/>
  <c r="DQ511"/>
  <c r="DW510"/>
  <c r="DV510"/>
  <c r="DU510"/>
  <c r="DT510"/>
  <c r="DS510"/>
  <c r="DR510"/>
  <c r="DQ510"/>
  <c r="DW509"/>
  <c r="DV509"/>
  <c r="DU509"/>
  <c r="DT509"/>
  <c r="DS509"/>
  <c r="DR509"/>
  <c r="DQ509"/>
  <c r="DW508"/>
  <c r="DV508"/>
  <c r="DU508"/>
  <c r="DT508"/>
  <c r="DS508"/>
  <c r="DR508"/>
  <c r="DQ508"/>
  <c r="DW507"/>
  <c r="DV507"/>
  <c r="DU507"/>
  <c r="DT507"/>
  <c r="DS507"/>
  <c r="DR507"/>
  <c r="DQ507"/>
  <c r="DW506"/>
  <c r="DV506"/>
  <c r="DU506"/>
  <c r="DT506"/>
  <c r="DS506"/>
  <c r="DR506"/>
  <c r="DQ506"/>
  <c r="DW505"/>
  <c r="DV505"/>
  <c r="DU505"/>
  <c r="DT505"/>
  <c r="DS505"/>
  <c r="DR505"/>
  <c r="DQ505"/>
  <c r="DW504"/>
  <c r="DV504"/>
  <c r="DU504"/>
  <c r="DT504"/>
  <c r="DS504"/>
  <c r="DR504"/>
  <c r="DQ504"/>
  <c r="DW503"/>
  <c r="DV503"/>
  <c r="DU503"/>
  <c r="DT503"/>
  <c r="DS503"/>
  <c r="DR503"/>
  <c r="DQ503"/>
  <c r="DW502"/>
  <c r="DV502"/>
  <c r="DU502"/>
  <c r="DT502"/>
  <c r="DS502"/>
  <c r="DR502"/>
  <c r="DQ502"/>
  <c r="DW501"/>
  <c r="DV501"/>
  <c r="DU501"/>
  <c r="DT501"/>
  <c r="DS501"/>
  <c r="DR501"/>
  <c r="DQ501"/>
  <c r="DW500"/>
  <c r="DV500"/>
  <c r="DU500"/>
  <c r="DT500"/>
  <c r="DS500"/>
  <c r="DR500"/>
  <c r="DQ500"/>
  <c r="DW499"/>
  <c r="DV499"/>
  <c r="DU499"/>
  <c r="DT499"/>
  <c r="DS499"/>
  <c r="DR499"/>
  <c r="DQ499"/>
  <c r="DW498"/>
  <c r="DV498"/>
  <c r="DU498"/>
  <c r="DT498"/>
  <c r="DS498"/>
  <c r="DR498"/>
  <c r="DQ498"/>
  <c r="DW497"/>
  <c r="DV497"/>
  <c r="DU497"/>
  <c r="DT497"/>
  <c r="DS497"/>
  <c r="DR497"/>
  <c r="DQ497"/>
  <c r="DW496"/>
  <c r="DV496"/>
  <c r="DU496"/>
  <c r="DT496"/>
  <c r="DS496"/>
  <c r="DR496"/>
  <c r="DQ496"/>
  <c r="DW495"/>
  <c r="DV495"/>
  <c r="DU495"/>
  <c r="DT495"/>
  <c r="DS495"/>
  <c r="DR495"/>
  <c r="DQ495"/>
  <c r="DW494"/>
  <c r="DV494"/>
  <c r="DU494"/>
  <c r="DT494"/>
  <c r="DS494"/>
  <c r="DR494"/>
  <c r="DQ494"/>
  <c r="DW493"/>
  <c r="DV493"/>
  <c r="DU493"/>
  <c r="DT493"/>
  <c r="DS493"/>
  <c r="DR493"/>
  <c r="DQ493"/>
  <c r="DW492"/>
  <c r="DV492"/>
  <c r="DU492"/>
  <c r="DT492"/>
  <c r="DS492"/>
  <c r="DR492"/>
  <c r="DQ492"/>
  <c r="DW491"/>
  <c r="DV491"/>
  <c r="DU491"/>
  <c r="DT491"/>
  <c r="DS491"/>
  <c r="DR491"/>
  <c r="DQ491"/>
  <c r="DW490"/>
  <c r="DV490"/>
  <c r="DU490"/>
  <c r="DT490"/>
  <c r="DS490"/>
  <c r="DR490"/>
  <c r="DQ490"/>
  <c r="DW489"/>
  <c r="DV489"/>
  <c r="DU489"/>
  <c r="DT489"/>
  <c r="DS489"/>
  <c r="DR489"/>
  <c r="DQ489"/>
  <c r="DW488"/>
  <c r="DV488"/>
  <c r="DU488"/>
  <c r="DT488"/>
  <c r="DS488"/>
  <c r="DR488"/>
  <c r="DQ488"/>
  <c r="DW487"/>
  <c r="DV487"/>
  <c r="DU487"/>
  <c r="DT487"/>
  <c r="DS487"/>
  <c r="DR487"/>
  <c r="DQ487"/>
  <c r="DW486"/>
  <c r="DV486"/>
  <c r="DU486"/>
  <c r="DT486"/>
  <c r="DS486"/>
  <c r="DR486"/>
  <c r="DQ486"/>
  <c r="DW485"/>
  <c r="DV485"/>
  <c r="DU485"/>
  <c r="DT485"/>
  <c r="DS485"/>
  <c r="DR485"/>
  <c r="DQ485"/>
  <c r="DW484"/>
  <c r="DV484"/>
  <c r="DU484"/>
  <c r="DT484"/>
  <c r="DS484"/>
  <c r="DR484"/>
  <c r="DQ484"/>
  <c r="DW483"/>
  <c r="DV483"/>
  <c r="DU483"/>
  <c r="DT483"/>
  <c r="DS483"/>
  <c r="DR483"/>
  <c r="DQ483"/>
  <c r="DW482"/>
  <c r="DV482"/>
  <c r="DU482"/>
  <c r="DT482"/>
  <c r="DS482"/>
  <c r="DR482"/>
  <c r="DQ482"/>
  <c r="DW481"/>
  <c r="DV481"/>
  <c r="DU481"/>
  <c r="DT481"/>
  <c r="DS481"/>
  <c r="DR481"/>
  <c r="DQ481"/>
  <c r="DW480"/>
  <c r="DV480"/>
  <c r="DU480"/>
  <c r="DT480"/>
  <c r="DS480"/>
  <c r="DR480"/>
  <c r="DQ480"/>
  <c r="DW479"/>
  <c r="DV479"/>
  <c r="DU479"/>
  <c r="DT479"/>
  <c r="DS479"/>
  <c r="DR479"/>
  <c r="DQ479"/>
  <c r="DW478"/>
  <c r="DV478"/>
  <c r="DU478"/>
  <c r="DT478"/>
  <c r="DS478"/>
  <c r="DR478"/>
  <c r="DQ478"/>
  <c r="DW477"/>
  <c r="DV477"/>
  <c r="DU477"/>
  <c r="DT477"/>
  <c r="DS477"/>
  <c r="DR477"/>
  <c r="DQ477"/>
  <c r="DW476"/>
  <c r="DV476"/>
  <c r="DU476"/>
  <c r="DT476"/>
  <c r="DS476"/>
  <c r="DR476"/>
  <c r="DQ476"/>
  <c r="DW475"/>
  <c r="DV475"/>
  <c r="DU475"/>
  <c r="DT475"/>
  <c r="DS475"/>
  <c r="DR475"/>
  <c r="DQ475"/>
  <c r="DW474"/>
  <c r="DV474"/>
  <c r="DU474"/>
  <c r="DT474"/>
  <c r="DS474"/>
  <c r="DR474"/>
  <c r="DQ474"/>
  <c r="DW473"/>
  <c r="DV473"/>
  <c r="DU473"/>
  <c r="DT473"/>
  <c r="DS473"/>
  <c r="DR473"/>
  <c r="DQ473"/>
  <c r="DW472"/>
  <c r="DV472"/>
  <c r="DU472"/>
  <c r="DT472"/>
  <c r="DS472"/>
  <c r="DR472"/>
  <c r="DQ472"/>
  <c r="DW471"/>
  <c r="DV471"/>
  <c r="DU471"/>
  <c r="DT471"/>
  <c r="DS471"/>
  <c r="DR471"/>
  <c r="DQ471"/>
  <c r="DW470"/>
  <c r="DV470"/>
  <c r="DU470"/>
  <c r="DT470"/>
  <c r="DS470"/>
  <c r="DR470"/>
  <c r="DQ470"/>
  <c r="DW469"/>
  <c r="DV469"/>
  <c r="DU469"/>
  <c r="DT469"/>
  <c r="DS469"/>
  <c r="DR469"/>
  <c r="DQ469"/>
  <c r="DW468"/>
  <c r="DV468"/>
  <c r="DU468"/>
  <c r="DT468"/>
  <c r="DS468"/>
  <c r="DR468"/>
  <c r="DQ468"/>
  <c r="DW467"/>
  <c r="DV467"/>
  <c r="DU467"/>
  <c r="DT467"/>
  <c r="DS467"/>
  <c r="DR467"/>
  <c r="DQ467"/>
  <c r="DW466"/>
  <c r="DV466"/>
  <c r="DU466"/>
  <c r="DT466"/>
  <c r="DS466"/>
  <c r="DR466"/>
  <c r="DQ466"/>
  <c r="DW465"/>
  <c r="DV465"/>
  <c r="DU465"/>
  <c r="DT465"/>
  <c r="DS465"/>
  <c r="DR465"/>
  <c r="DQ465"/>
  <c r="DW464"/>
  <c r="DV464"/>
  <c r="DU464"/>
  <c r="DT464"/>
  <c r="DS464"/>
  <c r="DR464"/>
  <c r="DQ464"/>
  <c r="DW463"/>
  <c r="DV463"/>
  <c r="DU463"/>
  <c r="DT463"/>
  <c r="DS463"/>
  <c r="DR463"/>
  <c r="DQ463"/>
  <c r="DW462"/>
  <c r="DV462"/>
  <c r="DU462"/>
  <c r="DT462"/>
  <c r="DS462"/>
  <c r="DR462"/>
  <c r="DQ462"/>
  <c r="DW461"/>
  <c r="DV461"/>
  <c r="DU461"/>
  <c r="DT461"/>
  <c r="DS461"/>
  <c r="DR461"/>
  <c r="DQ461"/>
  <c r="DW460"/>
  <c r="DV460"/>
  <c r="DU460"/>
  <c r="DT460"/>
  <c r="DS460"/>
  <c r="DR460"/>
  <c r="DQ460"/>
  <c r="DW459"/>
  <c r="DV459"/>
  <c r="DU459"/>
  <c r="DT459"/>
  <c r="DS459"/>
  <c r="DR459"/>
  <c r="DQ459"/>
  <c r="DW458"/>
  <c r="DV458"/>
  <c r="DU458"/>
  <c r="DT458"/>
  <c r="DS458"/>
  <c r="DR458"/>
  <c r="DQ458"/>
  <c r="DW457"/>
  <c r="DV457"/>
  <c r="DU457"/>
  <c r="DT457"/>
  <c r="DS457"/>
  <c r="DR457"/>
  <c r="DQ457"/>
  <c r="DW456"/>
  <c r="DV456"/>
  <c r="DU456"/>
  <c r="DT456"/>
  <c r="DS456"/>
  <c r="DR456"/>
  <c r="DQ456"/>
  <c r="DW455"/>
  <c r="DV455"/>
  <c r="DU455"/>
  <c r="DT455"/>
  <c r="DS455"/>
  <c r="DR455"/>
  <c r="DQ455"/>
  <c r="DW454"/>
  <c r="DV454"/>
  <c r="DU454"/>
  <c r="DT454"/>
  <c r="DS454"/>
  <c r="DR454"/>
  <c r="DQ454"/>
  <c r="DW453"/>
  <c r="DV453"/>
  <c r="DU453"/>
  <c r="DT453"/>
  <c r="DS453"/>
  <c r="DR453"/>
  <c r="DQ453"/>
  <c r="DW452"/>
  <c r="DV452"/>
  <c r="DU452"/>
  <c r="DT452"/>
  <c r="DS452"/>
  <c r="DR452"/>
  <c r="DQ452"/>
  <c r="DW451"/>
  <c r="DV451"/>
  <c r="DU451"/>
  <c r="DT451"/>
  <c r="DS451"/>
  <c r="DR451"/>
  <c r="DQ451"/>
  <c r="DW450"/>
  <c r="DV450"/>
  <c r="DU450"/>
  <c r="DT450"/>
  <c r="DS450"/>
  <c r="DR450"/>
  <c r="DQ450"/>
  <c r="DW449"/>
  <c r="DV449"/>
  <c r="DU449"/>
  <c r="DT449"/>
  <c r="DS449"/>
  <c r="DR449"/>
  <c r="DQ449"/>
  <c r="DW448"/>
  <c r="DV448"/>
  <c r="DU448"/>
  <c r="DT448"/>
  <c r="DS448"/>
  <c r="DR448"/>
  <c r="DQ448"/>
  <c r="DW447"/>
  <c r="DV447"/>
  <c r="DU447"/>
  <c r="DT447"/>
  <c r="DS447"/>
  <c r="DR447"/>
  <c r="DQ447"/>
  <c r="DW446"/>
  <c r="DV446"/>
  <c r="DU446"/>
  <c r="DT446"/>
  <c r="DS446"/>
  <c r="DR446"/>
  <c r="DQ446"/>
  <c r="DW445"/>
  <c r="DV445"/>
  <c r="DU445"/>
  <c r="DT445"/>
  <c r="DS445"/>
  <c r="DR445"/>
  <c r="DQ445"/>
  <c r="DW444"/>
  <c r="DV444"/>
  <c r="DU444"/>
  <c r="DT444"/>
  <c r="DS444"/>
  <c r="DR444"/>
  <c r="DQ444"/>
  <c r="DW443"/>
  <c r="DV443"/>
  <c r="DU443"/>
  <c r="DT443"/>
  <c r="DS443"/>
  <c r="DR443"/>
  <c r="DQ443"/>
  <c r="DW442"/>
  <c r="DV442"/>
  <c r="DU442"/>
  <c r="DT442"/>
  <c r="DS442"/>
  <c r="DR442"/>
  <c r="DQ442"/>
  <c r="DW441"/>
  <c r="DV441"/>
  <c r="DU441"/>
  <c r="DT441"/>
  <c r="DS441"/>
  <c r="DR441"/>
  <c r="DQ441"/>
  <c r="DW440"/>
  <c r="DV440"/>
  <c r="DU440"/>
  <c r="DT440"/>
  <c r="DS440"/>
  <c r="DR440"/>
  <c r="DQ440"/>
  <c r="DW439"/>
  <c r="DV439"/>
  <c r="DU439"/>
  <c r="DT439"/>
  <c r="DS439"/>
  <c r="DR439"/>
  <c r="DQ439"/>
  <c r="DW438"/>
  <c r="DV438"/>
  <c r="DU438"/>
  <c r="DT438"/>
  <c r="DS438"/>
  <c r="DR438"/>
  <c r="DQ438"/>
  <c r="DW437"/>
  <c r="DV437"/>
  <c r="DU437"/>
  <c r="DT437"/>
  <c r="DS437"/>
  <c r="DR437"/>
  <c r="DQ437"/>
  <c r="DW436"/>
  <c r="DV436"/>
  <c r="DU436"/>
  <c r="DT436"/>
  <c r="DS436"/>
  <c r="DR436"/>
  <c r="DQ436"/>
  <c r="DW435"/>
  <c r="DV435"/>
  <c r="DU435"/>
  <c r="DT435"/>
  <c r="DS435"/>
  <c r="DR435"/>
  <c r="DQ435"/>
  <c r="DW434"/>
  <c r="DV434"/>
  <c r="DU434"/>
  <c r="DT434"/>
  <c r="DS434"/>
  <c r="DR434"/>
  <c r="DQ434"/>
  <c r="DW433"/>
  <c r="DV433"/>
  <c r="DU433"/>
  <c r="DT433"/>
  <c r="DS433"/>
  <c r="DR433"/>
  <c r="DQ433"/>
  <c r="DW432"/>
  <c r="DV432"/>
  <c r="DU432"/>
  <c r="DT432"/>
  <c r="DS432"/>
  <c r="DR432"/>
  <c r="DQ432"/>
  <c r="DW431"/>
  <c r="DV431"/>
  <c r="DU431"/>
  <c r="DT431"/>
  <c r="DS431"/>
  <c r="DR431"/>
  <c r="DQ431"/>
  <c r="DW430"/>
  <c r="DV430"/>
  <c r="DU430"/>
  <c r="DT430"/>
  <c r="DS430"/>
  <c r="DR430"/>
  <c r="DQ430"/>
  <c r="DW429"/>
  <c r="DV429"/>
  <c r="DU429"/>
  <c r="DT429"/>
  <c r="DS429"/>
  <c r="DR429"/>
  <c r="DQ429"/>
  <c r="DW428"/>
  <c r="DV428"/>
  <c r="DU428"/>
  <c r="DT428"/>
  <c r="DS428"/>
  <c r="DR428"/>
  <c r="DQ428"/>
  <c r="DW427"/>
  <c r="DV427"/>
  <c r="DU427"/>
  <c r="DT427"/>
  <c r="DS427"/>
  <c r="DR427"/>
  <c r="DQ427"/>
  <c r="DW426"/>
  <c r="DV426"/>
  <c r="DU426"/>
  <c r="DT426"/>
  <c r="DS426"/>
  <c r="DR426"/>
  <c r="DQ426"/>
  <c r="DW425"/>
  <c r="DV425"/>
  <c r="DU425"/>
  <c r="DT425"/>
  <c r="DS425"/>
  <c r="DR425"/>
  <c r="DQ425"/>
  <c r="DW424"/>
  <c r="DV424"/>
  <c r="DU424"/>
  <c r="DT424"/>
  <c r="DS424"/>
  <c r="DR424"/>
  <c r="DQ424"/>
  <c r="DW423"/>
  <c r="DV423"/>
  <c r="DU423"/>
  <c r="DT423"/>
  <c r="DS423"/>
  <c r="DR423"/>
  <c r="DQ423"/>
  <c r="DW422"/>
  <c r="DV422"/>
  <c r="DU422"/>
  <c r="DT422"/>
  <c r="DS422"/>
  <c r="DR422"/>
  <c r="DQ422"/>
  <c r="DW421"/>
  <c r="DV421"/>
  <c r="DU421"/>
  <c r="DT421"/>
  <c r="DS421"/>
  <c r="DR421"/>
  <c r="DQ421"/>
  <c r="DW420"/>
  <c r="DV420"/>
  <c r="DU420"/>
  <c r="DT420"/>
  <c r="DS420"/>
  <c r="DR420"/>
  <c r="DQ420"/>
  <c r="DW419"/>
  <c r="DV419"/>
  <c r="DU419"/>
  <c r="DT419"/>
  <c r="DS419"/>
  <c r="DR419"/>
  <c r="DQ419"/>
  <c r="DW418"/>
  <c r="DV418"/>
  <c r="DU418"/>
  <c r="DT418"/>
  <c r="DS418"/>
  <c r="DR418"/>
  <c r="DQ418"/>
  <c r="DW417"/>
  <c r="DV417"/>
  <c r="DU417"/>
  <c r="DT417"/>
  <c r="DS417"/>
  <c r="DR417"/>
  <c r="DQ417"/>
  <c r="DW416"/>
  <c r="DV416"/>
  <c r="DU416"/>
  <c r="DT416"/>
  <c r="DS416"/>
  <c r="DR416"/>
  <c r="DQ416"/>
  <c r="DW415"/>
  <c r="DV415"/>
  <c r="DU415"/>
  <c r="DT415"/>
  <c r="DS415"/>
  <c r="DR415"/>
  <c r="DQ415"/>
  <c r="DW414"/>
  <c r="DV414"/>
  <c r="DU414"/>
  <c r="DT414"/>
  <c r="DS414"/>
  <c r="DR414"/>
  <c r="DQ414"/>
  <c r="DW413"/>
  <c r="DV413"/>
  <c r="DU413"/>
  <c r="DT413"/>
  <c r="DS413"/>
  <c r="DR413"/>
  <c r="DQ413"/>
  <c r="DW412"/>
  <c r="DV412"/>
  <c r="DU412"/>
  <c r="DT412"/>
  <c r="DS412"/>
  <c r="DR412"/>
  <c r="DQ412"/>
  <c r="DW411"/>
  <c r="DV411"/>
  <c r="DU411"/>
  <c r="DT411"/>
  <c r="DS411"/>
  <c r="DR411"/>
  <c r="DQ411"/>
  <c r="DW410"/>
  <c r="DV410"/>
  <c r="DU410"/>
  <c r="DT410"/>
  <c r="DS410"/>
  <c r="DR410"/>
  <c r="DQ410"/>
  <c r="DW409"/>
  <c r="DV409"/>
  <c r="DU409"/>
  <c r="DT409"/>
  <c r="DS409"/>
  <c r="DR409"/>
  <c r="DQ409"/>
  <c r="DW408"/>
  <c r="DV408"/>
  <c r="DU408"/>
  <c r="DT408"/>
  <c r="DS408"/>
  <c r="DR408"/>
  <c r="DQ408"/>
  <c r="DW407"/>
  <c r="DV407"/>
  <c r="DU407"/>
  <c r="DT407"/>
  <c r="DS407"/>
  <c r="DR407"/>
  <c r="DQ407"/>
  <c r="DW406"/>
  <c r="DV406"/>
  <c r="DU406"/>
  <c r="DT406"/>
  <c r="DS406"/>
  <c r="DR406"/>
  <c r="DQ406"/>
  <c r="DW405"/>
  <c r="DV405"/>
  <c r="DU405"/>
  <c r="DT405"/>
  <c r="DS405"/>
  <c r="DR405"/>
  <c r="DQ405"/>
  <c r="DW404"/>
  <c r="DV404"/>
  <c r="DU404"/>
  <c r="DT404"/>
  <c r="DS404"/>
  <c r="DR404"/>
  <c r="DQ404"/>
  <c r="DW403"/>
  <c r="DV403"/>
  <c r="DU403"/>
  <c r="DT403"/>
  <c r="DS403"/>
  <c r="DR403"/>
  <c r="DQ403"/>
  <c r="DW402"/>
  <c r="DV402"/>
  <c r="DU402"/>
  <c r="DT402"/>
  <c r="DS402"/>
  <c r="DR402"/>
  <c r="DQ402"/>
  <c r="DW401"/>
  <c r="DV401"/>
  <c r="DU401"/>
  <c r="DT401"/>
  <c r="DS401"/>
  <c r="DR401"/>
  <c r="DQ401"/>
  <c r="DW400"/>
  <c r="DV400"/>
  <c r="DU400"/>
  <c r="DT400"/>
  <c r="DS400"/>
  <c r="DR400"/>
  <c r="DQ400"/>
  <c r="DW399"/>
  <c r="DV399"/>
  <c r="DU399"/>
  <c r="DT399"/>
  <c r="DS399"/>
  <c r="DR399"/>
  <c r="DQ399"/>
  <c r="DW398"/>
  <c r="DV398"/>
  <c r="DU398"/>
  <c r="DT398"/>
  <c r="DS398"/>
  <c r="DR398"/>
  <c r="DQ398"/>
  <c r="DW397"/>
  <c r="DV397"/>
  <c r="DU397"/>
  <c r="DT397"/>
  <c r="DS397"/>
  <c r="DR397"/>
  <c r="DQ397"/>
  <c r="DW396"/>
  <c r="DV396"/>
  <c r="DU396"/>
  <c r="DT396"/>
  <c r="DS396"/>
  <c r="DR396"/>
  <c r="DQ396"/>
  <c r="DW395"/>
  <c r="DV395"/>
  <c r="DU395"/>
  <c r="DT395"/>
  <c r="DS395"/>
  <c r="DR395"/>
  <c r="DQ395"/>
  <c r="DW394"/>
  <c r="DV394"/>
  <c r="DU394"/>
  <c r="DT394"/>
  <c r="DS394"/>
  <c r="DR394"/>
  <c r="DQ394"/>
  <c r="DW393"/>
  <c r="DV393"/>
  <c r="DU393"/>
  <c r="DT393"/>
  <c r="DS393"/>
  <c r="DR393"/>
  <c r="DQ393"/>
  <c r="DW392"/>
  <c r="DV392"/>
  <c r="DU392"/>
  <c r="DT392"/>
  <c r="DS392"/>
  <c r="DR392"/>
  <c r="DQ392"/>
  <c r="DW391"/>
  <c r="DV391"/>
  <c r="DU391"/>
  <c r="DT391"/>
  <c r="DS391"/>
  <c r="DR391"/>
  <c r="DQ391"/>
  <c r="DW390"/>
  <c r="DV390"/>
  <c r="DU390"/>
  <c r="DT390"/>
  <c r="DS390"/>
  <c r="DR390"/>
  <c r="DQ390"/>
  <c r="DW389"/>
  <c r="DV389"/>
  <c r="DU389"/>
  <c r="DT389"/>
  <c r="DS389"/>
  <c r="DR389"/>
  <c r="DQ389"/>
  <c r="DW388"/>
  <c r="DV388"/>
  <c r="DU388"/>
  <c r="DT388"/>
  <c r="DS388"/>
  <c r="DR388"/>
  <c r="DQ388"/>
  <c r="DW387"/>
  <c r="DV387"/>
  <c r="DU387"/>
  <c r="DT387"/>
  <c r="DS387"/>
  <c r="DR387"/>
  <c r="DQ387"/>
  <c r="DW386"/>
  <c r="DV386"/>
  <c r="DU386"/>
  <c r="DT386"/>
  <c r="DS386"/>
  <c r="DR386"/>
  <c r="DQ386"/>
  <c r="DW385"/>
  <c r="DV385"/>
  <c r="DU385"/>
  <c r="DT385"/>
  <c r="DS385"/>
  <c r="DR385"/>
  <c r="DQ385"/>
  <c r="DW384"/>
  <c r="DV384"/>
  <c r="DU384"/>
  <c r="DT384"/>
  <c r="DS384"/>
  <c r="DR384"/>
  <c r="DQ384"/>
  <c r="DW383"/>
  <c r="DV383"/>
  <c r="DU383"/>
  <c r="DT383"/>
  <c r="DS383"/>
  <c r="DR383"/>
  <c r="DQ383"/>
  <c r="DW382"/>
  <c r="DV382"/>
  <c r="DU382"/>
  <c r="DT382"/>
  <c r="DS382"/>
  <c r="DR382"/>
  <c r="DQ382"/>
  <c r="DW381"/>
  <c r="DV381"/>
  <c r="DU381"/>
  <c r="DT381"/>
  <c r="DS381"/>
  <c r="DR381"/>
  <c r="DQ381"/>
  <c r="DW380"/>
  <c r="DV380"/>
  <c r="DU380"/>
  <c r="DT380"/>
  <c r="DS380"/>
  <c r="DR380"/>
  <c r="DQ380"/>
  <c r="DW379"/>
  <c r="DV379"/>
  <c r="DU379"/>
  <c r="DT379"/>
  <c r="DS379"/>
  <c r="DR379"/>
  <c r="DQ379"/>
  <c r="DW378"/>
  <c r="DV378"/>
  <c r="DU378"/>
  <c r="DT378"/>
  <c r="DS378"/>
  <c r="DR378"/>
  <c r="DQ378"/>
  <c r="DW377"/>
  <c r="DV377"/>
  <c r="DU377"/>
  <c r="DT377"/>
  <c r="DS377"/>
  <c r="DR377"/>
  <c r="DQ377"/>
  <c r="DW376"/>
  <c r="DV376"/>
  <c r="DU376"/>
  <c r="DT376"/>
  <c r="DS376"/>
  <c r="DR376"/>
  <c r="DQ376"/>
  <c r="DW375"/>
  <c r="DV375"/>
  <c r="DU375"/>
  <c r="DT375"/>
  <c r="DS375"/>
  <c r="DR375"/>
  <c r="DQ375"/>
  <c r="DW374"/>
  <c r="DV374"/>
  <c r="DU374"/>
  <c r="DT374"/>
  <c r="DS374"/>
  <c r="DR374"/>
  <c r="DQ374"/>
  <c r="DW373"/>
  <c r="DV373"/>
  <c r="DU373"/>
  <c r="DT373"/>
  <c r="DS373"/>
  <c r="DR373"/>
  <c r="DQ373"/>
  <c r="DW372"/>
  <c r="DV372"/>
  <c r="DU372"/>
  <c r="DT372"/>
  <c r="DS372"/>
  <c r="DR372"/>
  <c r="DQ372"/>
  <c r="DW371"/>
  <c r="DV371"/>
  <c r="DU371"/>
  <c r="DT371"/>
  <c r="DS371"/>
  <c r="DR371"/>
  <c r="DQ371"/>
  <c r="DW370"/>
  <c r="DV370"/>
  <c r="DU370"/>
  <c r="DT370"/>
  <c r="DS370"/>
  <c r="DR370"/>
  <c r="DQ370"/>
  <c r="DW369"/>
  <c r="DV369"/>
  <c r="DU369"/>
  <c r="DT369"/>
  <c r="DS369"/>
  <c r="DR369"/>
  <c r="DQ369"/>
  <c r="DW368"/>
  <c r="DV368"/>
  <c r="DU368"/>
  <c r="DT368"/>
  <c r="DS368"/>
  <c r="DR368"/>
  <c r="DQ368"/>
  <c r="DW367"/>
  <c r="DV367"/>
  <c r="DU367"/>
  <c r="DT367"/>
  <c r="DS367"/>
  <c r="DR367"/>
  <c r="DQ367"/>
  <c r="DW366"/>
  <c r="DV366"/>
  <c r="DU366"/>
  <c r="DT366"/>
  <c r="DS366"/>
  <c r="DR366"/>
  <c r="DQ366"/>
  <c r="DW365"/>
  <c r="DV365"/>
  <c r="DU365"/>
  <c r="DT365"/>
  <c r="DS365"/>
  <c r="DR365"/>
  <c r="DQ365"/>
  <c r="DW364"/>
  <c r="DV364"/>
  <c r="DU364"/>
  <c r="DT364"/>
  <c r="DS364"/>
  <c r="DR364"/>
  <c r="DQ364"/>
  <c r="DW363"/>
  <c r="DV363"/>
  <c r="DU363"/>
  <c r="DT363"/>
  <c r="DS363"/>
  <c r="DR363"/>
  <c r="DQ363"/>
  <c r="DW362"/>
  <c r="DV362"/>
  <c r="DU362"/>
  <c r="DT362"/>
  <c r="DS362"/>
  <c r="DR362"/>
  <c r="DQ362"/>
  <c r="DW361"/>
  <c r="DV361"/>
  <c r="DU361"/>
  <c r="DT361"/>
  <c r="DS361"/>
  <c r="DR361"/>
  <c r="DQ361"/>
  <c r="DW360"/>
  <c r="DV360"/>
  <c r="DU360"/>
  <c r="DT360"/>
  <c r="DS360"/>
  <c r="DR360"/>
  <c r="DQ360"/>
  <c r="DW359"/>
  <c r="DV359"/>
  <c r="DU359"/>
  <c r="DT359"/>
  <c r="DS359"/>
  <c r="DR359"/>
  <c r="DQ359"/>
  <c r="DW358"/>
  <c r="DV358"/>
  <c r="DU358"/>
  <c r="DT358"/>
  <c r="DS358"/>
  <c r="DR358"/>
  <c r="DQ358"/>
  <c r="DW357"/>
  <c r="DV357"/>
  <c r="DU357"/>
  <c r="DT357"/>
  <c r="DS357"/>
  <c r="DR357"/>
  <c r="DQ357"/>
  <c r="DW356"/>
  <c r="DV356"/>
  <c r="DU356"/>
  <c r="DT356"/>
  <c r="DS356"/>
  <c r="DR356"/>
  <c r="DQ356"/>
  <c r="DW355"/>
  <c r="DV355"/>
  <c r="DU355"/>
  <c r="DT355"/>
  <c r="DS355"/>
  <c r="DR355"/>
  <c r="DQ355"/>
  <c r="DW354"/>
  <c r="DV354"/>
  <c r="DU354"/>
  <c r="DT354"/>
  <c r="DS354"/>
  <c r="DR354"/>
  <c r="DQ354"/>
  <c r="DW353"/>
  <c r="DV353"/>
  <c r="DU353"/>
  <c r="DT353"/>
  <c r="DS353"/>
  <c r="DR353"/>
  <c r="DQ353"/>
  <c r="DW352"/>
  <c r="DV352"/>
  <c r="DU352"/>
  <c r="DT352"/>
  <c r="DS352"/>
  <c r="DR352"/>
  <c r="DQ352"/>
  <c r="DW351"/>
  <c r="DV351"/>
  <c r="DU351"/>
  <c r="DT351"/>
  <c r="DS351"/>
  <c r="DR351"/>
  <c r="DQ351"/>
  <c r="DW350"/>
  <c r="DV350"/>
  <c r="DU350"/>
  <c r="DT350"/>
  <c r="DS350"/>
  <c r="DR350"/>
  <c r="DQ350"/>
  <c r="DW349"/>
  <c r="DV349"/>
  <c r="DU349"/>
  <c r="DT349"/>
  <c r="DS349"/>
  <c r="DR349"/>
  <c r="DQ349"/>
  <c r="DW348"/>
  <c r="DV348"/>
  <c r="DU348"/>
  <c r="DT348"/>
  <c r="DS348"/>
  <c r="DR348"/>
  <c r="DQ348"/>
  <c r="DW347"/>
  <c r="DV347"/>
  <c r="DU347"/>
  <c r="DT347"/>
  <c r="DS347"/>
  <c r="DR347"/>
  <c r="DQ347"/>
  <c r="DW346"/>
  <c r="DV346"/>
  <c r="DU346"/>
  <c r="DT346"/>
  <c r="DS346"/>
  <c r="DR346"/>
  <c r="DQ346"/>
  <c r="DW345"/>
  <c r="DV345"/>
  <c r="DU345"/>
  <c r="DT345"/>
  <c r="DS345"/>
  <c r="DR345"/>
  <c r="DQ345"/>
  <c r="DW344"/>
  <c r="DV344"/>
  <c r="DU344"/>
  <c r="DT344"/>
  <c r="DS344"/>
  <c r="DR344"/>
  <c r="DQ344"/>
  <c r="DW343"/>
  <c r="DV343"/>
  <c r="DU343"/>
  <c r="DT343"/>
  <c r="DS343"/>
  <c r="DR343"/>
  <c r="DQ343"/>
  <c r="DW342"/>
  <c r="DV342"/>
  <c r="DU342"/>
  <c r="DT342"/>
  <c r="DS342"/>
  <c r="DR342"/>
  <c r="DQ342"/>
  <c r="DW341"/>
  <c r="DV341"/>
  <c r="DU341"/>
  <c r="DT341"/>
  <c r="DS341"/>
  <c r="DR341"/>
  <c r="DQ341"/>
  <c r="DW340"/>
  <c r="DV340"/>
  <c r="DU340"/>
  <c r="DT340"/>
  <c r="DS340"/>
  <c r="DR340"/>
  <c r="DQ340"/>
  <c r="DW339"/>
  <c r="DV339"/>
  <c r="DU339"/>
  <c r="DT339"/>
  <c r="DS339"/>
  <c r="DR339"/>
  <c r="DQ339"/>
  <c r="DW338"/>
  <c r="DV338"/>
  <c r="DU338"/>
  <c r="DT338"/>
  <c r="DS338"/>
  <c r="DR338"/>
  <c r="DQ338"/>
  <c r="DW337"/>
  <c r="DV337"/>
  <c r="DU337"/>
  <c r="DT337"/>
  <c r="DS337"/>
  <c r="DR337"/>
  <c r="DQ337"/>
  <c r="DW336"/>
  <c r="DV336"/>
  <c r="DU336"/>
  <c r="DT336"/>
  <c r="DS336"/>
  <c r="DR336"/>
  <c r="DQ336"/>
  <c r="DW335"/>
  <c r="DV335"/>
  <c r="DU335"/>
  <c r="DT335"/>
  <c r="DS335"/>
  <c r="DR335"/>
  <c r="DQ335"/>
  <c r="DW334"/>
  <c r="DV334"/>
  <c r="DU334"/>
  <c r="DT334"/>
  <c r="DS334"/>
  <c r="DR334"/>
  <c r="DQ334"/>
  <c r="DW333"/>
  <c r="DV333"/>
  <c r="DU333"/>
  <c r="DT333"/>
  <c r="DS333"/>
  <c r="DR333"/>
  <c r="DQ333"/>
  <c r="DW332"/>
  <c r="DV332"/>
  <c r="DU332"/>
  <c r="DT332"/>
  <c r="DS332"/>
  <c r="DR332"/>
  <c r="DQ332"/>
  <c r="DW331"/>
  <c r="DV331"/>
  <c r="DU331"/>
  <c r="DT331"/>
  <c r="DS331"/>
  <c r="DR331"/>
  <c r="DQ331"/>
  <c r="DW330"/>
  <c r="DV330"/>
  <c r="DU330"/>
  <c r="DT330"/>
  <c r="DS330"/>
  <c r="DR330"/>
  <c r="DQ330"/>
  <c r="DW329"/>
  <c r="DV329"/>
  <c r="DU329"/>
  <c r="DT329"/>
  <c r="DS329"/>
  <c r="DR329"/>
  <c r="DQ329"/>
  <c r="DW328"/>
  <c r="DV328"/>
  <c r="DU328"/>
  <c r="DT328"/>
  <c r="DS328"/>
  <c r="DR328"/>
  <c r="DQ328"/>
  <c r="DW327"/>
  <c r="DV327"/>
  <c r="DU327"/>
  <c r="DT327"/>
  <c r="DS327"/>
  <c r="DR327"/>
  <c r="DQ327"/>
  <c r="DW326"/>
  <c r="DV326"/>
  <c r="DU326"/>
  <c r="DT326"/>
  <c r="DS326"/>
  <c r="DR326"/>
  <c r="DQ326"/>
  <c r="DW325"/>
  <c r="DV325"/>
  <c r="DU325"/>
  <c r="DT325"/>
  <c r="DS325"/>
  <c r="DR325"/>
  <c r="DQ325"/>
  <c r="DW324"/>
  <c r="DV324"/>
  <c r="DU324"/>
  <c r="DT324"/>
  <c r="DS324"/>
  <c r="DR324"/>
  <c r="DQ324"/>
  <c r="DW323"/>
  <c r="DV323"/>
  <c r="DU323"/>
  <c r="DT323"/>
  <c r="DS323"/>
  <c r="DR323"/>
  <c r="DQ323"/>
  <c r="DW322"/>
  <c r="DV322"/>
  <c r="DU322"/>
  <c r="DT322"/>
  <c r="DS322"/>
  <c r="DR322"/>
  <c r="DQ322"/>
  <c r="DW321"/>
  <c r="DV321"/>
  <c r="DU321"/>
  <c r="DT321"/>
  <c r="DS321"/>
  <c r="DR321"/>
  <c r="DQ321"/>
  <c r="DW320"/>
  <c r="DV320"/>
  <c r="DU320"/>
  <c r="DT320"/>
  <c r="DS320"/>
  <c r="DR320"/>
  <c r="DQ320"/>
  <c r="DW319"/>
  <c r="DV319"/>
  <c r="DU319"/>
  <c r="DT319"/>
  <c r="DS319"/>
  <c r="DR319"/>
  <c r="DQ319"/>
  <c r="DW318"/>
  <c r="DV318"/>
  <c r="DU318"/>
  <c r="DT318"/>
  <c r="DS318"/>
  <c r="DR318"/>
  <c r="DQ318"/>
  <c r="DW317"/>
  <c r="DV317"/>
  <c r="DU317"/>
  <c r="DT317"/>
  <c r="DS317"/>
  <c r="DR317"/>
  <c r="DQ317"/>
  <c r="DW316"/>
  <c r="DV316"/>
  <c r="DU316"/>
  <c r="DT316"/>
  <c r="DS316"/>
  <c r="DR316"/>
  <c r="DQ316"/>
  <c r="DW315"/>
  <c r="DV315"/>
  <c r="DU315"/>
  <c r="DT315"/>
  <c r="DS315"/>
  <c r="DR315"/>
  <c r="DQ315"/>
  <c r="DW314"/>
  <c r="DV314"/>
  <c r="DU314"/>
  <c r="DT314"/>
  <c r="DS314"/>
  <c r="DR314"/>
  <c r="DQ314"/>
  <c r="DW313"/>
  <c r="DV313"/>
  <c r="DU313"/>
  <c r="DT313"/>
  <c r="DS313"/>
  <c r="DR313"/>
  <c r="DQ313"/>
  <c r="DW312"/>
  <c r="DV312"/>
  <c r="DU312"/>
  <c r="DT312"/>
  <c r="DS312"/>
  <c r="DR312"/>
  <c r="DQ312"/>
  <c r="DW311"/>
  <c r="DV311"/>
  <c r="DU311"/>
  <c r="DT311"/>
  <c r="DS311"/>
  <c r="DR311"/>
  <c r="DQ311"/>
  <c r="DW310"/>
  <c r="DV310"/>
  <c r="DU310"/>
  <c r="DT310"/>
  <c r="DS310"/>
  <c r="DR310"/>
  <c r="DQ310"/>
  <c r="DW309"/>
  <c r="DV309"/>
  <c r="DU309"/>
  <c r="DT309"/>
  <c r="DS309"/>
  <c r="DR309"/>
  <c r="DQ309"/>
  <c r="DW308"/>
  <c r="DV308"/>
  <c r="DU308"/>
  <c r="DT308"/>
  <c r="DS308"/>
  <c r="DR308"/>
  <c r="DQ308"/>
  <c r="DW307"/>
  <c r="DV307"/>
  <c r="DU307"/>
  <c r="DT307"/>
  <c r="DS307"/>
  <c r="DR307"/>
  <c r="DQ307"/>
  <c r="DW306"/>
  <c r="DV306"/>
  <c r="DU306"/>
  <c r="DT306"/>
  <c r="DS306"/>
  <c r="DR306"/>
  <c r="DQ306"/>
  <c r="DW305"/>
  <c r="DV305"/>
  <c r="DU305"/>
  <c r="DT305"/>
  <c r="DS305"/>
  <c r="DR305"/>
  <c r="DQ305"/>
  <c r="DW304"/>
  <c r="DV304"/>
  <c r="DU304"/>
  <c r="DT304"/>
  <c r="DS304"/>
  <c r="DR304"/>
  <c r="DQ304"/>
  <c r="DW303"/>
  <c r="DV303"/>
  <c r="DU303"/>
  <c r="DT303"/>
  <c r="DS303"/>
  <c r="DR303"/>
  <c r="DQ303"/>
  <c r="DW302"/>
  <c r="DV302"/>
  <c r="DU302"/>
  <c r="DT302"/>
  <c r="DS302"/>
  <c r="DR302"/>
  <c r="DQ302"/>
  <c r="DW301"/>
  <c r="DV301"/>
  <c r="DU301"/>
  <c r="DT301"/>
  <c r="DS301"/>
  <c r="DR301"/>
  <c r="DQ301"/>
  <c r="DW300"/>
  <c r="DV300"/>
  <c r="DU300"/>
  <c r="DT300"/>
  <c r="DS300"/>
  <c r="DR300"/>
  <c r="DQ300"/>
  <c r="DW299"/>
  <c r="DV299"/>
  <c r="DU299"/>
  <c r="DT299"/>
  <c r="DS299"/>
  <c r="DR299"/>
  <c r="DQ299"/>
  <c r="DW298"/>
  <c r="DV298"/>
  <c r="DU298"/>
  <c r="DT298"/>
  <c r="DS298"/>
  <c r="DR298"/>
  <c r="DQ298"/>
  <c r="DW297"/>
  <c r="DV297"/>
  <c r="DU297"/>
  <c r="DT297"/>
  <c r="DS297"/>
  <c r="DR297"/>
  <c r="DQ297"/>
  <c r="DW296"/>
  <c r="DV296"/>
  <c r="DU296"/>
  <c r="DT296"/>
  <c r="DS296"/>
  <c r="DR296"/>
  <c r="DQ296"/>
  <c r="DW295"/>
  <c r="DV295"/>
  <c r="DU295"/>
  <c r="DT295"/>
  <c r="DS295"/>
  <c r="DR295"/>
  <c r="DQ295"/>
  <c r="DW294"/>
  <c r="DV294"/>
  <c r="DU294"/>
  <c r="DT294"/>
  <c r="DS294"/>
  <c r="DR294"/>
  <c r="DQ294"/>
  <c r="DW293"/>
  <c r="DV293"/>
  <c r="DU293"/>
  <c r="DT293"/>
  <c r="DS293"/>
  <c r="DR293"/>
  <c r="DQ293"/>
  <c r="DW292"/>
  <c r="DV292"/>
  <c r="DU292"/>
  <c r="DT292"/>
  <c r="DS292"/>
  <c r="DR292"/>
  <c r="DQ292"/>
  <c r="DW291"/>
  <c r="DV291"/>
  <c r="DU291"/>
  <c r="DT291"/>
  <c r="DS291"/>
  <c r="DR291"/>
  <c r="DQ291"/>
  <c r="DW290"/>
  <c r="DV290"/>
  <c r="DU290"/>
  <c r="DT290"/>
  <c r="DS290"/>
  <c r="DR290"/>
  <c r="DQ290"/>
  <c r="DW289"/>
  <c r="DV289"/>
  <c r="DU289"/>
  <c r="DT289"/>
  <c r="DS289"/>
  <c r="DR289"/>
  <c r="DQ289"/>
  <c r="DW288"/>
  <c r="DV288"/>
  <c r="DU288"/>
  <c r="DT288"/>
  <c r="DS288"/>
  <c r="DR288"/>
  <c r="DQ288"/>
  <c r="DW287"/>
  <c r="DV287"/>
  <c r="DU287"/>
  <c r="DT287"/>
  <c r="DS287"/>
  <c r="DR287"/>
  <c r="DQ287"/>
  <c r="DW286"/>
  <c r="DV286"/>
  <c r="DU286"/>
  <c r="DT286"/>
  <c r="DS286"/>
  <c r="DR286"/>
  <c r="DQ286"/>
  <c r="DW285"/>
  <c r="DV285"/>
  <c r="DU285"/>
  <c r="DT285"/>
  <c r="DS285"/>
  <c r="DR285"/>
  <c r="DQ285"/>
  <c r="DW284"/>
  <c r="DV284"/>
  <c r="DU284"/>
  <c r="DT284"/>
  <c r="DS284"/>
  <c r="DR284"/>
  <c r="DQ284"/>
  <c r="DW283"/>
  <c r="DV283"/>
  <c r="DU283"/>
  <c r="DT283"/>
  <c r="DS283"/>
  <c r="DR283"/>
  <c r="DQ283"/>
  <c r="DW282"/>
  <c r="DV282"/>
  <c r="DU282"/>
  <c r="DT282"/>
  <c r="DS282"/>
  <c r="DR282"/>
  <c r="DQ282"/>
  <c r="DW281"/>
  <c r="DV281"/>
  <c r="DU281"/>
  <c r="DT281"/>
  <c r="DS281"/>
  <c r="DR281"/>
  <c r="DQ281"/>
  <c r="DW280"/>
  <c r="DV280"/>
  <c r="DU280"/>
  <c r="DT280"/>
  <c r="DS280"/>
  <c r="DR280"/>
  <c r="DQ280"/>
  <c r="DW279"/>
  <c r="DV279"/>
  <c r="DU279"/>
  <c r="DT279"/>
  <c r="DS279"/>
  <c r="DR279"/>
  <c r="DQ279"/>
  <c r="DW278"/>
  <c r="DV278"/>
  <c r="DU278"/>
  <c r="DT278"/>
  <c r="DS278"/>
  <c r="DR278"/>
  <c r="DQ278"/>
  <c r="DW277"/>
  <c r="DV277"/>
  <c r="DU277"/>
  <c r="DT277"/>
  <c r="DS277"/>
  <c r="DR277"/>
  <c r="DQ277"/>
  <c r="DW276"/>
  <c r="DV276"/>
  <c r="DU276"/>
  <c r="DT276"/>
  <c r="DS276"/>
  <c r="DR276"/>
  <c r="DQ276"/>
  <c r="DW275"/>
  <c r="DV275"/>
  <c r="DU275"/>
  <c r="DT275"/>
  <c r="DS275"/>
  <c r="DR275"/>
  <c r="DQ275"/>
  <c r="DW274"/>
  <c r="DV274"/>
  <c r="DU274"/>
  <c r="DT274"/>
  <c r="DS274"/>
  <c r="DR274"/>
  <c r="DQ274"/>
  <c r="DW273"/>
  <c r="DV273"/>
  <c r="DU273"/>
  <c r="DT273"/>
  <c r="DS273"/>
  <c r="DR273"/>
  <c r="DQ273"/>
  <c r="DW272"/>
  <c r="DV272"/>
  <c r="DU272"/>
  <c r="DT272"/>
  <c r="DS272"/>
  <c r="DR272"/>
  <c r="DQ272"/>
  <c r="DW271"/>
  <c r="DV271"/>
  <c r="DU271"/>
  <c r="DT271"/>
  <c r="DS271"/>
  <c r="DR271"/>
  <c r="DQ271"/>
  <c r="DW270"/>
  <c r="DV270"/>
  <c r="DU270"/>
  <c r="DT270"/>
  <c r="DS270"/>
  <c r="DR270"/>
  <c r="DQ270"/>
  <c r="DW269"/>
  <c r="DV269"/>
  <c r="DU269"/>
  <c r="DT269"/>
  <c r="DS269"/>
  <c r="DR269"/>
  <c r="DQ269"/>
  <c r="DW268"/>
  <c r="DV268"/>
  <c r="DU268"/>
  <c r="DT268"/>
  <c r="DS268"/>
  <c r="DR268"/>
  <c r="DQ268"/>
  <c r="DW267"/>
  <c r="DV267"/>
  <c r="DU267"/>
  <c r="DT267"/>
  <c r="DS267"/>
  <c r="DR267"/>
  <c r="DQ267"/>
  <c r="DW266"/>
  <c r="DV266"/>
  <c r="DU266"/>
  <c r="DT266"/>
  <c r="DS266"/>
  <c r="DR266"/>
  <c r="DQ266"/>
  <c r="DW265"/>
  <c r="DV265"/>
  <c r="DU265"/>
  <c r="DT265"/>
  <c r="DS265"/>
  <c r="DR265"/>
  <c r="DQ265"/>
  <c r="DW264"/>
  <c r="DV264"/>
  <c r="DU264"/>
  <c r="DT264"/>
  <c r="DS264"/>
  <c r="DR264"/>
  <c r="DQ264"/>
  <c r="DW263"/>
  <c r="DV263"/>
  <c r="DU263"/>
  <c r="DT263"/>
  <c r="DS263"/>
  <c r="DR263"/>
  <c r="DQ263"/>
  <c r="DW262"/>
  <c r="DV262"/>
  <c r="DU262"/>
  <c r="DT262"/>
  <c r="DS262"/>
  <c r="DR262"/>
  <c r="DQ262"/>
  <c r="DW261"/>
  <c r="DV261"/>
  <c r="DU261"/>
  <c r="DT261"/>
  <c r="DS261"/>
  <c r="DR261"/>
  <c r="DQ261"/>
  <c r="DW260"/>
  <c r="DV260"/>
  <c r="DU260"/>
  <c r="DT260"/>
  <c r="DS260"/>
  <c r="DR260"/>
  <c r="DQ260"/>
  <c r="DW259"/>
  <c r="DV259"/>
  <c r="DU259"/>
  <c r="DT259"/>
  <c r="DS259"/>
  <c r="DR259"/>
  <c r="DQ259"/>
  <c r="DW258"/>
  <c r="DV258"/>
  <c r="DU258"/>
  <c r="DT258"/>
  <c r="DS258"/>
  <c r="DR258"/>
  <c r="DQ258"/>
  <c r="DW257"/>
  <c r="DV257"/>
  <c r="DU257"/>
  <c r="DT257"/>
  <c r="DS257"/>
  <c r="DR257"/>
  <c r="DQ257"/>
  <c r="DW256"/>
  <c r="DV256"/>
  <c r="DU256"/>
  <c r="DT256"/>
  <c r="DS256"/>
  <c r="DR256"/>
  <c r="DQ256"/>
  <c r="DW255"/>
  <c r="DV255"/>
  <c r="DU255"/>
  <c r="DT255"/>
  <c r="DS255"/>
  <c r="DR255"/>
  <c r="DQ255"/>
  <c r="DW254"/>
  <c r="DV254"/>
  <c r="DU254"/>
  <c r="DT254"/>
  <c r="DS254"/>
  <c r="DR254"/>
  <c r="DQ254"/>
  <c r="DW253"/>
  <c r="DV253"/>
  <c r="DU253"/>
  <c r="DT253"/>
  <c r="DS253"/>
  <c r="DR253"/>
  <c r="DQ253"/>
  <c r="DW252"/>
  <c r="DV252"/>
  <c r="DU252"/>
  <c r="DT252"/>
  <c r="DS252"/>
  <c r="DR252"/>
  <c r="DQ252"/>
  <c r="DW251"/>
  <c r="DV251"/>
  <c r="DU251"/>
  <c r="DT251"/>
  <c r="DS251"/>
  <c r="DR251"/>
  <c r="DQ251"/>
  <c r="DW250"/>
  <c r="DV250"/>
  <c r="DU250"/>
  <c r="DT250"/>
  <c r="DS250"/>
  <c r="DR250"/>
  <c r="DQ250"/>
  <c r="DW249"/>
  <c r="DV249"/>
  <c r="DU249"/>
  <c r="DT249"/>
  <c r="DS249"/>
  <c r="DR249"/>
  <c r="DQ249"/>
  <c r="DW248"/>
  <c r="DV248"/>
  <c r="DU248"/>
  <c r="DT248"/>
  <c r="DS248"/>
  <c r="DR248"/>
  <c r="DQ248"/>
  <c r="DW247"/>
  <c r="DV247"/>
  <c r="DU247"/>
  <c r="DT247"/>
  <c r="DS247"/>
  <c r="DR247"/>
  <c r="DQ247"/>
  <c r="DW246"/>
  <c r="DV246"/>
  <c r="DU246"/>
  <c r="DT246"/>
  <c r="DS246"/>
  <c r="DR246"/>
  <c r="DQ246"/>
  <c r="DW245"/>
  <c r="DV245"/>
  <c r="DU245"/>
  <c r="DT245"/>
  <c r="DS245"/>
  <c r="DR245"/>
  <c r="DQ245"/>
  <c r="DW244"/>
  <c r="DV244"/>
  <c r="DU244"/>
  <c r="DT244"/>
  <c r="DS244"/>
  <c r="DR244"/>
  <c r="DQ244"/>
  <c r="DW243"/>
  <c r="DV243"/>
  <c r="DU243"/>
  <c r="DT243"/>
  <c r="DS243"/>
  <c r="DR243"/>
  <c r="DQ243"/>
  <c r="DW242"/>
  <c r="DV242"/>
  <c r="DU242"/>
  <c r="DT242"/>
  <c r="DS242"/>
  <c r="DR242"/>
  <c r="DQ242"/>
  <c r="DW241"/>
  <c r="DV241"/>
  <c r="DU241"/>
  <c r="DT241"/>
  <c r="DS241"/>
  <c r="DR241"/>
  <c r="DQ241"/>
  <c r="DW240"/>
  <c r="DV240"/>
  <c r="DU240"/>
  <c r="DT240"/>
  <c r="DS240"/>
  <c r="DR240"/>
  <c r="DQ240"/>
  <c r="DW239"/>
  <c r="DV239"/>
  <c r="DU239"/>
  <c r="DT239"/>
  <c r="DS239"/>
  <c r="DR239"/>
  <c r="DQ239"/>
  <c r="DW238"/>
  <c r="DV238"/>
  <c r="DU238"/>
  <c r="DT238"/>
  <c r="DS238"/>
  <c r="DR238"/>
  <c r="DQ238"/>
  <c r="DW237"/>
  <c r="DV237"/>
  <c r="DU237"/>
  <c r="DT237"/>
  <c r="DS237"/>
  <c r="DR237"/>
  <c r="DQ237"/>
  <c r="DW236"/>
  <c r="DV236"/>
  <c r="DU236"/>
  <c r="DT236"/>
  <c r="DS236"/>
  <c r="DR236"/>
  <c r="DQ236"/>
  <c r="DW235"/>
  <c r="DV235"/>
  <c r="DU235"/>
  <c r="DT235"/>
  <c r="DS235"/>
  <c r="DR235"/>
  <c r="DQ235"/>
  <c r="DW234"/>
  <c r="DV234"/>
  <c r="DU234"/>
  <c r="DT234"/>
  <c r="DS234"/>
  <c r="DR234"/>
  <c r="DQ234"/>
  <c r="DW233"/>
  <c r="DV233"/>
  <c r="DU233"/>
  <c r="DT233"/>
  <c r="DS233"/>
  <c r="DR233"/>
  <c r="DQ233"/>
  <c r="DW232"/>
  <c r="DV232"/>
  <c r="DU232"/>
  <c r="DT232"/>
  <c r="DS232"/>
  <c r="DR232"/>
  <c r="DQ232"/>
  <c r="DW231"/>
  <c r="DV231"/>
  <c r="DU231"/>
  <c r="DT231"/>
  <c r="DS231"/>
  <c r="DR231"/>
  <c r="DQ231"/>
  <c r="DW230"/>
  <c r="DV230"/>
  <c r="DU230"/>
  <c r="DT230"/>
  <c r="DS230"/>
  <c r="DR230"/>
  <c r="DQ230"/>
  <c r="DW229"/>
  <c r="DV229"/>
  <c r="DU229"/>
  <c r="DT229"/>
  <c r="DS229"/>
  <c r="DR229"/>
  <c r="DQ229"/>
  <c r="DW228"/>
  <c r="DV228"/>
  <c r="DU228"/>
  <c r="DT228"/>
  <c r="DS228"/>
  <c r="DR228"/>
  <c r="DQ228"/>
  <c r="DW227"/>
  <c r="DV227"/>
  <c r="DU227"/>
  <c r="DT227"/>
  <c r="DS227"/>
  <c r="DR227"/>
  <c r="DQ227"/>
  <c r="DW226"/>
  <c r="DV226"/>
  <c r="DU226"/>
  <c r="DT226"/>
  <c r="DS226"/>
  <c r="DR226"/>
  <c r="DQ226"/>
  <c r="DW225"/>
  <c r="DV225"/>
  <c r="DU225"/>
  <c r="DT225"/>
  <c r="DS225"/>
  <c r="DR225"/>
  <c r="DQ225"/>
  <c r="DW224"/>
  <c r="DV224"/>
  <c r="DU224"/>
  <c r="DT224"/>
  <c r="DS224"/>
  <c r="DR224"/>
  <c r="DQ224"/>
  <c r="DW223"/>
  <c r="DV223"/>
  <c r="DU223"/>
  <c r="DT223"/>
  <c r="DS223"/>
  <c r="DR223"/>
  <c r="DQ223"/>
  <c r="DW222"/>
  <c r="DV222"/>
  <c r="DU222"/>
  <c r="DT222"/>
  <c r="DS222"/>
  <c r="DR222"/>
  <c r="DQ222"/>
  <c r="DW221"/>
  <c r="DV221"/>
  <c r="DU221"/>
  <c r="DT221"/>
  <c r="DS221"/>
  <c r="DR221"/>
  <c r="DQ221"/>
  <c r="DW220"/>
  <c r="DV220"/>
  <c r="DU220"/>
  <c r="DT220"/>
  <c r="DS220"/>
  <c r="DR220"/>
  <c r="DQ220"/>
  <c r="DW219"/>
  <c r="DV219"/>
  <c r="DU219"/>
  <c r="DT219"/>
  <c r="DS219"/>
  <c r="DR219"/>
  <c r="DQ219"/>
  <c r="DW218"/>
  <c r="DV218"/>
  <c r="DU218"/>
  <c r="DT218"/>
  <c r="DS218"/>
  <c r="DR218"/>
  <c r="DQ218"/>
  <c r="DW217"/>
  <c r="DV217"/>
  <c r="DU217"/>
  <c r="DT217"/>
  <c r="DS217"/>
  <c r="DR217"/>
  <c r="DQ217"/>
  <c r="DW216"/>
  <c r="DV216"/>
  <c r="DU216"/>
  <c r="DT216"/>
  <c r="DS216"/>
  <c r="DR216"/>
  <c r="DQ216"/>
  <c r="DW215"/>
  <c r="DV215"/>
  <c r="DU215"/>
  <c r="DT215"/>
  <c r="DS215"/>
  <c r="DR215"/>
  <c r="DQ215"/>
  <c r="DW214"/>
  <c r="DV214"/>
  <c r="DU214"/>
  <c r="DT214"/>
  <c r="DS214"/>
  <c r="DR214"/>
  <c r="DQ214"/>
  <c r="DW213"/>
  <c r="DV213"/>
  <c r="DU213"/>
  <c r="DT213"/>
  <c r="DS213"/>
  <c r="DR213"/>
  <c r="DQ213"/>
  <c r="DW212"/>
  <c r="DV212"/>
  <c r="DU212"/>
  <c r="DT212"/>
  <c r="DS212"/>
  <c r="DR212"/>
  <c r="DQ212"/>
  <c r="DW211"/>
  <c r="DV211"/>
  <c r="DU211"/>
  <c r="DT211"/>
  <c r="DS211"/>
  <c r="DR211"/>
  <c r="DQ211"/>
  <c r="DW210"/>
  <c r="DV210"/>
  <c r="DU210"/>
  <c r="DT210"/>
  <c r="DS210"/>
  <c r="DR210"/>
  <c r="DQ210"/>
  <c r="DW209"/>
  <c r="DV209"/>
  <c r="DU209"/>
  <c r="DT209"/>
  <c r="DS209"/>
  <c r="DR209"/>
  <c r="DQ209"/>
  <c r="DW208"/>
  <c r="DV208"/>
  <c r="DU208"/>
  <c r="DT208"/>
  <c r="DS208"/>
  <c r="DR208"/>
  <c r="DQ208"/>
  <c r="DW207"/>
  <c r="DV207"/>
  <c r="DU207"/>
  <c r="DT207"/>
  <c r="DS207"/>
  <c r="DR207"/>
  <c r="DQ207"/>
  <c r="DW206"/>
  <c r="DV206"/>
  <c r="DU206"/>
  <c r="DT206"/>
  <c r="DS206"/>
  <c r="DR206"/>
  <c r="DQ206"/>
  <c r="DW205"/>
  <c r="DV205"/>
  <c r="DU205"/>
  <c r="DT205"/>
  <c r="DS205"/>
  <c r="DR205"/>
  <c r="DQ205"/>
  <c r="DW204"/>
  <c r="DV204"/>
  <c r="DU204"/>
  <c r="DT204"/>
  <c r="DS204"/>
  <c r="DR204"/>
  <c r="DQ204"/>
  <c r="DW203"/>
  <c r="DV203"/>
  <c r="DU203"/>
  <c r="DT203"/>
  <c r="DS203"/>
  <c r="DR203"/>
  <c r="DQ203"/>
  <c r="DW202"/>
  <c r="DV202"/>
  <c r="DU202"/>
  <c r="DT202"/>
  <c r="DS202"/>
  <c r="DR202"/>
  <c r="DQ202"/>
  <c r="DW201"/>
  <c r="DV201"/>
  <c r="DU201"/>
  <c r="DT201"/>
  <c r="DS201"/>
  <c r="DR201"/>
  <c r="DQ201"/>
  <c r="DW200"/>
  <c r="DV200"/>
  <c r="DU200"/>
  <c r="DT200"/>
  <c r="DS200"/>
  <c r="DR200"/>
  <c r="DQ200"/>
  <c r="DW199"/>
  <c r="DV199"/>
  <c r="DU199"/>
  <c r="DT199"/>
  <c r="DS199"/>
  <c r="DR199"/>
  <c r="DQ199"/>
  <c r="DW198"/>
  <c r="DV198"/>
  <c r="DU198"/>
  <c r="DT198"/>
  <c r="DS198"/>
  <c r="DR198"/>
  <c r="DQ198"/>
  <c r="DW197"/>
  <c r="DV197"/>
  <c r="DU197"/>
  <c r="DT197"/>
  <c r="DS197"/>
  <c r="DR197"/>
  <c r="DQ197"/>
  <c r="DW196"/>
  <c r="DV196"/>
  <c r="DU196"/>
  <c r="DT196"/>
  <c r="DS196"/>
  <c r="DR196"/>
  <c r="DQ196"/>
  <c r="DW195"/>
  <c r="DV195"/>
  <c r="DU195"/>
  <c r="DT195"/>
  <c r="DS195"/>
  <c r="DR195"/>
  <c r="DQ195"/>
  <c r="DW194"/>
  <c r="DV194"/>
  <c r="DU194"/>
  <c r="DT194"/>
  <c r="DS194"/>
  <c r="DR194"/>
  <c r="DQ194"/>
  <c r="DW193"/>
  <c r="DV193"/>
  <c r="DU193"/>
  <c r="DT193"/>
  <c r="DS193"/>
  <c r="DR193"/>
  <c r="DQ193"/>
  <c r="DW192"/>
  <c r="DV192"/>
  <c r="DU192"/>
  <c r="DT192"/>
  <c r="DS192"/>
  <c r="DR192"/>
  <c r="DQ192"/>
  <c r="DW191"/>
  <c r="DV191"/>
  <c r="DU191"/>
  <c r="DT191"/>
  <c r="DS191"/>
  <c r="DR191"/>
  <c r="DQ191"/>
  <c r="DW190"/>
  <c r="DV190"/>
  <c r="DU190"/>
  <c r="DT190"/>
  <c r="DS190"/>
  <c r="DR190"/>
  <c r="DQ190"/>
  <c r="DW189"/>
  <c r="DV189"/>
  <c r="DU189"/>
  <c r="DT189"/>
  <c r="DS189"/>
  <c r="DR189"/>
  <c r="DQ189"/>
  <c r="DW188"/>
  <c r="DV188"/>
  <c r="DU188"/>
  <c r="DT188"/>
  <c r="DS188"/>
  <c r="DR188"/>
  <c r="DQ188"/>
  <c r="DW187"/>
  <c r="DV187"/>
  <c r="DU187"/>
  <c r="DT187"/>
  <c r="DS187"/>
  <c r="DR187"/>
  <c r="DQ187"/>
  <c r="DW186"/>
  <c r="DV186"/>
  <c r="DU186"/>
  <c r="DT186"/>
  <c r="DS186"/>
  <c r="DR186"/>
  <c r="DQ186"/>
  <c r="DW185"/>
  <c r="AS185" s="1"/>
  <c r="DV185"/>
  <c r="DU185"/>
  <c r="DT185"/>
  <c r="DS185"/>
  <c r="DR185"/>
  <c r="DQ185"/>
  <c r="DW184"/>
  <c r="DV184"/>
  <c r="DU184"/>
  <c r="DT184"/>
  <c r="DS184"/>
  <c r="DR184"/>
  <c r="DX184" s="1"/>
  <c r="DQ184"/>
  <c r="DW183"/>
  <c r="DV183"/>
  <c r="DU183"/>
  <c r="DT183"/>
  <c r="DS183"/>
  <c r="DR183"/>
  <c r="DQ183"/>
  <c r="DW182"/>
  <c r="DV182"/>
  <c r="DU182"/>
  <c r="DT182"/>
  <c r="DS182"/>
  <c r="DR182"/>
  <c r="DQ182"/>
  <c r="DW181"/>
  <c r="DV181"/>
  <c r="DU181"/>
  <c r="DT181"/>
  <c r="DS181"/>
  <c r="DR181"/>
  <c r="DQ181"/>
  <c r="DW180"/>
  <c r="DV180"/>
  <c r="DU180"/>
  <c r="DT180"/>
  <c r="DS180"/>
  <c r="DR180"/>
  <c r="DQ180"/>
  <c r="DW179"/>
  <c r="DV179"/>
  <c r="DU179"/>
  <c r="DT179"/>
  <c r="DS179"/>
  <c r="DR179"/>
  <c r="DQ179"/>
  <c r="DW178"/>
  <c r="DV178"/>
  <c r="DU178"/>
  <c r="DT178"/>
  <c r="DS178"/>
  <c r="DR178"/>
  <c r="DQ178"/>
  <c r="DW177"/>
  <c r="DV177"/>
  <c r="DU177"/>
  <c r="DT177"/>
  <c r="DS177"/>
  <c r="DR177"/>
  <c r="DQ177"/>
  <c r="DW176"/>
  <c r="DV176"/>
  <c r="DU176"/>
  <c r="DT176"/>
  <c r="DS176"/>
  <c r="DR176"/>
  <c r="DQ176"/>
  <c r="DW175"/>
  <c r="DV175"/>
  <c r="DU175"/>
  <c r="DT175"/>
  <c r="DS175"/>
  <c r="DR175"/>
  <c r="DQ175"/>
  <c r="DX175" s="1"/>
  <c r="DW174"/>
  <c r="DV174"/>
  <c r="DU174"/>
  <c r="DT174"/>
  <c r="DS174"/>
  <c r="DR174"/>
  <c r="DQ174"/>
  <c r="DW173"/>
  <c r="DV173"/>
  <c r="DU173"/>
  <c r="DT173"/>
  <c r="DS173"/>
  <c r="DR173"/>
  <c r="DQ173"/>
  <c r="DW172"/>
  <c r="DV172"/>
  <c r="DU172"/>
  <c r="DT172"/>
  <c r="DS172"/>
  <c r="DR172"/>
  <c r="DQ172"/>
  <c r="DW171"/>
  <c r="DV171"/>
  <c r="DU171"/>
  <c r="DT171"/>
  <c r="DS171"/>
  <c r="DR171"/>
  <c r="DQ171"/>
  <c r="DW170"/>
  <c r="DV170"/>
  <c r="DU170"/>
  <c r="DT170"/>
  <c r="DS170"/>
  <c r="DR170"/>
  <c r="DQ170"/>
  <c r="DW169"/>
  <c r="DV169"/>
  <c r="DU169"/>
  <c r="DT169"/>
  <c r="DS169"/>
  <c r="DR169"/>
  <c r="DQ169"/>
  <c r="DW168"/>
  <c r="DV168"/>
  <c r="DU168"/>
  <c r="DT168"/>
  <c r="DS168"/>
  <c r="DR168"/>
  <c r="DQ168"/>
  <c r="DW167"/>
  <c r="DV167"/>
  <c r="DU167"/>
  <c r="DT167"/>
  <c r="DS167"/>
  <c r="DR167"/>
  <c r="DQ167"/>
  <c r="DW166"/>
  <c r="DV166"/>
  <c r="DU166"/>
  <c r="DT166"/>
  <c r="DS166"/>
  <c r="DR166"/>
  <c r="DQ166"/>
  <c r="DW165"/>
  <c r="DV165"/>
  <c r="DU165"/>
  <c r="DT165"/>
  <c r="DS165"/>
  <c r="DR165"/>
  <c r="DQ165"/>
  <c r="DW164"/>
  <c r="DV164"/>
  <c r="DU164"/>
  <c r="DT164"/>
  <c r="DS164"/>
  <c r="DR164"/>
  <c r="DQ164"/>
  <c r="DW163"/>
  <c r="DV163"/>
  <c r="DU163"/>
  <c r="DT163"/>
  <c r="DS163"/>
  <c r="DR163"/>
  <c r="DQ163"/>
  <c r="DW162"/>
  <c r="DV162"/>
  <c r="DU162"/>
  <c r="DT162"/>
  <c r="DS162"/>
  <c r="DR162"/>
  <c r="DQ162"/>
  <c r="DW161"/>
  <c r="DV161"/>
  <c r="DU161"/>
  <c r="DT161"/>
  <c r="DS161"/>
  <c r="DR161"/>
  <c r="DQ161"/>
  <c r="DW160"/>
  <c r="DV160"/>
  <c r="DU160"/>
  <c r="DT160"/>
  <c r="DS160"/>
  <c r="DR160"/>
  <c r="DQ160"/>
  <c r="DW159"/>
  <c r="DV159"/>
  <c r="DU159"/>
  <c r="DT159"/>
  <c r="DS159"/>
  <c r="DR159"/>
  <c r="DQ159"/>
  <c r="DW158"/>
  <c r="DV158"/>
  <c r="DU158"/>
  <c r="DT158"/>
  <c r="DS158"/>
  <c r="DR158"/>
  <c r="DQ158"/>
  <c r="DW157"/>
  <c r="DV157"/>
  <c r="DU157"/>
  <c r="DT157"/>
  <c r="DS157"/>
  <c r="DR157"/>
  <c r="DQ157"/>
  <c r="DW156"/>
  <c r="DV156"/>
  <c r="DU156"/>
  <c r="DT156"/>
  <c r="DS156"/>
  <c r="DR156"/>
  <c r="DQ156"/>
  <c r="DW155"/>
  <c r="DV155"/>
  <c r="DU155"/>
  <c r="DT155"/>
  <c r="DS155"/>
  <c r="DR155"/>
  <c r="DQ155"/>
  <c r="DW154"/>
  <c r="DV154"/>
  <c r="DU154"/>
  <c r="DT154"/>
  <c r="DS154"/>
  <c r="DR154"/>
  <c r="DQ154"/>
  <c r="DW153"/>
  <c r="DV153"/>
  <c r="DU153"/>
  <c r="DT153"/>
  <c r="DS153"/>
  <c r="DR153"/>
  <c r="DQ153"/>
  <c r="DW152"/>
  <c r="DV152"/>
  <c r="DU152"/>
  <c r="DT152"/>
  <c r="DS152"/>
  <c r="DR152"/>
  <c r="DQ152"/>
  <c r="DW151"/>
  <c r="DV151"/>
  <c r="DU151"/>
  <c r="DT151"/>
  <c r="DS151"/>
  <c r="DR151"/>
  <c r="DQ151"/>
  <c r="DW150"/>
  <c r="DV150"/>
  <c r="DU150"/>
  <c r="DT150"/>
  <c r="DS150"/>
  <c r="DR150"/>
  <c r="DQ150"/>
  <c r="DW149"/>
  <c r="DV149"/>
  <c r="DU149"/>
  <c r="DT149"/>
  <c r="DS149"/>
  <c r="DR149"/>
  <c r="DQ149"/>
  <c r="DW148"/>
  <c r="DV148"/>
  <c r="DU148"/>
  <c r="DT148"/>
  <c r="DS148"/>
  <c r="DR148"/>
  <c r="DQ148"/>
  <c r="DW147"/>
  <c r="DV147"/>
  <c r="DU147"/>
  <c r="DT147"/>
  <c r="DS147"/>
  <c r="DR147"/>
  <c r="DQ147"/>
  <c r="DW146"/>
  <c r="DV146"/>
  <c r="DU146"/>
  <c r="DT146"/>
  <c r="DS146"/>
  <c r="DR146"/>
  <c r="DQ146"/>
  <c r="DW145"/>
  <c r="DV145"/>
  <c r="DU145"/>
  <c r="DT145"/>
  <c r="DS145"/>
  <c r="DR145"/>
  <c r="DQ145"/>
  <c r="DW144"/>
  <c r="DV144"/>
  <c r="DU144"/>
  <c r="DT144"/>
  <c r="DS144"/>
  <c r="DR144"/>
  <c r="DQ144"/>
  <c r="DW143"/>
  <c r="DV143"/>
  <c r="DU143"/>
  <c r="DT143"/>
  <c r="DS143"/>
  <c r="DR143"/>
  <c r="DQ143"/>
  <c r="DW142"/>
  <c r="DV142"/>
  <c r="DU142"/>
  <c r="DT142"/>
  <c r="DS142"/>
  <c r="DR142"/>
  <c r="DQ142"/>
  <c r="DW141"/>
  <c r="DV141"/>
  <c r="DU141"/>
  <c r="DT141"/>
  <c r="DS141"/>
  <c r="DR141"/>
  <c r="DQ141"/>
  <c r="DW140"/>
  <c r="DV140"/>
  <c r="DU140"/>
  <c r="DT140"/>
  <c r="DS140"/>
  <c r="DR140"/>
  <c r="DQ140"/>
  <c r="DW139"/>
  <c r="DV139"/>
  <c r="DU139"/>
  <c r="DT139"/>
  <c r="DS139"/>
  <c r="DR139"/>
  <c r="DQ139"/>
  <c r="DW138"/>
  <c r="DV138"/>
  <c r="DU138"/>
  <c r="DT138"/>
  <c r="DS138"/>
  <c r="DR138"/>
  <c r="DQ138"/>
  <c r="DW137"/>
  <c r="DV137"/>
  <c r="DU137"/>
  <c r="DT137"/>
  <c r="DS137"/>
  <c r="DR137"/>
  <c r="DQ137"/>
  <c r="DW136"/>
  <c r="DV136"/>
  <c r="DU136"/>
  <c r="DT136"/>
  <c r="DS136"/>
  <c r="DR136"/>
  <c r="DQ136"/>
  <c r="DW135"/>
  <c r="DV135"/>
  <c r="DU135"/>
  <c r="DT135"/>
  <c r="DS135"/>
  <c r="DR135"/>
  <c r="DQ135"/>
  <c r="DW134"/>
  <c r="DV134"/>
  <c r="DU134"/>
  <c r="DT134"/>
  <c r="DS134"/>
  <c r="DR134"/>
  <c r="DQ134"/>
  <c r="DW133"/>
  <c r="DV133"/>
  <c r="DU133"/>
  <c r="DT133"/>
  <c r="DS133"/>
  <c r="DR133"/>
  <c r="DQ133"/>
  <c r="DW132"/>
  <c r="DV132"/>
  <c r="DU132"/>
  <c r="DT132"/>
  <c r="DS132"/>
  <c r="DR132"/>
  <c r="DQ132"/>
  <c r="DW131"/>
  <c r="DV131"/>
  <c r="DU131"/>
  <c r="DT131"/>
  <c r="DS131"/>
  <c r="DR131"/>
  <c r="DQ131"/>
  <c r="DW130"/>
  <c r="DV130"/>
  <c r="DU130"/>
  <c r="DT130"/>
  <c r="DS130"/>
  <c r="DR130"/>
  <c r="DQ130"/>
  <c r="DW129"/>
  <c r="DV129"/>
  <c r="DU129"/>
  <c r="DT129"/>
  <c r="DS129"/>
  <c r="DR129"/>
  <c r="DQ129"/>
  <c r="DW128"/>
  <c r="DV128"/>
  <c r="DU128"/>
  <c r="DT128"/>
  <c r="DS128"/>
  <c r="DR128"/>
  <c r="DQ128"/>
  <c r="DW127"/>
  <c r="DV127"/>
  <c r="DU127"/>
  <c r="DT127"/>
  <c r="DS127"/>
  <c r="DR127"/>
  <c r="DQ127"/>
  <c r="DW126"/>
  <c r="DV126"/>
  <c r="DU126"/>
  <c r="DT126"/>
  <c r="DS126"/>
  <c r="DR126"/>
  <c r="DQ126"/>
  <c r="DW125"/>
  <c r="DV125"/>
  <c r="DU125"/>
  <c r="DT125"/>
  <c r="DS125"/>
  <c r="DR125"/>
  <c r="DQ125"/>
  <c r="DW124"/>
  <c r="DV124"/>
  <c r="DU124"/>
  <c r="DT124"/>
  <c r="DS124"/>
  <c r="DR124"/>
  <c r="DQ124"/>
  <c r="DW123"/>
  <c r="DV123"/>
  <c r="DU123"/>
  <c r="DT123"/>
  <c r="DS123"/>
  <c r="DR123"/>
  <c r="DQ123"/>
  <c r="DW122"/>
  <c r="DV122"/>
  <c r="DU122"/>
  <c r="DT122"/>
  <c r="DS122"/>
  <c r="DR122"/>
  <c r="DQ122"/>
  <c r="DW121"/>
  <c r="DV121"/>
  <c r="DU121"/>
  <c r="DT121"/>
  <c r="DS121"/>
  <c r="DR121"/>
  <c r="DQ121"/>
  <c r="DW120"/>
  <c r="DV120"/>
  <c r="DU120"/>
  <c r="DT120"/>
  <c r="DS120"/>
  <c r="DR120"/>
  <c r="DQ120"/>
  <c r="DW119"/>
  <c r="DV119"/>
  <c r="DU119"/>
  <c r="DT119"/>
  <c r="DS119"/>
  <c r="DR119"/>
  <c r="DQ119"/>
  <c r="DW118"/>
  <c r="DV118"/>
  <c r="DU118"/>
  <c r="DT118"/>
  <c r="DS118"/>
  <c r="DR118"/>
  <c r="DQ118"/>
  <c r="DW117"/>
  <c r="DV117"/>
  <c r="DU117"/>
  <c r="DT117"/>
  <c r="DS117"/>
  <c r="DR117"/>
  <c r="DQ117"/>
  <c r="DW116"/>
  <c r="DV116"/>
  <c r="DU116"/>
  <c r="DT116"/>
  <c r="DS116"/>
  <c r="DR116"/>
  <c r="DQ116"/>
  <c r="DW115"/>
  <c r="DV115"/>
  <c r="DU115"/>
  <c r="DT115"/>
  <c r="DS115"/>
  <c r="DR115"/>
  <c r="DQ115"/>
  <c r="DW114"/>
  <c r="DV114"/>
  <c r="DU114"/>
  <c r="DT114"/>
  <c r="DS114"/>
  <c r="DR114"/>
  <c r="DQ114"/>
  <c r="DW113"/>
  <c r="DV113"/>
  <c r="DU113"/>
  <c r="DT113"/>
  <c r="DS113"/>
  <c r="DR113"/>
  <c r="DQ113"/>
  <c r="DW112"/>
  <c r="DV112"/>
  <c r="DU112"/>
  <c r="DT112"/>
  <c r="DS112"/>
  <c r="DR112"/>
  <c r="DQ112"/>
  <c r="DW111"/>
  <c r="DV111"/>
  <c r="DU111"/>
  <c r="DT111"/>
  <c r="DS111"/>
  <c r="DR111"/>
  <c r="DQ111"/>
  <c r="DW110"/>
  <c r="DV110"/>
  <c r="DU110"/>
  <c r="DT110"/>
  <c r="DS110"/>
  <c r="DR110"/>
  <c r="DQ110"/>
  <c r="DW109"/>
  <c r="DV109"/>
  <c r="DU109"/>
  <c r="DT109"/>
  <c r="DS109"/>
  <c r="DR109"/>
  <c r="DQ109"/>
  <c r="DW108"/>
  <c r="DV108"/>
  <c r="DU108"/>
  <c r="DT108"/>
  <c r="DS108"/>
  <c r="DR108"/>
  <c r="DQ108"/>
  <c r="DW107"/>
  <c r="DV107"/>
  <c r="DU107"/>
  <c r="DT107"/>
  <c r="DS107"/>
  <c r="DR107"/>
  <c r="DQ107"/>
  <c r="DW106"/>
  <c r="DV106"/>
  <c r="DU106"/>
  <c r="DT106"/>
  <c r="DS106"/>
  <c r="DR106"/>
  <c r="DQ106"/>
  <c r="DW105"/>
  <c r="DV105"/>
  <c r="DU105"/>
  <c r="DT105"/>
  <c r="DS105"/>
  <c r="DR105"/>
  <c r="DQ105"/>
  <c r="DW104"/>
  <c r="DV104"/>
  <c r="DU104"/>
  <c r="DT104"/>
  <c r="DS104"/>
  <c r="DR104"/>
  <c r="DQ104"/>
  <c r="DW103"/>
  <c r="DV103"/>
  <c r="DU103"/>
  <c r="DT103"/>
  <c r="DS103"/>
  <c r="DR103"/>
  <c r="DQ103"/>
  <c r="DW102"/>
  <c r="DV102"/>
  <c r="DU102"/>
  <c r="DT102"/>
  <c r="DS102"/>
  <c r="DR102"/>
  <c r="DQ102"/>
  <c r="DW101"/>
  <c r="DV101"/>
  <c r="DU101"/>
  <c r="DT101"/>
  <c r="DS101"/>
  <c r="DR101"/>
  <c r="DQ101"/>
  <c r="DW100"/>
  <c r="DV100"/>
  <c r="DU100"/>
  <c r="DT100"/>
  <c r="DS100"/>
  <c r="DR100"/>
  <c r="DQ100"/>
  <c r="DW99"/>
  <c r="DV99"/>
  <c r="DU99"/>
  <c r="DT99"/>
  <c r="DS99"/>
  <c r="DR99"/>
  <c r="DQ99"/>
  <c r="DW98"/>
  <c r="DV98"/>
  <c r="DU98"/>
  <c r="DT98"/>
  <c r="DS98"/>
  <c r="DR98"/>
  <c r="DQ98"/>
  <c r="DW97"/>
  <c r="DV97"/>
  <c r="DU97"/>
  <c r="DT97"/>
  <c r="DS97"/>
  <c r="DR97"/>
  <c r="DQ97"/>
  <c r="DW96"/>
  <c r="DV96"/>
  <c r="DU96"/>
  <c r="DT96"/>
  <c r="DS96"/>
  <c r="DR96"/>
  <c r="DQ96"/>
  <c r="DW95"/>
  <c r="DV95"/>
  <c r="DU95"/>
  <c r="DT95"/>
  <c r="DS95"/>
  <c r="DR95"/>
  <c r="DQ95"/>
  <c r="DW94"/>
  <c r="DV94"/>
  <c r="DU94"/>
  <c r="DT94"/>
  <c r="DS94"/>
  <c r="DR94"/>
  <c r="DQ94"/>
  <c r="DW93"/>
  <c r="DV93"/>
  <c r="DU93"/>
  <c r="DT93"/>
  <c r="DS93"/>
  <c r="DR93"/>
  <c r="DQ93"/>
  <c r="DW92"/>
  <c r="DV92"/>
  <c r="DU92"/>
  <c r="DT92"/>
  <c r="DS92"/>
  <c r="DR92"/>
  <c r="DQ92"/>
  <c r="DW91"/>
  <c r="DV91"/>
  <c r="DU91"/>
  <c r="DT91"/>
  <c r="DS91"/>
  <c r="DR91"/>
  <c r="DQ91"/>
  <c r="DW90"/>
  <c r="DV90"/>
  <c r="DU90"/>
  <c r="DT90"/>
  <c r="DS90"/>
  <c r="DR90"/>
  <c r="DQ90"/>
  <c r="DW89"/>
  <c r="DV89"/>
  <c r="DU89"/>
  <c r="DT89"/>
  <c r="DS89"/>
  <c r="DR89"/>
  <c r="DQ89"/>
  <c r="DW88"/>
  <c r="DV88"/>
  <c r="DU88"/>
  <c r="DT88"/>
  <c r="DS88"/>
  <c r="DR88"/>
  <c r="DQ88"/>
  <c r="DW87"/>
  <c r="DV87"/>
  <c r="DU87"/>
  <c r="DT87"/>
  <c r="DS87"/>
  <c r="DR87"/>
  <c r="DQ87"/>
  <c r="DW86"/>
  <c r="DV86"/>
  <c r="DU86"/>
  <c r="DT86"/>
  <c r="DS86"/>
  <c r="DR86"/>
  <c r="DQ86"/>
  <c r="DW85"/>
  <c r="DV85"/>
  <c r="DU85"/>
  <c r="DT85"/>
  <c r="DS85"/>
  <c r="DR85"/>
  <c r="DQ85"/>
  <c r="DW84"/>
  <c r="DV84"/>
  <c r="DU84"/>
  <c r="DT84"/>
  <c r="DS84"/>
  <c r="DR84"/>
  <c r="DQ84"/>
  <c r="DW83"/>
  <c r="DV83"/>
  <c r="DU83"/>
  <c r="DT83"/>
  <c r="DS83"/>
  <c r="DR83"/>
  <c r="DQ83"/>
  <c r="DW82"/>
  <c r="DV82"/>
  <c r="DU82"/>
  <c r="DT82"/>
  <c r="DS82"/>
  <c r="DR82"/>
  <c r="DQ82"/>
  <c r="DW81"/>
  <c r="DV81"/>
  <c r="DU81"/>
  <c r="DT81"/>
  <c r="DS81"/>
  <c r="DR81"/>
  <c r="DQ81"/>
  <c r="DW80"/>
  <c r="DV80"/>
  <c r="DU80"/>
  <c r="DT80"/>
  <c r="DS80"/>
  <c r="DR80"/>
  <c r="DQ80"/>
  <c r="DW79"/>
  <c r="DV79"/>
  <c r="DU79"/>
  <c r="DT79"/>
  <c r="DS79"/>
  <c r="DR79"/>
  <c r="DQ79"/>
  <c r="DW78"/>
  <c r="DV78"/>
  <c r="DU78"/>
  <c r="DT78"/>
  <c r="DS78"/>
  <c r="DR78"/>
  <c r="DQ78"/>
  <c r="DW77"/>
  <c r="DV77"/>
  <c r="DU77"/>
  <c r="DT77"/>
  <c r="DS77"/>
  <c r="DR77"/>
  <c r="DQ77"/>
  <c r="DW76"/>
  <c r="DV76"/>
  <c r="DU76"/>
  <c r="DT76"/>
  <c r="DS76"/>
  <c r="DR76"/>
  <c r="DQ76"/>
  <c r="DW75"/>
  <c r="DV75"/>
  <c r="DU75"/>
  <c r="DT75"/>
  <c r="DS75"/>
  <c r="DR75"/>
  <c r="DQ75"/>
  <c r="DW74"/>
  <c r="DV74"/>
  <c r="DU74"/>
  <c r="DT74"/>
  <c r="DS74"/>
  <c r="DR74"/>
  <c r="DQ74"/>
  <c r="DW73"/>
  <c r="DV73"/>
  <c r="DU73"/>
  <c r="DT73"/>
  <c r="DS73"/>
  <c r="DR73"/>
  <c r="DQ73"/>
  <c r="DW72"/>
  <c r="DV72"/>
  <c r="DU72"/>
  <c r="DT72"/>
  <c r="DS72"/>
  <c r="DR72"/>
  <c r="DQ72"/>
  <c r="DW71"/>
  <c r="DV71"/>
  <c r="DU71"/>
  <c r="DT71"/>
  <c r="DS71"/>
  <c r="DR71"/>
  <c r="DQ71"/>
  <c r="DW70"/>
  <c r="DV70"/>
  <c r="DU70"/>
  <c r="DT70"/>
  <c r="DS70"/>
  <c r="DR70"/>
  <c r="DQ70"/>
  <c r="DW69"/>
  <c r="DV69"/>
  <c r="DU69"/>
  <c r="DT69"/>
  <c r="DS69"/>
  <c r="DR69"/>
  <c r="DQ69"/>
  <c r="DW68"/>
  <c r="DV68"/>
  <c r="DU68"/>
  <c r="DT68"/>
  <c r="DS68"/>
  <c r="DR68"/>
  <c r="DQ68"/>
  <c r="DW67"/>
  <c r="DV67"/>
  <c r="DU67"/>
  <c r="DT67"/>
  <c r="DS67"/>
  <c r="DR67"/>
  <c r="DQ67"/>
  <c r="DW66"/>
  <c r="DV66"/>
  <c r="DU66"/>
  <c r="DT66"/>
  <c r="DS66"/>
  <c r="DR66"/>
  <c r="DQ66"/>
  <c r="DW65"/>
  <c r="DV65"/>
  <c r="DU65"/>
  <c r="DT65"/>
  <c r="DS65"/>
  <c r="DR65"/>
  <c r="DQ65"/>
  <c r="DW64"/>
  <c r="DV64"/>
  <c r="DU64"/>
  <c r="DT64"/>
  <c r="DS64"/>
  <c r="DR64"/>
  <c r="DQ64"/>
  <c r="DW63"/>
  <c r="DV63"/>
  <c r="DU63"/>
  <c r="DT63"/>
  <c r="DS63"/>
  <c r="DR63"/>
  <c r="DQ63"/>
  <c r="DW62"/>
  <c r="DV62"/>
  <c r="DU62"/>
  <c r="DT62"/>
  <c r="DS62"/>
  <c r="DR62"/>
  <c r="DQ62"/>
  <c r="DW61"/>
  <c r="DV61"/>
  <c r="DU61"/>
  <c r="DT61"/>
  <c r="DS61"/>
  <c r="DR61"/>
  <c r="DQ61"/>
  <c r="DW60"/>
  <c r="DV60"/>
  <c r="DU60"/>
  <c r="DT60"/>
  <c r="DS60"/>
  <c r="DR60"/>
  <c r="DQ60"/>
  <c r="DW59"/>
  <c r="DV59"/>
  <c r="DU59"/>
  <c r="DT59"/>
  <c r="DS59"/>
  <c r="DR59"/>
  <c r="DQ59"/>
  <c r="DW58"/>
  <c r="DV58"/>
  <c r="DU58"/>
  <c r="DT58"/>
  <c r="DS58"/>
  <c r="DR58"/>
  <c r="DQ58"/>
  <c r="DW57"/>
  <c r="DV57"/>
  <c r="DU57"/>
  <c r="DT57"/>
  <c r="DS57"/>
  <c r="DR57"/>
  <c r="DQ57"/>
  <c r="DW56"/>
  <c r="DV56"/>
  <c r="DU56"/>
  <c r="DT56"/>
  <c r="DS56"/>
  <c r="DR56"/>
  <c r="DQ56"/>
  <c r="DW55"/>
  <c r="DV55"/>
  <c r="DU55"/>
  <c r="DT55"/>
  <c r="DS55"/>
  <c r="DR55"/>
  <c r="DQ55"/>
  <c r="DW54"/>
  <c r="DV54"/>
  <c r="DU54"/>
  <c r="DT54"/>
  <c r="DS54"/>
  <c r="DR54"/>
  <c r="DQ54"/>
  <c r="DW53"/>
  <c r="DV53"/>
  <c r="DU53"/>
  <c r="DT53"/>
  <c r="DS53"/>
  <c r="DR53"/>
  <c r="DQ53"/>
  <c r="DW52"/>
  <c r="DV52"/>
  <c r="DU52"/>
  <c r="DT52"/>
  <c r="DS52"/>
  <c r="DR52"/>
  <c r="DQ52"/>
  <c r="DW51"/>
  <c r="DV51"/>
  <c r="DU51"/>
  <c r="DT51"/>
  <c r="DS51"/>
  <c r="DR51"/>
  <c r="DQ51"/>
  <c r="DW50"/>
  <c r="DV50"/>
  <c r="DU50"/>
  <c r="DT50"/>
  <c r="DS50"/>
  <c r="DR50"/>
  <c r="DQ50"/>
  <c r="DW49"/>
  <c r="DV49"/>
  <c r="DU49"/>
  <c r="DT49"/>
  <c r="DS49"/>
  <c r="DR49"/>
  <c r="DQ49"/>
  <c r="DW48"/>
  <c r="DV48"/>
  <c r="DU48"/>
  <c r="DT48"/>
  <c r="DS48"/>
  <c r="DR48"/>
  <c r="DQ48"/>
  <c r="DW47"/>
  <c r="DV47"/>
  <c r="DU47"/>
  <c r="DT47"/>
  <c r="DS47"/>
  <c r="DR47"/>
  <c r="DQ47"/>
  <c r="DW46"/>
  <c r="DV46"/>
  <c r="DU46"/>
  <c r="DT46"/>
  <c r="DS46"/>
  <c r="DR46"/>
  <c r="DQ46"/>
  <c r="DW45"/>
  <c r="DV45"/>
  <c r="DU45"/>
  <c r="DT45"/>
  <c r="DS45"/>
  <c r="DR45"/>
  <c r="DQ45"/>
  <c r="DW44"/>
  <c r="DV44"/>
  <c r="DU44"/>
  <c r="DT44"/>
  <c r="DS44"/>
  <c r="DR44"/>
  <c r="DQ44"/>
  <c r="DW43"/>
  <c r="DV43"/>
  <c r="DU43"/>
  <c r="DT43"/>
  <c r="DS43"/>
  <c r="DR43"/>
  <c r="DQ43"/>
  <c r="DW42"/>
  <c r="DV42"/>
  <c r="DU42"/>
  <c r="DT42"/>
  <c r="DS42"/>
  <c r="DR42"/>
  <c r="DQ42"/>
  <c r="DW41"/>
  <c r="DV41"/>
  <c r="DU41"/>
  <c r="DT41"/>
  <c r="DS41"/>
  <c r="DR41"/>
  <c r="DQ41"/>
  <c r="DW40"/>
  <c r="DV40"/>
  <c r="DU40"/>
  <c r="DT40"/>
  <c r="DS40"/>
  <c r="DR40"/>
  <c r="DQ40"/>
  <c r="DW39"/>
  <c r="DV39"/>
  <c r="DU39"/>
  <c r="DT39"/>
  <c r="DS39"/>
  <c r="DR39"/>
  <c r="DQ39"/>
  <c r="DW38"/>
  <c r="DV38"/>
  <c r="DU38"/>
  <c r="DT38"/>
  <c r="DS38"/>
  <c r="DR38"/>
  <c r="DQ38"/>
  <c r="DW37"/>
  <c r="DV37"/>
  <c r="DU37"/>
  <c r="DT37"/>
  <c r="DS37"/>
  <c r="DR37"/>
  <c r="DQ37"/>
  <c r="DW36"/>
  <c r="DV36"/>
  <c r="DU36"/>
  <c r="DT36"/>
  <c r="DS36"/>
  <c r="DR36"/>
  <c r="DQ36"/>
  <c r="DW35"/>
  <c r="DV35"/>
  <c r="DU35"/>
  <c r="DT35"/>
  <c r="DS35"/>
  <c r="DR35"/>
  <c r="DQ35"/>
  <c r="DW34"/>
  <c r="DV34"/>
  <c r="DU34"/>
  <c r="DT34"/>
  <c r="DS34"/>
  <c r="DR34"/>
  <c r="DQ34"/>
  <c r="DW33"/>
  <c r="DV33"/>
  <c r="DU33"/>
  <c r="DT33"/>
  <c r="DS33"/>
  <c r="DR33"/>
  <c r="DQ33"/>
  <c r="DW32"/>
  <c r="DV32"/>
  <c r="DU32"/>
  <c r="DT32"/>
  <c r="DS32"/>
  <c r="DR32"/>
  <c r="DQ32"/>
  <c r="DW31"/>
  <c r="DV31"/>
  <c r="DU31"/>
  <c r="DT31"/>
  <c r="DS31"/>
  <c r="DR31"/>
  <c r="DQ31"/>
  <c r="DW30"/>
  <c r="DV30"/>
  <c r="DU30"/>
  <c r="DT30"/>
  <c r="DS30"/>
  <c r="DR30"/>
  <c r="DQ30"/>
  <c r="DW29"/>
  <c r="DV29"/>
  <c r="DU29"/>
  <c r="DT29"/>
  <c r="DS29"/>
  <c r="DR29"/>
  <c r="DQ29"/>
  <c r="DW28"/>
  <c r="DV28"/>
  <c r="DU28"/>
  <c r="DT28"/>
  <c r="DS28"/>
  <c r="DR28"/>
  <c r="DQ28"/>
  <c r="DW27"/>
  <c r="DV27"/>
  <c r="DU27"/>
  <c r="DT27"/>
  <c r="DS27"/>
  <c r="DR27"/>
  <c r="DQ27"/>
  <c r="DW26"/>
  <c r="DV26"/>
  <c r="DU26"/>
  <c r="DT26"/>
  <c r="DS26"/>
  <c r="DR26"/>
  <c r="DQ26"/>
  <c r="DW25"/>
  <c r="DV25"/>
  <c r="DU25"/>
  <c r="DT25"/>
  <c r="DS25"/>
  <c r="DR25"/>
  <c r="DQ25"/>
  <c r="DW24"/>
  <c r="DV24"/>
  <c r="DU24"/>
  <c r="DT24"/>
  <c r="DS24"/>
  <c r="DR24"/>
  <c r="DQ24"/>
  <c r="DW23"/>
  <c r="DV23"/>
  <c r="DU23"/>
  <c r="DT23"/>
  <c r="DS23"/>
  <c r="DR23"/>
  <c r="DQ23"/>
  <c r="DW22"/>
  <c r="DV22"/>
  <c r="DU22"/>
  <c r="DT22"/>
  <c r="DS22"/>
  <c r="DR22"/>
  <c r="DQ22"/>
  <c r="DW21"/>
  <c r="DV21"/>
  <c r="DU21"/>
  <c r="DT21"/>
  <c r="DS21"/>
  <c r="DR21"/>
  <c r="DQ21"/>
  <c r="DW20"/>
  <c r="DV20"/>
  <c r="DU20"/>
  <c r="DT20"/>
  <c r="DS20"/>
  <c r="DR20"/>
  <c r="DQ20"/>
  <c r="DW19"/>
  <c r="DV19"/>
  <c r="DU19"/>
  <c r="DT19"/>
  <c r="DS19"/>
  <c r="DR19"/>
  <c r="DQ19"/>
  <c r="DW18"/>
  <c r="DV18"/>
  <c r="DU18"/>
  <c r="DT18"/>
  <c r="DS18"/>
  <c r="DR18"/>
  <c r="DQ18"/>
  <c r="DW17"/>
  <c r="DV17"/>
  <c r="DU17"/>
  <c r="DT17"/>
  <c r="DS17"/>
  <c r="DR17"/>
  <c r="DQ17"/>
  <c r="DW16"/>
  <c r="DV16"/>
  <c r="DU16"/>
  <c r="DT16"/>
  <c r="DS16"/>
  <c r="DR16"/>
  <c r="DQ16"/>
  <c r="DW15"/>
  <c r="DV15"/>
  <c r="DU15"/>
  <c r="DT15"/>
  <c r="DS15"/>
  <c r="DR15"/>
  <c r="DQ15"/>
  <c r="DW14"/>
  <c r="DV14"/>
  <c r="DU14"/>
  <c r="DT14"/>
  <c r="DS14"/>
  <c r="DR14"/>
  <c r="DQ14"/>
  <c r="DW13"/>
  <c r="DV13"/>
  <c r="DU13"/>
  <c r="DT13"/>
  <c r="DS13"/>
  <c r="DR13"/>
  <c r="DQ13"/>
  <c r="DW12"/>
  <c r="DV12"/>
  <c r="DU12"/>
  <c r="DT12"/>
  <c r="DS12"/>
  <c r="DR12"/>
  <c r="DQ12"/>
  <c r="FJ742"/>
  <c r="FI742"/>
  <c r="FH742"/>
  <c r="FG742"/>
  <c r="FF742"/>
  <c r="FE742"/>
  <c r="FD742"/>
  <c r="FC742"/>
  <c r="FB742"/>
  <c r="FA742"/>
  <c r="EZ742"/>
  <c r="EY742"/>
  <c r="EX742"/>
  <c r="EW742"/>
  <c r="EV742"/>
  <c r="EU742"/>
  <c r="ET742"/>
  <c r="ES742"/>
  <c r="ER742"/>
  <c r="FK742"/>
  <c r="FL742"/>
  <c r="BO221"/>
  <c r="O221"/>
  <c r="P221"/>
  <c r="R221"/>
  <c r="X175"/>
  <c r="BO175"/>
  <c r="P175" s="1"/>
  <c r="BQ175" s="1"/>
  <c r="X174"/>
  <c r="X176" s="1"/>
  <c r="AD176" s="1"/>
  <c r="BO174"/>
  <c r="P174"/>
  <c r="Q175"/>
  <c r="BO176"/>
  <c r="P176"/>
  <c r="AM176"/>
  <c r="AN176"/>
  <c r="AP176"/>
  <c r="AR176"/>
  <c r="AS176"/>
  <c r="AT176"/>
  <c r="EO176"/>
  <c r="AH176"/>
  <c r="EN176"/>
  <c r="AI176"/>
  <c r="EM176"/>
  <c r="EJ176"/>
  <c r="EP176"/>
  <c r="EF176"/>
  <c r="DX176"/>
  <c r="EG176" s="1"/>
  <c r="DO176"/>
  <c r="CM176"/>
  <c r="CL176"/>
  <c r="CK176"/>
  <c r="CJ176"/>
  <c r="CI176"/>
  <c r="A176"/>
  <c r="CH176" s="1"/>
  <c r="BQ176"/>
  <c r="U176"/>
  <c r="O176"/>
  <c r="EO175"/>
  <c r="EN175"/>
  <c r="EM175"/>
  <c r="EJ175"/>
  <c r="EP175" s="1"/>
  <c r="EF175"/>
  <c r="EG175"/>
  <c r="DO175"/>
  <c r="DB175"/>
  <c r="DP175" s="1"/>
  <c r="CM175"/>
  <c r="CL175"/>
  <c r="CK175"/>
  <c r="CJ175"/>
  <c r="CI175"/>
  <c r="A175"/>
  <c r="CH175"/>
  <c r="BL175"/>
  <c r="U175"/>
  <c r="O175"/>
  <c r="X184"/>
  <c r="BO184"/>
  <c r="P184" s="1"/>
  <c r="BQ184" s="1"/>
  <c r="X183"/>
  <c r="X185" s="1"/>
  <c r="AD185" s="1"/>
  <c r="BO183"/>
  <c r="P183"/>
  <c r="Q184"/>
  <c r="BO185"/>
  <c r="P185"/>
  <c r="BQ185" s="1"/>
  <c r="AM185"/>
  <c r="AL185"/>
  <c r="AN185"/>
  <c r="AO185"/>
  <c r="AP185"/>
  <c r="AQ185"/>
  <c r="AR185"/>
  <c r="AT185"/>
  <c r="EO185"/>
  <c r="AH185"/>
  <c r="EN185"/>
  <c r="AI185"/>
  <c r="EM185"/>
  <c r="EJ185"/>
  <c r="EP185"/>
  <c r="EF185"/>
  <c r="DX185"/>
  <c r="EG185" s="1"/>
  <c r="DO185"/>
  <c r="DB185"/>
  <c r="DP185"/>
  <c r="CM185"/>
  <c r="CL185"/>
  <c r="CK185"/>
  <c r="CJ185"/>
  <c r="CI185"/>
  <c r="A185"/>
  <c r="CH185" s="1"/>
  <c r="U185"/>
  <c r="O185"/>
  <c r="EO184"/>
  <c r="EN184"/>
  <c r="EM184"/>
  <c r="EJ184"/>
  <c r="EP184" s="1"/>
  <c r="EF184"/>
  <c r="EG184" s="1"/>
  <c r="DO184"/>
  <c r="DB184"/>
  <c r="DP184" s="1"/>
  <c r="CM184"/>
  <c r="CL184"/>
  <c r="CK184"/>
  <c r="CJ184"/>
  <c r="CI184"/>
  <c r="A184"/>
  <c r="CH184"/>
  <c r="BL184"/>
  <c r="U184"/>
  <c r="X452"/>
  <c r="BO452"/>
  <c r="P452" s="1"/>
  <c r="BQ452" s="1"/>
  <c r="R452"/>
  <c r="Z452" s="1"/>
  <c r="X451"/>
  <c r="BO451"/>
  <c r="P451"/>
  <c r="Q452"/>
  <c r="BO453"/>
  <c r="P453"/>
  <c r="AM453"/>
  <c r="AL453"/>
  <c r="AN453"/>
  <c r="AO453"/>
  <c r="AP453"/>
  <c r="AQ453"/>
  <c r="AR453"/>
  <c r="AS453"/>
  <c r="AT453"/>
  <c r="EO453"/>
  <c r="AH453"/>
  <c r="EN453"/>
  <c r="AI453"/>
  <c r="EM453"/>
  <c r="EJ453"/>
  <c r="EP453"/>
  <c r="EF453"/>
  <c r="DX453"/>
  <c r="EG453" s="1"/>
  <c r="DO453"/>
  <c r="DB453"/>
  <c r="DP453"/>
  <c r="CM453"/>
  <c r="CL453"/>
  <c r="CK453"/>
  <c r="CJ453"/>
  <c r="CI453"/>
  <c r="A453"/>
  <c r="CH453" s="1"/>
  <c r="BQ453"/>
  <c r="U453"/>
  <c r="O453"/>
  <c r="EO452"/>
  <c r="EN452"/>
  <c r="EQ452"/>
  <c r="EM452"/>
  <c r="EJ452"/>
  <c r="EP452" s="1"/>
  <c r="EF452"/>
  <c r="DX452"/>
  <c r="EG452"/>
  <c r="DO452"/>
  <c r="DB452"/>
  <c r="DP452" s="1"/>
  <c r="CO452"/>
  <c r="CM452"/>
  <c r="CL452"/>
  <c r="CK452"/>
  <c r="CJ452"/>
  <c r="CI452"/>
  <c r="A452"/>
  <c r="CH452"/>
  <c r="BL452"/>
  <c r="U452"/>
  <c r="O452"/>
  <c r="X427"/>
  <c r="BO427"/>
  <c r="P427" s="1"/>
  <c r="BQ427" s="1"/>
  <c r="R427"/>
  <c r="Z427" s="1"/>
  <c r="X426"/>
  <c r="X428" s="1"/>
  <c r="BO426"/>
  <c r="P426"/>
  <c r="Q427"/>
  <c r="BO428"/>
  <c r="P428"/>
  <c r="AM428"/>
  <c r="AL428"/>
  <c r="AN428"/>
  <c r="AO428"/>
  <c r="AP428"/>
  <c r="AQ428"/>
  <c r="AR428"/>
  <c r="AS428"/>
  <c r="AT428"/>
  <c r="EO428"/>
  <c r="AH428"/>
  <c r="EN428"/>
  <c r="AI428"/>
  <c r="EM428"/>
  <c r="EJ428"/>
  <c r="EP428"/>
  <c r="EF428"/>
  <c r="DX428"/>
  <c r="EG428" s="1"/>
  <c r="DO428"/>
  <c r="DB428"/>
  <c r="DP428"/>
  <c r="CM428"/>
  <c r="CL428"/>
  <c r="CK428"/>
  <c r="CJ428"/>
  <c r="CI428"/>
  <c r="A428"/>
  <c r="CH428" s="1"/>
  <c r="BQ428"/>
  <c r="AD428"/>
  <c r="U428"/>
  <c r="O428"/>
  <c r="EO427"/>
  <c r="EN427"/>
  <c r="EQ427"/>
  <c r="EM427"/>
  <c r="EJ427"/>
  <c r="EP427" s="1"/>
  <c r="EF427"/>
  <c r="DX427"/>
  <c r="EG427"/>
  <c r="DO427"/>
  <c r="DB427"/>
  <c r="DP427" s="1"/>
  <c r="CO427"/>
  <c r="CM427"/>
  <c r="CL427"/>
  <c r="CK427"/>
  <c r="CJ427"/>
  <c r="CI427"/>
  <c r="A427"/>
  <c r="CH427"/>
  <c r="BL427"/>
  <c r="U427"/>
  <c r="O427"/>
  <c r="X699"/>
  <c r="BO699"/>
  <c r="P699" s="1"/>
  <c r="BQ699" s="1"/>
  <c r="X698"/>
  <c r="X700" s="1"/>
  <c r="BO698"/>
  <c r="P698"/>
  <c r="Q699"/>
  <c r="X696"/>
  <c r="BO696"/>
  <c r="P696" s="1"/>
  <c r="BQ696" s="1"/>
  <c r="X695"/>
  <c r="X697" s="1"/>
  <c r="AD697" s="1"/>
  <c r="BO695"/>
  <c r="P695"/>
  <c r="Q696"/>
  <c r="BO700"/>
  <c r="P700"/>
  <c r="AM700"/>
  <c r="AL700"/>
  <c r="AN700"/>
  <c r="AO700"/>
  <c r="AP700"/>
  <c r="AQ700"/>
  <c r="AR700"/>
  <c r="AS700"/>
  <c r="AT700"/>
  <c r="EO700"/>
  <c r="AH700"/>
  <c r="EN700"/>
  <c r="AI700"/>
  <c r="EM700"/>
  <c r="EJ700"/>
  <c r="EP700"/>
  <c r="EF700"/>
  <c r="DX700"/>
  <c r="EG700" s="1"/>
  <c r="DO700"/>
  <c r="DB700"/>
  <c r="DP700"/>
  <c r="CM700"/>
  <c r="CL700"/>
  <c r="CK700"/>
  <c r="CJ700"/>
  <c r="CI700"/>
  <c r="A700"/>
  <c r="CH700" s="1"/>
  <c r="BQ700"/>
  <c r="AD700"/>
  <c r="U700"/>
  <c r="O700"/>
  <c r="EO699"/>
  <c r="EN699"/>
  <c r="EM699"/>
  <c r="EJ699"/>
  <c r="EP699" s="1"/>
  <c r="EF699"/>
  <c r="DX699"/>
  <c r="EG699"/>
  <c r="DO699"/>
  <c r="DB699"/>
  <c r="DP699" s="1"/>
  <c r="CM699"/>
  <c r="CL699"/>
  <c r="CK699"/>
  <c r="CJ699"/>
  <c r="CI699"/>
  <c r="A699"/>
  <c r="CH699"/>
  <c r="BL699"/>
  <c r="U699"/>
  <c r="BO697"/>
  <c r="P697"/>
  <c r="AM697"/>
  <c r="AL697"/>
  <c r="AN697"/>
  <c r="AO697"/>
  <c r="AP697"/>
  <c r="AQ697"/>
  <c r="AR697"/>
  <c r="AS697"/>
  <c r="AT697"/>
  <c r="EO697"/>
  <c r="AH697"/>
  <c r="EN697"/>
  <c r="AI697"/>
  <c r="EM697"/>
  <c r="EJ697"/>
  <c r="EP697"/>
  <c r="EF697"/>
  <c r="DX697"/>
  <c r="EG697" s="1"/>
  <c r="DO697"/>
  <c r="DB697"/>
  <c r="DP697"/>
  <c r="CM697"/>
  <c r="CL697"/>
  <c r="CK697"/>
  <c r="CJ697"/>
  <c r="CI697"/>
  <c r="A697"/>
  <c r="CH697" s="1"/>
  <c r="BQ697"/>
  <c r="U697"/>
  <c r="O697"/>
  <c r="EO696"/>
  <c r="EN696"/>
  <c r="EM696"/>
  <c r="EJ696"/>
  <c r="EP696" s="1"/>
  <c r="EF696"/>
  <c r="DX696"/>
  <c r="EG696"/>
  <c r="DO696"/>
  <c r="DB696"/>
  <c r="DP696" s="1"/>
  <c r="CM696"/>
  <c r="CL696"/>
  <c r="CK696"/>
  <c r="CJ696"/>
  <c r="CI696"/>
  <c r="A696"/>
  <c r="CH696"/>
  <c r="BL696"/>
  <c r="U696"/>
  <c r="O696"/>
  <c r="X29"/>
  <c r="BO29"/>
  <c r="P29" s="1"/>
  <c r="R29" s="1"/>
  <c r="X28"/>
  <c r="X30" s="1"/>
  <c r="AD30" s="1"/>
  <c r="BO28"/>
  <c r="P28"/>
  <c r="Q29"/>
  <c r="W29" s="1"/>
  <c r="BO30"/>
  <c r="P30"/>
  <c r="AM30"/>
  <c r="AL30"/>
  <c r="AN30"/>
  <c r="AO30"/>
  <c r="AP30"/>
  <c r="AQ30"/>
  <c r="AR30"/>
  <c r="AS30"/>
  <c r="AT30"/>
  <c r="EO30"/>
  <c r="AH30"/>
  <c r="EN30"/>
  <c r="AI30"/>
  <c r="EM30"/>
  <c r="EJ30"/>
  <c r="EP30"/>
  <c r="EF30"/>
  <c r="DX30"/>
  <c r="EG30" s="1"/>
  <c r="DO30"/>
  <c r="DB30"/>
  <c r="DP30"/>
  <c r="CM30"/>
  <c r="CL30"/>
  <c r="CK30"/>
  <c r="CJ30"/>
  <c r="CI30"/>
  <c r="A30"/>
  <c r="CH30" s="1"/>
  <c r="U30"/>
  <c r="O30"/>
  <c r="EO29"/>
  <c r="EN29"/>
  <c r="EM29"/>
  <c r="EJ29"/>
  <c r="EP29"/>
  <c r="EF29"/>
  <c r="DX29"/>
  <c r="EG29" s="1"/>
  <c r="DO29"/>
  <c r="DB29"/>
  <c r="DP29"/>
  <c r="CN29"/>
  <c r="CM29"/>
  <c r="CL29"/>
  <c r="CK29"/>
  <c r="CJ29"/>
  <c r="CI29"/>
  <c r="A29"/>
  <c r="CH29" s="1"/>
  <c r="BL29"/>
  <c r="BQ29"/>
  <c r="U29"/>
  <c r="X70"/>
  <c r="BO70"/>
  <c r="P70"/>
  <c r="R70" s="1"/>
  <c r="X69"/>
  <c r="BO69"/>
  <c r="P69" s="1"/>
  <c r="X71"/>
  <c r="AD71" s="1"/>
  <c r="BO71"/>
  <c r="P71" s="1"/>
  <c r="AM71"/>
  <c r="AL71"/>
  <c r="AN71" s="1"/>
  <c r="AO71"/>
  <c r="AP71"/>
  <c r="AQ71"/>
  <c r="AR71"/>
  <c r="AS71"/>
  <c r="EO71"/>
  <c r="AH71" s="1"/>
  <c r="AG71" s="1"/>
  <c r="EN71"/>
  <c r="AI71" s="1"/>
  <c r="EM71"/>
  <c r="EJ71"/>
  <c r="EP71" s="1"/>
  <c r="EF71"/>
  <c r="DX71"/>
  <c r="EG71"/>
  <c r="DO71"/>
  <c r="DB71"/>
  <c r="DP71" s="1"/>
  <c r="CM71"/>
  <c r="CL71"/>
  <c r="CK71"/>
  <c r="CJ71"/>
  <c r="CI71"/>
  <c r="A71"/>
  <c r="CH71"/>
  <c r="U71"/>
  <c r="O71"/>
  <c r="EO70"/>
  <c r="EN70"/>
  <c r="EM70"/>
  <c r="EJ70"/>
  <c r="EP70"/>
  <c r="EF70"/>
  <c r="DX70"/>
  <c r="EG70" s="1"/>
  <c r="DO70"/>
  <c r="DB70"/>
  <c r="DP70"/>
  <c r="CM70"/>
  <c r="CL70"/>
  <c r="CK70"/>
  <c r="CJ70"/>
  <c r="CI70"/>
  <c r="A70"/>
  <c r="CH70" s="1"/>
  <c r="BL70"/>
  <c r="BQ70"/>
  <c r="U70"/>
  <c r="O70"/>
  <c r="BO739"/>
  <c r="P739" s="1"/>
  <c r="AM739"/>
  <c r="AL739"/>
  <c r="AN739" s="1"/>
  <c r="AO739"/>
  <c r="AP739"/>
  <c r="AQ739"/>
  <c r="AR739"/>
  <c r="AS739"/>
  <c r="EO739"/>
  <c r="AH739" s="1"/>
  <c r="AG739" s="1"/>
  <c r="EN739"/>
  <c r="AI739" s="1"/>
  <c r="X739"/>
  <c r="EM739"/>
  <c r="EJ739"/>
  <c r="EP739" s="1"/>
  <c r="EF739"/>
  <c r="DX739"/>
  <c r="EG739"/>
  <c r="DO739"/>
  <c r="DB739"/>
  <c r="DP739" s="1"/>
  <c r="CM739"/>
  <c r="CL739"/>
  <c r="CK739"/>
  <c r="CJ739"/>
  <c r="CI739"/>
  <c r="H742"/>
  <c r="A739"/>
  <c r="CH739" s="1"/>
  <c r="AD739"/>
  <c r="U739"/>
  <c r="BO733"/>
  <c r="P733" s="1"/>
  <c r="X733"/>
  <c r="BO732"/>
  <c r="P732"/>
  <c r="R732" s="1"/>
  <c r="X732"/>
  <c r="Q732"/>
  <c r="W732" s="1"/>
  <c r="Y732" s="1"/>
  <c r="X734"/>
  <c r="AD734" s="1"/>
  <c r="BO734"/>
  <c r="P734" s="1"/>
  <c r="AM734"/>
  <c r="AL734"/>
  <c r="AN734" s="1"/>
  <c r="AO734"/>
  <c r="AP734"/>
  <c r="AQ734"/>
  <c r="AR734"/>
  <c r="AS734"/>
  <c r="EO734"/>
  <c r="AH734" s="1"/>
  <c r="AG734" s="1"/>
  <c r="EN734"/>
  <c r="AI734" s="1"/>
  <c r="EM734"/>
  <c r="EJ734"/>
  <c r="EP734" s="1"/>
  <c r="EF734"/>
  <c r="DX734"/>
  <c r="EG734"/>
  <c r="DO734"/>
  <c r="DB734"/>
  <c r="DP734" s="1"/>
  <c r="CM734"/>
  <c r="CL734"/>
  <c r="CK734"/>
  <c r="CJ734"/>
  <c r="CI734"/>
  <c r="A734"/>
  <c r="CH734"/>
  <c r="U734"/>
  <c r="O734"/>
  <c r="EO733"/>
  <c r="EN733"/>
  <c r="EM733"/>
  <c r="EJ733"/>
  <c r="EP733"/>
  <c r="EF733"/>
  <c r="DX733"/>
  <c r="EG733" s="1"/>
  <c r="DO733"/>
  <c r="DB733"/>
  <c r="DP733"/>
  <c r="CM733"/>
  <c r="CL733"/>
  <c r="CK733"/>
  <c r="CJ733"/>
  <c r="CI733"/>
  <c r="A733"/>
  <c r="CH733" s="1"/>
  <c r="BL733"/>
  <c r="U733"/>
  <c r="BO634"/>
  <c r="P634" s="1"/>
  <c r="X634"/>
  <c r="X635" s="1"/>
  <c r="AD635" s="1"/>
  <c r="BO633"/>
  <c r="P633"/>
  <c r="R633" s="1"/>
  <c r="Z633" s="1"/>
  <c r="X633"/>
  <c r="Q633"/>
  <c r="W633" s="1"/>
  <c r="Y633" s="1"/>
  <c r="BO635"/>
  <c r="P635" s="1"/>
  <c r="AM635"/>
  <c r="AL635"/>
  <c r="AN635" s="1"/>
  <c r="AO635"/>
  <c r="AP635"/>
  <c r="AQ635"/>
  <c r="AR635"/>
  <c r="AS635"/>
  <c r="EO635"/>
  <c r="AH635" s="1"/>
  <c r="EN635"/>
  <c r="AI635" s="1"/>
  <c r="EM635"/>
  <c r="EJ635"/>
  <c r="EP635" s="1"/>
  <c r="EF635"/>
  <c r="DX635"/>
  <c r="EG635"/>
  <c r="DO635"/>
  <c r="DB635"/>
  <c r="DP635" s="1"/>
  <c r="CM635"/>
  <c r="CL635"/>
  <c r="CK635"/>
  <c r="CJ635"/>
  <c r="CI635"/>
  <c r="A635"/>
  <c r="CH635"/>
  <c r="U635"/>
  <c r="O635"/>
  <c r="EO634"/>
  <c r="EN634"/>
  <c r="EM634"/>
  <c r="EJ634"/>
  <c r="EP634"/>
  <c r="EF634"/>
  <c r="DX634"/>
  <c r="EG634" s="1"/>
  <c r="DO634"/>
  <c r="DB634"/>
  <c r="DP634"/>
  <c r="CM634"/>
  <c r="CL634"/>
  <c r="CK634"/>
  <c r="CJ634"/>
  <c r="CI634"/>
  <c r="A634"/>
  <c r="CH634" s="1"/>
  <c r="BL634"/>
  <c r="U634"/>
  <c r="BO462"/>
  <c r="P462" s="1"/>
  <c r="X462"/>
  <c r="BO461"/>
  <c r="P461"/>
  <c r="R461" s="1"/>
  <c r="X461"/>
  <c r="Q461"/>
  <c r="W461" s="1"/>
  <c r="Y461" s="1"/>
  <c r="X463"/>
  <c r="AD463" s="1"/>
  <c r="BO463"/>
  <c r="P463" s="1"/>
  <c r="AM463"/>
  <c r="AL463"/>
  <c r="AN463" s="1"/>
  <c r="AO463"/>
  <c r="AP463"/>
  <c r="AQ463"/>
  <c r="AR463"/>
  <c r="AS463"/>
  <c r="EO463"/>
  <c r="AH463" s="1"/>
  <c r="AG463" s="1"/>
  <c r="EN463"/>
  <c r="AI463" s="1"/>
  <c r="EM463"/>
  <c r="EJ463"/>
  <c r="EP463" s="1"/>
  <c r="EF463"/>
  <c r="DX463"/>
  <c r="EG463"/>
  <c r="DO463"/>
  <c r="DB463"/>
  <c r="DP463" s="1"/>
  <c r="CM463"/>
  <c r="CL463"/>
  <c r="CK463"/>
  <c r="CJ463"/>
  <c r="CI463"/>
  <c r="A463"/>
  <c r="CH463"/>
  <c r="U463"/>
  <c r="O463"/>
  <c r="EO462"/>
  <c r="EN462"/>
  <c r="EM462"/>
  <c r="EJ462"/>
  <c r="EP462"/>
  <c r="EF462"/>
  <c r="DX462"/>
  <c r="EG462" s="1"/>
  <c r="DO462"/>
  <c r="DB462"/>
  <c r="DP462"/>
  <c r="CM462"/>
  <c r="CL462"/>
  <c r="CK462"/>
  <c r="CJ462"/>
  <c r="CI462"/>
  <c r="A462"/>
  <c r="CH462" s="1"/>
  <c r="BL462"/>
  <c r="BQ462"/>
  <c r="U462"/>
  <c r="X399"/>
  <c r="X401" s="1"/>
  <c r="AD401" s="1"/>
  <c r="BO399"/>
  <c r="P399"/>
  <c r="X400"/>
  <c r="BO400"/>
  <c r="BO401"/>
  <c r="P401" s="1"/>
  <c r="BQ401" s="1"/>
  <c r="R401"/>
  <c r="AB401" s="1"/>
  <c r="AM401"/>
  <c r="AL401"/>
  <c r="AN401" s="1"/>
  <c r="AO401"/>
  <c r="AP401"/>
  <c r="AQ401"/>
  <c r="AR401"/>
  <c r="AS401"/>
  <c r="EO401"/>
  <c r="AH401" s="1"/>
  <c r="EN401"/>
  <c r="AI401" s="1"/>
  <c r="AG401"/>
  <c r="Q401"/>
  <c r="CN401" s="1"/>
  <c r="EM401"/>
  <c r="EJ401"/>
  <c r="EP401" s="1"/>
  <c r="EF401"/>
  <c r="DX401"/>
  <c r="EG401"/>
  <c r="DO401"/>
  <c r="DB401"/>
  <c r="DP401" s="1"/>
  <c r="CO401"/>
  <c r="CM401"/>
  <c r="CL401"/>
  <c r="CK401"/>
  <c r="CJ401"/>
  <c r="CI401"/>
  <c r="A401"/>
  <c r="CH401"/>
  <c r="AA401"/>
  <c r="U401"/>
  <c r="O401"/>
  <c r="EO400"/>
  <c r="EN400"/>
  <c r="EM400"/>
  <c r="EJ400"/>
  <c r="EP400"/>
  <c r="EF400"/>
  <c r="DX400"/>
  <c r="EG400" s="1"/>
  <c r="DO400"/>
  <c r="DB400"/>
  <c r="DP400"/>
  <c r="CM400"/>
  <c r="CL400"/>
  <c r="CK400"/>
  <c r="CJ400"/>
  <c r="CI400"/>
  <c r="A400"/>
  <c r="CH400" s="1"/>
  <c r="BL400"/>
  <c r="U400"/>
  <c r="BO304"/>
  <c r="X304"/>
  <c r="BO303"/>
  <c r="P303"/>
  <c r="R303" s="1"/>
  <c r="X303"/>
  <c r="Q303"/>
  <c r="W303" s="1"/>
  <c r="BO305"/>
  <c r="P305" s="1"/>
  <c r="BQ305" s="1"/>
  <c r="AM305"/>
  <c r="AL305"/>
  <c r="AN305" s="1"/>
  <c r="AO305"/>
  <c r="AP305"/>
  <c r="AQ305"/>
  <c r="AR305"/>
  <c r="AS305"/>
  <c r="EO305"/>
  <c r="AH305" s="1"/>
  <c r="EN305"/>
  <c r="AI305" s="1"/>
  <c r="AG305" s="1"/>
  <c r="Q305"/>
  <c r="CN305" s="1"/>
  <c r="EM305"/>
  <c r="EJ305"/>
  <c r="EP305" s="1"/>
  <c r="EF305"/>
  <c r="DX305"/>
  <c r="EG305"/>
  <c r="DO305"/>
  <c r="DB305"/>
  <c r="DP305" s="1"/>
  <c r="CM305"/>
  <c r="CL305"/>
  <c r="CK305"/>
  <c r="CJ305"/>
  <c r="CI305"/>
  <c r="A305"/>
  <c r="CH305"/>
  <c r="U305"/>
  <c r="EO304"/>
  <c r="EN304"/>
  <c r="EM304"/>
  <c r="EJ304"/>
  <c r="EP304"/>
  <c r="EF304"/>
  <c r="DX304"/>
  <c r="EG304" s="1"/>
  <c r="DO304"/>
  <c r="DB304"/>
  <c r="DP304"/>
  <c r="CM304"/>
  <c r="CL304"/>
  <c r="CK304"/>
  <c r="CJ304"/>
  <c r="CI304"/>
  <c r="A304"/>
  <c r="CH304" s="1"/>
  <c r="BL304"/>
  <c r="U304"/>
  <c r="X299"/>
  <c r="BO299"/>
  <c r="P299"/>
  <c r="X298"/>
  <c r="BO298"/>
  <c r="P298" s="1"/>
  <c r="R298" s="1"/>
  <c r="Z298" s="1"/>
  <c r="Q298"/>
  <c r="W298" s="1"/>
  <c r="X300"/>
  <c r="BO300"/>
  <c r="P300" s="1"/>
  <c r="R300"/>
  <c r="CO300" s="1"/>
  <c r="AM300"/>
  <c r="AL300"/>
  <c r="AN300" s="1"/>
  <c r="AT300" s="1"/>
  <c r="AO300"/>
  <c r="AP300"/>
  <c r="AQ300"/>
  <c r="AR300"/>
  <c r="AS300"/>
  <c r="EO300"/>
  <c r="AH300" s="1"/>
  <c r="EN300"/>
  <c r="AI300" s="1"/>
  <c r="AG300"/>
  <c r="Q300"/>
  <c r="CN300" s="1"/>
  <c r="EM300"/>
  <c r="EJ300"/>
  <c r="EP300" s="1"/>
  <c r="EF300"/>
  <c r="DX300"/>
  <c r="EG300"/>
  <c r="DO300"/>
  <c r="DB300"/>
  <c r="DP300" s="1"/>
  <c r="CM300"/>
  <c r="CL300"/>
  <c r="CK300"/>
  <c r="CJ300"/>
  <c r="CI300"/>
  <c r="A300"/>
  <c r="CH300"/>
  <c r="BQ300"/>
  <c r="AD300"/>
  <c r="AA300"/>
  <c r="U300"/>
  <c r="O300"/>
  <c r="EO299"/>
  <c r="EN299"/>
  <c r="EM299"/>
  <c r="EJ299"/>
  <c r="EP299" s="1"/>
  <c r="EF299"/>
  <c r="DX299"/>
  <c r="EG299"/>
  <c r="DO299"/>
  <c r="DB299"/>
  <c r="DP299" s="1"/>
  <c r="CM299"/>
  <c r="CL299"/>
  <c r="CK299"/>
  <c r="CJ299"/>
  <c r="CI299"/>
  <c r="A299"/>
  <c r="CH299"/>
  <c r="BL299"/>
  <c r="BQ299"/>
  <c r="U299"/>
  <c r="O299"/>
  <c r="BO145"/>
  <c r="P145"/>
  <c r="R145" s="1"/>
  <c r="X145"/>
  <c r="BO144"/>
  <c r="P144" s="1"/>
  <c r="X144"/>
  <c r="Q145"/>
  <c r="W145" s="1"/>
  <c r="BO146"/>
  <c r="P146"/>
  <c r="R146" s="1"/>
  <c r="AM146"/>
  <c r="AL146"/>
  <c r="AN146"/>
  <c r="AO146"/>
  <c r="AP146"/>
  <c r="AQ146"/>
  <c r="AR146"/>
  <c r="AS146"/>
  <c r="AT146"/>
  <c r="EO146"/>
  <c r="AH146"/>
  <c r="AG146" s="1"/>
  <c r="EN146"/>
  <c r="AI146"/>
  <c r="EM146"/>
  <c r="EJ146"/>
  <c r="EP146"/>
  <c r="EF146"/>
  <c r="DX146"/>
  <c r="EG146" s="1"/>
  <c r="DO146"/>
  <c r="DB146"/>
  <c r="DP146"/>
  <c r="CM146"/>
  <c r="CL146"/>
  <c r="CK146"/>
  <c r="CJ146"/>
  <c r="CI146"/>
  <c r="A146"/>
  <c r="CH146" s="1"/>
  <c r="BQ146"/>
  <c r="U146"/>
  <c r="O146"/>
  <c r="EO145"/>
  <c r="EN145"/>
  <c r="EM145"/>
  <c r="EJ145"/>
  <c r="EP145" s="1"/>
  <c r="EF145"/>
  <c r="DX145"/>
  <c r="EG145"/>
  <c r="DO145"/>
  <c r="DB145"/>
  <c r="DP145" s="1"/>
  <c r="CN145"/>
  <c r="CM145"/>
  <c r="CL145"/>
  <c r="CK145"/>
  <c r="CJ145"/>
  <c r="CI145"/>
  <c r="A145"/>
  <c r="CH145"/>
  <c r="BL145"/>
  <c r="BQ145"/>
  <c r="U145"/>
  <c r="O145"/>
  <c r="BO132"/>
  <c r="P132"/>
  <c r="R132" s="1"/>
  <c r="X132"/>
  <c r="BO131"/>
  <c r="P131" s="1"/>
  <c r="X131"/>
  <c r="BO133"/>
  <c r="P133"/>
  <c r="R133" s="1"/>
  <c r="AM133"/>
  <c r="AL133"/>
  <c r="AN133"/>
  <c r="AO133"/>
  <c r="AP133"/>
  <c r="AQ133"/>
  <c r="AR133"/>
  <c r="AS133"/>
  <c r="AT133"/>
  <c r="EO133"/>
  <c r="AH133"/>
  <c r="AG133" s="1"/>
  <c r="EN133"/>
  <c r="AI133"/>
  <c r="EM133"/>
  <c r="EJ133"/>
  <c r="EP133"/>
  <c r="EF133"/>
  <c r="DX133"/>
  <c r="EG133" s="1"/>
  <c r="DO133"/>
  <c r="DB133"/>
  <c r="DP133"/>
  <c r="CM133"/>
  <c r="CL133"/>
  <c r="CK133"/>
  <c r="CJ133"/>
  <c r="CI133"/>
  <c r="A133"/>
  <c r="CH133" s="1"/>
  <c r="BQ133"/>
  <c r="U133"/>
  <c r="O133"/>
  <c r="EO132"/>
  <c r="EN132"/>
  <c r="EM132"/>
  <c r="EJ132"/>
  <c r="EP132" s="1"/>
  <c r="EF132"/>
  <c r="DX132"/>
  <c r="EG132"/>
  <c r="DO132"/>
  <c r="DB132"/>
  <c r="DP132" s="1"/>
  <c r="CM132"/>
  <c r="CL132"/>
  <c r="CK132"/>
  <c r="CJ132"/>
  <c r="CI132"/>
  <c r="A132"/>
  <c r="CH132"/>
  <c r="BL132"/>
  <c r="BQ132"/>
  <c r="U132"/>
  <c r="O132"/>
  <c r="X125"/>
  <c r="BO125"/>
  <c r="P125" s="1"/>
  <c r="X124"/>
  <c r="X126" s="1"/>
  <c r="AD126" s="1"/>
  <c r="BO124"/>
  <c r="P124"/>
  <c r="R124" s="1"/>
  <c r="Z124" s="1"/>
  <c r="BO126"/>
  <c r="P126"/>
  <c r="R126" s="1"/>
  <c r="AM126"/>
  <c r="AL126"/>
  <c r="AN126"/>
  <c r="AO126"/>
  <c r="AP126"/>
  <c r="AQ126"/>
  <c r="AR126"/>
  <c r="AS126"/>
  <c r="AT126"/>
  <c r="EO126"/>
  <c r="AH126"/>
  <c r="AG126" s="1"/>
  <c r="EN126"/>
  <c r="AI126"/>
  <c r="EM126"/>
  <c r="EJ126"/>
  <c r="EP126"/>
  <c r="EF126"/>
  <c r="DX126"/>
  <c r="EG126" s="1"/>
  <c r="DO126"/>
  <c r="DB126"/>
  <c r="DP126"/>
  <c r="CM126"/>
  <c r="CL126"/>
  <c r="CK126"/>
  <c r="CJ126"/>
  <c r="CI126"/>
  <c r="A126"/>
  <c r="CH126" s="1"/>
  <c r="BQ126"/>
  <c r="U126"/>
  <c r="O126"/>
  <c r="EO125"/>
  <c r="EN125"/>
  <c r="EM125"/>
  <c r="EJ125"/>
  <c r="EP125" s="1"/>
  <c r="EF125"/>
  <c r="DX125"/>
  <c r="EG125"/>
  <c r="DO125"/>
  <c r="DB125"/>
  <c r="DP125" s="1"/>
  <c r="CM125"/>
  <c r="CL125"/>
  <c r="CK125"/>
  <c r="CJ125"/>
  <c r="CI125"/>
  <c r="A125"/>
  <c r="CH125"/>
  <c r="BL125"/>
  <c r="U125"/>
  <c r="O125"/>
  <c r="BO93"/>
  <c r="P93"/>
  <c r="R93" s="1"/>
  <c r="AM93"/>
  <c r="AL93"/>
  <c r="AN93"/>
  <c r="AO93"/>
  <c r="AP93"/>
  <c r="AQ93"/>
  <c r="AR93"/>
  <c r="AS93"/>
  <c r="AT93"/>
  <c r="EO93"/>
  <c r="AH93"/>
  <c r="AG93" s="1"/>
  <c r="EN93"/>
  <c r="AI93"/>
  <c r="X93"/>
  <c r="EM93"/>
  <c r="EJ93"/>
  <c r="EP93"/>
  <c r="EF93"/>
  <c r="DX93"/>
  <c r="EG93" s="1"/>
  <c r="DO93"/>
  <c r="DB93"/>
  <c r="DP93"/>
  <c r="CM93"/>
  <c r="CL93"/>
  <c r="CK93"/>
  <c r="CJ93"/>
  <c r="CI93"/>
  <c r="A93"/>
  <c r="CH93" s="1"/>
  <c r="BQ93"/>
  <c r="AD93"/>
  <c r="U93"/>
  <c r="O93"/>
  <c r="BO83"/>
  <c r="P83" s="1"/>
  <c r="X83"/>
  <c r="X84" s="1"/>
  <c r="AD84" s="1"/>
  <c r="BO82"/>
  <c r="P82"/>
  <c r="R82" s="1"/>
  <c r="Z82" s="1"/>
  <c r="X82"/>
  <c r="Q82"/>
  <c r="W82" s="1"/>
  <c r="Y82" s="1"/>
  <c r="BO84"/>
  <c r="P84" s="1"/>
  <c r="AM84"/>
  <c r="AL84"/>
  <c r="AN84" s="1"/>
  <c r="AO84"/>
  <c r="AP84"/>
  <c r="AQ84"/>
  <c r="AR84"/>
  <c r="AS84"/>
  <c r="EO84"/>
  <c r="AH84" s="1"/>
  <c r="AG84" s="1"/>
  <c r="EN84"/>
  <c r="AI84" s="1"/>
  <c r="EM84"/>
  <c r="EJ84"/>
  <c r="EP84" s="1"/>
  <c r="EF84"/>
  <c r="DX84"/>
  <c r="EG84"/>
  <c r="DO84"/>
  <c r="DB84"/>
  <c r="DP84" s="1"/>
  <c r="CM84"/>
  <c r="CL84"/>
  <c r="CK84"/>
  <c r="CJ84"/>
  <c r="CI84"/>
  <c r="A84"/>
  <c r="CH84"/>
  <c r="U84"/>
  <c r="O84"/>
  <c r="EO83"/>
  <c r="EN83"/>
  <c r="EM83"/>
  <c r="EJ83"/>
  <c r="EP83"/>
  <c r="EF83"/>
  <c r="DX83"/>
  <c r="EG83" s="1"/>
  <c r="DO83"/>
  <c r="DB83"/>
  <c r="DP83"/>
  <c r="CM83"/>
  <c r="CL83"/>
  <c r="CK83"/>
  <c r="CJ83"/>
  <c r="CI83"/>
  <c r="A83"/>
  <c r="CH83" s="1"/>
  <c r="BL83"/>
  <c r="U83"/>
  <c r="O83"/>
  <c r="X78"/>
  <c r="BO78"/>
  <c r="P78"/>
  <c r="R78" s="1"/>
  <c r="X77"/>
  <c r="BO77"/>
  <c r="P77" s="1"/>
  <c r="X79"/>
  <c r="AD79" s="1"/>
  <c r="BO79"/>
  <c r="P79" s="1"/>
  <c r="AM79"/>
  <c r="AL79"/>
  <c r="AN79" s="1"/>
  <c r="AO79"/>
  <c r="AP79"/>
  <c r="AQ79"/>
  <c r="AR79"/>
  <c r="AS79"/>
  <c r="EO79"/>
  <c r="AH79" s="1"/>
  <c r="EN79"/>
  <c r="AI79" s="1"/>
  <c r="EM79"/>
  <c r="EJ79"/>
  <c r="EP79" s="1"/>
  <c r="EF79"/>
  <c r="DX79"/>
  <c r="EG79"/>
  <c r="DO79"/>
  <c r="DB79"/>
  <c r="DP79" s="1"/>
  <c r="CM79"/>
  <c r="CL79"/>
  <c r="CK79"/>
  <c r="CJ79"/>
  <c r="CI79"/>
  <c r="A79"/>
  <c r="CH79"/>
  <c r="U79"/>
  <c r="O79"/>
  <c r="EO78"/>
  <c r="EN78"/>
  <c r="EM78"/>
  <c r="EJ78"/>
  <c r="EP78"/>
  <c r="EF78"/>
  <c r="DX78"/>
  <c r="EG78" s="1"/>
  <c r="DO78"/>
  <c r="DB78"/>
  <c r="DP78"/>
  <c r="CM78"/>
  <c r="CL78"/>
  <c r="CK78"/>
  <c r="CJ78"/>
  <c r="CI78"/>
  <c r="A78"/>
  <c r="CH78" s="1"/>
  <c r="BL78"/>
  <c r="BQ78"/>
  <c r="U78"/>
  <c r="O78"/>
  <c r="X75"/>
  <c r="BO75"/>
  <c r="P75"/>
  <c r="R75" s="1"/>
  <c r="X74"/>
  <c r="BO74"/>
  <c r="P74" s="1"/>
  <c r="X76"/>
  <c r="AD76" s="1"/>
  <c r="BO76"/>
  <c r="P76" s="1"/>
  <c r="AM76"/>
  <c r="AL76"/>
  <c r="AN76" s="1"/>
  <c r="AO76"/>
  <c r="AP76"/>
  <c r="AQ76"/>
  <c r="AR76"/>
  <c r="AS76"/>
  <c r="EO76"/>
  <c r="AH76" s="1"/>
  <c r="AG76" s="1"/>
  <c r="EN76"/>
  <c r="AI76" s="1"/>
  <c r="EM76"/>
  <c r="EJ76"/>
  <c r="EP76" s="1"/>
  <c r="EF76"/>
  <c r="DX76"/>
  <c r="EG76"/>
  <c r="DO76"/>
  <c r="DB76"/>
  <c r="DP76" s="1"/>
  <c r="CM76"/>
  <c r="CL76"/>
  <c r="CK76"/>
  <c r="CJ76"/>
  <c r="CI76"/>
  <c r="A76"/>
  <c r="CH76"/>
  <c r="U76"/>
  <c r="O76"/>
  <c r="EO75"/>
  <c r="EN75"/>
  <c r="EM75"/>
  <c r="EJ75"/>
  <c r="EP75"/>
  <c r="EF75"/>
  <c r="DX75"/>
  <c r="EG75" s="1"/>
  <c r="DO75"/>
  <c r="DB75"/>
  <c r="DP75"/>
  <c r="CM75"/>
  <c r="CL75"/>
  <c r="CK75"/>
  <c r="CJ75"/>
  <c r="CI75"/>
  <c r="A75"/>
  <c r="CH75" s="1"/>
  <c r="BL75"/>
  <c r="BQ75"/>
  <c r="U75"/>
  <c r="O75"/>
  <c r="BO63"/>
  <c r="P63" s="1"/>
  <c r="X64"/>
  <c r="BO64"/>
  <c r="P64" s="1"/>
  <c r="BO65"/>
  <c r="P65" s="1"/>
  <c r="AM65"/>
  <c r="AL65"/>
  <c r="AN65" s="1"/>
  <c r="AO65"/>
  <c r="AP65"/>
  <c r="AQ65"/>
  <c r="AR65"/>
  <c r="AS65"/>
  <c r="EO65"/>
  <c r="AH65" s="1"/>
  <c r="EN65"/>
  <c r="AI65" s="1"/>
  <c r="EM65"/>
  <c r="EJ65"/>
  <c r="EP65" s="1"/>
  <c r="EF65"/>
  <c r="DX65"/>
  <c r="EG65"/>
  <c r="DO65"/>
  <c r="DB65"/>
  <c r="DP65" s="1"/>
  <c r="CM65"/>
  <c r="CL65"/>
  <c r="CK65"/>
  <c r="CJ65"/>
  <c r="CI65"/>
  <c r="A65"/>
  <c r="CH65"/>
  <c r="U65"/>
  <c r="O65"/>
  <c r="EO64"/>
  <c r="EN64"/>
  <c r="EM64"/>
  <c r="EJ64"/>
  <c r="EP64"/>
  <c r="EF64"/>
  <c r="DX64"/>
  <c r="EG64" s="1"/>
  <c r="DO64"/>
  <c r="DB64"/>
  <c r="DP64"/>
  <c r="CM64"/>
  <c r="CL64"/>
  <c r="CK64"/>
  <c r="CJ64"/>
  <c r="CI64"/>
  <c r="A64"/>
  <c r="CH64" s="1"/>
  <c r="BL64"/>
  <c r="U64"/>
  <c r="O64"/>
  <c r="X230"/>
  <c r="BO230"/>
  <c r="P230"/>
  <c r="R230" s="1"/>
  <c r="X229"/>
  <c r="BO229"/>
  <c r="P229" s="1"/>
  <c r="X231"/>
  <c r="AD231" s="1"/>
  <c r="BO231"/>
  <c r="P231" s="1"/>
  <c r="AM231"/>
  <c r="AL231"/>
  <c r="AN231" s="1"/>
  <c r="AO231"/>
  <c r="AP231"/>
  <c r="AQ231"/>
  <c r="AR231"/>
  <c r="AS231"/>
  <c r="EO231"/>
  <c r="AH231" s="1"/>
  <c r="AG231" s="1"/>
  <c r="EN231"/>
  <c r="AI231" s="1"/>
  <c r="EM231"/>
  <c r="EJ231"/>
  <c r="EP231" s="1"/>
  <c r="EF231"/>
  <c r="DX231"/>
  <c r="EG231"/>
  <c r="DO231"/>
  <c r="DB231"/>
  <c r="DP231" s="1"/>
  <c r="CM231"/>
  <c r="CL231"/>
  <c r="CK231"/>
  <c r="CJ231"/>
  <c r="CI231"/>
  <c r="A231"/>
  <c r="CH231"/>
  <c r="U231"/>
  <c r="O231"/>
  <c r="EO230"/>
  <c r="EN230"/>
  <c r="EM230"/>
  <c r="EJ230"/>
  <c r="EP230" s="1"/>
  <c r="EF230"/>
  <c r="DX230"/>
  <c r="EG230"/>
  <c r="DO230"/>
  <c r="DB230"/>
  <c r="DP230" s="1"/>
  <c r="CM230"/>
  <c r="CL230"/>
  <c r="CK230"/>
  <c r="CJ230"/>
  <c r="CI230"/>
  <c r="A230"/>
  <c r="CH230" s="1"/>
  <c r="BL230"/>
  <c r="BQ230"/>
  <c r="U230"/>
  <c r="O230"/>
  <c r="U573"/>
  <c r="X736"/>
  <c r="BO736"/>
  <c r="P736" s="1"/>
  <c r="X727"/>
  <c r="BO727"/>
  <c r="P727" s="1"/>
  <c r="X706"/>
  <c r="BO706"/>
  <c r="P706"/>
  <c r="R706" s="1"/>
  <c r="Z706" s="1"/>
  <c r="X694"/>
  <c r="BO694"/>
  <c r="P694"/>
  <c r="R694" s="1"/>
  <c r="Z694" s="1"/>
  <c r="X691"/>
  <c r="BO691"/>
  <c r="P691"/>
  <c r="R691" s="1"/>
  <c r="Z691" s="1"/>
  <c r="X680"/>
  <c r="BO680"/>
  <c r="P680"/>
  <c r="R680" s="1"/>
  <c r="Z680" s="1"/>
  <c r="X656"/>
  <c r="BO656"/>
  <c r="P656"/>
  <c r="R656" s="1"/>
  <c r="Z656" s="1"/>
  <c r="BO619"/>
  <c r="P619" s="1"/>
  <c r="X563"/>
  <c r="BO563"/>
  <c r="P563" s="1"/>
  <c r="X555"/>
  <c r="BO555"/>
  <c r="P555" s="1"/>
  <c r="X544"/>
  <c r="BO544"/>
  <c r="P544"/>
  <c r="R544" s="1"/>
  <c r="Z544" s="1"/>
  <c r="X542"/>
  <c r="BO542"/>
  <c r="P542"/>
  <c r="R542" s="1"/>
  <c r="Z542" s="1"/>
  <c r="X541"/>
  <c r="BO541"/>
  <c r="P541"/>
  <c r="R541" s="1"/>
  <c r="Z541" s="1"/>
  <c r="X533"/>
  <c r="BO533"/>
  <c r="P533"/>
  <c r="R533" s="1"/>
  <c r="Z533" s="1"/>
  <c r="X529"/>
  <c r="BO529"/>
  <c r="P529"/>
  <c r="R529" s="1"/>
  <c r="Z529" s="1"/>
  <c r="X512"/>
  <c r="BO512"/>
  <c r="P512"/>
  <c r="R512" s="1"/>
  <c r="Z512" s="1"/>
  <c r="X507"/>
  <c r="BO507"/>
  <c r="P507"/>
  <c r="R507" s="1"/>
  <c r="Z507" s="1"/>
  <c r="X506"/>
  <c r="BO506"/>
  <c r="P506"/>
  <c r="R506" s="1"/>
  <c r="Z506" s="1"/>
  <c r="X505"/>
  <c r="BO505"/>
  <c r="P505"/>
  <c r="R505" s="1"/>
  <c r="Z505" s="1"/>
  <c r="X442"/>
  <c r="BO442"/>
  <c r="P442"/>
  <c r="R442" s="1"/>
  <c r="Z442" s="1"/>
  <c r="X435"/>
  <c r="BO435"/>
  <c r="P435"/>
  <c r="R435" s="1"/>
  <c r="Z435" s="1"/>
  <c r="X432"/>
  <c r="BO432"/>
  <c r="P432"/>
  <c r="R432" s="1"/>
  <c r="Z432" s="1"/>
  <c r="X373"/>
  <c r="BO373"/>
  <c r="P373"/>
  <c r="R373" s="1"/>
  <c r="Z373" s="1"/>
  <c r="X370"/>
  <c r="BO370"/>
  <c r="P370"/>
  <c r="R370" s="1"/>
  <c r="Z370" s="1"/>
  <c r="X274"/>
  <c r="BO274"/>
  <c r="P274"/>
  <c r="R274" s="1"/>
  <c r="Z274" s="1"/>
  <c r="X273"/>
  <c r="BO273"/>
  <c r="P273"/>
  <c r="X228"/>
  <c r="BO228"/>
  <c r="P228"/>
  <c r="X204"/>
  <c r="BO204"/>
  <c r="P204"/>
  <c r="X141"/>
  <c r="BO141"/>
  <c r="P141"/>
  <c r="X135"/>
  <c r="BO135"/>
  <c r="P135"/>
  <c r="X115"/>
  <c r="BO115"/>
  <c r="P115"/>
  <c r="X108"/>
  <c r="BO108"/>
  <c r="P108"/>
  <c r="X107"/>
  <c r="BO107"/>
  <c r="P107"/>
  <c r="BO105"/>
  <c r="P105" s="1"/>
  <c r="Q105" s="1"/>
  <c r="R105"/>
  <c r="X105" s="1"/>
  <c r="W105"/>
  <c r="X87"/>
  <c r="BO87"/>
  <c r="P87"/>
  <c r="X50"/>
  <c r="BO50"/>
  <c r="P50"/>
  <c r="X42"/>
  <c r="X44" s="1"/>
  <c r="AD44" s="1"/>
  <c r="BO42"/>
  <c r="P42"/>
  <c r="X43"/>
  <c r="BO43"/>
  <c r="BO44"/>
  <c r="P44" s="1"/>
  <c r="BQ44" s="1"/>
  <c r="R44"/>
  <c r="AB44" s="1"/>
  <c r="AM44"/>
  <c r="AL44"/>
  <c r="AN44" s="1"/>
  <c r="AO44"/>
  <c r="AP44"/>
  <c r="AQ44"/>
  <c r="AR44"/>
  <c r="AS44"/>
  <c r="EO44"/>
  <c r="AH44" s="1"/>
  <c r="EN44"/>
  <c r="AI44" s="1"/>
  <c r="AG44"/>
  <c r="Q44"/>
  <c r="CN44" s="1"/>
  <c r="EM44"/>
  <c r="EJ44"/>
  <c r="EP44" s="1"/>
  <c r="EF44"/>
  <c r="DX44"/>
  <c r="EG44"/>
  <c r="DO44"/>
  <c r="DB44"/>
  <c r="DP44" s="1"/>
  <c r="CO44"/>
  <c r="CM44"/>
  <c r="CL44"/>
  <c r="CK44"/>
  <c r="CJ44"/>
  <c r="CI44"/>
  <c r="A44"/>
  <c r="CH44"/>
  <c r="AA44"/>
  <c r="U44"/>
  <c r="O44"/>
  <c r="EO43"/>
  <c r="EN43"/>
  <c r="EM43"/>
  <c r="EJ43"/>
  <c r="EP43"/>
  <c r="EF43"/>
  <c r="DX43"/>
  <c r="EG43" s="1"/>
  <c r="DO43"/>
  <c r="DB43"/>
  <c r="DP43"/>
  <c r="CM43"/>
  <c r="CL43"/>
  <c r="CK43"/>
  <c r="CJ43"/>
  <c r="CI43"/>
  <c r="A43"/>
  <c r="CH43" s="1"/>
  <c r="BL43"/>
  <c r="U43"/>
  <c r="BO12"/>
  <c r="P12" s="1"/>
  <c r="Q12" s="1"/>
  <c r="W12" s="1"/>
  <c r="U12"/>
  <c r="AM12"/>
  <c r="AL12"/>
  <c r="AN12" s="1"/>
  <c r="EO12"/>
  <c r="AH12" s="1"/>
  <c r="EN12"/>
  <c r="AI12" s="1"/>
  <c r="AG12" s="1"/>
  <c r="AM13"/>
  <c r="AL13"/>
  <c r="AN13"/>
  <c r="EO13"/>
  <c r="AH13"/>
  <c r="EN13"/>
  <c r="AI13"/>
  <c r="BO13"/>
  <c r="P13" s="1"/>
  <c r="R13"/>
  <c r="X13"/>
  <c r="Z13" s="1"/>
  <c r="AF13" s="1"/>
  <c r="Q13"/>
  <c r="W13" s="1"/>
  <c r="AM14"/>
  <c r="AL14"/>
  <c r="AN14" s="1"/>
  <c r="EO14"/>
  <c r="AH14" s="1"/>
  <c r="EN14"/>
  <c r="AI14" s="1"/>
  <c r="AG14" s="1"/>
  <c r="BO14"/>
  <c r="P14"/>
  <c r="X14"/>
  <c r="AM15"/>
  <c r="AL15"/>
  <c r="AN15"/>
  <c r="EO15"/>
  <c r="AH15"/>
  <c r="EN15"/>
  <c r="AI15"/>
  <c r="BO15"/>
  <c r="P15" s="1"/>
  <c r="R15" s="1"/>
  <c r="Z15" s="1"/>
  <c r="X15"/>
  <c r="AM16"/>
  <c r="AL16"/>
  <c r="AN16"/>
  <c r="EO16"/>
  <c r="AH16"/>
  <c r="AG16" s="1"/>
  <c r="EN16"/>
  <c r="AI16"/>
  <c r="BO16"/>
  <c r="P16" s="1"/>
  <c r="X16"/>
  <c r="AM17"/>
  <c r="AL17"/>
  <c r="AN17" s="1"/>
  <c r="EO17"/>
  <c r="AH17" s="1"/>
  <c r="AG17" s="1"/>
  <c r="EN17"/>
  <c r="AI17" s="1"/>
  <c r="BO17"/>
  <c r="P17"/>
  <c r="R17" s="1"/>
  <c r="Z17" s="1"/>
  <c r="X17"/>
  <c r="AM18"/>
  <c r="AL18"/>
  <c r="AN18"/>
  <c r="EO18"/>
  <c r="AH18"/>
  <c r="AG18" s="1"/>
  <c r="EN18"/>
  <c r="AI18"/>
  <c r="BO18"/>
  <c r="P18" s="1"/>
  <c r="AM19"/>
  <c r="AL19"/>
  <c r="AN19"/>
  <c r="EO19"/>
  <c r="AH19"/>
  <c r="AG19" s="1"/>
  <c r="EN19"/>
  <c r="AI19"/>
  <c r="BO19"/>
  <c r="P19" s="1"/>
  <c r="X19"/>
  <c r="AM20"/>
  <c r="AL20"/>
  <c r="AN20" s="1"/>
  <c r="EO20"/>
  <c r="AH20" s="1"/>
  <c r="AG20" s="1"/>
  <c r="EN20"/>
  <c r="AI20" s="1"/>
  <c r="BO20"/>
  <c r="P20"/>
  <c r="R20" s="1"/>
  <c r="Z20" s="1"/>
  <c r="X20"/>
  <c r="AM21"/>
  <c r="AL21"/>
  <c r="AN21"/>
  <c r="EO21"/>
  <c r="AH21"/>
  <c r="AG21" s="1"/>
  <c r="EN21"/>
  <c r="AI21"/>
  <c r="BO21"/>
  <c r="P21" s="1"/>
  <c r="AM22"/>
  <c r="AL22"/>
  <c r="AN22" s="1"/>
  <c r="EO22"/>
  <c r="AH22" s="1"/>
  <c r="EN22"/>
  <c r="AI22" s="1"/>
  <c r="BO22"/>
  <c r="P22"/>
  <c r="R22" s="1"/>
  <c r="X22"/>
  <c r="AM23"/>
  <c r="AL23"/>
  <c r="AN23"/>
  <c r="EO23"/>
  <c r="AH23"/>
  <c r="AG23" s="1"/>
  <c r="EN23"/>
  <c r="AI23"/>
  <c r="BO23"/>
  <c r="P23" s="1"/>
  <c r="X23"/>
  <c r="AM24"/>
  <c r="AL24"/>
  <c r="AN24" s="1"/>
  <c r="EO24"/>
  <c r="AH24" s="1"/>
  <c r="EN24"/>
  <c r="AI24" s="1"/>
  <c r="BO24"/>
  <c r="P24"/>
  <c r="R24" s="1"/>
  <c r="X24"/>
  <c r="AM25"/>
  <c r="AL25"/>
  <c r="AN25"/>
  <c r="EO25"/>
  <c r="AH25"/>
  <c r="AG25" s="1"/>
  <c r="EN25"/>
  <c r="AI25"/>
  <c r="BO25"/>
  <c r="P25" s="1"/>
  <c r="X25"/>
  <c r="AM26"/>
  <c r="AL26"/>
  <c r="AN26" s="1"/>
  <c r="EO26"/>
  <c r="AH26" s="1"/>
  <c r="EN26"/>
  <c r="AI26" s="1"/>
  <c r="BO26"/>
  <c r="P26"/>
  <c r="R26" s="1"/>
  <c r="X26"/>
  <c r="AM27"/>
  <c r="AL27"/>
  <c r="AN27" s="1"/>
  <c r="EO27"/>
  <c r="AH27" s="1"/>
  <c r="AG27" s="1"/>
  <c r="EN27"/>
  <c r="AI27" s="1"/>
  <c r="BO27"/>
  <c r="P27"/>
  <c r="R27" s="1"/>
  <c r="Z27" s="1"/>
  <c r="X27"/>
  <c r="EO28"/>
  <c r="EN28"/>
  <c r="BL28"/>
  <c r="AM31"/>
  <c r="AL31"/>
  <c r="AN31" s="1"/>
  <c r="EO31"/>
  <c r="AH31" s="1"/>
  <c r="AG31" s="1"/>
  <c r="EN31"/>
  <c r="AI31" s="1"/>
  <c r="BO31"/>
  <c r="P31"/>
  <c r="R31" s="1"/>
  <c r="AM32"/>
  <c r="AL32"/>
  <c r="AN32"/>
  <c r="EO32"/>
  <c r="AH32"/>
  <c r="AG32" s="1"/>
  <c r="EN32"/>
  <c r="AI32"/>
  <c r="BO32"/>
  <c r="P32" s="1"/>
  <c r="X32"/>
  <c r="AM33"/>
  <c r="AL33"/>
  <c r="AN33" s="1"/>
  <c r="EO33"/>
  <c r="AH33" s="1"/>
  <c r="EN33"/>
  <c r="AI33" s="1"/>
  <c r="BO33"/>
  <c r="P33"/>
  <c r="R33" s="1"/>
  <c r="AM34"/>
  <c r="AL34"/>
  <c r="AN34"/>
  <c r="EO34"/>
  <c r="AH34"/>
  <c r="AG34" s="1"/>
  <c r="EN34"/>
  <c r="AI34"/>
  <c r="BO34"/>
  <c r="P34" s="1"/>
  <c r="X34"/>
  <c r="AM35"/>
  <c r="AL35"/>
  <c r="AN35"/>
  <c r="EO35"/>
  <c r="AH35"/>
  <c r="AG35" s="1"/>
  <c r="EN35"/>
  <c r="AI35"/>
  <c r="BO35"/>
  <c r="P35" s="1"/>
  <c r="X35"/>
  <c r="AM36"/>
  <c r="AL36"/>
  <c r="AN36" s="1"/>
  <c r="EO36"/>
  <c r="AH36" s="1"/>
  <c r="EN36"/>
  <c r="AI36" s="1"/>
  <c r="BO36"/>
  <c r="P36"/>
  <c r="R36" s="1"/>
  <c r="X36"/>
  <c r="AM37"/>
  <c r="AL37"/>
  <c r="AN37"/>
  <c r="EO37"/>
  <c r="AH37"/>
  <c r="AG37" s="1"/>
  <c r="EN37"/>
  <c r="AI37"/>
  <c r="BO37"/>
  <c r="P37" s="1"/>
  <c r="AM38"/>
  <c r="AL38"/>
  <c r="AN38" s="1"/>
  <c r="EO38"/>
  <c r="AH38" s="1"/>
  <c r="AG38" s="1"/>
  <c r="EN38"/>
  <c r="AI38" s="1"/>
  <c r="BO38"/>
  <c r="P38"/>
  <c r="R38" s="1"/>
  <c r="AM39"/>
  <c r="AL39"/>
  <c r="AN39"/>
  <c r="EO39"/>
  <c r="AH39"/>
  <c r="AG39" s="1"/>
  <c r="EN39"/>
  <c r="AI39"/>
  <c r="BO39"/>
  <c r="P39" s="1"/>
  <c r="X39"/>
  <c r="AM40"/>
  <c r="AL40"/>
  <c r="AN40" s="1"/>
  <c r="EO40"/>
  <c r="AH40" s="1"/>
  <c r="EN40"/>
  <c r="AI40" s="1"/>
  <c r="BO40"/>
  <c r="P40"/>
  <c r="R40" s="1"/>
  <c r="AM41"/>
  <c r="AL41"/>
  <c r="AN41"/>
  <c r="EO41"/>
  <c r="AH41"/>
  <c r="AG41" s="1"/>
  <c r="EN41"/>
  <c r="AI41"/>
  <c r="BO41"/>
  <c r="P41" s="1"/>
  <c r="EO42"/>
  <c r="EN42"/>
  <c r="BL42"/>
  <c r="AM45"/>
  <c r="AL45"/>
  <c r="AN45" s="1"/>
  <c r="EO45"/>
  <c r="AH45" s="1"/>
  <c r="AG45" s="1"/>
  <c r="EN45"/>
  <c r="AI45" s="1"/>
  <c r="BO45"/>
  <c r="P45"/>
  <c r="R45" s="1"/>
  <c r="AM46"/>
  <c r="AL46"/>
  <c r="AN46"/>
  <c r="EO46"/>
  <c r="AH46"/>
  <c r="AG46" s="1"/>
  <c r="EN46"/>
  <c r="AI46"/>
  <c r="BO46"/>
  <c r="P46" s="1"/>
  <c r="X46"/>
  <c r="AM47"/>
  <c r="AL47"/>
  <c r="AN47" s="1"/>
  <c r="EO47"/>
  <c r="AH47" s="1"/>
  <c r="EN47"/>
  <c r="AI47" s="1"/>
  <c r="BO47"/>
  <c r="P47"/>
  <c r="R47" s="1"/>
  <c r="X47"/>
  <c r="AM48"/>
  <c r="AL48"/>
  <c r="AN48"/>
  <c r="EO48"/>
  <c r="AH48"/>
  <c r="AG48" s="1"/>
  <c r="EN48"/>
  <c r="AI48"/>
  <c r="BO48"/>
  <c r="P48" s="1"/>
  <c r="X48"/>
  <c r="AM49"/>
  <c r="AL49"/>
  <c r="AN49" s="1"/>
  <c r="EO49"/>
  <c r="AH49" s="1"/>
  <c r="EN49"/>
  <c r="AI49" s="1"/>
  <c r="BO49"/>
  <c r="P49"/>
  <c r="R49" s="1"/>
  <c r="X49"/>
  <c r="AM50"/>
  <c r="AL50"/>
  <c r="AN50"/>
  <c r="EO50"/>
  <c r="AH50"/>
  <c r="AG50" s="1"/>
  <c r="EN50"/>
  <c r="AI50"/>
  <c r="AM51"/>
  <c r="AL51"/>
  <c r="AN51" s="1"/>
  <c r="EO51"/>
  <c r="AH51" s="1"/>
  <c r="EN51"/>
  <c r="AI51" s="1"/>
  <c r="BO51"/>
  <c r="P51"/>
  <c r="R51" s="1"/>
  <c r="AM52"/>
  <c r="AL52"/>
  <c r="AN52" s="1"/>
  <c r="EO52"/>
  <c r="AH52" s="1"/>
  <c r="EN52"/>
  <c r="AI52" s="1"/>
  <c r="BO52"/>
  <c r="P52"/>
  <c r="R52" s="1"/>
  <c r="AM53"/>
  <c r="AL53"/>
  <c r="AN53"/>
  <c r="EO53"/>
  <c r="AH53"/>
  <c r="AG53" s="1"/>
  <c r="EN53"/>
  <c r="AI53"/>
  <c r="BO53"/>
  <c r="P53" s="1"/>
  <c r="X53"/>
  <c r="AM54"/>
  <c r="AL54"/>
  <c r="AN54" s="1"/>
  <c r="EO54"/>
  <c r="AH54" s="1"/>
  <c r="AG54" s="1"/>
  <c r="EN54"/>
  <c r="AI54" s="1"/>
  <c r="BO54"/>
  <c r="P54"/>
  <c r="R54" s="1"/>
  <c r="Z54" s="1"/>
  <c r="X54"/>
  <c r="AM55"/>
  <c r="AL55"/>
  <c r="AN55"/>
  <c r="EO55"/>
  <c r="AH55"/>
  <c r="AG55" s="1"/>
  <c r="EN55"/>
  <c r="AI55"/>
  <c r="BO55"/>
  <c r="P55" s="1"/>
  <c r="X55"/>
  <c r="AM56"/>
  <c r="AL56"/>
  <c r="AN56" s="1"/>
  <c r="EO56"/>
  <c r="AH56" s="1"/>
  <c r="AG56" s="1"/>
  <c r="EN56"/>
  <c r="AI56" s="1"/>
  <c r="BO56"/>
  <c r="P56"/>
  <c r="R56" s="1"/>
  <c r="Z56" s="1"/>
  <c r="X56"/>
  <c r="AM57"/>
  <c r="AL57"/>
  <c r="AN57"/>
  <c r="EO57"/>
  <c r="AH57"/>
  <c r="AG57" s="1"/>
  <c r="EN57"/>
  <c r="AI57"/>
  <c r="BO57"/>
  <c r="P57" s="1"/>
  <c r="AM58"/>
  <c r="AL58"/>
  <c r="AN58"/>
  <c r="EO58"/>
  <c r="AH58"/>
  <c r="AG58" s="1"/>
  <c r="EN58"/>
  <c r="AI58"/>
  <c r="BO58"/>
  <c r="P58" s="1"/>
  <c r="EO63"/>
  <c r="EN63"/>
  <c r="AM62"/>
  <c r="AL62"/>
  <c r="AN62"/>
  <c r="EO62"/>
  <c r="AH62"/>
  <c r="AG62" s="1"/>
  <c r="EN62"/>
  <c r="AI62"/>
  <c r="BO62"/>
  <c r="P62" s="1"/>
  <c r="X62"/>
  <c r="AM61"/>
  <c r="AL61"/>
  <c r="AN61" s="1"/>
  <c r="EO61"/>
  <c r="AH61" s="1"/>
  <c r="AG61" s="1"/>
  <c r="EN61"/>
  <c r="AI61" s="1"/>
  <c r="BO61"/>
  <c r="P61"/>
  <c r="R61" s="1"/>
  <c r="Z61" s="1"/>
  <c r="X61"/>
  <c r="AM60"/>
  <c r="AL60"/>
  <c r="AN60"/>
  <c r="EO60"/>
  <c r="AH60"/>
  <c r="AG60" s="1"/>
  <c r="EN60"/>
  <c r="AI60"/>
  <c r="BO60"/>
  <c r="P60" s="1"/>
  <c r="AM59"/>
  <c r="AL59"/>
  <c r="AN59" s="1"/>
  <c r="EO59"/>
  <c r="AH59" s="1"/>
  <c r="EN59"/>
  <c r="AI59" s="1"/>
  <c r="BO59"/>
  <c r="P59"/>
  <c r="R59" s="1"/>
  <c r="X59"/>
  <c r="BL63"/>
  <c r="AM66"/>
  <c r="AL66"/>
  <c r="AN66" s="1"/>
  <c r="EO66"/>
  <c r="AH66" s="1"/>
  <c r="EN66"/>
  <c r="AI66" s="1"/>
  <c r="BO66"/>
  <c r="P66"/>
  <c r="R66" s="1"/>
  <c r="X66"/>
  <c r="AM67"/>
  <c r="AL67"/>
  <c r="AN67"/>
  <c r="EO67"/>
  <c r="AH67"/>
  <c r="AG67" s="1"/>
  <c r="EN67"/>
  <c r="AI67"/>
  <c r="BO67"/>
  <c r="P67" s="1"/>
  <c r="X67"/>
  <c r="AM68"/>
  <c r="AL68"/>
  <c r="AN68" s="1"/>
  <c r="EO68"/>
  <c r="AH68" s="1"/>
  <c r="EN68"/>
  <c r="AI68" s="1"/>
  <c r="BO68"/>
  <c r="P68"/>
  <c r="R68" s="1"/>
  <c r="X68"/>
  <c r="EO69"/>
  <c r="EN69"/>
  <c r="BL69"/>
  <c r="AM72"/>
  <c r="AL72"/>
  <c r="AN72" s="1"/>
  <c r="EO72"/>
  <c r="AH72" s="1"/>
  <c r="EN72"/>
  <c r="AI72" s="1"/>
  <c r="BO72"/>
  <c r="P72"/>
  <c r="R72" s="1"/>
  <c r="X72"/>
  <c r="AM73"/>
  <c r="AL73"/>
  <c r="AN73" s="1"/>
  <c r="EO73"/>
  <c r="AH73" s="1"/>
  <c r="AG73" s="1"/>
  <c r="EN73"/>
  <c r="AI73" s="1"/>
  <c r="BO73"/>
  <c r="P73"/>
  <c r="R73" s="1"/>
  <c r="EO74"/>
  <c r="EN74"/>
  <c r="BL74"/>
  <c r="EO77"/>
  <c r="EN77"/>
  <c r="BL77"/>
  <c r="AM80"/>
  <c r="AL80"/>
  <c r="AN80"/>
  <c r="EO80"/>
  <c r="AH80"/>
  <c r="AG80" s="1"/>
  <c r="EN80"/>
  <c r="AI80"/>
  <c r="BO80"/>
  <c r="P80" s="1"/>
  <c r="AM81"/>
  <c r="AL81"/>
  <c r="AN81" s="1"/>
  <c r="EO81"/>
  <c r="AH81" s="1"/>
  <c r="AG81" s="1"/>
  <c r="EN81"/>
  <c r="AI81" s="1"/>
  <c r="BO81"/>
  <c r="P81"/>
  <c r="R81" s="1"/>
  <c r="Z81" s="1"/>
  <c r="X81"/>
  <c r="EO82"/>
  <c r="EN82"/>
  <c r="BL82"/>
  <c r="AM85"/>
  <c r="AL85"/>
  <c r="AN85" s="1"/>
  <c r="EO85"/>
  <c r="AH85" s="1"/>
  <c r="AG85" s="1"/>
  <c r="EN85"/>
  <c r="AI85" s="1"/>
  <c r="BO85"/>
  <c r="P85"/>
  <c r="R85" s="1"/>
  <c r="Z85" s="1"/>
  <c r="X85"/>
  <c r="AM86"/>
  <c r="AL86"/>
  <c r="AN86"/>
  <c r="EO86"/>
  <c r="AH86"/>
  <c r="AG86" s="1"/>
  <c r="EN86"/>
  <c r="AI86"/>
  <c r="BO86"/>
  <c r="P86" s="1"/>
  <c r="R86" s="1"/>
  <c r="AM87"/>
  <c r="AL87"/>
  <c r="AN87"/>
  <c r="EO87"/>
  <c r="AH87"/>
  <c r="EN87"/>
  <c r="AI87"/>
  <c r="AM88"/>
  <c r="AL88"/>
  <c r="AN88" s="1"/>
  <c r="EO88"/>
  <c r="AH88" s="1"/>
  <c r="EN88"/>
  <c r="AI88" s="1"/>
  <c r="AG88" s="1"/>
  <c r="BO88"/>
  <c r="P88"/>
  <c r="X88"/>
  <c r="AM89"/>
  <c r="AL89"/>
  <c r="AN89"/>
  <c r="EO89"/>
  <c r="AH89"/>
  <c r="EN89"/>
  <c r="AI89"/>
  <c r="BO89"/>
  <c r="P89" s="1"/>
  <c r="R89" s="1"/>
  <c r="X89"/>
  <c r="Q89"/>
  <c r="W89" s="1"/>
  <c r="AM90"/>
  <c r="AL90"/>
  <c r="AN90" s="1"/>
  <c r="EO90"/>
  <c r="AH90" s="1"/>
  <c r="EN90"/>
  <c r="AI90" s="1"/>
  <c r="AG90"/>
  <c r="BO90"/>
  <c r="P90"/>
  <c r="AM91"/>
  <c r="AL91"/>
  <c r="AN91"/>
  <c r="EO91"/>
  <c r="AH91"/>
  <c r="EN91"/>
  <c r="AI91"/>
  <c r="BO91"/>
  <c r="P91" s="1"/>
  <c r="R91"/>
  <c r="X91"/>
  <c r="Z91" s="1"/>
  <c r="Q91"/>
  <c r="W91" s="1"/>
  <c r="AM92"/>
  <c r="AL92"/>
  <c r="AN92" s="1"/>
  <c r="EO92"/>
  <c r="AH92" s="1"/>
  <c r="EN92"/>
  <c r="AI92" s="1"/>
  <c r="AG92" s="1"/>
  <c r="BO92"/>
  <c r="P92"/>
  <c r="X92"/>
  <c r="AM94"/>
  <c r="AL94"/>
  <c r="AN94" s="1"/>
  <c r="EO94"/>
  <c r="AH94" s="1"/>
  <c r="EN94"/>
  <c r="AI94" s="1"/>
  <c r="AG94" s="1"/>
  <c r="BO94"/>
  <c r="P94"/>
  <c r="X94"/>
  <c r="AM95"/>
  <c r="AL95"/>
  <c r="AN95"/>
  <c r="EO95"/>
  <c r="AH95"/>
  <c r="EN95"/>
  <c r="AI95"/>
  <c r="BO95"/>
  <c r="P95" s="1"/>
  <c r="R95" s="1"/>
  <c r="X95"/>
  <c r="Q95"/>
  <c r="W95" s="1"/>
  <c r="AM96"/>
  <c r="AL96"/>
  <c r="AN96" s="1"/>
  <c r="EO96"/>
  <c r="AH96" s="1"/>
  <c r="EN96"/>
  <c r="AI96" s="1"/>
  <c r="AG96"/>
  <c r="BO96"/>
  <c r="P96"/>
  <c r="X96"/>
  <c r="AM97"/>
  <c r="AL97"/>
  <c r="AN97"/>
  <c r="EO97"/>
  <c r="AH97"/>
  <c r="EN97"/>
  <c r="AI97"/>
  <c r="BO97"/>
  <c r="P97" s="1"/>
  <c r="R97"/>
  <c r="X97"/>
  <c r="Z97"/>
  <c r="Q97"/>
  <c r="W97" s="1"/>
  <c r="Y97" s="1"/>
  <c r="AM98"/>
  <c r="AL98"/>
  <c r="AN98" s="1"/>
  <c r="EO98"/>
  <c r="AH98" s="1"/>
  <c r="EN98"/>
  <c r="AI98" s="1"/>
  <c r="BO98"/>
  <c r="P98"/>
  <c r="R98" s="1"/>
  <c r="X98"/>
  <c r="AM99"/>
  <c r="AL99"/>
  <c r="AN99"/>
  <c r="EO99"/>
  <c r="AH99"/>
  <c r="AG99" s="1"/>
  <c r="EN99"/>
  <c r="AI99"/>
  <c r="BO99"/>
  <c r="P99" s="1"/>
  <c r="AM100"/>
  <c r="AL100"/>
  <c r="AN100"/>
  <c r="EO100"/>
  <c r="AH100"/>
  <c r="AG100" s="1"/>
  <c r="EN100"/>
  <c r="AI100"/>
  <c r="BO100"/>
  <c r="P100" s="1"/>
  <c r="X100"/>
  <c r="AM101"/>
  <c r="AL101"/>
  <c r="AN101" s="1"/>
  <c r="EO101"/>
  <c r="AH101" s="1"/>
  <c r="EN101"/>
  <c r="AI101" s="1"/>
  <c r="BO101"/>
  <c r="P101"/>
  <c r="R101" s="1"/>
  <c r="AM102"/>
  <c r="AL102"/>
  <c r="AN102"/>
  <c r="EO102"/>
  <c r="AH102"/>
  <c r="AG102" s="1"/>
  <c r="EN102"/>
  <c r="AI102"/>
  <c r="BO102"/>
  <c r="P102" s="1"/>
  <c r="X102"/>
  <c r="AM103"/>
  <c r="AL103"/>
  <c r="AN103" s="1"/>
  <c r="EO103"/>
  <c r="AH103" s="1"/>
  <c r="AG103" s="1"/>
  <c r="EN103"/>
  <c r="AI103" s="1"/>
  <c r="BO103"/>
  <c r="P103"/>
  <c r="R103" s="1"/>
  <c r="AM104"/>
  <c r="AL104"/>
  <c r="AN104"/>
  <c r="EO104"/>
  <c r="AH104"/>
  <c r="AG104" s="1"/>
  <c r="EN104"/>
  <c r="AI104"/>
  <c r="BO104"/>
  <c r="P104" s="1"/>
  <c r="AM105"/>
  <c r="AL105"/>
  <c r="AN105" s="1"/>
  <c r="EO105"/>
  <c r="AH105" s="1"/>
  <c r="AG105" s="1"/>
  <c r="EN105"/>
  <c r="AI105" s="1"/>
  <c r="AM106"/>
  <c r="AL106"/>
  <c r="AN106"/>
  <c r="EO106"/>
  <c r="AH106"/>
  <c r="AG106" s="1"/>
  <c r="EN106"/>
  <c r="AI106"/>
  <c r="BO106"/>
  <c r="P106" s="1"/>
  <c r="AM107"/>
  <c r="AL107"/>
  <c r="AN107" s="1"/>
  <c r="EO107"/>
  <c r="AH107" s="1"/>
  <c r="AG107" s="1"/>
  <c r="EN107"/>
  <c r="AI107" s="1"/>
  <c r="AM108"/>
  <c r="AL108"/>
  <c r="AN108"/>
  <c r="EO108"/>
  <c r="AH108"/>
  <c r="AG108" s="1"/>
  <c r="EN108"/>
  <c r="AI108"/>
  <c r="AM109"/>
  <c r="AL109"/>
  <c r="AN109" s="1"/>
  <c r="EO109"/>
  <c r="AH109" s="1"/>
  <c r="EN109"/>
  <c r="AI109" s="1"/>
  <c r="BO109"/>
  <c r="P109"/>
  <c r="R109" s="1"/>
  <c r="AM110"/>
  <c r="AL110"/>
  <c r="AN110"/>
  <c r="EO110"/>
  <c r="AH110"/>
  <c r="AG110" s="1"/>
  <c r="EN110"/>
  <c r="AI110"/>
  <c r="BO110"/>
  <c r="P110" s="1"/>
  <c r="AM111"/>
  <c r="AL111"/>
  <c r="AN111" s="1"/>
  <c r="EO111"/>
  <c r="AH111" s="1"/>
  <c r="EN111"/>
  <c r="AI111" s="1"/>
  <c r="BO111"/>
  <c r="P111"/>
  <c r="R111" s="1"/>
  <c r="AM112"/>
  <c r="AL112"/>
  <c r="AN112"/>
  <c r="EO112"/>
  <c r="AH112"/>
  <c r="AG112" s="1"/>
  <c r="EN112"/>
  <c r="AI112"/>
  <c r="BO112"/>
  <c r="P112" s="1"/>
  <c r="AM113"/>
  <c r="AL113"/>
  <c r="AN113"/>
  <c r="EO113"/>
  <c r="AH113"/>
  <c r="AG113" s="1"/>
  <c r="EN113"/>
  <c r="AI113"/>
  <c r="BO113"/>
  <c r="P113" s="1"/>
  <c r="AM114"/>
  <c r="AL114"/>
  <c r="AN114"/>
  <c r="EO114"/>
  <c r="AH114"/>
  <c r="AG114" s="1"/>
  <c r="EN114"/>
  <c r="AI114"/>
  <c r="BO114"/>
  <c r="P114" s="1"/>
  <c r="AM115"/>
  <c r="AL115"/>
  <c r="AN115"/>
  <c r="EO115"/>
  <c r="AH115"/>
  <c r="AG115" s="1"/>
  <c r="EN115"/>
  <c r="AI115"/>
  <c r="AM116"/>
  <c r="AL116"/>
  <c r="AN116" s="1"/>
  <c r="EO116"/>
  <c r="AH116" s="1"/>
  <c r="AG116" s="1"/>
  <c r="EN116"/>
  <c r="AI116" s="1"/>
  <c r="BO116"/>
  <c r="P116"/>
  <c r="R116" s="1"/>
  <c r="Z116" s="1"/>
  <c r="X116"/>
  <c r="AM117"/>
  <c r="AL117"/>
  <c r="AN117"/>
  <c r="EO117"/>
  <c r="AH117"/>
  <c r="AG117" s="1"/>
  <c r="EN117"/>
  <c r="AI117"/>
  <c r="BO117"/>
  <c r="P117" s="1"/>
  <c r="X117"/>
  <c r="AM118"/>
  <c r="AL118"/>
  <c r="AN118" s="1"/>
  <c r="EO118"/>
  <c r="AH118" s="1"/>
  <c r="AG118" s="1"/>
  <c r="EN118"/>
  <c r="AI118" s="1"/>
  <c r="BO118"/>
  <c r="P118"/>
  <c r="R118" s="1"/>
  <c r="AM119"/>
  <c r="AL119"/>
  <c r="AN119"/>
  <c r="EO119"/>
  <c r="AH119"/>
  <c r="AG119" s="1"/>
  <c r="EN119"/>
  <c r="AI119"/>
  <c r="BO119"/>
  <c r="P119" s="1"/>
  <c r="AM120"/>
  <c r="AL120"/>
  <c r="AN120" s="1"/>
  <c r="EO120"/>
  <c r="AH120" s="1"/>
  <c r="AG120" s="1"/>
  <c r="EN120"/>
  <c r="AI120" s="1"/>
  <c r="BO120"/>
  <c r="P120"/>
  <c r="R120" s="1"/>
  <c r="Z120" s="1"/>
  <c r="X120"/>
  <c r="AM121"/>
  <c r="AL121"/>
  <c r="AN121"/>
  <c r="EO121"/>
  <c r="AH121"/>
  <c r="AG121" s="1"/>
  <c r="EN121"/>
  <c r="AI121"/>
  <c r="BO121"/>
  <c r="P121" s="1"/>
  <c r="AM122"/>
  <c r="AL122"/>
  <c r="AN122" s="1"/>
  <c r="EO122"/>
  <c r="AH122" s="1"/>
  <c r="EN122"/>
  <c r="AI122" s="1"/>
  <c r="BO122"/>
  <c r="P122"/>
  <c r="R122" s="1"/>
  <c r="X122"/>
  <c r="AM123"/>
  <c r="AL123"/>
  <c r="AN123"/>
  <c r="EO123"/>
  <c r="AH123"/>
  <c r="AG123" s="1"/>
  <c r="EN123"/>
  <c r="AI123"/>
  <c r="BO123"/>
  <c r="P123" s="1"/>
  <c r="X123"/>
  <c r="EO124"/>
  <c r="EN124"/>
  <c r="BL124"/>
  <c r="AM127"/>
  <c r="AL127"/>
  <c r="AN127"/>
  <c r="EO127"/>
  <c r="AH127"/>
  <c r="AG127" s="1"/>
  <c r="EN127"/>
  <c r="AI127"/>
  <c r="BO127"/>
  <c r="P127" s="1"/>
  <c r="X127"/>
  <c r="AM128"/>
  <c r="AL128"/>
  <c r="AN128"/>
  <c r="EO128"/>
  <c r="AH128"/>
  <c r="EN128"/>
  <c r="AI128" s="1"/>
  <c r="AG128" s="1"/>
  <c r="BO128"/>
  <c r="P128" s="1"/>
  <c r="AM129"/>
  <c r="AL129"/>
  <c r="AN129"/>
  <c r="EO129"/>
  <c r="AH129"/>
  <c r="AG129" s="1"/>
  <c r="EN129"/>
  <c r="AI129"/>
  <c r="BO129"/>
  <c r="P129" s="1"/>
  <c r="X129"/>
  <c r="AM130"/>
  <c r="AL130"/>
  <c r="AN130" s="1"/>
  <c r="EO130"/>
  <c r="AH130" s="1"/>
  <c r="EN130"/>
  <c r="AI130" s="1"/>
  <c r="BO130"/>
  <c r="P130"/>
  <c r="R130" s="1"/>
  <c r="X130"/>
  <c r="EO131"/>
  <c r="EN131"/>
  <c r="BL131"/>
  <c r="AM134"/>
  <c r="AL134"/>
  <c r="AN134"/>
  <c r="EO134"/>
  <c r="AH134"/>
  <c r="AG134" s="1"/>
  <c r="EN134"/>
  <c r="AI134"/>
  <c r="BO134"/>
  <c r="P134" s="1"/>
  <c r="X134"/>
  <c r="AM135"/>
  <c r="AL135"/>
  <c r="AN135" s="1"/>
  <c r="EO135"/>
  <c r="AH135" s="1"/>
  <c r="AG135" s="1"/>
  <c r="EN135"/>
  <c r="AI135" s="1"/>
  <c r="AM136"/>
  <c r="AL136"/>
  <c r="AN136"/>
  <c r="EO136"/>
  <c r="AH136"/>
  <c r="AG136" s="1"/>
  <c r="EN136"/>
  <c r="AI136"/>
  <c r="BO136"/>
  <c r="P136" s="1"/>
  <c r="AM137"/>
  <c r="AL137"/>
  <c r="AN137"/>
  <c r="EO137"/>
  <c r="AH137"/>
  <c r="AG137" s="1"/>
  <c r="EN137"/>
  <c r="AI137"/>
  <c r="BO137"/>
  <c r="P137" s="1"/>
  <c r="AM138"/>
  <c r="AL138"/>
  <c r="AN138" s="1"/>
  <c r="EO138"/>
  <c r="AH138" s="1"/>
  <c r="AG138" s="1"/>
  <c r="EN138"/>
  <c r="AI138" s="1"/>
  <c r="BO138"/>
  <c r="P138"/>
  <c r="R138" s="1"/>
  <c r="Z138" s="1"/>
  <c r="X138"/>
  <c r="AM139"/>
  <c r="AL139"/>
  <c r="AN139"/>
  <c r="EO139"/>
  <c r="AH139"/>
  <c r="AG139" s="1"/>
  <c r="EN139"/>
  <c r="AI139"/>
  <c r="BO139"/>
  <c r="P139" s="1"/>
  <c r="X139"/>
  <c r="AM140"/>
  <c r="AL140"/>
  <c r="AN140" s="1"/>
  <c r="EO140"/>
  <c r="AH140" s="1"/>
  <c r="AG140" s="1"/>
  <c r="EN140"/>
  <c r="AI140" s="1"/>
  <c r="BO140"/>
  <c r="P140"/>
  <c r="R140" s="1"/>
  <c r="Z140" s="1"/>
  <c r="X140"/>
  <c r="AM141"/>
  <c r="AL141"/>
  <c r="AN141"/>
  <c r="EO141"/>
  <c r="AH141"/>
  <c r="AG141" s="1"/>
  <c r="EN141"/>
  <c r="AI141"/>
  <c r="AM142"/>
  <c r="AL142"/>
  <c r="AN142" s="1"/>
  <c r="EO142"/>
  <c r="AH142" s="1"/>
  <c r="AG142" s="1"/>
  <c r="EN142"/>
  <c r="AI142" s="1"/>
  <c r="BO142"/>
  <c r="P142"/>
  <c r="R142" s="1"/>
  <c r="AM143"/>
  <c r="AL143"/>
  <c r="AN143"/>
  <c r="EO143"/>
  <c r="AH143"/>
  <c r="AG143" s="1"/>
  <c r="EN143"/>
  <c r="AI143"/>
  <c r="BO143"/>
  <c r="P143" s="1"/>
  <c r="X143"/>
  <c r="EO144"/>
  <c r="EN144"/>
  <c r="BL144"/>
  <c r="AM147"/>
  <c r="AL147"/>
  <c r="AN147"/>
  <c r="EO147"/>
  <c r="AH147"/>
  <c r="AG147" s="1"/>
  <c r="EN147"/>
  <c r="AI147"/>
  <c r="BO147"/>
  <c r="P147" s="1"/>
  <c r="X147"/>
  <c r="AM148"/>
  <c r="AL148"/>
  <c r="AN148" s="1"/>
  <c r="EO148"/>
  <c r="AH148" s="1"/>
  <c r="EN148"/>
  <c r="AI148" s="1"/>
  <c r="BO148"/>
  <c r="P148"/>
  <c r="R148" s="1"/>
  <c r="X148"/>
  <c r="AM149"/>
  <c r="AL149"/>
  <c r="AN149"/>
  <c r="EO149"/>
  <c r="AH149"/>
  <c r="AG149" s="1"/>
  <c r="EN149"/>
  <c r="AI149"/>
  <c r="BO149"/>
  <c r="P149" s="1"/>
  <c r="X149"/>
  <c r="AM150"/>
  <c r="AL150"/>
  <c r="AN150" s="1"/>
  <c r="EO150"/>
  <c r="AH150" s="1"/>
  <c r="EN150"/>
  <c r="AI150" s="1"/>
  <c r="BO150"/>
  <c r="P150"/>
  <c r="R150" s="1"/>
  <c r="AM151"/>
  <c r="AL151"/>
  <c r="AN151" s="1"/>
  <c r="EO151"/>
  <c r="AH151" s="1"/>
  <c r="EN151"/>
  <c r="AI151" s="1"/>
  <c r="BO151"/>
  <c r="P151"/>
  <c r="R151" s="1"/>
  <c r="X151"/>
  <c r="AM152"/>
  <c r="AL152"/>
  <c r="AN152"/>
  <c r="EO152"/>
  <c r="AH152"/>
  <c r="AG152" s="1"/>
  <c r="EN152"/>
  <c r="AI152"/>
  <c r="BO152"/>
  <c r="P152" s="1"/>
  <c r="X152"/>
  <c r="AM153"/>
  <c r="AL153"/>
  <c r="AN153" s="1"/>
  <c r="EO153"/>
  <c r="AH153" s="1"/>
  <c r="EN153"/>
  <c r="AI153" s="1"/>
  <c r="BO153"/>
  <c r="P153"/>
  <c r="R153" s="1"/>
  <c r="X153"/>
  <c r="AM154"/>
  <c r="AL154"/>
  <c r="AN154"/>
  <c r="EO154"/>
  <c r="AH154"/>
  <c r="AG154" s="1"/>
  <c r="EN154"/>
  <c r="AI154"/>
  <c r="BO154"/>
  <c r="P154" s="1"/>
  <c r="AM155"/>
  <c r="AL155"/>
  <c r="AN155" s="1"/>
  <c r="EO155"/>
  <c r="AH155" s="1"/>
  <c r="AG155" s="1"/>
  <c r="EN155"/>
  <c r="AI155" s="1"/>
  <c r="BO155"/>
  <c r="P155"/>
  <c r="R155" s="1"/>
  <c r="Z155" s="1"/>
  <c r="X155"/>
  <c r="AM156"/>
  <c r="AL156"/>
  <c r="AN156"/>
  <c r="EO156"/>
  <c r="AH156"/>
  <c r="AG156" s="1"/>
  <c r="EN156"/>
  <c r="AI156"/>
  <c r="BO156"/>
  <c r="P156" s="1"/>
  <c r="X156"/>
  <c r="AM157"/>
  <c r="AL157"/>
  <c r="AN157"/>
  <c r="EO157"/>
  <c r="AH157"/>
  <c r="AG157" s="1"/>
  <c r="EN157"/>
  <c r="AI157"/>
  <c r="BO157"/>
  <c r="P157" s="1"/>
  <c r="X157"/>
  <c r="AM164"/>
  <c r="AL164"/>
  <c r="AN164"/>
  <c r="EO164"/>
  <c r="AH164"/>
  <c r="AG164" s="1"/>
  <c r="EN164"/>
  <c r="AI164"/>
  <c r="BO164"/>
  <c r="P164" s="1"/>
  <c r="X164"/>
  <c r="AM163"/>
  <c r="AL163"/>
  <c r="AN163" s="1"/>
  <c r="EO163"/>
  <c r="AH163" s="1"/>
  <c r="AG163" s="1"/>
  <c r="EN163"/>
  <c r="AI163" s="1"/>
  <c r="BO163"/>
  <c r="P163"/>
  <c r="R163" s="1"/>
  <c r="Z163" s="1"/>
  <c r="X163"/>
  <c r="AM162"/>
  <c r="AL162"/>
  <c r="AN162"/>
  <c r="EO162"/>
  <c r="AH162"/>
  <c r="AG162" s="1"/>
  <c r="EN162"/>
  <c r="AI162"/>
  <c r="BO162"/>
  <c r="P162" s="1"/>
  <c r="X162"/>
  <c r="AM161"/>
  <c r="AL161"/>
  <c r="AN161" s="1"/>
  <c r="EO161"/>
  <c r="AH161" s="1"/>
  <c r="AG161" s="1"/>
  <c r="EN161"/>
  <c r="AI161" s="1"/>
  <c r="BO161"/>
  <c r="P161"/>
  <c r="R161" s="1"/>
  <c r="Z161" s="1"/>
  <c r="X161"/>
  <c r="AM160"/>
  <c r="AL160"/>
  <c r="AN160"/>
  <c r="EO160"/>
  <c r="AH160"/>
  <c r="AG160" s="1"/>
  <c r="EN160"/>
  <c r="AI160"/>
  <c r="BO160"/>
  <c r="P160" s="1"/>
  <c r="X160"/>
  <c r="AM159"/>
  <c r="AL159"/>
  <c r="AN159" s="1"/>
  <c r="EO159"/>
  <c r="AH159" s="1"/>
  <c r="AG159" s="1"/>
  <c r="EN159"/>
  <c r="AI159" s="1"/>
  <c r="BO159"/>
  <c r="P159"/>
  <c r="R159" s="1"/>
  <c r="AM158"/>
  <c r="AL158"/>
  <c r="AN158"/>
  <c r="EO158"/>
  <c r="AH158"/>
  <c r="AG158" s="1"/>
  <c r="EN158"/>
  <c r="AI158"/>
  <c r="BO158"/>
  <c r="P158" s="1"/>
  <c r="AM165"/>
  <c r="AL165"/>
  <c r="AN165" s="1"/>
  <c r="EO165"/>
  <c r="AH165" s="1"/>
  <c r="AG165" s="1"/>
  <c r="EN165"/>
  <c r="AI165" s="1"/>
  <c r="BO165"/>
  <c r="P165"/>
  <c r="R165" s="1"/>
  <c r="Z165" s="1"/>
  <c r="X165"/>
  <c r="AM166"/>
  <c r="AL166"/>
  <c r="AN166"/>
  <c r="EO166"/>
  <c r="AH166"/>
  <c r="AG166" s="1"/>
  <c r="EN166"/>
  <c r="AI166"/>
  <c r="BO166"/>
  <c r="P166" s="1"/>
  <c r="X166"/>
  <c r="AM167"/>
  <c r="AL167"/>
  <c r="AN167" s="1"/>
  <c r="EO167"/>
  <c r="AH167" s="1"/>
  <c r="AG167" s="1"/>
  <c r="EN167"/>
  <c r="AI167" s="1"/>
  <c r="BO167"/>
  <c r="P167"/>
  <c r="R167" s="1"/>
  <c r="Z167" s="1"/>
  <c r="X167"/>
  <c r="AM168"/>
  <c r="AL168"/>
  <c r="AN168"/>
  <c r="EO168"/>
  <c r="AH168"/>
  <c r="AG168" s="1"/>
  <c r="EN168"/>
  <c r="AI168"/>
  <c r="BO168"/>
  <c r="P168" s="1"/>
  <c r="AM169"/>
  <c r="AL169"/>
  <c r="AN169" s="1"/>
  <c r="EO169"/>
  <c r="AH169" s="1"/>
  <c r="EN169"/>
  <c r="AI169" s="1"/>
  <c r="BO169"/>
  <c r="P169"/>
  <c r="R169" s="1"/>
  <c r="X169"/>
  <c r="AM170"/>
  <c r="AL170"/>
  <c r="AN170"/>
  <c r="EO170"/>
  <c r="AH170"/>
  <c r="AG170" s="1"/>
  <c r="EN170"/>
  <c r="AI170"/>
  <c r="BO170"/>
  <c r="P170" s="1"/>
  <c r="X170"/>
  <c r="AM171"/>
  <c r="AL171"/>
  <c r="AN171" s="1"/>
  <c r="EO171"/>
  <c r="AH171" s="1"/>
  <c r="EN171"/>
  <c r="AI171" s="1"/>
  <c r="BO171"/>
  <c r="P171"/>
  <c r="R171" s="1"/>
  <c r="AM172"/>
  <c r="AL172"/>
  <c r="AN172"/>
  <c r="EO172"/>
  <c r="AH172"/>
  <c r="AG172" s="1"/>
  <c r="EN172"/>
  <c r="AI172"/>
  <c r="BO172"/>
  <c r="P172" s="1"/>
  <c r="X172"/>
  <c r="AM173"/>
  <c r="AL173"/>
  <c r="AN173" s="1"/>
  <c r="EO173"/>
  <c r="AH173" s="1"/>
  <c r="AG173" s="1"/>
  <c r="EN173"/>
  <c r="AI173" s="1"/>
  <c r="BO173"/>
  <c r="P173"/>
  <c r="R173" s="1"/>
  <c r="Z173" s="1"/>
  <c r="X173"/>
  <c r="EO174"/>
  <c r="EN174"/>
  <c r="BL174"/>
  <c r="EO183"/>
  <c r="EN183"/>
  <c r="BL183"/>
  <c r="AM186"/>
  <c r="AL186"/>
  <c r="AN186" s="1"/>
  <c r="EO186"/>
  <c r="AH186" s="1"/>
  <c r="EN186"/>
  <c r="AI186" s="1"/>
  <c r="BO186"/>
  <c r="P186"/>
  <c r="R186" s="1"/>
  <c r="AM187"/>
  <c r="AL187"/>
  <c r="AN187"/>
  <c r="EO187"/>
  <c r="AH187"/>
  <c r="AG187" s="1"/>
  <c r="EN187"/>
  <c r="AI187"/>
  <c r="BO187"/>
  <c r="P187" s="1"/>
  <c r="AM188"/>
  <c r="AL188"/>
  <c r="AN188" s="1"/>
  <c r="EO188"/>
  <c r="AH188" s="1"/>
  <c r="EN188"/>
  <c r="AI188" s="1"/>
  <c r="BO188"/>
  <c r="P188"/>
  <c r="R188" s="1"/>
  <c r="X188"/>
  <c r="AM189"/>
  <c r="AL189"/>
  <c r="AN189"/>
  <c r="EO189"/>
  <c r="AH189"/>
  <c r="AG189" s="1"/>
  <c r="EN189"/>
  <c r="AI189"/>
  <c r="BO189"/>
  <c r="P189" s="1"/>
  <c r="X189"/>
  <c r="AM190"/>
  <c r="AL190"/>
  <c r="AN190" s="1"/>
  <c r="EO190"/>
  <c r="AH190" s="1"/>
  <c r="EN190"/>
  <c r="AI190" s="1"/>
  <c r="BO190"/>
  <c r="P190"/>
  <c r="R190" s="1"/>
  <c r="X190"/>
  <c r="AM191"/>
  <c r="AL191"/>
  <c r="AN191"/>
  <c r="EO191"/>
  <c r="AH191"/>
  <c r="AG191" s="1"/>
  <c r="EN191"/>
  <c r="AI191"/>
  <c r="BO191"/>
  <c r="P191" s="1"/>
  <c r="X191"/>
  <c r="AM177"/>
  <c r="AL177"/>
  <c r="AN177"/>
  <c r="EO177"/>
  <c r="AH177"/>
  <c r="AG177" s="1"/>
  <c r="EN177"/>
  <c r="AI177"/>
  <c r="BO177"/>
  <c r="P177" s="1"/>
  <c r="AM178"/>
  <c r="AL178"/>
  <c r="AN178" s="1"/>
  <c r="EO178"/>
  <c r="AH178" s="1"/>
  <c r="EN178"/>
  <c r="AI178" s="1"/>
  <c r="BO178"/>
  <c r="P178"/>
  <c r="R178" s="1"/>
  <c r="X178"/>
  <c r="AM182"/>
  <c r="AL182"/>
  <c r="AN182" s="1"/>
  <c r="EO182"/>
  <c r="AH182" s="1"/>
  <c r="AG182" s="1"/>
  <c r="EN182"/>
  <c r="AI182" s="1"/>
  <c r="BO182"/>
  <c r="P182"/>
  <c r="R182" s="1"/>
  <c r="Z182" s="1"/>
  <c r="X182"/>
  <c r="AM181"/>
  <c r="AL181"/>
  <c r="AN181"/>
  <c r="EO181"/>
  <c r="AH181"/>
  <c r="AG181" s="1"/>
  <c r="EN181"/>
  <c r="AI181"/>
  <c r="BO181"/>
  <c r="P181" s="1"/>
  <c r="X181"/>
  <c r="AM180"/>
  <c r="AL180"/>
  <c r="AN180" s="1"/>
  <c r="EO180"/>
  <c r="AH180" s="1"/>
  <c r="AG180" s="1"/>
  <c r="EN180"/>
  <c r="AI180" s="1"/>
  <c r="BO180"/>
  <c r="P180"/>
  <c r="R180" s="1"/>
  <c r="Z180" s="1"/>
  <c r="X180"/>
  <c r="AM179"/>
  <c r="AL179"/>
  <c r="AN179"/>
  <c r="EO179"/>
  <c r="AH179"/>
  <c r="AG179" s="1"/>
  <c r="EN179"/>
  <c r="AI179"/>
  <c r="BO179"/>
  <c r="P179" s="1"/>
  <c r="X179"/>
  <c r="EN194"/>
  <c r="AI194"/>
  <c r="EO194"/>
  <c r="AH194"/>
  <c r="AG194" s="1"/>
  <c r="BO194"/>
  <c r="P194" s="1"/>
  <c r="X194"/>
  <c r="AM194"/>
  <c r="AL194"/>
  <c r="AN194"/>
  <c r="EN195"/>
  <c r="AI195" s="1"/>
  <c r="EO195"/>
  <c r="AH195" s="1"/>
  <c r="AG195" s="1"/>
  <c r="BO195"/>
  <c r="P195"/>
  <c r="R195" s="1"/>
  <c r="X195"/>
  <c r="AM195"/>
  <c r="AL195"/>
  <c r="AN195" s="1"/>
  <c r="AM193"/>
  <c r="AL193"/>
  <c r="AN193" s="1"/>
  <c r="EO193"/>
  <c r="AH193" s="1"/>
  <c r="AG193" s="1"/>
  <c r="EN193"/>
  <c r="AI193" s="1"/>
  <c r="BO193"/>
  <c r="P193"/>
  <c r="R193" s="1"/>
  <c r="Z193" s="1"/>
  <c r="X193"/>
  <c r="AM192"/>
  <c r="AL192"/>
  <c r="AN192"/>
  <c r="EO192"/>
  <c r="AH192"/>
  <c r="AG192" s="1"/>
  <c r="EN192"/>
  <c r="AI192"/>
  <c r="BO192"/>
  <c r="P192" s="1"/>
  <c r="AM196"/>
  <c r="AL196"/>
  <c r="AN196"/>
  <c r="EO196"/>
  <c r="AH196"/>
  <c r="AG196" s="1"/>
  <c r="EN196"/>
  <c r="AI196"/>
  <c r="BO196"/>
  <c r="P196" s="1"/>
  <c r="X196"/>
  <c r="AM197"/>
  <c r="AL197"/>
  <c r="AN197" s="1"/>
  <c r="EO197"/>
  <c r="AH197" s="1"/>
  <c r="AG197" s="1"/>
  <c r="EN197"/>
  <c r="AI197" s="1"/>
  <c r="BO197"/>
  <c r="P197"/>
  <c r="R197" s="1"/>
  <c r="AM198"/>
  <c r="AL198"/>
  <c r="AN198"/>
  <c r="EO198"/>
  <c r="AH198"/>
  <c r="AG198" s="1"/>
  <c r="EN198"/>
  <c r="AI198"/>
  <c r="BO198"/>
  <c r="P198" s="1"/>
  <c r="X198"/>
  <c r="AM199"/>
  <c r="AL199"/>
  <c r="AN199" s="1"/>
  <c r="EO199"/>
  <c r="AH199" s="1"/>
  <c r="EN199"/>
  <c r="AI199" s="1"/>
  <c r="BO199"/>
  <c r="P199"/>
  <c r="R199" s="1"/>
  <c r="X199"/>
  <c r="AM200"/>
  <c r="AL200"/>
  <c r="AN200"/>
  <c r="EO200"/>
  <c r="AH200"/>
  <c r="AG200" s="1"/>
  <c r="EN200"/>
  <c r="AI200"/>
  <c r="BO200"/>
  <c r="P200" s="1"/>
  <c r="X200"/>
  <c r="AM201"/>
  <c r="AL201"/>
  <c r="AN201" s="1"/>
  <c r="EO201"/>
  <c r="AH201" s="1"/>
  <c r="EN201"/>
  <c r="AI201" s="1"/>
  <c r="BO201"/>
  <c r="P201"/>
  <c r="R201" s="1"/>
  <c r="AM207"/>
  <c r="AL207"/>
  <c r="AN207" s="1"/>
  <c r="EO207"/>
  <c r="AH207" s="1"/>
  <c r="EN207"/>
  <c r="AI207" s="1"/>
  <c r="BO207"/>
  <c r="P207"/>
  <c r="R207" s="1"/>
  <c r="X207"/>
  <c r="AM208"/>
  <c r="AL208"/>
  <c r="AN208"/>
  <c r="EO208"/>
  <c r="AH208"/>
  <c r="AG208" s="1"/>
  <c r="EN208"/>
  <c r="AI208"/>
  <c r="BO208"/>
  <c r="P208" s="1"/>
  <c r="X208"/>
  <c r="AM209"/>
  <c r="AL209"/>
  <c r="AN209" s="1"/>
  <c r="EO209"/>
  <c r="AH209" s="1"/>
  <c r="EN209"/>
  <c r="AI209" s="1"/>
  <c r="BO209"/>
  <c r="P209"/>
  <c r="R209" s="1"/>
  <c r="X209"/>
  <c r="AM210"/>
  <c r="AL210"/>
  <c r="AN210"/>
  <c r="EO210"/>
  <c r="AH210"/>
  <c r="AG210" s="1"/>
  <c r="EN210"/>
  <c r="AI210"/>
  <c r="BO210"/>
  <c r="P210" s="1"/>
  <c r="X210"/>
  <c r="AM211"/>
  <c r="AL211"/>
  <c r="AN211" s="1"/>
  <c r="EO211"/>
  <c r="AH211" s="1"/>
  <c r="EN211"/>
  <c r="AI211" s="1"/>
  <c r="BO211"/>
  <c r="P211"/>
  <c r="R211" s="1"/>
  <c r="X211"/>
  <c r="AM212"/>
  <c r="AL212"/>
  <c r="AN212" s="1"/>
  <c r="EO212"/>
  <c r="AH212" s="1"/>
  <c r="AG212" s="1"/>
  <c r="EN212"/>
  <c r="AI212" s="1"/>
  <c r="BO212"/>
  <c r="P212"/>
  <c r="R212" s="1"/>
  <c r="Z212" s="1"/>
  <c r="X212"/>
  <c r="AM202"/>
  <c r="AL202"/>
  <c r="AN202" s="1"/>
  <c r="EO202"/>
  <c r="AH202" s="1"/>
  <c r="EN202"/>
  <c r="AI202" s="1"/>
  <c r="BO202"/>
  <c r="P202"/>
  <c r="R202" s="1"/>
  <c r="X202"/>
  <c r="AM203"/>
  <c r="AL203"/>
  <c r="AN203"/>
  <c r="EO203"/>
  <c r="AH203"/>
  <c r="AG203" s="1"/>
  <c r="EN203"/>
  <c r="AI203"/>
  <c r="BO203"/>
  <c r="P203" s="1"/>
  <c r="X203"/>
  <c r="AM204"/>
  <c r="AL204"/>
  <c r="AN204" s="1"/>
  <c r="EO204"/>
  <c r="AH204" s="1"/>
  <c r="EN204"/>
  <c r="AI204" s="1"/>
  <c r="AM205"/>
  <c r="AL205"/>
  <c r="AN205"/>
  <c r="EO205"/>
  <c r="AH205"/>
  <c r="AG205" s="1"/>
  <c r="EN205"/>
  <c r="AI205"/>
  <c r="BO205"/>
  <c r="P205" s="1"/>
  <c r="X205"/>
  <c r="AM206"/>
  <c r="AL206"/>
  <c r="AN206" s="1"/>
  <c r="EO206"/>
  <c r="AH206" s="1"/>
  <c r="AG206" s="1"/>
  <c r="EN206"/>
  <c r="AI206" s="1"/>
  <c r="BO206"/>
  <c r="P206"/>
  <c r="R206" s="1"/>
  <c r="Z206" s="1"/>
  <c r="X206"/>
  <c r="AM213"/>
  <c r="AL213"/>
  <c r="AN213" s="1"/>
  <c r="EO213"/>
  <c r="AH213" s="1"/>
  <c r="EN213"/>
  <c r="AI213" s="1"/>
  <c r="BO213"/>
  <c r="P213"/>
  <c r="R213" s="1"/>
  <c r="X213"/>
  <c r="AM214"/>
  <c r="AL214"/>
  <c r="AN214"/>
  <c r="EO214"/>
  <c r="AH214"/>
  <c r="AG214" s="1"/>
  <c r="EN214"/>
  <c r="AI214"/>
  <c r="BO214"/>
  <c r="P214" s="1"/>
  <c r="X214"/>
  <c r="AM215"/>
  <c r="AL215"/>
  <c r="AN215" s="1"/>
  <c r="EO215"/>
  <c r="AH215" s="1"/>
  <c r="EN215"/>
  <c r="AI215" s="1"/>
  <c r="BO215"/>
  <c r="P215"/>
  <c r="R215" s="1"/>
  <c r="X215"/>
  <c r="AM216"/>
  <c r="AL216"/>
  <c r="AN216"/>
  <c r="EO216"/>
  <c r="AH216"/>
  <c r="AG216" s="1"/>
  <c r="EN216"/>
  <c r="AI216"/>
  <c r="BO216"/>
  <c r="P216" s="1"/>
  <c r="X216"/>
  <c r="AM217"/>
  <c r="AL217"/>
  <c r="AN217" s="1"/>
  <c r="EO217"/>
  <c r="AH217" s="1"/>
  <c r="EN217"/>
  <c r="AI217" s="1"/>
  <c r="BO217"/>
  <c r="P217"/>
  <c r="R217" s="1"/>
  <c r="X217"/>
  <c r="AM218"/>
  <c r="AL218"/>
  <c r="AN218"/>
  <c r="EO218"/>
  <c r="AH218"/>
  <c r="AG218" s="1"/>
  <c r="EN218"/>
  <c r="AI218"/>
  <c r="BO218"/>
  <c r="P218" s="1"/>
  <c r="X218"/>
  <c r="AM219"/>
  <c r="AL219"/>
  <c r="AN219"/>
  <c r="EO219"/>
  <c r="AH219"/>
  <c r="AG219" s="1"/>
  <c r="EN219"/>
  <c r="AI219"/>
  <c r="BO219"/>
  <c r="P219" s="1"/>
  <c r="X219"/>
  <c r="AM220"/>
  <c r="AL220"/>
  <c r="AN220" s="1"/>
  <c r="EO220"/>
  <c r="AH220" s="1"/>
  <c r="AG220" s="1"/>
  <c r="EN220"/>
  <c r="AI220" s="1"/>
  <c r="BO220"/>
  <c r="P220"/>
  <c r="R220" s="1"/>
  <c r="Z220" s="1"/>
  <c r="X220"/>
  <c r="AM221"/>
  <c r="AL221"/>
  <c r="AN221"/>
  <c r="EO221"/>
  <c r="AH221"/>
  <c r="AG221" s="1"/>
  <c r="EN221"/>
  <c r="AI221"/>
  <c r="X221"/>
  <c r="Z221" s="1"/>
  <c r="Q221"/>
  <c r="W221" s="1"/>
  <c r="AM222"/>
  <c r="AL222"/>
  <c r="AN222"/>
  <c r="EO222"/>
  <c r="AH222"/>
  <c r="AG222" s="1"/>
  <c r="EN222"/>
  <c r="AI222"/>
  <c r="BO222"/>
  <c r="P222" s="1"/>
  <c r="X222"/>
  <c r="AM223"/>
  <c r="AL223"/>
  <c r="AN223" s="1"/>
  <c r="EO223"/>
  <c r="AH223" s="1"/>
  <c r="AG223" s="1"/>
  <c r="EN223"/>
  <c r="AI223" s="1"/>
  <c r="BO223"/>
  <c r="P223"/>
  <c r="R223" s="1"/>
  <c r="AM224"/>
  <c r="AL224"/>
  <c r="AN224" s="1"/>
  <c r="EO224"/>
  <c r="AH224" s="1"/>
  <c r="EN224"/>
  <c r="AI224" s="1"/>
  <c r="AG224"/>
  <c r="BO224"/>
  <c r="P224"/>
  <c r="X224"/>
  <c r="EO229"/>
  <c r="EN229"/>
  <c r="AM228"/>
  <c r="AL228"/>
  <c r="AN228" s="1"/>
  <c r="EO228"/>
  <c r="AH228" s="1"/>
  <c r="EN228"/>
  <c r="AI228" s="1"/>
  <c r="AG228"/>
  <c r="AM227"/>
  <c r="AL227"/>
  <c r="AN227"/>
  <c r="EO227"/>
  <c r="AH227"/>
  <c r="EN227"/>
  <c r="AI227"/>
  <c r="BO227"/>
  <c r="P227" s="1"/>
  <c r="R227" s="1"/>
  <c r="X227"/>
  <c r="Q227"/>
  <c r="W227" s="1"/>
  <c r="AM226"/>
  <c r="AL226"/>
  <c r="AN226" s="1"/>
  <c r="EO226"/>
  <c r="AH226" s="1"/>
  <c r="EN226"/>
  <c r="AI226" s="1"/>
  <c r="AG226"/>
  <c r="BO226"/>
  <c r="P226"/>
  <c r="X226"/>
  <c r="AM225"/>
  <c r="AL225"/>
  <c r="AN225"/>
  <c r="EO225"/>
  <c r="AH225"/>
  <c r="EN225"/>
  <c r="AI225"/>
  <c r="BO225"/>
  <c r="P225" s="1"/>
  <c r="R225"/>
  <c r="X225"/>
  <c r="Z225"/>
  <c r="Q225"/>
  <c r="W225" s="1"/>
  <c r="Y225"/>
  <c r="BL229"/>
  <c r="AM232"/>
  <c r="AL232"/>
  <c r="AN232"/>
  <c r="EO232"/>
  <c r="AH232"/>
  <c r="EN232"/>
  <c r="AI232"/>
  <c r="BO232"/>
  <c r="P232" s="1"/>
  <c r="R232" s="1"/>
  <c r="AM233"/>
  <c r="AL233"/>
  <c r="AN233" s="1"/>
  <c r="EO233"/>
  <c r="AH233" s="1"/>
  <c r="EN233"/>
  <c r="AI233" s="1"/>
  <c r="AG233" s="1"/>
  <c r="BO233"/>
  <c r="P233"/>
  <c r="AM234"/>
  <c r="AL234"/>
  <c r="AN234" s="1"/>
  <c r="EO234"/>
  <c r="AH234" s="1"/>
  <c r="EN234"/>
  <c r="AI234" s="1"/>
  <c r="AG234"/>
  <c r="BO234"/>
  <c r="P234"/>
  <c r="X234"/>
  <c r="AM235"/>
  <c r="AL235"/>
  <c r="AN235"/>
  <c r="EO235"/>
  <c r="AH235"/>
  <c r="EN235"/>
  <c r="AI235"/>
  <c r="BO235"/>
  <c r="P235" s="1"/>
  <c r="R235"/>
  <c r="X235"/>
  <c r="Z235"/>
  <c r="Q235"/>
  <c r="W235" s="1"/>
  <c r="Y235"/>
  <c r="AM236"/>
  <c r="AL236"/>
  <c r="AN236" s="1"/>
  <c r="EO236"/>
  <c r="AH236" s="1"/>
  <c r="EN236"/>
  <c r="AI236" s="1"/>
  <c r="AG236" s="1"/>
  <c r="BO236"/>
  <c r="P236"/>
  <c r="AM237"/>
  <c r="AL237"/>
  <c r="AN237"/>
  <c r="EO237"/>
  <c r="AH237"/>
  <c r="EN237"/>
  <c r="AI237"/>
  <c r="BO237"/>
  <c r="P237" s="1"/>
  <c r="R237" s="1"/>
  <c r="Z237" s="1"/>
  <c r="X237"/>
  <c r="Q237"/>
  <c r="W237" s="1"/>
  <c r="AM238"/>
  <c r="AL238"/>
  <c r="AN238" s="1"/>
  <c r="EO238"/>
  <c r="AH238" s="1"/>
  <c r="EN238"/>
  <c r="AI238" s="1"/>
  <c r="AG238"/>
  <c r="BO238"/>
  <c r="P238"/>
  <c r="X238"/>
  <c r="AM239"/>
  <c r="AL239"/>
  <c r="AN239"/>
  <c r="EO239"/>
  <c r="AH239"/>
  <c r="EN239"/>
  <c r="AI239"/>
  <c r="BO239"/>
  <c r="P239" s="1"/>
  <c r="R239"/>
  <c r="X239"/>
  <c r="Z239" s="1"/>
  <c r="AF239" s="1"/>
  <c r="Q239"/>
  <c r="W239" s="1"/>
  <c r="AM240"/>
  <c r="AL240"/>
  <c r="AN240"/>
  <c r="EO240"/>
  <c r="AH240"/>
  <c r="EN240"/>
  <c r="AI240"/>
  <c r="BO240"/>
  <c r="P240" s="1"/>
  <c r="R240" s="1"/>
  <c r="X240"/>
  <c r="Q240"/>
  <c r="W240" s="1"/>
  <c r="AM241"/>
  <c r="AL241"/>
  <c r="AN241" s="1"/>
  <c r="EO241"/>
  <c r="AH241" s="1"/>
  <c r="EN241"/>
  <c r="AI241" s="1"/>
  <c r="AG241"/>
  <c r="BO241"/>
  <c r="P241"/>
  <c r="AM242"/>
  <c r="AL242"/>
  <c r="AN242"/>
  <c r="EO242"/>
  <c r="AH242"/>
  <c r="EN242"/>
  <c r="AI242"/>
  <c r="BO242"/>
  <c r="P242" s="1"/>
  <c r="R242"/>
  <c r="X242"/>
  <c r="Z242" s="1"/>
  <c r="AF242" s="1"/>
  <c r="Q242"/>
  <c r="W242" s="1"/>
  <c r="AM243"/>
  <c r="AL243"/>
  <c r="AN243" s="1"/>
  <c r="EO243"/>
  <c r="AH243" s="1"/>
  <c r="EN243"/>
  <c r="AI243" s="1"/>
  <c r="AG243" s="1"/>
  <c r="BO243"/>
  <c r="P243"/>
  <c r="X243"/>
  <c r="AM244"/>
  <c r="AL244"/>
  <c r="AN244"/>
  <c r="EO244"/>
  <c r="AH244"/>
  <c r="EN244"/>
  <c r="AI244"/>
  <c r="BO244"/>
  <c r="P244" s="1"/>
  <c r="R244" s="1"/>
  <c r="Z244" s="1"/>
  <c r="X244"/>
  <c r="Q244"/>
  <c r="W244" s="1"/>
  <c r="AM245"/>
  <c r="AL245"/>
  <c r="AN245" s="1"/>
  <c r="EO245"/>
  <c r="AH245" s="1"/>
  <c r="EN245"/>
  <c r="AI245" s="1"/>
  <c r="AG245"/>
  <c r="BO245"/>
  <c r="P245"/>
  <c r="R245" s="1"/>
  <c r="X245"/>
  <c r="Z245" s="1"/>
  <c r="AF245" s="1"/>
  <c r="Q245"/>
  <c r="W245" s="1"/>
  <c r="Y245" s="1"/>
  <c r="AM246"/>
  <c r="AL246"/>
  <c r="AN246" s="1"/>
  <c r="EO246"/>
  <c r="AH246" s="1"/>
  <c r="EN246"/>
  <c r="AI246" s="1"/>
  <c r="BO246"/>
  <c r="P246"/>
  <c r="R246" s="1"/>
  <c r="Z246" s="1"/>
  <c r="X246"/>
  <c r="AM247"/>
  <c r="AL247"/>
  <c r="AN247"/>
  <c r="EO247"/>
  <c r="AH247"/>
  <c r="AG247" s="1"/>
  <c r="EN247"/>
  <c r="AI247"/>
  <c r="BO247"/>
  <c r="P247" s="1"/>
  <c r="AM248"/>
  <c r="AL248"/>
  <c r="AN248" s="1"/>
  <c r="EO248"/>
  <c r="AH248" s="1"/>
  <c r="AG248" s="1"/>
  <c r="EN248"/>
  <c r="AI248" s="1"/>
  <c r="BO248"/>
  <c r="P248"/>
  <c r="R248" s="1"/>
  <c r="AM249"/>
  <c r="AL249"/>
  <c r="AN249"/>
  <c r="EO249"/>
  <c r="AH249"/>
  <c r="AG249" s="1"/>
  <c r="EN249"/>
  <c r="AI249"/>
  <c r="BO249"/>
  <c r="P249" s="1"/>
  <c r="X249"/>
  <c r="AM250"/>
  <c r="AL250"/>
  <c r="AN250" s="1"/>
  <c r="EO250"/>
  <c r="AH250" s="1"/>
  <c r="EN250"/>
  <c r="AI250" s="1"/>
  <c r="BO250"/>
  <c r="P250"/>
  <c r="R250" s="1"/>
  <c r="Z250" s="1"/>
  <c r="X250"/>
  <c r="AM251"/>
  <c r="AL251"/>
  <c r="AN251"/>
  <c r="EO251"/>
  <c r="AH251"/>
  <c r="AG251" s="1"/>
  <c r="EN251"/>
  <c r="AI251"/>
  <c r="BO251"/>
  <c r="P251" s="1"/>
  <c r="AM252"/>
  <c r="AL252"/>
  <c r="AN252"/>
  <c r="EO252"/>
  <c r="AH252"/>
  <c r="AG252" s="1"/>
  <c r="EN252"/>
  <c r="AI252"/>
  <c r="BO252"/>
  <c r="P252" s="1"/>
  <c r="AM253"/>
  <c r="AL253"/>
  <c r="AN253"/>
  <c r="EO253"/>
  <c r="AH253"/>
  <c r="AG253" s="1"/>
  <c r="EN253"/>
  <c r="AI253"/>
  <c r="BO253"/>
  <c r="P253" s="1"/>
  <c r="AM254"/>
  <c r="AL254"/>
  <c r="AN254" s="1"/>
  <c r="EO254"/>
  <c r="AH254" s="1"/>
  <c r="AG254" s="1"/>
  <c r="EN254"/>
  <c r="AI254" s="1"/>
  <c r="BO254"/>
  <c r="P254"/>
  <c r="R254" s="1"/>
  <c r="AM255"/>
  <c r="AL255"/>
  <c r="AN255"/>
  <c r="EO255"/>
  <c r="AH255"/>
  <c r="AG255" s="1"/>
  <c r="EN255"/>
  <c r="AI255"/>
  <c r="BO255"/>
  <c r="P255" s="1"/>
  <c r="X255"/>
  <c r="AM256"/>
  <c r="AL256"/>
  <c r="AN256" s="1"/>
  <c r="EO256"/>
  <c r="AH256" s="1"/>
  <c r="EN256"/>
  <c r="AI256" s="1"/>
  <c r="BO256"/>
  <c r="P256"/>
  <c r="R256" s="1"/>
  <c r="AM257"/>
  <c r="AL257"/>
  <c r="AN257"/>
  <c r="EO257"/>
  <c r="AH257"/>
  <c r="AG257" s="1"/>
  <c r="EN257"/>
  <c r="AI257"/>
  <c r="BO257"/>
  <c r="P257" s="1"/>
  <c r="X257"/>
  <c r="AM258"/>
  <c r="AL258"/>
  <c r="AN258" s="1"/>
  <c r="EO258"/>
  <c r="AH258" s="1"/>
  <c r="AG258" s="1"/>
  <c r="EN258"/>
  <c r="AI258" s="1"/>
  <c r="BO258"/>
  <c r="P258"/>
  <c r="R258" s="1"/>
  <c r="AM259"/>
  <c r="AL259"/>
  <c r="AN259" s="1"/>
  <c r="EO259"/>
  <c r="AH259" s="1"/>
  <c r="AG259" s="1"/>
  <c r="EN259"/>
  <c r="AI259" s="1"/>
  <c r="BO259"/>
  <c r="P259"/>
  <c r="R259" s="1"/>
  <c r="X259"/>
  <c r="AM260"/>
  <c r="AL260"/>
  <c r="AN260"/>
  <c r="EO260"/>
  <c r="AH260"/>
  <c r="AG260" s="1"/>
  <c r="EN260"/>
  <c r="AI260"/>
  <c r="BO260"/>
  <c r="P260" s="1"/>
  <c r="X260"/>
  <c r="AM261"/>
  <c r="AL261"/>
  <c r="AN261" s="1"/>
  <c r="EO261"/>
  <c r="AH261" s="1"/>
  <c r="AG261" s="1"/>
  <c r="EN261"/>
  <c r="AI261" s="1"/>
  <c r="BO261"/>
  <c r="P261"/>
  <c r="R261" s="1"/>
  <c r="AM262"/>
  <c r="AL262"/>
  <c r="AN262"/>
  <c r="EO262"/>
  <c r="AH262"/>
  <c r="AG262" s="1"/>
  <c r="EN262"/>
  <c r="AI262"/>
  <c r="BO262"/>
  <c r="P262" s="1"/>
  <c r="X262"/>
  <c r="AM263"/>
  <c r="AL263"/>
  <c r="AN263" s="1"/>
  <c r="EO263"/>
  <c r="AH263" s="1"/>
  <c r="EN263"/>
  <c r="AI263" s="1"/>
  <c r="BO263"/>
  <c r="P263"/>
  <c r="R263" s="1"/>
  <c r="Z263" s="1"/>
  <c r="X263"/>
  <c r="AM264"/>
  <c r="AL264"/>
  <c r="AN264"/>
  <c r="EO264"/>
  <c r="AH264"/>
  <c r="AG264" s="1"/>
  <c r="EN264"/>
  <c r="AI264"/>
  <c r="BO264"/>
  <c r="P264" s="1"/>
  <c r="AM265"/>
  <c r="AL265"/>
  <c r="AN265" s="1"/>
  <c r="EO265"/>
  <c r="AH265" s="1"/>
  <c r="AG265" s="1"/>
  <c r="EN265"/>
  <c r="AI265" s="1"/>
  <c r="BO265"/>
  <c r="P265"/>
  <c r="R265" s="1"/>
  <c r="X265"/>
  <c r="AM266"/>
  <c r="AL266"/>
  <c r="AN266"/>
  <c r="EO266"/>
  <c r="AH266"/>
  <c r="AG266" s="1"/>
  <c r="EN266"/>
  <c r="AI266"/>
  <c r="BO266"/>
  <c r="P266" s="1"/>
  <c r="X266"/>
  <c r="AM268"/>
  <c r="AL268"/>
  <c r="AN268" s="1"/>
  <c r="EO268"/>
  <c r="AH268" s="1"/>
  <c r="AG268" s="1"/>
  <c r="EN268"/>
  <c r="AI268" s="1"/>
  <c r="BO268"/>
  <c r="P268"/>
  <c r="R268" s="1"/>
  <c r="AM269"/>
  <c r="AL269"/>
  <c r="AN269"/>
  <c r="EO269"/>
  <c r="AH269"/>
  <c r="AG269" s="1"/>
  <c r="EN269"/>
  <c r="AI269"/>
  <c r="BO269"/>
  <c r="P269" s="1"/>
  <c r="AM270"/>
  <c r="AL270"/>
  <c r="AN270" s="1"/>
  <c r="EO270"/>
  <c r="AH270" s="1"/>
  <c r="AG270" s="1"/>
  <c r="EN270"/>
  <c r="AI270" s="1"/>
  <c r="BO270"/>
  <c r="P270"/>
  <c r="R270" s="1"/>
  <c r="AM267"/>
  <c r="AL267"/>
  <c r="AN267"/>
  <c r="EO267"/>
  <c r="AH267"/>
  <c r="AG267" s="1"/>
  <c r="EN267"/>
  <c r="AI267"/>
  <c r="BO267"/>
  <c r="P267" s="1"/>
  <c r="X267"/>
  <c r="AM271"/>
  <c r="AL271"/>
  <c r="AN271" s="1"/>
  <c r="EO271"/>
  <c r="AH271" s="1"/>
  <c r="AG271" s="1"/>
  <c r="EN271"/>
  <c r="AI271" s="1"/>
  <c r="BO271"/>
  <c r="P271"/>
  <c r="R271" s="1"/>
  <c r="AM272"/>
  <c r="AL272"/>
  <c r="AN272" s="1"/>
  <c r="EO272"/>
  <c r="AH272" s="1"/>
  <c r="EN272"/>
  <c r="AI272" s="1"/>
  <c r="BO272"/>
  <c r="P272"/>
  <c r="R272" s="1"/>
  <c r="Z272" s="1"/>
  <c r="X272"/>
  <c r="AM273"/>
  <c r="AL273"/>
  <c r="AN273"/>
  <c r="EO273"/>
  <c r="AH273"/>
  <c r="AG273" s="1"/>
  <c r="EN273"/>
  <c r="AI273"/>
  <c r="AM274"/>
  <c r="AL274"/>
  <c r="AN274" s="1"/>
  <c r="EO274"/>
  <c r="AH274" s="1"/>
  <c r="EN274"/>
  <c r="AI274" s="1"/>
  <c r="AM275"/>
  <c r="AL275"/>
  <c r="AN275"/>
  <c r="EO275"/>
  <c r="AH275"/>
  <c r="AG275" s="1"/>
  <c r="EN275"/>
  <c r="AI275"/>
  <c r="BO275"/>
  <c r="P275" s="1"/>
  <c r="X275"/>
  <c r="AM276"/>
  <c r="AL276"/>
  <c r="AN276" s="1"/>
  <c r="EO276"/>
  <c r="AH276" s="1"/>
  <c r="AG276" s="1"/>
  <c r="EN276"/>
  <c r="AI276" s="1"/>
  <c r="BO276"/>
  <c r="P276"/>
  <c r="R276" s="1"/>
  <c r="X276"/>
  <c r="AM277"/>
  <c r="AL277"/>
  <c r="AN277"/>
  <c r="EO277"/>
  <c r="AH277"/>
  <c r="AG277" s="1"/>
  <c r="EN277"/>
  <c r="AI277"/>
  <c r="BO277"/>
  <c r="P277" s="1"/>
  <c r="X277"/>
  <c r="AM278"/>
  <c r="AL278"/>
  <c r="AN278" s="1"/>
  <c r="EO278"/>
  <c r="AH278" s="1"/>
  <c r="AG278" s="1"/>
  <c r="EN278"/>
  <c r="AI278" s="1"/>
  <c r="BO278"/>
  <c r="P278"/>
  <c r="R278" s="1"/>
  <c r="X278"/>
  <c r="AM279"/>
  <c r="AL279"/>
  <c r="AN279"/>
  <c r="EO279"/>
  <c r="AH279"/>
  <c r="AG279" s="1"/>
  <c r="EN279"/>
  <c r="AI279"/>
  <c r="BO279"/>
  <c r="P279" s="1"/>
  <c r="X279"/>
  <c r="AM280"/>
  <c r="AL280"/>
  <c r="AN280" s="1"/>
  <c r="EO280"/>
  <c r="AH280" s="1"/>
  <c r="EN280"/>
  <c r="AI280" s="1"/>
  <c r="BO280"/>
  <c r="P280"/>
  <c r="R280" s="1"/>
  <c r="X280"/>
  <c r="AM281"/>
  <c r="AL281"/>
  <c r="AN281"/>
  <c r="EO281"/>
  <c r="AH281"/>
  <c r="AG281" s="1"/>
  <c r="EN281"/>
  <c r="AI281"/>
  <c r="BO281"/>
  <c r="P281" s="1"/>
  <c r="X281"/>
  <c r="AM282"/>
  <c r="AL282"/>
  <c r="AN282" s="1"/>
  <c r="EO282"/>
  <c r="AH282" s="1"/>
  <c r="EN282"/>
  <c r="AI282" s="1"/>
  <c r="BO282"/>
  <c r="P282"/>
  <c r="R282" s="1"/>
  <c r="X282"/>
  <c r="AM283"/>
  <c r="AL283"/>
  <c r="AN283"/>
  <c r="EO283"/>
  <c r="AH283"/>
  <c r="AG283" s="1"/>
  <c r="EN283"/>
  <c r="AI283"/>
  <c r="BO283"/>
  <c r="P283" s="1"/>
  <c r="AM284"/>
  <c r="AL284"/>
  <c r="AN284" s="1"/>
  <c r="EO284"/>
  <c r="AH284" s="1"/>
  <c r="AG284" s="1"/>
  <c r="EN284"/>
  <c r="AI284" s="1"/>
  <c r="BO284"/>
  <c r="P284"/>
  <c r="R284" s="1"/>
  <c r="AM285"/>
  <c r="AL285"/>
  <c r="AN285" s="1"/>
  <c r="EO285"/>
  <c r="AH285" s="1"/>
  <c r="AG285" s="1"/>
  <c r="EN285"/>
  <c r="AI285" s="1"/>
  <c r="BO285"/>
  <c r="P285"/>
  <c r="R285" s="1"/>
  <c r="Z285" s="1"/>
  <c r="X285"/>
  <c r="AM286"/>
  <c r="AL286"/>
  <c r="AN286"/>
  <c r="EO286"/>
  <c r="AH286"/>
  <c r="AG286" s="1"/>
  <c r="EN286"/>
  <c r="AI286"/>
  <c r="BO286"/>
  <c r="P286" s="1"/>
  <c r="AM287"/>
  <c r="AL287"/>
  <c r="AN287" s="1"/>
  <c r="EO287"/>
  <c r="AH287" s="1"/>
  <c r="EN287"/>
  <c r="AI287" s="1"/>
  <c r="BO287"/>
  <c r="P287"/>
  <c r="R287" s="1"/>
  <c r="AM288"/>
  <c r="AL288"/>
  <c r="AN288"/>
  <c r="EO288"/>
  <c r="AH288"/>
  <c r="AG288" s="1"/>
  <c r="EN288"/>
  <c r="AI288"/>
  <c r="BO288"/>
  <c r="P288" s="1"/>
  <c r="X288"/>
  <c r="AM289"/>
  <c r="AL289"/>
  <c r="AN289" s="1"/>
  <c r="EO289"/>
  <c r="AH289" s="1"/>
  <c r="AG289" s="1"/>
  <c r="EN289"/>
  <c r="AI289" s="1"/>
  <c r="BO289"/>
  <c r="P289"/>
  <c r="R289" s="1"/>
  <c r="AM290"/>
  <c r="AL290"/>
  <c r="AN290"/>
  <c r="EO290"/>
  <c r="AH290"/>
  <c r="AG290" s="1"/>
  <c r="EN290"/>
  <c r="AI290"/>
  <c r="BO290"/>
  <c r="P290" s="1"/>
  <c r="X290"/>
  <c r="AM291"/>
  <c r="AL291"/>
  <c r="AN291" s="1"/>
  <c r="EO291"/>
  <c r="AH291" s="1"/>
  <c r="EN291"/>
  <c r="AI291" s="1"/>
  <c r="BO291"/>
  <c r="P291"/>
  <c r="R291" s="1"/>
  <c r="AM292"/>
  <c r="AL292"/>
  <c r="AN292"/>
  <c r="EO292"/>
  <c r="AH292"/>
  <c r="AG292" s="1"/>
  <c r="EN292"/>
  <c r="AI292"/>
  <c r="BO292"/>
  <c r="P292" s="1"/>
  <c r="X292"/>
  <c r="AM293"/>
  <c r="AL293"/>
  <c r="AN293" s="1"/>
  <c r="EO293"/>
  <c r="AH293" s="1"/>
  <c r="AG293" s="1"/>
  <c r="EN293"/>
  <c r="AI293" s="1"/>
  <c r="BO293"/>
  <c r="P293"/>
  <c r="R293" s="1"/>
  <c r="Z293" s="1"/>
  <c r="X293"/>
  <c r="AM294"/>
  <c r="AL294"/>
  <c r="AN294"/>
  <c r="EO294"/>
  <c r="AH294"/>
  <c r="AG294" s="1"/>
  <c r="EN294"/>
  <c r="AI294"/>
  <c r="BO294"/>
  <c r="P294" s="1"/>
  <c r="AM295"/>
  <c r="AL295"/>
  <c r="AN295" s="1"/>
  <c r="EO295"/>
  <c r="AH295" s="1"/>
  <c r="EN295"/>
  <c r="AI295" s="1"/>
  <c r="BO295"/>
  <c r="P295"/>
  <c r="R295" s="1"/>
  <c r="AM296"/>
  <c r="AL296"/>
  <c r="AN296"/>
  <c r="EO296"/>
  <c r="AH296"/>
  <c r="AG296" s="1"/>
  <c r="EN296"/>
  <c r="AI296"/>
  <c r="BO296"/>
  <c r="P296" s="1"/>
  <c r="AM316"/>
  <c r="AL316"/>
  <c r="AN316"/>
  <c r="EO316"/>
  <c r="AH316"/>
  <c r="AG316" s="1"/>
  <c r="EN316"/>
  <c r="AI316"/>
  <c r="BO316"/>
  <c r="P316" s="1"/>
  <c r="X316"/>
  <c r="AM317"/>
  <c r="AL317"/>
  <c r="AN317" s="1"/>
  <c r="EO317"/>
  <c r="AH317" s="1"/>
  <c r="AG317" s="1"/>
  <c r="EN317"/>
  <c r="AI317" s="1"/>
  <c r="BO317"/>
  <c r="P317"/>
  <c r="R317" s="1"/>
  <c r="Z317" s="1"/>
  <c r="X317"/>
  <c r="AM318"/>
  <c r="AL318"/>
  <c r="AN318"/>
  <c r="EO318"/>
  <c r="AH318"/>
  <c r="AG318" s="1"/>
  <c r="EN318"/>
  <c r="AI318"/>
  <c r="BO318"/>
  <c r="P318" s="1"/>
  <c r="X318"/>
  <c r="AM319"/>
  <c r="AL319"/>
  <c r="AN319" s="1"/>
  <c r="EO319"/>
  <c r="AH319" s="1"/>
  <c r="AG319" s="1"/>
  <c r="EN319"/>
  <c r="AI319" s="1"/>
  <c r="BO319"/>
  <c r="P319"/>
  <c r="R319" s="1"/>
  <c r="Z319" s="1"/>
  <c r="X319"/>
  <c r="AM320"/>
  <c r="AL320"/>
  <c r="AN320"/>
  <c r="EO320"/>
  <c r="AH320"/>
  <c r="AG320" s="1"/>
  <c r="EN320"/>
  <c r="AI320"/>
  <c r="BO320"/>
  <c r="P320" s="1"/>
  <c r="X320"/>
  <c r="AM321"/>
  <c r="AL321"/>
  <c r="AN321" s="1"/>
  <c r="EO321"/>
  <c r="AH321" s="1"/>
  <c r="EN321"/>
  <c r="AI321" s="1"/>
  <c r="BO321"/>
  <c r="P321"/>
  <c r="R321" s="1"/>
  <c r="Z321" s="1"/>
  <c r="X321"/>
  <c r="AM322"/>
  <c r="AL322"/>
  <c r="AN322"/>
  <c r="EO322"/>
  <c r="AH322"/>
  <c r="AG322" s="1"/>
  <c r="EN322"/>
  <c r="AI322"/>
  <c r="BO322"/>
  <c r="P322" s="1"/>
  <c r="AM323"/>
  <c r="AL323"/>
  <c r="AN323" s="1"/>
  <c r="EO323"/>
  <c r="AH323" s="1"/>
  <c r="AG323" s="1"/>
  <c r="EN323"/>
  <c r="AI323" s="1"/>
  <c r="BO323"/>
  <c r="P323"/>
  <c r="R323" s="1"/>
  <c r="AM297"/>
  <c r="AL297"/>
  <c r="AN297" s="1"/>
  <c r="EO297"/>
  <c r="AH297" s="1"/>
  <c r="AG297" s="1"/>
  <c r="EN297"/>
  <c r="AI297" s="1"/>
  <c r="BO297"/>
  <c r="P297"/>
  <c r="R297" s="1"/>
  <c r="EO298"/>
  <c r="EN298"/>
  <c r="BL298"/>
  <c r="AM301"/>
  <c r="AL301"/>
  <c r="AN301" s="1"/>
  <c r="EO301"/>
  <c r="AH301" s="1"/>
  <c r="EN301"/>
  <c r="AI301" s="1"/>
  <c r="BO301"/>
  <c r="P301"/>
  <c r="R301" s="1"/>
  <c r="Z301" s="1"/>
  <c r="X301"/>
  <c r="AM302"/>
  <c r="AL302"/>
  <c r="AN302"/>
  <c r="EO302"/>
  <c r="AH302"/>
  <c r="AG302" s="1"/>
  <c r="EN302"/>
  <c r="AI302"/>
  <c r="BO302"/>
  <c r="P302" s="1"/>
  <c r="X302"/>
  <c r="EO303"/>
  <c r="EN303"/>
  <c r="BL303"/>
  <c r="AM306"/>
  <c r="AL306"/>
  <c r="AN306"/>
  <c r="EO306"/>
  <c r="AH306"/>
  <c r="AG306" s="1"/>
  <c r="EN306"/>
  <c r="AI306"/>
  <c r="BO306"/>
  <c r="P306" s="1"/>
  <c r="X306"/>
  <c r="AM307"/>
  <c r="AL307"/>
  <c r="AN307" s="1"/>
  <c r="EO307"/>
  <c r="AH307" s="1"/>
  <c r="EN307"/>
  <c r="AI307" s="1"/>
  <c r="BO307"/>
  <c r="P307"/>
  <c r="R307" s="1"/>
  <c r="Z307" s="1"/>
  <c r="X307"/>
  <c r="AM308"/>
  <c r="AL308"/>
  <c r="AN308"/>
  <c r="EO308"/>
  <c r="AH308"/>
  <c r="AG308" s="1"/>
  <c r="EN308"/>
  <c r="AI308"/>
  <c r="BO308"/>
  <c r="P308" s="1"/>
  <c r="AM309"/>
  <c r="AL309"/>
  <c r="AN309" s="1"/>
  <c r="EO309"/>
  <c r="AH309" s="1"/>
  <c r="AG309" s="1"/>
  <c r="EN309"/>
  <c r="AI309" s="1"/>
  <c r="BO309"/>
  <c r="P309"/>
  <c r="R309" s="1"/>
  <c r="X309"/>
  <c r="AM310"/>
  <c r="AL310"/>
  <c r="AN310"/>
  <c r="EO310"/>
  <c r="AH310"/>
  <c r="AG310" s="1"/>
  <c r="EN310"/>
  <c r="AI310"/>
  <c r="BO310"/>
  <c r="P310" s="1"/>
  <c r="AM311"/>
  <c r="AL311"/>
  <c r="AN311" s="1"/>
  <c r="EO311"/>
  <c r="AH311" s="1"/>
  <c r="EN311"/>
  <c r="AI311" s="1"/>
  <c r="BO311"/>
  <c r="P311"/>
  <c r="R311" s="1"/>
  <c r="AM313"/>
  <c r="AL313"/>
  <c r="AN313"/>
  <c r="EO313"/>
  <c r="AH313"/>
  <c r="AG313" s="1"/>
  <c r="EN313"/>
  <c r="AI313"/>
  <c r="BO313"/>
  <c r="P313" s="1"/>
  <c r="AM312"/>
  <c r="AL312"/>
  <c r="AN312" s="1"/>
  <c r="EO312"/>
  <c r="AH312" s="1"/>
  <c r="EN312"/>
  <c r="AI312" s="1"/>
  <c r="BO312"/>
  <c r="P312"/>
  <c r="R312" s="1"/>
  <c r="Z312" s="1"/>
  <c r="X312"/>
  <c r="AM314"/>
  <c r="AL314"/>
  <c r="AN314"/>
  <c r="EO314"/>
  <c r="AH314"/>
  <c r="AG314" s="1"/>
  <c r="EN314"/>
  <c r="AI314"/>
  <c r="BO314"/>
  <c r="P314" s="1"/>
  <c r="AM315"/>
  <c r="AL315"/>
  <c r="AN315" s="1"/>
  <c r="EO315"/>
  <c r="AH315" s="1"/>
  <c r="AG315" s="1"/>
  <c r="EN315"/>
  <c r="AI315" s="1"/>
  <c r="BO315"/>
  <c r="P315"/>
  <c r="R315" s="1"/>
  <c r="AM324"/>
  <c r="AL324"/>
  <c r="AN324"/>
  <c r="EO324"/>
  <c r="AH324"/>
  <c r="AG324" s="1"/>
  <c r="EN324"/>
  <c r="AI324"/>
  <c r="BO324"/>
  <c r="P324" s="1"/>
  <c r="X324"/>
  <c r="AM325"/>
  <c r="AL325"/>
  <c r="AN325" s="1"/>
  <c r="EO325"/>
  <c r="AH325" s="1"/>
  <c r="EN325"/>
  <c r="AI325" s="1"/>
  <c r="BO325"/>
  <c r="P325"/>
  <c r="R325" s="1"/>
  <c r="Z325" s="1"/>
  <c r="X325"/>
  <c r="AM326"/>
  <c r="AL326"/>
  <c r="AN326"/>
  <c r="EO326"/>
  <c r="AH326"/>
  <c r="AG326" s="1"/>
  <c r="EN326"/>
  <c r="AI326"/>
  <c r="BO326"/>
  <c r="P326" s="1"/>
  <c r="X326"/>
  <c r="AM327"/>
  <c r="AL327"/>
  <c r="AN327" s="1"/>
  <c r="EO327"/>
  <c r="AH327" s="1"/>
  <c r="EN327"/>
  <c r="AI327" s="1"/>
  <c r="BO327"/>
  <c r="P327"/>
  <c r="R327" s="1"/>
  <c r="Z327" s="1"/>
  <c r="X327"/>
  <c r="AM328"/>
  <c r="AL328"/>
  <c r="AN328"/>
  <c r="EO328"/>
  <c r="AH328"/>
  <c r="AG328" s="1"/>
  <c r="EN328"/>
  <c r="AI328"/>
  <c r="BO328"/>
  <c r="P328" s="1"/>
  <c r="X328"/>
  <c r="AM329"/>
  <c r="AL329"/>
  <c r="AN329" s="1"/>
  <c r="EO329"/>
  <c r="AH329" s="1"/>
  <c r="EN329"/>
  <c r="AI329" s="1"/>
  <c r="BO329"/>
  <c r="P329"/>
  <c r="R329" s="1"/>
  <c r="AM330"/>
  <c r="AL330"/>
  <c r="AN330"/>
  <c r="EO330"/>
  <c r="AH330"/>
  <c r="AG330" s="1"/>
  <c r="EN330"/>
  <c r="AI330"/>
  <c r="BO330"/>
  <c r="P330" s="1"/>
  <c r="X330"/>
  <c r="AM331"/>
  <c r="AL331"/>
  <c r="AN331" s="1"/>
  <c r="EO331"/>
  <c r="AH331" s="1"/>
  <c r="AG331" s="1"/>
  <c r="EN331"/>
  <c r="AI331" s="1"/>
  <c r="BO331"/>
  <c r="P331"/>
  <c r="R331" s="1"/>
  <c r="X331"/>
  <c r="AM332"/>
  <c r="AL332"/>
  <c r="AN332"/>
  <c r="EO332"/>
  <c r="AH332"/>
  <c r="AG332" s="1"/>
  <c r="EN332"/>
  <c r="AI332"/>
  <c r="BO332"/>
  <c r="P332" s="1"/>
  <c r="X332"/>
  <c r="AM333"/>
  <c r="AL333"/>
  <c r="AN333" s="1"/>
  <c r="EO333"/>
  <c r="AH333" s="1"/>
  <c r="AG333" s="1"/>
  <c r="EN333"/>
  <c r="AI333" s="1"/>
  <c r="BO333"/>
  <c r="P333"/>
  <c r="R333" s="1"/>
  <c r="AM334"/>
  <c r="AL334"/>
  <c r="AN334" s="1"/>
  <c r="EO334"/>
  <c r="AH334" s="1"/>
  <c r="AG334" s="1"/>
  <c r="EN334"/>
  <c r="AI334" s="1"/>
  <c r="BO334"/>
  <c r="P334"/>
  <c r="R334" s="1"/>
  <c r="X334"/>
  <c r="AM335"/>
  <c r="AL335"/>
  <c r="AN335"/>
  <c r="EO335"/>
  <c r="AH335"/>
  <c r="AG335" s="1"/>
  <c r="EN335"/>
  <c r="AI335"/>
  <c r="BO335"/>
  <c r="P335" s="1"/>
  <c r="X335"/>
  <c r="AM336"/>
  <c r="AL336"/>
  <c r="AN336" s="1"/>
  <c r="EO336"/>
  <c r="AH336" s="1"/>
  <c r="AG336" s="1"/>
  <c r="EN336"/>
  <c r="AI336" s="1"/>
  <c r="BO336"/>
  <c r="P336"/>
  <c r="R336" s="1"/>
  <c r="X336"/>
  <c r="AM337"/>
  <c r="AL337"/>
  <c r="AN337"/>
  <c r="EO337"/>
  <c r="AH337"/>
  <c r="AG337" s="1"/>
  <c r="EN337"/>
  <c r="AI337"/>
  <c r="BO337"/>
  <c r="P337" s="1"/>
  <c r="X337"/>
  <c r="AM338"/>
  <c r="AL338"/>
  <c r="AN338" s="1"/>
  <c r="EO338"/>
  <c r="AH338" s="1"/>
  <c r="AG338" s="1"/>
  <c r="EN338"/>
  <c r="AI338" s="1"/>
  <c r="BO338"/>
  <c r="P338"/>
  <c r="R338" s="1"/>
  <c r="X338"/>
  <c r="AM339"/>
  <c r="AL339"/>
  <c r="AN339"/>
  <c r="EO339"/>
  <c r="AH339"/>
  <c r="AG339" s="1"/>
  <c r="EN339"/>
  <c r="AI339"/>
  <c r="BO339"/>
  <c r="P339" s="1"/>
  <c r="AM340"/>
  <c r="AL340"/>
  <c r="AN340"/>
  <c r="EO340"/>
  <c r="AH340"/>
  <c r="AG340" s="1"/>
  <c r="EN340"/>
  <c r="AI340"/>
  <c r="BO340"/>
  <c r="P340" s="1"/>
  <c r="X340"/>
  <c r="AM341"/>
  <c r="AL341"/>
  <c r="AN341" s="1"/>
  <c r="EO341"/>
  <c r="AH341" s="1"/>
  <c r="AG341" s="1"/>
  <c r="EN341"/>
  <c r="AI341" s="1"/>
  <c r="BO341"/>
  <c r="P341"/>
  <c r="R341" s="1"/>
  <c r="AM342"/>
  <c r="AL342"/>
  <c r="AN342"/>
  <c r="EO342"/>
  <c r="AH342"/>
  <c r="AG342" s="1"/>
  <c r="EN342"/>
  <c r="AI342"/>
  <c r="BO342"/>
  <c r="P342" s="1"/>
  <c r="X342"/>
  <c r="AM343"/>
  <c r="AL343"/>
  <c r="AN343" s="1"/>
  <c r="EO343"/>
  <c r="AH343" s="1"/>
  <c r="EN343"/>
  <c r="AI343" s="1"/>
  <c r="BO343"/>
  <c r="P343"/>
  <c r="R343" s="1"/>
  <c r="Z343" s="1"/>
  <c r="X343"/>
  <c r="AM344"/>
  <c r="AL344"/>
  <c r="AN344"/>
  <c r="EO344"/>
  <c r="AH344"/>
  <c r="AG344" s="1"/>
  <c r="EN344"/>
  <c r="AI344"/>
  <c r="BO344"/>
  <c r="P344" s="1"/>
  <c r="X344"/>
  <c r="AM345"/>
  <c r="AL345"/>
  <c r="AN345"/>
  <c r="EO345"/>
  <c r="AH345"/>
  <c r="AG345" s="1"/>
  <c r="EN345"/>
  <c r="AI345"/>
  <c r="BO345"/>
  <c r="P345" s="1"/>
  <c r="AM346"/>
  <c r="AL346"/>
  <c r="AN346" s="1"/>
  <c r="EO346"/>
  <c r="AH346" s="1"/>
  <c r="EN346"/>
  <c r="AI346" s="1"/>
  <c r="BO346"/>
  <c r="P346"/>
  <c r="R346" s="1"/>
  <c r="AM347"/>
  <c r="AL347"/>
  <c r="AN347"/>
  <c r="EO347"/>
  <c r="AH347"/>
  <c r="AG347" s="1"/>
  <c r="EN347"/>
  <c r="AI347"/>
  <c r="BO347"/>
  <c r="P347" s="1"/>
  <c r="X347"/>
  <c r="AM348"/>
  <c r="AL348"/>
  <c r="AN348" s="1"/>
  <c r="EO348"/>
  <c r="AH348" s="1"/>
  <c r="AG348" s="1"/>
  <c r="EN348"/>
  <c r="AI348" s="1"/>
  <c r="BO348"/>
  <c r="P348"/>
  <c r="R348" s="1"/>
  <c r="X348"/>
  <c r="AM349"/>
  <c r="AL349"/>
  <c r="AN349"/>
  <c r="EO349"/>
  <c r="AH349"/>
  <c r="AG349" s="1"/>
  <c r="EN349"/>
  <c r="AI349"/>
  <c r="BO349"/>
  <c r="P349" s="1"/>
  <c r="AM350"/>
  <c r="AL350"/>
  <c r="AN350" s="1"/>
  <c r="EO350"/>
  <c r="AH350" s="1"/>
  <c r="EN350"/>
  <c r="AI350" s="1"/>
  <c r="BO350"/>
  <c r="P350"/>
  <c r="R350" s="1"/>
  <c r="Z350" s="1"/>
  <c r="X350"/>
  <c r="AM351"/>
  <c r="AL351"/>
  <c r="AN351"/>
  <c r="EO351"/>
  <c r="AH351"/>
  <c r="AG351" s="1"/>
  <c r="EN351"/>
  <c r="AI351"/>
  <c r="BO351"/>
  <c r="P351" s="1"/>
  <c r="X351"/>
  <c r="AM352"/>
  <c r="AL352"/>
  <c r="AN352" s="1"/>
  <c r="EO352"/>
  <c r="AH352" s="1"/>
  <c r="EN352"/>
  <c r="AI352" s="1"/>
  <c r="BO352"/>
  <c r="P352"/>
  <c r="R352" s="1"/>
  <c r="AM353"/>
  <c r="AL353"/>
  <c r="AN353" s="1"/>
  <c r="EO353"/>
  <c r="AH353" s="1"/>
  <c r="EN353"/>
  <c r="AI353" s="1"/>
  <c r="BO353"/>
  <c r="P353"/>
  <c r="R353" s="1"/>
  <c r="Z353" s="1"/>
  <c r="X353"/>
  <c r="AM354"/>
  <c r="AL354"/>
  <c r="AN354"/>
  <c r="EO354"/>
  <c r="AH354"/>
  <c r="AG354" s="1"/>
  <c r="EN354"/>
  <c r="AI354"/>
  <c r="BO354"/>
  <c r="P354" s="1"/>
  <c r="AM355"/>
  <c r="AL355"/>
  <c r="AN355" s="1"/>
  <c r="EO355"/>
  <c r="AH355" s="1"/>
  <c r="AG355" s="1"/>
  <c r="EN355"/>
  <c r="AI355" s="1"/>
  <c r="BO355"/>
  <c r="P355"/>
  <c r="R355" s="1"/>
  <c r="X355"/>
  <c r="AM356"/>
  <c r="AL356"/>
  <c r="AN356"/>
  <c r="EO356"/>
  <c r="AH356"/>
  <c r="AG356" s="1"/>
  <c r="EN356"/>
  <c r="AI356"/>
  <c r="BO356"/>
  <c r="P356" s="1"/>
  <c r="AM357"/>
  <c r="AL357"/>
  <c r="AN357" s="1"/>
  <c r="EO357"/>
  <c r="AH357" s="1"/>
  <c r="EN357"/>
  <c r="AI357" s="1"/>
  <c r="BO357"/>
  <c r="P357"/>
  <c r="R357" s="1"/>
  <c r="Z357" s="1"/>
  <c r="X357"/>
  <c r="AM358"/>
  <c r="AL358"/>
  <c r="AN358"/>
  <c r="EO358"/>
  <c r="AH358"/>
  <c r="AG358" s="1"/>
  <c r="EN358"/>
  <c r="AI358"/>
  <c r="BO358"/>
  <c r="P358" s="1"/>
  <c r="X358"/>
  <c r="AM359"/>
  <c r="AL359"/>
  <c r="AN359" s="1"/>
  <c r="EO359"/>
  <c r="AH359" s="1"/>
  <c r="EN359"/>
  <c r="AI359" s="1"/>
  <c r="BO359"/>
  <c r="P359"/>
  <c r="R359" s="1"/>
  <c r="Z359" s="1"/>
  <c r="X359"/>
  <c r="AM360"/>
  <c r="AL360"/>
  <c r="AN360"/>
  <c r="EO360"/>
  <c r="AH360"/>
  <c r="AG360" s="1"/>
  <c r="EN360"/>
  <c r="AI360"/>
  <c r="BO360"/>
  <c r="P360" s="1"/>
  <c r="AM361"/>
  <c r="AL361"/>
  <c r="AN361" s="1"/>
  <c r="EO361"/>
  <c r="AH361" s="1"/>
  <c r="AG361" s="1"/>
  <c r="EN361"/>
  <c r="AI361" s="1"/>
  <c r="BO361"/>
  <c r="P361"/>
  <c r="R361" s="1"/>
  <c r="AM362"/>
  <c r="AL362"/>
  <c r="AN362"/>
  <c r="EO362"/>
  <c r="AH362"/>
  <c r="AG362" s="1"/>
  <c r="EN362"/>
  <c r="AI362"/>
  <c r="BO362"/>
  <c r="P362" s="1"/>
  <c r="X362"/>
  <c r="AM363"/>
  <c r="AL363"/>
  <c r="AN363" s="1"/>
  <c r="EO363"/>
  <c r="AH363" s="1"/>
  <c r="EN363"/>
  <c r="AI363" s="1"/>
  <c r="BO363"/>
  <c r="P363"/>
  <c r="R363" s="1"/>
  <c r="Z363" s="1"/>
  <c r="X363"/>
  <c r="AM364"/>
  <c r="AL364"/>
  <c r="AN364"/>
  <c r="EO364"/>
  <c r="AH364"/>
  <c r="AG364" s="1"/>
  <c r="EN364"/>
  <c r="AI364"/>
  <c r="BO364"/>
  <c r="P364" s="1"/>
  <c r="X364"/>
  <c r="AM365"/>
  <c r="AL365"/>
  <c r="AN365"/>
  <c r="EO365"/>
  <c r="AH365"/>
  <c r="AG365" s="1"/>
  <c r="EN365"/>
  <c r="AI365"/>
  <c r="BO365"/>
  <c r="P365" s="1"/>
  <c r="X365"/>
  <c r="AM366"/>
  <c r="AL366"/>
  <c r="AN366" s="1"/>
  <c r="EO366"/>
  <c r="AH366" s="1"/>
  <c r="AG366" s="1"/>
  <c r="EN366"/>
  <c r="AI366" s="1"/>
  <c r="BO366"/>
  <c r="P366"/>
  <c r="R366" s="1"/>
  <c r="X366"/>
  <c r="AM370"/>
  <c r="AL370"/>
  <c r="AN370" s="1"/>
  <c r="EO370"/>
  <c r="AH370" s="1"/>
  <c r="EN370"/>
  <c r="AI370" s="1"/>
  <c r="AM369"/>
  <c r="AL369"/>
  <c r="AN369"/>
  <c r="EO369"/>
  <c r="AH369"/>
  <c r="AG369" s="1"/>
  <c r="EN369"/>
  <c r="AI369"/>
  <c r="BO369"/>
  <c r="P369" s="1"/>
  <c r="X369"/>
  <c r="AM368"/>
  <c r="AL368"/>
  <c r="AN368" s="1"/>
  <c r="EO368"/>
  <c r="AH368" s="1"/>
  <c r="AG368" s="1"/>
  <c r="EN368"/>
  <c r="AI368" s="1"/>
  <c r="BO368"/>
  <c r="P368"/>
  <c r="R368" s="1"/>
  <c r="X368"/>
  <c r="AM367"/>
  <c r="AL367"/>
  <c r="AN367"/>
  <c r="EO367"/>
  <c r="AH367"/>
  <c r="AG367" s="1"/>
  <c r="EN367"/>
  <c r="AI367"/>
  <c r="BO367"/>
  <c r="P367" s="1"/>
  <c r="X367"/>
  <c r="AM371"/>
  <c r="AL371"/>
  <c r="AN371" s="1"/>
  <c r="EO371"/>
  <c r="AH371" s="1"/>
  <c r="AG371" s="1"/>
  <c r="EN371"/>
  <c r="AI371" s="1"/>
  <c r="BO371"/>
  <c r="P371"/>
  <c r="R371" s="1"/>
  <c r="X371"/>
  <c r="AM372"/>
  <c r="AL372"/>
  <c r="AN372"/>
  <c r="EO372"/>
  <c r="AH372"/>
  <c r="AG372" s="1"/>
  <c r="EN372"/>
  <c r="AI372"/>
  <c r="BO372"/>
  <c r="P372" s="1"/>
  <c r="X372"/>
  <c r="AM373"/>
  <c r="AL373"/>
  <c r="AN373" s="1"/>
  <c r="EO373"/>
  <c r="AH373" s="1"/>
  <c r="AG373" s="1"/>
  <c r="AJ373" s="1"/>
  <c r="EN373"/>
  <c r="AI373" s="1"/>
  <c r="AM374"/>
  <c r="AL374"/>
  <c r="AN374"/>
  <c r="EO374"/>
  <c r="AH374"/>
  <c r="AG374" s="1"/>
  <c r="EN374"/>
  <c r="AI374"/>
  <c r="BO374"/>
  <c r="P374" s="1"/>
  <c r="X374"/>
  <c r="AM375"/>
  <c r="AL375"/>
  <c r="AN375" s="1"/>
  <c r="EO375"/>
  <c r="AH375" s="1"/>
  <c r="EN375"/>
  <c r="AI375" s="1"/>
  <c r="BO375"/>
  <c r="P375"/>
  <c r="R375" s="1"/>
  <c r="Z375" s="1"/>
  <c r="X375"/>
  <c r="AM376"/>
  <c r="AL376"/>
  <c r="AN376"/>
  <c r="EO376"/>
  <c r="AH376"/>
  <c r="AG376" s="1"/>
  <c r="EN376"/>
  <c r="AI376"/>
  <c r="BO376"/>
  <c r="P376" s="1"/>
  <c r="X376"/>
  <c r="AM377"/>
  <c r="AL377"/>
  <c r="AN377" s="1"/>
  <c r="EO377"/>
  <c r="AH377" s="1"/>
  <c r="EN377"/>
  <c r="AI377" s="1"/>
  <c r="BO377"/>
  <c r="P377"/>
  <c r="R377" s="1"/>
  <c r="Z377" s="1"/>
  <c r="X377"/>
  <c r="AM378"/>
  <c r="AL378"/>
  <c r="AN378"/>
  <c r="EO378"/>
  <c r="AH378"/>
  <c r="AG378" s="1"/>
  <c r="EN378"/>
  <c r="AI378"/>
  <c r="BO378"/>
  <c r="P378" s="1"/>
  <c r="X378"/>
  <c r="AM379"/>
  <c r="AL379"/>
  <c r="AN379" s="1"/>
  <c r="EO379"/>
  <c r="AH379" s="1"/>
  <c r="EN379"/>
  <c r="AI379" s="1"/>
  <c r="BO379"/>
  <c r="P379"/>
  <c r="R379" s="1"/>
  <c r="AM380"/>
  <c r="AL380"/>
  <c r="AN380"/>
  <c r="EO380"/>
  <c r="AH380"/>
  <c r="AG380" s="1"/>
  <c r="EN380"/>
  <c r="AI380"/>
  <c r="BO380"/>
  <c r="P380" s="1"/>
  <c r="AM381"/>
  <c r="AL381"/>
  <c r="AN381" s="1"/>
  <c r="EO381"/>
  <c r="AH381" s="1"/>
  <c r="EN381"/>
  <c r="AI381" s="1"/>
  <c r="BO381"/>
  <c r="P381"/>
  <c r="R381" s="1"/>
  <c r="AM382"/>
  <c r="AL382"/>
  <c r="AN382" s="1"/>
  <c r="EO382"/>
  <c r="AH382" s="1"/>
  <c r="EN382"/>
  <c r="AI382" s="1"/>
  <c r="BO382"/>
  <c r="P382"/>
  <c r="R382" s="1"/>
  <c r="Z382" s="1"/>
  <c r="X382"/>
  <c r="AM383"/>
  <c r="AL383"/>
  <c r="AN383"/>
  <c r="EO383"/>
  <c r="AH383"/>
  <c r="AG383" s="1"/>
  <c r="EN383"/>
  <c r="AI383"/>
  <c r="BO383"/>
  <c r="P383" s="1"/>
  <c r="X383"/>
  <c r="AM384"/>
  <c r="AL384"/>
  <c r="AN384" s="1"/>
  <c r="EO384"/>
  <c r="AH384" s="1"/>
  <c r="EN384"/>
  <c r="AI384" s="1"/>
  <c r="BO384"/>
  <c r="P384"/>
  <c r="R384" s="1"/>
  <c r="Z384" s="1"/>
  <c r="X384"/>
  <c r="AM385"/>
  <c r="AL385"/>
  <c r="AN385"/>
  <c r="EO385"/>
  <c r="AH385"/>
  <c r="AG385" s="1"/>
  <c r="EN385"/>
  <c r="AI385"/>
  <c r="BO385"/>
  <c r="P385" s="1"/>
  <c r="X385"/>
  <c r="AM386"/>
  <c r="AL386"/>
  <c r="AN386" s="1"/>
  <c r="EO386"/>
  <c r="AH386" s="1"/>
  <c r="EN386"/>
  <c r="AI386" s="1"/>
  <c r="BO386"/>
  <c r="P386"/>
  <c r="R386" s="1"/>
  <c r="Z386" s="1"/>
  <c r="X386"/>
  <c r="AM387"/>
  <c r="AL387"/>
  <c r="AN387"/>
  <c r="EO387"/>
  <c r="AH387"/>
  <c r="AG387" s="1"/>
  <c r="EN387"/>
  <c r="AI387"/>
  <c r="BO387"/>
  <c r="P387" s="1"/>
  <c r="X387"/>
  <c r="AM388"/>
  <c r="AL388"/>
  <c r="AN388" s="1"/>
  <c r="EO388"/>
  <c r="AH388" s="1"/>
  <c r="EN388"/>
  <c r="AI388" s="1"/>
  <c r="BO388"/>
  <c r="P388"/>
  <c r="R388" s="1"/>
  <c r="Z388" s="1"/>
  <c r="X388"/>
  <c r="AM389"/>
  <c r="AL389"/>
  <c r="AN389"/>
  <c r="EO389"/>
  <c r="AH389"/>
  <c r="AG389" s="1"/>
  <c r="EN389"/>
  <c r="AI389"/>
  <c r="BO389"/>
  <c r="P389" s="1"/>
  <c r="X389"/>
  <c r="AM390"/>
  <c r="AL390"/>
  <c r="AN390" s="1"/>
  <c r="EO390"/>
  <c r="AH390" s="1"/>
  <c r="EN390"/>
  <c r="AI390" s="1"/>
  <c r="BO390"/>
  <c r="P390"/>
  <c r="R390" s="1"/>
  <c r="Z390" s="1"/>
  <c r="X390"/>
  <c r="AM391"/>
  <c r="AL391"/>
  <c r="AN391"/>
  <c r="EO391"/>
  <c r="AH391"/>
  <c r="AG391" s="1"/>
  <c r="EN391"/>
  <c r="AI391"/>
  <c r="BO391"/>
  <c r="P391" s="1"/>
  <c r="X391"/>
  <c r="AM392"/>
  <c r="AL392"/>
  <c r="AN392" s="1"/>
  <c r="EO392"/>
  <c r="AH392" s="1"/>
  <c r="EN392"/>
  <c r="AI392" s="1"/>
  <c r="BO392"/>
  <c r="P392"/>
  <c r="R392" s="1"/>
  <c r="Z392" s="1"/>
  <c r="X392"/>
  <c r="AM393"/>
  <c r="AL393"/>
  <c r="AN393"/>
  <c r="EO393"/>
  <c r="AH393"/>
  <c r="AG393" s="1"/>
  <c r="EN393"/>
  <c r="AI393"/>
  <c r="BO393"/>
  <c r="P393" s="1"/>
  <c r="AM394"/>
  <c r="AL394"/>
  <c r="AN394" s="1"/>
  <c r="EO394"/>
  <c r="AH394" s="1"/>
  <c r="AG394" s="1"/>
  <c r="EN394"/>
  <c r="AI394" s="1"/>
  <c r="BO394"/>
  <c r="P394"/>
  <c r="R394" s="1"/>
  <c r="AM395"/>
  <c r="AL395"/>
  <c r="AN395"/>
  <c r="EO395"/>
  <c r="AH395"/>
  <c r="AG395" s="1"/>
  <c r="EN395"/>
  <c r="AI395"/>
  <c r="BO395"/>
  <c r="P395" s="1"/>
  <c r="X395"/>
  <c r="AM396"/>
  <c r="AL396"/>
  <c r="AN396" s="1"/>
  <c r="EO396"/>
  <c r="AH396" s="1"/>
  <c r="EN396"/>
  <c r="AI396" s="1"/>
  <c r="BO396"/>
  <c r="P396"/>
  <c r="R396" s="1"/>
  <c r="Z396" s="1"/>
  <c r="X396"/>
  <c r="AM397"/>
  <c r="AL397"/>
  <c r="AN397"/>
  <c r="EO397"/>
  <c r="AH397"/>
  <c r="AG397" s="1"/>
  <c r="EN397"/>
  <c r="AI397"/>
  <c r="BO397"/>
  <c r="P397" s="1"/>
  <c r="X397"/>
  <c r="AM398"/>
  <c r="AL398"/>
  <c r="AN398" s="1"/>
  <c r="EO398"/>
  <c r="AH398" s="1"/>
  <c r="EN398"/>
  <c r="AI398" s="1"/>
  <c r="BO398"/>
  <c r="P398"/>
  <c r="R398" s="1"/>
  <c r="Z398" s="1"/>
  <c r="X398"/>
  <c r="EO399"/>
  <c r="EN399"/>
  <c r="BL399"/>
  <c r="AM402"/>
  <c r="AL402"/>
  <c r="AN402"/>
  <c r="EO402"/>
  <c r="AH402"/>
  <c r="AG402" s="1"/>
  <c r="EN402"/>
  <c r="AI402"/>
  <c r="BO402"/>
  <c r="P402" s="1"/>
  <c r="X402"/>
  <c r="AM403"/>
  <c r="AL403"/>
  <c r="AN403" s="1"/>
  <c r="EO403"/>
  <c r="AH403" s="1"/>
  <c r="AG403" s="1"/>
  <c r="EN403"/>
  <c r="AI403" s="1"/>
  <c r="BO403"/>
  <c r="P403"/>
  <c r="R403" s="1"/>
  <c r="X403"/>
  <c r="AM404"/>
  <c r="AL404"/>
  <c r="AN404"/>
  <c r="EO404"/>
  <c r="AH404"/>
  <c r="AG404" s="1"/>
  <c r="EN404"/>
  <c r="AI404"/>
  <c r="BO404"/>
  <c r="P404" s="1"/>
  <c r="X404"/>
  <c r="AM405"/>
  <c r="AL405"/>
  <c r="AN405" s="1"/>
  <c r="EO405"/>
  <c r="AH405" s="1"/>
  <c r="AG405" s="1"/>
  <c r="EN405"/>
  <c r="AI405" s="1"/>
  <c r="BO405"/>
  <c r="P405"/>
  <c r="R405" s="1"/>
  <c r="X405"/>
  <c r="AM406"/>
  <c r="AL406"/>
  <c r="AN406"/>
  <c r="EO406"/>
  <c r="AH406"/>
  <c r="AG406" s="1"/>
  <c r="EN406"/>
  <c r="AI406"/>
  <c r="BO406"/>
  <c r="P406" s="1"/>
  <c r="AM407"/>
  <c r="AL407"/>
  <c r="AN407" s="1"/>
  <c r="EO407"/>
  <c r="AH407" s="1"/>
  <c r="EN407"/>
  <c r="AI407" s="1"/>
  <c r="BO407"/>
  <c r="P407"/>
  <c r="R407" s="1"/>
  <c r="Z407" s="1"/>
  <c r="X407"/>
  <c r="AM408"/>
  <c r="AL408"/>
  <c r="AN408"/>
  <c r="EO408"/>
  <c r="AH408"/>
  <c r="AG408" s="1"/>
  <c r="EN408"/>
  <c r="AI408"/>
  <c r="BO408"/>
  <c r="P408" s="1"/>
  <c r="X408"/>
  <c r="AM409"/>
  <c r="AL409"/>
  <c r="AN409"/>
  <c r="EO409"/>
  <c r="AH409"/>
  <c r="AG409" s="1"/>
  <c r="EN409"/>
  <c r="AI409"/>
  <c r="BO409"/>
  <c r="P409" s="1"/>
  <c r="X409"/>
  <c r="AM410"/>
  <c r="AL410"/>
  <c r="AN410" s="1"/>
  <c r="EO410"/>
  <c r="AH410" s="1"/>
  <c r="AG410" s="1"/>
  <c r="EN410"/>
  <c r="AI410" s="1"/>
  <c r="BO410"/>
  <c r="P410"/>
  <c r="R410" s="1"/>
  <c r="AM411"/>
  <c r="AL411"/>
  <c r="AN411"/>
  <c r="EO411"/>
  <c r="AH411"/>
  <c r="AG411" s="1"/>
  <c r="EN411"/>
  <c r="AI411"/>
  <c r="BO411"/>
  <c r="P411" s="1"/>
  <c r="X411"/>
  <c r="AM412"/>
  <c r="AL412"/>
  <c r="AN412" s="1"/>
  <c r="EO412"/>
  <c r="AH412" s="1"/>
  <c r="EN412"/>
  <c r="AI412" s="1"/>
  <c r="AG412"/>
  <c r="BO412"/>
  <c r="P412"/>
  <c r="AM413"/>
  <c r="AL413"/>
  <c r="AN413"/>
  <c r="EO413"/>
  <c r="AH413"/>
  <c r="EN413"/>
  <c r="AI413"/>
  <c r="BO413"/>
  <c r="P413" s="1"/>
  <c r="R413" s="1"/>
  <c r="X413"/>
  <c r="Q413"/>
  <c r="W413" s="1"/>
  <c r="AM414"/>
  <c r="AL414"/>
  <c r="AN414" s="1"/>
  <c r="EO414"/>
  <c r="AH414" s="1"/>
  <c r="EN414"/>
  <c r="AI414" s="1"/>
  <c r="AG414"/>
  <c r="BO414"/>
  <c r="P414"/>
  <c r="X414"/>
  <c r="AM418"/>
  <c r="AL418"/>
  <c r="AN418" s="1"/>
  <c r="EO418"/>
  <c r="AH418" s="1"/>
  <c r="EN418"/>
  <c r="AI418" s="1"/>
  <c r="AG418" s="1"/>
  <c r="BO418"/>
  <c r="P418"/>
  <c r="AM419"/>
  <c r="AL419"/>
  <c r="AN419"/>
  <c r="EO419"/>
  <c r="AH419"/>
  <c r="EN419"/>
  <c r="AI419"/>
  <c r="BO419"/>
  <c r="P419" s="1"/>
  <c r="R419" s="1"/>
  <c r="X419"/>
  <c r="Q419"/>
  <c r="W419" s="1"/>
  <c r="AM420"/>
  <c r="AL420"/>
  <c r="AN420" s="1"/>
  <c r="EO420"/>
  <c r="AH420" s="1"/>
  <c r="EN420"/>
  <c r="AI420" s="1"/>
  <c r="AG420"/>
  <c r="BO420"/>
  <c r="P420"/>
  <c r="X420"/>
  <c r="AM421"/>
  <c r="AL421"/>
  <c r="AN421"/>
  <c r="EO421"/>
  <c r="AH421"/>
  <c r="EN421"/>
  <c r="AI421"/>
  <c r="BO421"/>
  <c r="P421" s="1"/>
  <c r="R421"/>
  <c r="X421" s="1"/>
  <c r="Q421"/>
  <c r="W421" s="1"/>
  <c r="AM422"/>
  <c r="AL422"/>
  <c r="AN422" s="1"/>
  <c r="EO422"/>
  <c r="AH422" s="1"/>
  <c r="EN422"/>
  <c r="AI422" s="1"/>
  <c r="AG422"/>
  <c r="BO422"/>
  <c r="P422"/>
  <c r="X422"/>
  <c r="AM415"/>
  <c r="AL415"/>
  <c r="AN415" s="1"/>
  <c r="EO415"/>
  <c r="AH415" s="1"/>
  <c r="EN415"/>
  <c r="AI415" s="1"/>
  <c r="AG415" s="1"/>
  <c r="BO415"/>
  <c r="P415"/>
  <c r="X415"/>
  <c r="AM416"/>
  <c r="AL416"/>
  <c r="AN416"/>
  <c r="EO416"/>
  <c r="AH416"/>
  <c r="EN416"/>
  <c r="AI416"/>
  <c r="BO416"/>
  <c r="P416" s="1"/>
  <c r="R416" s="1"/>
  <c r="Z416" s="1"/>
  <c r="X416"/>
  <c r="Q416"/>
  <c r="W416" s="1"/>
  <c r="AM417"/>
  <c r="AL417"/>
  <c r="AN417" s="1"/>
  <c r="EO417"/>
  <c r="AH417" s="1"/>
  <c r="EN417"/>
  <c r="AI417" s="1"/>
  <c r="AG417"/>
  <c r="BO417"/>
  <c r="P417"/>
  <c r="X417"/>
  <c r="AM423"/>
  <c r="AL423"/>
  <c r="AN423"/>
  <c r="EO423"/>
  <c r="AH423"/>
  <c r="EN423"/>
  <c r="AI423"/>
  <c r="BO423"/>
  <c r="P423" s="1"/>
  <c r="R423" s="1"/>
  <c r="Z423" s="1"/>
  <c r="X423"/>
  <c r="Q423"/>
  <c r="W423" s="1"/>
  <c r="AM424"/>
  <c r="AL424"/>
  <c r="AN424" s="1"/>
  <c r="EO424"/>
  <c r="AH424" s="1"/>
  <c r="EN424"/>
  <c r="AI424" s="1"/>
  <c r="AG424"/>
  <c r="BO424"/>
  <c r="P424"/>
  <c r="X424"/>
  <c r="AM425"/>
  <c r="AL425"/>
  <c r="AN425"/>
  <c r="EO425"/>
  <c r="AH425"/>
  <c r="EN425"/>
  <c r="AI425"/>
  <c r="BO425"/>
  <c r="P425" s="1"/>
  <c r="R425"/>
  <c r="X425"/>
  <c r="Z425" s="1"/>
  <c r="AF425" s="1"/>
  <c r="Q425"/>
  <c r="W425" s="1"/>
  <c r="EO426"/>
  <c r="EN426"/>
  <c r="BL426"/>
  <c r="AM429"/>
  <c r="AL429"/>
  <c r="AN429"/>
  <c r="EO429"/>
  <c r="AH429"/>
  <c r="EN429"/>
  <c r="AI429"/>
  <c r="BO429"/>
  <c r="P429" s="1"/>
  <c r="R429"/>
  <c r="X429" s="1"/>
  <c r="Q429"/>
  <c r="W429" s="1"/>
  <c r="AM430"/>
  <c r="AL430"/>
  <c r="AN430" s="1"/>
  <c r="EO430"/>
  <c r="AH430" s="1"/>
  <c r="EN430"/>
  <c r="AI430" s="1"/>
  <c r="AG430"/>
  <c r="BO430"/>
  <c r="P430"/>
  <c r="AM431"/>
  <c r="AL431"/>
  <c r="AN431"/>
  <c r="EO431"/>
  <c r="AH431"/>
  <c r="EN431"/>
  <c r="AI431"/>
  <c r="BO431"/>
  <c r="P431" s="1"/>
  <c r="R431"/>
  <c r="X431"/>
  <c r="Z431"/>
  <c r="Q431"/>
  <c r="W431" s="1"/>
  <c r="Y431"/>
  <c r="AM432"/>
  <c r="AL432"/>
  <c r="AN432"/>
  <c r="EO432"/>
  <c r="AH432"/>
  <c r="EN432"/>
  <c r="AI432"/>
  <c r="AM433"/>
  <c r="AL433"/>
  <c r="AN433" s="1"/>
  <c r="EO433"/>
  <c r="AH433" s="1"/>
  <c r="EN433"/>
  <c r="AI433" s="1"/>
  <c r="AG433" s="1"/>
  <c r="BO433"/>
  <c r="P433"/>
  <c r="X433"/>
  <c r="AM434"/>
  <c r="AL434"/>
  <c r="AN434"/>
  <c r="EO434"/>
  <c r="AH434"/>
  <c r="EN434"/>
  <c r="AI434"/>
  <c r="BO434"/>
  <c r="P434" s="1"/>
  <c r="R434" s="1"/>
  <c r="Z434" s="1"/>
  <c r="X434"/>
  <c r="AM435"/>
  <c r="AL435"/>
  <c r="AN435"/>
  <c r="EO435"/>
  <c r="AH435"/>
  <c r="AG435" s="1"/>
  <c r="AJ435" s="1"/>
  <c r="EN435"/>
  <c r="AI435"/>
  <c r="AM436"/>
  <c r="AL436"/>
  <c r="AN436" s="1"/>
  <c r="EO436"/>
  <c r="AH436" s="1"/>
  <c r="EN436"/>
  <c r="AI436" s="1"/>
  <c r="BO436"/>
  <c r="P436"/>
  <c r="R436" s="1"/>
  <c r="Z436" s="1"/>
  <c r="X436"/>
  <c r="AM437"/>
  <c r="AL437"/>
  <c r="AN437"/>
  <c r="EO437"/>
  <c r="AH437"/>
  <c r="AG437" s="1"/>
  <c r="EN437"/>
  <c r="AI437"/>
  <c r="BO437"/>
  <c r="P437" s="1"/>
  <c r="AM438"/>
  <c r="AL438"/>
  <c r="AN438" s="1"/>
  <c r="EO438"/>
  <c r="AH438" s="1"/>
  <c r="AG438" s="1"/>
  <c r="EN438"/>
  <c r="AI438" s="1"/>
  <c r="BO438"/>
  <c r="P438"/>
  <c r="R438" s="1"/>
  <c r="X438"/>
  <c r="AM439"/>
  <c r="AL439"/>
  <c r="AN439"/>
  <c r="EO439"/>
  <c r="AH439"/>
  <c r="AG439" s="1"/>
  <c r="EN439"/>
  <c r="AI439"/>
  <c r="BO439"/>
  <c r="P439" s="1"/>
  <c r="X439"/>
  <c r="AM440"/>
  <c r="AL440"/>
  <c r="AN440"/>
  <c r="EO440"/>
  <c r="AH440"/>
  <c r="AG440" s="1"/>
  <c r="EN440"/>
  <c r="AI440"/>
  <c r="BO440"/>
  <c r="P440" s="1"/>
  <c r="X440"/>
  <c r="AM441"/>
  <c r="AL441"/>
  <c r="AN441" s="1"/>
  <c r="EO441"/>
  <c r="AH441" s="1"/>
  <c r="AG441" s="1"/>
  <c r="EN441"/>
  <c r="AI441" s="1"/>
  <c r="BO441"/>
  <c r="P441"/>
  <c r="R441" s="1"/>
  <c r="Z441" s="1"/>
  <c r="X441"/>
  <c r="AM442"/>
  <c r="AL442"/>
  <c r="AN442"/>
  <c r="EO442"/>
  <c r="AH442"/>
  <c r="AG442" s="1"/>
  <c r="AJ442" s="1"/>
  <c r="EN442"/>
  <c r="AI442"/>
  <c r="AM443"/>
  <c r="AL443"/>
  <c r="AN443" s="1"/>
  <c r="EO443"/>
  <c r="AH443" s="1"/>
  <c r="EN443"/>
  <c r="AI443" s="1"/>
  <c r="BO443"/>
  <c r="P443"/>
  <c r="R443" s="1"/>
  <c r="Z443" s="1"/>
  <c r="X443"/>
  <c r="AM444"/>
  <c r="AL444"/>
  <c r="AN444"/>
  <c r="EO444"/>
  <c r="AH444"/>
  <c r="AG444" s="1"/>
  <c r="EN444"/>
  <c r="AI444"/>
  <c r="BO444"/>
  <c r="P444" s="1"/>
  <c r="X444"/>
  <c r="AM445"/>
  <c r="AL445"/>
  <c r="AN445" s="1"/>
  <c r="EO445"/>
  <c r="AH445" s="1"/>
  <c r="EN445"/>
  <c r="AI445" s="1"/>
  <c r="BO445"/>
  <c r="P445"/>
  <c r="R445" s="1"/>
  <c r="AM446"/>
  <c r="AL446"/>
  <c r="AN446"/>
  <c r="EO446"/>
  <c r="AH446"/>
  <c r="AG446" s="1"/>
  <c r="EN446"/>
  <c r="AI446"/>
  <c r="BO446"/>
  <c r="P446" s="1"/>
  <c r="AM447"/>
  <c r="AL447"/>
  <c r="AN447" s="1"/>
  <c r="EO447"/>
  <c r="AH447" s="1"/>
  <c r="EN447"/>
  <c r="AI447" s="1"/>
  <c r="BO447"/>
  <c r="P447"/>
  <c r="R447" s="1"/>
  <c r="AM448"/>
  <c r="AL448"/>
  <c r="AN448"/>
  <c r="EO448"/>
  <c r="AH448"/>
  <c r="AG448" s="1"/>
  <c r="EN448"/>
  <c r="AI448"/>
  <c r="BO448"/>
  <c r="P448" s="1"/>
  <c r="AM449"/>
  <c r="AL449"/>
  <c r="AN449" s="1"/>
  <c r="EO449"/>
  <c r="AH449" s="1"/>
  <c r="EN449"/>
  <c r="AI449" s="1"/>
  <c r="BO449"/>
  <c r="P449"/>
  <c r="R449" s="1"/>
  <c r="Z449" s="1"/>
  <c r="X449"/>
  <c r="AM450"/>
  <c r="AL450"/>
  <c r="AN450" s="1"/>
  <c r="EO450"/>
  <c r="AH450" s="1"/>
  <c r="AG450" s="1"/>
  <c r="EN450"/>
  <c r="AI450" s="1"/>
  <c r="BO450"/>
  <c r="P450"/>
  <c r="R450" s="1"/>
  <c r="EO451"/>
  <c r="EN451"/>
  <c r="BL451"/>
  <c r="AM454"/>
  <c r="AL454"/>
  <c r="AN454" s="1"/>
  <c r="EO454"/>
  <c r="AH454" s="1"/>
  <c r="EN454"/>
  <c r="AI454" s="1"/>
  <c r="BO454"/>
  <c r="P454"/>
  <c r="R454" s="1"/>
  <c r="Z454" s="1"/>
  <c r="X454"/>
  <c r="AM455"/>
  <c r="AL455"/>
  <c r="AN455"/>
  <c r="EO455"/>
  <c r="AH455"/>
  <c r="AG455" s="1"/>
  <c r="EN455"/>
  <c r="AI455"/>
  <c r="BO455"/>
  <c r="P455" s="1"/>
  <c r="X455"/>
  <c r="AM456"/>
  <c r="AL456"/>
  <c r="AN456" s="1"/>
  <c r="EO456"/>
  <c r="AH456" s="1"/>
  <c r="EN456"/>
  <c r="AI456" s="1"/>
  <c r="BO456"/>
  <c r="P456"/>
  <c r="R456" s="1"/>
  <c r="Z456" s="1"/>
  <c r="X456"/>
  <c r="AM457"/>
  <c r="AL457"/>
  <c r="AN457"/>
  <c r="EO457"/>
  <c r="AH457"/>
  <c r="AG457" s="1"/>
  <c r="EN457"/>
  <c r="AI457"/>
  <c r="BO457"/>
  <c r="P457" s="1"/>
  <c r="X457"/>
  <c r="AM458"/>
  <c r="AL458"/>
  <c r="AN458" s="1"/>
  <c r="EO458"/>
  <c r="AH458" s="1"/>
  <c r="EN458"/>
  <c r="AI458" s="1"/>
  <c r="BO458"/>
  <c r="P458"/>
  <c r="R458" s="1"/>
  <c r="Z458" s="1"/>
  <c r="X458"/>
  <c r="AM459"/>
  <c r="AL459"/>
  <c r="AN459"/>
  <c r="EO459"/>
  <c r="AH459"/>
  <c r="AG459" s="1"/>
  <c r="EN459"/>
  <c r="AI459"/>
  <c r="BO459"/>
  <c r="P459" s="1"/>
  <c r="X459"/>
  <c r="AM460"/>
  <c r="AL460"/>
  <c r="AN460" s="1"/>
  <c r="EO460"/>
  <c r="AH460" s="1"/>
  <c r="EN460"/>
  <c r="AI460" s="1"/>
  <c r="BO460"/>
  <c r="P460"/>
  <c r="R460" s="1"/>
  <c r="EO461"/>
  <c r="EN461"/>
  <c r="BL461"/>
  <c r="AM464"/>
  <c r="AL464"/>
  <c r="AN464"/>
  <c r="EO464"/>
  <c r="AH464"/>
  <c r="AG464" s="1"/>
  <c r="EN464"/>
  <c r="AI464"/>
  <c r="BO464"/>
  <c r="P464" s="1"/>
  <c r="X464"/>
  <c r="AM465"/>
  <c r="AL465"/>
  <c r="AN465" s="1"/>
  <c r="EO465"/>
  <c r="AH465" s="1"/>
  <c r="EN465"/>
  <c r="AI465" s="1"/>
  <c r="BO465"/>
  <c r="P465"/>
  <c r="R465" s="1"/>
  <c r="Z465" s="1"/>
  <c r="X465"/>
  <c r="AM466"/>
  <c r="AL466"/>
  <c r="AN466"/>
  <c r="EO466"/>
  <c r="AH466"/>
  <c r="AG466" s="1"/>
  <c r="EN466"/>
  <c r="AI466"/>
  <c r="BO466"/>
  <c r="P466" s="1"/>
  <c r="X466"/>
  <c r="AM467"/>
  <c r="AL467"/>
  <c r="AN467" s="1"/>
  <c r="EO467"/>
  <c r="AH467" s="1"/>
  <c r="EN467"/>
  <c r="AI467" s="1"/>
  <c r="BO467"/>
  <c r="P467"/>
  <c r="R467" s="1"/>
  <c r="Z467" s="1"/>
  <c r="X467"/>
  <c r="AM468"/>
  <c r="AL468"/>
  <c r="AN468"/>
  <c r="EO468"/>
  <c r="AH468"/>
  <c r="AG468" s="1"/>
  <c r="EN468"/>
  <c r="AI468"/>
  <c r="BO468"/>
  <c r="P468" s="1"/>
  <c r="AM469"/>
  <c r="AL469"/>
  <c r="AN469" s="1"/>
  <c r="EO469"/>
  <c r="AH469" s="1"/>
  <c r="AG469" s="1"/>
  <c r="EN469"/>
  <c r="AI469" s="1"/>
  <c r="BO469"/>
  <c r="P469"/>
  <c r="R469" s="1"/>
  <c r="X469"/>
  <c r="AM470"/>
  <c r="AL470"/>
  <c r="AN470"/>
  <c r="EO470"/>
  <c r="AH470"/>
  <c r="AG470" s="1"/>
  <c r="EN470"/>
  <c r="AI470"/>
  <c r="BO470"/>
  <c r="P470" s="1"/>
  <c r="AM471"/>
  <c r="AL471"/>
  <c r="AN471" s="1"/>
  <c r="EO471"/>
  <c r="AH471" s="1"/>
  <c r="EN471"/>
  <c r="AI471" s="1"/>
  <c r="BO471"/>
  <c r="P471"/>
  <c r="R471" s="1"/>
  <c r="AM472"/>
  <c r="AL472"/>
  <c r="AN472"/>
  <c r="EO472"/>
  <c r="AH472"/>
  <c r="AG472" s="1"/>
  <c r="EN472"/>
  <c r="AI472"/>
  <c r="BO472"/>
  <c r="P472" s="1"/>
  <c r="X472"/>
  <c r="AM473"/>
  <c r="AL473"/>
  <c r="AN473"/>
  <c r="EO473"/>
  <c r="AH473"/>
  <c r="AG473" s="1"/>
  <c r="EN473"/>
  <c r="AI473"/>
  <c r="BO473"/>
  <c r="P473" s="1"/>
  <c r="X473"/>
  <c r="AM474"/>
  <c r="AL474"/>
  <c r="AN474" s="1"/>
  <c r="EO474"/>
  <c r="AH474" s="1"/>
  <c r="EN474"/>
  <c r="AI474" s="1"/>
  <c r="BO474"/>
  <c r="P474"/>
  <c r="R474" s="1"/>
  <c r="Z474" s="1"/>
  <c r="X474"/>
  <c r="AM475"/>
  <c r="AL475"/>
  <c r="AN475"/>
  <c r="EO475"/>
  <c r="AH475"/>
  <c r="AG475" s="1"/>
  <c r="EN475"/>
  <c r="AI475"/>
  <c r="BO475"/>
  <c r="P475" s="1"/>
  <c r="X475"/>
  <c r="AM476"/>
  <c r="AL476"/>
  <c r="AN476" s="1"/>
  <c r="EO476"/>
  <c r="AH476" s="1"/>
  <c r="EN476"/>
  <c r="AI476" s="1"/>
  <c r="BO476"/>
  <c r="P476"/>
  <c r="R476" s="1"/>
  <c r="Z476" s="1"/>
  <c r="X476"/>
  <c r="AM477"/>
  <c r="AL477"/>
  <c r="AN477"/>
  <c r="EO477"/>
  <c r="AH477"/>
  <c r="AG477" s="1"/>
  <c r="EN477"/>
  <c r="AI477"/>
  <c r="BO477"/>
  <c r="P477" s="1"/>
  <c r="AM478"/>
  <c r="AL478"/>
  <c r="AN478" s="1"/>
  <c r="EO478"/>
  <c r="AH478" s="1"/>
  <c r="AG478" s="1"/>
  <c r="EN478"/>
  <c r="AI478" s="1"/>
  <c r="BO478"/>
  <c r="P478"/>
  <c r="R478" s="1"/>
  <c r="AM479"/>
  <c r="AL479"/>
  <c r="AN479"/>
  <c r="EO479"/>
  <c r="AH479"/>
  <c r="AG479" s="1"/>
  <c r="EN479"/>
  <c r="AI479"/>
  <c r="BO479"/>
  <c r="P479" s="1"/>
  <c r="X479"/>
  <c r="AM480"/>
  <c r="AL480"/>
  <c r="AN480" s="1"/>
  <c r="EO480"/>
  <c r="AH480" s="1"/>
  <c r="EN480"/>
  <c r="AI480" s="1"/>
  <c r="BO480"/>
  <c r="P480"/>
  <c r="R480" s="1"/>
  <c r="Z480" s="1"/>
  <c r="X480"/>
  <c r="AM481"/>
  <c r="AL481"/>
  <c r="AN481"/>
  <c r="EO481"/>
  <c r="AH481"/>
  <c r="AG481" s="1"/>
  <c r="EN481"/>
  <c r="AI481"/>
  <c r="BO481"/>
  <c r="P481" s="1"/>
  <c r="X481"/>
  <c r="AM482"/>
  <c r="AL482"/>
  <c r="AN482" s="1"/>
  <c r="EO482"/>
  <c r="AH482" s="1"/>
  <c r="EN482"/>
  <c r="AI482" s="1"/>
  <c r="BO482"/>
  <c r="P482"/>
  <c r="R482" s="1"/>
  <c r="Z482" s="1"/>
  <c r="X482"/>
  <c r="AM483"/>
  <c r="AL483"/>
  <c r="AN483"/>
  <c r="EO483"/>
  <c r="AH483"/>
  <c r="AG483" s="1"/>
  <c r="EN483"/>
  <c r="AI483"/>
  <c r="BO483"/>
  <c r="P483" s="1"/>
  <c r="AM484"/>
  <c r="AL484"/>
  <c r="AN484" s="1"/>
  <c r="EO484"/>
  <c r="AH484" s="1"/>
  <c r="AG484" s="1"/>
  <c r="EN484"/>
  <c r="AI484" s="1"/>
  <c r="BO484"/>
  <c r="P484"/>
  <c r="R484" s="1"/>
  <c r="X484"/>
  <c r="AM485"/>
  <c r="AL485"/>
  <c r="AN485"/>
  <c r="EO485"/>
  <c r="AH485"/>
  <c r="AG485" s="1"/>
  <c r="EN485"/>
  <c r="AI485"/>
  <c r="BO485"/>
  <c r="P485" s="1"/>
  <c r="X485"/>
  <c r="AM486"/>
  <c r="AL486"/>
  <c r="AN486"/>
  <c r="EO486"/>
  <c r="AH486"/>
  <c r="AG486" s="1"/>
  <c r="EN486"/>
  <c r="AI486"/>
  <c r="BO486"/>
  <c r="P486" s="1"/>
  <c r="X486"/>
  <c r="AM487"/>
  <c r="AL487"/>
  <c r="AN487" s="1"/>
  <c r="EO487"/>
  <c r="AH487" s="1"/>
  <c r="EN487"/>
  <c r="AI487" s="1"/>
  <c r="BO487"/>
  <c r="P487"/>
  <c r="R487" s="1"/>
  <c r="Z487" s="1"/>
  <c r="X487"/>
  <c r="AM488"/>
  <c r="AL488"/>
  <c r="AN488"/>
  <c r="EO488"/>
  <c r="AH488"/>
  <c r="AG488" s="1"/>
  <c r="EN488"/>
  <c r="AI488"/>
  <c r="BO488"/>
  <c r="P488" s="1"/>
  <c r="AM489"/>
  <c r="AL489"/>
  <c r="AN489" s="1"/>
  <c r="EO489"/>
  <c r="AH489" s="1"/>
  <c r="AG489" s="1"/>
  <c r="EN489"/>
  <c r="AI489" s="1"/>
  <c r="BO489"/>
  <c r="P489"/>
  <c r="R489" s="1"/>
  <c r="X489"/>
  <c r="AM490"/>
  <c r="AL490"/>
  <c r="AN490"/>
  <c r="EO490"/>
  <c r="AH490"/>
  <c r="AG490" s="1"/>
  <c r="EN490"/>
  <c r="AI490"/>
  <c r="BO490"/>
  <c r="P490" s="1"/>
  <c r="X490"/>
  <c r="AM491"/>
  <c r="AL491"/>
  <c r="AN491" s="1"/>
  <c r="EO491"/>
  <c r="AH491" s="1"/>
  <c r="AG491" s="1"/>
  <c r="EN491"/>
  <c r="AI491" s="1"/>
  <c r="BO491"/>
  <c r="P491"/>
  <c r="R491" s="1"/>
  <c r="AM492"/>
  <c r="AL492"/>
  <c r="AN492" s="1"/>
  <c r="EO492"/>
  <c r="AH492" s="1"/>
  <c r="AG492" s="1"/>
  <c r="EN492"/>
  <c r="AI492" s="1"/>
  <c r="BO492"/>
  <c r="P492"/>
  <c r="R492" s="1"/>
  <c r="X492"/>
  <c r="AM493"/>
  <c r="AL493"/>
  <c r="AN493"/>
  <c r="EO493"/>
  <c r="AH493"/>
  <c r="AG493" s="1"/>
  <c r="EN493"/>
  <c r="AI493"/>
  <c r="BO493"/>
  <c r="P493" s="1"/>
  <c r="X493"/>
  <c r="AM494"/>
  <c r="AL494"/>
  <c r="AN494" s="1"/>
  <c r="EO494"/>
  <c r="AH494" s="1"/>
  <c r="AG494" s="1"/>
  <c r="EN494"/>
  <c r="AI494" s="1"/>
  <c r="BO494"/>
  <c r="P494"/>
  <c r="R494" s="1"/>
  <c r="X494"/>
  <c r="AM495"/>
  <c r="AL495"/>
  <c r="AN495"/>
  <c r="EO495"/>
  <c r="AH495"/>
  <c r="AG495" s="1"/>
  <c r="EN495"/>
  <c r="AI495"/>
  <c r="BO495"/>
  <c r="P495" s="1"/>
  <c r="X495"/>
  <c r="AM508"/>
  <c r="AL508"/>
  <c r="AN508"/>
  <c r="EO508"/>
  <c r="AH508"/>
  <c r="AG508" s="1"/>
  <c r="EN508"/>
  <c r="AI508"/>
  <c r="BO508"/>
  <c r="P508" s="1"/>
  <c r="X508"/>
  <c r="AM507"/>
  <c r="AL507"/>
  <c r="AN507" s="1"/>
  <c r="EO507"/>
  <c r="AH507" s="1"/>
  <c r="EN507"/>
  <c r="AI507" s="1"/>
  <c r="AM506"/>
  <c r="AL506"/>
  <c r="AN506"/>
  <c r="EO506"/>
  <c r="AH506"/>
  <c r="AG506" s="1"/>
  <c r="AJ506" s="1"/>
  <c r="EN506"/>
  <c r="AI506"/>
  <c r="AM505"/>
  <c r="AL505"/>
  <c r="AN505" s="1"/>
  <c r="EO505"/>
  <c r="AH505" s="1"/>
  <c r="AG505" s="1"/>
  <c r="AJ505" s="1"/>
  <c r="EN505"/>
  <c r="AI505" s="1"/>
  <c r="AM504"/>
  <c r="AL504"/>
  <c r="AN504"/>
  <c r="EO504"/>
  <c r="AH504"/>
  <c r="AG504" s="1"/>
  <c r="EN504"/>
  <c r="AI504"/>
  <c r="BO504"/>
  <c r="P504" s="1"/>
  <c r="X504"/>
  <c r="AM503"/>
  <c r="AL503"/>
  <c r="AN503" s="1"/>
  <c r="EO503"/>
  <c r="AH503" s="1"/>
  <c r="EN503"/>
  <c r="AI503" s="1"/>
  <c r="BO503"/>
  <c r="P503"/>
  <c r="R503" s="1"/>
  <c r="Z503" s="1"/>
  <c r="X503"/>
  <c r="AM502"/>
  <c r="AL502"/>
  <c r="AN502"/>
  <c r="EO502"/>
  <c r="AH502"/>
  <c r="AG502" s="1"/>
  <c r="EN502"/>
  <c r="AI502"/>
  <c r="BO502"/>
  <c r="P502" s="1"/>
  <c r="X502"/>
  <c r="AM501"/>
  <c r="AL501"/>
  <c r="AN501" s="1"/>
  <c r="EO501"/>
  <c r="AH501" s="1"/>
  <c r="EN501"/>
  <c r="AI501" s="1"/>
  <c r="BO501"/>
  <c r="P501"/>
  <c r="R501" s="1"/>
  <c r="Z501" s="1"/>
  <c r="X501"/>
  <c r="AM500"/>
  <c r="AL500"/>
  <c r="AN500"/>
  <c r="EO500"/>
  <c r="AH500"/>
  <c r="AG500" s="1"/>
  <c r="EN500"/>
  <c r="AI500"/>
  <c r="BO500"/>
  <c r="P500" s="1"/>
  <c r="X500"/>
  <c r="AM499"/>
  <c r="AL499"/>
  <c r="AN499" s="1"/>
  <c r="EO499"/>
  <c r="AH499" s="1"/>
  <c r="EN499"/>
  <c r="AI499" s="1"/>
  <c r="BO499"/>
  <c r="P499"/>
  <c r="R499" s="1"/>
  <c r="Z499" s="1"/>
  <c r="X499"/>
  <c r="AM498"/>
  <c r="AL498"/>
  <c r="AN498"/>
  <c r="EO498"/>
  <c r="AH498"/>
  <c r="AG498" s="1"/>
  <c r="EN498"/>
  <c r="AI498"/>
  <c r="BO498"/>
  <c r="P498" s="1"/>
  <c r="X498"/>
  <c r="AM497"/>
  <c r="AL497"/>
  <c r="AN497" s="1"/>
  <c r="EO497"/>
  <c r="AH497" s="1"/>
  <c r="EN497"/>
  <c r="AI497" s="1"/>
  <c r="BO497"/>
  <c r="P497"/>
  <c r="R497" s="1"/>
  <c r="Z497" s="1"/>
  <c r="X497"/>
  <c r="AM496"/>
  <c r="AL496"/>
  <c r="AN496"/>
  <c r="EO496"/>
  <c r="AH496"/>
  <c r="AG496" s="1"/>
  <c r="EN496"/>
  <c r="AI496"/>
  <c r="BO496"/>
  <c r="P496" s="1"/>
  <c r="X496"/>
  <c r="AM509"/>
  <c r="AL509"/>
  <c r="AN509"/>
  <c r="EO509"/>
  <c r="AH509"/>
  <c r="AG509" s="1"/>
  <c r="EN509"/>
  <c r="AI509"/>
  <c r="BO509"/>
  <c r="P509" s="1"/>
  <c r="X509"/>
  <c r="AM510"/>
  <c r="AL510"/>
  <c r="AN510" s="1"/>
  <c r="EO510"/>
  <c r="AH510" s="1"/>
  <c r="AG510" s="1"/>
  <c r="EN510"/>
  <c r="AI510" s="1"/>
  <c r="BO510"/>
  <c r="P510"/>
  <c r="R510" s="1"/>
  <c r="AM511"/>
  <c r="AL511"/>
  <c r="AN511" s="1"/>
  <c r="EO511"/>
  <c r="AH511" s="1"/>
  <c r="AG511" s="1"/>
  <c r="EN511"/>
  <c r="AI511" s="1"/>
  <c r="BO511"/>
  <c r="P511"/>
  <c r="R511" s="1"/>
  <c r="X511"/>
  <c r="AM512"/>
  <c r="AL512"/>
  <c r="AN512"/>
  <c r="EO512"/>
  <c r="AH512"/>
  <c r="AG512" s="1"/>
  <c r="AJ512" s="1"/>
  <c r="EN512"/>
  <c r="AI512"/>
  <c r="AM513"/>
  <c r="AL513"/>
  <c r="AN513" s="1"/>
  <c r="EO513"/>
  <c r="AH513" s="1"/>
  <c r="AG513" s="1"/>
  <c r="EN513"/>
  <c r="AI513" s="1"/>
  <c r="BO513"/>
  <c r="P513"/>
  <c r="R513" s="1"/>
  <c r="X513"/>
  <c r="AM514"/>
  <c r="AL514"/>
  <c r="AN514"/>
  <c r="EO514"/>
  <c r="AH514"/>
  <c r="AG514" s="1"/>
  <c r="EN514"/>
  <c r="AI514"/>
  <c r="BO514"/>
  <c r="P514" s="1"/>
  <c r="X514"/>
  <c r="AM515"/>
  <c r="AL515"/>
  <c r="AN515" s="1"/>
  <c r="EO515"/>
  <c r="AH515" s="1"/>
  <c r="AG515" s="1"/>
  <c r="EN515"/>
  <c r="AI515" s="1"/>
  <c r="BO515"/>
  <c r="P515"/>
  <c r="R515" s="1"/>
  <c r="X515"/>
  <c r="AM516"/>
  <c r="AL516"/>
  <c r="AN516"/>
  <c r="EO516"/>
  <c r="AH516"/>
  <c r="AG516" s="1"/>
  <c r="EN516"/>
  <c r="AI516"/>
  <c r="BO516"/>
  <c r="P516" s="1"/>
  <c r="X516"/>
  <c r="AM517"/>
  <c r="AL517"/>
  <c r="AN517" s="1"/>
  <c r="EO517"/>
  <c r="AH517" s="1"/>
  <c r="AG517" s="1"/>
  <c r="EN517"/>
  <c r="AI517" s="1"/>
  <c r="BO517"/>
  <c r="P517"/>
  <c r="R517" s="1"/>
  <c r="X517"/>
  <c r="AM518"/>
  <c r="AL518"/>
  <c r="AN518"/>
  <c r="EO518"/>
  <c r="AH518"/>
  <c r="AG518" s="1"/>
  <c r="EN518"/>
  <c r="AI518"/>
  <c r="BO518"/>
  <c r="P518" s="1"/>
  <c r="X518"/>
  <c r="AM519"/>
  <c r="AL519"/>
  <c r="AN519"/>
  <c r="EO519"/>
  <c r="AH519"/>
  <c r="AG519" s="1"/>
  <c r="EN519"/>
  <c r="AI519"/>
  <c r="BO519"/>
  <c r="P519" s="1"/>
  <c r="X519"/>
  <c r="AM520"/>
  <c r="AL520"/>
  <c r="AN520" s="1"/>
  <c r="EO520"/>
  <c r="AH520" s="1"/>
  <c r="EN520"/>
  <c r="AI520" s="1"/>
  <c r="BO520"/>
  <c r="P520"/>
  <c r="R520" s="1"/>
  <c r="Z520" s="1"/>
  <c r="X520"/>
  <c r="AM521"/>
  <c r="AL521"/>
  <c r="AN521"/>
  <c r="EO521"/>
  <c r="AH521"/>
  <c r="AG521" s="1"/>
  <c r="EN521"/>
  <c r="AI521"/>
  <c r="BO521"/>
  <c r="P521" s="1"/>
  <c r="X521"/>
  <c r="AM522"/>
  <c r="AL522"/>
  <c r="AN522" s="1"/>
  <c r="EO522"/>
  <c r="AH522" s="1"/>
  <c r="EN522"/>
  <c r="AI522" s="1"/>
  <c r="BO522"/>
  <c r="P522"/>
  <c r="R522" s="1"/>
  <c r="Z522" s="1"/>
  <c r="X522"/>
  <c r="AM523"/>
  <c r="AL523"/>
  <c r="AN523"/>
  <c r="EO523"/>
  <c r="AH523"/>
  <c r="AG523" s="1"/>
  <c r="EN523"/>
  <c r="AI523"/>
  <c r="BO523"/>
  <c r="P523" s="1"/>
  <c r="X523"/>
  <c r="AM524"/>
  <c r="AL524"/>
  <c r="AN524" s="1"/>
  <c r="EO524"/>
  <c r="AH524" s="1"/>
  <c r="EN524"/>
  <c r="AI524" s="1"/>
  <c r="BO524"/>
  <c r="P524"/>
  <c r="R524" s="1"/>
  <c r="Z524" s="1"/>
  <c r="X524"/>
  <c r="AM525"/>
  <c r="AL525"/>
  <c r="AN525"/>
  <c r="EO525"/>
  <c r="AH525"/>
  <c r="AG525" s="1"/>
  <c r="EN525"/>
  <c r="AI525"/>
  <c r="BO525"/>
  <c r="P525" s="1"/>
  <c r="AM526"/>
  <c r="AL526"/>
  <c r="AN526" s="1"/>
  <c r="EO526"/>
  <c r="AH526" s="1"/>
  <c r="AG526" s="1"/>
  <c r="EN526"/>
  <c r="AI526" s="1"/>
  <c r="BO526"/>
  <c r="P526"/>
  <c r="R526" s="1"/>
  <c r="X526"/>
  <c r="AM527"/>
  <c r="AL527"/>
  <c r="AN527" s="1"/>
  <c r="EO527"/>
  <c r="AH527" s="1"/>
  <c r="EN527"/>
  <c r="AI527" s="1"/>
  <c r="BO527"/>
  <c r="P527"/>
  <c r="R527" s="1"/>
  <c r="Z527" s="1"/>
  <c r="X527"/>
  <c r="AM538"/>
  <c r="AL538"/>
  <c r="AN538" s="1"/>
  <c r="EO538"/>
  <c r="AH538" s="1"/>
  <c r="AG538" s="1"/>
  <c r="EN538"/>
  <c r="AI538" s="1"/>
  <c r="BO538"/>
  <c r="P538"/>
  <c r="R538" s="1"/>
  <c r="X538"/>
  <c r="AM537"/>
  <c r="AL537"/>
  <c r="AN537"/>
  <c r="EO537"/>
  <c r="AH537"/>
  <c r="AG537" s="1"/>
  <c r="EN537"/>
  <c r="AI537"/>
  <c r="BO537"/>
  <c r="P537" s="1"/>
  <c r="X537"/>
  <c r="AM536"/>
  <c r="AL536"/>
  <c r="AN536" s="1"/>
  <c r="EO536"/>
  <c r="AH536" s="1"/>
  <c r="AG536" s="1"/>
  <c r="EN536"/>
  <c r="AI536" s="1"/>
  <c r="BO536"/>
  <c r="P536"/>
  <c r="R536" s="1"/>
  <c r="X536"/>
  <c r="AM535"/>
  <c r="AL535"/>
  <c r="AN535"/>
  <c r="EO535"/>
  <c r="AH535"/>
  <c r="AG535" s="1"/>
  <c r="EN535"/>
  <c r="AI535"/>
  <c r="BO535"/>
  <c r="P535" s="1"/>
  <c r="X535"/>
  <c r="AM534"/>
  <c r="AL534"/>
  <c r="AN534" s="1"/>
  <c r="EO534"/>
  <c r="AH534" s="1"/>
  <c r="AG534" s="1"/>
  <c r="EN534"/>
  <c r="AI534" s="1"/>
  <c r="BO534"/>
  <c r="P534"/>
  <c r="R534" s="1"/>
  <c r="X534"/>
  <c r="AM533"/>
  <c r="AL533"/>
  <c r="AN533"/>
  <c r="EO533"/>
  <c r="AH533"/>
  <c r="AG533" s="1"/>
  <c r="AJ533" s="1"/>
  <c r="EN533"/>
  <c r="AI533"/>
  <c r="AM532"/>
  <c r="AL532"/>
  <c r="AN532" s="1"/>
  <c r="EO532"/>
  <c r="AH532" s="1"/>
  <c r="EN532"/>
  <c r="AI532" s="1"/>
  <c r="BO532"/>
  <c r="P532"/>
  <c r="R532" s="1"/>
  <c r="X532"/>
  <c r="AM531"/>
  <c r="AL531"/>
  <c r="AN531"/>
  <c r="EO531"/>
  <c r="AH531"/>
  <c r="AG531" s="1"/>
  <c r="EN531"/>
  <c r="AI531"/>
  <c r="BO531"/>
  <c r="P531" s="1"/>
  <c r="X531"/>
  <c r="AM530"/>
  <c r="AL530"/>
  <c r="AN530" s="1"/>
  <c r="EO530"/>
  <c r="AH530" s="1"/>
  <c r="EN530"/>
  <c r="AI530" s="1"/>
  <c r="BO530"/>
  <c r="P530"/>
  <c r="R530" s="1"/>
  <c r="X530"/>
  <c r="AM529"/>
  <c r="AL529"/>
  <c r="AN529"/>
  <c r="EO529"/>
  <c r="AH529"/>
  <c r="AG529" s="1"/>
  <c r="AJ529" s="1"/>
  <c r="EN529"/>
  <c r="AI529"/>
  <c r="AM528"/>
  <c r="AL528"/>
  <c r="AN528" s="1"/>
  <c r="EO528"/>
  <c r="AH528" s="1"/>
  <c r="EN528"/>
  <c r="AI528" s="1"/>
  <c r="BO528"/>
  <c r="P528"/>
  <c r="R528" s="1"/>
  <c r="X528"/>
  <c r="AM539"/>
  <c r="AL539"/>
  <c r="AN539" s="1"/>
  <c r="EO539"/>
  <c r="AH539" s="1"/>
  <c r="AG539" s="1"/>
  <c r="EN539"/>
  <c r="AI539" s="1"/>
  <c r="BO539"/>
  <c r="P539"/>
  <c r="R539" s="1"/>
  <c r="Z539" s="1"/>
  <c r="X539"/>
  <c r="AM540"/>
  <c r="AL540"/>
  <c r="AN540" s="1"/>
  <c r="EO540"/>
  <c r="AH540" s="1"/>
  <c r="EN540"/>
  <c r="AI540" s="1"/>
  <c r="BO540"/>
  <c r="P540"/>
  <c r="R540" s="1"/>
  <c r="X540"/>
  <c r="AM541"/>
  <c r="AL541"/>
  <c r="AN541"/>
  <c r="EO541"/>
  <c r="AH541"/>
  <c r="AG541" s="1"/>
  <c r="AJ541" s="1"/>
  <c r="EN541"/>
  <c r="AI541"/>
  <c r="AM542"/>
  <c r="AL542"/>
  <c r="AN542" s="1"/>
  <c r="EO542"/>
  <c r="AH542" s="1"/>
  <c r="EN542"/>
  <c r="AI542" s="1"/>
  <c r="AM543"/>
  <c r="AL543"/>
  <c r="AN543"/>
  <c r="EO543"/>
  <c r="AH543"/>
  <c r="AG543" s="1"/>
  <c r="EN543"/>
  <c r="AI543"/>
  <c r="BO543"/>
  <c r="P543" s="1"/>
  <c r="X543"/>
  <c r="AM544"/>
  <c r="AL544"/>
  <c r="AN544" s="1"/>
  <c r="EO544"/>
  <c r="AH544" s="1"/>
  <c r="AG544" s="1"/>
  <c r="AJ544" s="1"/>
  <c r="EN544"/>
  <c r="AI544" s="1"/>
  <c r="AM545"/>
  <c r="AL545"/>
  <c r="AN545"/>
  <c r="EO545"/>
  <c r="AH545"/>
  <c r="AG545" s="1"/>
  <c r="EN545"/>
  <c r="AI545"/>
  <c r="BO545"/>
  <c r="P545" s="1"/>
  <c r="X545"/>
  <c r="AM546"/>
  <c r="AL546"/>
  <c r="AN546" s="1"/>
  <c r="EO546"/>
  <c r="AH546" s="1"/>
  <c r="EN546"/>
  <c r="AI546" s="1"/>
  <c r="BO546"/>
  <c r="P546"/>
  <c r="R546" s="1"/>
  <c r="X546"/>
  <c r="AM547"/>
  <c r="AL547"/>
  <c r="AN547"/>
  <c r="EO547"/>
  <c r="AH547"/>
  <c r="AG547" s="1"/>
  <c r="EN547"/>
  <c r="AI547"/>
  <c r="BO547"/>
  <c r="P547" s="1"/>
  <c r="X547"/>
  <c r="AM548"/>
  <c r="AL548"/>
  <c r="AN548" s="1"/>
  <c r="EO548"/>
  <c r="AH548" s="1"/>
  <c r="EN548"/>
  <c r="AI548" s="1"/>
  <c r="BO548"/>
  <c r="P548"/>
  <c r="R548" s="1"/>
  <c r="X548"/>
  <c r="AM549"/>
  <c r="AL549"/>
  <c r="AN549"/>
  <c r="EO549"/>
  <c r="AH549"/>
  <c r="AG549" s="1"/>
  <c r="EN549"/>
  <c r="AI549"/>
  <c r="BO549"/>
  <c r="P549" s="1"/>
  <c r="X549"/>
  <c r="AM550"/>
  <c r="AL550"/>
  <c r="AN550" s="1"/>
  <c r="EO550"/>
  <c r="AH550" s="1"/>
  <c r="EN550"/>
  <c r="AI550" s="1"/>
  <c r="BO550"/>
  <c r="P550"/>
  <c r="R550" s="1"/>
  <c r="X550"/>
  <c r="AM551"/>
  <c r="AL551"/>
  <c r="AN551"/>
  <c r="EO551"/>
  <c r="AH551"/>
  <c r="AG551" s="1"/>
  <c r="EN551"/>
  <c r="AI551"/>
  <c r="BO551"/>
  <c r="P551" s="1"/>
  <c r="X551"/>
  <c r="AM552"/>
  <c r="AL552"/>
  <c r="AN552" s="1"/>
  <c r="EO552"/>
  <c r="AH552" s="1"/>
  <c r="EN552"/>
  <c r="AI552" s="1"/>
  <c r="BO552"/>
  <c r="P552"/>
  <c r="R552" s="1"/>
  <c r="AM553"/>
  <c r="AL553"/>
  <c r="AN553"/>
  <c r="EO553"/>
  <c r="AH553"/>
  <c r="AG553" s="1"/>
  <c r="EN553"/>
  <c r="AI553"/>
  <c r="BO553"/>
  <c r="P553" s="1"/>
  <c r="X553"/>
  <c r="AM554"/>
  <c r="AL554"/>
  <c r="AN554" s="1"/>
  <c r="EO554"/>
  <c r="AH554" s="1"/>
  <c r="AG554" s="1"/>
  <c r="EN554"/>
  <c r="AI554" s="1"/>
  <c r="BO554"/>
  <c r="P554"/>
  <c r="R554" s="1"/>
  <c r="Z554" s="1"/>
  <c r="X554"/>
  <c r="AM555"/>
  <c r="AL555"/>
  <c r="AN555"/>
  <c r="EO555"/>
  <c r="AH555"/>
  <c r="AG555" s="1"/>
  <c r="EN555"/>
  <c r="AI555"/>
  <c r="AM556"/>
  <c r="AL556"/>
  <c r="AN556" s="1"/>
  <c r="EO556"/>
  <c r="AH556" s="1"/>
  <c r="AG556" s="1"/>
  <c r="EN556"/>
  <c r="AI556" s="1"/>
  <c r="BO556"/>
  <c r="P556"/>
  <c r="R556" s="1"/>
  <c r="AM557"/>
  <c r="AL557"/>
  <c r="AN557"/>
  <c r="EO557"/>
  <c r="AH557"/>
  <c r="AG557" s="1"/>
  <c r="EN557"/>
  <c r="AI557"/>
  <c r="BO557"/>
  <c r="P557" s="1"/>
  <c r="AM558"/>
  <c r="AL558"/>
  <c r="AN558" s="1"/>
  <c r="EO558"/>
  <c r="AH558" s="1"/>
  <c r="AG558" s="1"/>
  <c r="EN558"/>
  <c r="AI558" s="1"/>
  <c r="BO558"/>
  <c r="P558"/>
  <c r="R558" s="1"/>
  <c r="AM559"/>
  <c r="AL559"/>
  <c r="AN559"/>
  <c r="EO559"/>
  <c r="AH559"/>
  <c r="AG559" s="1"/>
  <c r="EN559"/>
  <c r="AI559"/>
  <c r="BO559"/>
  <c r="P559" s="1"/>
  <c r="X559"/>
  <c r="AM560"/>
  <c r="AL560"/>
  <c r="AN560"/>
  <c r="EO560"/>
  <c r="AH560"/>
  <c r="AG560" s="1"/>
  <c r="EN560"/>
  <c r="AI560"/>
  <c r="BO560"/>
  <c r="P560" s="1"/>
  <c r="AM561"/>
  <c r="AL561"/>
  <c r="AN561" s="1"/>
  <c r="EO561"/>
  <c r="AH561" s="1"/>
  <c r="EN561"/>
  <c r="AI561" s="1"/>
  <c r="BO561"/>
  <c r="P561"/>
  <c r="R561" s="1"/>
  <c r="X561"/>
  <c r="AM562"/>
  <c r="AL562"/>
  <c r="AN562"/>
  <c r="EO562"/>
  <c r="AH562"/>
  <c r="AG562" s="1"/>
  <c r="EN562"/>
  <c r="AI562"/>
  <c r="BO562"/>
  <c r="P562" s="1"/>
  <c r="X562"/>
  <c r="AM563"/>
  <c r="AL563"/>
  <c r="AN563" s="1"/>
  <c r="EO563"/>
  <c r="AH563" s="1"/>
  <c r="EN563"/>
  <c r="AI563" s="1"/>
  <c r="AM564"/>
  <c r="AL564"/>
  <c r="AN564"/>
  <c r="EO564"/>
  <c r="AH564"/>
  <c r="AG564" s="1"/>
  <c r="EN564"/>
  <c r="AI564"/>
  <c r="BO564"/>
  <c r="P564" s="1"/>
  <c r="AM565"/>
  <c r="AL565"/>
  <c r="AN565" s="1"/>
  <c r="EO565"/>
  <c r="AH565" s="1"/>
  <c r="EN565"/>
  <c r="AI565" s="1"/>
  <c r="BO565"/>
  <c r="P565"/>
  <c r="R565" s="1"/>
  <c r="X565"/>
  <c r="AM566"/>
  <c r="AL566"/>
  <c r="AN566"/>
  <c r="EO566"/>
  <c r="AH566"/>
  <c r="AG566" s="1"/>
  <c r="EN566"/>
  <c r="AI566"/>
  <c r="BO566"/>
  <c r="P566" s="1"/>
  <c r="X566"/>
  <c r="AM567"/>
  <c r="AL567"/>
  <c r="AN567" s="1"/>
  <c r="EO567"/>
  <c r="AH567" s="1"/>
  <c r="EN567"/>
  <c r="AI567" s="1"/>
  <c r="BO567"/>
  <c r="P567"/>
  <c r="R567" s="1"/>
  <c r="AM568"/>
  <c r="AL568"/>
  <c r="AN568"/>
  <c r="EO568"/>
  <c r="AH568"/>
  <c r="AG568" s="1"/>
  <c r="EN568"/>
  <c r="AI568"/>
  <c r="BO568"/>
  <c r="P568" s="1"/>
  <c r="AM569"/>
  <c r="AL569"/>
  <c r="AN569"/>
  <c r="EO569"/>
  <c r="AH569"/>
  <c r="AG569" s="1"/>
  <c r="EN569"/>
  <c r="AI569"/>
  <c r="BO569"/>
  <c r="P569" s="1"/>
  <c r="X569"/>
  <c r="AM570"/>
  <c r="AL570"/>
  <c r="AN570" s="1"/>
  <c r="EO570"/>
  <c r="AH570" s="1"/>
  <c r="AG570" s="1"/>
  <c r="EN570"/>
  <c r="AI570" s="1"/>
  <c r="BO570"/>
  <c r="P570"/>
  <c r="R570" s="1"/>
  <c r="AM571"/>
  <c r="AL571"/>
  <c r="AN571"/>
  <c r="EO571"/>
  <c r="AH571"/>
  <c r="AG571" s="1"/>
  <c r="EN571"/>
  <c r="AI571"/>
  <c r="BO571"/>
  <c r="P571" s="1"/>
  <c r="X571"/>
  <c r="AM572"/>
  <c r="AL572"/>
  <c r="AN572" s="1"/>
  <c r="EO572"/>
  <c r="AH572" s="1"/>
  <c r="EN572"/>
  <c r="AI572" s="1"/>
  <c r="BO572"/>
  <c r="P572"/>
  <c r="R572" s="1"/>
  <c r="X572"/>
  <c r="AM573"/>
  <c r="AL573"/>
  <c r="AN573"/>
  <c r="EO573"/>
  <c r="AH573"/>
  <c r="AG573" s="1"/>
  <c r="EN573"/>
  <c r="AI573"/>
  <c r="BO573"/>
  <c r="P573" s="1"/>
  <c r="X573"/>
  <c r="AM574"/>
  <c r="AL574"/>
  <c r="AN574" s="1"/>
  <c r="EO574"/>
  <c r="AH574" s="1"/>
  <c r="EN574"/>
  <c r="AI574" s="1"/>
  <c r="BO574"/>
  <c r="P574"/>
  <c r="R574" s="1"/>
  <c r="X574"/>
  <c r="AM575"/>
  <c r="AL575"/>
  <c r="AN575"/>
  <c r="EO575"/>
  <c r="AH575"/>
  <c r="AG575" s="1"/>
  <c r="EN575"/>
  <c r="AI575"/>
  <c r="BO575"/>
  <c r="P575" s="1"/>
  <c r="AM576"/>
  <c r="AL576"/>
  <c r="AN576" s="1"/>
  <c r="EO576"/>
  <c r="AH576" s="1"/>
  <c r="AG576" s="1"/>
  <c r="EN576"/>
  <c r="AI576" s="1"/>
  <c r="BO576"/>
  <c r="P576"/>
  <c r="R576" s="1"/>
  <c r="AM577"/>
  <c r="AL577"/>
  <c r="AN577"/>
  <c r="EO577"/>
  <c r="AH577"/>
  <c r="AG577" s="1"/>
  <c r="EN577"/>
  <c r="AI577"/>
  <c r="BO577"/>
  <c r="P577" s="1"/>
  <c r="AM578"/>
  <c r="AL578"/>
  <c r="AN578" s="1"/>
  <c r="EO578"/>
  <c r="AH578" s="1"/>
  <c r="AG578" s="1"/>
  <c r="EN578"/>
  <c r="AI578" s="1"/>
  <c r="BO578"/>
  <c r="P578"/>
  <c r="R578" s="1"/>
  <c r="AM579"/>
  <c r="AL579"/>
  <c r="AN579"/>
  <c r="EO579"/>
  <c r="AH579"/>
  <c r="AG579" s="1"/>
  <c r="EN579"/>
  <c r="AI579"/>
  <c r="BO579"/>
  <c r="P579" s="1"/>
  <c r="AM580"/>
  <c r="AL580"/>
  <c r="AN580"/>
  <c r="EO580"/>
  <c r="AH580"/>
  <c r="AG580" s="1"/>
  <c r="EN580"/>
  <c r="AI580"/>
  <c r="BO580"/>
  <c r="P580" s="1"/>
  <c r="X580"/>
  <c r="AM581"/>
  <c r="AL581"/>
  <c r="AN581" s="1"/>
  <c r="EO581"/>
  <c r="AH581" s="1"/>
  <c r="EN581"/>
  <c r="AI581" s="1"/>
  <c r="BO581"/>
  <c r="P581"/>
  <c r="R581" s="1"/>
  <c r="X581"/>
  <c r="AM582"/>
  <c r="AL582"/>
  <c r="AN582"/>
  <c r="EO582"/>
  <c r="AH582"/>
  <c r="AG582" s="1"/>
  <c r="EN582"/>
  <c r="AI582"/>
  <c r="BO582"/>
  <c r="P582" s="1"/>
  <c r="X582"/>
  <c r="AM583"/>
  <c r="AL583"/>
  <c r="AN583" s="1"/>
  <c r="EO583"/>
  <c r="AH583" s="1"/>
  <c r="EN583"/>
  <c r="AI583" s="1"/>
  <c r="BO583"/>
  <c r="P583"/>
  <c r="R583" s="1"/>
  <c r="X583"/>
  <c r="AM584"/>
  <c r="AL584"/>
  <c r="AN584"/>
  <c r="EO584"/>
  <c r="AH584"/>
  <c r="AG584" s="1"/>
  <c r="EN584"/>
  <c r="AI584"/>
  <c r="BO584"/>
  <c r="P584" s="1"/>
  <c r="X584"/>
  <c r="AM585"/>
  <c r="AL585"/>
  <c r="AN585" s="1"/>
  <c r="EO585"/>
  <c r="AH585" s="1"/>
  <c r="EN585"/>
  <c r="AI585" s="1"/>
  <c r="BO585"/>
  <c r="P585"/>
  <c r="R585" s="1"/>
  <c r="AM586"/>
  <c r="AL586"/>
  <c r="AN586"/>
  <c r="EO586"/>
  <c r="AH586"/>
  <c r="AG586" s="1"/>
  <c r="EN586"/>
  <c r="AI586"/>
  <c r="BO586"/>
  <c r="P586" s="1"/>
  <c r="AM587"/>
  <c r="AL587"/>
  <c r="AN587" s="1"/>
  <c r="EO587"/>
  <c r="AH587" s="1"/>
  <c r="EN587"/>
  <c r="AI587" s="1"/>
  <c r="BO587"/>
  <c r="P587"/>
  <c r="R587" s="1"/>
  <c r="AM588"/>
  <c r="AL588"/>
  <c r="AN588"/>
  <c r="EO588"/>
  <c r="AH588"/>
  <c r="AG588" s="1"/>
  <c r="EN588"/>
  <c r="AI588"/>
  <c r="BO588"/>
  <c r="P588" s="1"/>
  <c r="X588"/>
  <c r="AM589"/>
  <c r="AL589"/>
  <c r="AN589" s="1"/>
  <c r="EO589"/>
  <c r="AH589" s="1"/>
  <c r="AG589" s="1"/>
  <c r="EN589"/>
  <c r="AI589" s="1"/>
  <c r="BO589"/>
  <c r="P589"/>
  <c r="R589" s="1"/>
  <c r="AM590"/>
  <c r="AL590"/>
  <c r="AN590"/>
  <c r="EO590"/>
  <c r="AH590"/>
  <c r="AG590" s="1"/>
  <c r="EN590"/>
  <c r="AI590"/>
  <c r="BO590"/>
  <c r="P590" s="1"/>
  <c r="AM591"/>
  <c r="AL591"/>
  <c r="AN591" s="1"/>
  <c r="EO591"/>
  <c r="AH591" s="1"/>
  <c r="AG591" s="1"/>
  <c r="EN591"/>
  <c r="AI591" s="1"/>
  <c r="BO591"/>
  <c r="P591"/>
  <c r="R591" s="1"/>
  <c r="AM592"/>
  <c r="AL592"/>
  <c r="AN592"/>
  <c r="EO592"/>
  <c r="AH592"/>
  <c r="AG592" s="1"/>
  <c r="EN592"/>
  <c r="AI592"/>
  <c r="BO592"/>
  <c r="P592" s="1"/>
  <c r="AM593"/>
  <c r="AL593"/>
  <c r="AN593" s="1"/>
  <c r="EO593"/>
  <c r="AH593" s="1"/>
  <c r="AG593" s="1"/>
  <c r="EN593"/>
  <c r="AI593" s="1"/>
  <c r="BO593"/>
  <c r="P593"/>
  <c r="R593" s="1"/>
  <c r="AM594"/>
  <c r="AL594"/>
  <c r="AN594"/>
  <c r="EO594"/>
  <c r="AH594"/>
  <c r="AG594" s="1"/>
  <c r="EN594"/>
  <c r="AI594"/>
  <c r="BO594"/>
  <c r="P594" s="1"/>
  <c r="X594"/>
  <c r="AM595"/>
  <c r="AL595"/>
  <c r="AN595"/>
  <c r="EO595"/>
  <c r="AH595"/>
  <c r="AG595" s="1"/>
  <c r="EN595"/>
  <c r="AI595"/>
  <c r="BO595"/>
  <c r="P595" s="1"/>
  <c r="X595"/>
  <c r="AM596"/>
  <c r="AL596"/>
  <c r="AN596" s="1"/>
  <c r="EO596"/>
  <c r="AH596" s="1"/>
  <c r="AG596" s="1"/>
  <c r="EN596"/>
  <c r="AI596" s="1"/>
  <c r="BO596"/>
  <c r="P596"/>
  <c r="R596" s="1"/>
  <c r="Z596" s="1"/>
  <c r="X596"/>
  <c r="AM597"/>
  <c r="AL597"/>
  <c r="AN597"/>
  <c r="EO597"/>
  <c r="AH597"/>
  <c r="AG597" s="1"/>
  <c r="EN597"/>
  <c r="AI597"/>
  <c r="BO597"/>
  <c r="P597" s="1"/>
  <c r="X597"/>
  <c r="AM598"/>
  <c r="AL598"/>
  <c r="AN598" s="1"/>
  <c r="EO598"/>
  <c r="AH598" s="1"/>
  <c r="AG598" s="1"/>
  <c r="EN598"/>
  <c r="AI598" s="1"/>
  <c r="BO598"/>
  <c r="P598"/>
  <c r="R598" s="1"/>
  <c r="Z598" s="1"/>
  <c r="X598"/>
  <c r="AM599"/>
  <c r="AL599"/>
  <c r="AN599"/>
  <c r="EO599"/>
  <c r="AH599"/>
  <c r="AG599" s="1"/>
  <c r="EN599"/>
  <c r="AI599"/>
  <c r="BO599"/>
  <c r="P599" s="1"/>
  <c r="X599"/>
  <c r="AM600"/>
  <c r="AL600"/>
  <c r="AN600" s="1"/>
  <c r="EO600"/>
  <c r="AH600" s="1"/>
  <c r="AG600" s="1"/>
  <c r="EN600"/>
  <c r="AI600" s="1"/>
  <c r="BO600"/>
  <c r="P600"/>
  <c r="R600" s="1"/>
  <c r="Z600" s="1"/>
  <c r="X600"/>
  <c r="AM601"/>
  <c r="AL601"/>
  <c r="AN601"/>
  <c r="EO601"/>
  <c r="AH601"/>
  <c r="AG601" s="1"/>
  <c r="EN601"/>
  <c r="AI601"/>
  <c r="BO601"/>
  <c r="P601" s="1"/>
  <c r="X601"/>
  <c r="AM602"/>
  <c r="AL602"/>
  <c r="AN602" s="1"/>
  <c r="EO602"/>
  <c r="AH602" s="1"/>
  <c r="AG602" s="1"/>
  <c r="EN602"/>
  <c r="AI602" s="1"/>
  <c r="BO602"/>
  <c r="P602"/>
  <c r="R602" s="1"/>
  <c r="AM603"/>
  <c r="AL603"/>
  <c r="AN603"/>
  <c r="EO603"/>
  <c r="AH603"/>
  <c r="AG603" s="1"/>
  <c r="EN603"/>
  <c r="AI603"/>
  <c r="BO603"/>
  <c r="P603" s="1"/>
  <c r="AM604"/>
  <c r="AL604"/>
  <c r="AN604" s="1"/>
  <c r="EO604"/>
  <c r="AH604" s="1"/>
  <c r="AG604" s="1"/>
  <c r="EN604"/>
  <c r="AI604" s="1"/>
  <c r="BO604"/>
  <c r="P604"/>
  <c r="R604" s="1"/>
  <c r="AM605"/>
  <c r="AL605"/>
  <c r="AN605"/>
  <c r="EO605"/>
  <c r="AH605"/>
  <c r="AG605" s="1"/>
  <c r="EN605"/>
  <c r="AI605"/>
  <c r="BO605"/>
  <c r="P605" s="1"/>
  <c r="X605"/>
  <c r="AM606"/>
  <c r="AL606"/>
  <c r="AN606" s="1"/>
  <c r="EO606"/>
  <c r="AH606" s="1"/>
  <c r="EN606"/>
  <c r="AI606" s="1"/>
  <c r="BO606"/>
  <c r="P606"/>
  <c r="R606" s="1"/>
  <c r="X606"/>
  <c r="AM607"/>
  <c r="AL607"/>
  <c r="AN607"/>
  <c r="EO607"/>
  <c r="AH607"/>
  <c r="AG607" s="1"/>
  <c r="EN607"/>
  <c r="AI607"/>
  <c r="BO607"/>
  <c r="P607" s="1"/>
  <c r="AM608"/>
  <c r="AL608"/>
  <c r="AN608" s="1"/>
  <c r="EO608"/>
  <c r="AH608" s="1"/>
  <c r="AG608" s="1"/>
  <c r="EN608"/>
  <c r="AI608" s="1"/>
  <c r="BO608"/>
  <c r="P608"/>
  <c r="R608" s="1"/>
  <c r="AM609"/>
  <c r="AL609"/>
  <c r="AN609"/>
  <c r="EO609"/>
  <c r="AH609"/>
  <c r="AG609" s="1"/>
  <c r="EN609"/>
  <c r="AI609"/>
  <c r="BO609"/>
  <c r="P609" s="1"/>
  <c r="AM610"/>
  <c r="AL610"/>
  <c r="AN610"/>
  <c r="EO610"/>
  <c r="AH610"/>
  <c r="AG610" s="1"/>
  <c r="EN610"/>
  <c r="AI610"/>
  <c r="BO610"/>
  <c r="P610" s="1"/>
  <c r="X610"/>
  <c r="AM611"/>
  <c r="AL611"/>
  <c r="AN611" s="1"/>
  <c r="EO611"/>
  <c r="AH611" s="1"/>
  <c r="EN611"/>
  <c r="AI611" s="1"/>
  <c r="BO611"/>
  <c r="P611"/>
  <c r="R611" s="1"/>
  <c r="AM612"/>
  <c r="AL612"/>
  <c r="AN612"/>
  <c r="EO612"/>
  <c r="AH612"/>
  <c r="AG612" s="1"/>
  <c r="EN612"/>
  <c r="AI612"/>
  <c r="BO612"/>
  <c r="P612" s="1"/>
  <c r="X612"/>
  <c r="AM613"/>
  <c r="AL613"/>
  <c r="AN613" s="1"/>
  <c r="EO613"/>
  <c r="AH613" s="1"/>
  <c r="AG613" s="1"/>
  <c r="EN613"/>
  <c r="AI613" s="1"/>
  <c r="BO613"/>
  <c r="P613"/>
  <c r="R613" s="1"/>
  <c r="AM615"/>
  <c r="AL615"/>
  <c r="AN615" s="1"/>
  <c r="EO615"/>
  <c r="AH615" s="1"/>
  <c r="AG615" s="1"/>
  <c r="EN615"/>
  <c r="AI615" s="1"/>
  <c r="BO615"/>
  <c r="P615"/>
  <c r="R615" s="1"/>
  <c r="AM616"/>
  <c r="AL616"/>
  <c r="AN616"/>
  <c r="EO616"/>
  <c r="AH616"/>
  <c r="AG616" s="1"/>
  <c r="EN616"/>
  <c r="AI616"/>
  <c r="BO616"/>
  <c r="P616" s="1"/>
  <c r="X616"/>
  <c r="AM617"/>
  <c r="AL617"/>
  <c r="AN617" s="1"/>
  <c r="EO617"/>
  <c r="AH617" s="1"/>
  <c r="EN617"/>
  <c r="AI617" s="1"/>
  <c r="BO617"/>
  <c r="P617"/>
  <c r="R617" s="1"/>
  <c r="X617"/>
  <c r="AM618"/>
  <c r="AL618"/>
  <c r="AN618"/>
  <c r="EO618"/>
  <c r="AH618"/>
  <c r="AG618" s="1"/>
  <c r="EN618"/>
  <c r="AI618"/>
  <c r="BO618"/>
  <c r="P618" s="1"/>
  <c r="AM619"/>
  <c r="AL619"/>
  <c r="AN619" s="1"/>
  <c r="EO619"/>
  <c r="AH619" s="1"/>
  <c r="AG619" s="1"/>
  <c r="EN619"/>
  <c r="AI619" s="1"/>
  <c r="AM620"/>
  <c r="AL620"/>
  <c r="AN620"/>
  <c r="EO620"/>
  <c r="AH620"/>
  <c r="AG620" s="1"/>
  <c r="EN620"/>
  <c r="AI620"/>
  <c r="BO620"/>
  <c r="P620" s="1"/>
  <c r="X620"/>
  <c r="AM621"/>
  <c r="AL621"/>
  <c r="AN621" s="1"/>
  <c r="EO621"/>
  <c r="AH621" s="1"/>
  <c r="EN621"/>
  <c r="AI621" s="1"/>
  <c r="BO621"/>
  <c r="P621"/>
  <c r="R621" s="1"/>
  <c r="X621"/>
  <c r="AM622"/>
  <c r="AL622"/>
  <c r="AN622" s="1"/>
  <c r="EO622"/>
  <c r="AH622" s="1"/>
  <c r="AG622" s="1"/>
  <c r="EN622"/>
  <c r="AI622" s="1"/>
  <c r="BO622"/>
  <c r="P622"/>
  <c r="R622" s="1"/>
  <c r="Z622" s="1"/>
  <c r="X622"/>
  <c r="AM623"/>
  <c r="AL623"/>
  <c r="AN623"/>
  <c r="EO623"/>
  <c r="AH623"/>
  <c r="AG623" s="1"/>
  <c r="EN623"/>
  <c r="AI623"/>
  <c r="BO623"/>
  <c r="P623" s="1"/>
  <c r="AM624"/>
  <c r="AL624"/>
  <c r="AN624" s="1"/>
  <c r="EO624"/>
  <c r="AH624" s="1"/>
  <c r="EN624"/>
  <c r="AI624" s="1"/>
  <c r="BO624"/>
  <c r="P624"/>
  <c r="R624" s="1"/>
  <c r="AM625"/>
  <c r="AL625"/>
  <c r="AN625"/>
  <c r="EO625"/>
  <c r="AH625"/>
  <c r="AG625" s="1"/>
  <c r="EN625"/>
  <c r="AI625"/>
  <c r="BO625"/>
  <c r="P625" s="1"/>
  <c r="X625"/>
  <c r="AM626"/>
  <c r="AL626"/>
  <c r="AN626"/>
  <c r="EO626"/>
  <c r="AH626"/>
  <c r="AG626" s="1"/>
  <c r="EN626"/>
  <c r="AI626"/>
  <c r="BO626"/>
  <c r="P626" s="1"/>
  <c r="X626"/>
  <c r="AM627"/>
  <c r="AL627"/>
  <c r="AN627" s="1"/>
  <c r="EO627"/>
  <c r="AH627" s="1"/>
  <c r="EN627"/>
  <c r="AI627" s="1"/>
  <c r="BO627"/>
  <c r="P627"/>
  <c r="R627" s="1"/>
  <c r="AM628"/>
  <c r="AL628"/>
  <c r="AN628"/>
  <c r="EO628"/>
  <c r="AH628"/>
  <c r="AG628" s="1"/>
  <c r="EN628"/>
  <c r="AI628"/>
  <c r="BO628"/>
  <c r="P628" s="1"/>
  <c r="X628"/>
  <c r="AM629"/>
  <c r="AL629"/>
  <c r="AN629" s="1"/>
  <c r="EO629"/>
  <c r="AH629" s="1"/>
  <c r="AG629" s="1"/>
  <c r="EN629"/>
  <c r="AI629" s="1"/>
  <c r="BO629"/>
  <c r="P629"/>
  <c r="R629" s="1"/>
  <c r="Z629" s="1"/>
  <c r="X629"/>
  <c r="AM630"/>
  <c r="AL630"/>
  <c r="AN630"/>
  <c r="EO630"/>
  <c r="AH630"/>
  <c r="AG630" s="1"/>
  <c r="EN630"/>
  <c r="AI630"/>
  <c r="BO630"/>
  <c r="P630" s="1"/>
  <c r="X630"/>
  <c r="AM631"/>
  <c r="AL631"/>
  <c r="AN631" s="1"/>
  <c r="EO631"/>
  <c r="AH631" s="1"/>
  <c r="AG631" s="1"/>
  <c r="EN631"/>
  <c r="AI631" s="1"/>
  <c r="BO631"/>
  <c r="P631"/>
  <c r="R631" s="1"/>
  <c r="Z631" s="1"/>
  <c r="X631"/>
  <c r="AM632"/>
  <c r="AL632"/>
  <c r="AN632"/>
  <c r="EO632"/>
  <c r="AH632"/>
  <c r="AG632" s="1"/>
  <c r="EN632"/>
  <c r="AI632"/>
  <c r="BO632"/>
  <c r="P632" s="1"/>
  <c r="X632"/>
  <c r="EO633"/>
  <c r="EN633"/>
  <c r="BL633"/>
  <c r="AM636"/>
  <c r="AL636"/>
  <c r="AN636" s="1"/>
  <c r="EO636"/>
  <c r="AH636" s="1"/>
  <c r="EN636"/>
  <c r="AI636" s="1"/>
  <c r="BO636"/>
  <c r="P636"/>
  <c r="R636" s="1"/>
  <c r="X636"/>
  <c r="AM637"/>
  <c r="AL637"/>
  <c r="AN637"/>
  <c r="EO637"/>
  <c r="AH637"/>
  <c r="AG637" s="1"/>
  <c r="EN637"/>
  <c r="AI637"/>
  <c r="BO637"/>
  <c r="P637" s="1"/>
  <c r="X637"/>
  <c r="AM638"/>
  <c r="AL638"/>
  <c r="AN638" s="1"/>
  <c r="EO638"/>
  <c r="AH638" s="1"/>
  <c r="EN638"/>
  <c r="AI638" s="1"/>
  <c r="BO638"/>
  <c r="P638"/>
  <c r="R638" s="1"/>
  <c r="X638"/>
  <c r="AM639"/>
  <c r="AL639"/>
  <c r="AN639"/>
  <c r="EO639"/>
  <c r="AH639"/>
  <c r="AG639" s="1"/>
  <c r="EN639"/>
  <c r="AI639"/>
  <c r="BO639"/>
  <c r="P639" s="1"/>
  <c r="AM640"/>
  <c r="AL640"/>
  <c r="AN640" s="1"/>
  <c r="EO640"/>
  <c r="AH640" s="1"/>
  <c r="AG640" s="1"/>
  <c r="EN640"/>
  <c r="AI640" s="1"/>
  <c r="BO640"/>
  <c r="P640"/>
  <c r="R640" s="1"/>
  <c r="AM641"/>
  <c r="AL641"/>
  <c r="AN641"/>
  <c r="EO641"/>
  <c r="AH641"/>
  <c r="AG641" s="1"/>
  <c r="EN641"/>
  <c r="AI641"/>
  <c r="BO641"/>
  <c r="P641" s="1"/>
  <c r="X641"/>
  <c r="AM642"/>
  <c r="AL642"/>
  <c r="AN642" s="1"/>
  <c r="EO642"/>
  <c r="AH642" s="1"/>
  <c r="EN642"/>
  <c r="AI642" s="1"/>
  <c r="BO642"/>
  <c r="P642"/>
  <c r="R642" s="1"/>
  <c r="X642"/>
  <c r="AM643"/>
  <c r="AL643"/>
  <c r="AN643"/>
  <c r="EO643"/>
  <c r="AH643"/>
  <c r="AG643" s="1"/>
  <c r="EN643"/>
  <c r="AI643"/>
  <c r="BO643"/>
  <c r="P643" s="1"/>
  <c r="X643"/>
  <c r="AM644"/>
  <c r="AL644"/>
  <c r="AN644" s="1"/>
  <c r="EO644"/>
  <c r="AH644" s="1"/>
  <c r="EN644"/>
  <c r="AI644" s="1"/>
  <c r="BO644"/>
  <c r="P644"/>
  <c r="R644" s="1"/>
  <c r="X644"/>
  <c r="AM645"/>
  <c r="AL645"/>
  <c r="AN645"/>
  <c r="EO645"/>
  <c r="AH645"/>
  <c r="AG645" s="1"/>
  <c r="EN645"/>
  <c r="AI645"/>
  <c r="BO645"/>
  <c r="P645" s="1"/>
  <c r="X645"/>
  <c r="AM646"/>
  <c r="AL646"/>
  <c r="AN646" s="1"/>
  <c r="EO646"/>
  <c r="AH646" s="1"/>
  <c r="EN646"/>
  <c r="AI646" s="1"/>
  <c r="BO646"/>
  <c r="P646"/>
  <c r="R646" s="1"/>
  <c r="X646"/>
  <c r="AM647"/>
  <c r="AL647"/>
  <c r="AN647"/>
  <c r="EO647"/>
  <c r="AH647"/>
  <c r="AG647" s="1"/>
  <c r="EN647"/>
  <c r="AI647"/>
  <c r="BO647"/>
  <c r="P647" s="1"/>
  <c r="X647"/>
  <c r="AM648"/>
  <c r="AL648"/>
  <c r="AN648" s="1"/>
  <c r="EO648"/>
  <c r="AH648" s="1"/>
  <c r="EN648"/>
  <c r="AI648" s="1"/>
  <c r="BO648"/>
  <c r="P648"/>
  <c r="R648" s="1"/>
  <c r="X648"/>
  <c r="AM649"/>
  <c r="AL649"/>
  <c r="AN649"/>
  <c r="EO649"/>
  <c r="AH649"/>
  <c r="AG649" s="1"/>
  <c r="EN649"/>
  <c r="AI649"/>
  <c r="BO649"/>
  <c r="P649" s="1"/>
  <c r="X649"/>
  <c r="AM650"/>
  <c r="AL650"/>
  <c r="AN650" s="1"/>
  <c r="EO650"/>
  <c r="AH650" s="1"/>
  <c r="EN650"/>
  <c r="AI650" s="1"/>
  <c r="BO650"/>
  <c r="P650"/>
  <c r="R650" s="1"/>
  <c r="X650"/>
  <c r="AM651"/>
  <c r="AL651"/>
  <c r="AN651"/>
  <c r="EO651"/>
  <c r="AH651"/>
  <c r="AG651" s="1"/>
  <c r="EN651"/>
  <c r="AI651"/>
  <c r="BO651"/>
  <c r="P651" s="1"/>
  <c r="X651"/>
  <c r="AM652"/>
  <c r="AL652"/>
  <c r="AN652" s="1"/>
  <c r="EO652"/>
  <c r="AH652" s="1"/>
  <c r="EN652"/>
  <c r="AI652" s="1"/>
  <c r="BO652"/>
  <c r="P652"/>
  <c r="R652" s="1"/>
  <c r="X652"/>
  <c r="AM653"/>
  <c r="AL653"/>
  <c r="AN653" s="1"/>
  <c r="EO653"/>
  <c r="AH653" s="1"/>
  <c r="AG653" s="1"/>
  <c r="EN653"/>
  <c r="AI653" s="1"/>
  <c r="BO653"/>
  <c r="P653"/>
  <c r="R653" s="1"/>
  <c r="Z653" s="1"/>
  <c r="X653"/>
  <c r="AM654"/>
  <c r="AL654"/>
  <c r="AN654"/>
  <c r="EO654"/>
  <c r="AH654"/>
  <c r="AG654" s="1"/>
  <c r="EN654"/>
  <c r="AI654"/>
  <c r="BO654"/>
  <c r="P654" s="1"/>
  <c r="X654"/>
  <c r="AM655"/>
  <c r="AL655"/>
  <c r="AN655" s="1"/>
  <c r="EO655"/>
  <c r="AH655" s="1"/>
  <c r="AG655" s="1"/>
  <c r="EN655"/>
  <c r="AI655" s="1"/>
  <c r="BO655"/>
  <c r="P655"/>
  <c r="R655" s="1"/>
  <c r="Z655" s="1"/>
  <c r="X655"/>
  <c r="AM656"/>
  <c r="AL656"/>
  <c r="AN656"/>
  <c r="EO656"/>
  <c r="AH656"/>
  <c r="AG656" s="1"/>
  <c r="AJ656" s="1"/>
  <c r="EN656"/>
  <c r="AI656"/>
  <c r="AM657"/>
  <c r="AL657"/>
  <c r="AN657" s="1"/>
  <c r="EO657"/>
  <c r="AH657" s="1"/>
  <c r="AG657" s="1"/>
  <c r="EN657"/>
  <c r="AI657" s="1"/>
  <c r="BO657"/>
  <c r="P657"/>
  <c r="R657" s="1"/>
  <c r="Z657" s="1"/>
  <c r="X657"/>
  <c r="AM658"/>
  <c r="AL658"/>
  <c r="AN658"/>
  <c r="EO658"/>
  <c r="AH658"/>
  <c r="AG658" s="1"/>
  <c r="EN658"/>
  <c r="AI658"/>
  <c r="BO658"/>
  <c r="P658" s="1"/>
  <c r="X658"/>
  <c r="AM659"/>
  <c r="AL659"/>
  <c r="AN659" s="1"/>
  <c r="EO659"/>
  <c r="AH659" s="1"/>
  <c r="AG659" s="1"/>
  <c r="EN659"/>
  <c r="AI659" s="1"/>
  <c r="BO659"/>
  <c r="P659"/>
  <c r="R659" s="1"/>
  <c r="Z659" s="1"/>
  <c r="X659"/>
  <c r="AM660"/>
  <c r="AL660"/>
  <c r="AN660" s="1"/>
  <c r="EO660"/>
  <c r="AH660" s="1"/>
  <c r="EN660"/>
  <c r="AI660" s="1"/>
  <c r="BO660"/>
  <c r="P660"/>
  <c r="R660" s="1"/>
  <c r="X660"/>
  <c r="AM670"/>
  <c r="AL670"/>
  <c r="AN670" s="1"/>
  <c r="EO670"/>
  <c r="AH670" s="1"/>
  <c r="AG670" s="1"/>
  <c r="EN670"/>
  <c r="AI670" s="1"/>
  <c r="BO670"/>
  <c r="P670"/>
  <c r="R670" s="1"/>
  <c r="Z670" s="1"/>
  <c r="X670"/>
  <c r="AM669"/>
  <c r="AL669"/>
  <c r="AN669"/>
  <c r="EO669"/>
  <c r="AH669"/>
  <c r="AG669" s="1"/>
  <c r="EN669"/>
  <c r="AI669"/>
  <c r="BO669"/>
  <c r="P669" s="1"/>
  <c r="X669"/>
  <c r="AM668"/>
  <c r="AL668"/>
  <c r="AN668" s="1"/>
  <c r="EO668"/>
  <c r="AH668" s="1"/>
  <c r="AG668" s="1"/>
  <c r="EN668"/>
  <c r="AI668" s="1"/>
  <c r="BO668"/>
  <c r="P668"/>
  <c r="R668" s="1"/>
  <c r="AM667"/>
  <c r="AL667"/>
  <c r="AN667"/>
  <c r="EO667"/>
  <c r="AH667"/>
  <c r="AG667" s="1"/>
  <c r="EN667"/>
  <c r="AI667"/>
  <c r="BO667"/>
  <c r="P667" s="1"/>
  <c r="X667"/>
  <c r="AM666"/>
  <c r="AL666"/>
  <c r="AN666" s="1"/>
  <c r="EO666"/>
  <c r="AH666" s="1"/>
  <c r="EN666"/>
  <c r="AI666" s="1"/>
  <c r="BO666"/>
  <c r="P666"/>
  <c r="R666" s="1"/>
  <c r="AM665"/>
  <c r="AL665"/>
  <c r="AN665"/>
  <c r="EO665"/>
  <c r="AH665"/>
  <c r="AG665" s="1"/>
  <c r="EN665"/>
  <c r="AI665"/>
  <c r="BO665"/>
  <c r="P665" s="1"/>
  <c r="X665"/>
  <c r="AM664"/>
  <c r="AL664"/>
  <c r="AN664" s="1"/>
  <c r="EO664"/>
  <c r="AH664" s="1"/>
  <c r="AG664" s="1"/>
  <c r="EN664"/>
  <c r="AI664" s="1"/>
  <c r="BO664"/>
  <c r="P664"/>
  <c r="R664" s="1"/>
  <c r="Z664" s="1"/>
  <c r="X664"/>
  <c r="AM663"/>
  <c r="AL663"/>
  <c r="AN663"/>
  <c r="EO663"/>
  <c r="AH663"/>
  <c r="AG663" s="1"/>
  <c r="EN663"/>
  <c r="AI663"/>
  <c r="BO663"/>
  <c r="P663" s="1"/>
  <c r="X663"/>
  <c r="AM662"/>
  <c r="AL662"/>
  <c r="AN662" s="1"/>
  <c r="EO662"/>
  <c r="AH662" s="1"/>
  <c r="AG662" s="1"/>
  <c r="EN662"/>
  <c r="AI662" s="1"/>
  <c r="BO662"/>
  <c r="P662"/>
  <c r="R662" s="1"/>
  <c r="Z662" s="1"/>
  <c r="X662"/>
  <c r="AM661"/>
  <c r="AL661"/>
  <c r="AN661"/>
  <c r="EO661"/>
  <c r="AH661"/>
  <c r="AG661" s="1"/>
  <c r="EN661"/>
  <c r="AI661"/>
  <c r="BO661"/>
  <c r="P661" s="1"/>
  <c r="X661"/>
  <c r="AM671"/>
  <c r="AL671"/>
  <c r="AN671" s="1"/>
  <c r="EO671"/>
  <c r="AH671" s="1"/>
  <c r="AG671" s="1"/>
  <c r="EN671"/>
  <c r="AI671" s="1"/>
  <c r="BO671"/>
  <c r="P671"/>
  <c r="R671" s="1"/>
  <c r="AM672"/>
  <c r="AL672"/>
  <c r="AN672"/>
  <c r="EO672"/>
  <c r="AH672"/>
  <c r="AG672" s="1"/>
  <c r="EN672"/>
  <c r="AI672"/>
  <c r="BO672"/>
  <c r="P672" s="1"/>
  <c r="AM673"/>
  <c r="AL673"/>
  <c r="AN673" s="1"/>
  <c r="EO673"/>
  <c r="AH673" s="1"/>
  <c r="AG673" s="1"/>
  <c r="EN673"/>
  <c r="AI673" s="1"/>
  <c r="BO673"/>
  <c r="P673"/>
  <c r="R673" s="1"/>
  <c r="AM674"/>
  <c r="AL674"/>
  <c r="AN674" s="1"/>
  <c r="EO674"/>
  <c r="AH674" s="1"/>
  <c r="AG674" s="1"/>
  <c r="EN674"/>
  <c r="AI674" s="1"/>
  <c r="BO674"/>
  <c r="P674"/>
  <c r="R674" s="1"/>
  <c r="Z674" s="1"/>
  <c r="X674"/>
  <c r="AM675"/>
  <c r="AL675"/>
  <c r="AN675"/>
  <c r="EO675"/>
  <c r="AH675"/>
  <c r="AG675" s="1"/>
  <c r="EN675"/>
  <c r="AI675"/>
  <c r="BO675"/>
  <c r="P675" s="1"/>
  <c r="X675"/>
  <c r="AM676"/>
  <c r="AL676"/>
  <c r="AN676" s="1"/>
  <c r="EO676"/>
  <c r="AH676" s="1"/>
  <c r="AG676" s="1"/>
  <c r="EN676"/>
  <c r="AI676" s="1"/>
  <c r="BO676"/>
  <c r="P676"/>
  <c r="R676" s="1"/>
  <c r="Z676" s="1"/>
  <c r="X676"/>
  <c r="AM677"/>
  <c r="AL677"/>
  <c r="AN677"/>
  <c r="EO677"/>
  <c r="AH677"/>
  <c r="AG677" s="1"/>
  <c r="EN677"/>
  <c r="AI677"/>
  <c r="BO677"/>
  <c r="P677" s="1"/>
  <c r="X677"/>
  <c r="AM678"/>
  <c r="AL678"/>
  <c r="AN678" s="1"/>
  <c r="EO678"/>
  <c r="AH678" s="1"/>
  <c r="AG678" s="1"/>
  <c r="EN678"/>
  <c r="AI678" s="1"/>
  <c r="BO678"/>
  <c r="P678"/>
  <c r="R678" s="1"/>
  <c r="AM679"/>
  <c r="AL679"/>
  <c r="AN679"/>
  <c r="EO679"/>
  <c r="AH679"/>
  <c r="AG679" s="1"/>
  <c r="EN679"/>
  <c r="AI679"/>
  <c r="BO679"/>
  <c r="P679" s="1"/>
  <c r="X679"/>
  <c r="AM680"/>
  <c r="AL680"/>
  <c r="AN680" s="1"/>
  <c r="EO680"/>
  <c r="AH680" s="1"/>
  <c r="EN680"/>
  <c r="AI680" s="1"/>
  <c r="AM681"/>
  <c r="AL681"/>
  <c r="AN681"/>
  <c r="EO681"/>
  <c r="AH681"/>
  <c r="AG681" s="1"/>
  <c r="EN681"/>
  <c r="AI681"/>
  <c r="BO681"/>
  <c r="P681" s="1"/>
  <c r="AM682"/>
  <c r="AL682"/>
  <c r="AN682"/>
  <c r="EO682"/>
  <c r="AH682"/>
  <c r="AG682" s="1"/>
  <c r="EN682"/>
  <c r="AI682"/>
  <c r="BO682"/>
  <c r="P682" s="1"/>
  <c r="X682"/>
  <c r="AM687"/>
  <c r="AL687"/>
  <c r="AN687"/>
  <c r="EO687"/>
  <c r="AH687"/>
  <c r="AG687" s="1"/>
  <c r="EN687"/>
  <c r="AI687"/>
  <c r="BO687"/>
  <c r="P687" s="1"/>
  <c r="X687"/>
  <c r="AM686"/>
  <c r="AL686"/>
  <c r="AN686" s="1"/>
  <c r="EO686"/>
  <c r="AH686" s="1"/>
  <c r="EN686"/>
  <c r="AI686" s="1"/>
  <c r="BO686"/>
  <c r="P686"/>
  <c r="R686" s="1"/>
  <c r="AM685"/>
  <c r="AL685"/>
  <c r="AN685"/>
  <c r="EO685"/>
  <c r="AH685"/>
  <c r="AG685" s="1"/>
  <c r="EN685"/>
  <c r="AI685"/>
  <c r="BO685"/>
  <c r="P685" s="1"/>
  <c r="X685"/>
  <c r="AM684"/>
  <c r="AL684"/>
  <c r="AN684" s="1"/>
  <c r="EO684"/>
  <c r="AH684" s="1"/>
  <c r="AG684" s="1"/>
  <c r="EN684"/>
  <c r="AI684" s="1"/>
  <c r="BO684"/>
  <c r="P684"/>
  <c r="R684" s="1"/>
  <c r="Z684" s="1"/>
  <c r="X684"/>
  <c r="AM683"/>
  <c r="AL683"/>
  <c r="AN683"/>
  <c r="EO683"/>
  <c r="AH683"/>
  <c r="AG683" s="1"/>
  <c r="EN683"/>
  <c r="AI683"/>
  <c r="BO683"/>
  <c r="P683" s="1"/>
  <c r="X683"/>
  <c r="AM688"/>
  <c r="AL688"/>
  <c r="AN688"/>
  <c r="EO688"/>
  <c r="AH688"/>
  <c r="AG688" s="1"/>
  <c r="EN688"/>
  <c r="AI688"/>
  <c r="BO688"/>
  <c r="P688" s="1"/>
  <c r="X688"/>
  <c r="AM689"/>
  <c r="AL689"/>
  <c r="AN689" s="1"/>
  <c r="EO689"/>
  <c r="AH689" s="1"/>
  <c r="EN689"/>
  <c r="AI689" s="1"/>
  <c r="BO689"/>
  <c r="P689"/>
  <c r="R689" s="1"/>
  <c r="AM690"/>
  <c r="AL690"/>
  <c r="AN690"/>
  <c r="EO690"/>
  <c r="AH690"/>
  <c r="AG690" s="1"/>
  <c r="EN690"/>
  <c r="AI690"/>
  <c r="BO690"/>
  <c r="P690" s="1"/>
  <c r="AM691"/>
  <c r="AL691"/>
  <c r="AN691" s="1"/>
  <c r="EO691"/>
  <c r="AH691" s="1"/>
  <c r="EN691"/>
  <c r="AI691" s="1"/>
  <c r="AM692"/>
  <c r="AL692"/>
  <c r="AN692"/>
  <c r="EO692"/>
  <c r="AH692"/>
  <c r="AG692" s="1"/>
  <c r="EN692"/>
  <c r="AI692"/>
  <c r="BO692"/>
  <c r="P692" s="1"/>
  <c r="X692"/>
  <c r="AM693"/>
  <c r="AL693"/>
  <c r="AN693" s="1"/>
  <c r="EO693"/>
  <c r="AH693" s="1"/>
  <c r="AG693" s="1"/>
  <c r="EN693"/>
  <c r="AI693" s="1"/>
  <c r="BO693"/>
  <c r="P693"/>
  <c r="R693" s="1"/>
  <c r="Z693" s="1"/>
  <c r="X693"/>
  <c r="AM694"/>
  <c r="AL694"/>
  <c r="AN694"/>
  <c r="EO694"/>
  <c r="AH694"/>
  <c r="AG694" s="1"/>
  <c r="AJ694" s="1"/>
  <c r="EN694"/>
  <c r="AI694"/>
  <c r="EO695"/>
  <c r="EN695"/>
  <c r="BL695"/>
  <c r="EO698"/>
  <c r="EN698"/>
  <c r="BL698"/>
  <c r="AM701"/>
  <c r="AL701"/>
  <c r="AN701"/>
  <c r="EO701"/>
  <c r="AH701"/>
  <c r="AG701" s="1"/>
  <c r="EN701"/>
  <c r="AI701"/>
  <c r="BO701"/>
  <c r="P701" s="1"/>
  <c r="X701"/>
  <c r="AM702"/>
  <c r="AL702"/>
  <c r="AN702" s="1"/>
  <c r="EO702"/>
  <c r="AH702" s="1"/>
  <c r="EN702"/>
  <c r="AI702" s="1"/>
  <c r="BO702"/>
  <c r="P702"/>
  <c r="R702" s="1"/>
  <c r="X702"/>
  <c r="AM703"/>
  <c r="AL703"/>
  <c r="AN703"/>
  <c r="EO703"/>
  <c r="AH703"/>
  <c r="AG703" s="1"/>
  <c r="EN703"/>
  <c r="AI703"/>
  <c r="BO703"/>
  <c r="P703" s="1"/>
  <c r="X703"/>
  <c r="AM705"/>
  <c r="AL705"/>
  <c r="AN705" s="1"/>
  <c r="EO705"/>
  <c r="AH705" s="1"/>
  <c r="EN705"/>
  <c r="AI705" s="1"/>
  <c r="BO705"/>
  <c r="P705"/>
  <c r="R705" s="1"/>
  <c r="AM704"/>
  <c r="AL704"/>
  <c r="AN704"/>
  <c r="EO704"/>
  <c r="AH704"/>
  <c r="AG704" s="1"/>
  <c r="EN704"/>
  <c r="AI704"/>
  <c r="BO704"/>
  <c r="P704" s="1"/>
  <c r="X704"/>
  <c r="AM706"/>
  <c r="AL706"/>
  <c r="AN706" s="1"/>
  <c r="EO706"/>
  <c r="AH706" s="1"/>
  <c r="AG706" s="1"/>
  <c r="AJ706" s="1"/>
  <c r="EN706"/>
  <c r="AI706" s="1"/>
  <c r="AM707"/>
  <c r="AL707"/>
  <c r="AN707" s="1"/>
  <c r="EO707"/>
  <c r="AH707" s="1"/>
  <c r="AG707" s="1"/>
  <c r="EN707"/>
  <c r="AI707" s="1"/>
  <c r="BO707"/>
  <c r="P707"/>
  <c r="R707" s="1"/>
  <c r="Z707" s="1"/>
  <c r="X707"/>
  <c r="AM708"/>
  <c r="AL708"/>
  <c r="AN708"/>
  <c r="EO708"/>
  <c r="AH708"/>
  <c r="AG708" s="1"/>
  <c r="EN708"/>
  <c r="AI708"/>
  <c r="BO708"/>
  <c r="P708" s="1"/>
  <c r="X708"/>
  <c r="AM709"/>
  <c r="AL709"/>
  <c r="AN709" s="1"/>
  <c r="EO709"/>
  <c r="AH709" s="1"/>
  <c r="AG709" s="1"/>
  <c r="EN709"/>
  <c r="AI709" s="1"/>
  <c r="BO709"/>
  <c r="P709"/>
  <c r="R709" s="1"/>
  <c r="Z709" s="1"/>
  <c r="X709"/>
  <c r="AM710"/>
  <c r="AL710"/>
  <c r="AN710"/>
  <c r="EO710"/>
  <c r="AH710"/>
  <c r="AG710" s="1"/>
  <c r="EN710"/>
  <c r="AI710"/>
  <c r="BO710"/>
  <c r="P710" s="1"/>
  <c r="X710"/>
  <c r="AM711"/>
  <c r="AL711"/>
  <c r="AN711" s="1"/>
  <c r="EO711"/>
  <c r="AH711" s="1"/>
  <c r="AG711" s="1"/>
  <c r="EN711"/>
  <c r="AI711" s="1"/>
  <c r="BO711"/>
  <c r="P711"/>
  <c r="R711" s="1"/>
  <c r="Z711" s="1"/>
  <c r="X711"/>
  <c r="AM712"/>
  <c r="AL712"/>
  <c r="AN712"/>
  <c r="EO712"/>
  <c r="AH712"/>
  <c r="AG712" s="1"/>
  <c r="EN712"/>
  <c r="AI712"/>
  <c r="BO712"/>
  <c r="P712" s="1"/>
  <c r="X712"/>
  <c r="AM713"/>
  <c r="AL713"/>
  <c r="AN713" s="1"/>
  <c r="EO713"/>
  <c r="AH713" s="1"/>
  <c r="AG713" s="1"/>
  <c r="EN713"/>
  <c r="AI713" s="1"/>
  <c r="BO713"/>
  <c r="P713"/>
  <c r="R713" s="1"/>
  <c r="Z713" s="1"/>
  <c r="X713"/>
  <c r="AM714"/>
  <c r="AL714"/>
  <c r="AN714"/>
  <c r="EO714"/>
  <c r="AH714"/>
  <c r="AG714" s="1"/>
  <c r="EN714"/>
  <c r="AI714"/>
  <c r="BO714"/>
  <c r="P714" s="1"/>
  <c r="X714"/>
  <c r="AM715"/>
  <c r="AL715"/>
  <c r="AN715" s="1"/>
  <c r="EO715"/>
  <c r="AH715" s="1"/>
  <c r="AG715" s="1"/>
  <c r="EN715"/>
  <c r="AI715" s="1"/>
  <c r="BO715"/>
  <c r="P715"/>
  <c r="R715" s="1"/>
  <c r="Z715" s="1"/>
  <c r="X715"/>
  <c r="AM716"/>
  <c r="AL716"/>
  <c r="AN716"/>
  <c r="EO716"/>
  <c r="AH716"/>
  <c r="AG716" s="1"/>
  <c r="EN716"/>
  <c r="AI716"/>
  <c r="BO716"/>
  <c r="P716" s="1"/>
  <c r="AM717"/>
  <c r="AL717"/>
  <c r="AN717" s="1"/>
  <c r="EO717"/>
  <c r="AH717" s="1"/>
  <c r="EN717"/>
  <c r="AI717" s="1"/>
  <c r="BO717"/>
  <c r="P717"/>
  <c r="R717" s="1"/>
  <c r="AM718"/>
  <c r="AL718"/>
  <c r="AN718"/>
  <c r="EO718"/>
  <c r="AH718"/>
  <c r="AG718" s="1"/>
  <c r="EN718"/>
  <c r="AI718"/>
  <c r="BO718"/>
  <c r="P718" s="1"/>
  <c r="X718"/>
  <c r="AM719"/>
  <c r="AL719"/>
  <c r="AN719" s="1"/>
  <c r="EO719"/>
  <c r="AH719" s="1"/>
  <c r="AG719" s="1"/>
  <c r="EN719"/>
  <c r="AI719" s="1"/>
  <c r="BO719"/>
  <c r="P719"/>
  <c r="R719" s="1"/>
  <c r="Z719" s="1"/>
  <c r="X719"/>
  <c r="AM720"/>
  <c r="AL720"/>
  <c r="AN720"/>
  <c r="EO720"/>
  <c r="AH720"/>
  <c r="AG720" s="1"/>
  <c r="EN720"/>
  <c r="AI720"/>
  <c r="BO720"/>
  <c r="P720" s="1"/>
  <c r="X720"/>
  <c r="AM721"/>
  <c r="AL721"/>
  <c r="AN721" s="1"/>
  <c r="EO721"/>
  <c r="AH721" s="1"/>
  <c r="AG721" s="1"/>
  <c r="EN721"/>
  <c r="AI721" s="1"/>
  <c r="BO721"/>
  <c r="P721"/>
  <c r="R721" s="1"/>
  <c r="Z721" s="1"/>
  <c r="X721"/>
  <c r="AM722"/>
  <c r="AL722"/>
  <c r="AN722"/>
  <c r="EO722"/>
  <c r="AH722"/>
  <c r="AG722" s="1"/>
  <c r="EN722"/>
  <c r="AI722"/>
  <c r="BO722"/>
  <c r="P722" s="1"/>
  <c r="X722"/>
  <c r="AM723"/>
  <c r="AL723"/>
  <c r="AN723" s="1"/>
  <c r="EO723"/>
  <c r="AH723" s="1"/>
  <c r="EN723"/>
  <c r="AI723" s="1"/>
  <c r="AG723" s="1"/>
  <c r="BO723"/>
  <c r="P723"/>
  <c r="X723"/>
  <c r="AM724"/>
  <c r="AL724"/>
  <c r="AN724"/>
  <c r="EO724"/>
  <c r="AH724"/>
  <c r="EN724"/>
  <c r="AI724"/>
  <c r="BO724"/>
  <c r="P724" s="1"/>
  <c r="R724" s="1"/>
  <c r="X724"/>
  <c r="Q724"/>
  <c r="W724" s="1"/>
  <c r="AM725"/>
  <c r="AL725"/>
  <c r="AN725" s="1"/>
  <c r="EO725"/>
  <c r="AH725" s="1"/>
  <c r="EN725"/>
  <c r="AI725" s="1"/>
  <c r="AG725"/>
  <c r="BO725"/>
  <c r="P725"/>
  <c r="X725"/>
  <c r="AM726"/>
  <c r="AL726"/>
  <c r="AN726"/>
  <c r="EO726"/>
  <c r="AH726"/>
  <c r="EN726"/>
  <c r="AI726"/>
  <c r="BO726"/>
  <c r="P726" s="1"/>
  <c r="R726"/>
  <c r="X726"/>
  <c r="Z726"/>
  <c r="Q726"/>
  <c r="W726" s="1"/>
  <c r="Y726"/>
  <c r="AM727"/>
  <c r="AL727"/>
  <c r="AN727" s="1"/>
  <c r="EO727"/>
  <c r="AH727" s="1"/>
  <c r="EN727"/>
  <c r="AI727" s="1"/>
  <c r="AG727"/>
  <c r="EO732"/>
  <c r="EN732"/>
  <c r="BL732"/>
  <c r="AM728"/>
  <c r="AL728"/>
  <c r="AN728" s="1"/>
  <c r="EO728"/>
  <c r="AH728" s="1"/>
  <c r="EN728"/>
  <c r="AI728" s="1"/>
  <c r="AG728"/>
  <c r="BO728"/>
  <c r="P728"/>
  <c r="X728"/>
  <c r="AM729"/>
  <c r="AL729"/>
  <c r="AN729"/>
  <c r="EO729"/>
  <c r="AH729"/>
  <c r="EN729"/>
  <c r="AI729"/>
  <c r="BO729"/>
  <c r="P729" s="1"/>
  <c r="R729" s="1"/>
  <c r="Z729" s="1"/>
  <c r="X729"/>
  <c r="Q729"/>
  <c r="W729" s="1"/>
  <c r="Y729" s="1"/>
  <c r="AM730"/>
  <c r="AL730"/>
  <c r="AN730"/>
  <c r="EO730"/>
  <c r="AH730"/>
  <c r="EN730"/>
  <c r="AI730"/>
  <c r="BO730"/>
  <c r="P730" s="1"/>
  <c r="R730"/>
  <c r="X730"/>
  <c r="Z730" s="1"/>
  <c r="AF730" s="1"/>
  <c r="Q730"/>
  <c r="W730" s="1"/>
  <c r="Y730" s="1"/>
  <c r="AM731"/>
  <c r="AL731"/>
  <c r="AN731" s="1"/>
  <c r="EO731"/>
  <c r="AH731" s="1"/>
  <c r="EN731"/>
  <c r="AI731" s="1"/>
  <c r="AG731"/>
  <c r="BO731"/>
  <c r="P731"/>
  <c r="X731"/>
  <c r="AM735"/>
  <c r="AL735"/>
  <c r="AN735" s="1"/>
  <c r="EO735"/>
  <c r="AH735" s="1"/>
  <c r="EN735"/>
  <c r="AI735" s="1"/>
  <c r="AG735" s="1"/>
  <c r="BO735"/>
  <c r="P735"/>
  <c r="X735"/>
  <c r="AM736"/>
  <c r="AL736"/>
  <c r="AN736"/>
  <c r="EO736"/>
  <c r="AH736"/>
  <c r="EN736"/>
  <c r="AI736"/>
  <c r="AM737"/>
  <c r="AL737"/>
  <c r="AN737" s="1"/>
  <c r="EO737"/>
  <c r="AH737" s="1"/>
  <c r="EN737"/>
  <c r="AI737" s="1"/>
  <c r="AG737" s="1"/>
  <c r="BO737"/>
  <c r="P737"/>
  <c r="X737"/>
  <c r="AM738"/>
  <c r="AL738"/>
  <c r="AN738"/>
  <c r="EO738"/>
  <c r="AH738"/>
  <c r="EN738"/>
  <c r="AI738"/>
  <c r="BO738"/>
  <c r="P738" s="1"/>
  <c r="R738" s="1"/>
  <c r="X738"/>
  <c r="Q738"/>
  <c r="W738" s="1"/>
  <c r="AM740"/>
  <c r="AL740"/>
  <c r="AN740" s="1"/>
  <c r="EO740"/>
  <c r="AH740" s="1"/>
  <c r="EN740"/>
  <c r="AI740" s="1"/>
  <c r="AG740" s="1"/>
  <c r="BO740"/>
  <c r="P740"/>
  <c r="X740"/>
  <c r="D8" i="51061"/>
  <c r="D9"/>
  <c r="D10"/>
  <c r="D11"/>
  <c r="D12"/>
  <c r="D13"/>
  <c r="D14"/>
  <c r="D15"/>
  <c r="D16"/>
  <c r="D17"/>
  <c r="D18" s="1"/>
  <c r="D19"/>
  <c r="D20"/>
  <c r="D21"/>
  <c r="D22"/>
  <c r="D23"/>
  <c r="D24"/>
  <c r="D26"/>
  <c r="D27"/>
  <c r="D28"/>
  <c r="D29"/>
  <c r="D30"/>
  <c r="D31"/>
  <c r="D32"/>
  <c r="D34"/>
  <c r="D35"/>
  <c r="D36"/>
  <c r="D37"/>
  <c r="D38"/>
  <c r="D39"/>
  <c r="D42" s="1"/>
  <c r="D40"/>
  <c r="D41"/>
  <c r="D43"/>
  <c r="D44"/>
  <c r="D45"/>
  <c r="D46"/>
  <c r="D47"/>
  <c r="D48"/>
  <c r="D50"/>
  <c r="D51"/>
  <c r="D52"/>
  <c r="D53"/>
  <c r="D54"/>
  <c r="D56"/>
  <c r="D57"/>
  <c r="D60" s="1"/>
  <c r="D58"/>
  <c r="D59"/>
  <c r="D61"/>
  <c r="D62"/>
  <c r="D63"/>
  <c r="D64"/>
  <c r="D65"/>
  <c r="D66" s="1"/>
  <c r="D67"/>
  <c r="D68"/>
  <c r="D75" s="1"/>
  <c r="D69"/>
  <c r="D70"/>
  <c r="D71"/>
  <c r="D72"/>
  <c r="D73"/>
  <c r="D74"/>
  <c r="D76"/>
  <c r="D77"/>
  <c r="D78"/>
  <c r="D79"/>
  <c r="D80"/>
  <c r="D81" s="1"/>
  <c r="D82"/>
  <c r="D83"/>
  <c r="D84"/>
  <c r="D85"/>
  <c r="D86"/>
  <c r="D88"/>
  <c r="D89"/>
  <c r="D90"/>
  <c r="D91"/>
  <c r="D92"/>
  <c r="D94"/>
  <c r="D95"/>
  <c r="D96"/>
  <c r="D97"/>
  <c r="D98"/>
  <c r="D100"/>
  <c r="D101"/>
  <c r="D102"/>
  <c r="D104"/>
  <c r="D105" s="1"/>
  <c r="D106"/>
  <c r="D107"/>
  <c r="D108"/>
  <c r="D110"/>
  <c r="D111" s="1"/>
  <c r="AC12" i="51055"/>
  <c r="AC13"/>
  <c r="AC89"/>
  <c r="AC91"/>
  <c r="AC95"/>
  <c r="AC97"/>
  <c r="AC105"/>
  <c r="AC225"/>
  <c r="AC227"/>
  <c r="AC235"/>
  <c r="AC237"/>
  <c r="AC239"/>
  <c r="AC240"/>
  <c r="AC242"/>
  <c r="AC244"/>
  <c r="AC245"/>
  <c r="AC413"/>
  <c r="AC419"/>
  <c r="AC421"/>
  <c r="AC416"/>
  <c r="AC423"/>
  <c r="AC425"/>
  <c r="AC429"/>
  <c r="AC431"/>
  <c r="AC724"/>
  <c r="AC726"/>
  <c r="AC729"/>
  <c r="AC730"/>
  <c r="AC738"/>
  <c r="B15" i="101"/>
  <c r="AO740" i="51055"/>
  <c r="AP740"/>
  <c r="AQ740"/>
  <c r="AR740"/>
  <c r="AS740"/>
  <c r="AO738"/>
  <c r="AP738"/>
  <c r="AQ738"/>
  <c r="AR738"/>
  <c r="AS738"/>
  <c r="AO737"/>
  <c r="AP737"/>
  <c r="AQ737"/>
  <c r="AR737"/>
  <c r="AS737"/>
  <c r="AO736"/>
  <c r="AP736"/>
  <c r="AQ736"/>
  <c r="AR736"/>
  <c r="AS736"/>
  <c r="AO735"/>
  <c r="AP735"/>
  <c r="AQ735"/>
  <c r="AR735"/>
  <c r="AS735"/>
  <c r="AO731"/>
  <c r="AP731"/>
  <c r="AQ731"/>
  <c r="AR731"/>
  <c r="AS731"/>
  <c r="AO730"/>
  <c r="AP730"/>
  <c r="AQ730"/>
  <c r="AR730"/>
  <c r="AS730"/>
  <c r="AO729"/>
  <c r="AP729"/>
  <c r="AQ729"/>
  <c r="AR729"/>
  <c r="AS729"/>
  <c r="AO728"/>
  <c r="AP728"/>
  <c r="AQ728"/>
  <c r="AR728"/>
  <c r="AS728"/>
  <c r="AO727"/>
  <c r="AP727"/>
  <c r="AQ727"/>
  <c r="AR727"/>
  <c r="AS727"/>
  <c r="AO726"/>
  <c r="AP726"/>
  <c r="AQ726"/>
  <c r="AR726"/>
  <c r="AS726"/>
  <c r="AO725"/>
  <c r="AP725"/>
  <c r="AQ725"/>
  <c r="AR725"/>
  <c r="AS725"/>
  <c r="AO724"/>
  <c r="AP724"/>
  <c r="AQ724"/>
  <c r="AR724"/>
  <c r="AS724"/>
  <c r="AO723"/>
  <c r="AP723"/>
  <c r="AQ723"/>
  <c r="AR723"/>
  <c r="AS723"/>
  <c r="AO722"/>
  <c r="AP722"/>
  <c r="AQ722"/>
  <c r="AR722"/>
  <c r="AS722"/>
  <c r="AO721"/>
  <c r="AP721"/>
  <c r="AQ721"/>
  <c r="AR721"/>
  <c r="AS721"/>
  <c r="AO720"/>
  <c r="AP720"/>
  <c r="AQ720"/>
  <c r="AR720"/>
  <c r="AS720"/>
  <c r="AO719"/>
  <c r="AP719"/>
  <c r="AQ719"/>
  <c r="AR719"/>
  <c r="AS719"/>
  <c r="AO718"/>
  <c r="AP718"/>
  <c r="AQ718"/>
  <c r="AR718"/>
  <c r="AS718"/>
  <c r="AO717"/>
  <c r="AP717"/>
  <c r="AQ717"/>
  <c r="AR717"/>
  <c r="AS717"/>
  <c r="AO716"/>
  <c r="AP716"/>
  <c r="AQ716"/>
  <c r="AR716"/>
  <c r="AS716"/>
  <c r="AO715"/>
  <c r="AP715"/>
  <c r="AQ715"/>
  <c r="AR715"/>
  <c r="AS715"/>
  <c r="AO714"/>
  <c r="AP714"/>
  <c r="AQ714"/>
  <c r="AR714"/>
  <c r="AS714"/>
  <c r="AO713"/>
  <c r="AP713"/>
  <c r="AQ713"/>
  <c r="AR713"/>
  <c r="AS713"/>
  <c r="AO712"/>
  <c r="AP712"/>
  <c r="AQ712"/>
  <c r="AR712"/>
  <c r="AS712"/>
  <c r="AO711"/>
  <c r="AP711"/>
  <c r="AQ711"/>
  <c r="AR711"/>
  <c r="AS711"/>
  <c r="AO710"/>
  <c r="AP710"/>
  <c r="AQ710"/>
  <c r="AR710"/>
  <c r="AS710"/>
  <c r="AO709"/>
  <c r="AP709"/>
  <c r="AQ709"/>
  <c r="AR709"/>
  <c r="AS709"/>
  <c r="AO708"/>
  <c r="AP708"/>
  <c r="AQ708"/>
  <c r="AR708"/>
  <c r="AS708"/>
  <c r="AO707"/>
  <c r="AP707"/>
  <c r="AQ707"/>
  <c r="AR707"/>
  <c r="AS707"/>
  <c r="AO706"/>
  <c r="AP706"/>
  <c r="AQ706"/>
  <c r="AR706"/>
  <c r="AS706"/>
  <c r="AO704"/>
  <c r="AP704"/>
  <c r="AQ704"/>
  <c r="AR704"/>
  <c r="AS704"/>
  <c r="AO705"/>
  <c r="AP705"/>
  <c r="AQ705"/>
  <c r="AR705"/>
  <c r="AS705"/>
  <c r="AO703"/>
  <c r="AP703"/>
  <c r="AQ703"/>
  <c r="AR703"/>
  <c r="AS703"/>
  <c r="AO702"/>
  <c r="AP702"/>
  <c r="AQ702"/>
  <c r="AR702"/>
  <c r="AS702"/>
  <c r="AO701"/>
  <c r="AP701"/>
  <c r="AQ701"/>
  <c r="AR701"/>
  <c r="AS701"/>
  <c r="AO694"/>
  <c r="AP694"/>
  <c r="AQ694"/>
  <c r="AR694"/>
  <c r="AS694"/>
  <c r="AO693"/>
  <c r="AP693"/>
  <c r="AQ693"/>
  <c r="AR693"/>
  <c r="AS693"/>
  <c r="AO692"/>
  <c r="AP692"/>
  <c r="AQ692"/>
  <c r="AR692"/>
  <c r="AS692"/>
  <c r="AO691"/>
  <c r="AP691"/>
  <c r="AQ691"/>
  <c r="AR691"/>
  <c r="AS691"/>
  <c r="AO690"/>
  <c r="AP690"/>
  <c r="AQ690"/>
  <c r="AR690"/>
  <c r="AS690"/>
  <c r="AO687"/>
  <c r="AP687"/>
  <c r="AQ687"/>
  <c r="AR687"/>
  <c r="AS687"/>
  <c r="AO686"/>
  <c r="AP686"/>
  <c r="AQ686"/>
  <c r="AR686"/>
  <c r="AS686"/>
  <c r="AO685"/>
  <c r="AP685"/>
  <c r="AQ685"/>
  <c r="AR685"/>
  <c r="AS685"/>
  <c r="AO684"/>
  <c r="AP684"/>
  <c r="AQ684"/>
  <c r="AR684"/>
  <c r="AS684"/>
  <c r="AO683"/>
  <c r="AP683"/>
  <c r="AQ683"/>
  <c r="AR683"/>
  <c r="AS683"/>
  <c r="AO689"/>
  <c r="AP689"/>
  <c r="AQ689"/>
  <c r="AR689"/>
  <c r="AS689"/>
  <c r="AO688"/>
  <c r="AP688"/>
  <c r="AQ688"/>
  <c r="AR688"/>
  <c r="AS688"/>
  <c r="AO682"/>
  <c r="AP682"/>
  <c r="AQ682"/>
  <c r="AR682"/>
  <c r="AS682"/>
  <c r="AO681"/>
  <c r="AP681"/>
  <c r="AQ681"/>
  <c r="AR681"/>
  <c r="AS681"/>
  <c r="AO680"/>
  <c r="AP680"/>
  <c r="AQ680"/>
  <c r="AR680"/>
  <c r="AS680"/>
  <c r="AO679"/>
  <c r="AP679"/>
  <c r="AQ679"/>
  <c r="AR679"/>
  <c r="AS679"/>
  <c r="AO678"/>
  <c r="AP678"/>
  <c r="AQ678"/>
  <c r="AR678"/>
  <c r="AS678"/>
  <c r="AO677"/>
  <c r="AP677"/>
  <c r="AQ677"/>
  <c r="AR677"/>
  <c r="AS677"/>
  <c r="AO676"/>
  <c r="AP676"/>
  <c r="AQ676"/>
  <c r="AR676"/>
  <c r="AS676"/>
  <c r="AO675"/>
  <c r="AP675"/>
  <c r="AQ675"/>
  <c r="AR675"/>
  <c r="AS675"/>
  <c r="AO674"/>
  <c r="AP674"/>
  <c r="AQ674"/>
  <c r="AR674"/>
  <c r="AS674"/>
  <c r="AO670"/>
  <c r="AP670"/>
  <c r="AQ670"/>
  <c r="AR670"/>
  <c r="AS670"/>
  <c r="AO669"/>
  <c r="AP669"/>
  <c r="AQ669"/>
  <c r="AR669"/>
  <c r="AS669"/>
  <c r="AO673"/>
  <c r="AP673"/>
  <c r="AQ673"/>
  <c r="AR673"/>
  <c r="AS673"/>
  <c r="AO672"/>
  <c r="AP672"/>
  <c r="AQ672"/>
  <c r="AR672"/>
  <c r="AS672"/>
  <c r="AO671"/>
  <c r="AP671"/>
  <c r="AQ671"/>
  <c r="AR671"/>
  <c r="AS671"/>
  <c r="AO668"/>
  <c r="AP668"/>
  <c r="AQ668"/>
  <c r="AR668"/>
  <c r="AS668"/>
  <c r="AO667"/>
  <c r="AP667"/>
  <c r="AQ667"/>
  <c r="AR667"/>
  <c r="AS667"/>
  <c r="AO666"/>
  <c r="AP666"/>
  <c r="AQ666"/>
  <c r="AR666"/>
  <c r="AS666"/>
  <c r="AO665"/>
  <c r="AP665"/>
  <c r="AQ665"/>
  <c r="AR665"/>
  <c r="AS665"/>
  <c r="AO664"/>
  <c r="AP664"/>
  <c r="AQ664"/>
  <c r="AR664"/>
  <c r="AS664"/>
  <c r="AO663"/>
  <c r="AP663"/>
  <c r="AQ663"/>
  <c r="AR663"/>
  <c r="AS663"/>
  <c r="AO662"/>
  <c r="AP662"/>
  <c r="AQ662"/>
  <c r="AR662"/>
  <c r="AS662"/>
  <c r="AO661"/>
  <c r="AP661"/>
  <c r="AQ661"/>
  <c r="AR661"/>
  <c r="AS661"/>
  <c r="AO660"/>
  <c r="AP660"/>
  <c r="AQ660"/>
  <c r="AR660"/>
  <c r="AS660"/>
  <c r="AO659"/>
  <c r="AP659"/>
  <c r="AQ659"/>
  <c r="AR659"/>
  <c r="AS659"/>
  <c r="AO658"/>
  <c r="AP658"/>
  <c r="AQ658"/>
  <c r="AR658"/>
  <c r="AS658"/>
  <c r="AO657"/>
  <c r="AP657"/>
  <c r="AQ657"/>
  <c r="AR657"/>
  <c r="AS657"/>
  <c r="AO656"/>
  <c r="AP656"/>
  <c r="AQ656"/>
  <c r="AR656"/>
  <c r="AS656"/>
  <c r="AO655"/>
  <c r="AP655"/>
  <c r="AQ655"/>
  <c r="AR655"/>
  <c r="AS655"/>
  <c r="AO654"/>
  <c r="AP654"/>
  <c r="AQ654"/>
  <c r="AR654"/>
  <c r="AS654"/>
  <c r="AO653"/>
  <c r="AP653"/>
  <c r="AQ653"/>
  <c r="AR653"/>
  <c r="AS653"/>
  <c r="AO652"/>
  <c r="AP652"/>
  <c r="AQ652"/>
  <c r="AR652"/>
  <c r="AS652"/>
  <c r="AO651"/>
  <c r="AP651"/>
  <c r="AQ651"/>
  <c r="AR651"/>
  <c r="AS651"/>
  <c r="AO650"/>
  <c r="AP650"/>
  <c r="AQ650"/>
  <c r="AR650"/>
  <c r="AS650"/>
  <c r="AO649"/>
  <c r="AP649"/>
  <c r="AQ649"/>
  <c r="AR649"/>
  <c r="AS649"/>
  <c r="AO648"/>
  <c r="AP648"/>
  <c r="AQ648"/>
  <c r="AR648"/>
  <c r="AS648"/>
  <c r="AO647"/>
  <c r="AP647"/>
  <c r="AQ647"/>
  <c r="AR647"/>
  <c r="AS647"/>
  <c r="AO646"/>
  <c r="AP646"/>
  <c r="AQ646"/>
  <c r="AR646"/>
  <c r="AS646"/>
  <c r="AO645"/>
  <c r="AP645"/>
  <c r="AQ645"/>
  <c r="AR645"/>
  <c r="AS645"/>
  <c r="AO644"/>
  <c r="AP644"/>
  <c r="AQ644"/>
  <c r="AR644"/>
  <c r="AS644"/>
  <c r="AO643"/>
  <c r="AP643"/>
  <c r="AQ643"/>
  <c r="AR643"/>
  <c r="AS643"/>
  <c r="AO642"/>
  <c r="AP642"/>
  <c r="AQ642"/>
  <c r="AR642"/>
  <c r="AS642"/>
  <c r="AO641"/>
  <c r="AP641"/>
  <c r="AQ641"/>
  <c r="AR641"/>
  <c r="AS641"/>
  <c r="AO640"/>
  <c r="AP640"/>
  <c r="AQ640"/>
  <c r="AR640"/>
  <c r="AS640"/>
  <c r="AO639"/>
  <c r="AP639"/>
  <c r="AQ639"/>
  <c r="AR639"/>
  <c r="AS639"/>
  <c r="AO638"/>
  <c r="AP638"/>
  <c r="AQ638"/>
  <c r="AR638"/>
  <c r="AS638"/>
  <c r="AO637"/>
  <c r="AP637"/>
  <c r="AQ637"/>
  <c r="AR637"/>
  <c r="AS637"/>
  <c r="AO636"/>
  <c r="AP636"/>
  <c r="AQ636"/>
  <c r="AR636"/>
  <c r="AS636"/>
  <c r="AO632"/>
  <c r="AP632"/>
  <c r="AQ632"/>
  <c r="AR632"/>
  <c r="AS632"/>
  <c r="AO631"/>
  <c r="AP631"/>
  <c r="AQ631"/>
  <c r="AR631"/>
  <c r="AS631"/>
  <c r="AO630"/>
  <c r="AP630"/>
  <c r="AQ630"/>
  <c r="AR630"/>
  <c r="AS630"/>
  <c r="AO629"/>
  <c r="AP629"/>
  <c r="AQ629"/>
  <c r="AR629"/>
  <c r="AS629"/>
  <c r="AO628"/>
  <c r="AP628"/>
  <c r="AQ628"/>
  <c r="AR628"/>
  <c r="AS628"/>
  <c r="AO627"/>
  <c r="AP627"/>
  <c r="AQ627"/>
  <c r="AR627"/>
  <c r="AS627"/>
  <c r="AO626"/>
  <c r="AP626"/>
  <c r="AQ626"/>
  <c r="AR626"/>
  <c r="AS626"/>
  <c r="AO625"/>
  <c r="AP625"/>
  <c r="AQ625"/>
  <c r="AR625"/>
  <c r="AS625"/>
  <c r="AO624"/>
  <c r="AP624"/>
  <c r="AQ624"/>
  <c r="AR624"/>
  <c r="AS624"/>
  <c r="AO623"/>
  <c r="AP623"/>
  <c r="AQ623"/>
  <c r="AR623"/>
  <c r="AS623"/>
  <c r="AO622"/>
  <c r="AP622"/>
  <c r="AQ622"/>
  <c r="AR622"/>
  <c r="AS622"/>
  <c r="AO621"/>
  <c r="AP621"/>
  <c r="AQ621"/>
  <c r="AR621"/>
  <c r="AS621"/>
  <c r="AO620"/>
  <c r="AP620"/>
  <c r="AQ620"/>
  <c r="AR620"/>
  <c r="AS620"/>
  <c r="AO619"/>
  <c r="AP619"/>
  <c r="AQ619"/>
  <c r="AR619"/>
  <c r="AS619"/>
  <c r="AO618"/>
  <c r="AP618"/>
  <c r="AQ618"/>
  <c r="AR618"/>
  <c r="AS618"/>
  <c r="AO617"/>
  <c r="AP617"/>
  <c r="AQ617"/>
  <c r="AR617"/>
  <c r="AS617"/>
  <c r="AO616"/>
  <c r="AP616"/>
  <c r="AQ616"/>
  <c r="AR616"/>
  <c r="AS616"/>
  <c r="AO615"/>
  <c r="AP615"/>
  <c r="AQ615"/>
  <c r="AR615"/>
  <c r="AS615"/>
  <c r="AO614"/>
  <c r="AP614"/>
  <c r="AQ614"/>
  <c r="AR614"/>
  <c r="AS614"/>
  <c r="AO613"/>
  <c r="AP613"/>
  <c r="AQ613"/>
  <c r="AR613"/>
  <c r="AS613"/>
  <c r="AO612"/>
  <c r="AP612"/>
  <c r="AQ612"/>
  <c r="AR612"/>
  <c r="AS612"/>
  <c r="AO611"/>
  <c r="AP611"/>
  <c r="AQ611"/>
  <c r="AR611"/>
  <c r="AS611"/>
  <c r="AO610"/>
  <c r="AP610"/>
  <c r="AQ610"/>
  <c r="AR610"/>
  <c r="AS610"/>
  <c r="AO609"/>
  <c r="AP609"/>
  <c r="AQ609"/>
  <c r="AR609"/>
  <c r="AS609"/>
  <c r="AO608"/>
  <c r="AP608"/>
  <c r="AQ608"/>
  <c r="AR608"/>
  <c r="AS608"/>
  <c r="AO607"/>
  <c r="AP607"/>
  <c r="AQ607"/>
  <c r="AR607"/>
  <c r="AS607"/>
  <c r="AO606"/>
  <c r="AP606"/>
  <c r="AQ606"/>
  <c r="AR606"/>
  <c r="AS606"/>
  <c r="AO605"/>
  <c r="AP605"/>
  <c r="AQ605"/>
  <c r="AR605"/>
  <c r="AS605"/>
  <c r="AO604"/>
  <c r="AP604"/>
  <c r="AQ604"/>
  <c r="AR604"/>
  <c r="AS604"/>
  <c r="AO603"/>
  <c r="AP603"/>
  <c r="AQ603"/>
  <c r="AR603"/>
  <c r="AS603"/>
  <c r="AO602"/>
  <c r="AP602"/>
  <c r="AQ602"/>
  <c r="AR602"/>
  <c r="AS602"/>
  <c r="AO601"/>
  <c r="AP601"/>
  <c r="AQ601"/>
  <c r="AR601"/>
  <c r="AS601"/>
  <c r="AO600"/>
  <c r="AP600"/>
  <c r="AQ600"/>
  <c r="AR600"/>
  <c r="AS600"/>
  <c r="AO599"/>
  <c r="AP599"/>
  <c r="AQ599"/>
  <c r="AR599"/>
  <c r="AS599"/>
  <c r="AO598"/>
  <c r="AP598"/>
  <c r="AQ598"/>
  <c r="AR598"/>
  <c r="AS598"/>
  <c r="AO597"/>
  <c r="AP597"/>
  <c r="AQ597"/>
  <c r="AR597"/>
  <c r="AS597"/>
  <c r="AO596"/>
  <c r="AP596"/>
  <c r="AQ596"/>
  <c r="AR596"/>
  <c r="AS596"/>
  <c r="AO595"/>
  <c r="AP595"/>
  <c r="AQ595"/>
  <c r="AR595"/>
  <c r="AS595"/>
  <c r="AO594"/>
  <c r="AP594"/>
  <c r="AQ594"/>
  <c r="AR594"/>
  <c r="AS594"/>
  <c r="AO593"/>
  <c r="AP593"/>
  <c r="AQ593"/>
  <c r="AR593"/>
  <c r="AS593"/>
  <c r="AO592"/>
  <c r="AP592"/>
  <c r="AQ592"/>
  <c r="AR592"/>
  <c r="AS592"/>
  <c r="AO591"/>
  <c r="AP591"/>
  <c r="AQ591"/>
  <c r="AR591"/>
  <c r="AS591"/>
  <c r="AO590"/>
  <c r="AP590"/>
  <c r="AQ590"/>
  <c r="AR590"/>
  <c r="AS590"/>
  <c r="AO589"/>
  <c r="AP589"/>
  <c r="AQ589"/>
  <c r="AR589"/>
  <c r="AS589"/>
  <c r="AO588"/>
  <c r="AP588"/>
  <c r="AQ588"/>
  <c r="AR588"/>
  <c r="AS588"/>
  <c r="AO587"/>
  <c r="AP587"/>
  <c r="AQ587"/>
  <c r="AR587"/>
  <c r="AS587"/>
  <c r="AO586"/>
  <c r="AP586"/>
  <c r="AQ586"/>
  <c r="AR586"/>
  <c r="AS586"/>
  <c r="AO585"/>
  <c r="AP585"/>
  <c r="AQ585"/>
  <c r="AR585"/>
  <c r="AS585"/>
  <c r="AO584"/>
  <c r="AP584"/>
  <c r="AQ584"/>
  <c r="AR584"/>
  <c r="AS584"/>
  <c r="AO583"/>
  <c r="AP583"/>
  <c r="AQ583"/>
  <c r="AR583"/>
  <c r="AS583"/>
  <c r="AO582"/>
  <c r="AP582"/>
  <c r="AQ582"/>
  <c r="AR582"/>
  <c r="AS582"/>
  <c r="AO581"/>
  <c r="AP581"/>
  <c r="AQ581"/>
  <c r="AR581"/>
  <c r="AS581"/>
  <c r="AO580"/>
  <c r="AP580"/>
  <c r="AQ580"/>
  <c r="AR580"/>
  <c r="AS580"/>
  <c r="AO579"/>
  <c r="AP579"/>
  <c r="AQ579"/>
  <c r="AR579"/>
  <c r="AS579"/>
  <c r="AO578"/>
  <c r="AP578"/>
  <c r="AQ578"/>
  <c r="AR578"/>
  <c r="AS578"/>
  <c r="AO577"/>
  <c r="AP577"/>
  <c r="AQ577"/>
  <c r="AR577"/>
  <c r="AS577"/>
  <c r="AO576"/>
  <c r="AP576"/>
  <c r="AQ576"/>
  <c r="AR576"/>
  <c r="AS576"/>
  <c r="AO575"/>
  <c r="AP575"/>
  <c r="AQ575"/>
  <c r="AR575"/>
  <c r="AS575"/>
  <c r="AO574"/>
  <c r="AP574"/>
  <c r="AQ574"/>
  <c r="AR574"/>
  <c r="AS574"/>
  <c r="AO573"/>
  <c r="AP573"/>
  <c r="AQ573"/>
  <c r="AR573"/>
  <c r="AS573"/>
  <c r="AO572"/>
  <c r="AP572"/>
  <c r="AQ572"/>
  <c r="AR572"/>
  <c r="AS572"/>
  <c r="AO571"/>
  <c r="AP571"/>
  <c r="AQ571"/>
  <c r="AR571"/>
  <c r="AS571"/>
  <c r="AO570"/>
  <c r="AP570"/>
  <c r="AQ570"/>
  <c r="AR570"/>
  <c r="AS570"/>
  <c r="AO569"/>
  <c r="AP569"/>
  <c r="AQ569"/>
  <c r="AR569"/>
  <c r="AS569"/>
  <c r="AO568"/>
  <c r="AP568"/>
  <c r="AQ568"/>
  <c r="AR568"/>
  <c r="AS568"/>
  <c r="AO567"/>
  <c r="AP567"/>
  <c r="AQ567"/>
  <c r="AR567"/>
  <c r="AS567"/>
  <c r="AO566"/>
  <c r="AP566"/>
  <c r="AQ566"/>
  <c r="AR566"/>
  <c r="AS566"/>
  <c r="AO565"/>
  <c r="AP565"/>
  <c r="AQ565"/>
  <c r="AR565"/>
  <c r="AS565"/>
  <c r="AO564"/>
  <c r="AP564"/>
  <c r="AQ564"/>
  <c r="AR564"/>
  <c r="AS564"/>
  <c r="AO563"/>
  <c r="AP563"/>
  <c r="AQ563"/>
  <c r="AR563"/>
  <c r="AS563"/>
  <c r="AO562"/>
  <c r="AP562"/>
  <c r="AQ562"/>
  <c r="AR562"/>
  <c r="AS562"/>
  <c r="AO561"/>
  <c r="AP561"/>
  <c r="AQ561"/>
  <c r="AR561"/>
  <c r="AS561"/>
  <c r="AO560"/>
  <c r="AP560"/>
  <c r="AQ560"/>
  <c r="AR560"/>
  <c r="AS560"/>
  <c r="AO559"/>
  <c r="AP559"/>
  <c r="AQ559"/>
  <c r="AR559"/>
  <c r="AS559"/>
  <c r="AO558"/>
  <c r="AP558"/>
  <c r="AQ558"/>
  <c r="AR558"/>
  <c r="AS558"/>
  <c r="AO557"/>
  <c r="AP557"/>
  <c r="AQ557"/>
  <c r="AR557"/>
  <c r="AS557"/>
  <c r="AO556"/>
  <c r="AP556"/>
  <c r="AQ556"/>
  <c r="AR556"/>
  <c r="AS556"/>
  <c r="AO555"/>
  <c r="AP555"/>
  <c r="AQ555"/>
  <c r="AR555"/>
  <c r="AS555"/>
  <c r="AO554"/>
  <c r="AP554"/>
  <c r="AQ554"/>
  <c r="AR554"/>
  <c r="AS554"/>
  <c r="AO553"/>
  <c r="AP553"/>
  <c r="AQ553"/>
  <c r="AR553"/>
  <c r="AS553"/>
  <c r="AO552"/>
  <c r="AP552"/>
  <c r="AQ552"/>
  <c r="AR552"/>
  <c r="AS552"/>
  <c r="AO551"/>
  <c r="AP551"/>
  <c r="AQ551"/>
  <c r="AR551"/>
  <c r="AS551"/>
  <c r="AO550"/>
  <c r="AP550"/>
  <c r="AQ550"/>
  <c r="AR550"/>
  <c r="AS550"/>
  <c r="AO549"/>
  <c r="AP549"/>
  <c r="AQ549"/>
  <c r="AR549"/>
  <c r="AS549"/>
  <c r="AO548"/>
  <c r="AP548"/>
  <c r="AQ548"/>
  <c r="AR548"/>
  <c r="AS548"/>
  <c r="AO547"/>
  <c r="AP547"/>
  <c r="AQ547"/>
  <c r="AR547"/>
  <c r="AS547"/>
  <c r="AO546"/>
  <c r="AP546"/>
  <c r="AQ546"/>
  <c r="AR546"/>
  <c r="AS546"/>
  <c r="AO545"/>
  <c r="AP545"/>
  <c r="AQ545"/>
  <c r="AR545"/>
  <c r="AS545"/>
  <c r="AO544"/>
  <c r="AP544"/>
  <c r="AQ544"/>
  <c r="AR544"/>
  <c r="AS544"/>
  <c r="AO543"/>
  <c r="AP543"/>
  <c r="AQ543"/>
  <c r="AR543"/>
  <c r="AS543"/>
  <c r="AO542"/>
  <c r="AP542"/>
  <c r="AQ542"/>
  <c r="AR542"/>
  <c r="AS542"/>
  <c r="AO541"/>
  <c r="AP541"/>
  <c r="AQ541"/>
  <c r="AR541"/>
  <c r="AS541"/>
  <c r="AO540"/>
  <c r="AP540"/>
  <c r="AQ540"/>
  <c r="AR540"/>
  <c r="AS540"/>
  <c r="AO539"/>
  <c r="AP539"/>
  <c r="AQ539"/>
  <c r="AR539"/>
  <c r="AS539"/>
  <c r="AO538"/>
  <c r="AP538"/>
  <c r="AQ538"/>
  <c r="AR538"/>
  <c r="AS538"/>
  <c r="AO537"/>
  <c r="AP537"/>
  <c r="AQ537"/>
  <c r="AR537"/>
  <c r="AS537"/>
  <c r="AO536"/>
  <c r="AP536"/>
  <c r="AQ536"/>
  <c r="AR536"/>
  <c r="AS536"/>
  <c r="AO535"/>
  <c r="AP535"/>
  <c r="AQ535"/>
  <c r="AR535"/>
  <c r="AS535"/>
  <c r="AO534"/>
  <c r="AP534"/>
  <c r="AQ534"/>
  <c r="AR534"/>
  <c r="AS534"/>
  <c r="AO533"/>
  <c r="AP533"/>
  <c r="AQ533"/>
  <c r="AR533"/>
  <c r="AS533"/>
  <c r="AO532"/>
  <c r="AP532"/>
  <c r="AQ532"/>
  <c r="AR532"/>
  <c r="AS532"/>
  <c r="AO531"/>
  <c r="AP531"/>
  <c r="AQ531"/>
  <c r="AR531"/>
  <c r="AS531"/>
  <c r="AO530"/>
  <c r="AP530"/>
  <c r="AQ530"/>
  <c r="AR530"/>
  <c r="AS530"/>
  <c r="AO529"/>
  <c r="AP529"/>
  <c r="AQ529"/>
  <c r="AR529"/>
  <c r="AS529"/>
  <c r="AO528"/>
  <c r="AP528"/>
  <c r="AQ528"/>
  <c r="AR528"/>
  <c r="AS528"/>
  <c r="AO527"/>
  <c r="AP527"/>
  <c r="AQ527"/>
  <c r="AR527"/>
  <c r="AS527"/>
  <c r="AO526"/>
  <c r="AP526"/>
  <c r="AQ526"/>
  <c r="AR526"/>
  <c r="AS526"/>
  <c r="AO525"/>
  <c r="AP525"/>
  <c r="AQ525"/>
  <c r="AR525"/>
  <c r="AS525"/>
  <c r="AO524"/>
  <c r="AP524"/>
  <c r="AQ524"/>
  <c r="AR524"/>
  <c r="AS524"/>
  <c r="AO523"/>
  <c r="AP523"/>
  <c r="AQ523"/>
  <c r="AR523"/>
  <c r="AS523"/>
  <c r="AO522"/>
  <c r="AP522"/>
  <c r="AQ522"/>
  <c r="AR522"/>
  <c r="AS522"/>
  <c r="AO521"/>
  <c r="AP521"/>
  <c r="AQ521"/>
  <c r="AR521"/>
  <c r="AS521"/>
  <c r="AO520"/>
  <c r="AP520"/>
  <c r="AQ520"/>
  <c r="AR520"/>
  <c r="AS520"/>
  <c r="AO519"/>
  <c r="AP519"/>
  <c r="AQ519"/>
  <c r="AR519"/>
  <c r="AS519"/>
  <c r="AO518"/>
  <c r="AP518"/>
  <c r="AQ518"/>
  <c r="AR518"/>
  <c r="AS518"/>
  <c r="AO517"/>
  <c r="AP517"/>
  <c r="AQ517"/>
  <c r="AR517"/>
  <c r="AS517"/>
  <c r="AO516"/>
  <c r="AP516"/>
  <c r="AQ516"/>
  <c r="AR516"/>
  <c r="AS516"/>
  <c r="AO515"/>
  <c r="AP515"/>
  <c r="AQ515"/>
  <c r="AR515"/>
  <c r="AS515"/>
  <c r="AO514"/>
  <c r="AP514"/>
  <c r="AQ514"/>
  <c r="AR514"/>
  <c r="AS514"/>
  <c r="AO513"/>
  <c r="AP513"/>
  <c r="AQ513"/>
  <c r="AR513"/>
  <c r="AS513"/>
  <c r="AO512"/>
  <c r="AP512"/>
  <c r="AQ512"/>
  <c r="AR512"/>
  <c r="AS512"/>
  <c r="AO511"/>
  <c r="AP511"/>
  <c r="AQ511"/>
  <c r="AR511"/>
  <c r="AS511"/>
  <c r="AO510"/>
  <c r="AP510"/>
  <c r="AQ510"/>
  <c r="AR510"/>
  <c r="AS510"/>
  <c r="AO509"/>
  <c r="AP509"/>
  <c r="AQ509"/>
  <c r="AR509"/>
  <c r="AS509"/>
  <c r="AO508"/>
  <c r="AP508"/>
  <c r="AQ508"/>
  <c r="AR508"/>
  <c r="AS508"/>
  <c r="AO507"/>
  <c r="AP507"/>
  <c r="AQ507"/>
  <c r="AR507"/>
  <c r="AS507"/>
  <c r="AO506"/>
  <c r="AP506"/>
  <c r="AQ506"/>
  <c r="AR506"/>
  <c r="AS506"/>
  <c r="AO505"/>
  <c r="AP505"/>
  <c r="AQ505"/>
  <c r="AR505"/>
  <c r="AS505"/>
  <c r="AO504"/>
  <c r="AP504"/>
  <c r="AQ504"/>
  <c r="AR504"/>
  <c r="AS504"/>
  <c r="AO503"/>
  <c r="AP503"/>
  <c r="AQ503"/>
  <c r="AR503"/>
  <c r="AS503"/>
  <c r="AO502"/>
  <c r="AP502"/>
  <c r="AQ502"/>
  <c r="AR502"/>
  <c r="AS502"/>
  <c r="AO501"/>
  <c r="AP501"/>
  <c r="AQ501"/>
  <c r="AR501"/>
  <c r="AS501"/>
  <c r="AO500"/>
  <c r="AP500"/>
  <c r="AQ500"/>
  <c r="AR500"/>
  <c r="AS500"/>
  <c r="AO499"/>
  <c r="AP499"/>
  <c r="AQ499"/>
  <c r="AR499"/>
  <c r="AS499"/>
  <c r="AO498"/>
  <c r="AP498"/>
  <c r="AQ498"/>
  <c r="AR498"/>
  <c r="AS498"/>
  <c r="AO497"/>
  <c r="AP497"/>
  <c r="AQ497"/>
  <c r="AR497"/>
  <c r="AS497"/>
  <c r="AO496"/>
  <c r="AP496"/>
  <c r="AQ496"/>
  <c r="AR496"/>
  <c r="AS496"/>
  <c r="AO495"/>
  <c r="AP495"/>
  <c r="AQ495"/>
  <c r="AR495"/>
  <c r="AS495"/>
  <c r="AO494"/>
  <c r="AP494"/>
  <c r="AQ494"/>
  <c r="AR494"/>
  <c r="AS494"/>
  <c r="AO493"/>
  <c r="AP493"/>
  <c r="AQ493"/>
  <c r="AR493"/>
  <c r="AS493"/>
  <c r="AO492"/>
  <c r="AP492"/>
  <c r="AQ492"/>
  <c r="AR492"/>
  <c r="AS492"/>
  <c r="AO491"/>
  <c r="AP491"/>
  <c r="AQ491"/>
  <c r="AR491"/>
  <c r="AS491"/>
  <c r="AO490"/>
  <c r="AP490"/>
  <c r="AQ490"/>
  <c r="AR490"/>
  <c r="AS490"/>
  <c r="AO489"/>
  <c r="AP489"/>
  <c r="AQ489"/>
  <c r="AR489"/>
  <c r="AS489"/>
  <c r="AO488"/>
  <c r="AP488"/>
  <c r="AQ488"/>
  <c r="AR488"/>
  <c r="AS488"/>
  <c r="AO487"/>
  <c r="AP487"/>
  <c r="AQ487"/>
  <c r="AR487"/>
  <c r="AS487"/>
  <c r="AO486"/>
  <c r="AP486"/>
  <c r="AQ486"/>
  <c r="AR486"/>
  <c r="AS486"/>
  <c r="AO485"/>
  <c r="AP485"/>
  <c r="AQ485"/>
  <c r="AR485"/>
  <c r="AS485"/>
  <c r="AO484"/>
  <c r="AP484"/>
  <c r="AQ484"/>
  <c r="AR484"/>
  <c r="AS484"/>
  <c r="AO483"/>
  <c r="AP483"/>
  <c r="AQ483"/>
  <c r="AR483"/>
  <c r="AS483"/>
  <c r="AO482"/>
  <c r="AP482"/>
  <c r="AQ482"/>
  <c r="AR482"/>
  <c r="AS482"/>
  <c r="AO481"/>
  <c r="AP481"/>
  <c r="AQ481"/>
  <c r="AR481"/>
  <c r="AS481"/>
  <c r="AO480"/>
  <c r="AP480"/>
  <c r="AQ480"/>
  <c r="AR480"/>
  <c r="AS480"/>
  <c r="AO479"/>
  <c r="AP479"/>
  <c r="AQ479"/>
  <c r="AR479"/>
  <c r="AS479"/>
  <c r="AO478"/>
  <c r="AP478"/>
  <c r="AQ478"/>
  <c r="AR478"/>
  <c r="AS478"/>
  <c r="AO477"/>
  <c r="AP477"/>
  <c r="AQ477"/>
  <c r="AR477"/>
  <c r="AS477"/>
  <c r="AO476"/>
  <c r="AP476"/>
  <c r="AQ476"/>
  <c r="AR476"/>
  <c r="AS476"/>
  <c r="AO475"/>
  <c r="AP475"/>
  <c r="AQ475"/>
  <c r="AR475"/>
  <c r="AS475"/>
  <c r="AO474"/>
  <c r="AP474"/>
  <c r="AQ474"/>
  <c r="AR474"/>
  <c r="AS474"/>
  <c r="AO473"/>
  <c r="AP473"/>
  <c r="AQ473"/>
  <c r="AR473"/>
  <c r="AS473"/>
  <c r="AO472"/>
  <c r="AP472"/>
  <c r="AQ472"/>
  <c r="AR472"/>
  <c r="AS472"/>
  <c r="AO471"/>
  <c r="AP471"/>
  <c r="AQ471"/>
  <c r="AR471"/>
  <c r="AS471"/>
  <c r="AO470"/>
  <c r="AP470"/>
  <c r="AQ470"/>
  <c r="AR470"/>
  <c r="AS470"/>
  <c r="AO469"/>
  <c r="AP469"/>
  <c r="AQ469"/>
  <c r="AR469"/>
  <c r="AS469"/>
  <c r="AO468"/>
  <c r="AP468"/>
  <c r="AQ468"/>
  <c r="AR468"/>
  <c r="AS468"/>
  <c r="AO467"/>
  <c r="AP467"/>
  <c r="AQ467"/>
  <c r="AR467"/>
  <c r="AS467"/>
  <c r="AO466"/>
  <c r="AP466"/>
  <c r="AQ466"/>
  <c r="AR466"/>
  <c r="AS466"/>
  <c r="AO465"/>
  <c r="AP465"/>
  <c r="AQ465"/>
  <c r="AR465"/>
  <c r="AS465"/>
  <c r="AO464"/>
  <c r="AP464"/>
  <c r="AQ464"/>
  <c r="AR464"/>
  <c r="AS464"/>
  <c r="AO460"/>
  <c r="AP460"/>
  <c r="AQ460"/>
  <c r="AR460"/>
  <c r="AS460"/>
  <c r="AO459"/>
  <c r="AP459"/>
  <c r="AQ459"/>
  <c r="AR459"/>
  <c r="AS459"/>
  <c r="AO458"/>
  <c r="AP458"/>
  <c r="AQ458"/>
  <c r="AR458"/>
  <c r="AS458"/>
  <c r="AO457"/>
  <c r="AP457"/>
  <c r="AQ457"/>
  <c r="AR457"/>
  <c r="AS457"/>
  <c r="AO456"/>
  <c r="AP456"/>
  <c r="AQ456"/>
  <c r="AR456"/>
  <c r="AS456"/>
  <c r="AO455"/>
  <c r="AP455"/>
  <c r="AQ455"/>
  <c r="AR455"/>
  <c r="AS455"/>
  <c r="AO454"/>
  <c r="AP454"/>
  <c r="AQ454"/>
  <c r="AR454"/>
  <c r="AS454"/>
  <c r="AO450"/>
  <c r="AP450"/>
  <c r="AQ450"/>
  <c r="AR450"/>
  <c r="AS450"/>
  <c r="AO449"/>
  <c r="AP449"/>
  <c r="AQ449"/>
  <c r="AR449"/>
  <c r="AS449"/>
  <c r="AO448"/>
  <c r="AP448"/>
  <c r="AQ448"/>
  <c r="AR448"/>
  <c r="AS448"/>
  <c r="AO447"/>
  <c r="AP447"/>
  <c r="AQ447"/>
  <c r="AR447"/>
  <c r="AS447"/>
  <c r="AO446"/>
  <c r="AP446"/>
  <c r="AQ446"/>
  <c r="AR446"/>
  <c r="AS446"/>
  <c r="AO445"/>
  <c r="AP445"/>
  <c r="AQ445"/>
  <c r="AR445"/>
  <c r="AS445"/>
  <c r="AO444"/>
  <c r="AP444"/>
  <c r="AQ444"/>
  <c r="AR444"/>
  <c r="AS444"/>
  <c r="AO443"/>
  <c r="AP443"/>
  <c r="AQ443"/>
  <c r="AR443"/>
  <c r="AS443"/>
  <c r="AO442"/>
  <c r="AP442"/>
  <c r="AQ442"/>
  <c r="AR442"/>
  <c r="AS442"/>
  <c r="AO441"/>
  <c r="AP441"/>
  <c r="AQ441"/>
  <c r="AR441"/>
  <c r="AS441"/>
  <c r="AO440"/>
  <c r="AP440"/>
  <c r="AQ440"/>
  <c r="AR440"/>
  <c r="AS440"/>
  <c r="AO439"/>
  <c r="AP439"/>
  <c r="AQ439"/>
  <c r="AR439"/>
  <c r="AS439"/>
  <c r="AO438"/>
  <c r="AP438"/>
  <c r="AQ438"/>
  <c r="AR438"/>
  <c r="AS438"/>
  <c r="AO437"/>
  <c r="AP437"/>
  <c r="AQ437"/>
  <c r="AR437"/>
  <c r="AS437"/>
  <c r="AO436"/>
  <c r="AP436"/>
  <c r="AQ436"/>
  <c r="AR436"/>
  <c r="AS436"/>
  <c r="AO435"/>
  <c r="AP435"/>
  <c r="AQ435"/>
  <c r="AR435"/>
  <c r="AS435"/>
  <c r="AO434"/>
  <c r="AP434"/>
  <c r="AQ434"/>
  <c r="AR434"/>
  <c r="AS434"/>
  <c r="AO433"/>
  <c r="AP433"/>
  <c r="AQ433"/>
  <c r="AR433"/>
  <c r="AS433"/>
  <c r="AO432"/>
  <c r="AP432"/>
  <c r="AQ432"/>
  <c r="AR432"/>
  <c r="AS432"/>
  <c r="AO431"/>
  <c r="AP431"/>
  <c r="AQ431"/>
  <c r="AR431"/>
  <c r="AS431"/>
  <c r="AO430"/>
  <c r="AP430"/>
  <c r="AQ430"/>
  <c r="AR430"/>
  <c r="AS430"/>
  <c r="AO429"/>
  <c r="AP429"/>
  <c r="AQ429"/>
  <c r="AR429"/>
  <c r="AS429"/>
  <c r="AO425"/>
  <c r="AP425"/>
  <c r="AQ425"/>
  <c r="AR425"/>
  <c r="AS425"/>
  <c r="AO424"/>
  <c r="AP424"/>
  <c r="AQ424"/>
  <c r="AR424"/>
  <c r="AS424"/>
  <c r="AO423"/>
  <c r="AP423"/>
  <c r="AQ423"/>
  <c r="AR423"/>
  <c r="AS423"/>
  <c r="AO422"/>
  <c r="AP422"/>
  <c r="AQ422"/>
  <c r="AR422"/>
  <c r="AS422"/>
  <c r="AO421"/>
  <c r="AP421"/>
  <c r="AQ421"/>
  <c r="AR421"/>
  <c r="AS421"/>
  <c r="AO420"/>
  <c r="AP420"/>
  <c r="AQ420"/>
  <c r="AR420"/>
  <c r="AS420"/>
  <c r="AO419"/>
  <c r="AP419"/>
  <c r="AQ419"/>
  <c r="AR419"/>
  <c r="AS419"/>
  <c r="AO418"/>
  <c r="AP418"/>
  <c r="AQ418"/>
  <c r="AR418"/>
  <c r="AS418"/>
  <c r="AO417"/>
  <c r="AP417"/>
  <c r="AQ417"/>
  <c r="AR417"/>
  <c r="AS417"/>
  <c r="AO416"/>
  <c r="AP416"/>
  <c r="AQ416"/>
  <c r="AR416"/>
  <c r="AS416"/>
  <c r="AO415"/>
  <c r="AP415"/>
  <c r="AQ415"/>
  <c r="AR415"/>
  <c r="AS415"/>
  <c r="AO414"/>
  <c r="AP414"/>
  <c r="AQ414"/>
  <c r="AR414"/>
  <c r="AS414"/>
  <c r="AO413"/>
  <c r="AP413"/>
  <c r="AQ413"/>
  <c r="AR413"/>
  <c r="AS413"/>
  <c r="AO412"/>
  <c r="AP412"/>
  <c r="AQ412"/>
  <c r="AR412"/>
  <c r="AS412"/>
  <c r="AO411"/>
  <c r="AP411"/>
  <c r="AQ411"/>
  <c r="AR411"/>
  <c r="AS411"/>
  <c r="AO410"/>
  <c r="AP410"/>
  <c r="AQ410"/>
  <c r="AR410"/>
  <c r="AS410"/>
  <c r="AO409"/>
  <c r="AP409"/>
  <c r="AQ409"/>
  <c r="AR409"/>
  <c r="AS409"/>
  <c r="AO408"/>
  <c r="AP408"/>
  <c r="AQ408"/>
  <c r="AR408"/>
  <c r="AS408"/>
  <c r="AO407"/>
  <c r="AP407"/>
  <c r="AQ407"/>
  <c r="AR407"/>
  <c r="AS407"/>
  <c r="AO406"/>
  <c r="AP406"/>
  <c r="AQ406"/>
  <c r="AR406"/>
  <c r="AS406"/>
  <c r="AO405"/>
  <c r="AP405"/>
  <c r="AQ405"/>
  <c r="AR405"/>
  <c r="AS405"/>
  <c r="AO404"/>
  <c r="AP404"/>
  <c r="AQ404"/>
  <c r="AR404"/>
  <c r="AS404"/>
  <c r="AO403"/>
  <c r="AP403"/>
  <c r="AQ403"/>
  <c r="AR403"/>
  <c r="AS403"/>
  <c r="AO402"/>
  <c r="AP402"/>
  <c r="AQ402"/>
  <c r="AR402"/>
  <c r="AS402"/>
  <c r="AO398"/>
  <c r="AP398"/>
  <c r="AQ398"/>
  <c r="AR398"/>
  <c r="AS398"/>
  <c r="AO397"/>
  <c r="AP397"/>
  <c r="AQ397"/>
  <c r="AR397"/>
  <c r="AS397"/>
  <c r="AO396"/>
  <c r="AP396"/>
  <c r="AQ396"/>
  <c r="AR396"/>
  <c r="AS396"/>
  <c r="AO395"/>
  <c r="AP395"/>
  <c r="AQ395"/>
  <c r="AR395"/>
  <c r="AS395"/>
  <c r="AO394"/>
  <c r="AP394"/>
  <c r="AQ394"/>
  <c r="AR394"/>
  <c r="AS394"/>
  <c r="AO393"/>
  <c r="AP393"/>
  <c r="AQ393"/>
  <c r="AR393"/>
  <c r="AS393"/>
  <c r="AO392"/>
  <c r="AP392"/>
  <c r="AQ392"/>
  <c r="AR392"/>
  <c r="AS392"/>
  <c r="AO391"/>
  <c r="AP391"/>
  <c r="AQ391"/>
  <c r="AR391"/>
  <c r="AS391"/>
  <c r="AO390"/>
  <c r="AP390"/>
  <c r="AQ390"/>
  <c r="AR390"/>
  <c r="AS390"/>
  <c r="AO389"/>
  <c r="AP389"/>
  <c r="AQ389"/>
  <c r="AR389"/>
  <c r="AS389"/>
  <c r="AO388"/>
  <c r="AP388"/>
  <c r="AQ388"/>
  <c r="AR388"/>
  <c r="AS388"/>
  <c r="AO387"/>
  <c r="AP387"/>
  <c r="AQ387"/>
  <c r="AR387"/>
  <c r="AS387"/>
  <c r="AO386"/>
  <c r="AP386"/>
  <c r="AQ386"/>
  <c r="AR386"/>
  <c r="AS386"/>
  <c r="AO385"/>
  <c r="AP385"/>
  <c r="AQ385"/>
  <c r="AR385"/>
  <c r="AS385"/>
  <c r="AO384"/>
  <c r="AP384"/>
  <c r="AQ384"/>
  <c r="AR384"/>
  <c r="AS384"/>
  <c r="AO383"/>
  <c r="AP383"/>
  <c r="AQ383"/>
  <c r="AR383"/>
  <c r="AS383"/>
  <c r="AO382"/>
  <c r="AP382"/>
  <c r="AQ382"/>
  <c r="AR382"/>
  <c r="AS382"/>
  <c r="AO381"/>
  <c r="AP381"/>
  <c r="AQ381"/>
  <c r="AR381"/>
  <c r="AS381"/>
  <c r="AO380"/>
  <c r="AP380"/>
  <c r="AQ380"/>
  <c r="AR380"/>
  <c r="AS380"/>
  <c r="AO379"/>
  <c r="AP379"/>
  <c r="AQ379"/>
  <c r="AR379"/>
  <c r="AS379"/>
  <c r="AO378"/>
  <c r="AP378"/>
  <c r="AQ378"/>
  <c r="AR378"/>
  <c r="AS378"/>
  <c r="AO377"/>
  <c r="AP377"/>
  <c r="AQ377"/>
  <c r="AR377"/>
  <c r="AS377"/>
  <c r="AO376"/>
  <c r="AP376"/>
  <c r="AQ376"/>
  <c r="AR376"/>
  <c r="AS376"/>
  <c r="AO375"/>
  <c r="AP375"/>
  <c r="AQ375"/>
  <c r="AR375"/>
  <c r="AS375"/>
  <c r="AO374"/>
  <c r="AP374"/>
  <c r="AQ374"/>
  <c r="AR374"/>
  <c r="AS374"/>
  <c r="AO373"/>
  <c r="AP373"/>
  <c r="AQ373"/>
  <c r="AR373"/>
  <c r="AS373"/>
  <c r="AO372"/>
  <c r="AP372"/>
  <c r="AQ372"/>
  <c r="AR372"/>
  <c r="AS372"/>
  <c r="AO371"/>
  <c r="AP371"/>
  <c r="AQ371"/>
  <c r="AR371"/>
  <c r="AS371"/>
  <c r="AO370"/>
  <c r="AP370"/>
  <c r="AQ370"/>
  <c r="AR370"/>
  <c r="AS370"/>
  <c r="AO369"/>
  <c r="AP369"/>
  <c r="AQ369"/>
  <c r="AR369"/>
  <c r="AS369"/>
  <c r="AO368"/>
  <c r="AP368"/>
  <c r="AQ368"/>
  <c r="AR368"/>
  <c r="AS368"/>
  <c r="AO367"/>
  <c r="AP367"/>
  <c r="AQ367"/>
  <c r="AR367"/>
  <c r="AS367"/>
  <c r="AO366"/>
  <c r="AP366"/>
  <c r="AQ366"/>
  <c r="AR366"/>
  <c r="AS366"/>
  <c r="AO365"/>
  <c r="AP365"/>
  <c r="AQ365"/>
  <c r="AR365"/>
  <c r="AS365"/>
  <c r="AO364"/>
  <c r="AP364"/>
  <c r="AQ364"/>
  <c r="AR364"/>
  <c r="AS364"/>
  <c r="AO363"/>
  <c r="AP363"/>
  <c r="AQ363"/>
  <c r="AR363"/>
  <c r="AS363"/>
  <c r="AO362"/>
  <c r="AP362"/>
  <c r="AQ362"/>
  <c r="AR362"/>
  <c r="AS362"/>
  <c r="AO361"/>
  <c r="AP361"/>
  <c r="AQ361"/>
  <c r="AR361"/>
  <c r="AS361"/>
  <c r="AO360"/>
  <c r="AP360"/>
  <c r="AQ360"/>
  <c r="AR360"/>
  <c r="AS360"/>
  <c r="AO359"/>
  <c r="AP359"/>
  <c r="AQ359"/>
  <c r="AR359"/>
  <c r="AS359"/>
  <c r="AO358"/>
  <c r="AP358"/>
  <c r="AQ358"/>
  <c r="AR358"/>
  <c r="AS358"/>
  <c r="AO357"/>
  <c r="AP357"/>
  <c r="AQ357"/>
  <c r="AR357"/>
  <c r="AS357"/>
  <c r="AO356"/>
  <c r="AP356"/>
  <c r="AQ356"/>
  <c r="AR356"/>
  <c r="AS356"/>
  <c r="AO355"/>
  <c r="AP355"/>
  <c r="AQ355"/>
  <c r="AR355"/>
  <c r="AS355"/>
  <c r="AO354"/>
  <c r="AP354"/>
  <c r="AQ354"/>
  <c r="AR354"/>
  <c r="AS354"/>
  <c r="AO353"/>
  <c r="AP353"/>
  <c r="AQ353"/>
  <c r="AR353"/>
  <c r="AS353"/>
  <c r="AO352"/>
  <c r="AP352"/>
  <c r="AQ352"/>
  <c r="AR352"/>
  <c r="AS352"/>
  <c r="AO351"/>
  <c r="AP351"/>
  <c r="AQ351"/>
  <c r="AR351"/>
  <c r="AS351"/>
  <c r="AO350"/>
  <c r="AP350"/>
  <c r="AQ350"/>
  <c r="AR350"/>
  <c r="AS350"/>
  <c r="AO349"/>
  <c r="AP349"/>
  <c r="AQ349"/>
  <c r="AR349"/>
  <c r="AS349"/>
  <c r="AO348"/>
  <c r="AP348"/>
  <c r="AQ348"/>
  <c r="AR348"/>
  <c r="AS348"/>
  <c r="AO347"/>
  <c r="AP347"/>
  <c r="AQ347"/>
  <c r="AR347"/>
  <c r="AS347"/>
  <c r="AO346"/>
  <c r="AP346"/>
  <c r="AQ346"/>
  <c r="AR346"/>
  <c r="AS346"/>
  <c r="AO345"/>
  <c r="AP345"/>
  <c r="AQ345"/>
  <c r="AR345"/>
  <c r="AS345"/>
  <c r="AO344"/>
  <c r="AP344"/>
  <c r="AQ344"/>
  <c r="AR344"/>
  <c r="AS344"/>
  <c r="AO343"/>
  <c r="AP343"/>
  <c r="AQ343"/>
  <c r="AR343"/>
  <c r="AS343"/>
  <c r="AO342"/>
  <c r="AP342"/>
  <c r="AQ342"/>
  <c r="AR342"/>
  <c r="AS342"/>
  <c r="AO341"/>
  <c r="AP341"/>
  <c r="AQ341"/>
  <c r="AR341"/>
  <c r="AS341"/>
  <c r="AO340"/>
  <c r="AP340"/>
  <c r="AQ340"/>
  <c r="AR340"/>
  <c r="AS340"/>
  <c r="AO339"/>
  <c r="AP339"/>
  <c r="AQ339"/>
  <c r="AR339"/>
  <c r="AS339"/>
  <c r="AO338"/>
  <c r="AP338"/>
  <c r="AQ338"/>
  <c r="AR338"/>
  <c r="AS338"/>
  <c r="AO337"/>
  <c r="AP337"/>
  <c r="AQ337"/>
  <c r="AR337"/>
  <c r="AS337"/>
  <c r="AO336"/>
  <c r="AP336"/>
  <c r="AQ336"/>
  <c r="AR336"/>
  <c r="AS336"/>
  <c r="AO335"/>
  <c r="AP335"/>
  <c r="AQ335"/>
  <c r="AR335"/>
  <c r="AS335"/>
  <c r="AO334"/>
  <c r="AP334"/>
  <c r="AQ334"/>
  <c r="AR334"/>
  <c r="AS334"/>
  <c r="AO333"/>
  <c r="AP333"/>
  <c r="AQ333"/>
  <c r="AR333"/>
  <c r="AS333"/>
  <c r="AO332"/>
  <c r="AP332"/>
  <c r="AQ332"/>
  <c r="AR332"/>
  <c r="AS332"/>
  <c r="AO331"/>
  <c r="AP331"/>
  <c r="AQ331"/>
  <c r="AR331"/>
  <c r="AS331"/>
  <c r="AO330"/>
  <c r="AP330"/>
  <c r="AQ330"/>
  <c r="AR330"/>
  <c r="AS330"/>
  <c r="AO329"/>
  <c r="AP329"/>
  <c r="AQ329"/>
  <c r="AR329"/>
  <c r="AS329"/>
  <c r="AO328"/>
  <c r="AP328"/>
  <c r="AQ328"/>
  <c r="AR328"/>
  <c r="AS328"/>
  <c r="AO327"/>
  <c r="AP327"/>
  <c r="AQ327"/>
  <c r="AR327"/>
  <c r="AS327"/>
  <c r="AO326"/>
  <c r="AP326"/>
  <c r="AQ326"/>
  <c r="AR326"/>
  <c r="AS326"/>
  <c r="AO325"/>
  <c r="AP325"/>
  <c r="AQ325"/>
  <c r="AR325"/>
  <c r="AS325"/>
  <c r="AO324"/>
  <c r="AP324"/>
  <c r="AQ324"/>
  <c r="AR324"/>
  <c r="AS324"/>
  <c r="AO323"/>
  <c r="AP323"/>
  <c r="AQ323"/>
  <c r="AR323"/>
  <c r="AS323"/>
  <c r="AO322"/>
  <c r="AP322"/>
  <c r="AQ322"/>
  <c r="AR322"/>
  <c r="AS322"/>
  <c r="AO321"/>
  <c r="AP321"/>
  <c r="AQ321"/>
  <c r="AR321"/>
  <c r="AS321"/>
  <c r="AO320"/>
  <c r="AP320"/>
  <c r="AQ320"/>
  <c r="AR320"/>
  <c r="AS320"/>
  <c r="AO319"/>
  <c r="AP319"/>
  <c r="AQ319"/>
  <c r="AR319"/>
  <c r="AS319"/>
  <c r="AO318"/>
  <c r="AP318"/>
  <c r="AQ318"/>
  <c r="AR318"/>
  <c r="AS318"/>
  <c r="AO317"/>
  <c r="AP317"/>
  <c r="AQ317"/>
  <c r="AR317"/>
  <c r="AS317"/>
  <c r="AO316"/>
  <c r="AP316"/>
  <c r="AQ316"/>
  <c r="AR316"/>
  <c r="AS316"/>
  <c r="AO315"/>
  <c r="AP315"/>
  <c r="AQ315"/>
  <c r="AR315"/>
  <c r="AS315"/>
  <c r="AO314"/>
  <c r="AP314"/>
  <c r="AQ314"/>
  <c r="AR314"/>
  <c r="AS314"/>
  <c r="AO312"/>
  <c r="AP312"/>
  <c r="AQ312"/>
  <c r="AR312"/>
  <c r="AS312"/>
  <c r="AO313"/>
  <c r="AP313"/>
  <c r="AQ313"/>
  <c r="AR313"/>
  <c r="AS313"/>
  <c r="AO311"/>
  <c r="AP311"/>
  <c r="AQ311"/>
  <c r="AR311"/>
  <c r="AS311"/>
  <c r="AO310"/>
  <c r="AP310"/>
  <c r="AQ310"/>
  <c r="AR310"/>
  <c r="AS310"/>
  <c r="AO309"/>
  <c r="AP309"/>
  <c r="AQ309"/>
  <c r="AR309"/>
  <c r="AS309"/>
  <c r="AO308"/>
  <c r="AP308"/>
  <c r="AQ308"/>
  <c r="AR308"/>
  <c r="AS308"/>
  <c r="AO307"/>
  <c r="AP307"/>
  <c r="AQ307"/>
  <c r="AR307"/>
  <c r="AS307"/>
  <c r="AO306"/>
  <c r="AP306"/>
  <c r="AQ306"/>
  <c r="AR306"/>
  <c r="AS306"/>
  <c r="AO302"/>
  <c r="AP302"/>
  <c r="AQ302"/>
  <c r="AR302"/>
  <c r="AS302"/>
  <c r="AO301"/>
  <c r="AP301"/>
  <c r="AQ301"/>
  <c r="AR301"/>
  <c r="AS301"/>
  <c r="AO297"/>
  <c r="AP297"/>
  <c r="AQ297"/>
  <c r="AR297"/>
  <c r="AS297"/>
  <c r="AO296"/>
  <c r="AP296"/>
  <c r="AQ296"/>
  <c r="AR296"/>
  <c r="AS296"/>
  <c r="AO295"/>
  <c r="AP295"/>
  <c r="AQ295"/>
  <c r="AR295"/>
  <c r="AS295"/>
  <c r="AO294"/>
  <c r="AP294"/>
  <c r="AQ294"/>
  <c r="AR294"/>
  <c r="AS294"/>
  <c r="AO293"/>
  <c r="AP293"/>
  <c r="AQ293"/>
  <c r="AR293"/>
  <c r="AS293"/>
  <c r="AO292"/>
  <c r="AP292"/>
  <c r="AQ292"/>
  <c r="AR292"/>
  <c r="AS292"/>
  <c r="AO291"/>
  <c r="AP291"/>
  <c r="AQ291"/>
  <c r="AR291"/>
  <c r="AS291"/>
  <c r="AO290"/>
  <c r="AP290"/>
  <c r="AQ290"/>
  <c r="AR290"/>
  <c r="AS290"/>
  <c r="AO289"/>
  <c r="AP289"/>
  <c r="AQ289"/>
  <c r="AR289"/>
  <c r="AS289"/>
  <c r="AO288"/>
  <c r="AP288"/>
  <c r="AQ288"/>
  <c r="AR288"/>
  <c r="AS288"/>
  <c r="AO287"/>
  <c r="AP287"/>
  <c r="AQ287"/>
  <c r="AR287"/>
  <c r="AS287"/>
  <c r="AO286"/>
  <c r="AP286"/>
  <c r="AQ286"/>
  <c r="AR286"/>
  <c r="AS286"/>
  <c r="AO285"/>
  <c r="AP285"/>
  <c r="AQ285"/>
  <c r="AR285"/>
  <c r="AS285"/>
  <c r="AO284"/>
  <c r="AP284"/>
  <c r="AQ284"/>
  <c r="AR284"/>
  <c r="AS284"/>
  <c r="AO283"/>
  <c r="AP283"/>
  <c r="AQ283"/>
  <c r="AR283"/>
  <c r="AS283"/>
  <c r="AO282"/>
  <c r="AP282"/>
  <c r="AQ282"/>
  <c r="AR282"/>
  <c r="AS282"/>
  <c r="AO281"/>
  <c r="AP281"/>
  <c r="AQ281"/>
  <c r="AR281"/>
  <c r="AS281"/>
  <c r="AO280"/>
  <c r="AP280"/>
  <c r="AQ280"/>
  <c r="AR280"/>
  <c r="AS280"/>
  <c r="AO279"/>
  <c r="AP279"/>
  <c r="AQ279"/>
  <c r="AR279"/>
  <c r="AS279"/>
  <c r="AO278"/>
  <c r="AP278"/>
  <c r="AQ278"/>
  <c r="AR278"/>
  <c r="AS278"/>
  <c r="AO277"/>
  <c r="AP277"/>
  <c r="AQ277"/>
  <c r="AR277"/>
  <c r="AS277"/>
  <c r="AO276"/>
  <c r="AP276"/>
  <c r="AQ276"/>
  <c r="AR276"/>
  <c r="AS276"/>
  <c r="AO275"/>
  <c r="AP275"/>
  <c r="AQ275"/>
  <c r="AR275"/>
  <c r="AS275"/>
  <c r="AO274"/>
  <c r="AP274"/>
  <c r="AQ274"/>
  <c r="AR274"/>
  <c r="AS274"/>
  <c r="AO273"/>
  <c r="AP273"/>
  <c r="AQ273"/>
  <c r="AR273"/>
  <c r="AS273"/>
  <c r="AO272"/>
  <c r="AP272"/>
  <c r="AQ272"/>
  <c r="AR272"/>
  <c r="AS272"/>
  <c r="AO271"/>
  <c r="AP271"/>
  <c r="AQ271"/>
  <c r="AR271"/>
  <c r="AS271"/>
  <c r="AO267"/>
  <c r="AP267"/>
  <c r="AQ267"/>
  <c r="AR267"/>
  <c r="AS267"/>
  <c r="AO270"/>
  <c r="AP270"/>
  <c r="AQ270"/>
  <c r="AR270"/>
  <c r="AS270"/>
  <c r="AO269"/>
  <c r="AP269"/>
  <c r="AQ269"/>
  <c r="AR269"/>
  <c r="AS269"/>
  <c r="AO268"/>
  <c r="AP268"/>
  <c r="AQ268"/>
  <c r="AR268"/>
  <c r="AS268"/>
  <c r="AO266"/>
  <c r="AP266"/>
  <c r="AQ266"/>
  <c r="AR266"/>
  <c r="AS266"/>
  <c r="AO265"/>
  <c r="AP265"/>
  <c r="AQ265"/>
  <c r="AR265"/>
  <c r="AS265"/>
  <c r="AO264"/>
  <c r="AP264"/>
  <c r="AQ264"/>
  <c r="AR264"/>
  <c r="AS264"/>
  <c r="AO263"/>
  <c r="AP263"/>
  <c r="AQ263"/>
  <c r="AR263"/>
  <c r="AS263"/>
  <c r="AO262"/>
  <c r="AP262"/>
  <c r="AQ262"/>
  <c r="AR262"/>
  <c r="AS262"/>
  <c r="AO261"/>
  <c r="AP261"/>
  <c r="AQ261"/>
  <c r="AR261"/>
  <c r="AS261"/>
  <c r="AO260"/>
  <c r="AP260"/>
  <c r="AQ260"/>
  <c r="AR260"/>
  <c r="AS260"/>
  <c r="AO259"/>
  <c r="AP259"/>
  <c r="AQ259"/>
  <c r="AR259"/>
  <c r="AS259"/>
  <c r="AO258"/>
  <c r="AP258"/>
  <c r="AQ258"/>
  <c r="AR258"/>
  <c r="AS258"/>
  <c r="AO257"/>
  <c r="AP257"/>
  <c r="AQ257"/>
  <c r="AR257"/>
  <c r="AS257"/>
  <c r="AO256"/>
  <c r="AP256"/>
  <c r="AQ256"/>
  <c r="AR256"/>
  <c r="AS256"/>
  <c r="AO255"/>
  <c r="AP255"/>
  <c r="AQ255"/>
  <c r="AR255"/>
  <c r="AS255"/>
  <c r="AO254"/>
  <c r="AP254"/>
  <c r="AQ254"/>
  <c r="AR254"/>
  <c r="AS254"/>
  <c r="AO253"/>
  <c r="AP253"/>
  <c r="AQ253"/>
  <c r="AR253"/>
  <c r="AS253"/>
  <c r="AO252"/>
  <c r="AP252"/>
  <c r="AQ252"/>
  <c r="AR252"/>
  <c r="AS252"/>
  <c r="AO251"/>
  <c r="AP251"/>
  <c r="AQ251"/>
  <c r="AR251"/>
  <c r="AS251"/>
  <c r="AO250"/>
  <c r="AP250"/>
  <c r="AQ250"/>
  <c r="AR250"/>
  <c r="AS250"/>
  <c r="AO249"/>
  <c r="AP249"/>
  <c r="AQ249"/>
  <c r="AR249"/>
  <c r="AS249"/>
  <c r="AO248"/>
  <c r="AP248"/>
  <c r="AQ248"/>
  <c r="AR248"/>
  <c r="AS248"/>
  <c r="AO247"/>
  <c r="AP247"/>
  <c r="AQ247"/>
  <c r="AR247"/>
  <c r="AS247"/>
  <c r="AO246"/>
  <c r="AP246"/>
  <c r="AQ246"/>
  <c r="AR246"/>
  <c r="AS246"/>
  <c r="AO245"/>
  <c r="AP245"/>
  <c r="AQ245"/>
  <c r="AR245"/>
  <c r="AS245"/>
  <c r="AO244"/>
  <c r="AP244"/>
  <c r="AQ244"/>
  <c r="AR244"/>
  <c r="AS244"/>
  <c r="AO243"/>
  <c r="AP243"/>
  <c r="AQ243"/>
  <c r="AR243"/>
  <c r="AS243"/>
  <c r="AO242"/>
  <c r="AP242"/>
  <c r="AQ242"/>
  <c r="AR242"/>
  <c r="AS242"/>
  <c r="AO241"/>
  <c r="AP241"/>
  <c r="AQ241"/>
  <c r="AR241"/>
  <c r="AS241"/>
  <c r="AO240"/>
  <c r="AP240"/>
  <c r="AQ240"/>
  <c r="AR240"/>
  <c r="AS240"/>
  <c r="AO239"/>
  <c r="AP239"/>
  <c r="AQ239"/>
  <c r="AR239"/>
  <c r="AS239"/>
  <c r="AO238"/>
  <c r="AP238"/>
  <c r="AQ238"/>
  <c r="AR238"/>
  <c r="AS238"/>
  <c r="AO237"/>
  <c r="AP237"/>
  <c r="AQ237"/>
  <c r="AR237"/>
  <c r="AS237"/>
  <c r="AO236"/>
  <c r="AP236"/>
  <c r="AQ236"/>
  <c r="AR236"/>
  <c r="AS236"/>
  <c r="AO235"/>
  <c r="AP235"/>
  <c r="AQ235"/>
  <c r="AR235"/>
  <c r="AS235"/>
  <c r="AO234"/>
  <c r="AP234"/>
  <c r="AQ234"/>
  <c r="AR234"/>
  <c r="AS234"/>
  <c r="AO233"/>
  <c r="AP233"/>
  <c r="AQ233"/>
  <c r="AR233"/>
  <c r="AS233"/>
  <c r="AO232"/>
  <c r="AP232"/>
  <c r="AQ232"/>
  <c r="AR232"/>
  <c r="AS232"/>
  <c r="AO228"/>
  <c r="AP228"/>
  <c r="AQ228"/>
  <c r="AR228"/>
  <c r="AS228"/>
  <c r="AO227"/>
  <c r="AP227"/>
  <c r="AQ227"/>
  <c r="AR227"/>
  <c r="AS227"/>
  <c r="AO226"/>
  <c r="AP226"/>
  <c r="AQ226"/>
  <c r="AR226"/>
  <c r="AS226"/>
  <c r="AO225"/>
  <c r="AP225"/>
  <c r="AQ225"/>
  <c r="AR225"/>
  <c r="AS225"/>
  <c r="AO224"/>
  <c r="AP224"/>
  <c r="AQ224"/>
  <c r="AR224"/>
  <c r="AS224"/>
  <c r="AO223"/>
  <c r="AP223"/>
  <c r="AQ223"/>
  <c r="AR223"/>
  <c r="AS223"/>
  <c r="AO222"/>
  <c r="AP222"/>
  <c r="AQ222"/>
  <c r="AR222"/>
  <c r="AS222"/>
  <c r="AO221"/>
  <c r="AP221"/>
  <c r="AQ221"/>
  <c r="AR221"/>
  <c r="AS221"/>
  <c r="AO220"/>
  <c r="AP220"/>
  <c r="AQ220"/>
  <c r="AR220"/>
  <c r="AS220"/>
  <c r="AO219"/>
  <c r="AP219"/>
  <c r="AQ219"/>
  <c r="AR219"/>
  <c r="AS219"/>
  <c r="AO218"/>
  <c r="AP218"/>
  <c r="AQ218"/>
  <c r="AR218"/>
  <c r="AS218"/>
  <c r="AO217"/>
  <c r="AP217"/>
  <c r="AQ217"/>
  <c r="AR217"/>
  <c r="AS217"/>
  <c r="AO216"/>
  <c r="AP216"/>
  <c r="AQ216"/>
  <c r="AR216"/>
  <c r="AS216"/>
  <c r="AO215"/>
  <c r="AP215"/>
  <c r="AQ215"/>
  <c r="AR215"/>
  <c r="AS215"/>
  <c r="AO214"/>
  <c r="AP214"/>
  <c r="AQ214"/>
  <c r="AR214"/>
  <c r="AS214"/>
  <c r="AO213"/>
  <c r="AP213"/>
  <c r="AQ213"/>
  <c r="AR213"/>
  <c r="AS213"/>
  <c r="AO212"/>
  <c r="AP212"/>
  <c r="AQ212"/>
  <c r="AR212"/>
  <c r="AS212"/>
  <c r="AO211"/>
  <c r="AP211"/>
  <c r="AQ211"/>
  <c r="AR211"/>
  <c r="AS211"/>
  <c r="AO210"/>
  <c r="AP210"/>
  <c r="AQ210"/>
  <c r="AR210"/>
  <c r="AS210"/>
  <c r="AO209"/>
  <c r="AP209"/>
  <c r="AQ209"/>
  <c r="AR209"/>
  <c r="AS209"/>
  <c r="AO208"/>
  <c r="AP208"/>
  <c r="AQ208"/>
  <c r="AR208"/>
  <c r="AS208"/>
  <c r="AO207"/>
  <c r="AP207"/>
  <c r="AQ207"/>
  <c r="AR207"/>
  <c r="AS207"/>
  <c r="AO206"/>
  <c r="AP206"/>
  <c r="AQ206"/>
  <c r="AR206"/>
  <c r="AS206"/>
  <c r="AO205"/>
  <c r="AP205"/>
  <c r="AQ205"/>
  <c r="AR205"/>
  <c r="AS205"/>
  <c r="AO204"/>
  <c r="AP204"/>
  <c r="AQ204"/>
  <c r="AR204"/>
  <c r="AS204"/>
  <c r="AO203"/>
  <c r="AP203"/>
  <c r="AQ203"/>
  <c r="AR203"/>
  <c r="AS203"/>
  <c r="AO202"/>
  <c r="AP202"/>
  <c r="AQ202"/>
  <c r="AR202"/>
  <c r="AS202"/>
  <c r="AO201"/>
  <c r="AP201"/>
  <c r="AQ201"/>
  <c r="AR201"/>
  <c r="AS201"/>
  <c r="AO200"/>
  <c r="AP200"/>
  <c r="AQ200"/>
  <c r="AR200"/>
  <c r="AS200"/>
  <c r="AO199"/>
  <c r="AP199"/>
  <c r="AQ199"/>
  <c r="AR199"/>
  <c r="AS199"/>
  <c r="AO198"/>
  <c r="AP198"/>
  <c r="AQ198"/>
  <c r="AR198"/>
  <c r="AS198"/>
  <c r="AO197"/>
  <c r="AP197"/>
  <c r="AQ197"/>
  <c r="AR197"/>
  <c r="AS197"/>
  <c r="AO196"/>
  <c r="AP196"/>
  <c r="AQ196"/>
  <c r="AR196"/>
  <c r="AS196"/>
  <c r="AO195"/>
  <c r="AP195"/>
  <c r="AQ195"/>
  <c r="AR195"/>
  <c r="AS195"/>
  <c r="AO194"/>
  <c r="AP194"/>
  <c r="AQ194"/>
  <c r="AR194"/>
  <c r="AS194"/>
  <c r="AO193"/>
  <c r="AP193"/>
  <c r="AQ193"/>
  <c r="AR193"/>
  <c r="AS193"/>
  <c r="AO192"/>
  <c r="AP192"/>
  <c r="AQ192"/>
  <c r="AR192"/>
  <c r="AS192"/>
  <c r="AO191"/>
  <c r="AP191"/>
  <c r="AQ191"/>
  <c r="AR191"/>
  <c r="AS191"/>
  <c r="AO190"/>
  <c r="AP190"/>
  <c r="AQ190"/>
  <c r="AR190"/>
  <c r="AS190"/>
  <c r="AO189"/>
  <c r="AP189"/>
  <c r="AQ189"/>
  <c r="AR189"/>
  <c r="AS189"/>
  <c r="AO188"/>
  <c r="AP188"/>
  <c r="AQ188"/>
  <c r="AR188"/>
  <c r="AS188"/>
  <c r="AO187"/>
  <c r="AP187"/>
  <c r="AQ187"/>
  <c r="AR187"/>
  <c r="AS187"/>
  <c r="AO186"/>
  <c r="AP186"/>
  <c r="AQ186"/>
  <c r="AR186"/>
  <c r="AS186"/>
  <c r="AO182"/>
  <c r="AP182"/>
  <c r="AQ182"/>
  <c r="AR182"/>
  <c r="AS182"/>
  <c r="AO181"/>
  <c r="AP181"/>
  <c r="AQ181"/>
  <c r="AR181"/>
  <c r="AS181"/>
  <c r="AO180"/>
  <c r="AP180"/>
  <c r="AQ180"/>
  <c r="AR180"/>
  <c r="AS180"/>
  <c r="AO179"/>
  <c r="AP179"/>
  <c r="AQ179"/>
  <c r="AR179"/>
  <c r="AS179"/>
  <c r="AO178"/>
  <c r="AP178"/>
  <c r="AQ178"/>
  <c r="AR178"/>
  <c r="AS178"/>
  <c r="AO177"/>
  <c r="AP177"/>
  <c r="AQ177"/>
  <c r="AR177"/>
  <c r="AS177"/>
  <c r="AO173"/>
  <c r="AP173"/>
  <c r="AQ173"/>
  <c r="AR173"/>
  <c r="AS173"/>
  <c r="AO172"/>
  <c r="AP172"/>
  <c r="AQ172"/>
  <c r="AR172"/>
  <c r="AS172"/>
  <c r="AO171"/>
  <c r="AP171"/>
  <c r="AQ171"/>
  <c r="AR171"/>
  <c r="AS171"/>
  <c r="AO170"/>
  <c r="AP170"/>
  <c r="AQ170"/>
  <c r="AR170"/>
  <c r="AS170"/>
  <c r="AO169"/>
  <c r="AP169"/>
  <c r="AQ169"/>
  <c r="AR169"/>
  <c r="AS169"/>
  <c r="AO168"/>
  <c r="AP168"/>
  <c r="AQ168"/>
  <c r="AR168"/>
  <c r="AS168"/>
  <c r="AO167"/>
  <c r="AP167"/>
  <c r="AQ167"/>
  <c r="AR167"/>
  <c r="AS167"/>
  <c r="AO166"/>
  <c r="AP166"/>
  <c r="AQ166"/>
  <c r="AR166"/>
  <c r="AS166"/>
  <c r="AO165"/>
  <c r="AP165"/>
  <c r="AQ165"/>
  <c r="AR165"/>
  <c r="AS165"/>
  <c r="AO164"/>
  <c r="AP164"/>
  <c r="AQ164"/>
  <c r="AR164"/>
  <c r="AS164"/>
  <c r="AO163"/>
  <c r="AP163"/>
  <c r="AQ163"/>
  <c r="AR163"/>
  <c r="AS163"/>
  <c r="AO162"/>
  <c r="AP162"/>
  <c r="AQ162"/>
  <c r="AR162"/>
  <c r="AS162"/>
  <c r="AO161"/>
  <c r="AP161"/>
  <c r="AQ161"/>
  <c r="AR161"/>
  <c r="AS161"/>
  <c r="AO160"/>
  <c r="AP160"/>
  <c r="AQ160"/>
  <c r="AR160"/>
  <c r="AS160"/>
  <c r="AO159"/>
  <c r="AP159"/>
  <c r="AQ159"/>
  <c r="AR159"/>
  <c r="AS159"/>
  <c r="AO158"/>
  <c r="AP158"/>
  <c r="AQ158"/>
  <c r="AR158"/>
  <c r="AS158"/>
  <c r="AO157"/>
  <c r="AP157"/>
  <c r="AQ157"/>
  <c r="AR157"/>
  <c r="AS157"/>
  <c r="AO156"/>
  <c r="AP156"/>
  <c r="AQ156"/>
  <c r="AR156"/>
  <c r="AS156"/>
  <c r="AO155"/>
  <c r="AP155"/>
  <c r="AQ155"/>
  <c r="AR155"/>
  <c r="AS155"/>
  <c r="AO154"/>
  <c r="AP154"/>
  <c r="AQ154"/>
  <c r="AR154"/>
  <c r="AS154"/>
  <c r="AO153"/>
  <c r="AP153"/>
  <c r="AQ153"/>
  <c r="AR153"/>
  <c r="AS153"/>
  <c r="AO152"/>
  <c r="AP152"/>
  <c r="AQ152"/>
  <c r="AR152"/>
  <c r="AS152"/>
  <c r="AO151"/>
  <c r="AP151"/>
  <c r="AQ151"/>
  <c r="AR151"/>
  <c r="AS151"/>
  <c r="AO150"/>
  <c r="AP150"/>
  <c r="AQ150"/>
  <c r="AR150"/>
  <c r="AS150"/>
  <c r="AO149"/>
  <c r="AP149"/>
  <c r="AQ149"/>
  <c r="AR149"/>
  <c r="AS149"/>
  <c r="AO148"/>
  <c r="AP148"/>
  <c r="AQ148"/>
  <c r="AR148"/>
  <c r="AS148"/>
  <c r="AO147"/>
  <c r="AP147"/>
  <c r="AQ147"/>
  <c r="AR147"/>
  <c r="AS147"/>
  <c r="AO143"/>
  <c r="AP143"/>
  <c r="AQ143"/>
  <c r="AR143"/>
  <c r="AS143"/>
  <c r="AO142"/>
  <c r="AP142"/>
  <c r="AQ142"/>
  <c r="AR142"/>
  <c r="AS142"/>
  <c r="AO141"/>
  <c r="AP141"/>
  <c r="AQ141"/>
  <c r="AR141"/>
  <c r="AS141"/>
  <c r="AO140"/>
  <c r="AP140"/>
  <c r="AQ140"/>
  <c r="AR140"/>
  <c r="AS140"/>
  <c r="AO139"/>
  <c r="AP139"/>
  <c r="AQ139"/>
  <c r="AR139"/>
  <c r="AS139"/>
  <c r="AO138"/>
  <c r="AP138"/>
  <c r="AQ138"/>
  <c r="AR138"/>
  <c r="AS138"/>
  <c r="AO137"/>
  <c r="AP137"/>
  <c r="AQ137"/>
  <c r="AR137"/>
  <c r="AS137"/>
  <c r="AO136"/>
  <c r="AP136"/>
  <c r="AQ136"/>
  <c r="AR136"/>
  <c r="AS136"/>
  <c r="AO135"/>
  <c r="AP135"/>
  <c r="AQ135"/>
  <c r="AR135"/>
  <c r="AS135"/>
  <c r="AO134"/>
  <c r="AP134"/>
  <c r="AQ134"/>
  <c r="AR134"/>
  <c r="AS134"/>
  <c r="AO130"/>
  <c r="AP130"/>
  <c r="AQ130"/>
  <c r="AR130"/>
  <c r="AS130"/>
  <c r="AO129"/>
  <c r="AP129"/>
  <c r="AQ129"/>
  <c r="AR129"/>
  <c r="AS129"/>
  <c r="AO128"/>
  <c r="AP128"/>
  <c r="AQ128"/>
  <c r="AR128"/>
  <c r="AS128"/>
  <c r="AO127"/>
  <c r="AP127"/>
  <c r="AQ127"/>
  <c r="AR127"/>
  <c r="AS127"/>
  <c r="AO123"/>
  <c r="AP123"/>
  <c r="AQ123"/>
  <c r="AR123"/>
  <c r="AS123"/>
  <c r="AO122"/>
  <c r="AP122"/>
  <c r="AQ122"/>
  <c r="AR122"/>
  <c r="AS122"/>
  <c r="AO121"/>
  <c r="AP121"/>
  <c r="AQ121"/>
  <c r="AR121"/>
  <c r="AS121"/>
  <c r="AO120"/>
  <c r="AP120"/>
  <c r="AQ120"/>
  <c r="AR120"/>
  <c r="AS120"/>
  <c r="AO119"/>
  <c r="AP119"/>
  <c r="AQ119"/>
  <c r="AR119"/>
  <c r="AS119"/>
  <c r="AO118"/>
  <c r="AP118"/>
  <c r="AQ118"/>
  <c r="AR118"/>
  <c r="AS118"/>
  <c r="AO117"/>
  <c r="AP117"/>
  <c r="AQ117"/>
  <c r="AR117"/>
  <c r="AS117"/>
  <c r="AO116"/>
  <c r="AP116"/>
  <c r="AQ116"/>
  <c r="AR116"/>
  <c r="AS116"/>
  <c r="AO115"/>
  <c r="AP115"/>
  <c r="AQ115"/>
  <c r="AR115"/>
  <c r="AS115"/>
  <c r="AO114"/>
  <c r="AP114"/>
  <c r="AQ114"/>
  <c r="AR114"/>
  <c r="AS114"/>
  <c r="AO113"/>
  <c r="AP113"/>
  <c r="AQ113"/>
  <c r="AR113"/>
  <c r="AS113"/>
  <c r="AO112"/>
  <c r="AP112"/>
  <c r="AQ112"/>
  <c r="AR112"/>
  <c r="AS112"/>
  <c r="AO111"/>
  <c r="AP111"/>
  <c r="AQ111"/>
  <c r="AR111"/>
  <c r="AS111"/>
  <c r="AO110"/>
  <c r="AP110"/>
  <c r="AQ110"/>
  <c r="AR110"/>
  <c r="AS110"/>
  <c r="AO109"/>
  <c r="AP109"/>
  <c r="AQ109"/>
  <c r="AR109"/>
  <c r="AS109"/>
  <c r="AO108"/>
  <c r="AP108"/>
  <c r="AQ108"/>
  <c r="AR108"/>
  <c r="AS108"/>
  <c r="AO107"/>
  <c r="AP107"/>
  <c r="AQ107"/>
  <c r="AR107"/>
  <c r="AS107"/>
  <c r="AO106"/>
  <c r="AP106"/>
  <c r="AQ106"/>
  <c r="AR106"/>
  <c r="AS106"/>
  <c r="AO105"/>
  <c r="AP105"/>
  <c r="AQ105"/>
  <c r="AR105"/>
  <c r="AS105"/>
  <c r="AO104"/>
  <c r="AP104"/>
  <c r="AQ104"/>
  <c r="AR104"/>
  <c r="AS104"/>
  <c r="AO103"/>
  <c r="AP103"/>
  <c r="AQ103"/>
  <c r="AR103"/>
  <c r="AS103"/>
  <c r="AO102"/>
  <c r="AP102"/>
  <c r="AQ102"/>
  <c r="AR102"/>
  <c r="AS102"/>
  <c r="AO101"/>
  <c r="AP101"/>
  <c r="AQ101"/>
  <c r="AR101"/>
  <c r="AS101"/>
  <c r="AO100"/>
  <c r="AP100"/>
  <c r="AQ100"/>
  <c r="AR100"/>
  <c r="AS100"/>
  <c r="AO99"/>
  <c r="AP99"/>
  <c r="AQ99"/>
  <c r="AR99"/>
  <c r="AS99"/>
  <c r="AO98"/>
  <c r="AP98"/>
  <c r="AQ98"/>
  <c r="AR98"/>
  <c r="AS98"/>
  <c r="AO97"/>
  <c r="AP97"/>
  <c r="AQ97"/>
  <c r="AR97"/>
  <c r="AS97"/>
  <c r="AO96"/>
  <c r="AP96"/>
  <c r="AQ96"/>
  <c r="AR96"/>
  <c r="AS96"/>
  <c r="AO95"/>
  <c r="AP95"/>
  <c r="AQ95"/>
  <c r="AR95"/>
  <c r="AS95"/>
  <c r="AO94"/>
  <c r="AP94"/>
  <c r="AQ94"/>
  <c r="AR94"/>
  <c r="AS94"/>
  <c r="AO92"/>
  <c r="AP92"/>
  <c r="AQ92"/>
  <c r="AR92"/>
  <c r="AS92"/>
  <c r="AO91"/>
  <c r="AP91"/>
  <c r="AQ91"/>
  <c r="AR91"/>
  <c r="AS91"/>
  <c r="AO90"/>
  <c r="AP90"/>
  <c r="AQ90"/>
  <c r="AR90"/>
  <c r="AS90"/>
  <c r="AO89"/>
  <c r="AP89"/>
  <c r="AQ89"/>
  <c r="AR89"/>
  <c r="AS89"/>
  <c r="AO88"/>
  <c r="AP88"/>
  <c r="AQ88"/>
  <c r="AR88"/>
  <c r="AS88"/>
  <c r="AO87"/>
  <c r="AP87"/>
  <c r="AQ87"/>
  <c r="AR87"/>
  <c r="AS87"/>
  <c r="AO86"/>
  <c r="AP86"/>
  <c r="AQ86"/>
  <c r="AR86"/>
  <c r="AS86"/>
  <c r="AO85"/>
  <c r="AP85"/>
  <c r="AQ85"/>
  <c r="AR85"/>
  <c r="AS85"/>
  <c r="AO81"/>
  <c r="AP81"/>
  <c r="AQ81"/>
  <c r="AR81"/>
  <c r="AS81"/>
  <c r="AO80"/>
  <c r="AP80"/>
  <c r="AQ80"/>
  <c r="AR80"/>
  <c r="AS80"/>
  <c r="AO73"/>
  <c r="AP73"/>
  <c r="AQ73"/>
  <c r="AR73"/>
  <c r="AS73"/>
  <c r="AO72"/>
  <c r="AP72"/>
  <c r="AQ72"/>
  <c r="AR72"/>
  <c r="AS72"/>
  <c r="AO68"/>
  <c r="AP68"/>
  <c r="AQ68"/>
  <c r="AR68"/>
  <c r="AS68"/>
  <c r="AO67"/>
  <c r="AP67"/>
  <c r="AQ67"/>
  <c r="AR67"/>
  <c r="AS67"/>
  <c r="AO66"/>
  <c r="AP66"/>
  <c r="AQ66"/>
  <c r="AR66"/>
  <c r="AS66"/>
  <c r="AO61"/>
  <c r="AP61"/>
  <c r="AQ61"/>
  <c r="AR61"/>
  <c r="AS61"/>
  <c r="AO60"/>
  <c r="AP60"/>
  <c r="AQ60"/>
  <c r="AR60"/>
  <c r="AS60"/>
  <c r="AO59"/>
  <c r="AP59"/>
  <c r="AQ59"/>
  <c r="AR59"/>
  <c r="AS59"/>
  <c r="AO58"/>
  <c r="AP58"/>
  <c r="AQ58"/>
  <c r="AR58"/>
  <c r="AS58"/>
  <c r="AO57"/>
  <c r="AP57"/>
  <c r="AQ57"/>
  <c r="AR57"/>
  <c r="AS57"/>
  <c r="AO56"/>
  <c r="AP56"/>
  <c r="AQ56"/>
  <c r="AR56"/>
  <c r="AS56"/>
  <c r="AO55"/>
  <c r="AP55"/>
  <c r="AQ55"/>
  <c r="AR55"/>
  <c r="AS55"/>
  <c r="AO54"/>
  <c r="AP54"/>
  <c r="AQ54"/>
  <c r="AR54"/>
  <c r="AS54"/>
  <c r="AO53"/>
  <c r="AP53"/>
  <c r="AQ53"/>
  <c r="AR53"/>
  <c r="AS53"/>
  <c r="AO52"/>
  <c r="AP52"/>
  <c r="AQ52"/>
  <c r="AR52"/>
  <c r="AS52"/>
  <c r="AO51"/>
  <c r="AP51"/>
  <c r="AQ51"/>
  <c r="AR51"/>
  <c r="AS51"/>
  <c r="AO50"/>
  <c r="AP50"/>
  <c r="AQ50"/>
  <c r="AR50"/>
  <c r="AS50"/>
  <c r="AO49"/>
  <c r="AP49"/>
  <c r="AQ49"/>
  <c r="AR49"/>
  <c r="AS49"/>
  <c r="AO48"/>
  <c r="AP48"/>
  <c r="AQ48"/>
  <c r="AR48"/>
  <c r="AS48"/>
  <c r="AO47"/>
  <c r="AP47"/>
  <c r="AQ47"/>
  <c r="AR47"/>
  <c r="AS47"/>
  <c r="AO46"/>
  <c r="AP46"/>
  <c r="AQ46"/>
  <c r="AR46"/>
  <c r="AS46"/>
  <c r="AO45"/>
  <c r="AP45"/>
  <c r="AQ45"/>
  <c r="AR45"/>
  <c r="AS45"/>
  <c r="AO41"/>
  <c r="AP41"/>
  <c r="AQ41"/>
  <c r="AR41"/>
  <c r="AS41"/>
  <c r="AO40"/>
  <c r="AP40"/>
  <c r="AQ40"/>
  <c r="AR40"/>
  <c r="AS40"/>
  <c r="AO39"/>
  <c r="AP39"/>
  <c r="AQ39"/>
  <c r="AR39"/>
  <c r="AS39"/>
  <c r="AO38"/>
  <c r="AP38"/>
  <c r="AQ38"/>
  <c r="AR38"/>
  <c r="AS38"/>
  <c r="AO37"/>
  <c r="AP37"/>
  <c r="AQ37"/>
  <c r="AR37"/>
  <c r="AS37"/>
  <c r="AO36"/>
  <c r="AP36"/>
  <c r="AQ36"/>
  <c r="AR36"/>
  <c r="AS36"/>
  <c r="AO35"/>
  <c r="AP35"/>
  <c r="AQ35"/>
  <c r="AR35"/>
  <c r="AS35"/>
  <c r="AO34"/>
  <c r="AP34"/>
  <c r="AQ34"/>
  <c r="AR34"/>
  <c r="AS34"/>
  <c r="AO33"/>
  <c r="AP33"/>
  <c r="AQ33"/>
  <c r="AR33"/>
  <c r="AS33"/>
  <c r="AO32"/>
  <c r="AP32"/>
  <c r="AQ32"/>
  <c r="AR32"/>
  <c r="AS32"/>
  <c r="AO31"/>
  <c r="AP31"/>
  <c r="AQ31"/>
  <c r="AR31"/>
  <c r="AS31"/>
  <c r="AO27"/>
  <c r="AP27"/>
  <c r="AQ27"/>
  <c r="AR27"/>
  <c r="AS27"/>
  <c r="AO26"/>
  <c r="AP26"/>
  <c r="AQ26"/>
  <c r="AR26"/>
  <c r="AS26"/>
  <c r="AO25"/>
  <c r="AP25"/>
  <c r="AQ25"/>
  <c r="AR25"/>
  <c r="AS25"/>
  <c r="AO24"/>
  <c r="AP24"/>
  <c r="AQ24"/>
  <c r="AR24"/>
  <c r="AS24"/>
  <c r="AO23"/>
  <c r="AP23"/>
  <c r="AQ23"/>
  <c r="AR23"/>
  <c r="AS23"/>
  <c r="AO22"/>
  <c r="AP22"/>
  <c r="AQ22"/>
  <c r="AR22"/>
  <c r="AS22"/>
  <c r="AO21"/>
  <c r="AP21"/>
  <c r="AQ21"/>
  <c r="AR21"/>
  <c r="AS21"/>
  <c r="AO20"/>
  <c r="AP20"/>
  <c r="AQ20"/>
  <c r="AR20"/>
  <c r="AS20"/>
  <c r="AO19"/>
  <c r="AP19"/>
  <c r="AQ19"/>
  <c r="AR19"/>
  <c r="AS19"/>
  <c r="AO18"/>
  <c r="AP18"/>
  <c r="AQ18"/>
  <c r="AR18"/>
  <c r="AS18"/>
  <c r="AO17"/>
  <c r="AP17"/>
  <c r="AQ17"/>
  <c r="AR17"/>
  <c r="AS17"/>
  <c r="AO16"/>
  <c r="AP16"/>
  <c r="AQ16"/>
  <c r="AR16"/>
  <c r="AS16"/>
  <c r="AO15"/>
  <c r="AP15"/>
  <c r="AQ15"/>
  <c r="AR15"/>
  <c r="AS15"/>
  <c r="AO14"/>
  <c r="AP14"/>
  <c r="AQ14"/>
  <c r="AR14"/>
  <c r="AS14"/>
  <c r="AO13"/>
  <c r="AP13"/>
  <c r="AQ13"/>
  <c r="AR13"/>
  <c r="AS13"/>
  <c r="AO12"/>
  <c r="AP12"/>
  <c r="AQ12"/>
  <c r="AR12"/>
  <c r="AS12"/>
  <c r="AO62"/>
  <c r="AP62"/>
  <c r="AQ62"/>
  <c r="AR62"/>
  <c r="AS62"/>
  <c r="EH742"/>
  <c r="EF740"/>
  <c r="EF738"/>
  <c r="EF737"/>
  <c r="EF736"/>
  <c r="EF735"/>
  <c r="EF731"/>
  <c r="EF730"/>
  <c r="EF729"/>
  <c r="EF728"/>
  <c r="EF732"/>
  <c r="EF727"/>
  <c r="EF726"/>
  <c r="EF725"/>
  <c r="EF724"/>
  <c r="EF723"/>
  <c r="EF722"/>
  <c r="EF721"/>
  <c r="EF720"/>
  <c r="EF719"/>
  <c r="EF718"/>
  <c r="EF717"/>
  <c r="EF716"/>
  <c r="EF715"/>
  <c r="EF714"/>
  <c r="EF713"/>
  <c r="EF712"/>
  <c r="EF711"/>
  <c r="EF710"/>
  <c r="EF709"/>
  <c r="EF708"/>
  <c r="EF707"/>
  <c r="EF706"/>
  <c r="EF704"/>
  <c r="EF705"/>
  <c r="EF703"/>
  <c r="EF702"/>
  <c r="EF701"/>
  <c r="EF698"/>
  <c r="EF695"/>
  <c r="EF694"/>
  <c r="EF693"/>
  <c r="EF692"/>
  <c r="EF691"/>
  <c r="EF690"/>
  <c r="EF687"/>
  <c r="EF686"/>
  <c r="EF685"/>
  <c r="EF684"/>
  <c r="EF683"/>
  <c r="EF689"/>
  <c r="EF688"/>
  <c r="EF682"/>
  <c r="EF681"/>
  <c r="EF680"/>
  <c r="EF679"/>
  <c r="EF678"/>
  <c r="EF677"/>
  <c r="EF676"/>
  <c r="EF675"/>
  <c r="EF674"/>
  <c r="EF670"/>
  <c r="EF669"/>
  <c r="EF673"/>
  <c r="EF672"/>
  <c r="EF671"/>
  <c r="EF668"/>
  <c r="EF667"/>
  <c r="EF666"/>
  <c r="EF665"/>
  <c r="EF664"/>
  <c r="EF663"/>
  <c r="EF662"/>
  <c r="EF661"/>
  <c r="EF660"/>
  <c r="EF659"/>
  <c r="EF658"/>
  <c r="EF657"/>
  <c r="EF656"/>
  <c r="EF655"/>
  <c r="EF654"/>
  <c r="EF653"/>
  <c r="EF652"/>
  <c r="EF651"/>
  <c r="EF650"/>
  <c r="EF649"/>
  <c r="EF648"/>
  <c r="EF647"/>
  <c r="EF646"/>
  <c r="EF645"/>
  <c r="EF644"/>
  <c r="EF643"/>
  <c r="EF642"/>
  <c r="EF641"/>
  <c r="EF640"/>
  <c r="EF639"/>
  <c r="EF638"/>
  <c r="EF637"/>
  <c r="EF636"/>
  <c r="EF633"/>
  <c r="EF632"/>
  <c r="EF631"/>
  <c r="EF630"/>
  <c r="EF629"/>
  <c r="EF628"/>
  <c r="EF627"/>
  <c r="EF626"/>
  <c r="EF625"/>
  <c r="EF624"/>
  <c r="EF623"/>
  <c r="EF622"/>
  <c r="EF621"/>
  <c r="EF620"/>
  <c r="EF619"/>
  <c r="EF618"/>
  <c r="EF617"/>
  <c r="EF616"/>
  <c r="EF615"/>
  <c r="EF614"/>
  <c r="EF613"/>
  <c r="EF612"/>
  <c r="EF611"/>
  <c r="EF610"/>
  <c r="EF609"/>
  <c r="EF608"/>
  <c r="EF607"/>
  <c r="EF606"/>
  <c r="EF605"/>
  <c r="EF604"/>
  <c r="EF603"/>
  <c r="EF602"/>
  <c r="EF601"/>
  <c r="EF600"/>
  <c r="EF599"/>
  <c r="EF598"/>
  <c r="EF597"/>
  <c r="EF596"/>
  <c r="EF595"/>
  <c r="EF594"/>
  <c r="EF593"/>
  <c r="EF592"/>
  <c r="EF591"/>
  <c r="EF590"/>
  <c r="EF589"/>
  <c r="EF588"/>
  <c r="EF587"/>
  <c r="EF586"/>
  <c r="EF585"/>
  <c r="EF584"/>
  <c r="EF583"/>
  <c r="EF582"/>
  <c r="EF581"/>
  <c r="EF580"/>
  <c r="EF579"/>
  <c r="EF578"/>
  <c r="EF577"/>
  <c r="EF576"/>
  <c r="EF575"/>
  <c r="EF574"/>
  <c r="EF573"/>
  <c r="EF572"/>
  <c r="EF571"/>
  <c r="EF570"/>
  <c r="EF569"/>
  <c r="EF568"/>
  <c r="EF567"/>
  <c r="EF566"/>
  <c r="EF565"/>
  <c r="EF564"/>
  <c r="EF563"/>
  <c r="EF562"/>
  <c r="EF561"/>
  <c r="EF560"/>
  <c r="EF559"/>
  <c r="EF558"/>
  <c r="EF557"/>
  <c r="EF556"/>
  <c r="EF555"/>
  <c r="EF554"/>
  <c r="EF553"/>
  <c r="EF552"/>
  <c r="EF551"/>
  <c r="EF550"/>
  <c r="EF549"/>
  <c r="EF548"/>
  <c r="EF547"/>
  <c r="EF546"/>
  <c r="EF545"/>
  <c r="EF544"/>
  <c r="EF543"/>
  <c r="EF542"/>
  <c r="EF541"/>
  <c r="EF540"/>
  <c r="EF539"/>
  <c r="EF538"/>
  <c r="EF537"/>
  <c r="EF536"/>
  <c r="EF535"/>
  <c r="EF534"/>
  <c r="EF533"/>
  <c r="EF532"/>
  <c r="EF531"/>
  <c r="EF530"/>
  <c r="EF529"/>
  <c r="EF528"/>
  <c r="EF527"/>
  <c r="EF526"/>
  <c r="EF525"/>
  <c r="EF524"/>
  <c r="EF523"/>
  <c r="EF522"/>
  <c r="EF521"/>
  <c r="EF520"/>
  <c r="EF519"/>
  <c r="EF518"/>
  <c r="EF517"/>
  <c r="EF516"/>
  <c r="EF515"/>
  <c r="EF514"/>
  <c r="EF513"/>
  <c r="EF512"/>
  <c r="EF511"/>
  <c r="EF510"/>
  <c r="EF509"/>
  <c r="EF508"/>
  <c r="EF507"/>
  <c r="EF506"/>
  <c r="EF505"/>
  <c r="EF504"/>
  <c r="EF503"/>
  <c r="EF502"/>
  <c r="EF501"/>
  <c r="EF500"/>
  <c r="EF499"/>
  <c r="EF498"/>
  <c r="EF497"/>
  <c r="EF496"/>
  <c r="EF495"/>
  <c r="EF494"/>
  <c r="EF493"/>
  <c r="EF492"/>
  <c r="EF491"/>
  <c r="EF490"/>
  <c r="EF489"/>
  <c r="EF488"/>
  <c r="EF487"/>
  <c r="EF486"/>
  <c r="EF485"/>
  <c r="EF484"/>
  <c r="EF483"/>
  <c r="EF482"/>
  <c r="EF481"/>
  <c r="EF480"/>
  <c r="EF479"/>
  <c r="EF478"/>
  <c r="EF477"/>
  <c r="EF476"/>
  <c r="EF475"/>
  <c r="EF474"/>
  <c r="EF473"/>
  <c r="EF472"/>
  <c r="EF471"/>
  <c r="EF470"/>
  <c r="EF469"/>
  <c r="EF468"/>
  <c r="EF467"/>
  <c r="EF466"/>
  <c r="EF465"/>
  <c r="EF464"/>
  <c r="EF461"/>
  <c r="EF460"/>
  <c r="EF459"/>
  <c r="EF458"/>
  <c r="EF457"/>
  <c r="EF456"/>
  <c r="EF455"/>
  <c r="EF454"/>
  <c r="EF451"/>
  <c r="EF450"/>
  <c r="EF449"/>
  <c r="EF448"/>
  <c r="EF447"/>
  <c r="EF446"/>
  <c r="EF445"/>
  <c r="EF444"/>
  <c r="EF443"/>
  <c r="EF442"/>
  <c r="EF441"/>
  <c r="EF440"/>
  <c r="EF439"/>
  <c r="EF438"/>
  <c r="EF437"/>
  <c r="EF436"/>
  <c r="EF435"/>
  <c r="EF434"/>
  <c r="EF433"/>
  <c r="EF432"/>
  <c r="EF431"/>
  <c r="EF430"/>
  <c r="EF429"/>
  <c r="EF426"/>
  <c r="EF425"/>
  <c r="EF424"/>
  <c r="EF423"/>
  <c r="EF422"/>
  <c r="EF421"/>
  <c r="EF420"/>
  <c r="EF419"/>
  <c r="EF418"/>
  <c r="EF417"/>
  <c r="EF416"/>
  <c r="EF415"/>
  <c r="EF414"/>
  <c r="EF413"/>
  <c r="EF412"/>
  <c r="EF411"/>
  <c r="EF410"/>
  <c r="EF409"/>
  <c r="EF408"/>
  <c r="EF407"/>
  <c r="EF406"/>
  <c r="EF405"/>
  <c r="EF404"/>
  <c r="EF403"/>
  <c r="EF402"/>
  <c r="EF399"/>
  <c r="EF398"/>
  <c r="EF397"/>
  <c r="EF396"/>
  <c r="EF395"/>
  <c r="EF394"/>
  <c r="EF393"/>
  <c r="EF392"/>
  <c r="EF391"/>
  <c r="EF390"/>
  <c r="EF389"/>
  <c r="EF388"/>
  <c r="EF387"/>
  <c r="EF386"/>
  <c r="EF385"/>
  <c r="EF384"/>
  <c r="EF383"/>
  <c r="EF382"/>
  <c r="EF381"/>
  <c r="EF380"/>
  <c r="EF379"/>
  <c r="EF378"/>
  <c r="EF377"/>
  <c r="EF376"/>
  <c r="EF375"/>
  <c r="EF374"/>
  <c r="EF373"/>
  <c r="EF372"/>
  <c r="EF371"/>
  <c r="EF370"/>
  <c r="EF369"/>
  <c r="EF368"/>
  <c r="EF367"/>
  <c r="EF366"/>
  <c r="EF365"/>
  <c r="EF364"/>
  <c r="EF363"/>
  <c r="EF362"/>
  <c r="EF361"/>
  <c r="EF360"/>
  <c r="EF359"/>
  <c r="EF358"/>
  <c r="EF357"/>
  <c r="EF356"/>
  <c r="EF355"/>
  <c r="EF354"/>
  <c r="EF353"/>
  <c r="EF352"/>
  <c r="EF351"/>
  <c r="EF350"/>
  <c r="EF349"/>
  <c r="EF348"/>
  <c r="EF347"/>
  <c r="EF346"/>
  <c r="EF345"/>
  <c r="EF344"/>
  <c r="EF343"/>
  <c r="EF342"/>
  <c r="EF341"/>
  <c r="EF340"/>
  <c r="EF339"/>
  <c r="EF338"/>
  <c r="EF337"/>
  <c r="EF336"/>
  <c r="EF335"/>
  <c r="EF334"/>
  <c r="EF333"/>
  <c r="EF332"/>
  <c r="EF331"/>
  <c r="EF330"/>
  <c r="EF329"/>
  <c r="EF328"/>
  <c r="EF327"/>
  <c r="EF326"/>
  <c r="EF325"/>
  <c r="EF324"/>
  <c r="EF323"/>
  <c r="EF322"/>
  <c r="EF321"/>
  <c r="EF320"/>
  <c r="EF319"/>
  <c r="EF318"/>
  <c r="EF317"/>
  <c r="EF316"/>
  <c r="EF315"/>
  <c r="EF314"/>
  <c r="EF312"/>
  <c r="EF313"/>
  <c r="EF311"/>
  <c r="EF310"/>
  <c r="EF309"/>
  <c r="EF308"/>
  <c r="EF307"/>
  <c r="EF306"/>
  <c r="EF303"/>
  <c r="EF302"/>
  <c r="EF301"/>
  <c r="EF298"/>
  <c r="EF297"/>
  <c r="EF296"/>
  <c r="EF295"/>
  <c r="EF294"/>
  <c r="EF293"/>
  <c r="EF292"/>
  <c r="EF291"/>
  <c r="EF290"/>
  <c r="EF289"/>
  <c r="EF288"/>
  <c r="EF287"/>
  <c r="EF286"/>
  <c r="EF285"/>
  <c r="EF284"/>
  <c r="EF283"/>
  <c r="EF282"/>
  <c r="EF281"/>
  <c r="EF280"/>
  <c r="EF279"/>
  <c r="EF278"/>
  <c r="EF277"/>
  <c r="EF276"/>
  <c r="EF275"/>
  <c r="EF274"/>
  <c r="EF273"/>
  <c r="EF272"/>
  <c r="EF271"/>
  <c r="EF267"/>
  <c r="EF270"/>
  <c r="EF269"/>
  <c r="EF268"/>
  <c r="EF266"/>
  <c r="EF265"/>
  <c r="EF264"/>
  <c r="EF263"/>
  <c r="EF262"/>
  <c r="EF261"/>
  <c r="EF260"/>
  <c r="EF259"/>
  <c r="EF258"/>
  <c r="EF257"/>
  <c r="EF256"/>
  <c r="EF255"/>
  <c r="EF254"/>
  <c r="EF253"/>
  <c r="EF252"/>
  <c r="EF251"/>
  <c r="EF250"/>
  <c r="EF249"/>
  <c r="EF248"/>
  <c r="EF247"/>
  <c r="EF246"/>
  <c r="EF245"/>
  <c r="EF244"/>
  <c r="EF243"/>
  <c r="EF242"/>
  <c r="EF241"/>
  <c r="EF240"/>
  <c r="EF239"/>
  <c r="EF238"/>
  <c r="EF237"/>
  <c r="EF236"/>
  <c r="EF235"/>
  <c r="EF234"/>
  <c r="EF233"/>
  <c r="EF232"/>
  <c r="EF229"/>
  <c r="EF228"/>
  <c r="EF227"/>
  <c r="EF226"/>
  <c r="EF225"/>
  <c r="EF224"/>
  <c r="EF223"/>
  <c r="EF222"/>
  <c r="EF221"/>
  <c r="EF220"/>
  <c r="EF219"/>
  <c r="EF218"/>
  <c r="EF217"/>
  <c r="EF216"/>
  <c r="EF215"/>
  <c r="EF214"/>
  <c r="EF213"/>
  <c r="EF212"/>
  <c r="EF211"/>
  <c r="EF210"/>
  <c r="EF209"/>
  <c r="EF208"/>
  <c r="EF207"/>
  <c r="EF206"/>
  <c r="EF205"/>
  <c r="EF204"/>
  <c r="EF203"/>
  <c r="EF202"/>
  <c r="EF201"/>
  <c r="EF200"/>
  <c r="EF199"/>
  <c r="EF198"/>
  <c r="EF197"/>
  <c r="EF196"/>
  <c r="EF195"/>
  <c r="EF194"/>
  <c r="EF193"/>
  <c r="EF192"/>
  <c r="EF191"/>
  <c r="EF190"/>
  <c r="EF189"/>
  <c r="EF188"/>
  <c r="EF187"/>
  <c r="EF186"/>
  <c r="EF183"/>
  <c r="EF182"/>
  <c r="EF181"/>
  <c r="EF180"/>
  <c r="EF179"/>
  <c r="EF178"/>
  <c r="EF177"/>
  <c r="EF174"/>
  <c r="EF173"/>
  <c r="EF172"/>
  <c r="EF171"/>
  <c r="EF170"/>
  <c r="EF169"/>
  <c r="EF168"/>
  <c r="EF167"/>
  <c r="EF166"/>
  <c r="EF165"/>
  <c r="EF164"/>
  <c r="EF163"/>
  <c r="EF162"/>
  <c r="EF161"/>
  <c r="EF160"/>
  <c r="EF159"/>
  <c r="EF158"/>
  <c r="EF157"/>
  <c r="EF156"/>
  <c r="EF155"/>
  <c r="EF154"/>
  <c r="EF153"/>
  <c r="EF152"/>
  <c r="EF151"/>
  <c r="EF150"/>
  <c r="EF149"/>
  <c r="EF148"/>
  <c r="EF147"/>
  <c r="EF144"/>
  <c r="EF143"/>
  <c r="EF142"/>
  <c r="EF141"/>
  <c r="EF140"/>
  <c r="EF139"/>
  <c r="EF138"/>
  <c r="EF137"/>
  <c r="EF136"/>
  <c r="EF135"/>
  <c r="EF134"/>
  <c r="EF131"/>
  <c r="EF130"/>
  <c r="EF129"/>
  <c r="EF128"/>
  <c r="EF127"/>
  <c r="EF124"/>
  <c r="EF123"/>
  <c r="EF122"/>
  <c r="EF121"/>
  <c r="EF120"/>
  <c r="EF119"/>
  <c r="EF118"/>
  <c r="EF117"/>
  <c r="EF116"/>
  <c r="EF115"/>
  <c r="EF114"/>
  <c r="EF113"/>
  <c r="EF112"/>
  <c r="EF111"/>
  <c r="EF110"/>
  <c r="EF109"/>
  <c r="EF108"/>
  <c r="EF107"/>
  <c r="EF106"/>
  <c r="EF105"/>
  <c r="EF104"/>
  <c r="EF103"/>
  <c r="EF102"/>
  <c r="EF101"/>
  <c r="EF100"/>
  <c r="EF99"/>
  <c r="EF98"/>
  <c r="EF97"/>
  <c r="EF96"/>
  <c r="EF95"/>
  <c r="EF94"/>
  <c r="EF92"/>
  <c r="EF91"/>
  <c r="EF90"/>
  <c r="EF89"/>
  <c r="EF88"/>
  <c r="EF87"/>
  <c r="EF86"/>
  <c r="EF85"/>
  <c r="EF82"/>
  <c r="EF81"/>
  <c r="EF80"/>
  <c r="EF77"/>
  <c r="EF74"/>
  <c r="EF73"/>
  <c r="EF72"/>
  <c r="EF69"/>
  <c r="EF68"/>
  <c r="EF67"/>
  <c r="EF66"/>
  <c r="EF63"/>
  <c r="EF62"/>
  <c r="EF61"/>
  <c r="EF60"/>
  <c r="EF59"/>
  <c r="EF58"/>
  <c r="EF57"/>
  <c r="EF56"/>
  <c r="EF55"/>
  <c r="EF54"/>
  <c r="EF53"/>
  <c r="EF52"/>
  <c r="EF51"/>
  <c r="EF50"/>
  <c r="EF49"/>
  <c r="EF48"/>
  <c r="EF47"/>
  <c r="EF46"/>
  <c r="EF45"/>
  <c r="EF42"/>
  <c r="EF41"/>
  <c r="EF40"/>
  <c r="EF39"/>
  <c r="EF38"/>
  <c r="EF37"/>
  <c r="EF36"/>
  <c r="EF35"/>
  <c r="EF34"/>
  <c r="EF33"/>
  <c r="EF32"/>
  <c r="EF31"/>
  <c r="EF28"/>
  <c r="EF27"/>
  <c r="EF26"/>
  <c r="EF25"/>
  <c r="EF24"/>
  <c r="EF23"/>
  <c r="EF22"/>
  <c r="EF21"/>
  <c r="EF20"/>
  <c r="EF19"/>
  <c r="EF18"/>
  <c r="EF17"/>
  <c r="EF16"/>
  <c r="EF15"/>
  <c r="EF14"/>
  <c r="EF13"/>
  <c r="EF12"/>
  <c r="FM742"/>
  <c r="AT727"/>
  <c r="EM727"/>
  <c r="EJ727"/>
  <c r="EP727" s="1"/>
  <c r="DX727"/>
  <c r="EG727" s="1"/>
  <c r="DO727"/>
  <c r="DB727"/>
  <c r="DP727"/>
  <c r="CM727"/>
  <c r="CL727"/>
  <c r="CK727"/>
  <c r="CJ727"/>
  <c r="CI727"/>
  <c r="A727"/>
  <c r="CH727" s="1"/>
  <c r="BQ727"/>
  <c r="AD727"/>
  <c r="U727"/>
  <c r="O727"/>
  <c r="AT736"/>
  <c r="EM736"/>
  <c r="EJ736"/>
  <c r="EP736" s="1"/>
  <c r="DX736"/>
  <c r="EG736" s="1"/>
  <c r="DO736"/>
  <c r="DB736"/>
  <c r="DP736"/>
  <c r="CM736"/>
  <c r="CL736"/>
  <c r="CK736"/>
  <c r="CJ736"/>
  <c r="CI736"/>
  <c r="A736"/>
  <c r="CH736" s="1"/>
  <c r="BQ736"/>
  <c r="AD736"/>
  <c r="U736"/>
  <c r="O736"/>
  <c r="AT507"/>
  <c r="AF507"/>
  <c r="EQ507"/>
  <c r="EM507"/>
  <c r="EJ507"/>
  <c r="EP507" s="1"/>
  <c r="DX507"/>
  <c r="EG507" s="1"/>
  <c r="DO507"/>
  <c r="DB507"/>
  <c r="DP507"/>
  <c r="CO507"/>
  <c r="CM507"/>
  <c r="CL507"/>
  <c r="CK507"/>
  <c r="CJ507"/>
  <c r="CI507"/>
  <c r="A507"/>
  <c r="CH507" s="1"/>
  <c r="BQ507"/>
  <c r="AD507"/>
  <c r="AB507"/>
  <c r="U507"/>
  <c r="O507"/>
  <c r="AT373"/>
  <c r="AF373"/>
  <c r="EQ373"/>
  <c r="EM373"/>
  <c r="EJ373"/>
  <c r="EP373" s="1"/>
  <c r="DX373"/>
  <c r="EG373" s="1"/>
  <c r="DO373"/>
  <c r="DB373"/>
  <c r="DP373"/>
  <c r="CO373"/>
  <c r="CM373"/>
  <c r="CL373"/>
  <c r="CK373"/>
  <c r="CJ373"/>
  <c r="CI373"/>
  <c r="A373"/>
  <c r="CH373" s="1"/>
  <c r="BQ373"/>
  <c r="AD373"/>
  <c r="AB373"/>
  <c r="U373"/>
  <c r="O373"/>
  <c r="AT691"/>
  <c r="AF691"/>
  <c r="EQ691"/>
  <c r="EM691"/>
  <c r="EJ691"/>
  <c r="EP691" s="1"/>
  <c r="DX691"/>
  <c r="EG691" s="1"/>
  <c r="DO691"/>
  <c r="DB691"/>
  <c r="DP691"/>
  <c r="CO691"/>
  <c r="CM691"/>
  <c r="CL691"/>
  <c r="CK691"/>
  <c r="CJ691"/>
  <c r="CI691"/>
  <c r="A691"/>
  <c r="CH691" s="1"/>
  <c r="BQ691"/>
  <c r="AD691"/>
  <c r="AB691"/>
  <c r="U691"/>
  <c r="O691"/>
  <c r="AT435"/>
  <c r="AF435"/>
  <c r="EQ435"/>
  <c r="EM435"/>
  <c r="EJ435"/>
  <c r="EP435" s="1"/>
  <c r="DX435"/>
  <c r="EG435" s="1"/>
  <c r="DO435"/>
  <c r="DB435"/>
  <c r="DP435"/>
  <c r="CO435"/>
  <c r="CM435"/>
  <c r="CL435"/>
  <c r="CK435"/>
  <c r="CJ435"/>
  <c r="CI435"/>
  <c r="A435"/>
  <c r="CH435" s="1"/>
  <c r="BQ435"/>
  <c r="AD435"/>
  <c r="AB435"/>
  <c r="U435"/>
  <c r="O435"/>
  <c r="AT135"/>
  <c r="EM135"/>
  <c r="EJ135"/>
  <c r="EP135" s="1"/>
  <c r="DX135"/>
  <c r="EG135" s="1"/>
  <c r="DO135"/>
  <c r="DB135"/>
  <c r="DP135"/>
  <c r="CM135"/>
  <c r="CL135"/>
  <c r="CK135"/>
  <c r="CJ135"/>
  <c r="CI135"/>
  <c r="A135"/>
  <c r="CH135" s="1"/>
  <c r="BQ135"/>
  <c r="AD135"/>
  <c r="U135"/>
  <c r="O135"/>
  <c r="AT50"/>
  <c r="EM50"/>
  <c r="EJ50"/>
  <c r="EP50" s="1"/>
  <c r="DX50"/>
  <c r="EG50" s="1"/>
  <c r="DO50"/>
  <c r="DB50"/>
  <c r="DP50"/>
  <c r="CM50"/>
  <c r="CL50"/>
  <c r="CK50"/>
  <c r="CJ50"/>
  <c r="CI50"/>
  <c r="A50"/>
  <c r="CH50" s="1"/>
  <c r="BQ50"/>
  <c r="AD50"/>
  <c r="U50"/>
  <c r="O50"/>
  <c r="U376"/>
  <c r="U620"/>
  <c r="U73"/>
  <c r="U282"/>
  <c r="A228"/>
  <c r="A229"/>
  <c r="A232"/>
  <c r="AT694"/>
  <c r="AF694"/>
  <c r="EQ694"/>
  <c r="EM694"/>
  <c r="EJ694"/>
  <c r="EP694"/>
  <c r="DX694"/>
  <c r="EG694"/>
  <c r="DO694"/>
  <c r="DB694"/>
  <c r="DP694" s="1"/>
  <c r="CO694"/>
  <c r="CM694"/>
  <c r="CL694"/>
  <c r="CK694"/>
  <c r="CJ694"/>
  <c r="CI694"/>
  <c r="A694"/>
  <c r="CH694"/>
  <c r="BQ694"/>
  <c r="AD694"/>
  <c r="AB694"/>
  <c r="U694"/>
  <c r="O694"/>
  <c r="BQ28"/>
  <c r="BQ33"/>
  <c r="BQ12"/>
  <c r="BQ13"/>
  <c r="BQ14"/>
  <c r="BQ15"/>
  <c r="BQ16"/>
  <c r="BQ17"/>
  <c r="BQ18"/>
  <c r="BQ19"/>
  <c r="BQ20"/>
  <c r="BQ21"/>
  <c r="BQ22"/>
  <c r="BQ23"/>
  <c r="BQ24"/>
  <c r="BQ25"/>
  <c r="BQ26"/>
  <c r="BQ27"/>
  <c r="BQ31"/>
  <c r="BQ32"/>
  <c r="BQ34"/>
  <c r="BQ35"/>
  <c r="BQ36"/>
  <c r="BQ37"/>
  <c r="BQ38"/>
  <c r="BQ39"/>
  <c r="BQ40"/>
  <c r="BQ41"/>
  <c r="BQ42"/>
  <c r="BQ45"/>
  <c r="BQ46"/>
  <c r="BQ47"/>
  <c r="BQ48"/>
  <c r="BQ49"/>
  <c r="BQ51"/>
  <c r="BQ52"/>
  <c r="BQ53"/>
  <c r="BQ54"/>
  <c r="BQ55"/>
  <c r="BQ56"/>
  <c r="BQ57"/>
  <c r="BQ58"/>
  <c r="BQ59"/>
  <c r="BQ60"/>
  <c r="BQ61"/>
  <c r="BQ62"/>
  <c r="BQ63"/>
  <c r="BQ66"/>
  <c r="BQ67"/>
  <c r="BQ68"/>
  <c r="BQ69"/>
  <c r="BQ72"/>
  <c r="BQ73"/>
  <c r="BQ74"/>
  <c r="BQ77"/>
  <c r="BQ80"/>
  <c r="BQ81"/>
  <c r="BQ82"/>
  <c r="BQ85"/>
  <c r="BQ86"/>
  <c r="BQ87"/>
  <c r="BQ88"/>
  <c r="BQ89"/>
  <c r="BQ90"/>
  <c r="BQ91"/>
  <c r="BQ92"/>
  <c r="BQ94"/>
  <c r="BQ95"/>
  <c r="BQ96"/>
  <c r="BQ97"/>
  <c r="BQ98"/>
  <c r="BQ99"/>
  <c r="BQ100"/>
  <c r="BQ101"/>
  <c r="BQ102"/>
  <c r="BQ103"/>
  <c r="BQ104"/>
  <c r="BQ105"/>
  <c r="BQ106"/>
  <c r="BQ107"/>
  <c r="BQ108"/>
  <c r="BQ109"/>
  <c r="BQ110"/>
  <c r="BQ111"/>
  <c r="BQ112"/>
  <c r="BQ113"/>
  <c r="BQ114"/>
  <c r="BQ115"/>
  <c r="BQ116"/>
  <c r="BQ117"/>
  <c r="BQ118"/>
  <c r="BQ119"/>
  <c r="BQ120"/>
  <c r="BQ121"/>
  <c r="BQ122"/>
  <c r="BQ123"/>
  <c r="BQ124"/>
  <c r="BQ127"/>
  <c r="BQ128"/>
  <c r="BQ129"/>
  <c r="BQ130"/>
  <c r="BQ131"/>
  <c r="BQ134"/>
  <c r="BQ136"/>
  <c r="BQ137"/>
  <c r="BQ138"/>
  <c r="BQ139"/>
  <c r="BQ140"/>
  <c r="BQ141"/>
  <c r="BQ142"/>
  <c r="BQ143"/>
  <c r="BQ144"/>
  <c r="BQ147"/>
  <c r="BQ148"/>
  <c r="BQ149"/>
  <c r="BQ150"/>
  <c r="BQ151"/>
  <c r="BQ152"/>
  <c r="BQ153"/>
  <c r="BQ154"/>
  <c r="BQ155"/>
  <c r="BQ156"/>
  <c r="BQ157"/>
  <c r="BQ158"/>
  <c r="BQ159"/>
  <c r="BQ160"/>
  <c r="BQ161"/>
  <c r="BQ162"/>
  <c r="BQ163"/>
  <c r="BQ164"/>
  <c r="BQ165"/>
  <c r="BQ166"/>
  <c r="BQ167"/>
  <c r="BQ168"/>
  <c r="BQ169"/>
  <c r="BQ170"/>
  <c r="BQ171"/>
  <c r="BQ172"/>
  <c r="BQ173"/>
  <c r="BQ174"/>
  <c r="BQ177"/>
  <c r="BQ178"/>
  <c r="BQ179"/>
  <c r="BQ180"/>
  <c r="BQ181"/>
  <c r="BQ182"/>
  <c r="BQ183"/>
  <c r="BQ186"/>
  <c r="BQ187"/>
  <c r="BQ188"/>
  <c r="BQ189"/>
  <c r="BQ190"/>
  <c r="BQ191"/>
  <c r="BQ192"/>
  <c r="BQ193"/>
  <c r="BQ194"/>
  <c r="BQ195"/>
  <c r="BQ196"/>
  <c r="BQ197"/>
  <c r="BQ198"/>
  <c r="BQ199"/>
  <c r="BQ200"/>
  <c r="BQ201"/>
  <c r="BQ202"/>
  <c r="BQ203"/>
  <c r="BQ204"/>
  <c r="BQ205"/>
  <c r="BQ206"/>
  <c r="BQ207"/>
  <c r="BQ208"/>
  <c r="BQ209"/>
  <c r="BQ210"/>
  <c r="BQ211"/>
  <c r="BQ212"/>
  <c r="BQ213"/>
  <c r="BQ214"/>
  <c r="BQ215"/>
  <c r="BQ216"/>
  <c r="BQ217"/>
  <c r="BQ218"/>
  <c r="BQ219"/>
  <c r="BQ220"/>
  <c r="BQ221"/>
  <c r="BQ222"/>
  <c r="BQ223"/>
  <c r="BQ224"/>
  <c r="BQ225"/>
  <c r="BQ226"/>
  <c r="BQ227"/>
  <c r="BQ232"/>
  <c r="BQ229"/>
  <c r="BQ233"/>
  <c r="BQ228"/>
  <c r="BQ234"/>
  <c r="BQ235"/>
  <c r="BQ236"/>
  <c r="BQ237"/>
  <c r="BQ238"/>
  <c r="BQ239"/>
  <c r="BQ240"/>
  <c r="BQ241"/>
  <c r="BQ242"/>
  <c r="BQ243"/>
  <c r="BQ244"/>
  <c r="BQ245"/>
  <c r="BQ246"/>
  <c r="BQ247"/>
  <c r="BQ248"/>
  <c r="BQ249"/>
  <c r="BQ250"/>
  <c r="BQ251"/>
  <c r="BQ252"/>
  <c r="BQ253"/>
  <c r="BQ254"/>
  <c r="BQ255"/>
  <c r="BQ256"/>
  <c r="BQ257"/>
  <c r="BQ258"/>
  <c r="BQ259"/>
  <c r="BQ260"/>
  <c r="BQ261"/>
  <c r="BQ262"/>
  <c r="BQ263"/>
  <c r="BQ264"/>
  <c r="BQ265"/>
  <c r="BQ268"/>
  <c r="BQ269"/>
  <c r="BQ270"/>
  <c r="BQ267"/>
  <c r="BQ271"/>
  <c r="BQ266"/>
  <c r="BQ272"/>
  <c r="BQ273"/>
  <c r="BQ274"/>
  <c r="BQ275"/>
  <c r="BQ276"/>
  <c r="BQ284"/>
  <c r="BQ277"/>
  <c r="BQ278"/>
  <c r="BQ279"/>
  <c r="BQ280"/>
  <c r="BQ281"/>
  <c r="BQ282"/>
  <c r="BQ283"/>
  <c r="BQ285"/>
  <c r="BQ286"/>
  <c r="BQ287"/>
  <c r="BQ288"/>
  <c r="BQ289"/>
  <c r="BQ290"/>
  <c r="BQ291"/>
  <c r="BQ292"/>
  <c r="BQ293"/>
  <c r="BQ294"/>
  <c r="BQ295"/>
  <c r="BQ296"/>
  <c r="BQ297"/>
  <c r="BQ298"/>
  <c r="BQ301"/>
  <c r="BQ302"/>
  <c r="BQ303"/>
  <c r="BQ306"/>
  <c r="BQ307"/>
  <c r="BQ308"/>
  <c r="BQ309"/>
  <c r="BQ310"/>
  <c r="BQ311"/>
  <c r="BQ313"/>
  <c r="BQ312"/>
  <c r="BQ314"/>
  <c r="BQ315"/>
  <c r="BQ316"/>
  <c r="BQ317"/>
  <c r="BQ318"/>
  <c r="BQ319"/>
  <c r="BQ320"/>
  <c r="BQ322"/>
  <c r="BQ323"/>
  <c r="BQ321"/>
  <c r="BQ324"/>
  <c r="BQ325"/>
  <c r="BQ326"/>
  <c r="BQ327"/>
  <c r="BQ328"/>
  <c r="BQ329"/>
  <c r="BQ330"/>
  <c r="BQ331"/>
  <c r="BQ332"/>
  <c r="BQ333"/>
  <c r="BQ334"/>
  <c r="BQ335"/>
  <c r="BQ336"/>
  <c r="BQ337"/>
  <c r="BQ338"/>
  <c r="BQ339"/>
  <c r="BQ340"/>
  <c r="BQ341"/>
  <c r="BQ342"/>
  <c r="BQ343"/>
  <c r="BQ344"/>
  <c r="BQ345"/>
  <c r="BQ346"/>
  <c r="BQ347"/>
  <c r="BQ348"/>
  <c r="BQ349"/>
  <c r="BQ350"/>
  <c r="BQ351"/>
  <c r="BQ352"/>
  <c r="BQ353"/>
  <c r="BQ354"/>
  <c r="BQ355"/>
  <c r="BQ356"/>
  <c r="BQ357"/>
  <c r="BQ358"/>
  <c r="BQ359"/>
  <c r="BQ360"/>
  <c r="BQ361"/>
  <c r="BQ362"/>
  <c r="BQ363"/>
  <c r="BQ364"/>
  <c r="BQ365"/>
  <c r="BQ366"/>
  <c r="BQ367"/>
  <c r="BQ368"/>
  <c r="BQ369"/>
  <c r="BQ370"/>
  <c r="BQ371"/>
  <c r="BQ372"/>
  <c r="BQ374"/>
  <c r="BQ375"/>
  <c r="BQ376"/>
  <c r="BQ377"/>
  <c r="BQ379"/>
  <c r="BQ380"/>
  <c r="BQ381"/>
  <c r="BQ378"/>
  <c r="BQ382"/>
  <c r="BQ383"/>
  <c r="BQ384"/>
  <c r="BQ385"/>
  <c r="BQ386"/>
  <c r="BQ387"/>
  <c r="BQ393"/>
  <c r="BQ388"/>
  <c r="BQ389"/>
  <c r="BQ390"/>
  <c r="BQ391"/>
  <c r="BQ392"/>
  <c r="BQ394"/>
  <c r="BQ395"/>
  <c r="BQ396"/>
  <c r="BQ397"/>
  <c r="BQ398"/>
  <c r="BQ399"/>
  <c r="BQ402"/>
  <c r="BQ403"/>
  <c r="BQ404"/>
  <c r="BQ405"/>
  <c r="BQ406"/>
  <c r="BQ407"/>
  <c r="BQ408"/>
  <c r="BQ409"/>
  <c r="BQ410"/>
  <c r="BQ411"/>
  <c r="BQ412"/>
  <c r="BQ413"/>
  <c r="BQ414"/>
  <c r="BQ415"/>
  <c r="BQ416"/>
  <c r="BQ417"/>
  <c r="BQ418"/>
  <c r="BQ419"/>
  <c r="BQ420"/>
  <c r="BQ421"/>
  <c r="BQ422"/>
  <c r="BQ423"/>
  <c r="BQ424"/>
  <c r="BQ425"/>
  <c r="BQ426"/>
  <c r="BQ429"/>
  <c r="BQ430"/>
  <c r="BQ431"/>
  <c r="BQ432"/>
  <c r="BQ433"/>
  <c r="BQ434"/>
  <c r="BQ436"/>
  <c r="BQ437"/>
  <c r="BQ438"/>
  <c r="BQ439"/>
  <c r="BQ440"/>
  <c r="BQ441"/>
  <c r="BQ442"/>
  <c r="BQ443"/>
  <c r="BQ444"/>
  <c r="BQ445"/>
  <c r="BQ446"/>
  <c r="BQ447"/>
  <c r="BQ448"/>
  <c r="BQ449"/>
  <c r="BQ450"/>
  <c r="BQ451"/>
  <c r="BQ454"/>
  <c r="BQ455"/>
  <c r="BQ456"/>
  <c r="BQ457"/>
  <c r="BQ458"/>
  <c r="BQ459"/>
  <c r="BQ460"/>
  <c r="BQ461"/>
  <c r="BQ464"/>
  <c r="BQ465"/>
  <c r="BQ466"/>
  <c r="BQ467"/>
  <c r="BQ468"/>
  <c r="BQ469"/>
  <c r="BQ470"/>
  <c r="BQ471"/>
  <c r="BQ472"/>
  <c r="BQ473"/>
  <c r="BQ474"/>
  <c r="BQ475"/>
  <c r="BQ476"/>
  <c r="BQ477"/>
  <c r="BQ478"/>
  <c r="BQ479"/>
  <c r="BQ480"/>
  <c r="BQ481"/>
  <c r="BQ482"/>
  <c r="BQ483"/>
  <c r="BQ484"/>
  <c r="BQ485"/>
  <c r="BQ486"/>
  <c r="BQ487"/>
  <c r="BQ488"/>
  <c r="BQ489"/>
  <c r="BQ490"/>
  <c r="BQ491"/>
  <c r="BQ492"/>
  <c r="BQ493"/>
  <c r="BQ494"/>
  <c r="BQ495"/>
  <c r="BQ496"/>
  <c r="BQ497"/>
  <c r="BQ498"/>
  <c r="BQ499"/>
  <c r="BQ500"/>
  <c r="BQ501"/>
  <c r="BQ502"/>
  <c r="BQ503"/>
  <c r="BQ504"/>
  <c r="BQ505"/>
  <c r="BQ506"/>
  <c r="BQ508"/>
  <c r="BQ509"/>
  <c r="BQ510"/>
  <c r="BQ511"/>
  <c r="BQ512"/>
  <c r="BQ513"/>
  <c r="BQ514"/>
  <c r="BQ515"/>
  <c r="BQ516"/>
  <c r="BQ517"/>
  <c r="BQ518"/>
  <c r="BQ519"/>
  <c r="BQ520"/>
  <c r="BQ521"/>
  <c r="BQ522"/>
  <c r="BQ523"/>
  <c r="BQ524"/>
  <c r="BQ525"/>
  <c r="BQ526"/>
  <c r="BQ527"/>
  <c r="BQ528"/>
  <c r="BQ529"/>
  <c r="BQ530"/>
  <c r="BQ531"/>
  <c r="BQ532"/>
  <c r="BQ533"/>
  <c r="BQ534"/>
  <c r="BQ535"/>
  <c r="BQ536"/>
  <c r="BQ537"/>
  <c r="BQ538"/>
  <c r="BQ539"/>
  <c r="BQ540"/>
  <c r="BQ541"/>
  <c r="BQ542"/>
  <c r="BQ543"/>
  <c r="BQ544"/>
  <c r="BQ545"/>
  <c r="BQ546"/>
  <c r="BQ547"/>
  <c r="BQ548"/>
  <c r="BQ549"/>
  <c r="BQ550"/>
  <c r="BQ551"/>
  <c r="BQ552"/>
  <c r="BQ553"/>
  <c r="BQ554"/>
  <c r="BQ555"/>
  <c r="BQ556"/>
  <c r="BQ557"/>
  <c r="BQ558"/>
  <c r="BQ559"/>
  <c r="BQ560"/>
  <c r="BQ561"/>
  <c r="BQ562"/>
  <c r="BQ563"/>
  <c r="BQ564"/>
  <c r="BQ565"/>
  <c r="BQ566"/>
  <c r="BQ567"/>
  <c r="BQ568"/>
  <c r="BQ569"/>
  <c r="BQ570"/>
  <c r="BQ571"/>
  <c r="BQ572"/>
  <c r="BQ573"/>
  <c r="BQ574"/>
  <c r="BQ575"/>
  <c r="BQ576"/>
  <c r="BQ577"/>
  <c r="BQ578"/>
  <c r="BQ579"/>
  <c r="BQ580"/>
  <c r="BQ581"/>
  <c r="BQ582"/>
  <c r="BQ583"/>
  <c r="BQ584"/>
  <c r="BQ585"/>
  <c r="BQ586"/>
  <c r="BQ587"/>
  <c r="BQ588"/>
  <c r="BQ589"/>
  <c r="BQ590"/>
  <c r="BQ591"/>
  <c r="BQ592"/>
  <c r="BQ593"/>
  <c r="BQ594"/>
  <c r="BQ595"/>
  <c r="BQ596"/>
  <c r="BQ597"/>
  <c r="BQ598"/>
  <c r="BQ599"/>
  <c r="BQ600"/>
  <c r="BQ601"/>
  <c r="BQ602"/>
  <c r="BQ603"/>
  <c r="BQ604"/>
  <c r="BQ605"/>
  <c r="BQ606"/>
  <c r="BQ607"/>
  <c r="BQ608"/>
  <c r="BQ609"/>
  <c r="BQ610"/>
  <c r="BQ611"/>
  <c r="BQ612"/>
  <c r="BQ613"/>
  <c r="BQ615"/>
  <c r="BQ616"/>
  <c r="BQ617"/>
  <c r="BQ618"/>
  <c r="BQ619"/>
  <c r="BQ620"/>
  <c r="BQ621"/>
  <c r="BQ622"/>
  <c r="BQ623"/>
  <c r="BQ624"/>
  <c r="BQ625"/>
  <c r="BQ626"/>
  <c r="BQ627"/>
  <c r="BQ628"/>
  <c r="BQ629"/>
  <c r="BQ630"/>
  <c r="BQ631"/>
  <c r="BQ632"/>
  <c r="BQ633"/>
  <c r="BQ636"/>
  <c r="BQ637"/>
  <c r="BQ638"/>
  <c r="BQ639"/>
  <c r="BQ640"/>
  <c r="BQ641"/>
  <c r="BQ642"/>
  <c r="BQ643"/>
  <c r="BQ644"/>
  <c r="BQ645"/>
  <c r="BQ646"/>
  <c r="BQ647"/>
  <c r="BQ648"/>
  <c r="BQ649"/>
  <c r="BQ650"/>
  <c r="BQ651"/>
  <c r="BQ652"/>
  <c r="BQ653"/>
  <c r="BQ654"/>
  <c r="BQ655"/>
  <c r="BQ656"/>
  <c r="BQ657"/>
  <c r="BQ658"/>
  <c r="BQ659"/>
  <c r="BQ660"/>
  <c r="BQ661"/>
  <c r="BQ662"/>
  <c r="BQ663"/>
  <c r="BQ664"/>
  <c r="BQ665"/>
  <c r="BQ666"/>
  <c r="BQ667"/>
  <c r="BQ668"/>
  <c r="BQ671"/>
  <c r="BQ672"/>
  <c r="BQ673"/>
  <c r="BQ669"/>
  <c r="BQ670"/>
  <c r="BQ674"/>
  <c r="BQ675"/>
  <c r="BQ676"/>
  <c r="BQ677"/>
  <c r="BQ678"/>
  <c r="BQ679"/>
  <c r="BQ680"/>
  <c r="BQ681"/>
  <c r="BQ682"/>
  <c r="BQ688"/>
  <c r="BQ689"/>
  <c r="BQ683"/>
  <c r="BQ684"/>
  <c r="BQ685"/>
  <c r="BQ686"/>
  <c r="BQ687"/>
  <c r="BQ690"/>
  <c r="BQ692"/>
  <c r="BQ693"/>
  <c r="BQ695"/>
  <c r="BQ698"/>
  <c r="BQ701"/>
  <c r="BQ702"/>
  <c r="BQ703"/>
  <c r="BQ705"/>
  <c r="BQ704"/>
  <c r="BQ706"/>
  <c r="BQ707"/>
  <c r="BQ708"/>
  <c r="BQ709"/>
  <c r="BQ710"/>
  <c r="BQ711"/>
  <c r="BQ712"/>
  <c r="BQ713"/>
  <c r="BQ714"/>
  <c r="BQ715"/>
  <c r="BQ716"/>
  <c r="BQ717"/>
  <c r="BQ718"/>
  <c r="BQ719"/>
  <c r="BQ720"/>
  <c r="BQ721"/>
  <c r="BQ722"/>
  <c r="BQ723"/>
  <c r="BQ724"/>
  <c r="BQ725"/>
  <c r="BQ726"/>
  <c r="BQ732"/>
  <c r="BQ728"/>
  <c r="BQ729"/>
  <c r="BQ730"/>
  <c r="BQ731"/>
  <c r="BQ735"/>
  <c r="BQ737"/>
  <c r="BQ738"/>
  <c r="BQ740"/>
  <c r="BY742"/>
  <c r="AT687"/>
  <c r="EM687"/>
  <c r="EJ687"/>
  <c r="EP687"/>
  <c r="DX687"/>
  <c r="EG687"/>
  <c r="DO687"/>
  <c r="DB687"/>
  <c r="DP687" s="1"/>
  <c r="CM687"/>
  <c r="CL687"/>
  <c r="CK687"/>
  <c r="CJ687"/>
  <c r="CI687"/>
  <c r="A687"/>
  <c r="CH687"/>
  <c r="AD687"/>
  <c r="U687"/>
  <c r="O687"/>
  <c r="U548"/>
  <c r="AT33"/>
  <c r="EM33"/>
  <c r="EJ33"/>
  <c r="EP33"/>
  <c r="DX33"/>
  <c r="EG33"/>
  <c r="DO33"/>
  <c r="DB33"/>
  <c r="DP33" s="1"/>
  <c r="CO33"/>
  <c r="CM33"/>
  <c r="CL33"/>
  <c r="CK33"/>
  <c r="CJ33"/>
  <c r="CI33"/>
  <c r="A33"/>
  <c r="CH33"/>
  <c r="AB33"/>
  <c r="U33"/>
  <c r="O33"/>
  <c r="AT87"/>
  <c r="EM87"/>
  <c r="EJ87"/>
  <c r="EP87" s="1"/>
  <c r="DX87"/>
  <c r="EG87" s="1"/>
  <c r="DO87"/>
  <c r="DB87"/>
  <c r="DP87"/>
  <c r="CM87"/>
  <c r="CL87"/>
  <c r="CK87"/>
  <c r="CJ87"/>
  <c r="CI87"/>
  <c r="A87"/>
  <c r="CH87" s="1"/>
  <c r="AD87"/>
  <c r="U87"/>
  <c r="O87"/>
  <c r="AT529"/>
  <c r="AF529"/>
  <c r="EQ529"/>
  <c r="EM529"/>
  <c r="EJ529"/>
  <c r="EP529"/>
  <c r="DX529"/>
  <c r="EG529"/>
  <c r="DO529"/>
  <c r="DB529"/>
  <c r="DP529" s="1"/>
  <c r="CO529"/>
  <c r="CM529"/>
  <c r="CL529"/>
  <c r="CK529"/>
  <c r="CJ529"/>
  <c r="CI529"/>
  <c r="A529"/>
  <c r="CH529"/>
  <c r="AD529"/>
  <c r="AB529"/>
  <c r="U529"/>
  <c r="O529"/>
  <c r="AT680"/>
  <c r="AF680"/>
  <c r="EQ680"/>
  <c r="EM680"/>
  <c r="EJ680"/>
  <c r="EP680" s="1"/>
  <c r="DX680"/>
  <c r="EG680" s="1"/>
  <c r="DO680"/>
  <c r="DB680"/>
  <c r="DP680"/>
  <c r="CO680"/>
  <c r="CM680"/>
  <c r="CL680"/>
  <c r="CK680"/>
  <c r="CJ680"/>
  <c r="CI680"/>
  <c r="A680"/>
  <c r="CH680" s="1"/>
  <c r="AD680"/>
  <c r="AB680"/>
  <c r="U680"/>
  <c r="O680"/>
  <c r="AT656"/>
  <c r="AF656"/>
  <c r="EQ656"/>
  <c r="EM656"/>
  <c r="EJ656"/>
  <c r="EP656"/>
  <c r="DX656"/>
  <c r="EG656"/>
  <c r="DO656"/>
  <c r="DB656"/>
  <c r="DP656" s="1"/>
  <c r="CO656"/>
  <c r="CM656"/>
  <c r="CL656"/>
  <c r="CK656"/>
  <c r="CJ656"/>
  <c r="CI656"/>
  <c r="A656"/>
  <c r="CH656"/>
  <c r="AD656"/>
  <c r="AB656"/>
  <c r="U656"/>
  <c r="O656"/>
  <c r="AT512"/>
  <c r="AF512"/>
  <c r="EQ512"/>
  <c r="EM512"/>
  <c r="EJ512"/>
  <c r="EP512" s="1"/>
  <c r="DX512"/>
  <c r="EG512" s="1"/>
  <c r="DO512"/>
  <c r="DB512"/>
  <c r="DP512"/>
  <c r="CO512"/>
  <c r="CM512"/>
  <c r="CL512"/>
  <c r="CK512"/>
  <c r="CJ512"/>
  <c r="CI512"/>
  <c r="A512"/>
  <c r="CH512" s="1"/>
  <c r="AD512"/>
  <c r="AB512"/>
  <c r="U512"/>
  <c r="O512"/>
  <c r="AT533"/>
  <c r="AF533"/>
  <c r="EQ533"/>
  <c r="EM533"/>
  <c r="EJ533"/>
  <c r="EP533"/>
  <c r="DX533"/>
  <c r="EG533"/>
  <c r="DO533"/>
  <c r="DB533"/>
  <c r="DP533" s="1"/>
  <c r="CO533"/>
  <c r="CM533"/>
  <c r="CL533"/>
  <c r="CK533"/>
  <c r="CJ533"/>
  <c r="CI533"/>
  <c r="A533"/>
  <c r="CH533"/>
  <c r="AD533"/>
  <c r="AB533"/>
  <c r="U533"/>
  <c r="O533"/>
  <c r="AT204"/>
  <c r="EM204"/>
  <c r="EJ204"/>
  <c r="EP204" s="1"/>
  <c r="DX204"/>
  <c r="EG204" s="1"/>
  <c r="DO204"/>
  <c r="DB204"/>
  <c r="DP204"/>
  <c r="CM204"/>
  <c r="CL204"/>
  <c r="CK204"/>
  <c r="CJ204"/>
  <c r="CI204"/>
  <c r="A204"/>
  <c r="CH204" s="1"/>
  <c r="AD204"/>
  <c r="U204"/>
  <c r="O204"/>
  <c r="AT228"/>
  <c r="EM228"/>
  <c r="EJ228"/>
  <c r="EP228"/>
  <c r="DX228"/>
  <c r="EG228"/>
  <c r="DO228"/>
  <c r="DB228"/>
  <c r="DP228" s="1"/>
  <c r="CM228"/>
  <c r="CL228"/>
  <c r="CK228"/>
  <c r="CJ228"/>
  <c r="CI228"/>
  <c r="CH228"/>
  <c r="AD228"/>
  <c r="U228"/>
  <c r="O228"/>
  <c r="AT555"/>
  <c r="EM555"/>
  <c r="EJ555"/>
  <c r="EP555"/>
  <c r="DX555"/>
  <c r="EG555"/>
  <c r="DO555"/>
  <c r="DB555"/>
  <c r="DP555" s="1"/>
  <c r="CM555"/>
  <c r="CL555"/>
  <c r="CK555"/>
  <c r="CJ555"/>
  <c r="CI555"/>
  <c r="A555"/>
  <c r="CH555"/>
  <c r="AD555"/>
  <c r="U555"/>
  <c r="O555"/>
  <c r="AT563"/>
  <c r="EM563"/>
  <c r="EJ563"/>
  <c r="EP563" s="1"/>
  <c r="DX563"/>
  <c r="EG563" s="1"/>
  <c r="DO563"/>
  <c r="DB563"/>
  <c r="DP563"/>
  <c r="CM563"/>
  <c r="CL563"/>
  <c r="CK563"/>
  <c r="CJ563"/>
  <c r="CI563"/>
  <c r="A563"/>
  <c r="CH563" s="1"/>
  <c r="AD563"/>
  <c r="U563"/>
  <c r="O563"/>
  <c r="AT107"/>
  <c r="EM107"/>
  <c r="EJ107"/>
  <c r="EP107"/>
  <c r="DX107"/>
  <c r="EG107"/>
  <c r="DO107"/>
  <c r="DB107"/>
  <c r="DP107" s="1"/>
  <c r="CM107"/>
  <c r="CL107"/>
  <c r="CK107"/>
  <c r="CJ107"/>
  <c r="CI107"/>
  <c r="A107"/>
  <c r="CH107"/>
  <c r="AD107"/>
  <c r="U107"/>
  <c r="O107"/>
  <c r="AT115"/>
  <c r="EM115"/>
  <c r="EJ115"/>
  <c r="EP115"/>
  <c r="DX115"/>
  <c r="EG115"/>
  <c r="DO115"/>
  <c r="DB115"/>
  <c r="DP115" s="1"/>
  <c r="CM115"/>
  <c r="CL115"/>
  <c r="CK115"/>
  <c r="CJ115"/>
  <c r="CI115"/>
  <c r="A115"/>
  <c r="CH115"/>
  <c r="AD115"/>
  <c r="U115"/>
  <c r="O115"/>
  <c r="AT370"/>
  <c r="AF370"/>
  <c r="EQ370"/>
  <c r="EM370"/>
  <c r="EJ370"/>
  <c r="DX370"/>
  <c r="EG370"/>
  <c r="DO370"/>
  <c r="DB370"/>
  <c r="DP370" s="1"/>
  <c r="CO370"/>
  <c r="CM370"/>
  <c r="CL370"/>
  <c r="CK370"/>
  <c r="CJ370"/>
  <c r="CI370"/>
  <c r="A370"/>
  <c r="CH370"/>
  <c r="AD370"/>
  <c r="AB370"/>
  <c r="U370"/>
  <c r="O370"/>
  <c r="P108" i="51061"/>
  <c r="P107"/>
  <c r="P106"/>
  <c r="P104"/>
  <c r="P102"/>
  <c r="P101"/>
  <c r="P100"/>
  <c r="P98"/>
  <c r="P97"/>
  <c r="P96"/>
  <c r="P95"/>
  <c r="P94"/>
  <c r="P92"/>
  <c r="P91"/>
  <c r="P90"/>
  <c r="P89"/>
  <c r="P88"/>
  <c r="P86"/>
  <c r="P85"/>
  <c r="P84"/>
  <c r="P83"/>
  <c r="P82"/>
  <c r="P80"/>
  <c r="P79"/>
  <c r="P78"/>
  <c r="P77"/>
  <c r="P76"/>
  <c r="P74"/>
  <c r="P73"/>
  <c r="P72"/>
  <c r="P71"/>
  <c r="P70"/>
  <c r="P69"/>
  <c r="P68"/>
  <c r="P67"/>
  <c r="P65"/>
  <c r="P64"/>
  <c r="P63"/>
  <c r="P62"/>
  <c r="P61"/>
  <c r="P59"/>
  <c r="P58"/>
  <c r="P57"/>
  <c r="P56"/>
  <c r="P54"/>
  <c r="P53"/>
  <c r="P52"/>
  <c r="P51"/>
  <c r="P50"/>
  <c r="P48"/>
  <c r="P47"/>
  <c r="P46"/>
  <c r="P45"/>
  <c r="P44"/>
  <c r="P43"/>
  <c r="P41"/>
  <c r="P40"/>
  <c r="P39"/>
  <c r="P38"/>
  <c r="P37"/>
  <c r="P36"/>
  <c r="P35"/>
  <c r="P34"/>
  <c r="P32"/>
  <c r="P31"/>
  <c r="P30"/>
  <c r="P29"/>
  <c r="P28"/>
  <c r="P27"/>
  <c r="P26"/>
  <c r="P24"/>
  <c r="P23"/>
  <c r="P22"/>
  <c r="P21"/>
  <c r="P20"/>
  <c r="P19"/>
  <c r="P17"/>
  <c r="P16"/>
  <c r="P15"/>
  <c r="P14"/>
  <c r="P13"/>
  <c r="P12"/>
  <c r="P11"/>
  <c r="P10"/>
  <c r="P9"/>
  <c r="P8"/>
  <c r="K8"/>
  <c r="K9"/>
  <c r="K10"/>
  <c r="K11"/>
  <c r="K12"/>
  <c r="K13"/>
  <c r="K14"/>
  <c r="K15"/>
  <c r="K16"/>
  <c r="K17"/>
  <c r="K18"/>
  <c r="K19"/>
  <c r="K20"/>
  <c r="K21"/>
  <c r="K22"/>
  <c r="K23"/>
  <c r="K24"/>
  <c r="K25" s="1"/>
  <c r="K26"/>
  <c r="K27"/>
  <c r="K28"/>
  <c r="K29"/>
  <c r="K30"/>
  <c r="K31"/>
  <c r="K32"/>
  <c r="K34"/>
  <c r="K35"/>
  <c r="K36"/>
  <c r="K37"/>
  <c r="K38"/>
  <c r="K39"/>
  <c r="K40"/>
  <c r="K41"/>
  <c r="K42"/>
  <c r="K43"/>
  <c r="K44"/>
  <c r="K45"/>
  <c r="K46"/>
  <c r="K47"/>
  <c r="K48"/>
  <c r="K49" s="1"/>
  <c r="K50"/>
  <c r="K51"/>
  <c r="K52"/>
  <c r="K53"/>
  <c r="K54"/>
  <c r="K56"/>
  <c r="K57"/>
  <c r="K58"/>
  <c r="K59"/>
  <c r="K60"/>
  <c r="K61"/>
  <c r="K62"/>
  <c r="K63"/>
  <c r="K64"/>
  <c r="K65"/>
  <c r="K66"/>
  <c r="K67"/>
  <c r="K68"/>
  <c r="K69"/>
  <c r="K70"/>
  <c r="K71"/>
  <c r="K72"/>
  <c r="K73"/>
  <c r="K74"/>
  <c r="K76"/>
  <c r="K77"/>
  <c r="K78"/>
  <c r="K79"/>
  <c r="K80"/>
  <c r="K82"/>
  <c r="K83"/>
  <c r="K84"/>
  <c r="K85"/>
  <c r="K86"/>
  <c r="K88"/>
  <c r="K89"/>
  <c r="K90"/>
  <c r="K91"/>
  <c r="K92"/>
  <c r="K94"/>
  <c r="K95"/>
  <c r="K96"/>
  <c r="K97"/>
  <c r="K98"/>
  <c r="K100"/>
  <c r="K101"/>
  <c r="K102"/>
  <c r="K104"/>
  <c r="K105" s="1"/>
  <c r="K106"/>
  <c r="K107"/>
  <c r="K108"/>
  <c r="K110"/>
  <c r="K111" s="1"/>
  <c r="J8"/>
  <c r="J9"/>
  <c r="J10"/>
  <c r="J11"/>
  <c r="J12"/>
  <c r="J13"/>
  <c r="J14"/>
  <c r="J15"/>
  <c r="J16"/>
  <c r="J17"/>
  <c r="J19"/>
  <c r="J20"/>
  <c r="J21"/>
  <c r="J22"/>
  <c r="J23"/>
  <c r="J24"/>
  <c r="J25"/>
  <c r="J26"/>
  <c r="J27"/>
  <c r="J28"/>
  <c r="J29"/>
  <c r="J30"/>
  <c r="J31"/>
  <c r="J32"/>
  <c r="J33" s="1"/>
  <c r="J34"/>
  <c r="J35"/>
  <c r="J36"/>
  <c r="J37"/>
  <c r="J38"/>
  <c r="J39"/>
  <c r="J40"/>
  <c r="J41"/>
  <c r="J43"/>
  <c r="J44"/>
  <c r="J45"/>
  <c r="J46"/>
  <c r="J47"/>
  <c r="J48"/>
  <c r="J49"/>
  <c r="J50"/>
  <c r="J51"/>
  <c r="J52"/>
  <c r="J53"/>
  <c r="J54"/>
  <c r="J55" s="1"/>
  <c r="J56"/>
  <c r="J57"/>
  <c r="J58"/>
  <c r="J59"/>
  <c r="J61"/>
  <c r="J62"/>
  <c r="J63"/>
  <c r="J64"/>
  <c r="J65"/>
  <c r="J67"/>
  <c r="J68"/>
  <c r="J69"/>
  <c r="J70"/>
  <c r="J71"/>
  <c r="J72"/>
  <c r="J75" s="1"/>
  <c r="J73"/>
  <c r="J74"/>
  <c r="J76"/>
  <c r="J81" s="1"/>
  <c r="J77"/>
  <c r="J78"/>
  <c r="J79"/>
  <c r="J80"/>
  <c r="J82"/>
  <c r="J87" s="1"/>
  <c r="J83"/>
  <c r="J84"/>
  <c r="J85"/>
  <c r="J86"/>
  <c r="J88"/>
  <c r="J93" s="1"/>
  <c r="J89"/>
  <c r="J90"/>
  <c r="J91"/>
  <c r="J92"/>
  <c r="J94"/>
  <c r="J99" s="1"/>
  <c r="J95"/>
  <c r="J96"/>
  <c r="J97"/>
  <c r="J98"/>
  <c r="J100"/>
  <c r="J103" s="1"/>
  <c r="J101"/>
  <c r="J102"/>
  <c r="J104"/>
  <c r="J105" s="1"/>
  <c r="J106"/>
  <c r="J109" s="1"/>
  <c r="J107"/>
  <c r="J108"/>
  <c r="J110"/>
  <c r="J111" s="1"/>
  <c r="I110"/>
  <c r="I111" s="1"/>
  <c r="AG111" s="1"/>
  <c r="J7"/>
  <c r="K7" s="1"/>
  <c r="L7" s="1"/>
  <c r="M7" s="1"/>
  <c r="N7" s="1"/>
  <c r="O7" s="1"/>
  <c r="P7" s="1"/>
  <c r="Q7" s="1"/>
  <c r="R7" s="1"/>
  <c r="S7" s="1"/>
  <c r="T7" s="1"/>
  <c r="U7" s="1"/>
  <c r="V7" s="1"/>
  <c r="W7" s="1"/>
  <c r="X7" s="1"/>
  <c r="Y7" s="1"/>
  <c r="Z7" s="1"/>
  <c r="AA7" s="1"/>
  <c r="AB7" s="1"/>
  <c r="AC7" s="1"/>
  <c r="AD7" s="1"/>
  <c r="AE7" s="1"/>
  <c r="I102"/>
  <c r="I95"/>
  <c r="I77"/>
  <c r="I74"/>
  <c r="I51"/>
  <c r="I38"/>
  <c r="I32"/>
  <c r="I28"/>
  <c r="I24"/>
  <c r="I23"/>
  <c r="I20"/>
  <c r="DX12" i="51055"/>
  <c r="EG12"/>
  <c r="EG742" s="1"/>
  <c r="DX13"/>
  <c r="EG13"/>
  <c r="DX14"/>
  <c r="EG14"/>
  <c r="DX15"/>
  <c r="EG15"/>
  <c r="DX16"/>
  <c r="EG16"/>
  <c r="DX17"/>
  <c r="EG17"/>
  <c r="DX18"/>
  <c r="EG18"/>
  <c r="DX19"/>
  <c r="EG19"/>
  <c r="DX20"/>
  <c r="EG20"/>
  <c r="DX21"/>
  <c r="EG21"/>
  <c r="DX22"/>
  <c r="EG22"/>
  <c r="DX23"/>
  <c r="EG23"/>
  <c r="DX24"/>
  <c r="EG24"/>
  <c r="DX25"/>
  <c r="EG25"/>
  <c r="DX26"/>
  <c r="EG26"/>
  <c r="DX27"/>
  <c r="EG27"/>
  <c r="DX28"/>
  <c r="EG28"/>
  <c r="DX31"/>
  <c r="EG31"/>
  <c r="DX32"/>
  <c r="EG32"/>
  <c r="DX34"/>
  <c r="EG34"/>
  <c r="DX35"/>
  <c r="EG35"/>
  <c r="DX36"/>
  <c r="EG36"/>
  <c r="DX37"/>
  <c r="EG37"/>
  <c r="DX38"/>
  <c r="EG38"/>
  <c r="DX39"/>
  <c r="EG39"/>
  <c r="DX40"/>
  <c r="EG40"/>
  <c r="DX41"/>
  <c r="EG41"/>
  <c r="DX42"/>
  <c r="EG42"/>
  <c r="DX45"/>
  <c r="EG45"/>
  <c r="DX46"/>
  <c r="EG46"/>
  <c r="DX47"/>
  <c r="EG47"/>
  <c r="DX48"/>
  <c r="EG48"/>
  <c r="DX49"/>
  <c r="EG49"/>
  <c r="DX51"/>
  <c r="EG51"/>
  <c r="DX52"/>
  <c r="EG52"/>
  <c r="DX53"/>
  <c r="EG53"/>
  <c r="DX54"/>
  <c r="EG54"/>
  <c r="DX55"/>
  <c r="EG55"/>
  <c r="DX56"/>
  <c r="EG56"/>
  <c r="DX57"/>
  <c r="EG57"/>
  <c r="DX58"/>
  <c r="EG58"/>
  <c r="DX59"/>
  <c r="EG59"/>
  <c r="DX60"/>
  <c r="EG60"/>
  <c r="DX61"/>
  <c r="EG61"/>
  <c r="DX62"/>
  <c r="EG62"/>
  <c r="DX63"/>
  <c r="EG63"/>
  <c r="DX66"/>
  <c r="EG66"/>
  <c r="DX67"/>
  <c r="EG67"/>
  <c r="DX68"/>
  <c r="EG68"/>
  <c r="DX69"/>
  <c r="EG69"/>
  <c r="DX72"/>
  <c r="EG72"/>
  <c r="DX73"/>
  <c r="EG73"/>
  <c r="DX74"/>
  <c r="EG74"/>
  <c r="DX77"/>
  <c r="EG77"/>
  <c r="DX80"/>
  <c r="EG80"/>
  <c r="DX81"/>
  <c r="EG81"/>
  <c r="DX82"/>
  <c r="EG82"/>
  <c r="DX85"/>
  <c r="EG85"/>
  <c r="DX86"/>
  <c r="EG86"/>
  <c r="DX88"/>
  <c r="EG88"/>
  <c r="DX89"/>
  <c r="EG89"/>
  <c r="DX90"/>
  <c r="EG90"/>
  <c r="DX91"/>
  <c r="EG91"/>
  <c r="DX92"/>
  <c r="EG92"/>
  <c r="DX94"/>
  <c r="EG94"/>
  <c r="DX95"/>
  <c r="EG95"/>
  <c r="DX96"/>
  <c r="EG96"/>
  <c r="DX97"/>
  <c r="EG97"/>
  <c r="DX98"/>
  <c r="EG98"/>
  <c r="DX99"/>
  <c r="EG99"/>
  <c r="DX100"/>
  <c r="EG100"/>
  <c r="DX101"/>
  <c r="EG101"/>
  <c r="DX102"/>
  <c r="EG102"/>
  <c r="DX103"/>
  <c r="EG103"/>
  <c r="DX104"/>
  <c r="EG104"/>
  <c r="DX105"/>
  <c r="EG105"/>
  <c r="DX106"/>
  <c r="EG106"/>
  <c r="DX108"/>
  <c r="EG108"/>
  <c r="DX109"/>
  <c r="EG109"/>
  <c r="DX110"/>
  <c r="EG110"/>
  <c r="DX111"/>
  <c r="EG111"/>
  <c r="DX112"/>
  <c r="EG112"/>
  <c r="DX113"/>
  <c r="EG113"/>
  <c r="DX114"/>
  <c r="EG114"/>
  <c r="DX116"/>
  <c r="EG116"/>
  <c r="DX117"/>
  <c r="EG117"/>
  <c r="DX118"/>
  <c r="EG118"/>
  <c r="DX119"/>
  <c r="EG119"/>
  <c r="DX120"/>
  <c r="EG120"/>
  <c r="DX121"/>
  <c r="EG121"/>
  <c r="DX122"/>
  <c r="EG122"/>
  <c r="DX123"/>
  <c r="EG123"/>
  <c r="DX124"/>
  <c r="EG124"/>
  <c r="DX127"/>
  <c r="EG127"/>
  <c r="DX128"/>
  <c r="EG128"/>
  <c r="DX129"/>
  <c r="EG129"/>
  <c r="DX130"/>
  <c r="EG130"/>
  <c r="DX131"/>
  <c r="EG131"/>
  <c r="DX134"/>
  <c r="EG134"/>
  <c r="DX136"/>
  <c r="EG136"/>
  <c r="DX137"/>
  <c r="EG137"/>
  <c r="DX138"/>
  <c r="EG138"/>
  <c r="DX139"/>
  <c r="EG139"/>
  <c r="DX140"/>
  <c r="EG140"/>
  <c r="DX141"/>
  <c r="EG141"/>
  <c r="DX142"/>
  <c r="EG142"/>
  <c r="DX143"/>
  <c r="EG143"/>
  <c r="DX144"/>
  <c r="EG144"/>
  <c r="DX147"/>
  <c r="EG147"/>
  <c r="DX148"/>
  <c r="EG148"/>
  <c r="DX149"/>
  <c r="EG149"/>
  <c r="DX150"/>
  <c r="EG150"/>
  <c r="DX151"/>
  <c r="EG151"/>
  <c r="DX152"/>
  <c r="EG152"/>
  <c r="DX153"/>
  <c r="EG153"/>
  <c r="DX154"/>
  <c r="EG154"/>
  <c r="DX155"/>
  <c r="EG155"/>
  <c r="DX156"/>
  <c r="EG156"/>
  <c r="DX157"/>
  <c r="EG157"/>
  <c r="DX158"/>
  <c r="EG158"/>
  <c r="DX159"/>
  <c r="EG159"/>
  <c r="DX160"/>
  <c r="EG160"/>
  <c r="DX161"/>
  <c r="EG161"/>
  <c r="DX162"/>
  <c r="EG162"/>
  <c r="DX163"/>
  <c r="EG163"/>
  <c r="DX164"/>
  <c r="EG164"/>
  <c r="DX165"/>
  <c r="EG165"/>
  <c r="DX166"/>
  <c r="EG166"/>
  <c r="DX167"/>
  <c r="EG167"/>
  <c r="DX168"/>
  <c r="EG168"/>
  <c r="DX169"/>
  <c r="EG169"/>
  <c r="DX170"/>
  <c r="EG170"/>
  <c r="DX171"/>
  <c r="EG171"/>
  <c r="DX172"/>
  <c r="EG172"/>
  <c r="DX173"/>
  <c r="EG173"/>
  <c r="DX174"/>
  <c r="EG174"/>
  <c r="DX177"/>
  <c r="EG177"/>
  <c r="DX178"/>
  <c r="EG178"/>
  <c r="DX179"/>
  <c r="EG179"/>
  <c r="DX180"/>
  <c r="EG180"/>
  <c r="DX181"/>
  <c r="EG181"/>
  <c r="DX182"/>
  <c r="EG182"/>
  <c r="DX183"/>
  <c r="EG183"/>
  <c r="DX186"/>
  <c r="EG186"/>
  <c r="DX187"/>
  <c r="EG187"/>
  <c r="DX188"/>
  <c r="EG188"/>
  <c r="DX189"/>
  <c r="EG189"/>
  <c r="DX190"/>
  <c r="EG190"/>
  <c r="DX191"/>
  <c r="EG191"/>
  <c r="DX192"/>
  <c r="EG192"/>
  <c r="DX193"/>
  <c r="EG193"/>
  <c r="DX194"/>
  <c r="EG194"/>
  <c r="DX195"/>
  <c r="EG195"/>
  <c r="DX196"/>
  <c r="EG196"/>
  <c r="DX197"/>
  <c r="EG197"/>
  <c r="DX198"/>
  <c r="EG198"/>
  <c r="DX199"/>
  <c r="EG199"/>
  <c r="DX200"/>
  <c r="EG200"/>
  <c r="DX201"/>
  <c r="EG201"/>
  <c r="DX202"/>
  <c r="EG202"/>
  <c r="DX203"/>
  <c r="EG203"/>
  <c r="DX205"/>
  <c r="EG205"/>
  <c r="DX206"/>
  <c r="EG206"/>
  <c r="DX207"/>
  <c r="EG207"/>
  <c r="DX208"/>
  <c r="EG208"/>
  <c r="DX209"/>
  <c r="EG209"/>
  <c r="DX210"/>
  <c r="EG210"/>
  <c r="DX211"/>
  <c r="EG211"/>
  <c r="DX212"/>
  <c r="EG212"/>
  <c r="DX213"/>
  <c r="EG213"/>
  <c r="DX214"/>
  <c r="EG214"/>
  <c r="DX215"/>
  <c r="EG215"/>
  <c r="DX216"/>
  <c r="EG216"/>
  <c r="DX217"/>
  <c r="EG217"/>
  <c r="DX218"/>
  <c r="EG218"/>
  <c r="DX219"/>
  <c r="EG219"/>
  <c r="DX220"/>
  <c r="EG220"/>
  <c r="DX221"/>
  <c r="EG221"/>
  <c r="DX222"/>
  <c r="EG222"/>
  <c r="DX223"/>
  <c r="EG223"/>
  <c r="DX224"/>
  <c r="EG224"/>
  <c r="DX225"/>
  <c r="EG225"/>
  <c r="DX226"/>
  <c r="EG226"/>
  <c r="DX227"/>
  <c r="EG227"/>
  <c r="DX232"/>
  <c r="EG232"/>
  <c r="DX229"/>
  <c r="EG229"/>
  <c r="DX233"/>
  <c r="EG233"/>
  <c r="DX234"/>
  <c r="EG234"/>
  <c r="DX235"/>
  <c r="EG235"/>
  <c r="DX236"/>
  <c r="EG236"/>
  <c r="DX237"/>
  <c r="EG237"/>
  <c r="DX238"/>
  <c r="EG238"/>
  <c r="DX239"/>
  <c r="EG239"/>
  <c r="DX240"/>
  <c r="EG240"/>
  <c r="DX241"/>
  <c r="EG241"/>
  <c r="DX242"/>
  <c r="EG242"/>
  <c r="DX243"/>
  <c r="EG243"/>
  <c r="DX244"/>
  <c r="EG244"/>
  <c r="DX245"/>
  <c r="EG245"/>
  <c r="DX246"/>
  <c r="EG246"/>
  <c r="DX247"/>
  <c r="EG247"/>
  <c r="DX248"/>
  <c r="EG248"/>
  <c r="DX249"/>
  <c r="EG249"/>
  <c r="DX250"/>
  <c r="EG250"/>
  <c r="DX251"/>
  <c r="EG251"/>
  <c r="DX252"/>
  <c r="EG252"/>
  <c r="DX253"/>
  <c r="EG253"/>
  <c r="DX254"/>
  <c r="EG254"/>
  <c r="DX255"/>
  <c r="EG255"/>
  <c r="DX256"/>
  <c r="EG256"/>
  <c r="DX257"/>
  <c r="EG257"/>
  <c r="DX258"/>
  <c r="EG258"/>
  <c r="DX259"/>
  <c r="EG259"/>
  <c r="DX260"/>
  <c r="EG260"/>
  <c r="DX261"/>
  <c r="EG261"/>
  <c r="DX262"/>
  <c r="EG262"/>
  <c r="DX263"/>
  <c r="EG263"/>
  <c r="DX264"/>
  <c r="EG264"/>
  <c r="DX265"/>
  <c r="EG265"/>
  <c r="DX268"/>
  <c r="EG268"/>
  <c r="DX269"/>
  <c r="EG269"/>
  <c r="DX270"/>
  <c r="EG270"/>
  <c r="DX267"/>
  <c r="EG267"/>
  <c r="DX271"/>
  <c r="EG271"/>
  <c r="DX266"/>
  <c r="EG266"/>
  <c r="DX272"/>
  <c r="EG272"/>
  <c r="DX273"/>
  <c r="EG273"/>
  <c r="DX274"/>
  <c r="EG274"/>
  <c r="DX275"/>
  <c r="EG275"/>
  <c r="DX276"/>
  <c r="EG276"/>
  <c r="DX284"/>
  <c r="EG284"/>
  <c r="DX277"/>
  <c r="EG277"/>
  <c r="DX278"/>
  <c r="EG278"/>
  <c r="DX279"/>
  <c r="EG279"/>
  <c r="DX280"/>
  <c r="EG280"/>
  <c r="DX281"/>
  <c r="EG281"/>
  <c r="DX282"/>
  <c r="EG282"/>
  <c r="DX283"/>
  <c r="EG283"/>
  <c r="DX285"/>
  <c r="EG285"/>
  <c r="DX286"/>
  <c r="EG286"/>
  <c r="DX287"/>
  <c r="EG287"/>
  <c r="DX288"/>
  <c r="EG288"/>
  <c r="DX289"/>
  <c r="EG289"/>
  <c r="DX290"/>
  <c r="EG290"/>
  <c r="DX291"/>
  <c r="EG291"/>
  <c r="DX292"/>
  <c r="EG292"/>
  <c r="DX293"/>
  <c r="EG293"/>
  <c r="DX294"/>
  <c r="EG294"/>
  <c r="DX295"/>
  <c r="EG295"/>
  <c r="DX296"/>
  <c r="EG296"/>
  <c r="DX297"/>
  <c r="EG297"/>
  <c r="DX298"/>
  <c r="EG298"/>
  <c r="DX301"/>
  <c r="EG301"/>
  <c r="DX302"/>
  <c r="EG302"/>
  <c r="DX303"/>
  <c r="EG303"/>
  <c r="DX306"/>
  <c r="EG306"/>
  <c r="DX307"/>
  <c r="EG307"/>
  <c r="DX308"/>
  <c r="EG308"/>
  <c r="DX309"/>
  <c r="EG309"/>
  <c r="DX310"/>
  <c r="EG310"/>
  <c r="DX311"/>
  <c r="EG311"/>
  <c r="DX313"/>
  <c r="EG313"/>
  <c r="DX312"/>
  <c r="EG312"/>
  <c r="DX314"/>
  <c r="EG314"/>
  <c r="DX315"/>
  <c r="EG315"/>
  <c r="DX316"/>
  <c r="EG316"/>
  <c r="DX317"/>
  <c r="EG317"/>
  <c r="DX318"/>
  <c r="EG318"/>
  <c r="DX319"/>
  <c r="EG319"/>
  <c r="DX320"/>
  <c r="EG320"/>
  <c r="DX322"/>
  <c r="EG322"/>
  <c r="DX323"/>
  <c r="EG323"/>
  <c r="DX321"/>
  <c r="EG321"/>
  <c r="DX324"/>
  <c r="EG324"/>
  <c r="DX325"/>
  <c r="EG325"/>
  <c r="DX326"/>
  <c r="EG326"/>
  <c r="DX327"/>
  <c r="EG327"/>
  <c r="DX328"/>
  <c r="EG328"/>
  <c r="DX329"/>
  <c r="EG329"/>
  <c r="DX330"/>
  <c r="EG330"/>
  <c r="DX331"/>
  <c r="EG331"/>
  <c r="DX332"/>
  <c r="EG332"/>
  <c r="DX333"/>
  <c r="EG333"/>
  <c r="DX334"/>
  <c r="EG334"/>
  <c r="DX335"/>
  <c r="EG335"/>
  <c r="DX336"/>
  <c r="EG336"/>
  <c r="DX337"/>
  <c r="EG337"/>
  <c r="DX338"/>
  <c r="EG338"/>
  <c r="DX339"/>
  <c r="EG339"/>
  <c r="DX340"/>
  <c r="EG340"/>
  <c r="DX341"/>
  <c r="EG341"/>
  <c r="DX342"/>
  <c r="EG342"/>
  <c r="DX343"/>
  <c r="EG343"/>
  <c r="DX344"/>
  <c r="EG344"/>
  <c r="DX345"/>
  <c r="EG345"/>
  <c r="DX346"/>
  <c r="EG346"/>
  <c r="DX347"/>
  <c r="EG347"/>
  <c r="DX348"/>
  <c r="EG348"/>
  <c r="DX349"/>
  <c r="EG349"/>
  <c r="DX350"/>
  <c r="EG350"/>
  <c r="DX351"/>
  <c r="EG351"/>
  <c r="DX352"/>
  <c r="EG352"/>
  <c r="DX353"/>
  <c r="EG353"/>
  <c r="DX354"/>
  <c r="EG354"/>
  <c r="DX355"/>
  <c r="EG355"/>
  <c r="DX356"/>
  <c r="EG356"/>
  <c r="DX357"/>
  <c r="EG357"/>
  <c r="DX358"/>
  <c r="EG358"/>
  <c r="DX359"/>
  <c r="EG359"/>
  <c r="DX360"/>
  <c r="EG360"/>
  <c r="DX361"/>
  <c r="EG361"/>
  <c r="DX362"/>
  <c r="EG362"/>
  <c r="DX363"/>
  <c r="EG363"/>
  <c r="DX364"/>
  <c r="EG364"/>
  <c r="DX365"/>
  <c r="EG365"/>
  <c r="DX366"/>
  <c r="EG366"/>
  <c r="DX367"/>
  <c r="EG367"/>
  <c r="DX368"/>
  <c r="EG368"/>
  <c r="DX369"/>
  <c r="EG369"/>
  <c r="DX371"/>
  <c r="EG371"/>
  <c r="DX372"/>
  <c r="EG372"/>
  <c r="DX374"/>
  <c r="EG374"/>
  <c r="DX375"/>
  <c r="EG375"/>
  <c r="DX376"/>
  <c r="EG376"/>
  <c r="DX377"/>
  <c r="EG377"/>
  <c r="DX379"/>
  <c r="EG379"/>
  <c r="DX380"/>
  <c r="EG380"/>
  <c r="DX381"/>
  <c r="EG381"/>
  <c r="DX378"/>
  <c r="EG378"/>
  <c r="DX382"/>
  <c r="EG382"/>
  <c r="DX383"/>
  <c r="EG383"/>
  <c r="DX384"/>
  <c r="EG384"/>
  <c r="DX385"/>
  <c r="EG385"/>
  <c r="DX386"/>
  <c r="EG386"/>
  <c r="DX387"/>
  <c r="EG387"/>
  <c r="DX393"/>
  <c r="EG393"/>
  <c r="DX388"/>
  <c r="EG388"/>
  <c r="DX389"/>
  <c r="EG389"/>
  <c r="DX390"/>
  <c r="EG390"/>
  <c r="DX391"/>
  <c r="EG391"/>
  <c r="DX392"/>
  <c r="EG392"/>
  <c r="DX394"/>
  <c r="EG394"/>
  <c r="DX395"/>
  <c r="EG395"/>
  <c r="DX396"/>
  <c r="EG396"/>
  <c r="DX397"/>
  <c r="EG397"/>
  <c r="DX398"/>
  <c r="EG398"/>
  <c r="DX399"/>
  <c r="EG399"/>
  <c r="DX402"/>
  <c r="EG402"/>
  <c r="DX403"/>
  <c r="EG403"/>
  <c r="DX404"/>
  <c r="EG404"/>
  <c r="DX405"/>
  <c r="EG405"/>
  <c r="DX406"/>
  <c r="EG406"/>
  <c r="DX407"/>
  <c r="EG407"/>
  <c r="DX408"/>
  <c r="EG408"/>
  <c r="DX409"/>
  <c r="EG409"/>
  <c r="DX410"/>
  <c r="EG410"/>
  <c r="DX411"/>
  <c r="EG411"/>
  <c r="DX412"/>
  <c r="EG412"/>
  <c r="DX413"/>
  <c r="EG413"/>
  <c r="DX414"/>
  <c r="EG414"/>
  <c r="DX415"/>
  <c r="EG415"/>
  <c r="DX416"/>
  <c r="EG416"/>
  <c r="DX417"/>
  <c r="EG417"/>
  <c r="DX418"/>
  <c r="EG418"/>
  <c r="DX419"/>
  <c r="EG419"/>
  <c r="DX420"/>
  <c r="EG420"/>
  <c r="DX421"/>
  <c r="EG421"/>
  <c r="DX422"/>
  <c r="EG422"/>
  <c r="DX423"/>
  <c r="EG423"/>
  <c r="DX424"/>
  <c r="EG424"/>
  <c r="DX425"/>
  <c r="EG425"/>
  <c r="DX426"/>
  <c r="EG426"/>
  <c r="DX429"/>
  <c r="EG429"/>
  <c r="DX430"/>
  <c r="EG430"/>
  <c r="DX431"/>
  <c r="EG431"/>
  <c r="DX432"/>
  <c r="EG432"/>
  <c r="DX433"/>
  <c r="EG433"/>
  <c r="DX434"/>
  <c r="EG434"/>
  <c r="DX436"/>
  <c r="EG436"/>
  <c r="DX437"/>
  <c r="EG437"/>
  <c r="DX438"/>
  <c r="EG438"/>
  <c r="DX439"/>
  <c r="EG439"/>
  <c r="DX440"/>
  <c r="EG440"/>
  <c r="DX441"/>
  <c r="EG441"/>
  <c r="DX442"/>
  <c r="EG442"/>
  <c r="DX443"/>
  <c r="EG443"/>
  <c r="DX444"/>
  <c r="EG444"/>
  <c r="DX445"/>
  <c r="EG445"/>
  <c r="DX446"/>
  <c r="EG446"/>
  <c r="DX447"/>
  <c r="EG447"/>
  <c r="DX448"/>
  <c r="EG448"/>
  <c r="DX449"/>
  <c r="EG449"/>
  <c r="DX450"/>
  <c r="EG450"/>
  <c r="DX451"/>
  <c r="EG451"/>
  <c r="DX454"/>
  <c r="EG454"/>
  <c r="DX455"/>
  <c r="EG455"/>
  <c r="DX456"/>
  <c r="EG456"/>
  <c r="DX457"/>
  <c r="EG457"/>
  <c r="DX458"/>
  <c r="EG458"/>
  <c r="DX459"/>
  <c r="EG459"/>
  <c r="DX460"/>
  <c r="EG460"/>
  <c r="DX461"/>
  <c r="EG461"/>
  <c r="DX464"/>
  <c r="EG464"/>
  <c r="DX465"/>
  <c r="EG465"/>
  <c r="DX466"/>
  <c r="EG466"/>
  <c r="DX467"/>
  <c r="EG467"/>
  <c r="DX468"/>
  <c r="EG468"/>
  <c r="DX469"/>
  <c r="EG469"/>
  <c r="DX470"/>
  <c r="EG470"/>
  <c r="DX471"/>
  <c r="EG471"/>
  <c r="DX472"/>
  <c r="EG472"/>
  <c r="DX473"/>
  <c r="EG473"/>
  <c r="DX474"/>
  <c r="EG474"/>
  <c r="DX475"/>
  <c r="EG475"/>
  <c r="DX476"/>
  <c r="EG476"/>
  <c r="DX477"/>
  <c r="EG477"/>
  <c r="DX478"/>
  <c r="EG478"/>
  <c r="DX479"/>
  <c r="EG479"/>
  <c r="DX480"/>
  <c r="EG480"/>
  <c r="DX481"/>
  <c r="EG481"/>
  <c r="DX482"/>
  <c r="EG482"/>
  <c r="DX483"/>
  <c r="EG483"/>
  <c r="DX484"/>
  <c r="EG484"/>
  <c r="DX485"/>
  <c r="EG485"/>
  <c r="DX486"/>
  <c r="EG486"/>
  <c r="DX487"/>
  <c r="EG487"/>
  <c r="DX488"/>
  <c r="EG488"/>
  <c r="DX489"/>
  <c r="EG489"/>
  <c r="DX490"/>
  <c r="EG490"/>
  <c r="DX491"/>
  <c r="EG491"/>
  <c r="DX492"/>
  <c r="EG492"/>
  <c r="DX493"/>
  <c r="EG493"/>
  <c r="DX494"/>
  <c r="EG494"/>
  <c r="DX495"/>
  <c r="EG495"/>
  <c r="DX496"/>
  <c r="EG496"/>
  <c r="DX497"/>
  <c r="EG497"/>
  <c r="DX498"/>
  <c r="EG498"/>
  <c r="DX499"/>
  <c r="EG499"/>
  <c r="DX500"/>
  <c r="EG500"/>
  <c r="DX501"/>
  <c r="EG501"/>
  <c r="DX502"/>
  <c r="EG502"/>
  <c r="DX503"/>
  <c r="EG503"/>
  <c r="DX504"/>
  <c r="EG504"/>
  <c r="DX505"/>
  <c r="EG505"/>
  <c r="DX506"/>
  <c r="EG506"/>
  <c r="DX508"/>
  <c r="EG508"/>
  <c r="DX509"/>
  <c r="EG509"/>
  <c r="DX510"/>
  <c r="EG510"/>
  <c r="DX511"/>
  <c r="EG511"/>
  <c r="DX513"/>
  <c r="EG513"/>
  <c r="DX514"/>
  <c r="EG514"/>
  <c r="DX515"/>
  <c r="EG515"/>
  <c r="DX516"/>
  <c r="EG516"/>
  <c r="DX517"/>
  <c r="EG517"/>
  <c r="DX518"/>
  <c r="EG518"/>
  <c r="DX519"/>
  <c r="EG519"/>
  <c r="DX520"/>
  <c r="EG520"/>
  <c r="DX521"/>
  <c r="EG521"/>
  <c r="DX522"/>
  <c r="EG522"/>
  <c r="DX523"/>
  <c r="EG523"/>
  <c r="DX524"/>
  <c r="EG524"/>
  <c r="DX525"/>
  <c r="EG525"/>
  <c r="DX526"/>
  <c r="EG526"/>
  <c r="DX527"/>
  <c r="EG527"/>
  <c r="DX528"/>
  <c r="EG528"/>
  <c r="DX530"/>
  <c r="EG530"/>
  <c r="DX531"/>
  <c r="EG531"/>
  <c r="DX532"/>
  <c r="EG532"/>
  <c r="DX534"/>
  <c r="EG534"/>
  <c r="DX535"/>
  <c r="EG535"/>
  <c r="DX536"/>
  <c r="EG536"/>
  <c r="DX537"/>
  <c r="EG537"/>
  <c r="DX538"/>
  <c r="EG538"/>
  <c r="DX539"/>
  <c r="EG539"/>
  <c r="DX540"/>
  <c r="EG540"/>
  <c r="DX541"/>
  <c r="EG541"/>
  <c r="DX542"/>
  <c r="EG542"/>
  <c r="DX543"/>
  <c r="EG543"/>
  <c r="DX544"/>
  <c r="EG544"/>
  <c r="DX545"/>
  <c r="EG545"/>
  <c r="DX546"/>
  <c r="EG546"/>
  <c r="DX547"/>
  <c r="EG547"/>
  <c r="DX548"/>
  <c r="EG548"/>
  <c r="DX549"/>
  <c r="EG549"/>
  <c r="DX550"/>
  <c r="EG550"/>
  <c r="DX551"/>
  <c r="EG551"/>
  <c r="DX552"/>
  <c r="EG552"/>
  <c r="DX553"/>
  <c r="EG553"/>
  <c r="DX554"/>
  <c r="EG554"/>
  <c r="DX556"/>
  <c r="EG556"/>
  <c r="DX557"/>
  <c r="EG557"/>
  <c r="DX558"/>
  <c r="EG558"/>
  <c r="DX559"/>
  <c r="EG559"/>
  <c r="DX560"/>
  <c r="EG560"/>
  <c r="DX561"/>
  <c r="EG561"/>
  <c r="DX562"/>
  <c r="EG562"/>
  <c r="DX564"/>
  <c r="EG564"/>
  <c r="DX565"/>
  <c r="EG565"/>
  <c r="DX566"/>
  <c r="EG566"/>
  <c r="DX567"/>
  <c r="EG567"/>
  <c r="DX568"/>
  <c r="EG568"/>
  <c r="DX569"/>
  <c r="EG569"/>
  <c r="DX570"/>
  <c r="EG570"/>
  <c r="DX571"/>
  <c r="EG571"/>
  <c r="DX572"/>
  <c r="EG572"/>
  <c r="DX573"/>
  <c r="EG573"/>
  <c r="DX574"/>
  <c r="EG574"/>
  <c r="DX575"/>
  <c r="EG575"/>
  <c r="DX576"/>
  <c r="EG576"/>
  <c r="DX577"/>
  <c r="EG577"/>
  <c r="DX578"/>
  <c r="EG578"/>
  <c r="DX579"/>
  <c r="EG579"/>
  <c r="DX580"/>
  <c r="EG580"/>
  <c r="DX581"/>
  <c r="EG581"/>
  <c r="DX582"/>
  <c r="EG582"/>
  <c r="DX583"/>
  <c r="EG583"/>
  <c r="DX584"/>
  <c r="EG584"/>
  <c r="DX585"/>
  <c r="EG585"/>
  <c r="DX586"/>
  <c r="EG586"/>
  <c r="DX587"/>
  <c r="EG587"/>
  <c r="DX588"/>
  <c r="EG588"/>
  <c r="DX589"/>
  <c r="EG589"/>
  <c r="DX590"/>
  <c r="EG590"/>
  <c r="DX591"/>
  <c r="EG591"/>
  <c r="DX592"/>
  <c r="EG592"/>
  <c r="DX593"/>
  <c r="EG593"/>
  <c r="DX594"/>
  <c r="EG594"/>
  <c r="DX595"/>
  <c r="EG595"/>
  <c r="DX596"/>
  <c r="EG596"/>
  <c r="DX597"/>
  <c r="EG597"/>
  <c r="DX598"/>
  <c r="EG598"/>
  <c r="DX599"/>
  <c r="EG599"/>
  <c r="DX600"/>
  <c r="EG600"/>
  <c r="DX601"/>
  <c r="EG601"/>
  <c r="DX602"/>
  <c r="EG602"/>
  <c r="DX603"/>
  <c r="EG603"/>
  <c r="DX604"/>
  <c r="EG604"/>
  <c r="DX605"/>
  <c r="EG605"/>
  <c r="DX606"/>
  <c r="EG606"/>
  <c r="DX607"/>
  <c r="EG607"/>
  <c r="DX608"/>
  <c r="EG608"/>
  <c r="DX609"/>
  <c r="EG609"/>
  <c r="DX610"/>
  <c r="EG610"/>
  <c r="DX611"/>
  <c r="EG611"/>
  <c r="DX612"/>
  <c r="EG612"/>
  <c r="DX613"/>
  <c r="EG613"/>
  <c r="DX614"/>
  <c r="EG614"/>
  <c r="DX615"/>
  <c r="EG615"/>
  <c r="DX616"/>
  <c r="EG616"/>
  <c r="DX617"/>
  <c r="EG617"/>
  <c r="DX618"/>
  <c r="EG618"/>
  <c r="DX619"/>
  <c r="EG619"/>
  <c r="DX620"/>
  <c r="EG620"/>
  <c r="DX621"/>
  <c r="EG621"/>
  <c r="DX622"/>
  <c r="EG622"/>
  <c r="DX623"/>
  <c r="EG623"/>
  <c r="DX624"/>
  <c r="EG624"/>
  <c r="DX625"/>
  <c r="EG625"/>
  <c r="DX626"/>
  <c r="EG626"/>
  <c r="DX627"/>
  <c r="EG627"/>
  <c r="DX628"/>
  <c r="EG628"/>
  <c r="DX629"/>
  <c r="EG629"/>
  <c r="DX630"/>
  <c r="EG630"/>
  <c r="DX631"/>
  <c r="EG631"/>
  <c r="DX632"/>
  <c r="EG632"/>
  <c r="DX633"/>
  <c r="EG633"/>
  <c r="DX636"/>
  <c r="EG636"/>
  <c r="DX637"/>
  <c r="EG637"/>
  <c r="DX638"/>
  <c r="EG638"/>
  <c r="DX639"/>
  <c r="EG639"/>
  <c r="DX640"/>
  <c r="EG640"/>
  <c r="DX641"/>
  <c r="EG641"/>
  <c r="DX642"/>
  <c r="EG642"/>
  <c r="DX643"/>
  <c r="EG643"/>
  <c r="DX644"/>
  <c r="EG644"/>
  <c r="DX645"/>
  <c r="EG645"/>
  <c r="DX646"/>
  <c r="EG646"/>
  <c r="DX647"/>
  <c r="EG647"/>
  <c r="DX648"/>
  <c r="EG648"/>
  <c r="DX649"/>
  <c r="EG649"/>
  <c r="DX650"/>
  <c r="EG650"/>
  <c r="DX651"/>
  <c r="EG651"/>
  <c r="DX652"/>
  <c r="EG652"/>
  <c r="DX653"/>
  <c r="EG653"/>
  <c r="DX654"/>
  <c r="EG654"/>
  <c r="DX655"/>
  <c r="EG655"/>
  <c r="DX657"/>
  <c r="EG657"/>
  <c r="DX658"/>
  <c r="EG658"/>
  <c r="DX659"/>
  <c r="EG659"/>
  <c r="DX660"/>
  <c r="EG660"/>
  <c r="DX661"/>
  <c r="EG661"/>
  <c r="DX662"/>
  <c r="EG662"/>
  <c r="DX663"/>
  <c r="EG663"/>
  <c r="DX664"/>
  <c r="EG664"/>
  <c r="DX665"/>
  <c r="EG665"/>
  <c r="DX666"/>
  <c r="EG666"/>
  <c r="DX667"/>
  <c r="EG667"/>
  <c r="DX668"/>
  <c r="EG668"/>
  <c r="DX671"/>
  <c r="EG671"/>
  <c r="DX672"/>
  <c r="EG672"/>
  <c r="DX673"/>
  <c r="EG673"/>
  <c r="DX669"/>
  <c r="EG669"/>
  <c r="DX670"/>
  <c r="EG670"/>
  <c r="DX674"/>
  <c r="EG674"/>
  <c r="DX675"/>
  <c r="EG675"/>
  <c r="DX676"/>
  <c r="EG676"/>
  <c r="DX677"/>
  <c r="EG677"/>
  <c r="DX678"/>
  <c r="EG678"/>
  <c r="DX679"/>
  <c r="EG679"/>
  <c r="DX681"/>
  <c r="EG681"/>
  <c r="DX682"/>
  <c r="EG682"/>
  <c r="DX688"/>
  <c r="EG688"/>
  <c r="DX689"/>
  <c r="EG689"/>
  <c r="DX683"/>
  <c r="EG683"/>
  <c r="DX684"/>
  <c r="EG684"/>
  <c r="DX685"/>
  <c r="EG685"/>
  <c r="DX686"/>
  <c r="EG686"/>
  <c r="DX690"/>
  <c r="EG690"/>
  <c r="DX692"/>
  <c r="EG692"/>
  <c r="DX693"/>
  <c r="EG693"/>
  <c r="DX695"/>
  <c r="EG695"/>
  <c r="DX698"/>
  <c r="EG698"/>
  <c r="DX701"/>
  <c r="EG701"/>
  <c r="DX702"/>
  <c r="EG702"/>
  <c r="DX703"/>
  <c r="EG703"/>
  <c r="DX705"/>
  <c r="EG705"/>
  <c r="DX704"/>
  <c r="EG704"/>
  <c r="DX706"/>
  <c r="EG706"/>
  <c r="DX707"/>
  <c r="EG707"/>
  <c r="DX708"/>
  <c r="EG708"/>
  <c r="DX709"/>
  <c r="EG709"/>
  <c r="DX710"/>
  <c r="EG710"/>
  <c r="DX711"/>
  <c r="EG711"/>
  <c r="DX712"/>
  <c r="EG712"/>
  <c r="DX713"/>
  <c r="EG713"/>
  <c r="DX714"/>
  <c r="EG714"/>
  <c r="DX715"/>
  <c r="EG715"/>
  <c r="DX716"/>
  <c r="EG716"/>
  <c r="DX717"/>
  <c r="EG717"/>
  <c r="DX718"/>
  <c r="EG718"/>
  <c r="DX719"/>
  <c r="EG719"/>
  <c r="DX720"/>
  <c r="EG720"/>
  <c r="DX721"/>
  <c r="EG721"/>
  <c r="DX722"/>
  <c r="EG722"/>
  <c r="DX723"/>
  <c r="EG723"/>
  <c r="DX724"/>
  <c r="EG724"/>
  <c r="DX725"/>
  <c r="EG725"/>
  <c r="DX726"/>
  <c r="EG726"/>
  <c r="DX732"/>
  <c r="EG732"/>
  <c r="DX728"/>
  <c r="EG728"/>
  <c r="DX729"/>
  <c r="EG729"/>
  <c r="DX730"/>
  <c r="EG730"/>
  <c r="DX731"/>
  <c r="EG731"/>
  <c r="DX735"/>
  <c r="EG735"/>
  <c r="DX737"/>
  <c r="EG737"/>
  <c r="DX738"/>
  <c r="EG738"/>
  <c r="DX740"/>
  <c r="EG740"/>
  <c r="FL744"/>
  <c r="ER744"/>
  <c r="ES744"/>
  <c r="ET744"/>
  <c r="EU744"/>
  <c r="EV744"/>
  <c r="EW744"/>
  <c r="EX744"/>
  <c r="EY744"/>
  <c r="EZ744"/>
  <c r="FA744"/>
  <c r="FB744"/>
  <c r="FC744"/>
  <c r="FD744"/>
  <c r="FE744"/>
  <c r="FF744"/>
  <c r="FG744"/>
  <c r="FH744"/>
  <c r="FI744"/>
  <c r="FJ744"/>
  <c r="FK744"/>
  <c r="AT706"/>
  <c r="AF706"/>
  <c r="EQ706"/>
  <c r="EM706"/>
  <c r="EJ706"/>
  <c r="EP706"/>
  <c r="DO706"/>
  <c r="DB706"/>
  <c r="DP706" s="1"/>
  <c r="CO706"/>
  <c r="CM706"/>
  <c r="CL706"/>
  <c r="CK706"/>
  <c r="CJ706"/>
  <c r="CI706"/>
  <c r="A706"/>
  <c r="CH706"/>
  <c r="AD706"/>
  <c r="AB706"/>
  <c r="U706"/>
  <c r="O706"/>
  <c r="AT541"/>
  <c r="AF541"/>
  <c r="EQ541"/>
  <c r="EM541"/>
  <c r="EJ541"/>
  <c r="EP541" s="1"/>
  <c r="DO541"/>
  <c r="DB541"/>
  <c r="DP541"/>
  <c r="CO541"/>
  <c r="CM541"/>
  <c r="CL541"/>
  <c r="CK541"/>
  <c r="CJ541"/>
  <c r="CI541"/>
  <c r="A541"/>
  <c r="CH541" s="1"/>
  <c r="AD541"/>
  <c r="AB541"/>
  <c r="U541"/>
  <c r="O541"/>
  <c r="U284"/>
  <c r="U111"/>
  <c r="AT726"/>
  <c r="AF726"/>
  <c r="EQ726"/>
  <c r="EM726"/>
  <c r="EJ726"/>
  <c r="EP726"/>
  <c r="DO726"/>
  <c r="DB726"/>
  <c r="DP726" s="1"/>
  <c r="CO726"/>
  <c r="CN726"/>
  <c r="CM726"/>
  <c r="CL726"/>
  <c r="CK726"/>
  <c r="CJ726"/>
  <c r="CI726"/>
  <c r="A726"/>
  <c r="CH726"/>
  <c r="AE726"/>
  <c r="AD726"/>
  <c r="AB726"/>
  <c r="AA726"/>
  <c r="U726"/>
  <c r="O726"/>
  <c r="EM399"/>
  <c r="EJ399"/>
  <c r="EP399" s="1"/>
  <c r="DO399"/>
  <c r="DB399"/>
  <c r="DP399"/>
  <c r="CM399"/>
  <c r="CL399"/>
  <c r="CK399"/>
  <c r="CJ399"/>
  <c r="CI399"/>
  <c r="A399"/>
  <c r="CH399" s="1"/>
  <c r="U399"/>
  <c r="O399"/>
  <c r="AT738"/>
  <c r="EM738"/>
  <c r="EJ738"/>
  <c r="EP738" s="1"/>
  <c r="DO738"/>
  <c r="DB738"/>
  <c r="DP738"/>
  <c r="CO738"/>
  <c r="CN738"/>
  <c r="CM738"/>
  <c r="CL738"/>
  <c r="CK738"/>
  <c r="CJ738"/>
  <c r="CI738"/>
  <c r="A738"/>
  <c r="CH738" s="1"/>
  <c r="AD738"/>
  <c r="AB738"/>
  <c r="AA738"/>
  <c r="U738"/>
  <c r="O738"/>
  <c r="AT729"/>
  <c r="AF729"/>
  <c r="EQ729"/>
  <c r="EM729"/>
  <c r="EJ729"/>
  <c r="EP729"/>
  <c r="DO729"/>
  <c r="DB729"/>
  <c r="DP729" s="1"/>
  <c r="CO729"/>
  <c r="CN729"/>
  <c r="CM729"/>
  <c r="CL729"/>
  <c r="CK729"/>
  <c r="CJ729"/>
  <c r="CI729"/>
  <c r="A729"/>
  <c r="CH729"/>
  <c r="AE729"/>
  <c r="AD729"/>
  <c r="AB729"/>
  <c r="AA729"/>
  <c r="U729"/>
  <c r="O729"/>
  <c r="EQ633"/>
  <c r="EM633"/>
  <c r="EJ633"/>
  <c r="EP633" s="1"/>
  <c r="DO633"/>
  <c r="DB633"/>
  <c r="DP633"/>
  <c r="CO633"/>
  <c r="CN633"/>
  <c r="CM633"/>
  <c r="CL633"/>
  <c r="CK633"/>
  <c r="CJ633"/>
  <c r="CI633"/>
  <c r="A633"/>
  <c r="CH633" s="1"/>
  <c r="U633"/>
  <c r="O633"/>
  <c r="U526"/>
  <c r="U501"/>
  <c r="U417"/>
  <c r="U292"/>
  <c r="U262"/>
  <c r="B62" i="16"/>
  <c r="B55"/>
  <c r="B54"/>
  <c r="B47"/>
  <c r="B46"/>
  <c r="B39"/>
  <c r="B38"/>
  <c r="AT544" i="51055"/>
  <c r="AF544"/>
  <c r="EQ544"/>
  <c r="EM544"/>
  <c r="EJ544"/>
  <c r="EP544" s="1"/>
  <c r="DO544"/>
  <c r="DB544"/>
  <c r="DP544"/>
  <c r="CO544"/>
  <c r="CM544"/>
  <c r="CL544"/>
  <c r="CK544"/>
  <c r="CJ544"/>
  <c r="CI544"/>
  <c r="A544"/>
  <c r="CH544" s="1"/>
  <c r="AD544"/>
  <c r="AB544"/>
  <c r="U544"/>
  <c r="O544"/>
  <c r="AT542"/>
  <c r="AF542"/>
  <c r="EQ542"/>
  <c r="EM542"/>
  <c r="EJ542"/>
  <c r="EP542"/>
  <c r="DO542"/>
  <c r="DB542"/>
  <c r="DP542" s="1"/>
  <c r="CO542"/>
  <c r="CM542"/>
  <c r="CL542"/>
  <c r="CK542"/>
  <c r="CJ542"/>
  <c r="CI542"/>
  <c r="A542"/>
  <c r="CH542"/>
  <c r="AD542"/>
  <c r="AB542"/>
  <c r="U542"/>
  <c r="O542"/>
  <c r="AT506"/>
  <c r="AF506"/>
  <c r="EQ506"/>
  <c r="EM506"/>
  <c r="EJ506"/>
  <c r="EP506" s="1"/>
  <c r="DO506"/>
  <c r="DB506"/>
  <c r="DP506"/>
  <c r="CO506"/>
  <c r="CM506"/>
  <c r="CL506"/>
  <c r="CK506"/>
  <c r="CJ506"/>
  <c r="CI506"/>
  <c r="A506"/>
  <c r="CH506" s="1"/>
  <c r="AD506"/>
  <c r="AB506"/>
  <c r="U506"/>
  <c r="O506"/>
  <c r="AT505"/>
  <c r="AF505"/>
  <c r="EQ505"/>
  <c r="EM505"/>
  <c r="EJ505"/>
  <c r="EP505"/>
  <c r="DO505"/>
  <c r="DB505"/>
  <c r="DP505" s="1"/>
  <c r="CO505"/>
  <c r="CM505"/>
  <c r="CL505"/>
  <c r="CK505"/>
  <c r="CJ505"/>
  <c r="CI505"/>
  <c r="A505"/>
  <c r="CH505"/>
  <c r="AD505"/>
  <c r="AB505"/>
  <c r="U505"/>
  <c r="O505"/>
  <c r="AT436"/>
  <c r="AF436"/>
  <c r="EQ436"/>
  <c r="EM436"/>
  <c r="EJ436"/>
  <c r="EP436" s="1"/>
  <c r="DO436"/>
  <c r="DB436"/>
  <c r="DP436"/>
  <c r="CO436"/>
  <c r="CM436"/>
  <c r="CL436"/>
  <c r="CK436"/>
  <c r="CJ436"/>
  <c r="CI436"/>
  <c r="A436"/>
  <c r="CH436" s="1"/>
  <c r="AD436"/>
  <c r="AB436"/>
  <c r="U436"/>
  <c r="O436"/>
  <c r="AT432"/>
  <c r="AF432"/>
  <c r="EQ432"/>
  <c r="EM432"/>
  <c r="EJ432"/>
  <c r="EP432"/>
  <c r="DO432"/>
  <c r="DB432"/>
  <c r="DP432" s="1"/>
  <c r="CO432"/>
  <c r="CM432"/>
  <c r="CL432"/>
  <c r="CK432"/>
  <c r="CJ432"/>
  <c r="CI432"/>
  <c r="A432"/>
  <c r="CH432"/>
  <c r="AD432"/>
  <c r="AB432"/>
  <c r="U432"/>
  <c r="O432"/>
  <c r="AT273"/>
  <c r="EM273"/>
  <c r="EJ273"/>
  <c r="EP273" s="1"/>
  <c r="DO273"/>
  <c r="DB273"/>
  <c r="DP273"/>
  <c r="CM273"/>
  <c r="CL273"/>
  <c r="CK273"/>
  <c r="CJ273"/>
  <c r="CI273"/>
  <c r="A273"/>
  <c r="CH273" s="1"/>
  <c r="AD273"/>
  <c r="U273"/>
  <c r="O273"/>
  <c r="AT274"/>
  <c r="AF274"/>
  <c r="EQ274"/>
  <c r="EM274"/>
  <c r="EJ274"/>
  <c r="EP274"/>
  <c r="DO274"/>
  <c r="DB274"/>
  <c r="DP274" s="1"/>
  <c r="CO274"/>
  <c r="CM274"/>
  <c r="CL274"/>
  <c r="CK274"/>
  <c r="CJ274"/>
  <c r="CI274"/>
  <c r="A274"/>
  <c r="CH274"/>
  <c r="AD274"/>
  <c r="AB274"/>
  <c r="U274"/>
  <c r="O274"/>
  <c r="U245"/>
  <c r="AT141"/>
  <c r="EM141"/>
  <c r="EJ141"/>
  <c r="EP141"/>
  <c r="DO141"/>
  <c r="DB141"/>
  <c r="DP141" s="1"/>
  <c r="CM141"/>
  <c r="CL141"/>
  <c r="CK141"/>
  <c r="CJ141"/>
  <c r="CI141"/>
  <c r="A141"/>
  <c r="CH141"/>
  <c r="AD141"/>
  <c r="U141"/>
  <c r="O141"/>
  <c r="AT108"/>
  <c r="EM108"/>
  <c r="EJ108"/>
  <c r="EP108" s="1"/>
  <c r="DO108"/>
  <c r="DB108"/>
  <c r="DP108"/>
  <c r="CM108"/>
  <c r="CL108"/>
  <c r="CK108"/>
  <c r="CJ108"/>
  <c r="CI108"/>
  <c r="A108"/>
  <c r="CH108" s="1"/>
  <c r="AD108"/>
  <c r="U108"/>
  <c r="O108"/>
  <c r="AT105"/>
  <c r="EM105"/>
  <c r="EJ105"/>
  <c r="EP105"/>
  <c r="DO105"/>
  <c r="DB105"/>
  <c r="DP105" s="1"/>
  <c r="CO105"/>
  <c r="CN105"/>
  <c r="CM105"/>
  <c r="CL105"/>
  <c r="CK105"/>
  <c r="CJ105"/>
  <c r="CI105"/>
  <c r="A105"/>
  <c r="CH105"/>
  <c r="AD105"/>
  <c r="AB105"/>
  <c r="AA105"/>
  <c r="U105"/>
  <c r="O105"/>
  <c r="AT12"/>
  <c r="EM12"/>
  <c r="EJ12"/>
  <c r="EP12" s="1"/>
  <c r="DO12"/>
  <c r="DB12"/>
  <c r="DP12"/>
  <c r="CN12"/>
  <c r="CM12"/>
  <c r="CL12"/>
  <c r="CK12"/>
  <c r="CJ12"/>
  <c r="CI12"/>
  <c r="A12"/>
  <c r="CH12" s="1"/>
  <c r="AA12"/>
  <c r="O12"/>
  <c r="AT13"/>
  <c r="AT14"/>
  <c r="AT15"/>
  <c r="AF15"/>
  <c r="AT16"/>
  <c r="AT17"/>
  <c r="AF17"/>
  <c r="AT18"/>
  <c r="AT19"/>
  <c r="AT20"/>
  <c r="AF20"/>
  <c r="AT21"/>
  <c r="AT22"/>
  <c r="AT23"/>
  <c r="AT24"/>
  <c r="AT25"/>
  <c r="AT26"/>
  <c r="AT27"/>
  <c r="AF27"/>
  <c r="AT31"/>
  <c r="AT32"/>
  <c r="AT34"/>
  <c r="AT35"/>
  <c r="AT36"/>
  <c r="AT37"/>
  <c r="AT38"/>
  <c r="AT39"/>
  <c r="AT40"/>
  <c r="AT41"/>
  <c r="AT45"/>
  <c r="AT46"/>
  <c r="AT47"/>
  <c r="AT48"/>
  <c r="AT49"/>
  <c r="AT51"/>
  <c r="AT52"/>
  <c r="AT53"/>
  <c r="AT54"/>
  <c r="AF54"/>
  <c r="AT55"/>
  <c r="AT56"/>
  <c r="AF56"/>
  <c r="AT57"/>
  <c r="AT58"/>
  <c r="AT59"/>
  <c r="AT60"/>
  <c r="AT61"/>
  <c r="AF61"/>
  <c r="AT62"/>
  <c r="AT66"/>
  <c r="AT67"/>
  <c r="AT68"/>
  <c r="AT72"/>
  <c r="AT73"/>
  <c r="AT80"/>
  <c r="AT81"/>
  <c r="AF81"/>
  <c r="AT85"/>
  <c r="AF85"/>
  <c r="AT86"/>
  <c r="AT88"/>
  <c r="AT89"/>
  <c r="AT90"/>
  <c r="AT91"/>
  <c r="AT92"/>
  <c r="AT94"/>
  <c r="AT95"/>
  <c r="AT96"/>
  <c r="AT97"/>
  <c r="AF97"/>
  <c r="AT98"/>
  <c r="AT99"/>
  <c r="AT100"/>
  <c r="AT101"/>
  <c r="AT102"/>
  <c r="AT103"/>
  <c r="AT104"/>
  <c r="AT106"/>
  <c r="AT109"/>
  <c r="AT110"/>
  <c r="AT111"/>
  <c r="AT112"/>
  <c r="AT113"/>
  <c r="AT114"/>
  <c r="AT116"/>
  <c r="AF116"/>
  <c r="AT117"/>
  <c r="AT118"/>
  <c r="AT119"/>
  <c r="AT120"/>
  <c r="AF120"/>
  <c r="AT121"/>
  <c r="AT122"/>
  <c r="AT123"/>
  <c r="AT127"/>
  <c r="AT128"/>
  <c r="AT129"/>
  <c r="AT130"/>
  <c r="AT134"/>
  <c r="AT136"/>
  <c r="AT137"/>
  <c r="AT138"/>
  <c r="AF138"/>
  <c r="AT139"/>
  <c r="AT140"/>
  <c r="AF140"/>
  <c r="AT142"/>
  <c r="AT143"/>
  <c r="AT147"/>
  <c r="AT148"/>
  <c r="AT149"/>
  <c r="AT150"/>
  <c r="AT151"/>
  <c r="AT152"/>
  <c r="AT153"/>
  <c r="AT154"/>
  <c r="AT155"/>
  <c r="AF155"/>
  <c r="AT156"/>
  <c r="AT157"/>
  <c r="AT158"/>
  <c r="AT159"/>
  <c r="AT160"/>
  <c r="AT161"/>
  <c r="AF161"/>
  <c r="AT162"/>
  <c r="AT163"/>
  <c r="AF163"/>
  <c r="AT164"/>
  <c r="AT165"/>
  <c r="AF165"/>
  <c r="AT166"/>
  <c r="AT167"/>
  <c r="AF167"/>
  <c r="AT168"/>
  <c r="AT169"/>
  <c r="AT170"/>
  <c r="AT171"/>
  <c r="AT172"/>
  <c r="AT173"/>
  <c r="AF173"/>
  <c r="AT177"/>
  <c r="AT178"/>
  <c r="AT179"/>
  <c r="AT180"/>
  <c r="AF180"/>
  <c r="AT181"/>
  <c r="AT182"/>
  <c r="AF182"/>
  <c r="AT186"/>
  <c r="AT187"/>
  <c r="AT188"/>
  <c r="AT189"/>
  <c r="AT190"/>
  <c r="AT191"/>
  <c r="AT192"/>
  <c r="AT193"/>
  <c r="AF193"/>
  <c r="AT194"/>
  <c r="AT195"/>
  <c r="AT196"/>
  <c r="AT197"/>
  <c r="AT198"/>
  <c r="AT199"/>
  <c r="AT200"/>
  <c r="AT201"/>
  <c r="AT202"/>
  <c r="AT203"/>
  <c r="AT205"/>
  <c r="AT206"/>
  <c r="AF206"/>
  <c r="AT207"/>
  <c r="AT208"/>
  <c r="AT209"/>
  <c r="AT210"/>
  <c r="AT211"/>
  <c r="AT212"/>
  <c r="AF212"/>
  <c r="AT213"/>
  <c r="AT214"/>
  <c r="AT215"/>
  <c r="AT216"/>
  <c r="AT217"/>
  <c r="AT218"/>
  <c r="AT219"/>
  <c r="AT220"/>
  <c r="AF220"/>
  <c r="AT221"/>
  <c r="AF221"/>
  <c r="AT222"/>
  <c r="AT223"/>
  <c r="AT224"/>
  <c r="AT225"/>
  <c r="AF225"/>
  <c r="AT226"/>
  <c r="AT227"/>
  <c r="AT232"/>
  <c r="AT233"/>
  <c r="AT234"/>
  <c r="AT235"/>
  <c r="AF235"/>
  <c r="AT236"/>
  <c r="AT237"/>
  <c r="AF237"/>
  <c r="AT238"/>
  <c r="AT239"/>
  <c r="AT240"/>
  <c r="AT241"/>
  <c r="AT242"/>
  <c r="AT243"/>
  <c r="AT244"/>
  <c r="AF244"/>
  <c r="AT245"/>
  <c r="AT246"/>
  <c r="AF246"/>
  <c r="AT247"/>
  <c r="AT248"/>
  <c r="AT250"/>
  <c r="AF250"/>
  <c r="AT249"/>
  <c r="AT251"/>
  <c r="AT252"/>
  <c r="AT253"/>
  <c r="AT254"/>
  <c r="AT255"/>
  <c r="AT256"/>
  <c r="AT257"/>
  <c r="AT258"/>
  <c r="AT259"/>
  <c r="AT260"/>
  <c r="AT261"/>
  <c r="AT262"/>
  <c r="AT263"/>
  <c r="AF263"/>
  <c r="AT269"/>
  <c r="AT264"/>
  <c r="AT265"/>
  <c r="AT268"/>
  <c r="AT270"/>
  <c r="AT267"/>
  <c r="AT271"/>
  <c r="AT266"/>
  <c r="AT272"/>
  <c r="AF272"/>
  <c r="AT275"/>
  <c r="AT276"/>
  <c r="AT284"/>
  <c r="AT277"/>
  <c r="AT278"/>
  <c r="AT279"/>
  <c r="AT280"/>
  <c r="AT282"/>
  <c r="AT283"/>
  <c r="AT281"/>
  <c r="AT285"/>
  <c r="AF285"/>
  <c r="AT286"/>
  <c r="AT287"/>
  <c r="AT288"/>
  <c r="AT294"/>
  <c r="AT289"/>
  <c r="AT290"/>
  <c r="AT295"/>
  <c r="AT291"/>
  <c r="AT292"/>
  <c r="AT296"/>
  <c r="AT293"/>
  <c r="AF293"/>
  <c r="AT297"/>
  <c r="AT301"/>
  <c r="AF301"/>
  <c r="AT302"/>
  <c r="AT306"/>
  <c r="AT307"/>
  <c r="AF307"/>
  <c r="AT308"/>
  <c r="AT309"/>
  <c r="AT310"/>
  <c r="AT311"/>
  <c r="AT313"/>
  <c r="AT312"/>
  <c r="AF312"/>
  <c r="AT314"/>
  <c r="AT315"/>
  <c r="AT316"/>
  <c r="AT317"/>
  <c r="AF317"/>
  <c r="AT318"/>
  <c r="AT319"/>
  <c r="AF319"/>
  <c r="AT320"/>
  <c r="AT322"/>
  <c r="AT323"/>
  <c r="AT321"/>
  <c r="AF321"/>
  <c r="AT324"/>
  <c r="AT325"/>
  <c r="AF325"/>
  <c r="AT326"/>
  <c r="AT327"/>
  <c r="AF327"/>
  <c r="AT328"/>
  <c r="AT329"/>
  <c r="AT330"/>
  <c r="AT331"/>
  <c r="AT332"/>
  <c r="AT333"/>
  <c r="AT334"/>
  <c r="AT335"/>
  <c r="AT336"/>
  <c r="AT337"/>
  <c r="AT338"/>
  <c r="AT339"/>
  <c r="AT340"/>
  <c r="AT341"/>
  <c r="AT342"/>
  <c r="AT343"/>
  <c r="AF343"/>
  <c r="AT344"/>
  <c r="AT345"/>
  <c r="AT346"/>
  <c r="AT347"/>
  <c r="AT348"/>
  <c r="AT349"/>
  <c r="AT350"/>
  <c r="AF350"/>
  <c r="AT351"/>
  <c r="AT352"/>
  <c r="AT353"/>
  <c r="AF353"/>
  <c r="AT354"/>
  <c r="AT355"/>
  <c r="AT356"/>
  <c r="AT357"/>
  <c r="AF357"/>
  <c r="AT358"/>
  <c r="AT359"/>
  <c r="AF359"/>
  <c r="AT360"/>
  <c r="AT361"/>
  <c r="AT362"/>
  <c r="AT363"/>
  <c r="AF363"/>
  <c r="AT364"/>
  <c r="AT365"/>
  <c r="AT366"/>
  <c r="AT367"/>
  <c r="AT368"/>
  <c r="AT369"/>
  <c r="AT371"/>
  <c r="AT372"/>
  <c r="AT379"/>
  <c r="AT380"/>
  <c r="AT374"/>
  <c r="AT381"/>
  <c r="AT375"/>
  <c r="AF375"/>
  <c r="AT378"/>
  <c r="AT376"/>
  <c r="AT377"/>
  <c r="AF377"/>
  <c r="AT382"/>
  <c r="AF382"/>
  <c r="AT383"/>
  <c r="AT384"/>
  <c r="AF384"/>
  <c r="AT385"/>
  <c r="AT386"/>
  <c r="AF386"/>
  <c r="AT387"/>
  <c r="AT393"/>
  <c r="AT388"/>
  <c r="AF388"/>
  <c r="AT389"/>
  <c r="AT390"/>
  <c r="AF390"/>
  <c r="AT391"/>
  <c r="AT392"/>
  <c r="AF392"/>
  <c r="AT394"/>
  <c r="AT395"/>
  <c r="AT396"/>
  <c r="AF396"/>
  <c r="AT397"/>
  <c r="AT398"/>
  <c r="AF398"/>
  <c r="AT402"/>
  <c r="AT403"/>
  <c r="AT404"/>
  <c r="AT405"/>
  <c r="AT406"/>
  <c r="AT407"/>
  <c r="AF407"/>
  <c r="AT408"/>
  <c r="AT409"/>
  <c r="AT410"/>
  <c r="AT411"/>
  <c r="AT412"/>
  <c r="AT413"/>
  <c r="AT414"/>
  <c r="AT415"/>
  <c r="AT416"/>
  <c r="AF416"/>
  <c r="AT417"/>
  <c r="AT418"/>
  <c r="AT419"/>
  <c r="AT420"/>
  <c r="AT421"/>
  <c r="AT422"/>
  <c r="AT423"/>
  <c r="AF423"/>
  <c r="AT424"/>
  <c r="AT425"/>
  <c r="AT429"/>
  <c r="AT430"/>
  <c r="AT431"/>
  <c r="AF431"/>
  <c r="AT433"/>
  <c r="AT434"/>
  <c r="AF434"/>
  <c r="AT437"/>
  <c r="AT438"/>
  <c r="AT439"/>
  <c r="AT440"/>
  <c r="AT441"/>
  <c r="AF441"/>
  <c r="AT442"/>
  <c r="AF442"/>
  <c r="AT443"/>
  <c r="AF443"/>
  <c r="AT444"/>
  <c r="AT445"/>
  <c r="AT446"/>
  <c r="AT447"/>
  <c r="AT448"/>
  <c r="AT449"/>
  <c r="AF449"/>
  <c r="AT450"/>
  <c r="AT454"/>
  <c r="AF454"/>
  <c r="AT455"/>
  <c r="AT456"/>
  <c r="AF456"/>
  <c r="AT457"/>
  <c r="AT458"/>
  <c r="AF458"/>
  <c r="AT460"/>
  <c r="AT464"/>
  <c r="AT465"/>
  <c r="AF465"/>
  <c r="AT466"/>
  <c r="AT467"/>
  <c r="AF467"/>
  <c r="AT468"/>
  <c r="AT469"/>
  <c r="AT470"/>
  <c r="AT471"/>
  <c r="AT472"/>
  <c r="AT473"/>
  <c r="AT474"/>
  <c r="AF474"/>
  <c r="AT475"/>
  <c r="AT476"/>
  <c r="AF476"/>
  <c r="AT477"/>
  <c r="AT478"/>
  <c r="AT479"/>
  <c r="AT480"/>
  <c r="AF480"/>
  <c r="AT481"/>
  <c r="AT482"/>
  <c r="AF482"/>
  <c r="AT483"/>
  <c r="AT484"/>
  <c r="AT485"/>
  <c r="AT486"/>
  <c r="AT487"/>
  <c r="AF487"/>
  <c r="AT488"/>
  <c r="AT489"/>
  <c r="AT490"/>
  <c r="AT491"/>
  <c r="AT492"/>
  <c r="AT493"/>
  <c r="AT494"/>
  <c r="AT495"/>
  <c r="AT496"/>
  <c r="AT497"/>
  <c r="AF497"/>
  <c r="AT498"/>
  <c r="AT499"/>
  <c r="AF499"/>
  <c r="AT500"/>
  <c r="AT501"/>
  <c r="AF501"/>
  <c r="AT502"/>
  <c r="AT503"/>
  <c r="AF503"/>
  <c r="AT504"/>
  <c r="AT509"/>
  <c r="AT508"/>
  <c r="AT510"/>
  <c r="AT511"/>
  <c r="AT513"/>
  <c r="AT514"/>
  <c r="AT515"/>
  <c r="AT516"/>
  <c r="AT517"/>
  <c r="AT518"/>
  <c r="AT519"/>
  <c r="AT520"/>
  <c r="AF520"/>
  <c r="AT521"/>
  <c r="AT522"/>
  <c r="AF522"/>
  <c r="AT523"/>
  <c r="AT524"/>
  <c r="AF524"/>
  <c r="AT525"/>
  <c r="AT526"/>
  <c r="AT527"/>
  <c r="AF527"/>
  <c r="AT528"/>
  <c r="AT530"/>
  <c r="AT531"/>
  <c r="AT532"/>
  <c r="AT534"/>
  <c r="AT535"/>
  <c r="AT536"/>
  <c r="AT538"/>
  <c r="AT537"/>
  <c r="AT539"/>
  <c r="AF539"/>
  <c r="AT540"/>
  <c r="AT543"/>
  <c r="AT545"/>
  <c r="AT546"/>
  <c r="AT547"/>
  <c r="AT548"/>
  <c r="AT549"/>
  <c r="AT550"/>
  <c r="AT551"/>
  <c r="AT552"/>
  <c r="AT553"/>
  <c r="AT554"/>
  <c r="AF554"/>
  <c r="AT556"/>
  <c r="AT557"/>
  <c r="AT558"/>
  <c r="AT559"/>
  <c r="AT560"/>
  <c r="AT561"/>
  <c r="AT562"/>
  <c r="AT564"/>
  <c r="AT565"/>
  <c r="AT566"/>
  <c r="AT567"/>
  <c r="AT568"/>
  <c r="AT569"/>
  <c r="AT570"/>
  <c r="AT571"/>
  <c r="AT572"/>
  <c r="AT573"/>
  <c r="AT574"/>
  <c r="AT575"/>
  <c r="AT576"/>
  <c r="AT577"/>
  <c r="AT578"/>
  <c r="AT579"/>
  <c r="AT580"/>
  <c r="AT581"/>
  <c r="AT582"/>
  <c r="AT583"/>
  <c r="AT584"/>
  <c r="AT585"/>
  <c r="AT586"/>
  <c r="AT587"/>
  <c r="AT589"/>
  <c r="AT590"/>
  <c r="AT591"/>
  <c r="AT592"/>
  <c r="AT588"/>
  <c r="AT593"/>
  <c r="AT594"/>
  <c r="AT595"/>
  <c r="AT596"/>
  <c r="AF596"/>
  <c r="AT607"/>
  <c r="AT597"/>
  <c r="AT598"/>
  <c r="AF598"/>
  <c r="AT599"/>
  <c r="AT600"/>
  <c r="AF600"/>
  <c r="AT608"/>
  <c r="AT601"/>
  <c r="AT602"/>
  <c r="AT603"/>
  <c r="AT604"/>
  <c r="AT605"/>
  <c r="AT606"/>
  <c r="AT609"/>
  <c r="AT610"/>
  <c r="AT611"/>
  <c r="AT612"/>
  <c r="AT613"/>
  <c r="AT614"/>
  <c r="AT615"/>
  <c r="AT616"/>
  <c r="AT617"/>
  <c r="AT618"/>
  <c r="AT619"/>
  <c r="AT620"/>
  <c r="AT621"/>
  <c r="AT459"/>
  <c r="AT622"/>
  <c r="AF622"/>
  <c r="AT623"/>
  <c r="AT624"/>
  <c r="AT625"/>
  <c r="AT626"/>
  <c r="AT627"/>
  <c r="AT628"/>
  <c r="AT629"/>
  <c r="AF629"/>
  <c r="AT630"/>
  <c r="AT631"/>
  <c r="AF631"/>
  <c r="AT632"/>
  <c r="AT636"/>
  <c r="AT637"/>
  <c r="AT638"/>
  <c r="AT639"/>
  <c r="AT640"/>
  <c r="AT641"/>
  <c r="AT642"/>
  <c r="AT643"/>
  <c r="AT644"/>
  <c r="AT645"/>
  <c r="AT646"/>
  <c r="AT647"/>
  <c r="AT648"/>
  <c r="AT649"/>
  <c r="AT650"/>
  <c r="AT651"/>
  <c r="AT652"/>
  <c r="AT653"/>
  <c r="AF653"/>
  <c r="AT654"/>
  <c r="AT655"/>
  <c r="AF655"/>
  <c r="AT657"/>
  <c r="AF657"/>
  <c r="AT658"/>
  <c r="AT659"/>
  <c r="AF659"/>
  <c r="AT660"/>
  <c r="AT661"/>
  <c r="AT662"/>
  <c r="AF662"/>
  <c r="AT663"/>
  <c r="AT664"/>
  <c r="AF664"/>
  <c r="AT671"/>
  <c r="AT665"/>
  <c r="AT666"/>
  <c r="AT667"/>
  <c r="AT668"/>
  <c r="AT672"/>
  <c r="AT673"/>
  <c r="AT669"/>
  <c r="AT670"/>
  <c r="AF670"/>
  <c r="AT674"/>
  <c r="AF674"/>
  <c r="AT675"/>
  <c r="AT676"/>
  <c r="AF676"/>
  <c r="AT677"/>
  <c r="AT678"/>
  <c r="AT679"/>
  <c r="AT681"/>
  <c r="AT682"/>
  <c r="AT688"/>
  <c r="AT689"/>
  <c r="AT683"/>
  <c r="AT684"/>
  <c r="AF684"/>
  <c r="AT685"/>
  <c r="AT686"/>
  <c r="AT690"/>
  <c r="AT692"/>
  <c r="AT693"/>
  <c r="AF693"/>
  <c r="AT701"/>
  <c r="AT702"/>
  <c r="AT705"/>
  <c r="AT703"/>
  <c r="AT704"/>
  <c r="AT707"/>
  <c r="AF707"/>
  <c r="AT708"/>
  <c r="AT709"/>
  <c r="AF709"/>
  <c r="AT710"/>
  <c r="AT711"/>
  <c r="AF711"/>
  <c r="AT712"/>
  <c r="AT713"/>
  <c r="AF713"/>
  <c r="AT714"/>
  <c r="AT715"/>
  <c r="AF715"/>
  <c r="AT716"/>
  <c r="AT717"/>
  <c r="AT718"/>
  <c r="AT719"/>
  <c r="AF719"/>
  <c r="AT720"/>
  <c r="AT721"/>
  <c r="AF721"/>
  <c r="AT722"/>
  <c r="AT723"/>
  <c r="AT724"/>
  <c r="AT725"/>
  <c r="AT728"/>
  <c r="AT735"/>
  <c r="AT730"/>
  <c r="AT731"/>
  <c r="AT737"/>
  <c r="AT740"/>
  <c r="DB469"/>
  <c r="Y2"/>
  <c r="DB735"/>
  <c r="DB740"/>
  <c r="DB737"/>
  <c r="DB731"/>
  <c r="DB730"/>
  <c r="DB728"/>
  <c r="DB732"/>
  <c r="DB725"/>
  <c r="DB724"/>
  <c r="DB723"/>
  <c r="DB722"/>
  <c r="DB721"/>
  <c r="DB720"/>
  <c r="DB719"/>
  <c r="DB718"/>
  <c r="DB717"/>
  <c r="DB716"/>
  <c r="DB715"/>
  <c r="DB714"/>
  <c r="DB713"/>
  <c r="DB712"/>
  <c r="DB711"/>
  <c r="DB710"/>
  <c r="DB709"/>
  <c r="DB708"/>
  <c r="DB707"/>
  <c r="DB704"/>
  <c r="DB703"/>
  <c r="DB705"/>
  <c r="DB702"/>
  <c r="DB701"/>
  <c r="DB698"/>
  <c r="DB695"/>
  <c r="DB693"/>
  <c r="DB692"/>
  <c r="DB690"/>
  <c r="DB686"/>
  <c r="DB685"/>
  <c r="DB684"/>
  <c r="DB683"/>
  <c r="DB689"/>
  <c r="DB688"/>
  <c r="DB682"/>
  <c r="DB681"/>
  <c r="DB679"/>
  <c r="DB678"/>
  <c r="DB677"/>
  <c r="DB676"/>
  <c r="DB675"/>
  <c r="DB674"/>
  <c r="DB670"/>
  <c r="DB669"/>
  <c r="DB673"/>
  <c r="DB672"/>
  <c r="DB668"/>
  <c r="DB667"/>
  <c r="DB666"/>
  <c r="DB665"/>
  <c r="DB671"/>
  <c r="DB664"/>
  <c r="DB663"/>
  <c r="DB662"/>
  <c r="DB661"/>
  <c r="DB660"/>
  <c r="DB659"/>
  <c r="DB658"/>
  <c r="DB657"/>
  <c r="DB655"/>
  <c r="DB654"/>
  <c r="DB653"/>
  <c r="DB652"/>
  <c r="DB651"/>
  <c r="DB650"/>
  <c r="DB649"/>
  <c r="DB648"/>
  <c r="DB647"/>
  <c r="DB646"/>
  <c r="DB645"/>
  <c r="DB644"/>
  <c r="DB643"/>
  <c r="DB642"/>
  <c r="DB641"/>
  <c r="DB640"/>
  <c r="DB639"/>
  <c r="DB638"/>
  <c r="DB637"/>
  <c r="DB636"/>
  <c r="DB632"/>
  <c r="DB631"/>
  <c r="DB630"/>
  <c r="DB629"/>
  <c r="DB628"/>
  <c r="DB627"/>
  <c r="DB626"/>
  <c r="DB625"/>
  <c r="DB624"/>
  <c r="DB623"/>
  <c r="DB622"/>
  <c r="DB459"/>
  <c r="DB621"/>
  <c r="DB620"/>
  <c r="DB619"/>
  <c r="DB618"/>
  <c r="DB617"/>
  <c r="DB616"/>
  <c r="DB615"/>
  <c r="DB614"/>
  <c r="DB613"/>
  <c r="DB612"/>
  <c r="DB611"/>
  <c r="DB610"/>
  <c r="DB609"/>
  <c r="DB606"/>
  <c r="DB605"/>
  <c r="DB604"/>
  <c r="DB603"/>
  <c r="DB602"/>
  <c r="DB601"/>
  <c r="DB608"/>
  <c r="DB600"/>
  <c r="DB599"/>
  <c r="DB598"/>
  <c r="DB597"/>
  <c r="DB607"/>
  <c r="DB596"/>
  <c r="DB595"/>
  <c r="DB594"/>
  <c r="DB593"/>
  <c r="DB588"/>
  <c r="DB592"/>
  <c r="DB591"/>
  <c r="DB590"/>
  <c r="DB589"/>
  <c r="DB587"/>
  <c r="DB586"/>
  <c r="DB585"/>
  <c r="DB584"/>
  <c r="DB583"/>
  <c r="DB582"/>
  <c r="DB581"/>
  <c r="DB580"/>
  <c r="DB579"/>
  <c r="DB578"/>
  <c r="DB577"/>
  <c r="DB576"/>
  <c r="DB575"/>
  <c r="DB574"/>
  <c r="DB573"/>
  <c r="DB572"/>
  <c r="DB571"/>
  <c r="DB570"/>
  <c r="DB569"/>
  <c r="DB568"/>
  <c r="DB567"/>
  <c r="DB566"/>
  <c r="DB565"/>
  <c r="DB564"/>
  <c r="DB562"/>
  <c r="DB561"/>
  <c r="DB560"/>
  <c r="DB559"/>
  <c r="DB558"/>
  <c r="DB557"/>
  <c r="DB556"/>
  <c r="DB554"/>
  <c r="DB553"/>
  <c r="DB552"/>
  <c r="DB551"/>
  <c r="DB550"/>
  <c r="DB549"/>
  <c r="DB548"/>
  <c r="DB547"/>
  <c r="DB546"/>
  <c r="DB545"/>
  <c r="DB543"/>
  <c r="DB540"/>
  <c r="DB539"/>
  <c r="DB537"/>
  <c r="DB538"/>
  <c r="DB536"/>
  <c r="DB535"/>
  <c r="DB534"/>
  <c r="DB532"/>
  <c r="DB531"/>
  <c r="DB530"/>
  <c r="DB528"/>
  <c r="DB527"/>
  <c r="DB526"/>
  <c r="DB525"/>
  <c r="DB524"/>
  <c r="DB523"/>
  <c r="DB522"/>
  <c r="DB521"/>
  <c r="DB520"/>
  <c r="DB519"/>
  <c r="DB518"/>
  <c r="DB517"/>
  <c r="DB516"/>
  <c r="DB515"/>
  <c r="DB514"/>
  <c r="DB513"/>
  <c r="DB511"/>
  <c r="DB510"/>
  <c r="DB508"/>
  <c r="DB509"/>
  <c r="DB504"/>
  <c r="DB503"/>
  <c r="DB502"/>
  <c r="DB501"/>
  <c r="DB500"/>
  <c r="DB499"/>
  <c r="DB498"/>
  <c r="DB497"/>
  <c r="DB496"/>
  <c r="DB495"/>
  <c r="DB494"/>
  <c r="DB493"/>
  <c r="DB492"/>
  <c r="DB491"/>
  <c r="DB490"/>
  <c r="DB489"/>
  <c r="DB488"/>
  <c r="DB487"/>
  <c r="DB486"/>
  <c r="DB485"/>
  <c r="DB484"/>
  <c r="DB483"/>
  <c r="DB482"/>
  <c r="DB481"/>
  <c r="DB480"/>
  <c r="DB479"/>
  <c r="DB478"/>
  <c r="DB477"/>
  <c r="DB476"/>
  <c r="DB475"/>
  <c r="DB474"/>
  <c r="DB473"/>
  <c r="DB472"/>
  <c r="DB471"/>
  <c r="DB470"/>
  <c r="DB468"/>
  <c r="DB467"/>
  <c r="DB466"/>
  <c r="DB465"/>
  <c r="DB464"/>
  <c r="DB461"/>
  <c r="DB460"/>
  <c r="DB458"/>
  <c r="DB457"/>
  <c r="DB456"/>
  <c r="DB455"/>
  <c r="DB454"/>
  <c r="DB451"/>
  <c r="DB450"/>
  <c r="DB449"/>
  <c r="DB448"/>
  <c r="DB447"/>
  <c r="DB446"/>
  <c r="DB445"/>
  <c r="DB444"/>
  <c r="DB443"/>
  <c r="DB442"/>
  <c r="DB441"/>
  <c r="DB440"/>
  <c r="DB439"/>
  <c r="DB438"/>
  <c r="DB437"/>
  <c r="DB434"/>
  <c r="DB433"/>
  <c r="DB431"/>
  <c r="DB430"/>
  <c r="DB429"/>
  <c r="DB426"/>
  <c r="DB425"/>
  <c r="DB424"/>
  <c r="DB423"/>
  <c r="DB422"/>
  <c r="DB421"/>
  <c r="DB420"/>
  <c r="DB419"/>
  <c r="DB418"/>
  <c r="DB417"/>
  <c r="DB416"/>
  <c r="DB415"/>
  <c r="DB414"/>
  <c r="DB413"/>
  <c r="DB412"/>
  <c r="DB411"/>
  <c r="DB410"/>
  <c r="DB409"/>
  <c r="DB408"/>
  <c r="DB407"/>
  <c r="DB406"/>
  <c r="DB405"/>
  <c r="DB404"/>
  <c r="DB403"/>
  <c r="DB402"/>
  <c r="DB398"/>
  <c r="DB397"/>
  <c r="DB396"/>
  <c r="DB395"/>
  <c r="DB394"/>
  <c r="DB392"/>
  <c r="DB391"/>
  <c r="DB390"/>
  <c r="DB389"/>
  <c r="DB388"/>
  <c r="DB393"/>
  <c r="DB387"/>
  <c r="DB386"/>
  <c r="DB385"/>
  <c r="DB384"/>
  <c r="DB383"/>
  <c r="DB382"/>
  <c r="DB377"/>
  <c r="DB376"/>
  <c r="DB378"/>
  <c r="DB375"/>
  <c r="DB381"/>
  <c r="DB374"/>
  <c r="DB380"/>
  <c r="DB379"/>
  <c r="DB372"/>
  <c r="DB371"/>
  <c r="DB369"/>
  <c r="DB368"/>
  <c r="DB367"/>
  <c r="DB366"/>
  <c r="DB365"/>
  <c r="DB364"/>
  <c r="DB363"/>
  <c r="DB362"/>
  <c r="DB361"/>
  <c r="DB360"/>
  <c r="DB359"/>
  <c r="DB358"/>
  <c r="DB357"/>
  <c r="DB356"/>
  <c r="DB355"/>
  <c r="DB354"/>
  <c r="DB353"/>
  <c r="DB352"/>
  <c r="DB351"/>
  <c r="DB350"/>
  <c r="DB349"/>
  <c r="DB348"/>
  <c r="DB347"/>
  <c r="DB346"/>
  <c r="DB345"/>
  <c r="DB344"/>
  <c r="DB343"/>
  <c r="DB342"/>
  <c r="DB341"/>
  <c r="DB340"/>
  <c r="DB339"/>
  <c r="DB338"/>
  <c r="DB337"/>
  <c r="DB336"/>
  <c r="DB335"/>
  <c r="DB334"/>
  <c r="DB333"/>
  <c r="DB332"/>
  <c r="DB331"/>
  <c r="DB330"/>
  <c r="DB329"/>
  <c r="DB328"/>
  <c r="DB327"/>
  <c r="DB326"/>
  <c r="DB325"/>
  <c r="DB324"/>
  <c r="DB321"/>
  <c r="DB323"/>
  <c r="DB322"/>
  <c r="DB320"/>
  <c r="DB319"/>
  <c r="DB318"/>
  <c r="DB317"/>
  <c r="DB316"/>
  <c r="DB315"/>
  <c r="DB314"/>
  <c r="DB312"/>
  <c r="DB313"/>
  <c r="DB311"/>
  <c r="DB310"/>
  <c r="DB309"/>
  <c r="DB308"/>
  <c r="DB307"/>
  <c r="DB306"/>
  <c r="DB303"/>
  <c r="DB302"/>
  <c r="DB301"/>
  <c r="DB298"/>
  <c r="DB297"/>
  <c r="DB293"/>
  <c r="DB296"/>
  <c r="DB292"/>
  <c r="DB291"/>
  <c r="DB295"/>
  <c r="DB290"/>
  <c r="DB289"/>
  <c r="DB294"/>
  <c r="DB288"/>
  <c r="DB287"/>
  <c r="DB286"/>
  <c r="DB285"/>
  <c r="DB281"/>
  <c r="DB283"/>
  <c r="DB282"/>
  <c r="DB280"/>
  <c r="DB279"/>
  <c r="DB278"/>
  <c r="DB277"/>
  <c r="DB284"/>
  <c r="DB276"/>
  <c r="DB275"/>
  <c r="DB272"/>
  <c r="DB266"/>
  <c r="DB271"/>
  <c r="DB267"/>
  <c r="DB270"/>
  <c r="DB268"/>
  <c r="DB265"/>
  <c r="DB264"/>
  <c r="DB269"/>
  <c r="DB263"/>
  <c r="DB262"/>
  <c r="DB261"/>
  <c r="DB260"/>
  <c r="DB259"/>
  <c r="DB258"/>
  <c r="DB257"/>
  <c r="DB256"/>
  <c r="DB255"/>
  <c r="DB254"/>
  <c r="DB253"/>
  <c r="DB252"/>
  <c r="DB251"/>
  <c r="DB249"/>
  <c r="DB250"/>
  <c r="DB248"/>
  <c r="DB247"/>
  <c r="DB246"/>
  <c r="DB245"/>
  <c r="DB244"/>
  <c r="DB243"/>
  <c r="DB242"/>
  <c r="DB241"/>
  <c r="DB240"/>
  <c r="DB239"/>
  <c r="DB238"/>
  <c r="DB237"/>
  <c r="DB236"/>
  <c r="DB235"/>
  <c r="DB234"/>
  <c r="DB233"/>
  <c r="DB229"/>
  <c r="DB232"/>
  <c r="DB227"/>
  <c r="DB226"/>
  <c r="DB225"/>
  <c r="DB224"/>
  <c r="DB223"/>
  <c r="DB222"/>
  <c r="DB221"/>
  <c r="DB220"/>
  <c r="DB219"/>
  <c r="DB218"/>
  <c r="DB217"/>
  <c r="DB216"/>
  <c r="DB215"/>
  <c r="DB214"/>
  <c r="DB213"/>
  <c r="DB212"/>
  <c r="DB211"/>
  <c r="DB210"/>
  <c r="DB209"/>
  <c r="DB208"/>
  <c r="DB207"/>
  <c r="DB206"/>
  <c r="DB205"/>
  <c r="DB203"/>
  <c r="DB202"/>
  <c r="DB201"/>
  <c r="DB200"/>
  <c r="DB199"/>
  <c r="DB198"/>
  <c r="DB197"/>
  <c r="DB196"/>
  <c r="DB195"/>
  <c r="DB194"/>
  <c r="DB193"/>
  <c r="DB192"/>
  <c r="DB191"/>
  <c r="DB190"/>
  <c r="DB189"/>
  <c r="DB188"/>
  <c r="DB187"/>
  <c r="DB186"/>
  <c r="DB183"/>
  <c r="DB182"/>
  <c r="DB181"/>
  <c r="DB180"/>
  <c r="DB179"/>
  <c r="DB178"/>
  <c r="DB177"/>
  <c r="DB174"/>
  <c r="DB173"/>
  <c r="DB172"/>
  <c r="DB171"/>
  <c r="DB170"/>
  <c r="DB169"/>
  <c r="DB168"/>
  <c r="DB167"/>
  <c r="DB166"/>
  <c r="DB165"/>
  <c r="DB164"/>
  <c r="DB163"/>
  <c r="DB162"/>
  <c r="DB161"/>
  <c r="DB160"/>
  <c r="DB159"/>
  <c r="DB158"/>
  <c r="DB157"/>
  <c r="DB156"/>
  <c r="DB155"/>
  <c r="DB154"/>
  <c r="DB153"/>
  <c r="DB152"/>
  <c r="DB151"/>
  <c r="DB150"/>
  <c r="DB149"/>
  <c r="DB148"/>
  <c r="DB147"/>
  <c r="DB144"/>
  <c r="DB143"/>
  <c r="DB142"/>
  <c r="DB140"/>
  <c r="DB139"/>
  <c r="DB138"/>
  <c r="DB137"/>
  <c r="DB136"/>
  <c r="DB134"/>
  <c r="DB131"/>
  <c r="DB130"/>
  <c r="DB129"/>
  <c r="DB128"/>
  <c r="DB127"/>
  <c r="DB124"/>
  <c r="DB123"/>
  <c r="DB122"/>
  <c r="DB121"/>
  <c r="DB120"/>
  <c r="DB119"/>
  <c r="DB118"/>
  <c r="DB117"/>
  <c r="DB116"/>
  <c r="DB114"/>
  <c r="DB113"/>
  <c r="DB112"/>
  <c r="DB111"/>
  <c r="DB110"/>
  <c r="DB109"/>
  <c r="DB106"/>
  <c r="DB104"/>
  <c r="DB103"/>
  <c r="DB102"/>
  <c r="DB101"/>
  <c r="DB100"/>
  <c r="DB99"/>
  <c r="DB98"/>
  <c r="DB97"/>
  <c r="DB96"/>
  <c r="DB95"/>
  <c r="DB94"/>
  <c r="DB92"/>
  <c r="DB91"/>
  <c r="DB90"/>
  <c r="DB89"/>
  <c r="DB88"/>
  <c r="DB86"/>
  <c r="DB85"/>
  <c r="DB82"/>
  <c r="DB81"/>
  <c r="DB80"/>
  <c r="DB77"/>
  <c r="DB74"/>
  <c r="DB73"/>
  <c r="DB72"/>
  <c r="DB69"/>
  <c r="DB68"/>
  <c r="DB67"/>
  <c r="DB66"/>
  <c r="DB63"/>
  <c r="DB62"/>
  <c r="DB61"/>
  <c r="DB60"/>
  <c r="DB59"/>
  <c r="DB58"/>
  <c r="DB57"/>
  <c r="DB56"/>
  <c r="DB55"/>
  <c r="DB54"/>
  <c r="DB53"/>
  <c r="DB52"/>
  <c r="DB51"/>
  <c r="DB49"/>
  <c r="DB48"/>
  <c r="DB47"/>
  <c r="DB46"/>
  <c r="DB45"/>
  <c r="DB42"/>
  <c r="DB41"/>
  <c r="DB40"/>
  <c r="DB39"/>
  <c r="DB38"/>
  <c r="DB37"/>
  <c r="DB36"/>
  <c r="DB35"/>
  <c r="DB34"/>
  <c r="DB32"/>
  <c r="DB31"/>
  <c r="DB28"/>
  <c r="DB27"/>
  <c r="DB26"/>
  <c r="DB25"/>
  <c r="DB24"/>
  <c r="DB23"/>
  <c r="DB22"/>
  <c r="DB21"/>
  <c r="DB20"/>
  <c r="DB19"/>
  <c r="DB18"/>
  <c r="DB17"/>
  <c r="DB16"/>
  <c r="DB15"/>
  <c r="DB14"/>
  <c r="DB13"/>
  <c r="DO735"/>
  <c r="DP735"/>
  <c r="DO740"/>
  <c r="DP740"/>
  <c r="DO737"/>
  <c r="DP737"/>
  <c r="DO731"/>
  <c r="DP731"/>
  <c r="DO730"/>
  <c r="DP730"/>
  <c r="DO728"/>
  <c r="DP728"/>
  <c r="DO732"/>
  <c r="DP732"/>
  <c r="DO725"/>
  <c r="DP725"/>
  <c r="DO724"/>
  <c r="DP724"/>
  <c r="DO723"/>
  <c r="DP723"/>
  <c r="DO722"/>
  <c r="DP722"/>
  <c r="DO721"/>
  <c r="DP721"/>
  <c r="DO720"/>
  <c r="DP720"/>
  <c r="DO719"/>
  <c r="DP719"/>
  <c r="DO718"/>
  <c r="DP718"/>
  <c r="DO717"/>
  <c r="DP717"/>
  <c r="DO716"/>
  <c r="DP716"/>
  <c r="DO715"/>
  <c r="DP715"/>
  <c r="DO714"/>
  <c r="DP714"/>
  <c r="DO713"/>
  <c r="DP713"/>
  <c r="DO712"/>
  <c r="DP712"/>
  <c r="DO711"/>
  <c r="DP711"/>
  <c r="DO710"/>
  <c r="DP710"/>
  <c r="DO709"/>
  <c r="DP709"/>
  <c r="DO708"/>
  <c r="DP708"/>
  <c r="DO707"/>
  <c r="DP707"/>
  <c r="DO704"/>
  <c r="DP704"/>
  <c r="DO703"/>
  <c r="DP703"/>
  <c r="DO705"/>
  <c r="DP705"/>
  <c r="DO702"/>
  <c r="DP702"/>
  <c r="DO701"/>
  <c r="DP701"/>
  <c r="DO698"/>
  <c r="DP698"/>
  <c r="DO695"/>
  <c r="DP695"/>
  <c r="DO693"/>
  <c r="DP693"/>
  <c r="DO692"/>
  <c r="DP692"/>
  <c r="DO690"/>
  <c r="DP690"/>
  <c r="DO686"/>
  <c r="DP686"/>
  <c r="DO685"/>
  <c r="DP685"/>
  <c r="DO684"/>
  <c r="DP684"/>
  <c r="DO683"/>
  <c r="DP683"/>
  <c r="DO689"/>
  <c r="DP689"/>
  <c r="DO688"/>
  <c r="DP688"/>
  <c r="DO682"/>
  <c r="DP682"/>
  <c r="DO681"/>
  <c r="DP681"/>
  <c r="DO679"/>
  <c r="DP679"/>
  <c r="DO678"/>
  <c r="DP678"/>
  <c r="DO677"/>
  <c r="DP677"/>
  <c r="DO676"/>
  <c r="DP676"/>
  <c r="DO675"/>
  <c r="DP675"/>
  <c r="DO674"/>
  <c r="DP674"/>
  <c r="DO670"/>
  <c r="DP670"/>
  <c r="DO669"/>
  <c r="DP669"/>
  <c r="DO673"/>
  <c r="DP673"/>
  <c r="DO672"/>
  <c r="DP672"/>
  <c r="DO668"/>
  <c r="DP668"/>
  <c r="DO667"/>
  <c r="DP667"/>
  <c r="DO666"/>
  <c r="DP666"/>
  <c r="DO665"/>
  <c r="DP665"/>
  <c r="DO671"/>
  <c r="DP671"/>
  <c r="DO664"/>
  <c r="DP664"/>
  <c r="DO663"/>
  <c r="DP663"/>
  <c r="DO662"/>
  <c r="DP662"/>
  <c r="DO661"/>
  <c r="DP661"/>
  <c r="DO660"/>
  <c r="DP660"/>
  <c r="DO659"/>
  <c r="DP659"/>
  <c r="DO658"/>
  <c r="DP658"/>
  <c r="DO657"/>
  <c r="DP657"/>
  <c r="DO655"/>
  <c r="DP655"/>
  <c r="DO654"/>
  <c r="DP654"/>
  <c r="DO653"/>
  <c r="DP653"/>
  <c r="DO652"/>
  <c r="DP652"/>
  <c r="DO651"/>
  <c r="DP651"/>
  <c r="DO650"/>
  <c r="DP650"/>
  <c r="DO649"/>
  <c r="DP649"/>
  <c r="DO648"/>
  <c r="DP648"/>
  <c r="DO647"/>
  <c r="DP647"/>
  <c r="DO646"/>
  <c r="DP646"/>
  <c r="DO645"/>
  <c r="DP645"/>
  <c r="DO644"/>
  <c r="DP644"/>
  <c r="DO643"/>
  <c r="DP643"/>
  <c r="DO642"/>
  <c r="DP642"/>
  <c r="DO641"/>
  <c r="DP641"/>
  <c r="DO640"/>
  <c r="DP640"/>
  <c r="DO639"/>
  <c r="DP639"/>
  <c r="DO638"/>
  <c r="DP638"/>
  <c r="DO637"/>
  <c r="DP637"/>
  <c r="DO636"/>
  <c r="DP636"/>
  <c r="DO632"/>
  <c r="DP632"/>
  <c r="DO631"/>
  <c r="DP631"/>
  <c r="DO630"/>
  <c r="DP630"/>
  <c r="DO629"/>
  <c r="DP629"/>
  <c r="DO628"/>
  <c r="DP628"/>
  <c r="DO627"/>
  <c r="DP627"/>
  <c r="DO626"/>
  <c r="DP626"/>
  <c r="DO625"/>
  <c r="DP625"/>
  <c r="DO624"/>
  <c r="DP624"/>
  <c r="DO623"/>
  <c r="DP623"/>
  <c r="DO622"/>
  <c r="DP622"/>
  <c r="DO459"/>
  <c r="DP459"/>
  <c r="DO621"/>
  <c r="DP621"/>
  <c r="DO620"/>
  <c r="DP620"/>
  <c r="DO619"/>
  <c r="DP619"/>
  <c r="DO618"/>
  <c r="DP618"/>
  <c r="DO617"/>
  <c r="DP617"/>
  <c r="DO616"/>
  <c r="DP616"/>
  <c r="DO615"/>
  <c r="DP615"/>
  <c r="DO614"/>
  <c r="DP614"/>
  <c r="DO613"/>
  <c r="DP613"/>
  <c r="DO612"/>
  <c r="DP612"/>
  <c r="DO611"/>
  <c r="DP611"/>
  <c r="DO610"/>
  <c r="DP610"/>
  <c r="DO609"/>
  <c r="DP609"/>
  <c r="DO606"/>
  <c r="DP606"/>
  <c r="DO605"/>
  <c r="DP605"/>
  <c r="DO604"/>
  <c r="DP604"/>
  <c r="DO603"/>
  <c r="DP603"/>
  <c r="DO602"/>
  <c r="DP602"/>
  <c r="DO601"/>
  <c r="DP601"/>
  <c r="DO608"/>
  <c r="DP608"/>
  <c r="DO600"/>
  <c r="DP600"/>
  <c r="DO599"/>
  <c r="DP599"/>
  <c r="DO598"/>
  <c r="DP598"/>
  <c r="DO597"/>
  <c r="DP597"/>
  <c r="DO607"/>
  <c r="DP607"/>
  <c r="DO596"/>
  <c r="DP596"/>
  <c r="DO595"/>
  <c r="DP595"/>
  <c r="DO594"/>
  <c r="DP594"/>
  <c r="DO593"/>
  <c r="DP593"/>
  <c r="DO588"/>
  <c r="DP588"/>
  <c r="DO592"/>
  <c r="DP592"/>
  <c r="DO591"/>
  <c r="DP591"/>
  <c r="DO590"/>
  <c r="DP590"/>
  <c r="DO589"/>
  <c r="DP589"/>
  <c r="DO587"/>
  <c r="DP587"/>
  <c r="DO586"/>
  <c r="DP586"/>
  <c r="DO585"/>
  <c r="DP585"/>
  <c r="DO584"/>
  <c r="DP584"/>
  <c r="DO583"/>
  <c r="DP583"/>
  <c r="DO582"/>
  <c r="DP582"/>
  <c r="DO581"/>
  <c r="DP581"/>
  <c r="DO580"/>
  <c r="DP580"/>
  <c r="DO579"/>
  <c r="DP579"/>
  <c r="DO578"/>
  <c r="DP578"/>
  <c r="DO577"/>
  <c r="DP577"/>
  <c r="DO576"/>
  <c r="DP576"/>
  <c r="DO575"/>
  <c r="DP575"/>
  <c r="DO574"/>
  <c r="DP574"/>
  <c r="DO573"/>
  <c r="DP573"/>
  <c r="DO572"/>
  <c r="DP572"/>
  <c r="DO571"/>
  <c r="DP571"/>
  <c r="DO570"/>
  <c r="DP570"/>
  <c r="DO569"/>
  <c r="DP569"/>
  <c r="DO568"/>
  <c r="DP568"/>
  <c r="DO567"/>
  <c r="DP567"/>
  <c r="DO566"/>
  <c r="DP566"/>
  <c r="DO565"/>
  <c r="DP565"/>
  <c r="DO564"/>
  <c r="DP564"/>
  <c r="DO562"/>
  <c r="DP562"/>
  <c r="DO561"/>
  <c r="DP561"/>
  <c r="DO560"/>
  <c r="DP560"/>
  <c r="DO559"/>
  <c r="DP559"/>
  <c r="DO558"/>
  <c r="DP558"/>
  <c r="DO557"/>
  <c r="DP557"/>
  <c r="DO556"/>
  <c r="DP556"/>
  <c r="DO554"/>
  <c r="DP554"/>
  <c r="DO553"/>
  <c r="DP553"/>
  <c r="DO552"/>
  <c r="DP552"/>
  <c r="DO551"/>
  <c r="DP551"/>
  <c r="DO550"/>
  <c r="DP550"/>
  <c r="DO549"/>
  <c r="DP549"/>
  <c r="DO548"/>
  <c r="DP548"/>
  <c r="DO547"/>
  <c r="DP547"/>
  <c r="DO546"/>
  <c r="DP546"/>
  <c r="DO545"/>
  <c r="DP545"/>
  <c r="DO543"/>
  <c r="DP543"/>
  <c r="DO540"/>
  <c r="DP540"/>
  <c r="DO539"/>
  <c r="DP539"/>
  <c r="DO537"/>
  <c r="DP537"/>
  <c r="DO538"/>
  <c r="DP538"/>
  <c r="DO536"/>
  <c r="DP536"/>
  <c r="DO535"/>
  <c r="DP535"/>
  <c r="DO534"/>
  <c r="DP534"/>
  <c r="DO532"/>
  <c r="DP532"/>
  <c r="DO531"/>
  <c r="DP531"/>
  <c r="DO530"/>
  <c r="DP530"/>
  <c r="DO528"/>
  <c r="DP528"/>
  <c r="DO527"/>
  <c r="DP527"/>
  <c r="DO526"/>
  <c r="DP526"/>
  <c r="DO525"/>
  <c r="DP525"/>
  <c r="DO524"/>
  <c r="DP524"/>
  <c r="DO523"/>
  <c r="DP523"/>
  <c r="DO522"/>
  <c r="DP522"/>
  <c r="DO521"/>
  <c r="DP521"/>
  <c r="DO520"/>
  <c r="DP520"/>
  <c r="DO519"/>
  <c r="DP519"/>
  <c r="DO518"/>
  <c r="DP518"/>
  <c r="DO517"/>
  <c r="DP517"/>
  <c r="DO516"/>
  <c r="DP516"/>
  <c r="DO515"/>
  <c r="DP515"/>
  <c r="DO514"/>
  <c r="DP514"/>
  <c r="DO513"/>
  <c r="DP513"/>
  <c r="DO511"/>
  <c r="DP511"/>
  <c r="DO510"/>
  <c r="DP510"/>
  <c r="DO508"/>
  <c r="DP508"/>
  <c r="DO509"/>
  <c r="DP509"/>
  <c r="DO504"/>
  <c r="DP504"/>
  <c r="DO503"/>
  <c r="DP503"/>
  <c r="DO502"/>
  <c r="DP502"/>
  <c r="DO501"/>
  <c r="DP501"/>
  <c r="DO500"/>
  <c r="DP500"/>
  <c r="DO499"/>
  <c r="DP499"/>
  <c r="DO498"/>
  <c r="DP498"/>
  <c r="DO497"/>
  <c r="DP497"/>
  <c r="DO496"/>
  <c r="DP496"/>
  <c r="DO495"/>
  <c r="DP495"/>
  <c r="DO494"/>
  <c r="DP494"/>
  <c r="DO493"/>
  <c r="DP493"/>
  <c r="DO492"/>
  <c r="DP492"/>
  <c r="DO491"/>
  <c r="DP491"/>
  <c r="DO490"/>
  <c r="DP490"/>
  <c r="DO489"/>
  <c r="DP489"/>
  <c r="DO488"/>
  <c r="DP488"/>
  <c r="DO487"/>
  <c r="DP487"/>
  <c r="DO486"/>
  <c r="DP486"/>
  <c r="DO485"/>
  <c r="DP485"/>
  <c r="DO484"/>
  <c r="DP484"/>
  <c r="DO483"/>
  <c r="DP483"/>
  <c r="DO482"/>
  <c r="DP482"/>
  <c r="DO481"/>
  <c r="DP481"/>
  <c r="DO480"/>
  <c r="DP480"/>
  <c r="DO479"/>
  <c r="DP479"/>
  <c r="DO478"/>
  <c r="DP478"/>
  <c r="DO477"/>
  <c r="DP477"/>
  <c r="DO476"/>
  <c r="DP476"/>
  <c r="DO475"/>
  <c r="DP475"/>
  <c r="DO474"/>
  <c r="DP474"/>
  <c r="DO473"/>
  <c r="DP473"/>
  <c r="DO472"/>
  <c r="DP472"/>
  <c r="DO471"/>
  <c r="DP471"/>
  <c r="DO470"/>
  <c r="DP470"/>
  <c r="DO469"/>
  <c r="DP469"/>
  <c r="DO468"/>
  <c r="DP468"/>
  <c r="DO467"/>
  <c r="DP467"/>
  <c r="DO466"/>
  <c r="DP466"/>
  <c r="DO465"/>
  <c r="DP465"/>
  <c r="DO464"/>
  <c r="DP464"/>
  <c r="DO461"/>
  <c r="DP461"/>
  <c r="DO460"/>
  <c r="DP460"/>
  <c r="DO458"/>
  <c r="DP458"/>
  <c r="DO457"/>
  <c r="DP457"/>
  <c r="DO456"/>
  <c r="DP456"/>
  <c r="DO455"/>
  <c r="DP455"/>
  <c r="DO454"/>
  <c r="DP454"/>
  <c r="DO451"/>
  <c r="DP451"/>
  <c r="DO450"/>
  <c r="DP450"/>
  <c r="DO449"/>
  <c r="DP449"/>
  <c r="DO448"/>
  <c r="DP448"/>
  <c r="DO447"/>
  <c r="DP447"/>
  <c r="DO446"/>
  <c r="DP446"/>
  <c r="DO445"/>
  <c r="DP445"/>
  <c r="DO444"/>
  <c r="DP444"/>
  <c r="DO443"/>
  <c r="DP443"/>
  <c r="DO442"/>
  <c r="DP442"/>
  <c r="DO441"/>
  <c r="DP441"/>
  <c r="DO440"/>
  <c r="DP440"/>
  <c r="DO439"/>
  <c r="DP439"/>
  <c r="DO438"/>
  <c r="DP438"/>
  <c r="DO437"/>
  <c r="DP437"/>
  <c r="DO434"/>
  <c r="DP434"/>
  <c r="DO433"/>
  <c r="DP433"/>
  <c r="DO431"/>
  <c r="DP431"/>
  <c r="DO430"/>
  <c r="DP430"/>
  <c r="DO429"/>
  <c r="DP429"/>
  <c r="DO426"/>
  <c r="DP426"/>
  <c r="DO425"/>
  <c r="DP425"/>
  <c r="DO424"/>
  <c r="DP424"/>
  <c r="DO423"/>
  <c r="DP423"/>
  <c r="DO422"/>
  <c r="DP422"/>
  <c r="DO421"/>
  <c r="DP421"/>
  <c r="DO420"/>
  <c r="DP420"/>
  <c r="DO419"/>
  <c r="DP419"/>
  <c r="DO418"/>
  <c r="DP418"/>
  <c r="DO417"/>
  <c r="DP417"/>
  <c r="DO416"/>
  <c r="DP416"/>
  <c r="DO415"/>
  <c r="DP415"/>
  <c r="DO414"/>
  <c r="DP414"/>
  <c r="DO413"/>
  <c r="DP413"/>
  <c r="DO412"/>
  <c r="DP412"/>
  <c r="DO411"/>
  <c r="DP411"/>
  <c r="DO410"/>
  <c r="DP410"/>
  <c r="DO409"/>
  <c r="DP409"/>
  <c r="DO408"/>
  <c r="DP408"/>
  <c r="DO407"/>
  <c r="DP407"/>
  <c r="DO406"/>
  <c r="DP406"/>
  <c r="DO405"/>
  <c r="DP405"/>
  <c r="DO404"/>
  <c r="DP404"/>
  <c r="DO403"/>
  <c r="DP403"/>
  <c r="DO402"/>
  <c r="DP402"/>
  <c r="DO398"/>
  <c r="DP398"/>
  <c r="DO397"/>
  <c r="DP397"/>
  <c r="DO396"/>
  <c r="DP396"/>
  <c r="DO395"/>
  <c r="DP395"/>
  <c r="DO394"/>
  <c r="DP394"/>
  <c r="DO392"/>
  <c r="DP392"/>
  <c r="DO391"/>
  <c r="DP391"/>
  <c r="DO390"/>
  <c r="DP390"/>
  <c r="DO389"/>
  <c r="DP389"/>
  <c r="DO388"/>
  <c r="DP388"/>
  <c r="DO393"/>
  <c r="DP393"/>
  <c r="DO387"/>
  <c r="DP387"/>
  <c r="DO386"/>
  <c r="DP386"/>
  <c r="DO385"/>
  <c r="DP385"/>
  <c r="DO384"/>
  <c r="DP384"/>
  <c r="DO383"/>
  <c r="DP383"/>
  <c r="DO382"/>
  <c r="DP382"/>
  <c r="DO377"/>
  <c r="DP377"/>
  <c r="DO376"/>
  <c r="DP376"/>
  <c r="DO378"/>
  <c r="DP378"/>
  <c r="DO375"/>
  <c r="DP375"/>
  <c r="DO381"/>
  <c r="DP381"/>
  <c r="DO374"/>
  <c r="DP374"/>
  <c r="DO380"/>
  <c r="DP380"/>
  <c r="DO379"/>
  <c r="DP379"/>
  <c r="DO372"/>
  <c r="DP372"/>
  <c r="DO371"/>
  <c r="DP371"/>
  <c r="DO369"/>
  <c r="DP369"/>
  <c r="DO368"/>
  <c r="DP368"/>
  <c r="DO367"/>
  <c r="DP367"/>
  <c r="DO366"/>
  <c r="DP366"/>
  <c r="DO365"/>
  <c r="DP365"/>
  <c r="DO364"/>
  <c r="DP364"/>
  <c r="DO363"/>
  <c r="DP363"/>
  <c r="DO362"/>
  <c r="DP362"/>
  <c r="DO361"/>
  <c r="DP361"/>
  <c r="DO360"/>
  <c r="DP360"/>
  <c r="DO359"/>
  <c r="DP359"/>
  <c r="DO358"/>
  <c r="DP358"/>
  <c r="DO357"/>
  <c r="DP357"/>
  <c r="DO356"/>
  <c r="DP356"/>
  <c r="DO355"/>
  <c r="DP355"/>
  <c r="DO354"/>
  <c r="DP354"/>
  <c r="DO353"/>
  <c r="DP353"/>
  <c r="DO352"/>
  <c r="DP352"/>
  <c r="DO351"/>
  <c r="DP351"/>
  <c r="DO350"/>
  <c r="DP350"/>
  <c r="DO349"/>
  <c r="DP349"/>
  <c r="DO348"/>
  <c r="DP348"/>
  <c r="DO347"/>
  <c r="DP347"/>
  <c r="DO346"/>
  <c r="DP346"/>
  <c r="DO345"/>
  <c r="DP345"/>
  <c r="DO344"/>
  <c r="DP344"/>
  <c r="DO343"/>
  <c r="DP343"/>
  <c r="DO342"/>
  <c r="DP342"/>
  <c r="DO341"/>
  <c r="DP341"/>
  <c r="DO340"/>
  <c r="DP340"/>
  <c r="DO339"/>
  <c r="DP339"/>
  <c r="DO338"/>
  <c r="DP338"/>
  <c r="DO337"/>
  <c r="DP337"/>
  <c r="DO336"/>
  <c r="DP336"/>
  <c r="DO335"/>
  <c r="DP335"/>
  <c r="DO334"/>
  <c r="DP334"/>
  <c r="DO333"/>
  <c r="DP333"/>
  <c r="DO332"/>
  <c r="DP332"/>
  <c r="DO331"/>
  <c r="DP331"/>
  <c r="DO330"/>
  <c r="DP330"/>
  <c r="DO329"/>
  <c r="DP329"/>
  <c r="DO328"/>
  <c r="DP328"/>
  <c r="DO327"/>
  <c r="DP327"/>
  <c r="DO326"/>
  <c r="DP326"/>
  <c r="DO325"/>
  <c r="DP325"/>
  <c r="DO324"/>
  <c r="DP324"/>
  <c r="DO321"/>
  <c r="DP321"/>
  <c r="DO323"/>
  <c r="DP323"/>
  <c r="DO322"/>
  <c r="DP322"/>
  <c r="DO320"/>
  <c r="DP320"/>
  <c r="DO319"/>
  <c r="DP319"/>
  <c r="DO318"/>
  <c r="DP318"/>
  <c r="DO317"/>
  <c r="DP317"/>
  <c r="DO316"/>
  <c r="DP316"/>
  <c r="DO315"/>
  <c r="DP315"/>
  <c r="DO314"/>
  <c r="DP314"/>
  <c r="DO312"/>
  <c r="DP312"/>
  <c r="DO313"/>
  <c r="DP313"/>
  <c r="DO311"/>
  <c r="DP311"/>
  <c r="DO310"/>
  <c r="DP310"/>
  <c r="DO309"/>
  <c r="DP309"/>
  <c r="DO308"/>
  <c r="DP308"/>
  <c r="DO307"/>
  <c r="DP307"/>
  <c r="DO306"/>
  <c r="DP306"/>
  <c r="DO303"/>
  <c r="DP303"/>
  <c r="DO302"/>
  <c r="DP302"/>
  <c r="DO301"/>
  <c r="DP301"/>
  <c r="DO298"/>
  <c r="DP298"/>
  <c r="DO297"/>
  <c r="DP297"/>
  <c r="DO293"/>
  <c r="DP293"/>
  <c r="DO296"/>
  <c r="DP296"/>
  <c r="DO292"/>
  <c r="DP292"/>
  <c r="DO291"/>
  <c r="DP291"/>
  <c r="DO295"/>
  <c r="DP295"/>
  <c r="DO290"/>
  <c r="DP290"/>
  <c r="DO289"/>
  <c r="DP289"/>
  <c r="DO294"/>
  <c r="DP294"/>
  <c r="DO288"/>
  <c r="DP288"/>
  <c r="DO287"/>
  <c r="DP287"/>
  <c r="DO286"/>
  <c r="DP286"/>
  <c r="DO285"/>
  <c r="DP285"/>
  <c r="DO281"/>
  <c r="DP281"/>
  <c r="DO283"/>
  <c r="DP283"/>
  <c r="DO282"/>
  <c r="DP282"/>
  <c r="DO280"/>
  <c r="DP280"/>
  <c r="DO279"/>
  <c r="DP279"/>
  <c r="DO278"/>
  <c r="DP278"/>
  <c r="DO277"/>
  <c r="DP277"/>
  <c r="DO284"/>
  <c r="DP284"/>
  <c r="DO276"/>
  <c r="DP276"/>
  <c r="DO275"/>
  <c r="DP275"/>
  <c r="DO272"/>
  <c r="DP272"/>
  <c r="DO266"/>
  <c r="DP266"/>
  <c r="DO271"/>
  <c r="DP271"/>
  <c r="DO267"/>
  <c r="DP267"/>
  <c r="DO270"/>
  <c r="DP270"/>
  <c r="DO268"/>
  <c r="DP268"/>
  <c r="DO265"/>
  <c r="DP265"/>
  <c r="DO264"/>
  <c r="DP264"/>
  <c r="DO269"/>
  <c r="DP269"/>
  <c r="DO263"/>
  <c r="DP263"/>
  <c r="DO262"/>
  <c r="DP262"/>
  <c r="DO261"/>
  <c r="DP261"/>
  <c r="DO260"/>
  <c r="DP260"/>
  <c r="DO259"/>
  <c r="DP259"/>
  <c r="DO258"/>
  <c r="DP258"/>
  <c r="DO257"/>
  <c r="DP257"/>
  <c r="DO256"/>
  <c r="DP256"/>
  <c r="DO255"/>
  <c r="DP255"/>
  <c r="DO254"/>
  <c r="DP254"/>
  <c r="DO253"/>
  <c r="DP253"/>
  <c r="DO252"/>
  <c r="DP252"/>
  <c r="DO251"/>
  <c r="DP251"/>
  <c r="DO249"/>
  <c r="DP249"/>
  <c r="DO250"/>
  <c r="DP250"/>
  <c r="DO248"/>
  <c r="DP248"/>
  <c r="DO247"/>
  <c r="DP247"/>
  <c r="DO246"/>
  <c r="DP246"/>
  <c r="DO245"/>
  <c r="DP245"/>
  <c r="DO244"/>
  <c r="DP244"/>
  <c r="DO243"/>
  <c r="DP243"/>
  <c r="DO242"/>
  <c r="DP242"/>
  <c r="DO241"/>
  <c r="DP241"/>
  <c r="DO240"/>
  <c r="DP240"/>
  <c r="DO239"/>
  <c r="DP239"/>
  <c r="DO238"/>
  <c r="DP238"/>
  <c r="DO237"/>
  <c r="DP237"/>
  <c r="DO236"/>
  <c r="DP236"/>
  <c r="DO235"/>
  <c r="DP235"/>
  <c r="DO234"/>
  <c r="DP234"/>
  <c r="DO233"/>
  <c r="DP233"/>
  <c r="DO229"/>
  <c r="DP229"/>
  <c r="DO232"/>
  <c r="DP232"/>
  <c r="DO227"/>
  <c r="DP227"/>
  <c r="DO226"/>
  <c r="DP226"/>
  <c r="DO225"/>
  <c r="DP225"/>
  <c r="DO224"/>
  <c r="DP224"/>
  <c r="DO223"/>
  <c r="DP223"/>
  <c r="DO222"/>
  <c r="DP222"/>
  <c r="DO221"/>
  <c r="DP221"/>
  <c r="DO220"/>
  <c r="DP220"/>
  <c r="DO219"/>
  <c r="DP219"/>
  <c r="DO218"/>
  <c r="DP218"/>
  <c r="DO217"/>
  <c r="DP217"/>
  <c r="DO216"/>
  <c r="DP216"/>
  <c r="DO215"/>
  <c r="DP215"/>
  <c r="DO214"/>
  <c r="DP214"/>
  <c r="DO213"/>
  <c r="DP213"/>
  <c r="DO212"/>
  <c r="DP212"/>
  <c r="DO211"/>
  <c r="DP211"/>
  <c r="DO210"/>
  <c r="DP210"/>
  <c r="DO209"/>
  <c r="DP209"/>
  <c r="DO208"/>
  <c r="DP208"/>
  <c r="DO207"/>
  <c r="DP207"/>
  <c r="DO206"/>
  <c r="DP206"/>
  <c r="DO205"/>
  <c r="DP205"/>
  <c r="DO203"/>
  <c r="DP203"/>
  <c r="DO202"/>
  <c r="DP202"/>
  <c r="DO201"/>
  <c r="DP201"/>
  <c r="DO200"/>
  <c r="DP200"/>
  <c r="DO199"/>
  <c r="DP199"/>
  <c r="DO198"/>
  <c r="DP198"/>
  <c r="DO197"/>
  <c r="DP197"/>
  <c r="DO196"/>
  <c r="DP196"/>
  <c r="DO195"/>
  <c r="DP195"/>
  <c r="DO194"/>
  <c r="DP194"/>
  <c r="DO193"/>
  <c r="DP193"/>
  <c r="DO192"/>
  <c r="DP192"/>
  <c r="DO191"/>
  <c r="DP191"/>
  <c r="DO190"/>
  <c r="DP190"/>
  <c r="DO189"/>
  <c r="DP189"/>
  <c r="DO188"/>
  <c r="DP188"/>
  <c r="DO187"/>
  <c r="DP187"/>
  <c r="DO186"/>
  <c r="DP186"/>
  <c r="DO183"/>
  <c r="DP183"/>
  <c r="DO182"/>
  <c r="DP182"/>
  <c r="DO181"/>
  <c r="DP181"/>
  <c r="DO180"/>
  <c r="DP180"/>
  <c r="DO179"/>
  <c r="DP179"/>
  <c r="DO178"/>
  <c r="DP178"/>
  <c r="DO177"/>
  <c r="DP177"/>
  <c r="DO174"/>
  <c r="DP174"/>
  <c r="DO173"/>
  <c r="DP173"/>
  <c r="DO172"/>
  <c r="DP172"/>
  <c r="DO171"/>
  <c r="DP171"/>
  <c r="DO170"/>
  <c r="DP170"/>
  <c r="DO169"/>
  <c r="DP169"/>
  <c r="DO168"/>
  <c r="DP168"/>
  <c r="DO167"/>
  <c r="DP167"/>
  <c r="DO166"/>
  <c r="DP166"/>
  <c r="DO165"/>
  <c r="DP165"/>
  <c r="DO164"/>
  <c r="DP164"/>
  <c r="DO163"/>
  <c r="DP163"/>
  <c r="DO162"/>
  <c r="DP162"/>
  <c r="DO161"/>
  <c r="DP161"/>
  <c r="DO160"/>
  <c r="DP160"/>
  <c r="DO159"/>
  <c r="DP159"/>
  <c r="DO158"/>
  <c r="DP158"/>
  <c r="DO157"/>
  <c r="DP157"/>
  <c r="DO156"/>
  <c r="DP156"/>
  <c r="DO155"/>
  <c r="DP155"/>
  <c r="DO154"/>
  <c r="DP154"/>
  <c r="DO153"/>
  <c r="DP153"/>
  <c r="DO152"/>
  <c r="DP152"/>
  <c r="DO151"/>
  <c r="DP151"/>
  <c r="DO150"/>
  <c r="DP150"/>
  <c r="DO149"/>
  <c r="DP149"/>
  <c r="DO148"/>
  <c r="DP148"/>
  <c r="DO147"/>
  <c r="DP147"/>
  <c r="DO144"/>
  <c r="DP144"/>
  <c r="DO143"/>
  <c r="DP143"/>
  <c r="DO142"/>
  <c r="DP142"/>
  <c r="DO140"/>
  <c r="DP140"/>
  <c r="DO139"/>
  <c r="DP139"/>
  <c r="DO138"/>
  <c r="DP138"/>
  <c r="DO137"/>
  <c r="DP137"/>
  <c r="DO136"/>
  <c r="DP136"/>
  <c r="DO134"/>
  <c r="DP134"/>
  <c r="DO131"/>
  <c r="DP131"/>
  <c r="DO130"/>
  <c r="DP130"/>
  <c r="DO129"/>
  <c r="DP129"/>
  <c r="DO128"/>
  <c r="DP128"/>
  <c r="DO127"/>
  <c r="DP127"/>
  <c r="DO124"/>
  <c r="DP124"/>
  <c r="DO123"/>
  <c r="DP123"/>
  <c r="DO122"/>
  <c r="DP122"/>
  <c r="DO121"/>
  <c r="DP121"/>
  <c r="DO120"/>
  <c r="DP120"/>
  <c r="DO119"/>
  <c r="DP119"/>
  <c r="DO118"/>
  <c r="DP118"/>
  <c r="DO117"/>
  <c r="DP117"/>
  <c r="DO116"/>
  <c r="DP116"/>
  <c r="DO114"/>
  <c r="DP114"/>
  <c r="DO113"/>
  <c r="DP113"/>
  <c r="DO112"/>
  <c r="DP112"/>
  <c r="DO111"/>
  <c r="DP111"/>
  <c r="DO110"/>
  <c r="DP110"/>
  <c r="DO109"/>
  <c r="DP109"/>
  <c r="DO106"/>
  <c r="DP106"/>
  <c r="DO104"/>
  <c r="DP104"/>
  <c r="DO103"/>
  <c r="DP103"/>
  <c r="DO102"/>
  <c r="DP102"/>
  <c r="DO101"/>
  <c r="DP101"/>
  <c r="DO100"/>
  <c r="DP100"/>
  <c r="DO99"/>
  <c r="DP99"/>
  <c r="DO98"/>
  <c r="DP98"/>
  <c r="DO97"/>
  <c r="DP97"/>
  <c r="DO96"/>
  <c r="DP96"/>
  <c r="DO95"/>
  <c r="DP95"/>
  <c r="DO94"/>
  <c r="DP94"/>
  <c r="DO92"/>
  <c r="DP92"/>
  <c r="DO91"/>
  <c r="DP91"/>
  <c r="DO90"/>
  <c r="DP90"/>
  <c r="DO89"/>
  <c r="DP89"/>
  <c r="DO88"/>
  <c r="DP88"/>
  <c r="DO86"/>
  <c r="DP86"/>
  <c r="DO85"/>
  <c r="DP85"/>
  <c r="DO82"/>
  <c r="DP82"/>
  <c r="DO81"/>
  <c r="DP81"/>
  <c r="DO80"/>
  <c r="DP80"/>
  <c r="DO77"/>
  <c r="DP77"/>
  <c r="DO74"/>
  <c r="DP74"/>
  <c r="DO73"/>
  <c r="DP73"/>
  <c r="DO72"/>
  <c r="DP72"/>
  <c r="DO69"/>
  <c r="DP69"/>
  <c r="DO68"/>
  <c r="DP68"/>
  <c r="DO67"/>
  <c r="DP67"/>
  <c r="DO66"/>
  <c r="DP66"/>
  <c r="DO63"/>
  <c r="DP63"/>
  <c r="DO62"/>
  <c r="DP62"/>
  <c r="DO61"/>
  <c r="DP61"/>
  <c r="DO60"/>
  <c r="DP60"/>
  <c r="DO59"/>
  <c r="DP59"/>
  <c r="DO58"/>
  <c r="DP58"/>
  <c r="DO57"/>
  <c r="DP57"/>
  <c r="DO56"/>
  <c r="DP56"/>
  <c r="DO55"/>
  <c r="DP55"/>
  <c r="DO54"/>
  <c r="DP54"/>
  <c r="DO53"/>
  <c r="DP53"/>
  <c r="DO52"/>
  <c r="DP52"/>
  <c r="DO51"/>
  <c r="DP51"/>
  <c r="DO49"/>
  <c r="DP49"/>
  <c r="DO48"/>
  <c r="DP48"/>
  <c r="DO47"/>
  <c r="DP47"/>
  <c r="DO46"/>
  <c r="DP46"/>
  <c r="DO45"/>
  <c r="DP45"/>
  <c r="DO42"/>
  <c r="DP42"/>
  <c r="DO41"/>
  <c r="DP41"/>
  <c r="DO40"/>
  <c r="DP40"/>
  <c r="DO39"/>
  <c r="DP39"/>
  <c r="DO38"/>
  <c r="DP38"/>
  <c r="DO37"/>
  <c r="DP37"/>
  <c r="DO36"/>
  <c r="DP36"/>
  <c r="DO35"/>
  <c r="DP35"/>
  <c r="DO34"/>
  <c r="DP34"/>
  <c r="DO32"/>
  <c r="DP32"/>
  <c r="DO31"/>
  <c r="DP31"/>
  <c r="DO28"/>
  <c r="DP28"/>
  <c r="DO27"/>
  <c r="DP27"/>
  <c r="DO26"/>
  <c r="DP26"/>
  <c r="DO25"/>
  <c r="DP25"/>
  <c r="DO24"/>
  <c r="DP24"/>
  <c r="DO23"/>
  <c r="DP23"/>
  <c r="DO22"/>
  <c r="DP22"/>
  <c r="DO21"/>
  <c r="DP21"/>
  <c r="DO20"/>
  <c r="DP20"/>
  <c r="DO19"/>
  <c r="DP19"/>
  <c r="DO18"/>
  <c r="DP18"/>
  <c r="DO17"/>
  <c r="DP17"/>
  <c r="DO16"/>
  <c r="DP16"/>
  <c r="DO15"/>
  <c r="DP15"/>
  <c r="DO14"/>
  <c r="DP14"/>
  <c r="DO13"/>
  <c r="DP13"/>
  <c r="U554"/>
  <c r="AD97"/>
  <c r="EM97"/>
  <c r="EJ97"/>
  <c r="EP97" s="1"/>
  <c r="CM97"/>
  <c r="CL97"/>
  <c r="CK97"/>
  <c r="CJ97"/>
  <c r="CI97"/>
  <c r="A97"/>
  <c r="CH97"/>
  <c r="U97"/>
  <c r="AD573"/>
  <c r="EM573"/>
  <c r="EJ573"/>
  <c r="EP573" s="1"/>
  <c r="CM573"/>
  <c r="CL573"/>
  <c r="CK573"/>
  <c r="CJ573"/>
  <c r="CI573"/>
  <c r="A573"/>
  <c r="CH573"/>
  <c r="O573"/>
  <c r="EM553"/>
  <c r="EJ553"/>
  <c r="EP553"/>
  <c r="CM553"/>
  <c r="CL553"/>
  <c r="CK553"/>
  <c r="CJ553"/>
  <c r="CI553"/>
  <c r="A553"/>
  <c r="CH553" s="1"/>
  <c r="U553"/>
  <c r="AD532"/>
  <c r="EM532"/>
  <c r="EJ532"/>
  <c r="EP532"/>
  <c r="CM532"/>
  <c r="CL532"/>
  <c r="CK532"/>
  <c r="CJ532"/>
  <c r="CI532"/>
  <c r="A532"/>
  <c r="CH532" s="1"/>
  <c r="U532"/>
  <c r="O532"/>
  <c r="EM489"/>
  <c r="EJ489"/>
  <c r="EP489"/>
  <c r="CM489"/>
  <c r="CL489"/>
  <c r="CK489"/>
  <c r="CJ489"/>
  <c r="CI489"/>
  <c r="A489"/>
  <c r="CH489" s="1"/>
  <c r="U489"/>
  <c r="EM421"/>
  <c r="EJ421"/>
  <c r="EP421" s="1"/>
  <c r="CM421"/>
  <c r="CL421"/>
  <c r="CK421"/>
  <c r="CJ421"/>
  <c r="CI421"/>
  <c r="A421"/>
  <c r="CH421"/>
  <c r="U421"/>
  <c r="O421"/>
  <c r="EM415"/>
  <c r="EJ415"/>
  <c r="EP415" s="1"/>
  <c r="CM415"/>
  <c r="CL415"/>
  <c r="CK415"/>
  <c r="CJ415"/>
  <c r="CI415"/>
  <c r="A415"/>
  <c r="CH415"/>
  <c r="U415"/>
  <c r="AD397"/>
  <c r="EM397"/>
  <c r="EJ397"/>
  <c r="EP397" s="1"/>
  <c r="CM397"/>
  <c r="CL397"/>
  <c r="CK397"/>
  <c r="CJ397"/>
  <c r="CI397"/>
  <c r="A397"/>
  <c r="CH397"/>
  <c r="U397"/>
  <c r="O397"/>
  <c r="EM349"/>
  <c r="EJ349"/>
  <c r="EP349" s="1"/>
  <c r="CM349"/>
  <c r="CL349"/>
  <c r="CK349"/>
  <c r="CJ349"/>
  <c r="CI349"/>
  <c r="A349"/>
  <c r="CH349"/>
  <c r="U349"/>
  <c r="AD290"/>
  <c r="EM290"/>
  <c r="EJ290"/>
  <c r="EP290" s="1"/>
  <c r="CM290"/>
  <c r="CL290"/>
  <c r="CK290"/>
  <c r="CJ290"/>
  <c r="CI290"/>
  <c r="A290"/>
  <c r="CH290"/>
  <c r="U290"/>
  <c r="O290"/>
  <c r="EM287"/>
  <c r="EJ287"/>
  <c r="EP287" s="1"/>
  <c r="CM287"/>
  <c r="CL287"/>
  <c r="CK287"/>
  <c r="CJ287"/>
  <c r="CI287"/>
  <c r="A287"/>
  <c r="CH287"/>
  <c r="U287"/>
  <c r="EM264"/>
  <c r="EJ264"/>
  <c r="EP264"/>
  <c r="CM264"/>
  <c r="CL264"/>
  <c r="CK264"/>
  <c r="CJ264"/>
  <c r="CI264"/>
  <c r="A264"/>
  <c r="CH264" s="1"/>
  <c r="U264"/>
  <c r="O264"/>
  <c r="EM258"/>
  <c r="EJ258"/>
  <c r="EP258" s="1"/>
  <c r="CM258"/>
  <c r="CL258"/>
  <c r="CK258"/>
  <c r="CJ258"/>
  <c r="CI258"/>
  <c r="A258"/>
  <c r="CH258"/>
  <c r="U258"/>
  <c r="EM80"/>
  <c r="EJ80"/>
  <c r="EP80"/>
  <c r="CM80"/>
  <c r="CL80"/>
  <c r="CK80"/>
  <c r="CJ80"/>
  <c r="CI80"/>
  <c r="A80"/>
  <c r="CH80" s="1"/>
  <c r="U80"/>
  <c r="O80"/>
  <c r="EQ596"/>
  <c r="EQ622"/>
  <c r="EQ631"/>
  <c r="EQ653"/>
  <c r="EQ657"/>
  <c r="EQ664"/>
  <c r="EQ674"/>
  <c r="EQ707"/>
  <c r="EQ709"/>
  <c r="EQ711"/>
  <c r="EQ713"/>
  <c r="EQ715"/>
  <c r="EQ719"/>
  <c r="EQ721"/>
  <c r="BX742"/>
  <c r="BW742"/>
  <c r="EQ61"/>
  <c r="EQ81"/>
  <c r="EQ82"/>
  <c r="EQ155"/>
  <c r="EQ165"/>
  <c r="EQ167"/>
  <c r="EQ173"/>
  <c r="EQ182"/>
  <c r="EQ193"/>
  <c r="EQ212"/>
  <c r="EQ220"/>
  <c r="EQ235"/>
  <c r="EQ242"/>
  <c r="EQ244"/>
  <c r="EQ245"/>
  <c r="EQ263"/>
  <c r="EQ272"/>
  <c r="EQ285"/>
  <c r="EQ301"/>
  <c r="EQ307"/>
  <c r="EQ350"/>
  <c r="EQ375"/>
  <c r="EQ382"/>
  <c r="EQ384"/>
  <c r="EQ386"/>
  <c r="EQ398"/>
  <c r="EQ423"/>
  <c r="EQ425"/>
  <c r="EQ431"/>
  <c r="EQ441"/>
  <c r="EQ454"/>
  <c r="EQ465"/>
  <c r="EQ467"/>
  <c r="EQ480"/>
  <c r="EQ487"/>
  <c r="EQ497"/>
  <c r="EQ520"/>
  <c r="EQ522"/>
  <c r="EQ524"/>
  <c r="EM19"/>
  <c r="EJ19"/>
  <c r="EP19"/>
  <c r="EM412"/>
  <c r="EJ412"/>
  <c r="EP412" s="1"/>
  <c r="EM508"/>
  <c r="EJ508"/>
  <c r="EP508"/>
  <c r="EM670"/>
  <c r="EJ670"/>
  <c r="EP670" s="1"/>
  <c r="EM688"/>
  <c r="EJ688"/>
  <c r="EP688"/>
  <c r="EM13"/>
  <c r="EJ13"/>
  <c r="EP13" s="1"/>
  <c r="EM14"/>
  <c r="EJ14"/>
  <c r="EP14"/>
  <c r="EM15"/>
  <c r="EJ15"/>
  <c r="EP15" s="1"/>
  <c r="EM16"/>
  <c r="EJ16"/>
  <c r="EP16"/>
  <c r="EM17"/>
  <c r="EJ17"/>
  <c r="EP17" s="1"/>
  <c r="EM18"/>
  <c r="EJ18"/>
  <c r="EP18"/>
  <c r="EM20"/>
  <c r="EJ20"/>
  <c r="EP20" s="1"/>
  <c r="EM21"/>
  <c r="EJ21"/>
  <c r="EP21"/>
  <c r="EM22"/>
  <c r="EJ22"/>
  <c r="EP22" s="1"/>
  <c r="EM23"/>
  <c r="EJ23"/>
  <c r="EP23"/>
  <c r="EM24"/>
  <c r="EJ24"/>
  <c r="EP24" s="1"/>
  <c r="EM25"/>
  <c r="EJ25"/>
  <c r="EP25"/>
  <c r="EM26"/>
  <c r="EJ26"/>
  <c r="EP26" s="1"/>
  <c r="EM27"/>
  <c r="EJ27"/>
  <c r="EP27"/>
  <c r="EM28"/>
  <c r="EJ28"/>
  <c r="EP28" s="1"/>
  <c r="EM31"/>
  <c r="EJ31"/>
  <c r="EP31"/>
  <c r="EM32"/>
  <c r="EJ32"/>
  <c r="EP32" s="1"/>
  <c r="EM34"/>
  <c r="EJ34"/>
  <c r="EP34"/>
  <c r="EM35"/>
  <c r="EJ35"/>
  <c r="EP35" s="1"/>
  <c r="EM36"/>
  <c r="EJ36"/>
  <c r="EP36"/>
  <c r="EM37"/>
  <c r="EJ37"/>
  <c r="EP37" s="1"/>
  <c r="EM38"/>
  <c r="EJ38"/>
  <c r="EP38"/>
  <c r="EM39"/>
  <c r="EJ39"/>
  <c r="EP39" s="1"/>
  <c r="EM40"/>
  <c r="EJ40"/>
  <c r="EP40"/>
  <c r="EM41"/>
  <c r="EJ41"/>
  <c r="EP41" s="1"/>
  <c r="EM42"/>
  <c r="EJ42"/>
  <c r="EP42"/>
  <c r="EM45"/>
  <c r="EJ45"/>
  <c r="EP45" s="1"/>
  <c r="EM46"/>
  <c r="EJ46"/>
  <c r="EP46"/>
  <c r="EM47"/>
  <c r="EJ47"/>
  <c r="EP47" s="1"/>
  <c r="EM48"/>
  <c r="EJ48"/>
  <c r="EP48"/>
  <c r="EM49"/>
  <c r="EJ49"/>
  <c r="EP49" s="1"/>
  <c r="EM51"/>
  <c r="EJ51"/>
  <c r="EP51"/>
  <c r="EM52"/>
  <c r="EJ52"/>
  <c r="EP52" s="1"/>
  <c r="EM53"/>
  <c r="EJ53"/>
  <c r="EP53"/>
  <c r="EM54"/>
  <c r="EJ54"/>
  <c r="EP54" s="1"/>
  <c r="EM55"/>
  <c r="EJ55"/>
  <c r="EP55"/>
  <c r="EM56"/>
  <c r="EJ56"/>
  <c r="EP56" s="1"/>
  <c r="EM57"/>
  <c r="EJ57"/>
  <c r="EP57"/>
  <c r="EM58"/>
  <c r="EJ58"/>
  <c r="EP58" s="1"/>
  <c r="EM59"/>
  <c r="EJ59"/>
  <c r="EP59"/>
  <c r="EM60"/>
  <c r="EJ60"/>
  <c r="EP60" s="1"/>
  <c r="EM61"/>
  <c r="EJ61"/>
  <c r="EP61"/>
  <c r="EM62"/>
  <c r="EJ62"/>
  <c r="EP62" s="1"/>
  <c r="EM63"/>
  <c r="EJ63"/>
  <c r="EP63"/>
  <c r="EM66"/>
  <c r="EJ66"/>
  <c r="EP66" s="1"/>
  <c r="EM67"/>
  <c r="EJ67"/>
  <c r="EP67"/>
  <c r="EM68"/>
  <c r="EJ68"/>
  <c r="EP68" s="1"/>
  <c r="EM69"/>
  <c r="EJ69"/>
  <c r="EP69"/>
  <c r="EM72"/>
  <c r="EJ72"/>
  <c r="EP72" s="1"/>
  <c r="EM73"/>
  <c r="EJ73"/>
  <c r="EP73"/>
  <c r="EM74"/>
  <c r="EJ74"/>
  <c r="EP74" s="1"/>
  <c r="EM77"/>
  <c r="EJ77"/>
  <c r="EP77"/>
  <c r="EM81"/>
  <c r="EJ81"/>
  <c r="EP81" s="1"/>
  <c r="EM82"/>
  <c r="EJ82"/>
  <c r="EP82"/>
  <c r="EM85"/>
  <c r="EJ85"/>
  <c r="EP85" s="1"/>
  <c r="EM86"/>
  <c r="EJ86"/>
  <c r="EP86"/>
  <c r="EM88"/>
  <c r="EJ88"/>
  <c r="EP88" s="1"/>
  <c r="EM89"/>
  <c r="EJ89"/>
  <c r="EP89"/>
  <c r="EM90"/>
  <c r="EJ90"/>
  <c r="EP90" s="1"/>
  <c r="EM91"/>
  <c r="EJ91"/>
  <c r="EP91"/>
  <c r="EM92"/>
  <c r="EJ92"/>
  <c r="EP92" s="1"/>
  <c r="EM94"/>
  <c r="EJ94"/>
  <c r="EP94"/>
  <c r="EM95"/>
  <c r="EJ95"/>
  <c r="EP95" s="1"/>
  <c r="EM96"/>
  <c r="EJ96"/>
  <c r="EP96"/>
  <c r="EM99"/>
  <c r="EJ99"/>
  <c r="EP99" s="1"/>
  <c r="EM98"/>
  <c r="EJ98"/>
  <c r="EP98"/>
  <c r="EM100"/>
  <c r="EJ100"/>
  <c r="EP100" s="1"/>
  <c r="EM101"/>
  <c r="EJ101"/>
  <c r="EP101"/>
  <c r="EM102"/>
  <c r="EJ102"/>
  <c r="EP102" s="1"/>
  <c r="EM103"/>
  <c r="EJ103"/>
  <c r="EP103"/>
  <c r="EM104"/>
  <c r="EJ104"/>
  <c r="EP104" s="1"/>
  <c r="EM106"/>
  <c r="EJ106"/>
  <c r="EP106"/>
  <c r="EM109"/>
  <c r="EJ109"/>
  <c r="EP109" s="1"/>
  <c r="EM110"/>
  <c r="EJ110"/>
  <c r="EP110"/>
  <c r="EM111"/>
  <c r="EJ111"/>
  <c r="EP111" s="1"/>
  <c r="EM112"/>
  <c r="EJ112"/>
  <c r="EP112"/>
  <c r="EM113"/>
  <c r="EJ113"/>
  <c r="EP113" s="1"/>
  <c r="EM114"/>
  <c r="EJ114"/>
  <c r="EP114"/>
  <c r="EM116"/>
  <c r="EJ116"/>
  <c r="EP116" s="1"/>
  <c r="EM117"/>
  <c r="EJ117"/>
  <c r="EP117"/>
  <c r="EM118"/>
  <c r="EJ118"/>
  <c r="EP118" s="1"/>
  <c r="EM119"/>
  <c r="EJ119"/>
  <c r="EP119"/>
  <c r="EM120"/>
  <c r="EJ120"/>
  <c r="EP120" s="1"/>
  <c r="EM121"/>
  <c r="EJ121"/>
  <c r="EP121"/>
  <c r="EM122"/>
  <c r="EJ122"/>
  <c r="EP122" s="1"/>
  <c r="EM123"/>
  <c r="EJ123"/>
  <c r="EP123"/>
  <c r="EM124"/>
  <c r="EJ124"/>
  <c r="EP124" s="1"/>
  <c r="EM127"/>
  <c r="EJ127"/>
  <c r="EP127"/>
  <c r="EM128"/>
  <c r="EJ128"/>
  <c r="EP128" s="1"/>
  <c r="EM129"/>
  <c r="EJ129"/>
  <c r="EP129"/>
  <c r="EM130"/>
  <c r="EJ130"/>
  <c r="EP130" s="1"/>
  <c r="EM131"/>
  <c r="EJ131"/>
  <c r="EP131"/>
  <c r="EM134"/>
  <c r="EJ134"/>
  <c r="EP134" s="1"/>
  <c r="EM136"/>
  <c r="EJ136"/>
  <c r="EP136"/>
  <c r="EM137"/>
  <c r="EJ137"/>
  <c r="EP137" s="1"/>
  <c r="EM138"/>
  <c r="EJ138"/>
  <c r="EP138"/>
  <c r="EM139"/>
  <c r="EJ139"/>
  <c r="EP139" s="1"/>
  <c r="EM140"/>
  <c r="EJ140"/>
  <c r="EP140"/>
  <c r="EM142"/>
  <c r="EJ142"/>
  <c r="EP142" s="1"/>
  <c r="EM143"/>
  <c r="EJ143"/>
  <c r="EP143"/>
  <c r="EM144"/>
  <c r="EJ144"/>
  <c r="EP144" s="1"/>
  <c r="EM147"/>
  <c r="EJ147"/>
  <c r="EP147"/>
  <c r="EM148"/>
  <c r="EJ148"/>
  <c r="EP148" s="1"/>
  <c r="EM149"/>
  <c r="EJ149"/>
  <c r="EP149"/>
  <c r="EM150"/>
  <c r="EJ150"/>
  <c r="EP150" s="1"/>
  <c r="EM151"/>
  <c r="EJ151"/>
  <c r="EP151"/>
  <c r="EM152"/>
  <c r="EJ152"/>
  <c r="EP152" s="1"/>
  <c r="EM153"/>
  <c r="EJ153"/>
  <c r="EP153"/>
  <c r="EM154"/>
  <c r="EJ154"/>
  <c r="EP154" s="1"/>
  <c r="EM155"/>
  <c r="EJ155"/>
  <c r="EP155"/>
  <c r="EM156"/>
  <c r="EJ156"/>
  <c r="EP156" s="1"/>
  <c r="EM157"/>
  <c r="EJ157"/>
  <c r="EP157"/>
  <c r="EM158"/>
  <c r="EJ158"/>
  <c r="EP158" s="1"/>
  <c r="EM159"/>
  <c r="EJ159"/>
  <c r="EP159"/>
  <c r="EM160"/>
  <c r="EJ160"/>
  <c r="EP160" s="1"/>
  <c r="EM161"/>
  <c r="EJ161"/>
  <c r="EP161"/>
  <c r="EM162"/>
  <c r="EJ162"/>
  <c r="EP162" s="1"/>
  <c r="EM163"/>
  <c r="EJ163"/>
  <c r="EP163"/>
  <c r="EM164"/>
  <c r="EJ164"/>
  <c r="EP164" s="1"/>
  <c r="EM165"/>
  <c r="EJ165"/>
  <c r="EP165"/>
  <c r="EM166"/>
  <c r="EJ166"/>
  <c r="EP166" s="1"/>
  <c r="EM167"/>
  <c r="EJ167"/>
  <c r="EP167"/>
  <c r="EM168"/>
  <c r="EJ168"/>
  <c r="EP168" s="1"/>
  <c r="EM169"/>
  <c r="EJ169"/>
  <c r="EP169"/>
  <c r="EM170"/>
  <c r="EJ170"/>
  <c r="EP170" s="1"/>
  <c r="EM171"/>
  <c r="EJ171"/>
  <c r="EP171"/>
  <c r="EM172"/>
  <c r="EJ172"/>
  <c r="EP172" s="1"/>
  <c r="EM173"/>
  <c r="EJ173"/>
  <c r="EP173"/>
  <c r="EM174"/>
  <c r="EJ174"/>
  <c r="EP174" s="1"/>
  <c r="EM177"/>
  <c r="EJ177"/>
  <c r="EP177"/>
  <c r="EM178"/>
  <c r="EJ178"/>
  <c r="EP178" s="1"/>
  <c r="EM179"/>
  <c r="EJ179"/>
  <c r="EP179"/>
  <c r="EM180"/>
  <c r="EJ180"/>
  <c r="EP180" s="1"/>
  <c r="EM181"/>
  <c r="EJ181"/>
  <c r="EP181"/>
  <c r="EM182"/>
  <c r="EJ182"/>
  <c r="EP182" s="1"/>
  <c r="EM183"/>
  <c r="EJ183"/>
  <c r="EP183"/>
  <c r="EM186"/>
  <c r="EJ186"/>
  <c r="EP186" s="1"/>
  <c r="EM187"/>
  <c r="EJ187"/>
  <c r="EP187"/>
  <c r="EM188"/>
  <c r="EJ188"/>
  <c r="EP188" s="1"/>
  <c r="EM189"/>
  <c r="EJ189"/>
  <c r="EP189"/>
  <c r="EM190"/>
  <c r="EJ190"/>
  <c r="EP190" s="1"/>
  <c r="EM191"/>
  <c r="EJ191"/>
  <c r="EP191"/>
  <c r="EM192"/>
  <c r="EJ192"/>
  <c r="EP192" s="1"/>
  <c r="EM193"/>
  <c r="EJ193"/>
  <c r="EP193"/>
  <c r="EM194"/>
  <c r="EJ194"/>
  <c r="EP194" s="1"/>
  <c r="EM195"/>
  <c r="EJ195"/>
  <c r="EP195"/>
  <c r="EM196"/>
  <c r="EJ196"/>
  <c r="EP196" s="1"/>
  <c r="EM197"/>
  <c r="EJ197"/>
  <c r="EP197"/>
  <c r="EM198"/>
  <c r="EJ198"/>
  <c r="EP198" s="1"/>
  <c r="EM199"/>
  <c r="EJ199"/>
  <c r="EP199"/>
  <c r="EM200"/>
  <c r="EJ200"/>
  <c r="EP200" s="1"/>
  <c r="EM201"/>
  <c r="EJ201"/>
  <c r="EP201"/>
  <c r="EM202"/>
  <c r="EJ202"/>
  <c r="EP202" s="1"/>
  <c r="EM203"/>
  <c r="EJ203"/>
  <c r="EP203"/>
  <c r="EM205"/>
  <c r="EJ205"/>
  <c r="EP205" s="1"/>
  <c r="EM206"/>
  <c r="EJ206"/>
  <c r="EP206"/>
  <c r="EM207"/>
  <c r="EJ207"/>
  <c r="EP207" s="1"/>
  <c r="EM208"/>
  <c r="EJ208"/>
  <c r="EP208"/>
  <c r="EM209"/>
  <c r="EJ209"/>
  <c r="EP209" s="1"/>
  <c r="EM210"/>
  <c r="EJ210"/>
  <c r="EP210"/>
  <c r="EM211"/>
  <c r="EJ211"/>
  <c r="EP211" s="1"/>
  <c r="EM212"/>
  <c r="EJ212"/>
  <c r="EP212"/>
  <c r="EM213"/>
  <c r="EJ213"/>
  <c r="EP213" s="1"/>
  <c r="EM214"/>
  <c r="EJ214"/>
  <c r="EP214"/>
  <c r="EM215"/>
  <c r="EJ215"/>
  <c r="EP215" s="1"/>
  <c r="EM216"/>
  <c r="EJ216"/>
  <c r="EP216"/>
  <c r="EM217"/>
  <c r="EJ217"/>
  <c r="EP217" s="1"/>
  <c r="EM218"/>
  <c r="EJ218"/>
  <c r="EP218"/>
  <c r="EM219"/>
  <c r="EJ219"/>
  <c r="EP219" s="1"/>
  <c r="EM220"/>
  <c r="EJ220"/>
  <c r="EP220"/>
  <c r="EM221"/>
  <c r="EJ221"/>
  <c r="EP221" s="1"/>
  <c r="EM222"/>
  <c r="EJ222"/>
  <c r="EP222"/>
  <c r="EM223"/>
  <c r="EJ223"/>
  <c r="EP223" s="1"/>
  <c r="EM224"/>
  <c r="EJ224"/>
  <c r="EP224"/>
  <c r="EM225"/>
  <c r="EJ225"/>
  <c r="EP225" s="1"/>
  <c r="EM226"/>
  <c r="EJ226"/>
  <c r="EP226"/>
  <c r="EM227"/>
  <c r="EJ227"/>
  <c r="EP227" s="1"/>
  <c r="EM232"/>
  <c r="EJ232"/>
  <c r="EP232"/>
  <c r="EM229"/>
  <c r="EJ229"/>
  <c r="EP229" s="1"/>
  <c r="EM233"/>
  <c r="EJ233"/>
  <c r="EP233"/>
  <c r="EM234"/>
  <c r="EJ234"/>
  <c r="EP234" s="1"/>
  <c r="EM235"/>
  <c r="EJ235"/>
  <c r="EP235"/>
  <c r="EM236"/>
  <c r="EJ236"/>
  <c r="EP236" s="1"/>
  <c r="EM237"/>
  <c r="EJ237"/>
  <c r="EP237"/>
  <c r="EM238"/>
  <c r="EJ238"/>
  <c r="EP238" s="1"/>
  <c r="EM239"/>
  <c r="EJ239"/>
  <c r="EP239"/>
  <c r="EM240"/>
  <c r="EJ240"/>
  <c r="EP240" s="1"/>
  <c r="EM241"/>
  <c r="EJ241"/>
  <c r="EP241"/>
  <c r="EM242"/>
  <c r="EJ242"/>
  <c r="EP242" s="1"/>
  <c r="EM243"/>
  <c r="EJ243"/>
  <c r="EP243"/>
  <c r="EM244"/>
  <c r="EJ244"/>
  <c r="EP244" s="1"/>
  <c r="EM245"/>
  <c r="EJ245"/>
  <c r="EP245"/>
  <c r="EM246"/>
  <c r="EJ246"/>
  <c r="EP246" s="1"/>
  <c r="EM247"/>
  <c r="EJ247"/>
  <c r="EP247"/>
  <c r="EM248"/>
  <c r="EJ248"/>
  <c r="EP248" s="1"/>
  <c r="EM250"/>
  <c r="EJ250"/>
  <c r="EP250"/>
  <c r="EM249"/>
  <c r="EJ249"/>
  <c r="EP249" s="1"/>
  <c r="EM251"/>
  <c r="EJ251"/>
  <c r="EP251"/>
  <c r="EM252"/>
  <c r="EJ252"/>
  <c r="EP252" s="1"/>
  <c r="EM253"/>
  <c r="EJ253"/>
  <c r="EP253"/>
  <c r="EM254"/>
  <c r="EJ254"/>
  <c r="EP254" s="1"/>
  <c r="EM255"/>
  <c r="EJ255"/>
  <c r="EP255"/>
  <c r="EM256"/>
  <c r="EJ256"/>
  <c r="EP256" s="1"/>
  <c r="EM257"/>
  <c r="EJ257"/>
  <c r="EP257"/>
  <c r="EM259"/>
  <c r="EJ259"/>
  <c r="EP259" s="1"/>
  <c r="EM260"/>
  <c r="EJ260"/>
  <c r="EP260"/>
  <c r="EM261"/>
  <c r="EJ261"/>
  <c r="EP261" s="1"/>
  <c r="EM262"/>
  <c r="EJ262"/>
  <c r="EP262"/>
  <c r="EM263"/>
  <c r="EJ263"/>
  <c r="EP263" s="1"/>
  <c r="EM269"/>
  <c r="EJ269"/>
  <c r="EP269"/>
  <c r="EM265"/>
  <c r="EJ265"/>
  <c r="EP265" s="1"/>
  <c r="EM268"/>
  <c r="EJ268"/>
  <c r="EP268"/>
  <c r="EM270"/>
  <c r="EJ270"/>
  <c r="EP270" s="1"/>
  <c r="EM267"/>
  <c r="EJ267"/>
  <c r="EP267"/>
  <c r="EM271"/>
  <c r="EJ271"/>
  <c r="EP271" s="1"/>
  <c r="EM266"/>
  <c r="EJ266"/>
  <c r="EP266"/>
  <c r="EM272"/>
  <c r="EJ272"/>
  <c r="EP272" s="1"/>
  <c r="EM275"/>
  <c r="EJ275"/>
  <c r="EP275"/>
  <c r="EM276"/>
  <c r="EJ276"/>
  <c r="EP276" s="1"/>
  <c r="EM284"/>
  <c r="EJ284"/>
  <c r="EP284"/>
  <c r="EM277"/>
  <c r="EJ277"/>
  <c r="EP277" s="1"/>
  <c r="EM278"/>
  <c r="EJ278"/>
  <c r="EP278"/>
  <c r="EM279"/>
  <c r="EJ279"/>
  <c r="EP279" s="1"/>
  <c r="EM280"/>
  <c r="EJ280"/>
  <c r="EP280"/>
  <c r="EM282"/>
  <c r="EJ282"/>
  <c r="EP282" s="1"/>
  <c r="EM283"/>
  <c r="EJ283"/>
  <c r="EP283"/>
  <c r="EM281"/>
  <c r="EJ281"/>
  <c r="EP281" s="1"/>
  <c r="EM285"/>
  <c r="EJ285"/>
  <c r="EP285"/>
  <c r="EM286"/>
  <c r="EJ286"/>
  <c r="EP286" s="1"/>
  <c r="EM288"/>
  <c r="EJ288"/>
  <c r="EP288"/>
  <c r="EM294"/>
  <c r="EJ294"/>
  <c r="EP294" s="1"/>
  <c r="EM289"/>
  <c r="EJ289"/>
  <c r="EP289"/>
  <c r="EM295"/>
  <c r="EJ295"/>
  <c r="EP295" s="1"/>
  <c r="EM291"/>
  <c r="EJ291"/>
  <c r="EP291"/>
  <c r="EM292"/>
  <c r="EJ292"/>
  <c r="EP292" s="1"/>
  <c r="EM296"/>
  <c r="EJ296"/>
  <c r="EP296"/>
  <c r="EM293"/>
  <c r="EJ293"/>
  <c r="EP293" s="1"/>
  <c r="EM297"/>
  <c r="EJ297"/>
  <c r="EP297"/>
  <c r="EM298"/>
  <c r="EJ298"/>
  <c r="EP298" s="1"/>
  <c r="EM301"/>
  <c r="EJ301"/>
  <c r="EP301"/>
  <c r="EM302"/>
  <c r="EJ302"/>
  <c r="EP302" s="1"/>
  <c r="EM303"/>
  <c r="EJ303"/>
  <c r="EP303"/>
  <c r="EM306"/>
  <c r="EJ306"/>
  <c r="EP306" s="1"/>
  <c r="EM307"/>
  <c r="EJ307"/>
  <c r="EP307"/>
  <c r="EM308"/>
  <c r="EJ308"/>
  <c r="EP308" s="1"/>
  <c r="EM309"/>
  <c r="EJ309"/>
  <c r="EP309"/>
  <c r="EM313"/>
  <c r="EJ313"/>
  <c r="EP313" s="1"/>
  <c r="EM310"/>
  <c r="EJ310"/>
  <c r="EP310"/>
  <c r="EM311"/>
  <c r="EJ311"/>
  <c r="EP311" s="1"/>
  <c r="EM312"/>
  <c r="EJ312"/>
  <c r="EP312"/>
  <c r="EM314"/>
  <c r="EJ314"/>
  <c r="EP314" s="1"/>
  <c r="EM315"/>
  <c r="EJ315"/>
  <c r="EP315"/>
  <c r="EM316"/>
  <c r="EJ316"/>
  <c r="EP316" s="1"/>
  <c r="EM317"/>
  <c r="EJ317"/>
  <c r="EP317"/>
  <c r="EM318"/>
  <c r="EJ318"/>
  <c r="EP318" s="1"/>
  <c r="EM319"/>
  <c r="EJ319"/>
  <c r="EP319"/>
  <c r="EM320"/>
  <c r="EJ320"/>
  <c r="EP320" s="1"/>
  <c r="EM321"/>
  <c r="EJ321"/>
  <c r="EP321"/>
  <c r="EM322"/>
  <c r="EJ322"/>
  <c r="EP322" s="1"/>
  <c r="EM323"/>
  <c r="EJ323"/>
  <c r="EP323"/>
  <c r="EM324"/>
  <c r="EJ324"/>
  <c r="EP324" s="1"/>
  <c r="EM325"/>
  <c r="EJ325"/>
  <c r="EP325"/>
  <c r="EM326"/>
  <c r="EJ326"/>
  <c r="EP326" s="1"/>
  <c r="EM327"/>
  <c r="EJ327"/>
  <c r="EP327"/>
  <c r="EM328"/>
  <c r="EJ328"/>
  <c r="EP328" s="1"/>
  <c r="EM329"/>
  <c r="EJ329"/>
  <c r="EP329"/>
  <c r="EM330"/>
  <c r="EJ330"/>
  <c r="EP330" s="1"/>
  <c r="EM331"/>
  <c r="EJ331"/>
  <c r="EP331"/>
  <c r="EM332"/>
  <c r="EJ332"/>
  <c r="EP332" s="1"/>
  <c r="EM333"/>
  <c r="EJ333"/>
  <c r="EP333"/>
  <c r="EM334"/>
  <c r="EJ334"/>
  <c r="EP334" s="1"/>
  <c r="EM335"/>
  <c r="EJ335"/>
  <c r="EP335"/>
  <c r="EM336"/>
  <c r="EJ336"/>
  <c r="EP336" s="1"/>
  <c r="EM337"/>
  <c r="EJ337"/>
  <c r="EP337"/>
  <c r="EM338"/>
  <c r="EJ338"/>
  <c r="EP338" s="1"/>
  <c r="EM339"/>
  <c r="EJ339"/>
  <c r="EP339"/>
  <c r="EM340"/>
  <c r="EJ340"/>
  <c r="EP340" s="1"/>
  <c r="EM341"/>
  <c r="EJ341"/>
  <c r="EP341"/>
  <c r="EM342"/>
  <c r="EJ342"/>
  <c r="EP342" s="1"/>
  <c r="EM343"/>
  <c r="EJ343"/>
  <c r="EP343"/>
  <c r="EM344"/>
  <c r="EJ344"/>
  <c r="EP344" s="1"/>
  <c r="EM345"/>
  <c r="EJ345"/>
  <c r="EP345"/>
  <c r="EM346"/>
  <c r="EJ346"/>
  <c r="EP346" s="1"/>
  <c r="EM347"/>
  <c r="EJ347"/>
  <c r="EP347"/>
  <c r="EM348"/>
  <c r="EJ348"/>
  <c r="EP348" s="1"/>
  <c r="EM350"/>
  <c r="EJ350"/>
  <c r="EP350"/>
  <c r="EM351"/>
  <c r="EJ351"/>
  <c r="EP351" s="1"/>
  <c r="EM352"/>
  <c r="EJ352"/>
  <c r="EP352"/>
  <c r="EM353"/>
  <c r="EJ353"/>
  <c r="EP353" s="1"/>
  <c r="EM354"/>
  <c r="EJ354"/>
  <c r="EP354"/>
  <c r="EM355"/>
  <c r="EJ355"/>
  <c r="EP355" s="1"/>
  <c r="EM356"/>
  <c r="EJ356"/>
  <c r="EP356"/>
  <c r="EM357"/>
  <c r="EJ357"/>
  <c r="EP357" s="1"/>
  <c r="EM358"/>
  <c r="EJ358"/>
  <c r="EP358"/>
  <c r="EM359"/>
  <c r="EJ359"/>
  <c r="EP359" s="1"/>
  <c r="EM360"/>
  <c r="EJ360"/>
  <c r="EP360"/>
  <c r="EM361"/>
  <c r="EJ361"/>
  <c r="EP361" s="1"/>
  <c r="EM362"/>
  <c r="EJ362"/>
  <c r="EP362"/>
  <c r="EM363"/>
  <c r="EJ363"/>
  <c r="EP363" s="1"/>
  <c r="EM364"/>
  <c r="EJ364"/>
  <c r="EP364"/>
  <c r="EM365"/>
  <c r="EJ365"/>
  <c r="EP365" s="1"/>
  <c r="EM366"/>
  <c r="EJ366"/>
  <c r="EP366"/>
  <c r="EM367"/>
  <c r="EJ367"/>
  <c r="EP367" s="1"/>
  <c r="EM368"/>
  <c r="EJ368"/>
  <c r="EP368"/>
  <c r="EM369"/>
  <c r="EJ369"/>
  <c r="EP369" s="1"/>
  <c r="EM371"/>
  <c r="EJ371"/>
  <c r="EP371"/>
  <c r="EM372"/>
  <c r="EJ372"/>
  <c r="EP372" s="1"/>
  <c r="EM379"/>
  <c r="EJ379"/>
  <c r="EP379"/>
  <c r="EM380"/>
  <c r="EJ380"/>
  <c r="EP380" s="1"/>
  <c r="EM374"/>
  <c r="EJ374"/>
  <c r="EP374"/>
  <c r="EM381"/>
  <c r="EJ381"/>
  <c r="EP381" s="1"/>
  <c r="EM375"/>
  <c r="EJ375"/>
  <c r="EP375"/>
  <c r="EM378"/>
  <c r="EJ378"/>
  <c r="EP378" s="1"/>
  <c r="EM376"/>
  <c r="EJ376"/>
  <c r="EP376"/>
  <c r="EM377"/>
  <c r="EJ377"/>
  <c r="EP377" s="1"/>
  <c r="EM382"/>
  <c r="EJ382"/>
  <c r="EP382"/>
  <c r="EM383"/>
  <c r="EJ383"/>
  <c r="EP383" s="1"/>
  <c r="EM384"/>
  <c r="EJ384"/>
  <c r="EP384"/>
  <c r="EM385"/>
  <c r="EJ385"/>
  <c r="EP385" s="1"/>
  <c r="EM386"/>
  <c r="EJ386"/>
  <c r="EP386"/>
  <c r="EM387"/>
  <c r="EJ387"/>
  <c r="EP387" s="1"/>
  <c r="EM393"/>
  <c r="EJ393"/>
  <c r="EP393"/>
  <c r="EM388"/>
  <c r="EJ388"/>
  <c r="EP388" s="1"/>
  <c r="EM389"/>
  <c r="EJ389"/>
  <c r="EP389"/>
  <c r="EM390"/>
  <c r="EJ390"/>
  <c r="EP390" s="1"/>
  <c r="EM391"/>
  <c r="EJ391"/>
  <c r="EP391"/>
  <c r="EM392"/>
  <c r="EJ392"/>
  <c r="EP392" s="1"/>
  <c r="EM394"/>
  <c r="EJ394"/>
  <c r="EP394"/>
  <c r="EM395"/>
  <c r="EJ395"/>
  <c r="EP395" s="1"/>
  <c r="EM396"/>
  <c r="EJ396"/>
  <c r="EP396"/>
  <c r="EM398"/>
  <c r="EJ398"/>
  <c r="EP398" s="1"/>
  <c r="EM402"/>
  <c r="EJ402"/>
  <c r="EP402"/>
  <c r="EM403"/>
  <c r="EJ403"/>
  <c r="EP403" s="1"/>
  <c r="EM404"/>
  <c r="EJ404"/>
  <c r="EP404"/>
  <c r="EM405"/>
  <c r="EJ405"/>
  <c r="EP405" s="1"/>
  <c r="EM406"/>
  <c r="EJ406"/>
  <c r="EP406"/>
  <c r="EM407"/>
  <c r="EJ407"/>
  <c r="EP407" s="1"/>
  <c r="EM408"/>
  <c r="EJ408"/>
  <c r="EP408"/>
  <c r="EM409"/>
  <c r="EJ409"/>
  <c r="EP409" s="1"/>
  <c r="EM410"/>
  <c r="EJ410"/>
  <c r="EP410"/>
  <c r="EM411"/>
  <c r="EJ411"/>
  <c r="EP411" s="1"/>
  <c r="EM413"/>
  <c r="EJ413"/>
  <c r="EP413"/>
  <c r="EM414"/>
  <c r="EJ414"/>
  <c r="EP414" s="1"/>
  <c r="EM416"/>
  <c r="EJ416"/>
  <c r="EP416"/>
  <c r="EM417"/>
  <c r="EJ417"/>
  <c r="EP417" s="1"/>
  <c r="EM418"/>
  <c r="EJ418"/>
  <c r="EP418"/>
  <c r="EM419"/>
  <c r="EJ419"/>
  <c r="EP419" s="1"/>
  <c r="EM420"/>
  <c r="EJ420"/>
  <c r="EP420"/>
  <c r="EM422"/>
  <c r="EJ422"/>
  <c r="EP422" s="1"/>
  <c r="EM423"/>
  <c r="EJ423"/>
  <c r="EP423"/>
  <c r="EM424"/>
  <c r="EJ424"/>
  <c r="EP424" s="1"/>
  <c r="EM425"/>
  <c r="EJ425"/>
  <c r="EP425"/>
  <c r="EM426"/>
  <c r="EJ426"/>
  <c r="EP426" s="1"/>
  <c r="EM429"/>
  <c r="EJ429"/>
  <c r="EP429"/>
  <c r="EM430"/>
  <c r="EJ430"/>
  <c r="EP430" s="1"/>
  <c r="EM431"/>
  <c r="EJ431"/>
  <c r="EP431"/>
  <c r="EM433"/>
  <c r="EJ433"/>
  <c r="EP433" s="1"/>
  <c r="EM434"/>
  <c r="EJ434"/>
  <c r="EP434"/>
  <c r="EM437"/>
  <c r="EJ437"/>
  <c r="EP437" s="1"/>
  <c r="EM438"/>
  <c r="EJ438"/>
  <c r="EP438"/>
  <c r="EM439"/>
  <c r="EJ439"/>
  <c r="EP439" s="1"/>
  <c r="EM440"/>
  <c r="EJ440"/>
  <c r="EP440"/>
  <c r="EM441"/>
  <c r="EJ441"/>
  <c r="EP441" s="1"/>
  <c r="EM442"/>
  <c r="EJ442"/>
  <c r="EP442"/>
  <c r="EM443"/>
  <c r="EJ443"/>
  <c r="EP443" s="1"/>
  <c r="EM444"/>
  <c r="EJ444"/>
  <c r="EP444"/>
  <c r="EM445"/>
  <c r="EJ445"/>
  <c r="EP445" s="1"/>
  <c r="EM446"/>
  <c r="EJ446"/>
  <c r="EP446"/>
  <c r="EM447"/>
  <c r="EJ447"/>
  <c r="EP447" s="1"/>
  <c r="EM448"/>
  <c r="EJ448"/>
  <c r="EP448"/>
  <c r="EM449"/>
  <c r="EJ449"/>
  <c r="EP449" s="1"/>
  <c r="EM450"/>
  <c r="EJ450"/>
  <c r="EP450"/>
  <c r="EM451"/>
  <c r="EJ451"/>
  <c r="EP451" s="1"/>
  <c r="EM454"/>
  <c r="EJ454"/>
  <c r="EP454"/>
  <c r="EM455"/>
  <c r="EJ455"/>
  <c r="EP455" s="1"/>
  <c r="EM456"/>
  <c r="EJ456"/>
  <c r="EP456"/>
  <c r="EM457"/>
  <c r="EJ457"/>
  <c r="EP457" s="1"/>
  <c r="EM458"/>
  <c r="EJ458"/>
  <c r="EP458"/>
  <c r="EM460"/>
  <c r="EJ460"/>
  <c r="EP460" s="1"/>
  <c r="EM461"/>
  <c r="EJ461"/>
  <c r="EP461"/>
  <c r="EM464"/>
  <c r="EJ464"/>
  <c r="EP464" s="1"/>
  <c r="EM465"/>
  <c r="EJ465"/>
  <c r="EP465"/>
  <c r="EM466"/>
  <c r="EJ466"/>
  <c r="EP466" s="1"/>
  <c r="EM467"/>
  <c r="EJ467"/>
  <c r="EP467"/>
  <c r="EM468"/>
  <c r="EJ468"/>
  <c r="EP468" s="1"/>
  <c r="EM469"/>
  <c r="EJ469"/>
  <c r="EP469"/>
  <c r="EM470"/>
  <c r="EJ470"/>
  <c r="EP470" s="1"/>
  <c r="EM471"/>
  <c r="EJ471"/>
  <c r="EP471"/>
  <c r="EM472"/>
  <c r="EJ472"/>
  <c r="EP472" s="1"/>
  <c r="EM473"/>
  <c r="EJ473"/>
  <c r="EP473"/>
  <c r="EM474"/>
  <c r="EJ474"/>
  <c r="EP474" s="1"/>
  <c r="EM475"/>
  <c r="EJ475"/>
  <c r="EP475"/>
  <c r="EM476"/>
  <c r="EJ476"/>
  <c r="EP476" s="1"/>
  <c r="EM477"/>
  <c r="EJ477"/>
  <c r="EP477"/>
  <c r="EM478"/>
  <c r="EJ478"/>
  <c r="EP478" s="1"/>
  <c r="EM479"/>
  <c r="EJ479"/>
  <c r="EP479"/>
  <c r="EM480"/>
  <c r="EJ480"/>
  <c r="EP480" s="1"/>
  <c r="EM481"/>
  <c r="EJ481"/>
  <c r="EP481"/>
  <c r="EM482"/>
  <c r="EJ482"/>
  <c r="EP482" s="1"/>
  <c r="EM483"/>
  <c r="EJ483"/>
  <c r="EP483"/>
  <c r="EM484"/>
  <c r="EJ484"/>
  <c r="EP484" s="1"/>
  <c r="EM485"/>
  <c r="EJ485"/>
  <c r="EP485"/>
  <c r="EM486"/>
  <c r="EJ486"/>
  <c r="EP486" s="1"/>
  <c r="EM487"/>
  <c r="EJ487"/>
  <c r="EP487"/>
  <c r="EM488"/>
  <c r="EJ488"/>
  <c r="EP488" s="1"/>
  <c r="EM490"/>
  <c r="EJ490"/>
  <c r="EP490"/>
  <c r="EM491"/>
  <c r="EJ491"/>
  <c r="EP491" s="1"/>
  <c r="EM492"/>
  <c r="EJ492"/>
  <c r="EP492"/>
  <c r="EM493"/>
  <c r="EJ493"/>
  <c r="EP493" s="1"/>
  <c r="EM494"/>
  <c r="EJ494"/>
  <c r="EP494"/>
  <c r="EM495"/>
  <c r="EJ495"/>
  <c r="EP495" s="1"/>
  <c r="EM496"/>
  <c r="EJ496"/>
  <c r="EP496"/>
  <c r="EM497"/>
  <c r="EJ497"/>
  <c r="EP497" s="1"/>
  <c r="EM498"/>
  <c r="EJ498"/>
  <c r="EP498"/>
  <c r="EM499"/>
  <c r="EJ499"/>
  <c r="EP499" s="1"/>
  <c r="EM500"/>
  <c r="EJ500"/>
  <c r="EP500"/>
  <c r="EM501"/>
  <c r="EJ501"/>
  <c r="EP501" s="1"/>
  <c r="EM502"/>
  <c r="EJ502"/>
  <c r="EP502"/>
  <c r="EM503"/>
  <c r="EJ503"/>
  <c r="EP503" s="1"/>
  <c r="EM504"/>
  <c r="EJ504"/>
  <c r="EP504"/>
  <c r="EM509"/>
  <c r="EJ509"/>
  <c r="EP509" s="1"/>
  <c r="EM510"/>
  <c r="EJ510"/>
  <c r="EP510"/>
  <c r="EM511"/>
  <c r="EJ511"/>
  <c r="EP511" s="1"/>
  <c r="EM513"/>
  <c r="EJ513"/>
  <c r="EP513"/>
  <c r="EM514"/>
  <c r="EJ514"/>
  <c r="EP514" s="1"/>
  <c r="EM515"/>
  <c r="EJ515"/>
  <c r="EP515"/>
  <c r="EM516"/>
  <c r="EJ516"/>
  <c r="EP516" s="1"/>
  <c r="EM517"/>
  <c r="EJ517"/>
  <c r="EP517"/>
  <c r="EM518"/>
  <c r="EJ518"/>
  <c r="EP518" s="1"/>
  <c r="EM519"/>
  <c r="EJ519"/>
  <c r="EP519"/>
  <c r="EM520"/>
  <c r="EJ520"/>
  <c r="EP520" s="1"/>
  <c r="EM521"/>
  <c r="EJ521"/>
  <c r="EP521"/>
  <c r="EM522"/>
  <c r="EJ522"/>
  <c r="EP522" s="1"/>
  <c r="EM523"/>
  <c r="EJ523"/>
  <c r="EP523"/>
  <c r="EM524"/>
  <c r="EJ524"/>
  <c r="EP524" s="1"/>
  <c r="EM525"/>
  <c r="EJ525"/>
  <c r="EP525"/>
  <c r="EM526"/>
  <c r="EJ526"/>
  <c r="EP526" s="1"/>
  <c r="EM527"/>
  <c r="EJ527"/>
  <c r="EP527"/>
  <c r="EM528"/>
  <c r="EJ528"/>
  <c r="EP528" s="1"/>
  <c r="EM530"/>
  <c r="EJ530"/>
  <c r="EP530"/>
  <c r="EM531"/>
  <c r="EJ531"/>
  <c r="EP531" s="1"/>
  <c r="EM534"/>
  <c r="EJ534"/>
  <c r="EP534"/>
  <c r="EM535"/>
  <c r="EJ535"/>
  <c r="EP535" s="1"/>
  <c r="EM536"/>
  <c r="EJ536"/>
  <c r="EP536"/>
  <c r="EM538"/>
  <c r="EJ538"/>
  <c r="EP538" s="1"/>
  <c r="EM537"/>
  <c r="EJ537"/>
  <c r="EP537"/>
  <c r="EM539"/>
  <c r="EJ539"/>
  <c r="EP539" s="1"/>
  <c r="EM540"/>
  <c r="EJ540"/>
  <c r="EP540"/>
  <c r="EM543"/>
  <c r="EJ543"/>
  <c r="EP543" s="1"/>
  <c r="EM545"/>
  <c r="EJ545"/>
  <c r="EP545"/>
  <c r="EM546"/>
  <c r="EJ546"/>
  <c r="EP546" s="1"/>
  <c r="EM547"/>
  <c r="EJ547"/>
  <c r="EP547"/>
  <c r="EM548"/>
  <c r="EJ548"/>
  <c r="EP548" s="1"/>
  <c r="EM549"/>
  <c r="EJ549"/>
  <c r="EP549"/>
  <c r="EM550"/>
  <c r="EJ550"/>
  <c r="EP550" s="1"/>
  <c r="EM551"/>
  <c r="EJ551"/>
  <c r="EP551"/>
  <c r="EM552"/>
  <c r="EJ552"/>
  <c r="EP552" s="1"/>
  <c r="EM554"/>
  <c r="EJ554"/>
  <c r="EP554"/>
  <c r="EM556"/>
  <c r="EM557"/>
  <c r="EM558"/>
  <c r="EM559"/>
  <c r="EM560"/>
  <c r="EM561"/>
  <c r="EM562"/>
  <c r="EM564"/>
  <c r="EM565"/>
  <c r="EM566"/>
  <c r="EM567"/>
  <c r="EM568"/>
  <c r="EM569"/>
  <c r="EM570"/>
  <c r="EM571"/>
  <c r="EM572"/>
  <c r="EM574"/>
  <c r="EM575"/>
  <c r="EM576"/>
  <c r="EM577"/>
  <c r="EM578"/>
  <c r="EM579"/>
  <c r="EM580"/>
  <c r="EM581"/>
  <c r="EM582"/>
  <c r="EM583"/>
  <c r="EM584"/>
  <c r="EM585"/>
  <c r="EM586"/>
  <c r="EM587"/>
  <c r="EM589"/>
  <c r="EM590"/>
  <c r="EM591"/>
  <c r="EM592"/>
  <c r="EM588"/>
  <c r="EM593"/>
  <c r="EM594"/>
  <c r="EM595"/>
  <c r="EM596"/>
  <c r="EM607"/>
  <c r="EM597"/>
  <c r="EM598"/>
  <c r="EM599"/>
  <c r="EM600"/>
  <c r="EM608"/>
  <c r="EM601"/>
  <c r="EM602"/>
  <c r="EM603"/>
  <c r="EM604"/>
  <c r="EM605"/>
  <c r="EM606"/>
  <c r="EM609"/>
  <c r="EM610"/>
  <c r="EM611"/>
  <c r="EM612"/>
  <c r="EM613"/>
  <c r="EM614"/>
  <c r="EM615"/>
  <c r="EM616"/>
  <c r="EM617"/>
  <c r="EM618"/>
  <c r="EM619"/>
  <c r="EM620"/>
  <c r="EM621"/>
  <c r="EM459"/>
  <c r="EM622"/>
  <c r="EM623"/>
  <c r="EM624"/>
  <c r="EM625"/>
  <c r="EM626"/>
  <c r="EM627"/>
  <c r="EM628"/>
  <c r="EM629"/>
  <c r="EM630"/>
  <c r="EM631"/>
  <c r="EM632"/>
  <c r="EM636"/>
  <c r="EM637"/>
  <c r="EM638"/>
  <c r="EM639"/>
  <c r="EM640"/>
  <c r="EM641"/>
  <c r="EM642"/>
  <c r="EM643"/>
  <c r="EM644"/>
  <c r="EM645"/>
  <c r="EM646"/>
  <c r="EM647"/>
  <c r="EM648"/>
  <c r="EM649"/>
  <c r="EM650"/>
  <c r="EM651"/>
  <c r="EM652"/>
  <c r="EM653"/>
  <c r="EM654"/>
  <c r="EM655"/>
  <c r="EM657"/>
  <c r="EM658"/>
  <c r="EM659"/>
  <c r="EM660"/>
  <c r="EM661"/>
  <c r="EM662"/>
  <c r="EM663"/>
  <c r="EM664"/>
  <c r="EM671"/>
  <c r="EM665"/>
  <c r="EM666"/>
  <c r="EM667"/>
  <c r="EM668"/>
  <c r="EM672"/>
  <c r="EM673"/>
  <c r="EM669"/>
  <c r="EM674"/>
  <c r="EM675"/>
  <c r="EM676"/>
  <c r="EM677"/>
  <c r="EM678"/>
  <c r="EM679"/>
  <c r="EM681"/>
  <c r="EM682"/>
  <c r="EM689"/>
  <c r="EM683"/>
  <c r="EM684"/>
  <c r="EM685"/>
  <c r="EM686"/>
  <c r="EM690"/>
  <c r="EM692"/>
  <c r="EM693"/>
  <c r="EM695"/>
  <c r="EM698"/>
  <c r="EM701"/>
  <c r="EM702"/>
  <c r="EM705"/>
  <c r="EM703"/>
  <c r="EM704"/>
  <c r="EM707"/>
  <c r="EM708"/>
  <c r="EM709"/>
  <c r="EM710"/>
  <c r="EM711"/>
  <c r="EM712"/>
  <c r="EM713"/>
  <c r="EM714"/>
  <c r="EM715"/>
  <c r="EM716"/>
  <c r="EM717"/>
  <c r="EM718"/>
  <c r="EM719"/>
  <c r="EM720"/>
  <c r="EM721"/>
  <c r="EM722"/>
  <c r="EM723"/>
  <c r="EM724"/>
  <c r="EM725"/>
  <c r="EM732"/>
  <c r="EM728"/>
  <c r="EM730"/>
  <c r="EM731"/>
  <c r="EM737"/>
  <c r="EM740"/>
  <c r="EM735"/>
  <c r="EM742"/>
  <c r="EJ556"/>
  <c r="EP556"/>
  <c r="EJ557"/>
  <c r="EP557"/>
  <c r="EJ558"/>
  <c r="EP558"/>
  <c r="EJ559"/>
  <c r="EP559"/>
  <c r="EJ560"/>
  <c r="EP560"/>
  <c r="EJ561"/>
  <c r="EP561"/>
  <c r="EJ562"/>
  <c r="EP562"/>
  <c r="EJ564"/>
  <c r="EP564"/>
  <c r="EJ565"/>
  <c r="EP565"/>
  <c r="EJ566"/>
  <c r="EP566"/>
  <c r="EJ567"/>
  <c r="EP567"/>
  <c r="EJ568"/>
  <c r="EP568"/>
  <c r="EJ569"/>
  <c r="EP569"/>
  <c r="EJ570"/>
  <c r="EP570"/>
  <c r="EJ571"/>
  <c r="EP571"/>
  <c r="EJ572"/>
  <c r="EP572"/>
  <c r="EJ574"/>
  <c r="EP574"/>
  <c r="EJ575"/>
  <c r="EP575"/>
  <c r="EJ576"/>
  <c r="EP576"/>
  <c r="EJ577"/>
  <c r="EP577"/>
  <c r="EJ578"/>
  <c r="EP578"/>
  <c r="EJ579"/>
  <c r="EP579"/>
  <c r="EJ580"/>
  <c r="EP580"/>
  <c r="EJ581"/>
  <c r="EP581"/>
  <c r="EJ582"/>
  <c r="EP582"/>
  <c r="EJ583"/>
  <c r="EP583"/>
  <c r="EJ584"/>
  <c r="EP584"/>
  <c r="EJ585"/>
  <c r="EP585"/>
  <c r="EJ589"/>
  <c r="EP589"/>
  <c r="EJ590"/>
  <c r="EP590"/>
  <c r="EJ586"/>
  <c r="EP586"/>
  <c r="EJ587"/>
  <c r="EP587"/>
  <c r="EJ591"/>
  <c r="EP591"/>
  <c r="EJ592"/>
  <c r="EP592"/>
  <c r="EJ588"/>
  <c r="EP588"/>
  <c r="EJ593"/>
  <c r="EP593"/>
  <c r="EJ594"/>
  <c r="EP594"/>
  <c r="EJ595"/>
  <c r="EP595"/>
  <c r="EJ596"/>
  <c r="EP596"/>
  <c r="EJ607"/>
  <c r="EP607"/>
  <c r="EJ597"/>
  <c r="EP597"/>
  <c r="EJ598"/>
  <c r="EP598"/>
  <c r="EJ599"/>
  <c r="EP599"/>
  <c r="EJ600"/>
  <c r="EP600"/>
  <c r="EJ608"/>
  <c r="EP608"/>
  <c r="EJ601"/>
  <c r="EP601"/>
  <c r="EJ602"/>
  <c r="EP602"/>
  <c r="EJ603"/>
  <c r="EP603"/>
  <c r="EJ604"/>
  <c r="EP604"/>
  <c r="EJ605"/>
  <c r="EP605"/>
  <c r="EJ606"/>
  <c r="EP606"/>
  <c r="EJ609"/>
  <c r="EP609"/>
  <c r="EJ610"/>
  <c r="EP610"/>
  <c r="EJ611"/>
  <c r="EP611"/>
  <c r="EJ612"/>
  <c r="EP612"/>
  <c r="EJ613"/>
  <c r="EP613"/>
  <c r="EJ614"/>
  <c r="EP614"/>
  <c r="EJ615"/>
  <c r="EP615"/>
  <c r="EJ616"/>
  <c r="EP616"/>
  <c r="EJ617"/>
  <c r="EP617"/>
  <c r="EJ618"/>
  <c r="EP618"/>
  <c r="EJ619"/>
  <c r="EP619"/>
  <c r="EJ620"/>
  <c r="EP620"/>
  <c r="EJ621"/>
  <c r="EP621"/>
  <c r="EJ459"/>
  <c r="EP459"/>
  <c r="EJ622"/>
  <c r="EP622"/>
  <c r="EJ623"/>
  <c r="EP623"/>
  <c r="EJ624"/>
  <c r="EP624"/>
  <c r="EJ625"/>
  <c r="EP625"/>
  <c r="EJ626"/>
  <c r="EP626"/>
  <c r="EJ627"/>
  <c r="EP627"/>
  <c r="EJ628"/>
  <c r="EP628"/>
  <c r="EJ629"/>
  <c r="EP629"/>
  <c r="EJ630"/>
  <c r="EP630"/>
  <c r="EJ631"/>
  <c r="EP631"/>
  <c r="EJ632"/>
  <c r="EP632"/>
  <c r="EJ636"/>
  <c r="EP636"/>
  <c r="EJ637"/>
  <c r="EP637"/>
  <c r="EJ638"/>
  <c r="EP638"/>
  <c r="EJ639"/>
  <c r="EP639"/>
  <c r="EJ640"/>
  <c r="EP640"/>
  <c r="EJ641"/>
  <c r="EP641"/>
  <c r="EJ642"/>
  <c r="EP642"/>
  <c r="EJ643"/>
  <c r="EP643"/>
  <c r="EJ644"/>
  <c r="EP644"/>
  <c r="EJ645"/>
  <c r="EP645"/>
  <c r="EJ646"/>
  <c r="EP646"/>
  <c r="EJ647"/>
  <c r="EP647"/>
  <c r="EJ648"/>
  <c r="EP648"/>
  <c r="EJ649"/>
  <c r="EP649"/>
  <c r="EJ650"/>
  <c r="EP650"/>
  <c r="EJ651"/>
  <c r="EP651"/>
  <c r="EJ652"/>
  <c r="EP652"/>
  <c r="EJ653"/>
  <c r="EP653"/>
  <c r="EJ654"/>
  <c r="EP654"/>
  <c r="EJ655"/>
  <c r="EP655"/>
  <c r="EJ657"/>
  <c r="EP657"/>
  <c r="EJ658"/>
  <c r="EP658"/>
  <c r="EJ659"/>
  <c r="EP659"/>
  <c r="EJ660"/>
  <c r="EP660"/>
  <c r="EJ661"/>
  <c r="EP661"/>
  <c r="EJ662"/>
  <c r="EP662"/>
  <c r="EJ663"/>
  <c r="EP663"/>
  <c r="EJ664"/>
  <c r="EP664"/>
  <c r="EJ671"/>
  <c r="EP671"/>
  <c r="EJ665"/>
  <c r="EP665"/>
  <c r="EJ666"/>
  <c r="EP666"/>
  <c r="EJ667"/>
  <c r="EP667"/>
  <c r="EJ668"/>
  <c r="EP668"/>
  <c r="EJ672"/>
  <c r="EP672"/>
  <c r="EJ673"/>
  <c r="EP673"/>
  <c r="EJ669"/>
  <c r="EP669"/>
  <c r="EJ674"/>
  <c r="EP674"/>
  <c r="EJ675"/>
  <c r="EP675"/>
  <c r="EJ676"/>
  <c r="EP676"/>
  <c r="EJ677"/>
  <c r="EP677"/>
  <c r="EJ678"/>
  <c r="EP678"/>
  <c r="EJ679"/>
  <c r="EP679"/>
  <c r="EJ681"/>
  <c r="EP681"/>
  <c r="EJ682"/>
  <c r="EP682"/>
  <c r="EJ689"/>
  <c r="EP689"/>
  <c r="EJ683"/>
  <c r="EP683"/>
  <c r="EJ684"/>
  <c r="EP684"/>
  <c r="EJ685"/>
  <c r="EP685"/>
  <c r="EJ686"/>
  <c r="EP686"/>
  <c r="EJ690"/>
  <c r="EP690"/>
  <c r="EJ692"/>
  <c r="EP692"/>
  <c r="EJ693"/>
  <c r="EP693"/>
  <c r="EJ695"/>
  <c r="EP695"/>
  <c r="EJ698"/>
  <c r="EP698"/>
  <c r="EJ701"/>
  <c r="EP701"/>
  <c r="EJ702"/>
  <c r="EP702"/>
  <c r="EJ705"/>
  <c r="EP705"/>
  <c r="EJ703"/>
  <c r="EP703"/>
  <c r="EJ704"/>
  <c r="EP704"/>
  <c r="EJ707"/>
  <c r="EP707"/>
  <c r="EJ708"/>
  <c r="EP708"/>
  <c r="EJ709"/>
  <c r="EP709"/>
  <c r="EJ710"/>
  <c r="EP710"/>
  <c r="EJ711"/>
  <c r="EP711"/>
  <c r="EJ712"/>
  <c r="EP712"/>
  <c r="EJ713"/>
  <c r="EP713"/>
  <c r="EJ714"/>
  <c r="EP714"/>
  <c r="EJ715"/>
  <c r="EP715"/>
  <c r="EJ716"/>
  <c r="EP716"/>
  <c r="EJ717"/>
  <c r="EP717"/>
  <c r="EJ718"/>
  <c r="EP718"/>
  <c r="EJ719"/>
  <c r="EP719"/>
  <c r="EJ720"/>
  <c r="EP720"/>
  <c r="EJ721"/>
  <c r="EP721"/>
  <c r="EJ722"/>
  <c r="EP722"/>
  <c r="EJ723"/>
  <c r="EP723"/>
  <c r="EJ724"/>
  <c r="EP724"/>
  <c r="EJ725"/>
  <c r="EP725"/>
  <c r="EJ732"/>
  <c r="EP732"/>
  <c r="EJ728"/>
  <c r="EP728"/>
  <c r="EJ730"/>
  <c r="EP730"/>
  <c r="EJ731"/>
  <c r="EP731"/>
  <c r="EJ737"/>
  <c r="EP737"/>
  <c r="EJ740"/>
  <c r="EP740"/>
  <c r="EJ735"/>
  <c r="EP735"/>
  <c r="EO742"/>
  <c r="EN742"/>
  <c r="EL742"/>
  <c r="EK742"/>
  <c r="EI742"/>
  <c r="EF742"/>
  <c r="EE742"/>
  <c r="ED742"/>
  <c r="EC742"/>
  <c r="EB742"/>
  <c r="EA742"/>
  <c r="DZ742"/>
  <c r="DY742"/>
  <c r="DW742"/>
  <c r="DV742"/>
  <c r="DU742"/>
  <c r="DT742"/>
  <c r="DS742"/>
  <c r="DR742"/>
  <c r="DQ742"/>
  <c r="DM742"/>
  <c r="DL742"/>
  <c r="DK742"/>
  <c r="DJ742"/>
  <c r="DI742"/>
  <c r="DH742"/>
  <c r="DG742"/>
  <c r="DF742"/>
  <c r="DE742"/>
  <c r="DD742"/>
  <c r="DC742"/>
  <c r="DA742"/>
  <c r="CZ742"/>
  <c r="CY742"/>
  <c r="CX742"/>
  <c r="CW742"/>
  <c r="CV742"/>
  <c r="CU742"/>
  <c r="CT742"/>
  <c r="CR742"/>
  <c r="CQ742"/>
  <c r="CP742"/>
  <c r="CM19"/>
  <c r="CL19"/>
  <c r="CK19"/>
  <c r="CJ19"/>
  <c r="CI19"/>
  <c r="A19"/>
  <c r="CH19"/>
  <c r="AD19"/>
  <c r="U19"/>
  <c r="O19"/>
  <c r="CM735"/>
  <c r="CL735"/>
  <c r="CK735"/>
  <c r="CJ735"/>
  <c r="CI735"/>
  <c r="A735"/>
  <c r="CH735"/>
  <c r="AD735"/>
  <c r="U735"/>
  <c r="O735"/>
  <c r="CM728"/>
  <c r="CL728"/>
  <c r="CK728"/>
  <c r="CJ728"/>
  <c r="CI728"/>
  <c r="A728"/>
  <c r="CH728"/>
  <c r="AD728"/>
  <c r="U728"/>
  <c r="O728"/>
  <c r="U333"/>
  <c r="CM681"/>
  <c r="CL681"/>
  <c r="CK681"/>
  <c r="CJ681"/>
  <c r="CI681"/>
  <c r="A681"/>
  <c r="CH681"/>
  <c r="U681"/>
  <c r="O681"/>
  <c r="CM164"/>
  <c r="CL164"/>
  <c r="CK164"/>
  <c r="CJ164"/>
  <c r="CI164"/>
  <c r="A164"/>
  <c r="CH164" s="1"/>
  <c r="AD164"/>
  <c r="U164"/>
  <c r="O164"/>
  <c r="CO153"/>
  <c r="CM153"/>
  <c r="CL153"/>
  <c r="CK153"/>
  <c r="CJ153"/>
  <c r="CI153"/>
  <c r="A153"/>
  <c r="CH153"/>
  <c r="AD153"/>
  <c r="U153"/>
  <c r="O153"/>
  <c r="U260"/>
  <c r="U242"/>
  <c r="CM740"/>
  <c r="CM737"/>
  <c r="CM731"/>
  <c r="CM730"/>
  <c r="CM732"/>
  <c r="CM725"/>
  <c r="CM724"/>
  <c r="CM723"/>
  <c r="CM722"/>
  <c r="CM721"/>
  <c r="CM720"/>
  <c r="CM719"/>
  <c r="CM718"/>
  <c r="CM717"/>
  <c r="CM716"/>
  <c r="CM715"/>
  <c r="CM714"/>
  <c r="CM713"/>
  <c r="CM712"/>
  <c r="CM711"/>
  <c r="CM710"/>
  <c r="CM709"/>
  <c r="CM708"/>
  <c r="CM707"/>
  <c r="CM704"/>
  <c r="CM703"/>
  <c r="CM705"/>
  <c r="CM702"/>
  <c r="CM701"/>
  <c r="CM698"/>
  <c r="CM695"/>
  <c r="CM693"/>
  <c r="CM692"/>
  <c r="CM690"/>
  <c r="CM686"/>
  <c r="CM685"/>
  <c r="CM684"/>
  <c r="CM683"/>
  <c r="CM689"/>
  <c r="CM688"/>
  <c r="CM682"/>
  <c r="CM679"/>
  <c r="CM678"/>
  <c r="CM677"/>
  <c r="CM676"/>
  <c r="CM675"/>
  <c r="CM674"/>
  <c r="CM670"/>
  <c r="CM669"/>
  <c r="CM673"/>
  <c r="CM672"/>
  <c r="CM668"/>
  <c r="CM667"/>
  <c r="CM666"/>
  <c r="CM665"/>
  <c r="CM671"/>
  <c r="CM664"/>
  <c r="CM663"/>
  <c r="CM662"/>
  <c r="CM661"/>
  <c r="CM660"/>
  <c r="CM659"/>
  <c r="CM658"/>
  <c r="CM657"/>
  <c r="CM655"/>
  <c r="CM654"/>
  <c r="CM653"/>
  <c r="CM652"/>
  <c r="CM651"/>
  <c r="CM650"/>
  <c r="CM649"/>
  <c r="CM648"/>
  <c r="CM647"/>
  <c r="CM646"/>
  <c r="CM645"/>
  <c r="CM644"/>
  <c r="CM643"/>
  <c r="CM642"/>
  <c r="CM641"/>
  <c r="CM640"/>
  <c r="CM639"/>
  <c r="CM638"/>
  <c r="CM637"/>
  <c r="CM636"/>
  <c r="CM632"/>
  <c r="CM631"/>
  <c r="CM630"/>
  <c r="CM629"/>
  <c r="CM628"/>
  <c r="CM627"/>
  <c r="CM626"/>
  <c r="CM625"/>
  <c r="CM624"/>
  <c r="CM623"/>
  <c r="CM622"/>
  <c r="CM459"/>
  <c r="CM621"/>
  <c r="CM620"/>
  <c r="CM619"/>
  <c r="CM618"/>
  <c r="CM617"/>
  <c r="CM616"/>
  <c r="CM615"/>
  <c r="CM614"/>
  <c r="CM613"/>
  <c r="CM612"/>
  <c r="CM611"/>
  <c r="CM610"/>
  <c r="CM609"/>
  <c r="CM606"/>
  <c r="CM605"/>
  <c r="CM604"/>
  <c r="CM603"/>
  <c r="CM602"/>
  <c r="CM601"/>
  <c r="CM608"/>
  <c r="CM600"/>
  <c r="CM599"/>
  <c r="CM598"/>
  <c r="CM597"/>
  <c r="CM607"/>
  <c r="CM596"/>
  <c r="CM595"/>
  <c r="CM594"/>
  <c r="CM586"/>
  <c r="CM593"/>
  <c r="CM590"/>
  <c r="CM587"/>
  <c r="CM589"/>
  <c r="CM585"/>
  <c r="CM584"/>
  <c r="CM588"/>
  <c r="CM583"/>
  <c r="CM582"/>
  <c r="CM581"/>
  <c r="CM592"/>
  <c r="CM591"/>
  <c r="CM580"/>
  <c r="CM579"/>
  <c r="CM578"/>
  <c r="CM577"/>
  <c r="CM576"/>
  <c r="CM574"/>
  <c r="CM572"/>
  <c r="CM575"/>
  <c r="CM571"/>
  <c r="CM570"/>
  <c r="CM569"/>
  <c r="CM568"/>
  <c r="CM566"/>
  <c r="CM567"/>
  <c r="CM565"/>
  <c r="CM564"/>
  <c r="CM562"/>
  <c r="CM561"/>
  <c r="CM560"/>
  <c r="CM559"/>
  <c r="CM558"/>
  <c r="CM557"/>
  <c r="CM556"/>
  <c r="CM554"/>
  <c r="CM552"/>
  <c r="CM551"/>
  <c r="CM550"/>
  <c r="CM549"/>
  <c r="CM548"/>
  <c r="CM547"/>
  <c r="CM546"/>
  <c r="CM545"/>
  <c r="CM543"/>
  <c r="CM540"/>
  <c r="CM536"/>
  <c r="CM535"/>
  <c r="CM539"/>
  <c r="CM537"/>
  <c r="CM538"/>
  <c r="CM534"/>
  <c r="CM531"/>
  <c r="CM530"/>
  <c r="CM528"/>
  <c r="CM527"/>
  <c r="CM526"/>
  <c r="CM525"/>
  <c r="CM524"/>
  <c r="CM523"/>
  <c r="CM522"/>
  <c r="CM521"/>
  <c r="CM520"/>
  <c r="CM519"/>
  <c r="CM518"/>
  <c r="CM517"/>
  <c r="CM516"/>
  <c r="CM515"/>
  <c r="CM514"/>
  <c r="CM513"/>
  <c r="CM511"/>
  <c r="CM508"/>
  <c r="CM509"/>
  <c r="CM510"/>
  <c r="CM504"/>
  <c r="CM503"/>
  <c r="CM502"/>
  <c r="CM501"/>
  <c r="CM500"/>
  <c r="CM499"/>
  <c r="CM498"/>
  <c r="CM497"/>
  <c r="CM496"/>
  <c r="CM495"/>
  <c r="CM494"/>
  <c r="CM493"/>
  <c r="CM492"/>
  <c r="CM491"/>
  <c r="CM490"/>
  <c r="CM488"/>
  <c r="CM487"/>
  <c r="CM486"/>
  <c r="CM485"/>
  <c r="CM484"/>
  <c r="CM483"/>
  <c r="CM482"/>
  <c r="CM481"/>
  <c r="CM480"/>
  <c r="CM479"/>
  <c r="CM478"/>
  <c r="CM477"/>
  <c r="CM476"/>
  <c r="CM475"/>
  <c r="CM474"/>
  <c r="CM473"/>
  <c r="CM468"/>
  <c r="CM472"/>
  <c r="CM471"/>
  <c r="CM470"/>
  <c r="CM469"/>
  <c r="CM467"/>
  <c r="CM466"/>
  <c r="CM465"/>
  <c r="CM464"/>
  <c r="CM461"/>
  <c r="CM460"/>
  <c r="CM458"/>
  <c r="CM457"/>
  <c r="CM456"/>
  <c r="CM455"/>
  <c r="CM454"/>
  <c r="CM451"/>
  <c r="CM450"/>
  <c r="CM449"/>
  <c r="CM448"/>
  <c r="CM447"/>
  <c r="CM446"/>
  <c r="CM445"/>
  <c r="CM444"/>
  <c r="CM443"/>
  <c r="CM442"/>
  <c r="CM441"/>
  <c r="CM440"/>
  <c r="CM439"/>
  <c r="CM438"/>
  <c r="CM437"/>
  <c r="CM434"/>
  <c r="CM433"/>
  <c r="CM431"/>
  <c r="CM430"/>
  <c r="CM429"/>
  <c r="CM426"/>
  <c r="CM425"/>
  <c r="CM424"/>
  <c r="CM423"/>
  <c r="CM422"/>
  <c r="CM420"/>
  <c r="CM419"/>
  <c r="CM418"/>
  <c r="CM417"/>
  <c r="CM416"/>
  <c r="CM414"/>
  <c r="CM413"/>
  <c r="CM412"/>
  <c r="CM411"/>
  <c r="CM410"/>
  <c r="CM409"/>
  <c r="CM408"/>
  <c r="CM407"/>
  <c r="CM406"/>
  <c r="CM405"/>
  <c r="CM404"/>
  <c r="CM403"/>
  <c r="CM402"/>
  <c r="CM398"/>
  <c r="CM396"/>
  <c r="CM395"/>
  <c r="CM394"/>
  <c r="CM392"/>
  <c r="CM391"/>
  <c r="CM390"/>
  <c r="CM389"/>
  <c r="CM388"/>
  <c r="CM393"/>
  <c r="CM387"/>
  <c r="CM386"/>
  <c r="CM385"/>
  <c r="CM384"/>
  <c r="CM383"/>
  <c r="CM382"/>
  <c r="CM377"/>
  <c r="CM376"/>
  <c r="CM378"/>
  <c r="CM375"/>
  <c r="CM381"/>
  <c r="CM374"/>
  <c r="CM380"/>
  <c r="CM379"/>
  <c r="CM372"/>
  <c r="CM371"/>
  <c r="CM369"/>
  <c r="CM368"/>
  <c r="CM367"/>
  <c r="CM366"/>
  <c r="CM365"/>
  <c r="CM364"/>
  <c r="CM363"/>
  <c r="CM362"/>
  <c r="CM361"/>
  <c r="CM360"/>
  <c r="CM359"/>
  <c r="CM358"/>
  <c r="CM357"/>
  <c r="CM356"/>
  <c r="CM355"/>
  <c r="CM354"/>
  <c r="CM353"/>
  <c r="CM352"/>
  <c r="CM351"/>
  <c r="CM350"/>
  <c r="CM348"/>
  <c r="CM347"/>
  <c r="CM346"/>
  <c r="CM345"/>
  <c r="CM344"/>
  <c r="CM343"/>
  <c r="CM342"/>
  <c r="CM341"/>
  <c r="CM340"/>
  <c r="CM339"/>
  <c r="CM338"/>
  <c r="CM337"/>
  <c r="CM336"/>
  <c r="CM335"/>
  <c r="CM334"/>
  <c r="CM333"/>
  <c r="CM332"/>
  <c r="CM331"/>
  <c r="CM330"/>
  <c r="CM329"/>
  <c r="CM328"/>
  <c r="CM327"/>
  <c r="CM326"/>
  <c r="CM325"/>
  <c r="CM324"/>
  <c r="CM323"/>
  <c r="CM322"/>
  <c r="CM321"/>
  <c r="CM320"/>
  <c r="CM319"/>
  <c r="CM318"/>
  <c r="CM317"/>
  <c r="CM316"/>
  <c r="CM315"/>
  <c r="CM314"/>
  <c r="CM311"/>
  <c r="CM310"/>
  <c r="CM312"/>
  <c r="CM313"/>
  <c r="CM309"/>
  <c r="CM308"/>
  <c r="CM307"/>
  <c r="CM306"/>
  <c r="CM303"/>
  <c r="CM302"/>
  <c r="CM301"/>
  <c r="CM298"/>
  <c r="CM297"/>
  <c r="CM293"/>
  <c r="CM296"/>
  <c r="CM292"/>
  <c r="CM291"/>
  <c r="CM295"/>
  <c r="CM289"/>
  <c r="CM294"/>
  <c r="CM288"/>
  <c r="CM286"/>
  <c r="CM285"/>
  <c r="CM281"/>
  <c r="CM283"/>
  <c r="CM282"/>
  <c r="CM280"/>
  <c r="CM279"/>
  <c r="CM278"/>
  <c r="CM277"/>
  <c r="CM284"/>
  <c r="CM276"/>
  <c r="CM275"/>
  <c r="CM272"/>
  <c r="CM266"/>
  <c r="CM271"/>
  <c r="CM267"/>
  <c r="CM268"/>
  <c r="CM265"/>
  <c r="CM269"/>
  <c r="CM263"/>
  <c r="CM262"/>
  <c r="CM261"/>
  <c r="CM260"/>
  <c r="CM270"/>
  <c r="CM259"/>
  <c r="CM257"/>
  <c r="CM256"/>
  <c r="CM255"/>
  <c r="CM254"/>
  <c r="CM253"/>
  <c r="CM252"/>
  <c r="CM251"/>
  <c r="CM249"/>
  <c r="CM250"/>
  <c r="CM248"/>
  <c r="CM247"/>
  <c r="CM246"/>
  <c r="CM245"/>
  <c r="CM244"/>
  <c r="CM243"/>
  <c r="CM242"/>
  <c r="CM241"/>
  <c r="CM240"/>
  <c r="CM239"/>
  <c r="CM238"/>
  <c r="CM237"/>
  <c r="CM236"/>
  <c r="CM235"/>
  <c r="CM234"/>
  <c r="CM233"/>
  <c r="CM229"/>
  <c r="CM232"/>
  <c r="CM227"/>
  <c r="CM226"/>
  <c r="CM225"/>
  <c r="CM224"/>
  <c r="CM223"/>
  <c r="CM222"/>
  <c r="CM221"/>
  <c r="CM220"/>
  <c r="CM219"/>
  <c r="CM218"/>
  <c r="CM217"/>
  <c r="CM216"/>
  <c r="CM215"/>
  <c r="CM214"/>
  <c r="CM213"/>
  <c r="CM212"/>
  <c r="CM211"/>
  <c r="CM210"/>
  <c r="CM209"/>
  <c r="CM208"/>
  <c r="CM207"/>
  <c r="CM206"/>
  <c r="CM205"/>
  <c r="CM203"/>
  <c r="CM202"/>
  <c r="CM201"/>
  <c r="CM200"/>
  <c r="CM199"/>
  <c r="CM198"/>
  <c r="CM197"/>
  <c r="CM196"/>
  <c r="CM195"/>
  <c r="CM194"/>
  <c r="CM193"/>
  <c r="CM192"/>
  <c r="CM191"/>
  <c r="CM190"/>
  <c r="CM189"/>
  <c r="CM188"/>
  <c r="CM187"/>
  <c r="CM186"/>
  <c r="CM183"/>
  <c r="CM182"/>
  <c r="CM181"/>
  <c r="CM180"/>
  <c r="CM179"/>
  <c r="CM178"/>
  <c r="CM177"/>
  <c r="CM174"/>
  <c r="CM173"/>
  <c r="CM172"/>
  <c r="CM171"/>
  <c r="CM170"/>
  <c r="CM168"/>
  <c r="CM169"/>
  <c r="CM167"/>
  <c r="CM166"/>
  <c r="CM165"/>
  <c r="CM163"/>
  <c r="CM162"/>
  <c r="CM161"/>
  <c r="CM160"/>
  <c r="CM159"/>
  <c r="CM158"/>
  <c r="CM157"/>
  <c r="CM156"/>
  <c r="CM155"/>
  <c r="CM154"/>
  <c r="CM152"/>
  <c r="CM151"/>
  <c r="CM150"/>
  <c r="CM149"/>
  <c r="CM148"/>
  <c r="CM147"/>
  <c r="CM144"/>
  <c r="CM143"/>
  <c r="CM142"/>
  <c r="CM140"/>
  <c r="CM139"/>
  <c r="CM138"/>
  <c r="CM137"/>
  <c r="CM136"/>
  <c r="CM134"/>
  <c r="CM131"/>
  <c r="CM130"/>
  <c r="CM129"/>
  <c r="CM128"/>
  <c r="CM127"/>
  <c r="CM124"/>
  <c r="CM123"/>
  <c r="CM122"/>
  <c r="CM121"/>
  <c r="CM120"/>
  <c r="CM119"/>
  <c r="CM118"/>
  <c r="CM117"/>
  <c r="CM116"/>
  <c r="CM114"/>
  <c r="CM113"/>
  <c r="CM112"/>
  <c r="CM111"/>
  <c r="CM110"/>
  <c r="CM109"/>
  <c r="CM106"/>
  <c r="CM104"/>
  <c r="CM103"/>
  <c r="CM102"/>
  <c r="CM101"/>
  <c r="CM100"/>
  <c r="CM96"/>
  <c r="CM95"/>
  <c r="CM98"/>
  <c r="CM94"/>
  <c r="CM99"/>
  <c r="CM92"/>
  <c r="CM91"/>
  <c r="CM90"/>
  <c r="CM89"/>
  <c r="CM88"/>
  <c r="CM86"/>
  <c r="CM85"/>
  <c r="CM82"/>
  <c r="CM81"/>
  <c r="CM77"/>
  <c r="CM74"/>
  <c r="CM73"/>
  <c r="CM72"/>
  <c r="CM69"/>
  <c r="CM68"/>
  <c r="CM67"/>
  <c r="CM66"/>
  <c r="CM63"/>
  <c r="CM62"/>
  <c r="CM61"/>
  <c r="CM60"/>
  <c r="CM59"/>
  <c r="CM58"/>
  <c r="CM57"/>
  <c r="CM56"/>
  <c r="CM55"/>
  <c r="CM54"/>
  <c r="CM53"/>
  <c r="CM52"/>
  <c r="CM51"/>
  <c r="CM49"/>
  <c r="CM48"/>
  <c r="CM47"/>
  <c r="CM46"/>
  <c r="CM45"/>
  <c r="CM42"/>
  <c r="CM41"/>
  <c r="CM40"/>
  <c r="CM39"/>
  <c r="CM38"/>
  <c r="CM37"/>
  <c r="CM36"/>
  <c r="CM35"/>
  <c r="CM34"/>
  <c r="CM32"/>
  <c r="CM31"/>
  <c r="CM28"/>
  <c r="CM27"/>
  <c r="CM26"/>
  <c r="CM25"/>
  <c r="CM24"/>
  <c r="CM23"/>
  <c r="CM22"/>
  <c r="CM21"/>
  <c r="CM20"/>
  <c r="CM18"/>
  <c r="CM17"/>
  <c r="CM16"/>
  <c r="CM15"/>
  <c r="CM14"/>
  <c r="CM13"/>
  <c r="D1" i="51048"/>
  <c r="BP695" i="51055" s="1"/>
  <c r="J24" i="16"/>
  <c r="AV742" i="51055"/>
  <c r="CL438"/>
  <c r="CK438"/>
  <c r="CJ438"/>
  <c r="CI438"/>
  <c r="A438"/>
  <c r="CH438"/>
  <c r="J3" i="16"/>
  <c r="BT33" i="51055" s="1"/>
  <c r="BT438"/>
  <c r="AD438"/>
  <c r="U438"/>
  <c r="O438"/>
  <c r="CO186"/>
  <c r="CL186"/>
  <c r="CK186"/>
  <c r="CJ186"/>
  <c r="CI186"/>
  <c r="A186"/>
  <c r="CH186" s="1"/>
  <c r="BT186"/>
  <c r="AB186"/>
  <c r="U186"/>
  <c r="O186"/>
  <c r="CL160"/>
  <c r="CK160"/>
  <c r="CJ160"/>
  <c r="CI160"/>
  <c r="A160"/>
  <c r="CH160"/>
  <c r="BT160"/>
  <c r="AD160"/>
  <c r="U160"/>
  <c r="O160"/>
  <c r="J2" i="16"/>
  <c r="BT399" i="51055" s="1"/>
  <c r="CL351"/>
  <c r="CK351"/>
  <c r="CJ351"/>
  <c r="CI351"/>
  <c r="A351"/>
  <c r="CH351"/>
  <c r="J13" i="16"/>
  <c r="BT351" i="51055"/>
  <c r="AD351"/>
  <c r="U351"/>
  <c r="O351"/>
  <c r="CL344"/>
  <c r="CK344"/>
  <c r="CJ344"/>
  <c r="CI344"/>
  <c r="A344"/>
  <c r="CH344"/>
  <c r="BT344"/>
  <c r="AD344"/>
  <c r="U344"/>
  <c r="O344"/>
  <c r="CL594"/>
  <c r="CK594"/>
  <c r="CJ594"/>
  <c r="CI594"/>
  <c r="A594"/>
  <c r="CH594" s="1"/>
  <c r="BT594"/>
  <c r="AD594"/>
  <c r="U594"/>
  <c r="O594"/>
  <c r="CO631"/>
  <c r="CL631"/>
  <c r="CK631"/>
  <c r="CJ631"/>
  <c r="CI631"/>
  <c r="A631"/>
  <c r="CH631" s="1"/>
  <c r="BT631"/>
  <c r="AD631"/>
  <c r="AB631"/>
  <c r="U631"/>
  <c r="O631"/>
  <c r="CL152"/>
  <c r="CK152"/>
  <c r="CJ152"/>
  <c r="CI152"/>
  <c r="A152"/>
  <c r="CH152" s="1"/>
  <c r="J6" i="16"/>
  <c r="AD152" i="51055"/>
  <c r="U152"/>
  <c r="O152"/>
  <c r="CL129"/>
  <c r="CK129"/>
  <c r="CJ129"/>
  <c r="CI129"/>
  <c r="A129"/>
  <c r="CH129" s="1"/>
  <c r="J4" i="16"/>
  <c r="AD129" i="51055"/>
  <c r="U129"/>
  <c r="O129"/>
  <c r="CO664"/>
  <c r="CL664"/>
  <c r="CK664"/>
  <c r="CJ664"/>
  <c r="CI664"/>
  <c r="A664"/>
  <c r="CH664"/>
  <c r="BT664"/>
  <c r="AD664"/>
  <c r="AB664"/>
  <c r="U664"/>
  <c r="O664"/>
  <c r="CL658"/>
  <c r="CK658"/>
  <c r="CJ658"/>
  <c r="CI658"/>
  <c r="A658"/>
  <c r="CH658" s="1"/>
  <c r="BT658"/>
  <c r="AD658"/>
  <c r="U658"/>
  <c r="O658"/>
  <c r="CO653"/>
  <c r="CL653"/>
  <c r="CK653"/>
  <c r="CJ653"/>
  <c r="CI653"/>
  <c r="A653"/>
  <c r="CH653" s="1"/>
  <c r="BT653"/>
  <c r="AD653"/>
  <c r="AB653"/>
  <c r="U653"/>
  <c r="O653"/>
  <c r="CO278"/>
  <c r="CL278"/>
  <c r="CK278"/>
  <c r="CJ278"/>
  <c r="CI278"/>
  <c r="A278"/>
  <c r="CH278" s="1"/>
  <c r="BT278"/>
  <c r="AD278"/>
  <c r="AB278"/>
  <c r="U278"/>
  <c r="O278"/>
  <c r="CL241"/>
  <c r="CK241"/>
  <c r="CJ241"/>
  <c r="CI241"/>
  <c r="A241"/>
  <c r="CH241" s="1"/>
  <c r="BT241"/>
  <c r="U241"/>
  <c r="O241"/>
  <c r="CO235"/>
  <c r="CL235"/>
  <c r="CK235"/>
  <c r="CJ235"/>
  <c r="CI235"/>
  <c r="A235"/>
  <c r="CH235" s="1"/>
  <c r="BT235"/>
  <c r="AD235"/>
  <c r="AB235"/>
  <c r="U235"/>
  <c r="O235"/>
  <c r="CO232"/>
  <c r="CL232"/>
  <c r="CK232"/>
  <c r="CJ232"/>
  <c r="CI232"/>
  <c r="CH232"/>
  <c r="BT232"/>
  <c r="AB232"/>
  <c r="U232"/>
  <c r="O232"/>
  <c r="CL217"/>
  <c r="CK217"/>
  <c r="CJ217"/>
  <c r="CI217"/>
  <c r="A217"/>
  <c r="CH217"/>
  <c r="AD217"/>
  <c r="U217"/>
  <c r="O217"/>
  <c r="CL46"/>
  <c r="CK46"/>
  <c r="CJ46"/>
  <c r="CI46"/>
  <c r="A46"/>
  <c r="CH46"/>
  <c r="BT46"/>
  <c r="AD46"/>
  <c r="U46"/>
  <c r="O46"/>
  <c r="CO26"/>
  <c r="CL26"/>
  <c r="CK26"/>
  <c r="CJ26"/>
  <c r="CI26"/>
  <c r="A26"/>
  <c r="CH26" s="1"/>
  <c r="BT26"/>
  <c r="AD26"/>
  <c r="AB26"/>
  <c r="U26"/>
  <c r="O26"/>
  <c r="U585"/>
  <c r="U409"/>
  <c r="AJ58" i="51061"/>
  <c r="J8" i="16"/>
  <c r="J9"/>
  <c r="AB58" i="51061"/>
  <c r="AA58"/>
  <c r="Z58"/>
  <c r="Y58"/>
  <c r="R58"/>
  <c r="N58"/>
  <c r="AD371" i="51055"/>
  <c r="AD372"/>
  <c r="AD374"/>
  <c r="AD375"/>
  <c r="AD376"/>
  <c r="AD377"/>
  <c r="U557"/>
  <c r="CE742"/>
  <c r="J5" i="16"/>
  <c r="J14"/>
  <c r="J29"/>
  <c r="J11"/>
  <c r="J19"/>
  <c r="J18"/>
  <c r="BT726" i="51055" s="1"/>
  <c r="N749"/>
  <c r="F30" i="51059"/>
  <c r="C30"/>
  <c r="E30"/>
  <c r="H30" s="1"/>
  <c r="D30"/>
  <c r="G30" s="1"/>
  <c r="CL417" i="51055"/>
  <c r="CK417"/>
  <c r="CJ417"/>
  <c r="CI417"/>
  <c r="A417"/>
  <c r="CH417" s="1"/>
  <c r="BT417"/>
  <c r="AD417"/>
  <c r="O417"/>
  <c r="CO398"/>
  <c r="CL398"/>
  <c r="CK398"/>
  <c r="CJ398"/>
  <c r="CI398"/>
  <c r="A398"/>
  <c r="CH398"/>
  <c r="BT398"/>
  <c r="AD398"/>
  <c r="AB398"/>
  <c r="U398"/>
  <c r="O398"/>
  <c r="U310"/>
  <c r="U293"/>
  <c r="U280"/>
  <c r="U279"/>
  <c r="U465"/>
  <c r="CL632"/>
  <c r="CK632"/>
  <c r="CJ632"/>
  <c r="CI632"/>
  <c r="A632"/>
  <c r="CH632"/>
  <c r="BT632"/>
  <c r="AD632"/>
  <c r="U632"/>
  <c r="O632"/>
  <c r="CO81"/>
  <c r="CL81"/>
  <c r="CK81"/>
  <c r="CJ81"/>
  <c r="CI81"/>
  <c r="A81"/>
  <c r="CH81"/>
  <c r="BT81"/>
  <c r="AD81"/>
  <c r="AB81"/>
  <c r="U81"/>
  <c r="O81"/>
  <c r="CL695"/>
  <c r="CK695"/>
  <c r="CJ695"/>
  <c r="CI695"/>
  <c r="A695"/>
  <c r="CH695" s="1"/>
  <c r="BT695"/>
  <c r="U695"/>
  <c r="O695"/>
  <c r="CO536"/>
  <c r="CL536"/>
  <c r="CK536"/>
  <c r="CJ536"/>
  <c r="CI536"/>
  <c r="A536"/>
  <c r="CH536" s="1"/>
  <c r="BT536"/>
  <c r="AD536"/>
  <c r="AB536"/>
  <c r="U536"/>
  <c r="O536"/>
  <c r="CL63"/>
  <c r="CK63"/>
  <c r="CJ63"/>
  <c r="CI63"/>
  <c r="A63"/>
  <c r="CH63"/>
  <c r="BT63"/>
  <c r="U63"/>
  <c r="O63"/>
  <c r="CL662"/>
  <c r="CK662"/>
  <c r="CJ662"/>
  <c r="CI662"/>
  <c r="A662"/>
  <c r="CH662" s="1"/>
  <c r="BT662"/>
  <c r="AD662"/>
  <c r="U662"/>
  <c r="O662"/>
  <c r="CL645"/>
  <c r="CK645"/>
  <c r="CJ645"/>
  <c r="CI645"/>
  <c r="A645"/>
  <c r="CH645" s="1"/>
  <c r="BT645"/>
  <c r="AD645"/>
  <c r="U645"/>
  <c r="O645"/>
  <c r="CO642"/>
  <c r="CL642"/>
  <c r="CK642"/>
  <c r="CJ642"/>
  <c r="CI642"/>
  <c r="A642"/>
  <c r="CH642" s="1"/>
  <c r="BT642"/>
  <c r="AD642"/>
  <c r="AB642"/>
  <c r="U642"/>
  <c r="O642"/>
  <c r="CL598"/>
  <c r="CK598"/>
  <c r="CJ598"/>
  <c r="CI598"/>
  <c r="A598"/>
  <c r="CH598"/>
  <c r="BT598"/>
  <c r="AD598"/>
  <c r="U598"/>
  <c r="O598"/>
  <c r="CL582"/>
  <c r="CK582"/>
  <c r="CJ582"/>
  <c r="CI582"/>
  <c r="A582"/>
  <c r="CH582" s="1"/>
  <c r="BT582"/>
  <c r="AD582"/>
  <c r="U582"/>
  <c r="O582"/>
  <c r="CL581"/>
  <c r="CK581"/>
  <c r="CJ581"/>
  <c r="CI581"/>
  <c r="A581"/>
  <c r="CH581"/>
  <c r="BT581"/>
  <c r="AD581"/>
  <c r="U581"/>
  <c r="O581"/>
  <c r="CL571"/>
  <c r="CK571"/>
  <c r="CJ571"/>
  <c r="CI571"/>
  <c r="A571"/>
  <c r="CH571"/>
  <c r="BT571"/>
  <c r="AD571"/>
  <c r="U571"/>
  <c r="O571"/>
  <c r="CL570"/>
  <c r="CK570"/>
  <c r="CJ570"/>
  <c r="CI570"/>
  <c r="A570"/>
  <c r="CH570"/>
  <c r="BT570"/>
  <c r="U570"/>
  <c r="O570"/>
  <c r="CL551"/>
  <c r="CK551"/>
  <c r="CJ551"/>
  <c r="CI551"/>
  <c r="A551"/>
  <c r="CH551"/>
  <c r="BT551"/>
  <c r="AD551"/>
  <c r="U551"/>
  <c r="O551"/>
  <c r="U514"/>
  <c r="CL515"/>
  <c r="CK515"/>
  <c r="CJ515"/>
  <c r="CI515"/>
  <c r="A515"/>
  <c r="CH515" s="1"/>
  <c r="BT515"/>
  <c r="AD515"/>
  <c r="U515"/>
  <c r="O515"/>
  <c r="CL514"/>
  <c r="CK514"/>
  <c r="CJ514"/>
  <c r="CI514"/>
  <c r="A514"/>
  <c r="CH514" s="1"/>
  <c r="BT514"/>
  <c r="AD514"/>
  <c r="O514"/>
  <c r="CO510"/>
  <c r="CL510"/>
  <c r="CK510"/>
  <c r="CJ510"/>
  <c r="CI510"/>
  <c r="A510"/>
  <c r="CH510" s="1"/>
  <c r="BT510"/>
  <c r="AB510"/>
  <c r="U510"/>
  <c r="O510"/>
  <c r="CO487"/>
  <c r="CL487"/>
  <c r="CK487"/>
  <c r="CJ487"/>
  <c r="CI487"/>
  <c r="A487"/>
  <c r="CH487" s="1"/>
  <c r="BT487"/>
  <c r="AD487"/>
  <c r="AB487"/>
  <c r="U487"/>
  <c r="O487"/>
  <c r="CL456"/>
  <c r="CK456"/>
  <c r="CJ456"/>
  <c r="CI456"/>
  <c r="A456"/>
  <c r="CH456"/>
  <c r="BT456"/>
  <c r="AD456"/>
  <c r="U456"/>
  <c r="O456"/>
  <c r="CL445"/>
  <c r="CK445"/>
  <c r="CJ445"/>
  <c r="CI445"/>
  <c r="A445"/>
  <c r="CH445"/>
  <c r="BT445"/>
  <c r="U445"/>
  <c r="O445"/>
  <c r="CO441"/>
  <c r="CL441"/>
  <c r="CK441"/>
  <c r="CJ441"/>
  <c r="CI441"/>
  <c r="A441"/>
  <c r="CH441" s="1"/>
  <c r="BT441"/>
  <c r="AD441"/>
  <c r="AB441"/>
  <c r="U441"/>
  <c r="O441"/>
  <c r="CL440"/>
  <c r="CK440"/>
  <c r="CJ440"/>
  <c r="CI440"/>
  <c r="A440"/>
  <c r="CH440"/>
  <c r="BT440"/>
  <c r="AD440"/>
  <c r="U440"/>
  <c r="O440"/>
  <c r="CO431"/>
  <c r="CL431"/>
  <c r="CK431"/>
  <c r="CJ431"/>
  <c r="CI431"/>
  <c r="A431"/>
  <c r="CH431" s="1"/>
  <c r="BT431"/>
  <c r="AD431"/>
  <c r="AB431"/>
  <c r="U431"/>
  <c r="O431"/>
  <c r="CL426"/>
  <c r="CK426"/>
  <c r="CJ426"/>
  <c r="CI426"/>
  <c r="A426"/>
  <c r="CH426"/>
  <c r="BT426"/>
  <c r="U426"/>
  <c r="O426"/>
  <c r="CO423"/>
  <c r="CL423"/>
  <c r="CK423"/>
  <c r="CJ423"/>
  <c r="CI423"/>
  <c r="A423"/>
  <c r="CH423"/>
  <c r="BT423"/>
  <c r="AD423"/>
  <c r="AB423"/>
  <c r="U423"/>
  <c r="O423"/>
  <c r="CO355"/>
  <c r="CL355"/>
  <c r="CK355"/>
  <c r="CJ355"/>
  <c r="CI355"/>
  <c r="A355"/>
  <c r="CH355" s="1"/>
  <c r="BT355"/>
  <c r="AD355"/>
  <c r="AB355"/>
  <c r="U355"/>
  <c r="O355"/>
  <c r="CO348"/>
  <c r="CL348"/>
  <c r="CK348"/>
  <c r="CJ348"/>
  <c r="CI348"/>
  <c r="A348"/>
  <c r="CH348"/>
  <c r="BT348"/>
  <c r="AD348"/>
  <c r="AB348"/>
  <c r="U348"/>
  <c r="O348"/>
  <c r="CL345"/>
  <c r="CK345"/>
  <c r="CJ345"/>
  <c r="CI345"/>
  <c r="A345"/>
  <c r="CH345" s="1"/>
  <c r="BT345"/>
  <c r="U345"/>
  <c r="O345"/>
  <c r="CL343"/>
  <c r="CK343"/>
  <c r="CJ343"/>
  <c r="CI343"/>
  <c r="A343"/>
  <c r="CH343"/>
  <c r="BT343"/>
  <c r="AD343"/>
  <c r="U343"/>
  <c r="O343"/>
  <c r="CL341"/>
  <c r="CK341"/>
  <c r="CJ341"/>
  <c r="CI341"/>
  <c r="A341"/>
  <c r="CH341"/>
  <c r="BT341"/>
  <c r="U341"/>
  <c r="O341"/>
  <c r="U335"/>
  <c r="AB323"/>
  <c r="CL288"/>
  <c r="CK288"/>
  <c r="CJ288"/>
  <c r="CI288"/>
  <c r="A288"/>
  <c r="CH288"/>
  <c r="BT288"/>
  <c r="AD288"/>
  <c r="U288"/>
  <c r="O288"/>
  <c r="CO285"/>
  <c r="CL285"/>
  <c r="CK285"/>
  <c r="CJ285"/>
  <c r="CI285"/>
  <c r="A285"/>
  <c r="CH285"/>
  <c r="BT285"/>
  <c r="AD285"/>
  <c r="AB285"/>
  <c r="U285"/>
  <c r="O285"/>
  <c r="AB254"/>
  <c r="CL233"/>
  <c r="CK233"/>
  <c r="CJ233"/>
  <c r="CI233"/>
  <c r="A233"/>
  <c r="CH233" s="1"/>
  <c r="BT233"/>
  <c r="U233"/>
  <c r="O233"/>
  <c r="CL226"/>
  <c r="CK226"/>
  <c r="CJ226"/>
  <c r="CI226"/>
  <c r="A226"/>
  <c r="CH226" s="1"/>
  <c r="BT226"/>
  <c r="AD226"/>
  <c r="U226"/>
  <c r="O226"/>
  <c r="CO220"/>
  <c r="CL220"/>
  <c r="CK220"/>
  <c r="CJ220"/>
  <c r="CI220"/>
  <c r="A220"/>
  <c r="CH220"/>
  <c r="BT220"/>
  <c r="AD220"/>
  <c r="AB220"/>
  <c r="U220"/>
  <c r="O220"/>
  <c r="CL219"/>
  <c r="CK219"/>
  <c r="CJ219"/>
  <c r="CI219"/>
  <c r="A219"/>
  <c r="CH219" s="1"/>
  <c r="BT219"/>
  <c r="AD219"/>
  <c r="U219"/>
  <c r="O219"/>
  <c r="CL218"/>
  <c r="CK218"/>
  <c r="CJ218"/>
  <c r="CI218"/>
  <c r="A218"/>
  <c r="CH218" s="1"/>
  <c r="BT218"/>
  <c r="AD218"/>
  <c r="U218"/>
  <c r="O218"/>
  <c r="CL214"/>
  <c r="CK214"/>
  <c r="CJ214"/>
  <c r="CI214"/>
  <c r="A214"/>
  <c r="CH214"/>
  <c r="BT214"/>
  <c r="AD214"/>
  <c r="U214"/>
  <c r="O214"/>
  <c r="CO209"/>
  <c r="CL209"/>
  <c r="CK209"/>
  <c r="CJ209"/>
  <c r="CI209"/>
  <c r="A209"/>
  <c r="CH209"/>
  <c r="BT209"/>
  <c r="AD209"/>
  <c r="AB209"/>
  <c r="U209"/>
  <c r="O209"/>
  <c r="CO207"/>
  <c r="CL207"/>
  <c r="CK207"/>
  <c r="CJ207"/>
  <c r="CI207"/>
  <c r="A207"/>
  <c r="CH207"/>
  <c r="BT207"/>
  <c r="AD207"/>
  <c r="AB207"/>
  <c r="U207"/>
  <c r="O207"/>
  <c r="CO148"/>
  <c r="CL148"/>
  <c r="CK148"/>
  <c r="CJ148"/>
  <c r="CI148"/>
  <c r="A148"/>
  <c r="CH148"/>
  <c r="BT148"/>
  <c r="AD148"/>
  <c r="AB148"/>
  <c r="U148"/>
  <c r="O148"/>
  <c r="CO180"/>
  <c r="CL180"/>
  <c r="CK180"/>
  <c r="CJ180"/>
  <c r="CI180"/>
  <c r="A180"/>
  <c r="CH180" s="1"/>
  <c r="BT180"/>
  <c r="AD180"/>
  <c r="AB180"/>
  <c r="U180"/>
  <c r="O180"/>
  <c r="CL102"/>
  <c r="CK102"/>
  <c r="CJ102"/>
  <c r="CI102"/>
  <c r="A102"/>
  <c r="CH102"/>
  <c r="BT102"/>
  <c r="AD102"/>
  <c r="U102"/>
  <c r="O102"/>
  <c r="CL94"/>
  <c r="CK94"/>
  <c r="CJ94"/>
  <c r="CI94"/>
  <c r="A94"/>
  <c r="CH94" s="1"/>
  <c r="BT94"/>
  <c r="AD94"/>
  <c r="U94"/>
  <c r="O94"/>
  <c r="CO91"/>
  <c r="CL91"/>
  <c r="CK91"/>
  <c r="CJ91"/>
  <c r="CI91"/>
  <c r="A91"/>
  <c r="CH91" s="1"/>
  <c r="BT91"/>
  <c r="AD91"/>
  <c r="AB91"/>
  <c r="U91"/>
  <c r="O91"/>
  <c r="CO89"/>
  <c r="CL89"/>
  <c r="CK89"/>
  <c r="CJ89"/>
  <c r="CI89"/>
  <c r="A89"/>
  <c r="CH89" s="1"/>
  <c r="BT89"/>
  <c r="AD89"/>
  <c r="AB89"/>
  <c r="U89"/>
  <c r="O89"/>
  <c r="CL48"/>
  <c r="CK48"/>
  <c r="CJ48"/>
  <c r="CI48"/>
  <c r="A48"/>
  <c r="CH48"/>
  <c r="BT48"/>
  <c r="AD48"/>
  <c r="U48"/>
  <c r="O48"/>
  <c r="X2"/>
  <c r="Z2"/>
  <c r="Z1"/>
  <c r="CL72"/>
  <c r="CK72"/>
  <c r="CJ72"/>
  <c r="CI72"/>
  <c r="A72"/>
  <c r="CH72" s="1"/>
  <c r="BT72"/>
  <c r="AD72"/>
  <c r="U72"/>
  <c r="O72"/>
  <c r="AS742"/>
  <c r="AR742"/>
  <c r="AQ742"/>
  <c r="AP742"/>
  <c r="AO742"/>
  <c r="AD13"/>
  <c r="AD14"/>
  <c r="AD15"/>
  <c r="AD16"/>
  <c r="AD17"/>
  <c r="AD20"/>
  <c r="AD22"/>
  <c r="AD23"/>
  <c r="AD24"/>
  <c r="AD25"/>
  <c r="AD27"/>
  <c r="AD32"/>
  <c r="AD34"/>
  <c r="AD35"/>
  <c r="AD36"/>
  <c r="AD39"/>
  <c r="AD47"/>
  <c r="AD49"/>
  <c r="AD53"/>
  <c r="AD54"/>
  <c r="AD55"/>
  <c r="AD56"/>
  <c r="AD59"/>
  <c r="AD61"/>
  <c r="AD62"/>
  <c r="AD66"/>
  <c r="AD67"/>
  <c r="AD68"/>
  <c r="AD85"/>
  <c r="AD88"/>
  <c r="AD92"/>
  <c r="AD98"/>
  <c r="AD95"/>
  <c r="AD96"/>
  <c r="AD100"/>
  <c r="AD116"/>
  <c r="AD117"/>
  <c r="AD122"/>
  <c r="AD123"/>
  <c r="AD127"/>
  <c r="AD130"/>
  <c r="AD134"/>
  <c r="AD138"/>
  <c r="AD140"/>
  <c r="AD143"/>
  <c r="AD147"/>
  <c r="AD149"/>
  <c r="AD151"/>
  <c r="AD155"/>
  <c r="AD156"/>
  <c r="AD157"/>
  <c r="AD161"/>
  <c r="AD162"/>
  <c r="AD163"/>
  <c r="AD165"/>
  <c r="AD166"/>
  <c r="AD167"/>
  <c r="AD169"/>
  <c r="AD170"/>
  <c r="AD172"/>
  <c r="AD173"/>
  <c r="AD188"/>
  <c r="AD189"/>
  <c r="AD190"/>
  <c r="AD191"/>
  <c r="AD178"/>
  <c r="AD179"/>
  <c r="AD181"/>
  <c r="AD182"/>
  <c r="AD193"/>
  <c r="AD194"/>
  <c r="AD195"/>
  <c r="AD196"/>
  <c r="AD198"/>
  <c r="AD199"/>
  <c r="AD200"/>
  <c r="AD208"/>
  <c r="AD210"/>
  <c r="AD211"/>
  <c r="AD212"/>
  <c r="AD202"/>
  <c r="AD203"/>
  <c r="AD205"/>
  <c r="AD206"/>
  <c r="AD213"/>
  <c r="AD215"/>
  <c r="AD216"/>
  <c r="AD222"/>
  <c r="AD224"/>
  <c r="AD225"/>
  <c r="AD227"/>
  <c r="AD234"/>
  <c r="AD237"/>
  <c r="AD238"/>
  <c r="AD239"/>
  <c r="AD240"/>
  <c r="AD242"/>
  <c r="AD243"/>
  <c r="AD244"/>
  <c r="AD245"/>
  <c r="AD246"/>
  <c r="AD250"/>
  <c r="AD249"/>
  <c r="AD255"/>
  <c r="AD257"/>
  <c r="AD259"/>
  <c r="AD260"/>
  <c r="AD262"/>
  <c r="AD263"/>
  <c r="AD267"/>
  <c r="AD265"/>
  <c r="AD272"/>
  <c r="AD275"/>
  <c r="AD276"/>
  <c r="AD282"/>
  <c r="AD279"/>
  <c r="AD277"/>
  <c r="AD281"/>
  <c r="AD280"/>
  <c r="AD292"/>
  <c r="AD293"/>
  <c r="AD317"/>
  <c r="AD318"/>
  <c r="AD319"/>
  <c r="AD320"/>
  <c r="AD312"/>
  <c r="AD301"/>
  <c r="AD302"/>
  <c r="AD306"/>
  <c r="AD307"/>
  <c r="AD309"/>
  <c r="AD324"/>
  <c r="AD325"/>
  <c r="AD326"/>
  <c r="AD327"/>
  <c r="AD330"/>
  <c r="AD331"/>
  <c r="AD332"/>
  <c r="AD334"/>
  <c r="AD335"/>
  <c r="AD336"/>
  <c r="AD337"/>
  <c r="AD338"/>
  <c r="AD340"/>
  <c r="AD347"/>
  <c r="AD350"/>
  <c r="AD357"/>
  <c r="AD358"/>
  <c r="AD359"/>
  <c r="AD362"/>
  <c r="AD363"/>
  <c r="AD365"/>
  <c r="AD367"/>
  <c r="AD368"/>
  <c r="AD369"/>
  <c r="AD382"/>
  <c r="AD383"/>
  <c r="AD384"/>
  <c r="AD385"/>
  <c r="AD386"/>
  <c r="AD387"/>
  <c r="AD388"/>
  <c r="AD389"/>
  <c r="AD390"/>
  <c r="AD391"/>
  <c r="AD392"/>
  <c r="AD395"/>
  <c r="AD396"/>
  <c r="AD402"/>
  <c r="AD403"/>
  <c r="AD404"/>
  <c r="AD405"/>
  <c r="AD407"/>
  <c r="AD408"/>
  <c r="AD409"/>
  <c r="AD411"/>
  <c r="AD413"/>
  <c r="AD414"/>
  <c r="AD419"/>
  <c r="AD420"/>
  <c r="AD422"/>
  <c r="AD416"/>
  <c r="AD425"/>
  <c r="AD439"/>
  <c r="AD444"/>
  <c r="AD449"/>
  <c r="AD454"/>
  <c r="AD455"/>
  <c r="AD457"/>
  <c r="AD458"/>
  <c r="AD464"/>
  <c r="AD465"/>
  <c r="AD466"/>
  <c r="AD467"/>
  <c r="AD469"/>
  <c r="AD472"/>
  <c r="AD473"/>
  <c r="AD475"/>
  <c r="AD476"/>
  <c r="AD479"/>
  <c r="AD480"/>
  <c r="AD481"/>
  <c r="AD482"/>
  <c r="AD484"/>
  <c r="AD485"/>
  <c r="AD486"/>
  <c r="AD490"/>
  <c r="AD492"/>
  <c r="AD493"/>
  <c r="AD494"/>
  <c r="AD495"/>
  <c r="AD496"/>
  <c r="AD497"/>
  <c r="AD498"/>
  <c r="AD499"/>
  <c r="AD500"/>
  <c r="AD501"/>
  <c r="AD502"/>
  <c r="AD503"/>
  <c r="AD504"/>
  <c r="AD511"/>
  <c r="AD513"/>
  <c r="AD516"/>
  <c r="AD517"/>
  <c r="AD518"/>
  <c r="AD519"/>
  <c r="AD520"/>
  <c r="AD521"/>
  <c r="AD522"/>
  <c r="AD523"/>
  <c r="AD524"/>
  <c r="AD526"/>
  <c r="AD527"/>
  <c r="AD538"/>
  <c r="AD528"/>
  <c r="AD537"/>
  <c r="AD530"/>
  <c r="AD531"/>
  <c r="AD534"/>
  <c r="AD535"/>
  <c r="AD540"/>
  <c r="AD543"/>
  <c r="AD545"/>
  <c r="AD546"/>
  <c r="AD547"/>
  <c r="AD548"/>
  <c r="AD549"/>
  <c r="AD550"/>
  <c r="AD554"/>
  <c r="AD559"/>
  <c r="AD561"/>
  <c r="AD562"/>
  <c r="AD565"/>
  <c r="AD569"/>
  <c r="AD572"/>
  <c r="AD574"/>
  <c r="AD580"/>
  <c r="AD583"/>
  <c r="AD584"/>
  <c r="AD595"/>
  <c r="AD596"/>
  <c r="AD600"/>
  <c r="AD601"/>
  <c r="AD605"/>
  <c r="AD606"/>
  <c r="AD610"/>
  <c r="AD612"/>
  <c r="AD617"/>
  <c r="AD620"/>
  <c r="AD621"/>
  <c r="AD459"/>
  <c r="AD622"/>
  <c r="AD626"/>
  <c r="AD628"/>
  <c r="AD630"/>
  <c r="AD636"/>
  <c r="AD637"/>
  <c r="AD638"/>
  <c r="AD641"/>
  <c r="AD643"/>
  <c r="AD644"/>
  <c r="AD647"/>
  <c r="AD648"/>
  <c r="AD650"/>
  <c r="AD651"/>
  <c r="AD652"/>
  <c r="AD654"/>
  <c r="AD657"/>
  <c r="AD659"/>
  <c r="AD660"/>
  <c r="AD663"/>
  <c r="AD665"/>
  <c r="AD667"/>
  <c r="AD669"/>
  <c r="AD670"/>
  <c r="AD674"/>
  <c r="AD675"/>
  <c r="AD677"/>
  <c r="AD679"/>
  <c r="AD682"/>
  <c r="AD683"/>
  <c r="AD685"/>
  <c r="AD692"/>
  <c r="AD693"/>
  <c r="AD701"/>
  <c r="AD702"/>
  <c r="AD703"/>
  <c r="AD707"/>
  <c r="AD708"/>
  <c r="AD709"/>
  <c r="AD710"/>
  <c r="AD711"/>
  <c r="AD712"/>
  <c r="AD713"/>
  <c r="AD714"/>
  <c r="AD715"/>
  <c r="AD719"/>
  <c r="AD720"/>
  <c r="AD721"/>
  <c r="AD722"/>
  <c r="AD723"/>
  <c r="AD725"/>
  <c r="AD737"/>
  <c r="AD730"/>
  <c r="AD731"/>
  <c r="AD740"/>
  <c r="P110" i="51061"/>
  <c r="P111" s="1"/>
  <c r="AE111" s="1"/>
  <c r="CL679" i="51055"/>
  <c r="CK679"/>
  <c r="CJ679"/>
  <c r="CI679"/>
  <c r="A679"/>
  <c r="CH679"/>
  <c r="BT679"/>
  <c r="U679"/>
  <c r="O679"/>
  <c r="AB8" i="51061"/>
  <c r="AB9"/>
  <c r="AB10"/>
  <c r="AB11"/>
  <c r="AB12"/>
  <c r="AB13"/>
  <c r="AB14"/>
  <c r="AB15"/>
  <c r="AB16"/>
  <c r="AB17"/>
  <c r="AB18"/>
  <c r="AB19"/>
  <c r="AB20"/>
  <c r="AB21"/>
  <c r="AB22"/>
  <c r="AB23"/>
  <c r="AB24"/>
  <c r="AB26"/>
  <c r="AB27"/>
  <c r="AB28"/>
  <c r="AB29"/>
  <c r="AB30"/>
  <c r="AB31"/>
  <c r="AB32"/>
  <c r="AB34"/>
  <c r="AB35"/>
  <c r="AB36"/>
  <c r="AB37"/>
  <c r="AB38"/>
  <c r="AB39"/>
  <c r="AB40"/>
  <c r="AB41"/>
  <c r="AB42"/>
  <c r="AB43"/>
  <c r="AB44"/>
  <c r="AB45"/>
  <c r="AB46"/>
  <c r="AB47"/>
  <c r="AB48"/>
  <c r="AB50"/>
  <c r="AB51"/>
  <c r="AB52"/>
  <c r="AB53"/>
  <c r="AB54"/>
  <c r="AB56"/>
  <c r="AB57"/>
  <c r="AB59"/>
  <c r="AB61"/>
  <c r="AB62"/>
  <c r="AB63"/>
  <c r="AB64"/>
  <c r="AB65"/>
  <c r="AB67"/>
  <c r="AB68"/>
  <c r="AB69"/>
  <c r="AB70"/>
  <c r="AB71"/>
  <c r="AB72"/>
  <c r="AB73"/>
  <c r="AB74"/>
  <c r="AB75"/>
  <c r="AB76"/>
  <c r="AB77"/>
  <c r="AB78"/>
  <c r="AB79"/>
  <c r="AB80"/>
  <c r="AB81"/>
  <c r="AB82"/>
  <c r="AB83"/>
  <c r="AB84"/>
  <c r="AB85"/>
  <c r="AB86"/>
  <c r="AB87"/>
  <c r="AB88"/>
  <c r="AB89"/>
  <c r="AB90"/>
  <c r="AB91"/>
  <c r="AB92"/>
  <c r="AB93"/>
  <c r="AB94"/>
  <c r="AB95"/>
  <c r="AB96"/>
  <c r="AB97"/>
  <c r="AB98"/>
  <c r="AB99"/>
  <c r="AB100"/>
  <c r="AB101"/>
  <c r="AB102"/>
  <c r="AB104"/>
  <c r="AB105" s="1"/>
  <c r="AB106"/>
  <c r="AB107"/>
  <c r="AB108"/>
  <c r="AB110"/>
  <c r="AB111" s="1"/>
  <c r="CB742" i="51055"/>
  <c r="AA8" i="51061"/>
  <c r="AA9"/>
  <c r="AA10"/>
  <c r="AA11"/>
  <c r="AA12"/>
  <c r="AA13"/>
  <c r="AA14"/>
  <c r="AA15"/>
  <c r="AA16"/>
  <c r="AA17"/>
  <c r="AA19"/>
  <c r="AA20"/>
  <c r="AA21"/>
  <c r="AA22"/>
  <c r="AA23"/>
  <c r="AA24"/>
  <c r="AA25"/>
  <c r="AA26"/>
  <c r="AA27"/>
  <c r="AA28"/>
  <c r="AA29"/>
  <c r="AA30"/>
  <c r="AA31"/>
  <c r="AA32"/>
  <c r="AA33"/>
  <c r="AA34"/>
  <c r="AA35"/>
  <c r="AA36"/>
  <c r="AA37"/>
  <c r="AA38"/>
  <c r="AA39"/>
  <c r="AA40"/>
  <c r="AA41"/>
  <c r="AA43"/>
  <c r="AA44"/>
  <c r="AA49" s="1"/>
  <c r="AA45"/>
  <c r="AA46"/>
  <c r="AA47"/>
  <c r="AA48"/>
  <c r="AA50"/>
  <c r="AA51"/>
  <c r="AA52"/>
  <c r="AA53"/>
  <c r="AA54"/>
  <c r="AA55" s="1"/>
  <c r="AA56"/>
  <c r="AA57"/>
  <c r="AA59"/>
  <c r="AA61"/>
  <c r="AA62"/>
  <c r="AA63"/>
  <c r="AA64"/>
  <c r="AA65"/>
  <c r="AA67"/>
  <c r="AA68"/>
  <c r="AA75" s="1"/>
  <c r="AA69"/>
  <c r="AA70"/>
  <c r="AA71"/>
  <c r="AA72"/>
  <c r="AA73"/>
  <c r="AA74"/>
  <c r="AA76"/>
  <c r="AA81" s="1"/>
  <c r="AA77"/>
  <c r="AA78"/>
  <c r="AA79"/>
  <c r="AA80"/>
  <c r="AA82"/>
  <c r="AA83"/>
  <c r="AA84"/>
  <c r="AA85"/>
  <c r="AA86"/>
  <c r="AA88"/>
  <c r="AA89"/>
  <c r="AA90"/>
  <c r="AA91"/>
  <c r="AA92"/>
  <c r="AA94"/>
  <c r="AA95"/>
  <c r="AA96"/>
  <c r="AA97"/>
  <c r="AA98"/>
  <c r="AA100"/>
  <c r="AA101"/>
  <c r="AA102"/>
  <c r="AA104"/>
  <c r="AA105" s="1"/>
  <c r="AA106"/>
  <c r="AA107"/>
  <c r="AA108"/>
  <c r="AA110"/>
  <c r="AA111" s="1"/>
  <c r="BZ742" i="51055"/>
  <c r="Z8" i="51061"/>
  <c r="Z9"/>
  <c r="Z10"/>
  <c r="Z11"/>
  <c r="Z12"/>
  <c r="Z13"/>
  <c r="Z14"/>
  <c r="Z15"/>
  <c r="Z16"/>
  <c r="Z17"/>
  <c r="Z19"/>
  <c r="Z20"/>
  <c r="Z21"/>
  <c r="Z22"/>
  <c r="Z23"/>
  <c r="Z24"/>
  <c r="Z25"/>
  <c r="Z26"/>
  <c r="Z27"/>
  <c r="Z28"/>
  <c r="Z29"/>
  <c r="Z30"/>
  <c r="Z31"/>
  <c r="Z32"/>
  <c r="Z33"/>
  <c r="Z34"/>
  <c r="Z35"/>
  <c r="Z36"/>
  <c r="Z37"/>
  <c r="Z38"/>
  <c r="Z39"/>
  <c r="Z40"/>
  <c r="Z41"/>
  <c r="Z43"/>
  <c r="Z44"/>
  <c r="Z49" s="1"/>
  <c r="Z45"/>
  <c r="Z46"/>
  <c r="Z47"/>
  <c r="Z48"/>
  <c r="Z50"/>
  <c r="Z55" s="1"/>
  <c r="Z51"/>
  <c r="Z52"/>
  <c r="Z53"/>
  <c r="Z54"/>
  <c r="Z56"/>
  <c r="Z60" s="1"/>
  <c r="Z57"/>
  <c r="Z59"/>
  <c r="Z61"/>
  <c r="Z66" s="1"/>
  <c r="Z62"/>
  <c r="Z63"/>
  <c r="Z64"/>
  <c r="Z65"/>
  <c r="Z67"/>
  <c r="Z68"/>
  <c r="Z69"/>
  <c r="Z70"/>
  <c r="Z71"/>
  <c r="Z72"/>
  <c r="Z73"/>
  <c r="Z74"/>
  <c r="Z76"/>
  <c r="Z77"/>
  <c r="Z78"/>
  <c r="Z79"/>
  <c r="Z80"/>
  <c r="Z82"/>
  <c r="Z83"/>
  <c r="Z84"/>
  <c r="Z85"/>
  <c r="Z86"/>
  <c r="Z88"/>
  <c r="Z89"/>
  <c r="Z90"/>
  <c r="Z91"/>
  <c r="Z92"/>
  <c r="Z94"/>
  <c r="Z95"/>
  <c r="Z96"/>
  <c r="Z97"/>
  <c r="Z98"/>
  <c r="Z100"/>
  <c r="Z101"/>
  <c r="Z102"/>
  <c r="Z104"/>
  <c r="Z105" s="1"/>
  <c r="Z106"/>
  <c r="Z107"/>
  <c r="Z108"/>
  <c r="Z110"/>
  <c r="Y8"/>
  <c r="Y9"/>
  <c r="Y10"/>
  <c r="Y11"/>
  <c r="Y12"/>
  <c r="Y13"/>
  <c r="Y14"/>
  <c r="Y15"/>
  <c r="Y16"/>
  <c r="Y17"/>
  <c r="Y19"/>
  <c r="Y20"/>
  <c r="Y21"/>
  <c r="Y22"/>
  <c r="Y23"/>
  <c r="Y24"/>
  <c r="Y25"/>
  <c r="Y26"/>
  <c r="Y27"/>
  <c r="Y28"/>
  <c r="Y29"/>
  <c r="Y30"/>
  <c r="Y31"/>
  <c r="Y32"/>
  <c r="Y33"/>
  <c r="Y34"/>
  <c r="Y35"/>
  <c r="Y36"/>
  <c r="Y37"/>
  <c r="Y38"/>
  <c r="Y39"/>
  <c r="Y40"/>
  <c r="Y41"/>
  <c r="Y43"/>
  <c r="Y44"/>
  <c r="Y49" s="1"/>
  <c r="Y45"/>
  <c r="Y46"/>
  <c r="Y47"/>
  <c r="Y48"/>
  <c r="Y50"/>
  <c r="Y55" s="1"/>
  <c r="Y51"/>
  <c r="Y52"/>
  <c r="Y53"/>
  <c r="Y54"/>
  <c r="Y56"/>
  <c r="Y60" s="1"/>
  <c r="Y57"/>
  <c r="Y59"/>
  <c r="Y61"/>
  <c r="Y66" s="1"/>
  <c r="Y62"/>
  <c r="Y63"/>
  <c r="Y64"/>
  <c r="Y65"/>
  <c r="Y67"/>
  <c r="Y68"/>
  <c r="Y69"/>
  <c r="Y70"/>
  <c r="Y71"/>
  <c r="Y72"/>
  <c r="Y73"/>
  <c r="Y74"/>
  <c r="Y76"/>
  <c r="Y77"/>
  <c r="Y78"/>
  <c r="Y79"/>
  <c r="Y80"/>
  <c r="Y82"/>
  <c r="Y83"/>
  <c r="Y84"/>
  <c r="Y85"/>
  <c r="Y86"/>
  <c r="Y88"/>
  <c r="Y89"/>
  <c r="Y90"/>
  <c r="Y91"/>
  <c r="Y92"/>
  <c r="Y94"/>
  <c r="Y95"/>
  <c r="Y96"/>
  <c r="Y97"/>
  <c r="Y98"/>
  <c r="Y100"/>
  <c r="Y101"/>
  <c r="Y102"/>
  <c r="Y104"/>
  <c r="Y105" s="1"/>
  <c r="Y106"/>
  <c r="Y107"/>
  <c r="Y108"/>
  <c r="Y110"/>
  <c r="Y111" s="1"/>
  <c r="A106"/>
  <c r="A107" s="1"/>
  <c r="A108" s="1"/>
  <c r="A110" s="1"/>
  <c r="N750" i="51055"/>
  <c r="CD746"/>
  <c r="CC746"/>
  <c r="C14" i="51059"/>
  <c r="N86" i="51061"/>
  <c r="AI742" i="51055"/>
  <c r="F15" i="51059"/>
  <c r="N90" i="51061"/>
  <c r="AB702" i="51055"/>
  <c r="F18" i="51059"/>
  <c r="C18"/>
  <c r="N106" i="51061"/>
  <c r="N107"/>
  <c r="N108"/>
  <c r="CA742" i="51055"/>
  <c r="BT710"/>
  <c r="BT665"/>
  <c r="BT625"/>
  <c r="BT606"/>
  <c r="BT479"/>
  <c r="BT475"/>
  <c r="BT472"/>
  <c r="BT467"/>
  <c r="BT451"/>
  <c r="BT447"/>
  <c r="BT444"/>
  <c r="BT362"/>
  <c r="BT338"/>
  <c r="BT320"/>
  <c r="BT311"/>
  <c r="BT302"/>
  <c r="BT295"/>
  <c r="BT243"/>
  <c r="BT221"/>
  <c r="BT211"/>
  <c r="BT201"/>
  <c r="BT128"/>
  <c r="BT82"/>
  <c r="BT67"/>
  <c r="CL586"/>
  <c r="CK586"/>
  <c r="CJ586"/>
  <c r="CI586"/>
  <c r="A586"/>
  <c r="CH586"/>
  <c r="U586"/>
  <c r="CO548"/>
  <c r="CL548"/>
  <c r="CK548"/>
  <c r="CJ548"/>
  <c r="CI548"/>
  <c r="A548"/>
  <c r="CH548"/>
  <c r="AB548"/>
  <c r="O548"/>
  <c r="CL254"/>
  <c r="CK254"/>
  <c r="CJ254"/>
  <c r="CI254"/>
  <c r="A254"/>
  <c r="CH254"/>
  <c r="U254"/>
  <c r="O254"/>
  <c r="CO382"/>
  <c r="CL382"/>
  <c r="CK382"/>
  <c r="CJ382"/>
  <c r="CI382"/>
  <c r="A382"/>
  <c r="CH382" s="1"/>
  <c r="AB382"/>
  <c r="U382"/>
  <c r="O382"/>
  <c r="CL378"/>
  <c r="CK378"/>
  <c r="CJ378"/>
  <c r="CI378"/>
  <c r="CH378"/>
  <c r="U378"/>
  <c r="O378"/>
  <c r="CL369"/>
  <c r="CK369"/>
  <c r="CJ369"/>
  <c r="CI369"/>
  <c r="A369"/>
  <c r="CH369" s="1"/>
  <c r="U369"/>
  <c r="O369"/>
  <c r="AB460"/>
  <c r="CO460"/>
  <c r="CL460"/>
  <c r="CK460"/>
  <c r="CJ460"/>
  <c r="CI460"/>
  <c r="A460"/>
  <c r="CH460" s="1"/>
  <c r="U460"/>
  <c r="O460"/>
  <c r="CL170"/>
  <c r="CK170"/>
  <c r="CJ170"/>
  <c r="CI170"/>
  <c r="A170"/>
  <c r="CH170"/>
  <c r="U170"/>
  <c r="O170"/>
  <c r="AB111"/>
  <c r="CO111"/>
  <c r="CL111"/>
  <c r="CK111"/>
  <c r="CJ111"/>
  <c r="CI111"/>
  <c r="A111"/>
  <c r="CH111"/>
  <c r="O111"/>
  <c r="CL106"/>
  <c r="CK106"/>
  <c r="CJ106"/>
  <c r="CI106"/>
  <c r="A106"/>
  <c r="CH106"/>
  <c r="U106"/>
  <c r="O106"/>
  <c r="CL670"/>
  <c r="CK670"/>
  <c r="CJ670"/>
  <c r="CI670"/>
  <c r="A670"/>
  <c r="CH670" s="1"/>
  <c r="U670"/>
  <c r="O670"/>
  <c r="CL360"/>
  <c r="CK360"/>
  <c r="CJ360"/>
  <c r="CI360"/>
  <c r="A360"/>
  <c r="CH360" s="1"/>
  <c r="U360"/>
  <c r="O360"/>
  <c r="CL200"/>
  <c r="CK200"/>
  <c r="CJ200"/>
  <c r="CI200"/>
  <c r="A200"/>
  <c r="CH200" s="1"/>
  <c r="U200"/>
  <c r="O200"/>
  <c r="CL198"/>
  <c r="CK198"/>
  <c r="CJ198"/>
  <c r="CI198"/>
  <c r="A198"/>
  <c r="CH198" s="1"/>
  <c r="U198"/>
  <c r="O198"/>
  <c r="CO602"/>
  <c r="CL602"/>
  <c r="CK602"/>
  <c r="CJ602"/>
  <c r="CI602"/>
  <c r="A602"/>
  <c r="CH602" s="1"/>
  <c r="U602"/>
  <c r="O602"/>
  <c r="CO221"/>
  <c r="CL221"/>
  <c r="CK221"/>
  <c r="CJ221"/>
  <c r="CI221"/>
  <c r="A221"/>
  <c r="CH221" s="1"/>
  <c r="AB221"/>
  <c r="U221"/>
  <c r="CL144"/>
  <c r="CK144"/>
  <c r="CJ144"/>
  <c r="CI144"/>
  <c r="A144"/>
  <c r="CH144"/>
  <c r="U144"/>
  <c r="O144"/>
  <c r="U149"/>
  <c r="CL149"/>
  <c r="CK149"/>
  <c r="CJ149"/>
  <c r="CI149"/>
  <c r="A149"/>
  <c r="CH149" s="1"/>
  <c r="O149"/>
  <c r="CL62"/>
  <c r="CK62"/>
  <c r="CJ62"/>
  <c r="CI62"/>
  <c r="A62"/>
  <c r="CH62"/>
  <c r="U62"/>
  <c r="O62"/>
  <c r="CL580"/>
  <c r="CK580"/>
  <c r="CJ580"/>
  <c r="CI580"/>
  <c r="A580"/>
  <c r="CH580" s="1"/>
  <c r="U580"/>
  <c r="O580"/>
  <c r="CL667"/>
  <c r="CK667"/>
  <c r="CJ667"/>
  <c r="CI667"/>
  <c r="A667"/>
  <c r="CH667"/>
  <c r="U667"/>
  <c r="O667"/>
  <c r="CL569"/>
  <c r="CK569"/>
  <c r="CJ569"/>
  <c r="CI569"/>
  <c r="A569"/>
  <c r="CH569" s="1"/>
  <c r="U569"/>
  <c r="O569"/>
  <c r="CL13"/>
  <c r="CK13"/>
  <c r="CJ13"/>
  <c r="CI13"/>
  <c r="A13"/>
  <c r="CH13"/>
  <c r="U13"/>
  <c r="O13"/>
  <c r="U648"/>
  <c r="U477"/>
  <c r="U375"/>
  <c r="U387"/>
  <c r="U380"/>
  <c r="U313"/>
  <c r="AJ107" i="51061"/>
  <c r="AL107" s="1"/>
  <c r="R107"/>
  <c r="F107"/>
  <c r="F106"/>
  <c r="F108"/>
  <c r="F109"/>
  <c r="R110"/>
  <c r="O110"/>
  <c r="N110"/>
  <c r="F110"/>
  <c r="F111" s="1"/>
  <c r="AJ110"/>
  <c r="AL110" s="1"/>
  <c r="R108"/>
  <c r="R109" s="1"/>
  <c r="R106"/>
  <c r="R104"/>
  <c r="R102"/>
  <c r="F102"/>
  <c r="R101"/>
  <c r="R100"/>
  <c r="R103"/>
  <c r="N101"/>
  <c r="N100"/>
  <c r="R98"/>
  <c r="N98"/>
  <c r="R97"/>
  <c r="N97"/>
  <c r="R95"/>
  <c r="C16" i="51059"/>
  <c r="H16" s="1"/>
  <c r="R94" i="51061"/>
  <c r="R92"/>
  <c r="N92"/>
  <c r="R91"/>
  <c r="N91"/>
  <c r="AJ91"/>
  <c r="AL91" s="1"/>
  <c r="AJ88"/>
  <c r="AL88" s="1"/>
  <c r="AJ89"/>
  <c r="AL89" s="1"/>
  <c r="AJ90"/>
  <c r="AL90" s="1"/>
  <c r="AJ92"/>
  <c r="AL92" s="1"/>
  <c r="R90"/>
  <c r="R89"/>
  <c r="N89"/>
  <c r="C15" i="51059"/>
  <c r="H15" s="1"/>
  <c r="AL742" i="51055"/>
  <c r="D15" i="51059"/>
  <c r="G15" s="1"/>
  <c r="R88" i="51061"/>
  <c r="N88"/>
  <c r="N93" s="1"/>
  <c r="R86"/>
  <c r="R85"/>
  <c r="N85"/>
  <c r="AJ85"/>
  <c r="AL85" s="1"/>
  <c r="R84"/>
  <c r="R83"/>
  <c r="R82"/>
  <c r="R87" s="1"/>
  <c r="N82"/>
  <c r="R80"/>
  <c r="AJ79"/>
  <c r="AL79"/>
  <c r="R78"/>
  <c r="N78"/>
  <c r="R77"/>
  <c r="N77"/>
  <c r="F77"/>
  <c r="AJ77"/>
  <c r="AL77" s="1"/>
  <c r="R76"/>
  <c r="N76"/>
  <c r="R74"/>
  <c r="AJ74"/>
  <c r="AL74" s="1"/>
  <c r="N74"/>
  <c r="F74"/>
  <c r="N72"/>
  <c r="R71"/>
  <c r="N71"/>
  <c r="R70"/>
  <c r="N70"/>
  <c r="AJ70"/>
  <c r="R69"/>
  <c r="N68"/>
  <c r="C12" i="51059"/>
  <c r="R65" i="51061"/>
  <c r="R64"/>
  <c r="N64"/>
  <c r="AJ64"/>
  <c r="R63"/>
  <c r="C11" i="51059"/>
  <c r="R61" i="51061"/>
  <c r="R59"/>
  <c r="R57"/>
  <c r="R60" s="1"/>
  <c r="R56"/>
  <c r="R54"/>
  <c r="N54"/>
  <c r="R53"/>
  <c r="N53"/>
  <c r="R52"/>
  <c r="N52"/>
  <c r="R51"/>
  <c r="R50"/>
  <c r="N50"/>
  <c r="R48"/>
  <c r="R47"/>
  <c r="R46"/>
  <c r="R45"/>
  <c r="R43"/>
  <c r="R44"/>
  <c r="R49" s="1"/>
  <c r="AJ44"/>
  <c r="R41"/>
  <c r="N41"/>
  <c r="R40"/>
  <c r="AJ40"/>
  <c r="AL40" s="1"/>
  <c r="R38"/>
  <c r="N38"/>
  <c r="R37"/>
  <c r="AJ36"/>
  <c r="R35"/>
  <c r="F35"/>
  <c r="R34"/>
  <c r="R32"/>
  <c r="AG32"/>
  <c r="AJ32"/>
  <c r="AL32" s="1"/>
  <c r="R31"/>
  <c r="R30"/>
  <c r="AG28"/>
  <c r="R29"/>
  <c r="AJ29"/>
  <c r="AL29"/>
  <c r="R28"/>
  <c r="R27"/>
  <c r="R33" s="1"/>
  <c r="R26"/>
  <c r="R24"/>
  <c r="AG24"/>
  <c r="AJ24"/>
  <c r="AL24"/>
  <c r="R23"/>
  <c r="R22"/>
  <c r="R21"/>
  <c r="AJ21"/>
  <c r="AL21" s="1"/>
  <c r="R20"/>
  <c r="R17"/>
  <c r="R16"/>
  <c r="R15"/>
  <c r="R14"/>
  <c r="R13"/>
  <c r="R12"/>
  <c r="R8"/>
  <c r="R9"/>
  <c r="R18" s="1"/>
  <c r="R10"/>
  <c r="R11"/>
  <c r="J742" i="51055"/>
  <c r="F16" i="51059"/>
  <c r="BK742" i="51055"/>
  <c r="CL376"/>
  <c r="CK376"/>
  <c r="CJ376"/>
  <c r="CI376"/>
  <c r="A376"/>
  <c r="CH376"/>
  <c r="O376"/>
  <c r="CL96"/>
  <c r="CK96"/>
  <c r="CJ96"/>
  <c r="CI96"/>
  <c r="A96"/>
  <c r="CH96"/>
  <c r="U96"/>
  <c r="O96"/>
  <c r="CL725"/>
  <c r="CK725"/>
  <c r="CJ725"/>
  <c r="CI725"/>
  <c r="A725"/>
  <c r="CH725" s="1"/>
  <c r="U725"/>
  <c r="O725"/>
  <c r="CL621"/>
  <c r="CK621"/>
  <c r="CJ621"/>
  <c r="CI621"/>
  <c r="A621"/>
  <c r="CH621"/>
  <c r="U621"/>
  <c r="O621"/>
  <c r="CL559"/>
  <c r="CK559"/>
  <c r="CJ559"/>
  <c r="CI559"/>
  <c r="A559"/>
  <c r="CH559" s="1"/>
  <c r="U559"/>
  <c r="O559"/>
  <c r="CL482"/>
  <c r="CK482"/>
  <c r="CJ482"/>
  <c r="CI482"/>
  <c r="A482"/>
  <c r="CH482"/>
  <c r="U482"/>
  <c r="O482"/>
  <c r="CL444"/>
  <c r="CK444"/>
  <c r="CJ444"/>
  <c r="CI444"/>
  <c r="A444"/>
  <c r="CH444" s="1"/>
  <c r="U444"/>
  <c r="O444"/>
  <c r="CL422"/>
  <c r="CK422"/>
  <c r="CJ422"/>
  <c r="CI422"/>
  <c r="A422"/>
  <c r="CH422"/>
  <c r="U422"/>
  <c r="O422"/>
  <c r="CL408"/>
  <c r="CK408"/>
  <c r="CJ408"/>
  <c r="CI408"/>
  <c r="A408"/>
  <c r="CH408" s="1"/>
  <c r="U408"/>
  <c r="O408"/>
  <c r="CL333"/>
  <c r="CK333"/>
  <c r="CJ333"/>
  <c r="CI333"/>
  <c r="A333"/>
  <c r="CH333" s="1"/>
  <c r="O333"/>
  <c r="CL284"/>
  <c r="CK284"/>
  <c r="CJ284"/>
  <c r="CI284"/>
  <c r="A284"/>
  <c r="CH284"/>
  <c r="O284"/>
  <c r="CL268"/>
  <c r="CK268"/>
  <c r="CJ268"/>
  <c r="CI268"/>
  <c r="A268"/>
  <c r="CH268" s="1"/>
  <c r="U268"/>
  <c r="O268"/>
  <c r="CO323"/>
  <c r="CL323"/>
  <c r="CK323"/>
  <c r="CJ323"/>
  <c r="CI323"/>
  <c r="A323"/>
  <c r="CH323" s="1"/>
  <c r="U323"/>
  <c r="O323"/>
  <c r="CL104"/>
  <c r="CK104"/>
  <c r="CJ104"/>
  <c r="CI104"/>
  <c r="A104"/>
  <c r="CH104" s="1"/>
  <c r="U104"/>
  <c r="O104"/>
  <c r="CO155"/>
  <c r="CL155"/>
  <c r="CK155"/>
  <c r="CJ155"/>
  <c r="CI155"/>
  <c r="A155"/>
  <c r="CH155" s="1"/>
  <c r="AB155"/>
  <c r="U155"/>
  <c r="O155"/>
  <c r="CL143"/>
  <c r="CK143"/>
  <c r="CJ143"/>
  <c r="CI143"/>
  <c r="A143"/>
  <c r="CH143" s="1"/>
  <c r="U143"/>
  <c r="O143"/>
  <c r="CL731"/>
  <c r="CK731"/>
  <c r="CJ731"/>
  <c r="CI731"/>
  <c r="A731"/>
  <c r="CH731"/>
  <c r="U731"/>
  <c r="O731"/>
  <c r="CL732"/>
  <c r="CK732"/>
  <c r="CJ732"/>
  <c r="CI732"/>
  <c r="A732"/>
  <c r="CH732" s="1"/>
  <c r="U732"/>
  <c r="O732"/>
  <c r="CL392"/>
  <c r="CK392"/>
  <c r="CJ392"/>
  <c r="CI392"/>
  <c r="A392"/>
  <c r="CH392" s="1"/>
  <c r="U392"/>
  <c r="O392"/>
  <c r="B94" i="51059"/>
  <c r="B117" s="1"/>
  <c r="O111" i="51061"/>
  <c r="N111"/>
  <c r="F93" i="51059"/>
  <c r="E93"/>
  <c r="D93"/>
  <c r="C93"/>
  <c r="B93"/>
  <c r="F92"/>
  <c r="E92"/>
  <c r="D92"/>
  <c r="C92"/>
  <c r="B92"/>
  <c r="F91"/>
  <c r="E91"/>
  <c r="D91"/>
  <c r="C91"/>
  <c r="B91"/>
  <c r="F90"/>
  <c r="E90"/>
  <c r="D90"/>
  <c r="C90"/>
  <c r="B90"/>
  <c r="E89"/>
  <c r="D89"/>
  <c r="C89"/>
  <c r="B89"/>
  <c r="E88"/>
  <c r="D88"/>
  <c r="C88"/>
  <c r="B88"/>
  <c r="F87"/>
  <c r="E87"/>
  <c r="D87"/>
  <c r="C87"/>
  <c r="B87"/>
  <c r="F86"/>
  <c r="E86"/>
  <c r="D86"/>
  <c r="C86"/>
  <c r="B86"/>
  <c r="E85"/>
  <c r="D85"/>
  <c r="C85"/>
  <c r="B85"/>
  <c r="F84"/>
  <c r="E84"/>
  <c r="D84"/>
  <c r="C84"/>
  <c r="B84"/>
  <c r="F83"/>
  <c r="E83"/>
  <c r="C83"/>
  <c r="B83"/>
  <c r="B82"/>
  <c r="F82"/>
  <c r="E82"/>
  <c r="D82"/>
  <c r="C82"/>
  <c r="F89"/>
  <c r="F85"/>
  <c r="D83"/>
  <c r="U130" i="51055"/>
  <c r="CL504"/>
  <c r="CK504"/>
  <c r="CJ504"/>
  <c r="CI504"/>
  <c r="U504"/>
  <c r="O504"/>
  <c r="A504"/>
  <c r="CH504" s="1"/>
  <c r="CL41"/>
  <c r="CK41"/>
  <c r="CJ41"/>
  <c r="CI41"/>
  <c r="U41"/>
  <c r="O41"/>
  <c r="A41"/>
  <c r="CH41" s="1"/>
  <c r="N747"/>
  <c r="D99" i="51059" s="1"/>
  <c r="CL339" i="51055"/>
  <c r="CK339"/>
  <c r="CJ339"/>
  <c r="CI339"/>
  <c r="A339"/>
  <c r="CH339"/>
  <c r="U339"/>
  <c r="CL468"/>
  <c r="CK468"/>
  <c r="CJ468"/>
  <c r="CI468"/>
  <c r="A468"/>
  <c r="CH468" s="1"/>
  <c r="U468"/>
  <c r="CL707"/>
  <c r="CK707"/>
  <c r="CJ707"/>
  <c r="CI707"/>
  <c r="A707"/>
  <c r="CH707"/>
  <c r="U707"/>
  <c r="CL705"/>
  <c r="CK705"/>
  <c r="CJ705"/>
  <c r="CI705"/>
  <c r="A705"/>
  <c r="CH705" s="1"/>
  <c r="U705"/>
  <c r="O705"/>
  <c r="CL701"/>
  <c r="CK701"/>
  <c r="CJ701"/>
  <c r="CI701"/>
  <c r="A701"/>
  <c r="CH701" s="1"/>
  <c r="U701"/>
  <c r="O701"/>
  <c r="CL693"/>
  <c r="CK693"/>
  <c r="CJ693"/>
  <c r="CI693"/>
  <c r="A693"/>
  <c r="CH693" s="1"/>
  <c r="U693"/>
  <c r="CL654"/>
  <c r="CK654"/>
  <c r="CJ654"/>
  <c r="CI654"/>
  <c r="A654"/>
  <c r="CH654"/>
  <c r="U654"/>
  <c r="CL652"/>
  <c r="CK652"/>
  <c r="CJ652"/>
  <c r="CI652"/>
  <c r="A652"/>
  <c r="CH652" s="1"/>
  <c r="U652"/>
  <c r="A628"/>
  <c r="CH628"/>
  <c r="U628"/>
  <c r="CI628"/>
  <c r="CJ628"/>
  <c r="CK628"/>
  <c r="CL628"/>
  <c r="CL630"/>
  <c r="CK630"/>
  <c r="CJ630"/>
  <c r="CI630"/>
  <c r="A630"/>
  <c r="CH630" s="1"/>
  <c r="U630"/>
  <c r="CL600"/>
  <c r="CK600"/>
  <c r="CJ600"/>
  <c r="CI600"/>
  <c r="A600"/>
  <c r="CH600"/>
  <c r="U600"/>
  <c r="O600"/>
  <c r="U495"/>
  <c r="CL140"/>
  <c r="CK140"/>
  <c r="CJ140"/>
  <c r="CI140"/>
  <c r="A140"/>
  <c r="CH140" s="1"/>
  <c r="U140"/>
  <c r="O140"/>
  <c r="CO24"/>
  <c r="CL24"/>
  <c r="CK24"/>
  <c r="CJ24"/>
  <c r="CI24"/>
  <c r="A24"/>
  <c r="CH24"/>
  <c r="U24"/>
  <c r="O24"/>
  <c r="CL22"/>
  <c r="CK22"/>
  <c r="CJ22"/>
  <c r="CI22"/>
  <c r="A22"/>
  <c r="CH22"/>
  <c r="U22"/>
  <c r="O22"/>
  <c r="AJ100" i="51061"/>
  <c r="AJ103" s="1"/>
  <c r="AI103" s="1"/>
  <c r="AJ101"/>
  <c r="AL101" s="1"/>
  <c r="AJ102"/>
  <c r="AL102" s="1"/>
  <c r="AK103"/>
  <c r="CL730" i="51055"/>
  <c r="CK730"/>
  <c r="CJ730"/>
  <c r="CI730"/>
  <c r="A730"/>
  <c r="CH730"/>
  <c r="U730"/>
  <c r="CL486"/>
  <c r="CK486"/>
  <c r="CJ486"/>
  <c r="CI486"/>
  <c r="A486"/>
  <c r="CH486" s="1"/>
  <c r="U486"/>
  <c r="O486"/>
  <c r="A740"/>
  <c r="A737"/>
  <c r="A724"/>
  <c r="CH724" s="1"/>
  <c r="A723"/>
  <c r="CH723"/>
  <c r="A722"/>
  <c r="A721"/>
  <c r="CH721" s="1"/>
  <c r="A720"/>
  <c r="A719"/>
  <c r="A718"/>
  <c r="CH718" s="1"/>
  <c r="A717"/>
  <c r="CH717" s="1"/>
  <c r="A716"/>
  <c r="A715"/>
  <c r="A714"/>
  <c r="CH714" s="1"/>
  <c r="A713"/>
  <c r="CH713" s="1"/>
  <c r="A712"/>
  <c r="A711"/>
  <c r="A710"/>
  <c r="CH710" s="1"/>
  <c r="A709"/>
  <c r="CH709" s="1"/>
  <c r="A686"/>
  <c r="CH686" s="1"/>
  <c r="A673"/>
  <c r="CH673" s="1"/>
  <c r="A685"/>
  <c r="A684"/>
  <c r="A683"/>
  <c r="CH683" s="1"/>
  <c r="A689"/>
  <c r="CH689" s="1"/>
  <c r="A688"/>
  <c r="A682"/>
  <c r="A678"/>
  <c r="CH678" s="1"/>
  <c r="A677"/>
  <c r="CH677" s="1"/>
  <c r="A676"/>
  <c r="A675"/>
  <c r="CH675" s="1"/>
  <c r="A674"/>
  <c r="CH674" s="1"/>
  <c r="A669"/>
  <c r="CH669" s="1"/>
  <c r="A672"/>
  <c r="CH672"/>
  <c r="A668"/>
  <c r="A666"/>
  <c r="CH666" s="1"/>
  <c r="A665"/>
  <c r="CH665" s="1"/>
  <c r="A671"/>
  <c r="A663"/>
  <c r="CH663"/>
  <c r="A661"/>
  <c r="A660"/>
  <c r="A659"/>
  <c r="CH659"/>
  <c r="A657"/>
  <c r="A655"/>
  <c r="CH655" s="1"/>
  <c r="A651"/>
  <c r="A650"/>
  <c r="CH650"/>
  <c r="A649"/>
  <c r="A648"/>
  <c r="A647"/>
  <c r="A646"/>
  <c r="CH646" s="1"/>
  <c r="A644"/>
  <c r="CH644"/>
  <c r="A643"/>
  <c r="A641"/>
  <c r="CH641" s="1"/>
  <c r="A640"/>
  <c r="A639"/>
  <c r="A638"/>
  <c r="CH638" s="1"/>
  <c r="A637"/>
  <c r="CH637" s="1"/>
  <c r="A636"/>
  <c r="CH636" s="1"/>
  <c r="A629"/>
  <c r="CH629" s="1"/>
  <c r="A627"/>
  <c r="CH627" s="1"/>
  <c r="A626"/>
  <c r="CH626" s="1"/>
  <c r="A625"/>
  <c r="A624"/>
  <c r="CH624"/>
  <c r="A623"/>
  <c r="CH623"/>
  <c r="A622"/>
  <c r="CH622"/>
  <c r="A459"/>
  <c r="A620"/>
  <c r="CH620" s="1"/>
  <c r="A619"/>
  <c r="CH619" s="1"/>
  <c r="A618"/>
  <c r="CH618" s="1"/>
  <c r="A617"/>
  <c r="CH617"/>
  <c r="A616"/>
  <c r="CH616"/>
  <c r="A615"/>
  <c r="CH615"/>
  <c r="A614"/>
  <c r="CH614"/>
  <c r="A613"/>
  <c r="CH613"/>
  <c r="A612"/>
  <c r="A611"/>
  <c r="CH611" s="1"/>
  <c r="A610"/>
  <c r="A609"/>
  <c r="CH609"/>
  <c r="A606"/>
  <c r="A605"/>
  <c r="CH605" s="1"/>
  <c r="A604"/>
  <c r="A603"/>
  <c r="CH603"/>
  <c r="A601"/>
  <c r="A608"/>
  <c r="CH608" s="1"/>
  <c r="A599"/>
  <c r="A597"/>
  <c r="CH597"/>
  <c r="A607"/>
  <c r="CH607"/>
  <c r="A596"/>
  <c r="A595"/>
  <c r="CH595" s="1"/>
  <c r="A593"/>
  <c r="CH593" s="1"/>
  <c r="A590"/>
  <c r="CH590" s="1"/>
  <c r="A587"/>
  <c r="CH587" s="1"/>
  <c r="A589"/>
  <c r="CH589" s="1"/>
  <c r="A585"/>
  <c r="A584"/>
  <c r="A588"/>
  <c r="CH588"/>
  <c r="A583"/>
  <c r="CH583"/>
  <c r="A592"/>
  <c r="CH592"/>
  <c r="A591"/>
  <c r="A574"/>
  <c r="CH574" s="1"/>
  <c r="A572"/>
  <c r="CH572" s="1"/>
  <c r="A575"/>
  <c r="A578"/>
  <c r="A577"/>
  <c r="CH577" s="1"/>
  <c r="A576"/>
  <c r="CH576" s="1"/>
  <c r="A579"/>
  <c r="CH579" s="1"/>
  <c r="A568"/>
  <c r="A566"/>
  <c r="CH566"/>
  <c r="A567"/>
  <c r="A565"/>
  <c r="CH565" s="1"/>
  <c r="A564"/>
  <c r="CH564" s="1"/>
  <c r="A562"/>
  <c r="CH562" s="1"/>
  <c r="A561"/>
  <c r="CH561" s="1"/>
  <c r="A560"/>
  <c r="CH560" s="1"/>
  <c r="A558"/>
  <c r="CH558"/>
  <c r="A554"/>
  <c r="CH554"/>
  <c r="A557"/>
  <c r="CH557"/>
  <c r="A552"/>
  <c r="CH552"/>
  <c r="A550"/>
  <c r="CH550"/>
  <c r="A549"/>
  <c r="A556"/>
  <c r="CH556" s="1"/>
  <c r="A547"/>
  <c r="CH547" s="1"/>
  <c r="A546"/>
  <c r="CH546"/>
  <c r="A545"/>
  <c r="A543"/>
  <c r="CH543" s="1"/>
  <c r="A540"/>
  <c r="CH540" s="1"/>
  <c r="A535"/>
  <c r="CH535" s="1"/>
  <c r="A539"/>
  <c r="CH539"/>
  <c r="A534"/>
  <c r="CH534"/>
  <c r="A531"/>
  <c r="CH531"/>
  <c r="A530"/>
  <c r="A537"/>
  <c r="CH537" s="1"/>
  <c r="A528"/>
  <c r="A538"/>
  <c r="CH538" s="1"/>
  <c r="A527"/>
  <c r="CH527"/>
  <c r="A526"/>
  <c r="CH526"/>
  <c r="A525"/>
  <c r="CH525"/>
  <c r="A524"/>
  <c r="A523"/>
  <c r="CH523" s="1"/>
  <c r="A522"/>
  <c r="CH522" s="1"/>
  <c r="A521"/>
  <c r="CH521" s="1"/>
  <c r="A520"/>
  <c r="CH520" s="1"/>
  <c r="A519"/>
  <c r="CH519" s="1"/>
  <c r="A518"/>
  <c r="A517"/>
  <c r="CH517"/>
  <c r="A516"/>
  <c r="CH516"/>
  <c r="A513"/>
  <c r="CH513"/>
  <c r="A511"/>
  <c r="A503"/>
  <c r="CH503" s="1"/>
  <c r="A502"/>
  <c r="CH502" s="1"/>
  <c r="A501"/>
  <c r="CH501" s="1"/>
  <c r="A500"/>
  <c r="A499"/>
  <c r="CH499"/>
  <c r="A498"/>
  <c r="A508"/>
  <c r="CH508" s="1"/>
  <c r="A497"/>
  <c r="CH497" s="1"/>
  <c r="A496"/>
  <c r="A495"/>
  <c r="A509"/>
  <c r="CH509" s="1"/>
  <c r="A494"/>
  <c r="CH494" s="1"/>
  <c r="A493"/>
  <c r="CH493"/>
  <c r="A492"/>
  <c r="CH492"/>
  <c r="A491"/>
  <c r="CH491"/>
  <c r="A490"/>
  <c r="CH490"/>
  <c r="A488"/>
  <c r="A485"/>
  <c r="A484"/>
  <c r="A483"/>
  <c r="CH483" s="1"/>
  <c r="A481"/>
  <c r="A480"/>
  <c r="A479"/>
  <c r="A478"/>
  <c r="CH478"/>
  <c r="A477"/>
  <c r="A476"/>
  <c r="CH476" s="1"/>
  <c r="A475"/>
  <c r="A474"/>
  <c r="A473"/>
  <c r="CH473"/>
  <c r="A472"/>
  <c r="A471"/>
  <c r="A470"/>
  <c r="A469"/>
  <c r="A467"/>
  <c r="A466"/>
  <c r="A465"/>
  <c r="A464"/>
  <c r="CH464" s="1"/>
  <c r="A461"/>
  <c r="CH461" s="1"/>
  <c r="A458"/>
  <c r="CH458"/>
  <c r="A457"/>
  <c r="CH457"/>
  <c r="A455"/>
  <c r="A454"/>
  <c r="CH454" s="1"/>
  <c r="A451"/>
  <c r="CH451" s="1"/>
  <c r="A450"/>
  <c r="CH450"/>
  <c r="A449"/>
  <c r="A448"/>
  <c r="CH448" s="1"/>
  <c r="A447"/>
  <c r="CH447" s="1"/>
  <c r="A446"/>
  <c r="CH446"/>
  <c r="A443"/>
  <c r="A442"/>
  <c r="CH442" s="1"/>
  <c r="A439"/>
  <c r="CH439" s="1"/>
  <c r="A437"/>
  <c r="A434"/>
  <c r="A433"/>
  <c r="CH433" s="1"/>
  <c r="A430"/>
  <c r="CH430" s="1"/>
  <c r="A429"/>
  <c r="CH429"/>
  <c r="A425"/>
  <c r="CH425"/>
  <c r="A424"/>
  <c r="CH424"/>
  <c r="A420"/>
  <c r="CH420"/>
  <c r="A419"/>
  <c r="CH419"/>
  <c r="A416"/>
  <c r="CH416"/>
  <c r="A414"/>
  <c r="CH414"/>
  <c r="A413"/>
  <c r="CH413"/>
  <c r="A412"/>
  <c r="CH412"/>
  <c r="A411"/>
  <c r="A410"/>
  <c r="CH410" s="1"/>
  <c r="A409"/>
  <c r="CH409" s="1"/>
  <c r="A407"/>
  <c r="CH407" s="1"/>
  <c r="A406"/>
  <c r="A405"/>
  <c r="CH405" s="1"/>
  <c r="A404"/>
  <c r="CH404"/>
  <c r="A403"/>
  <c r="A402"/>
  <c r="CH402" s="1"/>
  <c r="A418"/>
  <c r="CH418" s="1"/>
  <c r="A396"/>
  <c r="CH396" s="1"/>
  <c r="A395"/>
  <c r="A394"/>
  <c r="A377"/>
  <c r="A391"/>
  <c r="CH391"/>
  <c r="A375"/>
  <c r="CH375"/>
  <c r="A381"/>
  <c r="A390"/>
  <c r="CH390" s="1"/>
  <c r="A374"/>
  <c r="CH374" s="1"/>
  <c r="A380"/>
  <c r="A379"/>
  <c r="A389"/>
  <c r="A388"/>
  <c r="A393"/>
  <c r="A372"/>
  <c r="A387"/>
  <c r="A386"/>
  <c r="A385"/>
  <c r="CH385"/>
  <c r="A384"/>
  <c r="A383"/>
  <c r="CH383" s="1"/>
  <c r="A371"/>
  <c r="CH371" s="1"/>
  <c r="A368"/>
  <c r="CH368" s="1"/>
  <c r="A367"/>
  <c r="CH367"/>
  <c r="A366"/>
  <c r="CH366"/>
  <c r="A365"/>
  <c r="CH365"/>
  <c r="A364"/>
  <c r="A363"/>
  <c r="A362"/>
  <c r="CH362"/>
  <c r="A361"/>
  <c r="CH361"/>
  <c r="A359"/>
  <c r="A358"/>
  <c r="CH358" s="1"/>
  <c r="A357"/>
  <c r="CH357" s="1"/>
  <c r="A356"/>
  <c r="CH356" s="1"/>
  <c r="A354"/>
  <c r="CH354" s="1"/>
  <c r="A353"/>
  <c r="CH353" s="1"/>
  <c r="A352"/>
  <c r="CH352" s="1"/>
  <c r="A350"/>
  <c r="CH350"/>
  <c r="A347"/>
  <c r="A346"/>
  <c r="CH346" s="1"/>
  <c r="A342"/>
  <c r="A340"/>
  <c r="A338"/>
  <c r="A337"/>
  <c r="CH337"/>
  <c r="A336"/>
  <c r="A335"/>
  <c r="A334"/>
  <c r="CH334"/>
  <c r="A332"/>
  <c r="CH332"/>
  <c r="A331"/>
  <c r="A330"/>
  <c r="CH330" s="1"/>
  <c r="A329"/>
  <c r="CH329" s="1"/>
  <c r="A328"/>
  <c r="CH328" s="1"/>
  <c r="A327"/>
  <c r="CH327"/>
  <c r="A326"/>
  <c r="A325"/>
  <c r="CH325" s="1"/>
  <c r="A324"/>
  <c r="CH324" s="1"/>
  <c r="A322"/>
  <c r="A321"/>
  <c r="CH321"/>
  <c r="A320"/>
  <c r="CH320"/>
  <c r="A319"/>
  <c r="A318"/>
  <c r="CH318" s="1"/>
  <c r="A317"/>
  <c r="CH317" s="1"/>
  <c r="A316"/>
  <c r="A315"/>
  <c r="A314"/>
  <c r="CH314" s="1"/>
  <c r="A311"/>
  <c r="CH311"/>
  <c r="A313"/>
  <c r="A310"/>
  <c r="CH310" s="1"/>
  <c r="A309"/>
  <c r="CH309" s="1"/>
  <c r="A308"/>
  <c r="CH308" s="1"/>
  <c r="A307"/>
  <c r="CH307" s="1"/>
  <c r="A306"/>
  <c r="A303"/>
  <c r="CH303"/>
  <c r="A302"/>
  <c r="A301"/>
  <c r="CH301" s="1"/>
  <c r="A312"/>
  <c r="CH312"/>
  <c r="A298"/>
  <c r="A297"/>
  <c r="CH297" s="1"/>
  <c r="A291"/>
  <c r="A293"/>
  <c r="CH293"/>
  <c r="A295"/>
  <c r="A296"/>
  <c r="CH296" s="1"/>
  <c r="A289"/>
  <c r="CH289" s="1"/>
  <c r="A294"/>
  <c r="CH294"/>
  <c r="A292"/>
  <c r="A286"/>
  <c r="CH286" s="1"/>
  <c r="A282"/>
  <c r="CH282" s="1"/>
  <c r="A280"/>
  <c r="A283"/>
  <c r="A276"/>
  <c r="CH276" s="1"/>
  <c r="A275"/>
  <c r="CH275" s="1"/>
  <c r="A281"/>
  <c r="A277"/>
  <c r="CH277" s="1"/>
  <c r="A279"/>
  <c r="A272"/>
  <c r="A266"/>
  <c r="A265"/>
  <c r="CH265" s="1"/>
  <c r="A271"/>
  <c r="A267"/>
  <c r="CH267" s="1"/>
  <c r="A269"/>
  <c r="CH269"/>
  <c r="A263"/>
  <c r="CH263"/>
  <c r="A262"/>
  <c r="A261"/>
  <c r="A260"/>
  <c r="A270"/>
  <c r="CH270" s="1"/>
  <c r="A259"/>
  <c r="CH259" s="1"/>
  <c r="A257"/>
  <c r="CH257" s="1"/>
  <c r="A256"/>
  <c r="CH256" s="1"/>
  <c r="A255"/>
  <c r="CH255"/>
  <c r="A253"/>
  <c r="CH253"/>
  <c r="A252"/>
  <c r="A251"/>
  <c r="CH251" s="1"/>
  <c r="A249"/>
  <c r="CH249" s="1"/>
  <c r="A250"/>
  <c r="CH250"/>
  <c r="A248"/>
  <c r="A247"/>
  <c r="CH247" s="1"/>
  <c r="A246"/>
  <c r="CH246"/>
  <c r="A245"/>
  <c r="A244"/>
  <c r="CH244" s="1"/>
  <c r="A243"/>
  <c r="A242"/>
  <c r="A240"/>
  <c r="CH240" s="1"/>
  <c r="A239"/>
  <c r="CH239" s="1"/>
  <c r="A238"/>
  <c r="A237"/>
  <c r="A236"/>
  <c r="CH236" s="1"/>
  <c r="A234"/>
  <c r="CH234" s="1"/>
  <c r="CH229"/>
  <c r="A227"/>
  <c r="A225"/>
  <c r="CH225"/>
  <c r="A224"/>
  <c r="A223"/>
  <c r="A222"/>
  <c r="CH222"/>
  <c r="A216"/>
  <c r="A215"/>
  <c r="CH215" s="1"/>
  <c r="A213"/>
  <c r="CH213" s="1"/>
  <c r="A212"/>
  <c r="CH212" s="1"/>
  <c r="A211"/>
  <c r="A210"/>
  <c r="CH210"/>
  <c r="A208"/>
  <c r="A206"/>
  <c r="A205"/>
  <c r="A203"/>
  <c r="CH203" s="1"/>
  <c r="A202"/>
  <c r="CH202"/>
  <c r="A201"/>
  <c r="CH201"/>
  <c r="A199"/>
  <c r="CH199"/>
  <c r="A197"/>
  <c r="CH197"/>
  <c r="A196"/>
  <c r="A195"/>
  <c r="CH195" s="1"/>
  <c r="A194"/>
  <c r="CH194"/>
  <c r="A193"/>
  <c r="A192"/>
  <c r="CH192" s="1"/>
  <c r="A191"/>
  <c r="CH191"/>
  <c r="A190"/>
  <c r="A189"/>
  <c r="CH189" s="1"/>
  <c r="A188"/>
  <c r="CH188" s="1"/>
  <c r="A187"/>
  <c r="CH187" s="1"/>
  <c r="A183"/>
  <c r="CH183"/>
  <c r="A182"/>
  <c r="A181"/>
  <c r="CH181" s="1"/>
  <c r="A179"/>
  <c r="CH179"/>
  <c r="A178"/>
  <c r="A177"/>
  <c r="CH177" s="1"/>
  <c r="A174"/>
  <c r="A173"/>
  <c r="CH173" s="1"/>
  <c r="A172"/>
  <c r="CH172" s="1"/>
  <c r="A171"/>
  <c r="CH171"/>
  <c r="A168"/>
  <c r="A169"/>
  <c r="CH169" s="1"/>
  <c r="A167"/>
  <c r="CH167"/>
  <c r="A166"/>
  <c r="CH166"/>
  <c r="A165"/>
  <c r="A163"/>
  <c r="CH163" s="1"/>
  <c r="A162"/>
  <c r="CH162" s="1"/>
  <c r="A161"/>
  <c r="A159"/>
  <c r="CH159"/>
  <c r="A158"/>
  <c r="A157"/>
  <c r="A156"/>
  <c r="CH156"/>
  <c r="A154"/>
  <c r="A151"/>
  <c r="CH151" s="1"/>
  <c r="A150"/>
  <c r="A147"/>
  <c r="CH147"/>
  <c r="A142"/>
  <c r="CH142"/>
  <c r="A139"/>
  <c r="A138"/>
  <c r="A137"/>
  <c r="A136"/>
  <c r="CH136" s="1"/>
  <c r="A134"/>
  <c r="CH134"/>
  <c r="A704"/>
  <c r="A703"/>
  <c r="A702"/>
  <c r="CH702"/>
  <c r="A708"/>
  <c r="CH708"/>
  <c r="A698"/>
  <c r="CH698"/>
  <c r="A692"/>
  <c r="CH692"/>
  <c r="A690"/>
  <c r="A131"/>
  <c r="A130"/>
  <c r="CH130"/>
  <c r="A128"/>
  <c r="A127"/>
  <c r="CH127" s="1"/>
  <c r="A124"/>
  <c r="A123"/>
  <c r="CH123" s="1"/>
  <c r="A122"/>
  <c r="A121"/>
  <c r="CH121" s="1"/>
  <c r="A120"/>
  <c r="CH120" s="1"/>
  <c r="A119"/>
  <c r="A118"/>
  <c r="CH118" s="1"/>
  <c r="A117"/>
  <c r="CH117"/>
  <c r="A116"/>
  <c r="A114"/>
  <c r="CH114" s="1"/>
  <c r="A113"/>
  <c r="CH113" s="1"/>
  <c r="A112"/>
  <c r="CH112" s="1"/>
  <c r="A110"/>
  <c r="A109"/>
  <c r="CH109" s="1"/>
  <c r="A103"/>
  <c r="CH103" s="1"/>
  <c r="A101"/>
  <c r="CH101"/>
  <c r="A100"/>
  <c r="A95"/>
  <c r="CH95" s="1"/>
  <c r="A98"/>
  <c r="CH98" s="1"/>
  <c r="A99"/>
  <c r="A92"/>
  <c r="CH92" s="1"/>
  <c r="A90"/>
  <c r="A88"/>
  <c r="CH88" s="1"/>
  <c r="A86"/>
  <c r="CH86"/>
  <c r="A85"/>
  <c r="A82"/>
  <c r="CH82" s="1"/>
  <c r="A77"/>
  <c r="CH77" s="1"/>
  <c r="A74"/>
  <c r="CH74" s="1"/>
  <c r="A73"/>
  <c r="CH73" s="1"/>
  <c r="A69"/>
  <c r="CH69" s="1"/>
  <c r="A68"/>
  <c r="CH68" s="1"/>
  <c r="A67"/>
  <c r="CH67" s="1"/>
  <c r="A66"/>
  <c r="CH66"/>
  <c r="A61"/>
  <c r="A60"/>
  <c r="CH60" s="1"/>
  <c r="A59"/>
  <c r="CH59" s="1"/>
  <c r="A58"/>
  <c r="CH58" s="1"/>
  <c r="A57"/>
  <c r="CH57" s="1"/>
  <c r="A56"/>
  <c r="CH56" s="1"/>
  <c r="A55"/>
  <c r="CH55"/>
  <c r="A54"/>
  <c r="CH54"/>
  <c r="A53"/>
  <c r="A52"/>
  <c r="CH52" s="1"/>
  <c r="A51"/>
  <c r="CH51" s="1"/>
  <c r="A49"/>
  <c r="CH49" s="1"/>
  <c r="A47"/>
  <c r="CH47"/>
  <c r="A45"/>
  <c r="CH45"/>
  <c r="A42"/>
  <c r="A40"/>
  <c r="CH40" s="1"/>
  <c r="A39"/>
  <c r="CH39" s="1"/>
  <c r="A38"/>
  <c r="CH38" s="1"/>
  <c r="A37"/>
  <c r="CH37" s="1"/>
  <c r="A36"/>
  <c r="CH36" s="1"/>
  <c r="A35"/>
  <c r="CH35"/>
  <c r="A34"/>
  <c r="A32"/>
  <c r="CH32" s="1"/>
  <c r="A31"/>
  <c r="CH31"/>
  <c r="A28"/>
  <c r="CH28"/>
  <c r="A27"/>
  <c r="CH27"/>
  <c r="A25"/>
  <c r="A23"/>
  <c r="CH23" s="1"/>
  <c r="A21"/>
  <c r="A20"/>
  <c r="CH20"/>
  <c r="A18"/>
  <c r="CH18"/>
  <c r="A17"/>
  <c r="CH17"/>
  <c r="A15"/>
  <c r="CH15"/>
  <c r="A14"/>
  <c r="CH14"/>
  <c r="CL476"/>
  <c r="CK476"/>
  <c r="CJ476"/>
  <c r="CI476"/>
  <c r="U476"/>
  <c r="O476"/>
  <c r="CL37"/>
  <c r="CK37"/>
  <c r="CJ37"/>
  <c r="CI37"/>
  <c r="U37"/>
  <c r="O37"/>
  <c r="CL618"/>
  <c r="CK618"/>
  <c r="CJ618"/>
  <c r="CI618"/>
  <c r="U618"/>
  <c r="O618"/>
  <c r="CL718"/>
  <c r="CK718"/>
  <c r="CJ718"/>
  <c r="CI718"/>
  <c r="U718"/>
  <c r="O718"/>
  <c r="CL346"/>
  <c r="CK346"/>
  <c r="CJ346"/>
  <c r="CI346"/>
  <c r="U346"/>
  <c r="O346"/>
  <c r="CL151"/>
  <c r="CK151"/>
  <c r="CJ151"/>
  <c r="CI151"/>
  <c r="U151"/>
  <c r="O151"/>
  <c r="CL318"/>
  <c r="CK318"/>
  <c r="CJ318"/>
  <c r="CI318"/>
  <c r="U318"/>
  <c r="O318"/>
  <c r="CL14"/>
  <c r="CK14"/>
  <c r="CJ14"/>
  <c r="CI14"/>
  <c r="U14"/>
  <c r="O14"/>
  <c r="CL15"/>
  <c r="CK15"/>
  <c r="CJ15"/>
  <c r="CI15"/>
  <c r="U15"/>
  <c r="O15"/>
  <c r="CL644"/>
  <c r="CK644"/>
  <c r="CJ644"/>
  <c r="CI644"/>
  <c r="U644"/>
  <c r="O644"/>
  <c r="CL473"/>
  <c r="CK473"/>
  <c r="CJ473"/>
  <c r="CI473"/>
  <c r="U473"/>
  <c r="O473"/>
  <c r="CL454"/>
  <c r="CK454"/>
  <c r="CJ454"/>
  <c r="CI454"/>
  <c r="U454"/>
  <c r="O454"/>
  <c r="CL458"/>
  <c r="CK458"/>
  <c r="CJ458"/>
  <c r="CI458"/>
  <c r="U458"/>
  <c r="O458"/>
  <c r="CL58"/>
  <c r="CK58"/>
  <c r="CJ58"/>
  <c r="CI58"/>
  <c r="U58"/>
  <c r="O58"/>
  <c r="CL488"/>
  <c r="CK488"/>
  <c r="CJ488"/>
  <c r="CI488"/>
  <c r="CH488"/>
  <c r="U488"/>
  <c r="O488"/>
  <c r="U590"/>
  <c r="O442"/>
  <c r="CO724"/>
  <c r="CL724"/>
  <c r="CK724"/>
  <c r="CJ724"/>
  <c r="CI724"/>
  <c r="U724"/>
  <c r="O724"/>
  <c r="CL672"/>
  <c r="CK672"/>
  <c r="CJ672"/>
  <c r="CI672"/>
  <c r="U672"/>
  <c r="O672"/>
  <c r="CL651"/>
  <c r="CK651"/>
  <c r="CJ651"/>
  <c r="CI651"/>
  <c r="CH651"/>
  <c r="U651"/>
  <c r="O651"/>
  <c r="CL491"/>
  <c r="CK491"/>
  <c r="CJ491"/>
  <c r="CI491"/>
  <c r="U491"/>
  <c r="O491"/>
  <c r="CL439"/>
  <c r="CK439"/>
  <c r="CJ439"/>
  <c r="CI439"/>
  <c r="U439"/>
  <c r="O439"/>
  <c r="CL391"/>
  <c r="CK391"/>
  <c r="CJ391"/>
  <c r="CI391"/>
  <c r="U391"/>
  <c r="O391"/>
  <c r="CL364"/>
  <c r="CK364"/>
  <c r="CJ364"/>
  <c r="CI364"/>
  <c r="CH364"/>
  <c r="U364"/>
  <c r="O364"/>
  <c r="CL359"/>
  <c r="CK359"/>
  <c r="CJ359"/>
  <c r="CI359"/>
  <c r="CH359"/>
  <c r="U359"/>
  <c r="O359"/>
  <c r="CL352"/>
  <c r="CK352"/>
  <c r="CJ352"/>
  <c r="CI352"/>
  <c r="U352"/>
  <c r="O352"/>
  <c r="CL332"/>
  <c r="CK332"/>
  <c r="CJ332"/>
  <c r="CI332"/>
  <c r="U332"/>
  <c r="O332"/>
  <c r="CL322"/>
  <c r="CK322"/>
  <c r="CJ322"/>
  <c r="CI322"/>
  <c r="CH322"/>
  <c r="U322"/>
  <c r="O322"/>
  <c r="CL215"/>
  <c r="CK215"/>
  <c r="CJ215"/>
  <c r="CI215"/>
  <c r="U215"/>
  <c r="O215"/>
  <c r="CO199"/>
  <c r="CL199"/>
  <c r="CK199"/>
  <c r="CJ199"/>
  <c r="CI199"/>
  <c r="U199"/>
  <c r="O199"/>
  <c r="CL191"/>
  <c r="CK191"/>
  <c r="CJ191"/>
  <c r="CI191"/>
  <c r="U191"/>
  <c r="O191"/>
  <c r="CL698"/>
  <c r="CK698"/>
  <c r="CJ698"/>
  <c r="CI698"/>
  <c r="U698"/>
  <c r="O698"/>
  <c r="CL60"/>
  <c r="CK60"/>
  <c r="CJ60"/>
  <c r="CI60"/>
  <c r="U60"/>
  <c r="O60"/>
  <c r="CL114"/>
  <c r="CK114"/>
  <c r="CJ114"/>
  <c r="CI114"/>
  <c r="U114"/>
  <c r="O114"/>
  <c r="CL73"/>
  <c r="CK73"/>
  <c r="CJ73"/>
  <c r="CI73"/>
  <c r="O73"/>
  <c r="CO95"/>
  <c r="CN95"/>
  <c r="CL95"/>
  <c r="CK95"/>
  <c r="CJ95"/>
  <c r="CI95"/>
  <c r="AA95"/>
  <c r="U95"/>
  <c r="O95"/>
  <c r="CL51"/>
  <c r="CK51"/>
  <c r="CJ51"/>
  <c r="CI51"/>
  <c r="U51"/>
  <c r="O51"/>
  <c r="CL40"/>
  <c r="CK40"/>
  <c r="CJ40"/>
  <c r="CI40"/>
  <c r="U40"/>
  <c r="O40"/>
  <c r="CL38"/>
  <c r="CK38"/>
  <c r="CJ38"/>
  <c r="CI38"/>
  <c r="U38"/>
  <c r="O38"/>
  <c r="CL377"/>
  <c r="CK377"/>
  <c r="CJ377"/>
  <c r="CI377"/>
  <c r="CH377"/>
  <c r="U377"/>
  <c r="O377"/>
  <c r="CL212"/>
  <c r="CK212"/>
  <c r="CJ212"/>
  <c r="CI212"/>
  <c r="U212"/>
  <c r="O212"/>
  <c r="U302"/>
  <c r="AJ47" i="51061"/>
  <c r="AL47" s="1"/>
  <c r="AJ63"/>
  <c r="AL63" s="1"/>
  <c r="AJ67"/>
  <c r="AL67" s="1"/>
  <c r="AJ69"/>
  <c r="AL69" s="1"/>
  <c r="AJ83"/>
  <c r="AL83" s="1"/>
  <c r="AJ97"/>
  <c r="AL97" s="1"/>
  <c r="AJ108"/>
  <c r="AL108" s="1"/>
  <c r="R105"/>
  <c r="R111"/>
  <c r="D101" i="51059"/>
  <c r="CL201" i="51055"/>
  <c r="CK201"/>
  <c r="CJ201"/>
  <c r="CI201"/>
  <c r="U201"/>
  <c r="O201"/>
  <c r="CL101"/>
  <c r="CK101"/>
  <c r="CJ101"/>
  <c r="CI101"/>
  <c r="U101"/>
  <c r="O101"/>
  <c r="CL663"/>
  <c r="CK663"/>
  <c r="CJ663"/>
  <c r="CI663"/>
  <c r="U663"/>
  <c r="CL650"/>
  <c r="CK650"/>
  <c r="CJ650"/>
  <c r="CI650"/>
  <c r="U650"/>
  <c r="O650"/>
  <c r="CL568"/>
  <c r="CK568"/>
  <c r="CJ568"/>
  <c r="CI568"/>
  <c r="CH568"/>
  <c r="U568"/>
  <c r="O568"/>
  <c r="CL566"/>
  <c r="CK566"/>
  <c r="CJ566"/>
  <c r="CI566"/>
  <c r="U566"/>
  <c r="O566"/>
  <c r="CL511"/>
  <c r="CK511"/>
  <c r="CJ511"/>
  <c r="CI511"/>
  <c r="CH511"/>
  <c r="U511"/>
  <c r="O511"/>
  <c r="CL418"/>
  <c r="CK418"/>
  <c r="CJ418"/>
  <c r="CI418"/>
  <c r="U418"/>
  <c r="O418"/>
  <c r="CL286"/>
  <c r="CK286"/>
  <c r="CJ286"/>
  <c r="CI286"/>
  <c r="U286"/>
  <c r="O286"/>
  <c r="CL206"/>
  <c r="CK206"/>
  <c r="CJ206"/>
  <c r="CI206"/>
  <c r="CH206"/>
  <c r="U206"/>
  <c r="O206"/>
  <c r="CL246"/>
  <c r="CK246"/>
  <c r="CJ246"/>
  <c r="CI246"/>
  <c r="U246"/>
  <c r="O246"/>
  <c r="CL210"/>
  <c r="CK210"/>
  <c r="CJ210"/>
  <c r="CI210"/>
  <c r="U210"/>
  <c r="O210"/>
  <c r="CL172"/>
  <c r="CK172"/>
  <c r="CJ172"/>
  <c r="CI172"/>
  <c r="U172"/>
  <c r="O172"/>
  <c r="CL138"/>
  <c r="CK138"/>
  <c r="CJ138"/>
  <c r="CI138"/>
  <c r="CH138"/>
  <c r="U138"/>
  <c r="O138"/>
  <c r="CL137"/>
  <c r="CK137"/>
  <c r="CJ137"/>
  <c r="CI137"/>
  <c r="CH137"/>
  <c r="U137"/>
  <c r="O137"/>
  <c r="CL25"/>
  <c r="CK25"/>
  <c r="CJ25"/>
  <c r="CI25"/>
  <c r="CH25"/>
  <c r="U25"/>
  <c r="O25"/>
  <c r="CL723"/>
  <c r="CK723"/>
  <c r="CJ723"/>
  <c r="CI723"/>
  <c r="U723"/>
  <c r="O723"/>
  <c r="CL722"/>
  <c r="CK722"/>
  <c r="CJ722"/>
  <c r="CI722"/>
  <c r="CH722"/>
  <c r="U722"/>
  <c r="O722"/>
  <c r="CL640"/>
  <c r="CK640"/>
  <c r="CJ640"/>
  <c r="CI640"/>
  <c r="CH640"/>
  <c r="U640"/>
  <c r="O640"/>
  <c r="CL558"/>
  <c r="CK558"/>
  <c r="CJ558"/>
  <c r="CI558"/>
  <c r="U558"/>
  <c r="O558"/>
  <c r="CL430"/>
  <c r="CK430"/>
  <c r="CJ430"/>
  <c r="CI430"/>
  <c r="U430"/>
  <c r="O430"/>
  <c r="CL412"/>
  <c r="CK412"/>
  <c r="CJ412"/>
  <c r="CI412"/>
  <c r="U412"/>
  <c r="O412"/>
  <c r="CL411"/>
  <c r="CK411"/>
  <c r="CJ411"/>
  <c r="CI411"/>
  <c r="CH411"/>
  <c r="U411"/>
  <c r="O411"/>
  <c r="CL390"/>
  <c r="CK390"/>
  <c r="CJ390"/>
  <c r="CI390"/>
  <c r="U390"/>
  <c r="O390"/>
  <c r="CL374"/>
  <c r="CK374"/>
  <c r="CJ374"/>
  <c r="CI374"/>
  <c r="U374"/>
  <c r="O374"/>
  <c r="CL375"/>
  <c r="CK375"/>
  <c r="CJ375"/>
  <c r="CI375"/>
  <c r="O375"/>
  <c r="CL381"/>
  <c r="CK381"/>
  <c r="CJ381"/>
  <c r="CI381"/>
  <c r="CH381"/>
  <c r="U381"/>
  <c r="O381"/>
  <c r="CL315"/>
  <c r="CK315"/>
  <c r="CJ315"/>
  <c r="CI315"/>
  <c r="CH315"/>
  <c r="U315"/>
  <c r="O315"/>
  <c r="CL314"/>
  <c r="CK314"/>
  <c r="CJ314"/>
  <c r="CI314"/>
  <c r="U314"/>
  <c r="O314"/>
  <c r="CL266"/>
  <c r="CK266"/>
  <c r="CJ266"/>
  <c r="CI266"/>
  <c r="CH266"/>
  <c r="U266"/>
  <c r="O266"/>
  <c r="CL265"/>
  <c r="CK265"/>
  <c r="CJ265"/>
  <c r="CI265"/>
  <c r="U265"/>
  <c r="O265"/>
  <c r="CL271"/>
  <c r="CK271"/>
  <c r="CJ271"/>
  <c r="CI271"/>
  <c r="CH271"/>
  <c r="U271"/>
  <c r="O271"/>
  <c r="CL174"/>
  <c r="CK174"/>
  <c r="CJ174"/>
  <c r="CI174"/>
  <c r="CH174"/>
  <c r="U174"/>
  <c r="O174"/>
  <c r="CL150"/>
  <c r="CK150"/>
  <c r="CJ150"/>
  <c r="CI150"/>
  <c r="CH150"/>
  <c r="U150"/>
  <c r="O150"/>
  <c r="CL704"/>
  <c r="CK704"/>
  <c r="CJ704"/>
  <c r="CI704"/>
  <c r="CH704"/>
  <c r="U704"/>
  <c r="O704"/>
  <c r="CL703"/>
  <c r="CK703"/>
  <c r="CJ703"/>
  <c r="CI703"/>
  <c r="CH703"/>
  <c r="U703"/>
  <c r="O703"/>
  <c r="CL86"/>
  <c r="CK86"/>
  <c r="CJ86"/>
  <c r="CI86"/>
  <c r="U86"/>
  <c r="O86"/>
  <c r="O405"/>
  <c r="B22" i="101"/>
  <c r="C27" s="1"/>
  <c r="D2" i="51048"/>
  <c r="BT701" i="51055"/>
  <c r="BT667"/>
  <c r="E7" i="16"/>
  <c r="E12"/>
  <c r="F7"/>
  <c r="F12"/>
  <c r="G7"/>
  <c r="G12"/>
  <c r="H7"/>
  <c r="H12"/>
  <c r="J7"/>
  <c r="E8"/>
  <c r="E18" s="1"/>
  <c r="F8"/>
  <c r="F13"/>
  <c r="G8"/>
  <c r="G18"/>
  <c r="H8"/>
  <c r="H13"/>
  <c r="BT636" i="51055"/>
  <c r="E9" i="16"/>
  <c r="E19" s="1"/>
  <c r="F9"/>
  <c r="F19" s="1"/>
  <c r="G9"/>
  <c r="G14"/>
  <c r="H9"/>
  <c r="E10"/>
  <c r="E15" s="1"/>
  <c r="F10"/>
  <c r="F15" s="1"/>
  <c r="G10"/>
  <c r="G20" s="1"/>
  <c r="H10"/>
  <c r="H20"/>
  <c r="H15"/>
  <c r="J10"/>
  <c r="E11"/>
  <c r="E16"/>
  <c r="F11"/>
  <c r="F16"/>
  <c r="G11"/>
  <c r="G16"/>
  <c r="H11"/>
  <c r="H16"/>
  <c r="J12"/>
  <c r="E13"/>
  <c r="BT346" i="51055"/>
  <c r="F14" i="16"/>
  <c r="H14"/>
  <c r="G15"/>
  <c r="J15"/>
  <c r="J16"/>
  <c r="E17"/>
  <c r="J17"/>
  <c r="F18"/>
  <c r="H19"/>
  <c r="F20"/>
  <c r="J20"/>
  <c r="H21"/>
  <c r="J21"/>
  <c r="J22"/>
  <c r="J23"/>
  <c r="J25"/>
  <c r="J26"/>
  <c r="J27"/>
  <c r="J28"/>
  <c r="BT740" i="51055" s="1"/>
  <c r="J30" i="16"/>
  <c r="J31"/>
  <c r="I38"/>
  <c r="I39"/>
  <c r="I40"/>
  <c r="I41"/>
  <c r="I42"/>
  <c r="I43"/>
  <c r="I44"/>
  <c r="I45"/>
  <c r="I46"/>
  <c r="I47"/>
  <c r="I48"/>
  <c r="I49"/>
  <c r="I50"/>
  <c r="I51"/>
  <c r="I52"/>
  <c r="I53"/>
  <c r="I54"/>
  <c r="I55"/>
  <c r="I56"/>
  <c r="I57"/>
  <c r="I58"/>
  <c r="I59"/>
  <c r="I60"/>
  <c r="I61"/>
  <c r="I62"/>
  <c r="I63"/>
  <c r="I64"/>
  <c r="I65"/>
  <c r="I66"/>
  <c r="AJ8" i="51061"/>
  <c r="AL8" s="1"/>
  <c r="AJ9"/>
  <c r="AL9"/>
  <c r="AJ10"/>
  <c r="AL10"/>
  <c r="AJ11"/>
  <c r="AL11"/>
  <c r="AJ13"/>
  <c r="AL13" s="1"/>
  <c r="AJ14"/>
  <c r="AL14" s="1"/>
  <c r="AJ15"/>
  <c r="AL15" s="1"/>
  <c r="AJ16"/>
  <c r="AL16" s="1"/>
  <c r="AJ17"/>
  <c r="AL17" s="1"/>
  <c r="AK18"/>
  <c r="AK112" s="1"/>
  <c r="AK25"/>
  <c r="AK33"/>
  <c r="AK42"/>
  <c r="AK49"/>
  <c r="AK55"/>
  <c r="AK60"/>
  <c r="AK66"/>
  <c r="AK75"/>
  <c r="AK81"/>
  <c r="AK87"/>
  <c r="AK93"/>
  <c r="AK99"/>
  <c r="AK105"/>
  <c r="AK109"/>
  <c r="AJ19"/>
  <c r="AL19" s="1"/>
  <c r="AJ20"/>
  <c r="AJ22"/>
  <c r="AL22" s="1"/>
  <c r="AJ23"/>
  <c r="AL23" s="1"/>
  <c r="AG20"/>
  <c r="AL20"/>
  <c r="AG23"/>
  <c r="AJ26"/>
  <c r="AL26" s="1"/>
  <c r="AJ27"/>
  <c r="AJ28"/>
  <c r="AJ30"/>
  <c r="AL30" s="1"/>
  <c r="AJ31"/>
  <c r="AL31"/>
  <c r="AJ34"/>
  <c r="AL34" s="1"/>
  <c r="AJ35"/>
  <c r="AL35" s="1"/>
  <c r="AJ37"/>
  <c r="AL37" s="1"/>
  <c r="AG38"/>
  <c r="AJ38"/>
  <c r="AL38"/>
  <c r="AJ39"/>
  <c r="AL39"/>
  <c r="AJ41"/>
  <c r="AL41"/>
  <c r="AJ43"/>
  <c r="AL43" s="1"/>
  <c r="AJ45"/>
  <c r="AL45" s="1"/>
  <c r="AJ46"/>
  <c r="AL46" s="1"/>
  <c r="AJ48"/>
  <c r="AL48" s="1"/>
  <c r="AJ50"/>
  <c r="AL50" s="1"/>
  <c r="AG51"/>
  <c r="AJ52"/>
  <c r="AL52"/>
  <c r="AJ53"/>
  <c r="AL53"/>
  <c r="AJ54"/>
  <c r="AL54"/>
  <c r="AJ56"/>
  <c r="AJ57"/>
  <c r="AL57" s="1"/>
  <c r="AJ59"/>
  <c r="AL59" s="1"/>
  <c r="AL56"/>
  <c r="AJ61"/>
  <c r="AL61" s="1"/>
  <c r="AJ62"/>
  <c r="AL62" s="1"/>
  <c r="AL64"/>
  <c r="AJ65"/>
  <c r="AL65" s="1"/>
  <c r="AJ68"/>
  <c r="AL68" s="1"/>
  <c r="AJ71"/>
  <c r="AL71" s="1"/>
  <c r="AJ72"/>
  <c r="AL72" s="1"/>
  <c r="AJ73"/>
  <c r="AL73" s="1"/>
  <c r="AG74"/>
  <c r="AG77"/>
  <c r="AJ78"/>
  <c r="AL78" s="1"/>
  <c r="AJ76"/>
  <c r="AL76" s="1"/>
  <c r="AL81" s="1"/>
  <c r="AJ80"/>
  <c r="AL80" s="1"/>
  <c r="AJ82"/>
  <c r="AL82" s="1"/>
  <c r="AJ84"/>
  <c r="AL84" s="1"/>
  <c r="AJ86"/>
  <c r="AL86" s="1"/>
  <c r="AJ94"/>
  <c r="AL94" s="1"/>
  <c r="AJ96"/>
  <c r="AL96" s="1"/>
  <c r="AJ95"/>
  <c r="AL95" s="1"/>
  <c r="AJ98"/>
  <c r="AL98"/>
  <c r="AJ104"/>
  <c r="AL104" s="1"/>
  <c r="AL105" s="1"/>
  <c r="AJ106"/>
  <c r="AJ109" s="1"/>
  <c r="O16" i="51055"/>
  <c r="U16"/>
  <c r="CH16"/>
  <c r="CI16"/>
  <c r="CJ16"/>
  <c r="CK16"/>
  <c r="CL16"/>
  <c r="O17"/>
  <c r="U17"/>
  <c r="CI17"/>
  <c r="CJ17"/>
  <c r="CK17"/>
  <c r="CL17"/>
  <c r="O18"/>
  <c r="U18"/>
  <c r="CI18"/>
  <c r="CJ18"/>
  <c r="CK18"/>
  <c r="CL18"/>
  <c r="O20"/>
  <c r="U20"/>
  <c r="CI20"/>
  <c r="CJ20"/>
  <c r="CK20"/>
  <c r="CL20"/>
  <c r="O21"/>
  <c r="U21"/>
  <c r="CH21"/>
  <c r="CI21"/>
  <c r="CJ21"/>
  <c r="CK21"/>
  <c r="CL21"/>
  <c r="O23"/>
  <c r="U23"/>
  <c r="CI23"/>
  <c r="CJ23"/>
  <c r="CK23"/>
  <c r="CL23"/>
  <c r="O27"/>
  <c r="U27"/>
  <c r="CI27"/>
  <c r="CJ27"/>
  <c r="CK27"/>
  <c r="CL27"/>
  <c r="O28"/>
  <c r="U28"/>
  <c r="CI28"/>
  <c r="CJ28"/>
  <c r="CK28"/>
  <c r="CL28"/>
  <c r="O31"/>
  <c r="U31"/>
  <c r="CI31"/>
  <c r="CJ31"/>
  <c r="CK31"/>
  <c r="CL31"/>
  <c r="O32"/>
  <c r="U32"/>
  <c r="CI32"/>
  <c r="CJ32"/>
  <c r="CK32"/>
  <c r="CL32"/>
  <c r="O34"/>
  <c r="U34"/>
  <c r="CH34"/>
  <c r="CI34"/>
  <c r="CJ34"/>
  <c r="CK34"/>
  <c r="CL34"/>
  <c r="O35"/>
  <c r="U35"/>
  <c r="CI35"/>
  <c r="CJ35"/>
  <c r="CK35"/>
  <c r="CL35"/>
  <c r="O36"/>
  <c r="U36"/>
  <c r="CI36"/>
  <c r="CJ36"/>
  <c r="CK36"/>
  <c r="CL36"/>
  <c r="O39"/>
  <c r="U39"/>
  <c r="CI39"/>
  <c r="CJ39"/>
  <c r="CK39"/>
  <c r="CL39"/>
  <c r="O42"/>
  <c r="U42"/>
  <c r="CH42"/>
  <c r="CI42"/>
  <c r="CJ42"/>
  <c r="CK42"/>
  <c r="CL42"/>
  <c r="O45"/>
  <c r="U45"/>
  <c r="CI45"/>
  <c r="CJ45"/>
  <c r="CK45"/>
  <c r="CL45"/>
  <c r="O47"/>
  <c r="U47"/>
  <c r="CI47"/>
  <c r="CJ47"/>
  <c r="CK47"/>
  <c r="CL47"/>
  <c r="O49"/>
  <c r="U49"/>
  <c r="CI49"/>
  <c r="CJ49"/>
  <c r="CK49"/>
  <c r="CL49"/>
  <c r="O52"/>
  <c r="U52"/>
  <c r="CI52"/>
  <c r="CJ52"/>
  <c r="CK52"/>
  <c r="CL52"/>
  <c r="O53"/>
  <c r="U53"/>
  <c r="CH53"/>
  <c r="CI53"/>
  <c r="CJ53"/>
  <c r="CK53"/>
  <c r="CL53"/>
  <c r="O54"/>
  <c r="U54"/>
  <c r="CI54"/>
  <c r="CJ54"/>
  <c r="CK54"/>
  <c r="CL54"/>
  <c r="O55"/>
  <c r="U55"/>
  <c r="CI55"/>
  <c r="CJ55"/>
  <c r="CK55"/>
  <c r="CL55"/>
  <c r="O56"/>
  <c r="U56"/>
  <c r="CI56"/>
  <c r="CJ56"/>
  <c r="CK56"/>
  <c r="CL56"/>
  <c r="O57"/>
  <c r="U57"/>
  <c r="CI57"/>
  <c r="CJ57"/>
  <c r="CK57"/>
  <c r="CL57"/>
  <c r="O59"/>
  <c r="U59"/>
  <c r="CI59"/>
  <c r="CJ59"/>
  <c r="CK59"/>
  <c r="CL59"/>
  <c r="O61"/>
  <c r="U61"/>
  <c r="CH61"/>
  <c r="CI61"/>
  <c r="CJ61"/>
  <c r="CK61"/>
  <c r="CL61"/>
  <c r="O66"/>
  <c r="U66"/>
  <c r="CI66"/>
  <c r="CJ66"/>
  <c r="CK66"/>
  <c r="CL66"/>
  <c r="O67"/>
  <c r="U67"/>
  <c r="CI67"/>
  <c r="CJ67"/>
  <c r="CK67"/>
  <c r="CL67"/>
  <c r="O68"/>
  <c r="U68"/>
  <c r="CI68"/>
  <c r="CJ68"/>
  <c r="CK68"/>
  <c r="CL68"/>
  <c r="O69"/>
  <c r="U69"/>
  <c r="CI69"/>
  <c r="CJ69"/>
  <c r="CK69"/>
  <c r="CL69"/>
  <c r="O74"/>
  <c r="U74"/>
  <c r="CI74"/>
  <c r="CJ74"/>
  <c r="CK74"/>
  <c r="CL74"/>
  <c r="O77"/>
  <c r="U77"/>
  <c r="CI77"/>
  <c r="CJ77"/>
  <c r="CK77"/>
  <c r="CL77"/>
  <c r="O82"/>
  <c r="U82"/>
  <c r="CI82"/>
  <c r="CJ82"/>
  <c r="CK82"/>
  <c r="CL82"/>
  <c r="O85"/>
  <c r="U85"/>
  <c r="CH85"/>
  <c r="CI85"/>
  <c r="CJ85"/>
  <c r="CK85"/>
  <c r="CL85"/>
  <c r="O88"/>
  <c r="U88"/>
  <c r="CI88"/>
  <c r="CJ88"/>
  <c r="CK88"/>
  <c r="CL88"/>
  <c r="O90"/>
  <c r="U90"/>
  <c r="CH90"/>
  <c r="CI90"/>
  <c r="CJ90"/>
  <c r="CK90"/>
  <c r="CL90"/>
  <c r="O92"/>
  <c r="U92"/>
  <c r="CI92"/>
  <c r="CJ92"/>
  <c r="CK92"/>
  <c r="CL92"/>
  <c r="O99"/>
  <c r="U99"/>
  <c r="CH99"/>
  <c r="CI99"/>
  <c r="CJ99"/>
  <c r="CK99"/>
  <c r="CL99"/>
  <c r="O98"/>
  <c r="U98"/>
  <c r="CI98"/>
  <c r="CJ98"/>
  <c r="CK98"/>
  <c r="CL98"/>
  <c r="O100"/>
  <c r="U100"/>
  <c r="CH100"/>
  <c r="CI100"/>
  <c r="CJ100"/>
  <c r="CK100"/>
  <c r="CL100"/>
  <c r="O103"/>
  <c r="U103"/>
  <c r="CI103"/>
  <c r="CJ103"/>
  <c r="CK103"/>
  <c r="CL103"/>
  <c r="O109"/>
  <c r="U109"/>
  <c r="CI109"/>
  <c r="CJ109"/>
  <c r="CK109"/>
  <c r="CL109"/>
  <c r="O110"/>
  <c r="U110"/>
  <c r="CH110"/>
  <c r="CI110"/>
  <c r="CJ110"/>
  <c r="CK110"/>
  <c r="CL110"/>
  <c r="O112"/>
  <c r="U112"/>
  <c r="CI112"/>
  <c r="CJ112"/>
  <c r="CK112"/>
  <c r="CL112"/>
  <c r="O113"/>
  <c r="U113"/>
  <c r="CI113"/>
  <c r="CJ113"/>
  <c r="CK113"/>
  <c r="CL113"/>
  <c r="O116"/>
  <c r="U116"/>
  <c r="CH116"/>
  <c r="CI116"/>
  <c r="CJ116"/>
  <c r="CK116"/>
  <c r="CL116"/>
  <c r="O117"/>
  <c r="U117"/>
  <c r="CI117"/>
  <c r="CJ117"/>
  <c r="CK117"/>
  <c r="CL117"/>
  <c r="O118"/>
  <c r="U118"/>
  <c r="CI118"/>
  <c r="CJ118"/>
  <c r="CK118"/>
  <c r="CL118"/>
  <c r="O119"/>
  <c r="U119"/>
  <c r="CH119"/>
  <c r="CI119"/>
  <c r="CJ119"/>
  <c r="CK119"/>
  <c r="CL119"/>
  <c r="O120"/>
  <c r="U120"/>
  <c r="CI120"/>
  <c r="CJ120"/>
  <c r="CK120"/>
  <c r="CL120"/>
  <c r="O121"/>
  <c r="U121"/>
  <c r="CI121"/>
  <c r="CJ121"/>
  <c r="CK121"/>
  <c r="CL121"/>
  <c r="O122"/>
  <c r="U122"/>
  <c r="CH122"/>
  <c r="CI122"/>
  <c r="CJ122"/>
  <c r="CK122"/>
  <c r="CL122"/>
  <c r="O123"/>
  <c r="U123"/>
  <c r="CI123"/>
  <c r="CJ123"/>
  <c r="CK123"/>
  <c r="CL123"/>
  <c r="O124"/>
  <c r="U124"/>
  <c r="CH124"/>
  <c r="CI124"/>
  <c r="CJ124"/>
  <c r="CK124"/>
  <c r="CL124"/>
  <c r="O127"/>
  <c r="U127"/>
  <c r="CI127"/>
  <c r="CJ127"/>
  <c r="CK127"/>
  <c r="CL127"/>
  <c r="O128"/>
  <c r="U128"/>
  <c r="CH128"/>
  <c r="CI128"/>
  <c r="CJ128"/>
  <c r="CK128"/>
  <c r="CL128"/>
  <c r="O130"/>
  <c r="CI130"/>
  <c r="CJ130"/>
  <c r="CK130"/>
  <c r="CL130"/>
  <c r="O131"/>
  <c r="U131"/>
  <c r="CH131"/>
  <c r="CI131"/>
  <c r="CJ131"/>
  <c r="CK131"/>
  <c r="CL131"/>
  <c r="O690"/>
  <c r="U690"/>
  <c r="CH690"/>
  <c r="CI690"/>
  <c r="CJ690"/>
  <c r="CK690"/>
  <c r="CL690"/>
  <c r="O692"/>
  <c r="U692"/>
  <c r="CI692"/>
  <c r="CJ692"/>
  <c r="CK692"/>
  <c r="CL692"/>
  <c r="O708"/>
  <c r="U708"/>
  <c r="CI708"/>
  <c r="CJ708"/>
  <c r="CK708"/>
  <c r="CL708"/>
  <c r="O702"/>
  <c r="U702"/>
  <c r="CI702"/>
  <c r="CJ702"/>
  <c r="CK702"/>
  <c r="CL702"/>
  <c r="CO702"/>
  <c r="O134"/>
  <c r="U134"/>
  <c r="CI134"/>
  <c r="CJ134"/>
  <c r="CK134"/>
  <c r="CL134"/>
  <c r="O136"/>
  <c r="U136"/>
  <c r="CI136"/>
  <c r="CJ136"/>
  <c r="CK136"/>
  <c r="CL136"/>
  <c r="O139"/>
  <c r="U139"/>
  <c r="CH139"/>
  <c r="CI139"/>
  <c r="CJ139"/>
  <c r="CK139"/>
  <c r="CL139"/>
  <c r="O142"/>
  <c r="U142"/>
  <c r="CI142"/>
  <c r="CJ142"/>
  <c r="CK142"/>
  <c r="CL142"/>
  <c r="O147"/>
  <c r="U147"/>
  <c r="CI147"/>
  <c r="CJ147"/>
  <c r="CK147"/>
  <c r="CL147"/>
  <c r="O154"/>
  <c r="U154"/>
  <c r="CH154"/>
  <c r="CI154"/>
  <c r="CJ154"/>
  <c r="CK154"/>
  <c r="CL154"/>
  <c r="O156"/>
  <c r="U156"/>
  <c r="CI156"/>
  <c r="CJ156"/>
  <c r="CK156"/>
  <c r="CL156"/>
  <c r="O157"/>
  <c r="U157"/>
  <c r="CH157"/>
  <c r="CI157"/>
  <c r="CJ157"/>
  <c r="CK157"/>
  <c r="CL157"/>
  <c r="O158"/>
  <c r="U158"/>
  <c r="CH158"/>
  <c r="CI158"/>
  <c r="CJ158"/>
  <c r="CK158"/>
  <c r="CL158"/>
  <c r="O159"/>
  <c r="U159"/>
  <c r="CI159"/>
  <c r="CJ159"/>
  <c r="CK159"/>
  <c r="CL159"/>
  <c r="O161"/>
  <c r="U161"/>
  <c r="CH161"/>
  <c r="CI161"/>
  <c r="CJ161"/>
  <c r="CK161"/>
  <c r="CL161"/>
  <c r="O657"/>
  <c r="U657"/>
  <c r="CH657"/>
  <c r="CI657"/>
  <c r="CJ657"/>
  <c r="CK657"/>
  <c r="CL657"/>
  <c r="O162"/>
  <c r="U162"/>
  <c r="CI162"/>
  <c r="CJ162"/>
  <c r="CK162"/>
  <c r="CL162"/>
  <c r="O163"/>
  <c r="U163"/>
  <c r="CI163"/>
  <c r="CJ163"/>
  <c r="CK163"/>
  <c r="CL163"/>
  <c r="O165"/>
  <c r="U165"/>
  <c r="CH165"/>
  <c r="CI165"/>
  <c r="CJ165"/>
  <c r="CK165"/>
  <c r="CL165"/>
  <c r="O166"/>
  <c r="U166"/>
  <c r="CI166"/>
  <c r="CJ166"/>
  <c r="CK166"/>
  <c r="CL166"/>
  <c r="O167"/>
  <c r="U167"/>
  <c r="CI167"/>
  <c r="CJ167"/>
  <c r="CK167"/>
  <c r="CL167"/>
  <c r="O169"/>
  <c r="U169"/>
  <c r="CI169"/>
  <c r="CJ169"/>
  <c r="CK169"/>
  <c r="CL169"/>
  <c r="O168"/>
  <c r="U168"/>
  <c r="CH168"/>
  <c r="CI168"/>
  <c r="CJ168"/>
  <c r="CK168"/>
  <c r="CL168"/>
  <c r="O171"/>
  <c r="U171"/>
  <c r="CI171"/>
  <c r="CJ171"/>
  <c r="CK171"/>
  <c r="CL171"/>
  <c r="O173"/>
  <c r="U173"/>
  <c r="CI173"/>
  <c r="CJ173"/>
  <c r="CK173"/>
  <c r="CL173"/>
  <c r="O177"/>
  <c r="U177"/>
  <c r="CI177"/>
  <c r="CJ177"/>
  <c r="CK177"/>
  <c r="CL177"/>
  <c r="O178"/>
  <c r="U178"/>
  <c r="CH178"/>
  <c r="CI178"/>
  <c r="CJ178"/>
  <c r="CK178"/>
  <c r="CL178"/>
  <c r="O179"/>
  <c r="U179"/>
  <c r="CI179"/>
  <c r="CJ179"/>
  <c r="CK179"/>
  <c r="CL179"/>
  <c r="O181"/>
  <c r="U181"/>
  <c r="CI181"/>
  <c r="CJ181"/>
  <c r="CK181"/>
  <c r="CL181"/>
  <c r="O182"/>
  <c r="U182"/>
  <c r="CH182"/>
  <c r="CI182"/>
  <c r="CJ182"/>
  <c r="CK182"/>
  <c r="CL182"/>
  <c r="O183"/>
  <c r="U183"/>
  <c r="CI183"/>
  <c r="CJ183"/>
  <c r="CK183"/>
  <c r="CL183"/>
  <c r="O187"/>
  <c r="U187"/>
  <c r="CI187"/>
  <c r="CJ187"/>
  <c r="CK187"/>
  <c r="CL187"/>
  <c r="O188"/>
  <c r="U188"/>
  <c r="CI188"/>
  <c r="CJ188"/>
  <c r="CK188"/>
  <c r="CL188"/>
  <c r="O189"/>
  <c r="U189"/>
  <c r="CI189"/>
  <c r="CJ189"/>
  <c r="CK189"/>
  <c r="CL189"/>
  <c r="O190"/>
  <c r="U190"/>
  <c r="CH190"/>
  <c r="CI190"/>
  <c r="CJ190"/>
  <c r="CK190"/>
  <c r="CL190"/>
  <c r="O192"/>
  <c r="U192"/>
  <c r="CI192"/>
  <c r="CJ192"/>
  <c r="CK192"/>
  <c r="CL192"/>
  <c r="O193"/>
  <c r="U193"/>
  <c r="CH193"/>
  <c r="CI193"/>
  <c r="CJ193"/>
  <c r="CK193"/>
  <c r="CL193"/>
  <c r="O194"/>
  <c r="U194"/>
  <c r="CI194"/>
  <c r="CJ194"/>
  <c r="CK194"/>
  <c r="CL194"/>
  <c r="O195"/>
  <c r="U195"/>
  <c r="CI195"/>
  <c r="CJ195"/>
  <c r="CK195"/>
  <c r="CL195"/>
  <c r="O196"/>
  <c r="U196"/>
  <c r="CH196"/>
  <c r="CI196"/>
  <c r="CJ196"/>
  <c r="CK196"/>
  <c r="CL196"/>
  <c r="O197"/>
  <c r="U197"/>
  <c r="CI197"/>
  <c r="CJ197"/>
  <c r="CK197"/>
  <c r="CL197"/>
  <c r="O202"/>
  <c r="U202"/>
  <c r="CI202"/>
  <c r="CJ202"/>
  <c r="CK202"/>
  <c r="CL202"/>
  <c r="O203"/>
  <c r="U203"/>
  <c r="CI203"/>
  <c r="CJ203"/>
  <c r="CK203"/>
  <c r="CL203"/>
  <c r="O205"/>
  <c r="U205"/>
  <c r="CH205"/>
  <c r="CI205"/>
  <c r="CJ205"/>
  <c r="CK205"/>
  <c r="CL205"/>
  <c r="O208"/>
  <c r="U208"/>
  <c r="CH208"/>
  <c r="CI208"/>
  <c r="CJ208"/>
  <c r="CK208"/>
  <c r="CL208"/>
  <c r="O211"/>
  <c r="U211"/>
  <c r="CH211"/>
  <c r="CI211"/>
  <c r="CJ211"/>
  <c r="CK211"/>
  <c r="CL211"/>
  <c r="O213"/>
  <c r="U213"/>
  <c r="CI213"/>
  <c r="CJ213"/>
  <c r="CK213"/>
  <c r="CL213"/>
  <c r="O216"/>
  <c r="U216"/>
  <c r="CH216"/>
  <c r="CI216"/>
  <c r="CJ216"/>
  <c r="CK216"/>
  <c r="CL216"/>
  <c r="O222"/>
  <c r="U222"/>
  <c r="CI222"/>
  <c r="CJ222"/>
  <c r="CK222"/>
  <c r="CL222"/>
  <c r="O223"/>
  <c r="U223"/>
  <c r="CH223"/>
  <c r="CI223"/>
  <c r="CJ223"/>
  <c r="CK223"/>
  <c r="CL223"/>
  <c r="O224"/>
  <c r="U224"/>
  <c r="CH224"/>
  <c r="CI224"/>
  <c r="CJ224"/>
  <c r="CK224"/>
  <c r="CL224"/>
  <c r="O225"/>
  <c r="U225"/>
  <c r="CI225"/>
  <c r="CJ225"/>
  <c r="CK225"/>
  <c r="CL225"/>
  <c r="O227"/>
  <c r="U227"/>
  <c r="CH227"/>
  <c r="CI227"/>
  <c r="CJ227"/>
  <c r="CK227"/>
  <c r="CL227"/>
  <c r="O229"/>
  <c r="U229"/>
  <c r="CI229"/>
  <c r="CJ229"/>
  <c r="CK229"/>
  <c r="CL229"/>
  <c r="O234"/>
  <c r="U234"/>
  <c r="CI234"/>
  <c r="CJ234"/>
  <c r="CK234"/>
  <c r="CL234"/>
  <c r="O236"/>
  <c r="U236"/>
  <c r="CI236"/>
  <c r="CJ236"/>
  <c r="CK236"/>
  <c r="CL236"/>
  <c r="O237"/>
  <c r="U237"/>
  <c r="CH237"/>
  <c r="CI237"/>
  <c r="CJ237"/>
  <c r="CK237"/>
  <c r="CL237"/>
  <c r="O238"/>
  <c r="U238"/>
  <c r="CH238"/>
  <c r="CI238"/>
  <c r="CJ238"/>
  <c r="CK238"/>
  <c r="CL238"/>
  <c r="O239"/>
  <c r="U239"/>
  <c r="CI239"/>
  <c r="CJ239"/>
  <c r="CK239"/>
  <c r="CL239"/>
  <c r="O240"/>
  <c r="U240"/>
  <c r="CI240"/>
  <c r="CJ240"/>
  <c r="CK240"/>
  <c r="CL240"/>
  <c r="O242"/>
  <c r="CH242"/>
  <c r="CI242"/>
  <c r="CJ242"/>
  <c r="CK242"/>
  <c r="CL242"/>
  <c r="O243"/>
  <c r="U243"/>
  <c r="CH243"/>
  <c r="CI243"/>
  <c r="CJ243"/>
  <c r="CK243"/>
  <c r="CL243"/>
  <c r="O244"/>
  <c r="U244"/>
  <c r="AA244"/>
  <c r="CI244"/>
  <c r="CJ244"/>
  <c r="CK244"/>
  <c r="CL244"/>
  <c r="CN244"/>
  <c r="O245"/>
  <c r="CH245"/>
  <c r="CI245"/>
  <c r="CJ245"/>
  <c r="CK245"/>
  <c r="CL245"/>
  <c r="O247"/>
  <c r="U247"/>
  <c r="CI247"/>
  <c r="CJ247"/>
  <c r="CK247"/>
  <c r="CL247"/>
  <c r="O248"/>
  <c r="U248"/>
  <c r="CH248"/>
  <c r="CI248"/>
  <c r="CJ248"/>
  <c r="CK248"/>
  <c r="CL248"/>
  <c r="O250"/>
  <c r="U250"/>
  <c r="CI250"/>
  <c r="CJ250"/>
  <c r="CK250"/>
  <c r="CL250"/>
  <c r="O249"/>
  <c r="U249"/>
  <c r="CI249"/>
  <c r="CJ249"/>
  <c r="CK249"/>
  <c r="CL249"/>
  <c r="O251"/>
  <c r="U251"/>
  <c r="CI251"/>
  <c r="CJ251"/>
  <c r="CK251"/>
  <c r="CL251"/>
  <c r="O252"/>
  <c r="U252"/>
  <c r="CH252"/>
  <c r="CI252"/>
  <c r="CJ252"/>
  <c r="CK252"/>
  <c r="CL252"/>
  <c r="O253"/>
  <c r="U253"/>
  <c r="CI253"/>
  <c r="CJ253"/>
  <c r="CK253"/>
  <c r="CL253"/>
  <c r="O255"/>
  <c r="U255"/>
  <c r="CI255"/>
  <c r="CJ255"/>
  <c r="CK255"/>
  <c r="CL255"/>
  <c r="O256"/>
  <c r="U256"/>
  <c r="CI256"/>
  <c r="CJ256"/>
  <c r="CK256"/>
  <c r="CL256"/>
  <c r="O257"/>
  <c r="U257"/>
  <c r="CI257"/>
  <c r="CJ257"/>
  <c r="CK257"/>
  <c r="CL257"/>
  <c r="O259"/>
  <c r="U259"/>
  <c r="CI259"/>
  <c r="CJ259"/>
  <c r="CK259"/>
  <c r="CL259"/>
  <c r="O270"/>
  <c r="U270"/>
  <c r="CI270"/>
  <c r="CJ270"/>
  <c r="CK270"/>
  <c r="CL270"/>
  <c r="O260"/>
  <c r="CH260"/>
  <c r="CI260"/>
  <c r="CJ260"/>
  <c r="CK260"/>
  <c r="CL260"/>
  <c r="O261"/>
  <c r="U261"/>
  <c r="CH261"/>
  <c r="CI261"/>
  <c r="CJ261"/>
  <c r="CK261"/>
  <c r="CL261"/>
  <c r="O262"/>
  <c r="CH262"/>
  <c r="CI262"/>
  <c r="CJ262"/>
  <c r="CK262"/>
  <c r="CL262"/>
  <c r="O263"/>
  <c r="U263"/>
  <c r="CI263"/>
  <c r="CJ263"/>
  <c r="CK263"/>
  <c r="CL263"/>
  <c r="O269"/>
  <c r="U269"/>
  <c r="CI269"/>
  <c r="CJ269"/>
  <c r="CK269"/>
  <c r="CL269"/>
  <c r="O267"/>
  <c r="U267"/>
  <c r="CI267"/>
  <c r="CJ267"/>
  <c r="CK267"/>
  <c r="CL267"/>
  <c r="O272"/>
  <c r="U272"/>
  <c r="CH272"/>
  <c r="CI272"/>
  <c r="CJ272"/>
  <c r="CK272"/>
  <c r="CL272"/>
  <c r="O279"/>
  <c r="CH279"/>
  <c r="CI279"/>
  <c r="CJ279"/>
  <c r="CK279"/>
  <c r="CL279"/>
  <c r="O277"/>
  <c r="U277"/>
  <c r="CI277"/>
  <c r="CJ277"/>
  <c r="CK277"/>
  <c r="CL277"/>
  <c r="O281"/>
  <c r="U281"/>
  <c r="CH281"/>
  <c r="CI281"/>
  <c r="CJ281"/>
  <c r="CK281"/>
  <c r="CL281"/>
  <c r="O275"/>
  <c r="U275"/>
  <c r="CI275"/>
  <c r="CJ275"/>
  <c r="CK275"/>
  <c r="CL275"/>
  <c r="O276"/>
  <c r="U276"/>
  <c r="CI276"/>
  <c r="CJ276"/>
  <c r="CK276"/>
  <c r="CL276"/>
  <c r="O283"/>
  <c r="U283"/>
  <c r="CH283"/>
  <c r="CI283"/>
  <c r="CJ283"/>
  <c r="CK283"/>
  <c r="CL283"/>
  <c r="O280"/>
  <c r="CH280"/>
  <c r="CI280"/>
  <c r="CJ280"/>
  <c r="CK280"/>
  <c r="CL280"/>
  <c r="O282"/>
  <c r="CI282"/>
  <c r="CJ282"/>
  <c r="CK282"/>
  <c r="CL282"/>
  <c r="O292"/>
  <c r="CH292"/>
  <c r="CI292"/>
  <c r="CJ292"/>
  <c r="CK292"/>
  <c r="CL292"/>
  <c r="O316"/>
  <c r="U316"/>
  <c r="CH316"/>
  <c r="CI316"/>
  <c r="CJ316"/>
  <c r="CK316"/>
  <c r="CL316"/>
  <c r="O294"/>
  <c r="U294"/>
  <c r="CI294"/>
  <c r="CJ294"/>
  <c r="CK294"/>
  <c r="CL294"/>
  <c r="O289"/>
  <c r="U289"/>
  <c r="CI289"/>
  <c r="CJ289"/>
  <c r="CK289"/>
  <c r="CL289"/>
  <c r="O296"/>
  <c r="U296"/>
  <c r="CI296"/>
  <c r="CJ296"/>
  <c r="CK296"/>
  <c r="CL296"/>
  <c r="O295"/>
  <c r="U295"/>
  <c r="CH295"/>
  <c r="CI295"/>
  <c r="CJ295"/>
  <c r="CK295"/>
  <c r="CL295"/>
  <c r="O293"/>
  <c r="CI293"/>
  <c r="CJ293"/>
  <c r="CK293"/>
  <c r="CL293"/>
  <c r="O291"/>
  <c r="U291"/>
  <c r="CH291"/>
  <c r="CI291"/>
  <c r="CJ291"/>
  <c r="CK291"/>
  <c r="CL291"/>
  <c r="O317"/>
  <c r="U317"/>
  <c r="CI317"/>
  <c r="CJ317"/>
  <c r="CK317"/>
  <c r="CL317"/>
  <c r="O297"/>
  <c r="U297"/>
  <c r="CI297"/>
  <c r="CJ297"/>
  <c r="CK297"/>
  <c r="CL297"/>
  <c r="O298"/>
  <c r="U298"/>
  <c r="CH298"/>
  <c r="CI298"/>
  <c r="CJ298"/>
  <c r="CK298"/>
  <c r="CL298"/>
  <c r="O312"/>
  <c r="U312"/>
  <c r="CI312"/>
  <c r="CJ312"/>
  <c r="CK312"/>
  <c r="CL312"/>
  <c r="O319"/>
  <c r="U319"/>
  <c r="CH319"/>
  <c r="CI319"/>
  <c r="CJ319"/>
  <c r="CK319"/>
  <c r="CL319"/>
  <c r="O301"/>
  <c r="U301"/>
  <c r="CI301"/>
  <c r="CJ301"/>
  <c r="CK301"/>
  <c r="CL301"/>
  <c r="O321"/>
  <c r="U321"/>
  <c r="CI321"/>
  <c r="CJ321"/>
  <c r="CK321"/>
  <c r="CL321"/>
  <c r="O320"/>
  <c r="U320"/>
  <c r="CI320"/>
  <c r="CJ320"/>
  <c r="CK320"/>
  <c r="CL320"/>
  <c r="O302"/>
  <c r="CH302"/>
  <c r="CI302"/>
  <c r="CJ302"/>
  <c r="CK302"/>
  <c r="CL302"/>
  <c r="O303"/>
  <c r="U303"/>
  <c r="CI303"/>
  <c r="CJ303"/>
  <c r="CK303"/>
  <c r="CL303"/>
  <c r="O306"/>
  <c r="U306"/>
  <c r="CH306"/>
  <c r="CI306"/>
  <c r="CJ306"/>
  <c r="CK306"/>
  <c r="CL306"/>
  <c r="O307"/>
  <c r="U307"/>
  <c r="CI307"/>
  <c r="CJ307"/>
  <c r="CK307"/>
  <c r="CL307"/>
  <c r="O308"/>
  <c r="U308"/>
  <c r="CI308"/>
  <c r="CJ308"/>
  <c r="CK308"/>
  <c r="CL308"/>
  <c r="O309"/>
  <c r="U309"/>
  <c r="CI309"/>
  <c r="CJ309"/>
  <c r="CK309"/>
  <c r="CL309"/>
  <c r="O310"/>
  <c r="CI310"/>
  <c r="CJ310"/>
  <c r="CK310"/>
  <c r="CL310"/>
  <c r="O313"/>
  <c r="CH313"/>
  <c r="CI313"/>
  <c r="CJ313"/>
  <c r="CK313"/>
  <c r="CL313"/>
  <c r="O311"/>
  <c r="U311"/>
  <c r="CI311"/>
  <c r="CJ311"/>
  <c r="CK311"/>
  <c r="CL311"/>
  <c r="O324"/>
  <c r="U324"/>
  <c r="CI324"/>
  <c r="CJ324"/>
  <c r="CK324"/>
  <c r="CL324"/>
  <c r="O325"/>
  <c r="U325"/>
  <c r="CI325"/>
  <c r="CJ325"/>
  <c r="CK325"/>
  <c r="CL325"/>
  <c r="O326"/>
  <c r="U326"/>
  <c r="CH326"/>
  <c r="CI326"/>
  <c r="CJ326"/>
  <c r="CK326"/>
  <c r="CL326"/>
  <c r="O327"/>
  <c r="U327"/>
  <c r="CI327"/>
  <c r="CJ327"/>
  <c r="CK327"/>
  <c r="CL327"/>
  <c r="O328"/>
  <c r="U328"/>
  <c r="CI328"/>
  <c r="CJ328"/>
  <c r="CK328"/>
  <c r="CL328"/>
  <c r="O329"/>
  <c r="U329"/>
  <c r="CI329"/>
  <c r="CJ329"/>
  <c r="CK329"/>
  <c r="CL329"/>
  <c r="O330"/>
  <c r="U330"/>
  <c r="CI330"/>
  <c r="CJ330"/>
  <c r="CK330"/>
  <c r="CL330"/>
  <c r="O331"/>
  <c r="U331"/>
  <c r="CH331"/>
  <c r="CI331"/>
  <c r="CJ331"/>
  <c r="CK331"/>
  <c r="CL331"/>
  <c r="O334"/>
  <c r="U334"/>
  <c r="CI334"/>
  <c r="CJ334"/>
  <c r="CK334"/>
  <c r="CL334"/>
  <c r="O335"/>
  <c r="CH335"/>
  <c r="CI335"/>
  <c r="CJ335"/>
  <c r="CK335"/>
  <c r="CL335"/>
  <c r="O336"/>
  <c r="U336"/>
  <c r="CH336"/>
  <c r="CI336"/>
  <c r="CJ336"/>
  <c r="CK336"/>
  <c r="CL336"/>
  <c r="O337"/>
  <c r="U337"/>
  <c r="CI337"/>
  <c r="CJ337"/>
  <c r="CK337"/>
  <c r="CL337"/>
  <c r="O338"/>
  <c r="U338"/>
  <c r="CH338"/>
  <c r="CI338"/>
  <c r="CJ338"/>
  <c r="CK338"/>
  <c r="CL338"/>
  <c r="O340"/>
  <c r="U340"/>
  <c r="CH340"/>
  <c r="CI340"/>
  <c r="CJ340"/>
  <c r="CK340"/>
  <c r="CL340"/>
  <c r="O342"/>
  <c r="U342"/>
  <c r="CH342"/>
  <c r="CI342"/>
  <c r="CJ342"/>
  <c r="CK342"/>
  <c r="CL342"/>
  <c r="O347"/>
  <c r="U347"/>
  <c r="CH347"/>
  <c r="CI347"/>
  <c r="CJ347"/>
  <c r="CK347"/>
  <c r="CL347"/>
  <c r="O350"/>
  <c r="U350"/>
  <c r="CI350"/>
  <c r="CJ350"/>
  <c r="CK350"/>
  <c r="CL350"/>
  <c r="O353"/>
  <c r="U353"/>
  <c r="CI353"/>
  <c r="CJ353"/>
  <c r="CK353"/>
  <c r="CL353"/>
  <c r="O354"/>
  <c r="U354"/>
  <c r="CI354"/>
  <c r="CJ354"/>
  <c r="CK354"/>
  <c r="CL354"/>
  <c r="O356"/>
  <c r="U356"/>
  <c r="CI356"/>
  <c r="CJ356"/>
  <c r="CK356"/>
  <c r="CL356"/>
  <c r="O357"/>
  <c r="U357"/>
  <c r="CI357"/>
  <c r="CJ357"/>
  <c r="CK357"/>
  <c r="CL357"/>
  <c r="O358"/>
  <c r="U358"/>
  <c r="CI358"/>
  <c r="CJ358"/>
  <c r="CK358"/>
  <c r="CL358"/>
  <c r="O361"/>
  <c r="U361"/>
  <c r="CI361"/>
  <c r="CJ361"/>
  <c r="CK361"/>
  <c r="CL361"/>
  <c r="O362"/>
  <c r="U362"/>
  <c r="CI362"/>
  <c r="CJ362"/>
  <c r="CK362"/>
  <c r="CL362"/>
  <c r="O363"/>
  <c r="U363"/>
  <c r="CH363"/>
  <c r="CI363"/>
  <c r="CJ363"/>
  <c r="CK363"/>
  <c r="CL363"/>
  <c r="O365"/>
  <c r="U365"/>
  <c r="CI365"/>
  <c r="CJ365"/>
  <c r="CK365"/>
  <c r="CL365"/>
  <c r="O366"/>
  <c r="U366"/>
  <c r="CI366"/>
  <c r="CJ366"/>
  <c r="CK366"/>
  <c r="CL366"/>
  <c r="O367"/>
  <c r="U367"/>
  <c r="CI367"/>
  <c r="CJ367"/>
  <c r="CK367"/>
  <c r="CL367"/>
  <c r="O368"/>
  <c r="U368"/>
  <c r="CI368"/>
  <c r="CJ368"/>
  <c r="CK368"/>
  <c r="CL368"/>
  <c r="O371"/>
  <c r="U371"/>
  <c r="CI371"/>
  <c r="CJ371"/>
  <c r="CK371"/>
  <c r="CL371"/>
  <c r="O383"/>
  <c r="U383"/>
  <c r="CI383"/>
  <c r="CJ383"/>
  <c r="CK383"/>
  <c r="CL383"/>
  <c r="O384"/>
  <c r="U384"/>
  <c r="CH384"/>
  <c r="CI384"/>
  <c r="CJ384"/>
  <c r="CK384"/>
  <c r="CL384"/>
  <c r="O385"/>
  <c r="U385"/>
  <c r="CI385"/>
  <c r="CJ385"/>
  <c r="CK385"/>
  <c r="CL385"/>
  <c r="O386"/>
  <c r="U386"/>
  <c r="AB386"/>
  <c r="CH386"/>
  <c r="CI386"/>
  <c r="CJ386"/>
  <c r="CK386"/>
  <c r="CL386"/>
  <c r="CO386"/>
  <c r="O387"/>
  <c r="CH387"/>
  <c r="CI387"/>
  <c r="CJ387"/>
  <c r="CK387"/>
  <c r="CL387"/>
  <c r="O372"/>
  <c r="U372"/>
  <c r="CH372"/>
  <c r="CI372"/>
  <c r="CJ372"/>
  <c r="CK372"/>
  <c r="CL372"/>
  <c r="O393"/>
  <c r="U393"/>
  <c r="CH393"/>
  <c r="CI393"/>
  <c r="CJ393"/>
  <c r="CK393"/>
  <c r="CL393"/>
  <c r="O388"/>
  <c r="U388"/>
  <c r="CH388"/>
  <c r="CI388"/>
  <c r="CJ388"/>
  <c r="CK388"/>
  <c r="CL388"/>
  <c r="O389"/>
  <c r="U389"/>
  <c r="CH389"/>
  <c r="CI389"/>
  <c r="CJ389"/>
  <c r="CK389"/>
  <c r="CL389"/>
  <c r="O379"/>
  <c r="U379"/>
  <c r="CH379"/>
  <c r="CI379"/>
  <c r="CJ379"/>
  <c r="CK379"/>
  <c r="CL379"/>
  <c r="O380"/>
  <c r="CH380"/>
  <c r="CI380"/>
  <c r="CJ380"/>
  <c r="CK380"/>
  <c r="CL380"/>
  <c r="O394"/>
  <c r="U394"/>
  <c r="CH394"/>
  <c r="CI394"/>
  <c r="CJ394"/>
  <c r="CK394"/>
  <c r="CL394"/>
  <c r="O395"/>
  <c r="U395"/>
  <c r="CH395"/>
  <c r="CI395"/>
  <c r="CJ395"/>
  <c r="CK395"/>
  <c r="CL395"/>
  <c r="O396"/>
  <c r="U396"/>
  <c r="CI396"/>
  <c r="CJ396"/>
  <c r="CK396"/>
  <c r="CL396"/>
  <c r="O402"/>
  <c r="U402"/>
  <c r="CI402"/>
  <c r="CJ402"/>
  <c r="CK402"/>
  <c r="CL402"/>
  <c r="O403"/>
  <c r="U403"/>
  <c r="CH403"/>
  <c r="CI403"/>
  <c r="CJ403"/>
  <c r="CK403"/>
  <c r="CL403"/>
  <c r="O404"/>
  <c r="U404"/>
  <c r="CI404"/>
  <c r="CJ404"/>
  <c r="CK404"/>
  <c r="CL404"/>
  <c r="U405"/>
  <c r="CI405"/>
  <c r="CJ405"/>
  <c r="CK405"/>
  <c r="CL405"/>
  <c r="O406"/>
  <c r="U406"/>
  <c r="CH406"/>
  <c r="CI406"/>
  <c r="CJ406"/>
  <c r="CK406"/>
  <c r="CL406"/>
  <c r="O407"/>
  <c r="U407"/>
  <c r="CI407"/>
  <c r="CJ407"/>
  <c r="CK407"/>
  <c r="CL407"/>
  <c r="O409"/>
  <c r="CI409"/>
  <c r="CJ409"/>
  <c r="CK409"/>
  <c r="CL409"/>
  <c r="O410"/>
  <c r="U410"/>
  <c r="CI410"/>
  <c r="CJ410"/>
  <c r="CK410"/>
  <c r="CL410"/>
  <c r="O413"/>
  <c r="U413"/>
  <c r="CI413"/>
  <c r="CJ413"/>
  <c r="CK413"/>
  <c r="CL413"/>
  <c r="O414"/>
  <c r="U414"/>
  <c r="CI414"/>
  <c r="CJ414"/>
  <c r="CK414"/>
  <c r="CL414"/>
  <c r="O416"/>
  <c r="U416"/>
  <c r="CI416"/>
  <c r="CJ416"/>
  <c r="CK416"/>
  <c r="CL416"/>
  <c r="O419"/>
  <c r="U419"/>
  <c r="CI419"/>
  <c r="CJ419"/>
  <c r="CK419"/>
  <c r="CL419"/>
  <c r="O420"/>
  <c r="U420"/>
  <c r="CI420"/>
  <c r="CJ420"/>
  <c r="CK420"/>
  <c r="CL420"/>
  <c r="O424"/>
  <c r="U424"/>
  <c r="CI424"/>
  <c r="CJ424"/>
  <c r="CK424"/>
  <c r="CL424"/>
  <c r="O425"/>
  <c r="U425"/>
  <c r="CI425"/>
  <c r="CJ425"/>
  <c r="CK425"/>
  <c r="CL425"/>
  <c r="O429"/>
  <c r="U429"/>
  <c r="CI429"/>
  <c r="CJ429"/>
  <c r="CK429"/>
  <c r="CL429"/>
  <c r="O433"/>
  <c r="U433"/>
  <c r="CI433"/>
  <c r="CJ433"/>
  <c r="CK433"/>
  <c r="CL433"/>
  <c r="O434"/>
  <c r="U434"/>
  <c r="CH434"/>
  <c r="CI434"/>
  <c r="CJ434"/>
  <c r="CK434"/>
  <c r="CL434"/>
  <c r="O437"/>
  <c r="U437"/>
  <c r="CH437"/>
  <c r="CI437"/>
  <c r="CJ437"/>
  <c r="CK437"/>
  <c r="CL437"/>
  <c r="U442"/>
  <c r="CI442"/>
  <c r="CJ442"/>
  <c r="CK442"/>
  <c r="CL442"/>
  <c r="O443"/>
  <c r="U443"/>
  <c r="CH443"/>
  <c r="CI443"/>
  <c r="CJ443"/>
  <c r="CK443"/>
  <c r="CL443"/>
  <c r="O446"/>
  <c r="U446"/>
  <c r="CI446"/>
  <c r="CJ446"/>
  <c r="CK446"/>
  <c r="CL446"/>
  <c r="O447"/>
  <c r="U447"/>
  <c r="CI447"/>
  <c r="CJ447"/>
  <c r="CK447"/>
  <c r="CL447"/>
  <c r="O448"/>
  <c r="U448"/>
  <c r="CI448"/>
  <c r="CJ448"/>
  <c r="CK448"/>
  <c r="CL448"/>
  <c r="O449"/>
  <c r="U449"/>
  <c r="CH449"/>
  <c r="CI449"/>
  <c r="CJ449"/>
  <c r="CK449"/>
  <c r="CL449"/>
  <c r="O450"/>
  <c r="U450"/>
  <c r="CI450"/>
  <c r="CJ450"/>
  <c r="CK450"/>
  <c r="CL450"/>
  <c r="O451"/>
  <c r="U451"/>
  <c r="CI451"/>
  <c r="CJ451"/>
  <c r="CK451"/>
  <c r="CL451"/>
  <c r="O455"/>
  <c r="U455"/>
  <c r="CH455"/>
  <c r="CI455"/>
  <c r="CJ455"/>
  <c r="CK455"/>
  <c r="CL455"/>
  <c r="O457"/>
  <c r="U457"/>
  <c r="CI457"/>
  <c r="CJ457"/>
  <c r="CK457"/>
  <c r="CL457"/>
  <c r="O461"/>
  <c r="U461"/>
  <c r="CI461"/>
  <c r="CJ461"/>
  <c r="CK461"/>
  <c r="CL461"/>
  <c r="O464"/>
  <c r="U464"/>
  <c r="CI464"/>
  <c r="CJ464"/>
  <c r="CK464"/>
  <c r="CL464"/>
  <c r="O465"/>
  <c r="CH465"/>
  <c r="CI465"/>
  <c r="CJ465"/>
  <c r="CK465"/>
  <c r="CL465"/>
  <c r="O466"/>
  <c r="U466"/>
  <c r="CH466"/>
  <c r="CI466"/>
  <c r="CJ466"/>
  <c r="CK466"/>
  <c r="CL466"/>
  <c r="O467"/>
  <c r="U467"/>
  <c r="CH467"/>
  <c r="CI467"/>
  <c r="CJ467"/>
  <c r="CK467"/>
  <c r="CL467"/>
  <c r="O469"/>
  <c r="U469"/>
  <c r="CH469"/>
  <c r="CI469"/>
  <c r="CJ469"/>
  <c r="CK469"/>
  <c r="CL469"/>
  <c r="O470"/>
  <c r="U470"/>
  <c r="CH470"/>
  <c r="CI470"/>
  <c r="CJ470"/>
  <c r="CK470"/>
  <c r="CL470"/>
  <c r="O471"/>
  <c r="U471"/>
  <c r="CH471"/>
  <c r="CI471"/>
  <c r="CJ471"/>
  <c r="CK471"/>
  <c r="CL471"/>
  <c r="O472"/>
  <c r="U472"/>
  <c r="CH472"/>
  <c r="CI472"/>
  <c r="CJ472"/>
  <c r="CK472"/>
  <c r="CL472"/>
  <c r="O474"/>
  <c r="U474"/>
  <c r="CH474"/>
  <c r="CI474"/>
  <c r="CJ474"/>
  <c r="CK474"/>
  <c r="CL474"/>
  <c r="O475"/>
  <c r="U475"/>
  <c r="CH475"/>
  <c r="CI475"/>
  <c r="CJ475"/>
  <c r="CK475"/>
  <c r="CL475"/>
  <c r="O477"/>
  <c r="CH477"/>
  <c r="CI477"/>
  <c r="CJ477"/>
  <c r="CK477"/>
  <c r="CL477"/>
  <c r="O478"/>
  <c r="U478"/>
  <c r="CI478"/>
  <c r="CJ478"/>
  <c r="CK478"/>
  <c r="CL478"/>
  <c r="O479"/>
  <c r="U479"/>
  <c r="CH479"/>
  <c r="CI479"/>
  <c r="CJ479"/>
  <c r="CK479"/>
  <c r="CL479"/>
  <c r="O480"/>
  <c r="U480"/>
  <c r="CH480"/>
  <c r="CI480"/>
  <c r="CJ480"/>
  <c r="CK480"/>
  <c r="CL480"/>
  <c r="O481"/>
  <c r="U481"/>
  <c r="CH481"/>
  <c r="CI481"/>
  <c r="CJ481"/>
  <c r="CK481"/>
  <c r="CL481"/>
  <c r="O483"/>
  <c r="U483"/>
  <c r="CI483"/>
  <c r="CJ483"/>
  <c r="CK483"/>
  <c r="CL483"/>
  <c r="O484"/>
  <c r="U484"/>
  <c r="CH484"/>
  <c r="CI484"/>
  <c r="CJ484"/>
  <c r="CK484"/>
  <c r="CL484"/>
  <c r="O485"/>
  <c r="U485"/>
  <c r="CH485"/>
  <c r="CI485"/>
  <c r="CJ485"/>
  <c r="CK485"/>
  <c r="CL485"/>
  <c r="O490"/>
  <c r="U490"/>
  <c r="CI490"/>
  <c r="CJ490"/>
  <c r="CK490"/>
  <c r="CL490"/>
  <c r="O492"/>
  <c r="U492"/>
  <c r="CI492"/>
  <c r="CJ492"/>
  <c r="CK492"/>
  <c r="CL492"/>
  <c r="O493"/>
  <c r="U493"/>
  <c r="CI493"/>
  <c r="CJ493"/>
  <c r="CK493"/>
  <c r="CL493"/>
  <c r="O494"/>
  <c r="U494"/>
  <c r="CI494"/>
  <c r="CJ494"/>
  <c r="CK494"/>
  <c r="CL494"/>
  <c r="O509"/>
  <c r="U509"/>
  <c r="CI509"/>
  <c r="CJ509"/>
  <c r="CK509"/>
  <c r="CL509"/>
  <c r="O495"/>
  <c r="CH495"/>
  <c r="CI495"/>
  <c r="CJ495"/>
  <c r="CK495"/>
  <c r="CL495"/>
  <c r="O496"/>
  <c r="U496"/>
  <c r="CH496"/>
  <c r="CI496"/>
  <c r="CJ496"/>
  <c r="CK496"/>
  <c r="CL496"/>
  <c r="O497"/>
  <c r="U497"/>
  <c r="CI497"/>
  <c r="CJ497"/>
  <c r="CK497"/>
  <c r="CL497"/>
  <c r="O508"/>
  <c r="U508"/>
  <c r="CI508"/>
  <c r="CJ508"/>
  <c r="CK508"/>
  <c r="CL508"/>
  <c r="O498"/>
  <c r="U498"/>
  <c r="CH498"/>
  <c r="CI498"/>
  <c r="CJ498"/>
  <c r="CK498"/>
  <c r="CL498"/>
  <c r="O499"/>
  <c r="U499"/>
  <c r="CI499"/>
  <c r="CJ499"/>
  <c r="CK499"/>
  <c r="CL499"/>
  <c r="O500"/>
  <c r="U500"/>
  <c r="CH500"/>
  <c r="CI500"/>
  <c r="CJ500"/>
  <c r="CK500"/>
  <c r="CL500"/>
  <c r="O501"/>
  <c r="CI501"/>
  <c r="CJ501"/>
  <c r="CK501"/>
  <c r="CL501"/>
  <c r="O502"/>
  <c r="U502"/>
  <c r="CI502"/>
  <c r="CJ502"/>
  <c r="CK502"/>
  <c r="CL502"/>
  <c r="O503"/>
  <c r="U503"/>
  <c r="CI503"/>
  <c r="CJ503"/>
  <c r="CK503"/>
  <c r="CL503"/>
  <c r="O513"/>
  <c r="U513"/>
  <c r="CI513"/>
  <c r="CJ513"/>
  <c r="CK513"/>
  <c r="CL513"/>
  <c r="O516"/>
  <c r="U516"/>
  <c r="CI516"/>
  <c r="CJ516"/>
  <c r="CK516"/>
  <c r="CL516"/>
  <c r="O517"/>
  <c r="U517"/>
  <c r="CI517"/>
  <c r="CJ517"/>
  <c r="CK517"/>
  <c r="CL517"/>
  <c r="O518"/>
  <c r="U518"/>
  <c r="CH518"/>
  <c r="CI518"/>
  <c r="CJ518"/>
  <c r="CK518"/>
  <c r="CL518"/>
  <c r="O519"/>
  <c r="U519"/>
  <c r="CI519"/>
  <c r="CJ519"/>
  <c r="CK519"/>
  <c r="CL519"/>
  <c r="O520"/>
  <c r="U520"/>
  <c r="CI520"/>
  <c r="CJ520"/>
  <c r="CK520"/>
  <c r="CL520"/>
  <c r="O521"/>
  <c r="U521"/>
  <c r="CI521"/>
  <c r="CJ521"/>
  <c r="CK521"/>
  <c r="CL521"/>
  <c r="O522"/>
  <c r="U522"/>
  <c r="CI522"/>
  <c r="CJ522"/>
  <c r="CK522"/>
  <c r="CL522"/>
  <c r="O523"/>
  <c r="U523"/>
  <c r="CI523"/>
  <c r="CJ523"/>
  <c r="CK523"/>
  <c r="CL523"/>
  <c r="O524"/>
  <c r="U524"/>
  <c r="CH524"/>
  <c r="CI524"/>
  <c r="CJ524"/>
  <c r="CK524"/>
  <c r="CL524"/>
  <c r="O525"/>
  <c r="U525"/>
  <c r="CI525"/>
  <c r="CJ525"/>
  <c r="CK525"/>
  <c r="CL525"/>
  <c r="O526"/>
  <c r="CI526"/>
  <c r="CJ526"/>
  <c r="CK526"/>
  <c r="CL526"/>
  <c r="O527"/>
  <c r="U527"/>
  <c r="CI527"/>
  <c r="CJ527"/>
  <c r="CK527"/>
  <c r="CL527"/>
  <c r="O538"/>
  <c r="U538"/>
  <c r="CI538"/>
  <c r="CJ538"/>
  <c r="CK538"/>
  <c r="CL538"/>
  <c r="O528"/>
  <c r="U528"/>
  <c r="CH528"/>
  <c r="CI528"/>
  <c r="CJ528"/>
  <c r="CK528"/>
  <c r="CL528"/>
  <c r="O537"/>
  <c r="U537"/>
  <c r="CI537"/>
  <c r="CJ537"/>
  <c r="CK537"/>
  <c r="CL537"/>
  <c r="O530"/>
  <c r="U530"/>
  <c r="CH530"/>
  <c r="CI530"/>
  <c r="CJ530"/>
  <c r="CK530"/>
  <c r="CL530"/>
  <c r="O531"/>
  <c r="U531"/>
  <c r="CI531"/>
  <c r="CJ531"/>
  <c r="CK531"/>
  <c r="CL531"/>
  <c r="O534"/>
  <c r="U534"/>
  <c r="CI534"/>
  <c r="CJ534"/>
  <c r="CK534"/>
  <c r="CL534"/>
  <c r="O539"/>
  <c r="U539"/>
  <c r="CI539"/>
  <c r="CJ539"/>
  <c r="CK539"/>
  <c r="CL539"/>
  <c r="O535"/>
  <c r="U535"/>
  <c r="CI535"/>
  <c r="CJ535"/>
  <c r="CK535"/>
  <c r="CL535"/>
  <c r="O540"/>
  <c r="U540"/>
  <c r="CI540"/>
  <c r="CJ540"/>
  <c r="CK540"/>
  <c r="CL540"/>
  <c r="O543"/>
  <c r="U543"/>
  <c r="CI543"/>
  <c r="CJ543"/>
  <c r="CK543"/>
  <c r="CL543"/>
  <c r="O545"/>
  <c r="U545"/>
  <c r="CH545"/>
  <c r="CI545"/>
  <c r="CJ545"/>
  <c r="CK545"/>
  <c r="CL545"/>
  <c r="O546"/>
  <c r="U546"/>
  <c r="CI546"/>
  <c r="CJ546"/>
  <c r="CK546"/>
  <c r="CL546"/>
  <c r="O547"/>
  <c r="U547"/>
  <c r="CI547"/>
  <c r="CJ547"/>
  <c r="CK547"/>
  <c r="CL547"/>
  <c r="O556"/>
  <c r="U556"/>
  <c r="CI556"/>
  <c r="CJ556"/>
  <c r="CK556"/>
  <c r="CL556"/>
  <c r="O549"/>
  <c r="U549"/>
  <c r="CH549"/>
  <c r="CI549"/>
  <c r="CJ549"/>
  <c r="CK549"/>
  <c r="CL549"/>
  <c r="O550"/>
  <c r="U550"/>
  <c r="CI550"/>
  <c r="CJ550"/>
  <c r="CK550"/>
  <c r="CL550"/>
  <c r="O552"/>
  <c r="U552"/>
  <c r="CI552"/>
  <c r="CJ552"/>
  <c r="CK552"/>
  <c r="CL552"/>
  <c r="O557"/>
  <c r="CI557"/>
  <c r="CJ557"/>
  <c r="CK557"/>
  <c r="CL557"/>
  <c r="O554"/>
  <c r="CI554"/>
  <c r="CJ554"/>
  <c r="CK554"/>
  <c r="CL554"/>
  <c r="O560"/>
  <c r="U560"/>
  <c r="CI560"/>
  <c r="CJ560"/>
  <c r="CK560"/>
  <c r="CL560"/>
  <c r="O561"/>
  <c r="U561"/>
  <c r="CI561"/>
  <c r="CJ561"/>
  <c r="CK561"/>
  <c r="CL561"/>
  <c r="O562"/>
  <c r="U562"/>
  <c r="CI562"/>
  <c r="CJ562"/>
  <c r="CK562"/>
  <c r="CL562"/>
  <c r="O564"/>
  <c r="U564"/>
  <c r="CI564"/>
  <c r="CJ564"/>
  <c r="CK564"/>
  <c r="CL564"/>
  <c r="O565"/>
  <c r="U565"/>
  <c r="CI565"/>
  <c r="CJ565"/>
  <c r="CK565"/>
  <c r="CL565"/>
  <c r="O567"/>
  <c r="U567"/>
  <c r="CH567"/>
  <c r="CI567"/>
  <c r="CJ567"/>
  <c r="CK567"/>
  <c r="CL567"/>
  <c r="O579"/>
  <c r="U579"/>
  <c r="CI579"/>
  <c r="CJ579"/>
  <c r="CK579"/>
  <c r="CL579"/>
  <c r="O576"/>
  <c r="U576"/>
  <c r="CI576"/>
  <c r="CJ576"/>
  <c r="CK576"/>
  <c r="CL576"/>
  <c r="O577"/>
  <c r="U577"/>
  <c r="CI577"/>
  <c r="CJ577"/>
  <c r="CK577"/>
  <c r="CL577"/>
  <c r="O578"/>
  <c r="U578"/>
  <c r="CH578"/>
  <c r="CI578"/>
  <c r="CJ578"/>
  <c r="CK578"/>
  <c r="CL578"/>
  <c r="O575"/>
  <c r="U575"/>
  <c r="CH575"/>
  <c r="CI575"/>
  <c r="CJ575"/>
  <c r="CK575"/>
  <c r="CL575"/>
  <c r="O572"/>
  <c r="U572"/>
  <c r="CI572"/>
  <c r="CJ572"/>
  <c r="CK572"/>
  <c r="CL572"/>
  <c r="O574"/>
  <c r="U574"/>
  <c r="CI574"/>
  <c r="CJ574"/>
  <c r="CK574"/>
  <c r="CL574"/>
  <c r="O591"/>
  <c r="U591"/>
  <c r="CH591"/>
  <c r="CI591"/>
  <c r="CJ591"/>
  <c r="CK591"/>
  <c r="CL591"/>
  <c r="O592"/>
  <c r="U592"/>
  <c r="CI592"/>
  <c r="CJ592"/>
  <c r="CK592"/>
  <c r="CL592"/>
  <c r="O583"/>
  <c r="U583"/>
  <c r="CI583"/>
  <c r="CJ583"/>
  <c r="CK583"/>
  <c r="CL583"/>
  <c r="O588"/>
  <c r="U588"/>
  <c r="CI588"/>
  <c r="CJ588"/>
  <c r="CK588"/>
  <c r="CL588"/>
  <c r="O584"/>
  <c r="U584"/>
  <c r="CH584"/>
  <c r="CI584"/>
  <c r="CJ584"/>
  <c r="CK584"/>
  <c r="CL584"/>
  <c r="O585"/>
  <c r="CH585"/>
  <c r="CI585"/>
  <c r="CJ585"/>
  <c r="CK585"/>
  <c r="CL585"/>
  <c r="O589"/>
  <c r="U589"/>
  <c r="CI589"/>
  <c r="CJ589"/>
  <c r="CK589"/>
  <c r="CL589"/>
  <c r="O587"/>
  <c r="U587"/>
  <c r="CI587"/>
  <c r="CJ587"/>
  <c r="CK587"/>
  <c r="CL587"/>
  <c r="O590"/>
  <c r="CI590"/>
  <c r="CJ590"/>
  <c r="CK590"/>
  <c r="CL590"/>
  <c r="O593"/>
  <c r="U593"/>
  <c r="CI593"/>
  <c r="CJ593"/>
  <c r="CK593"/>
  <c r="CL593"/>
  <c r="O595"/>
  <c r="U595"/>
  <c r="CI595"/>
  <c r="CJ595"/>
  <c r="CK595"/>
  <c r="CL595"/>
  <c r="O596"/>
  <c r="U596"/>
  <c r="CH596"/>
  <c r="CI596"/>
  <c r="CJ596"/>
  <c r="CK596"/>
  <c r="CL596"/>
  <c r="O607"/>
  <c r="U607"/>
  <c r="CI607"/>
  <c r="CJ607"/>
  <c r="CK607"/>
  <c r="CL607"/>
  <c r="O597"/>
  <c r="U597"/>
  <c r="CI597"/>
  <c r="CJ597"/>
  <c r="CK597"/>
  <c r="CL597"/>
  <c r="O599"/>
  <c r="U599"/>
  <c r="CH599"/>
  <c r="CI599"/>
  <c r="CJ599"/>
  <c r="CK599"/>
  <c r="CL599"/>
  <c r="O608"/>
  <c r="U608"/>
  <c r="CI608"/>
  <c r="CJ608"/>
  <c r="CK608"/>
  <c r="CL608"/>
  <c r="O601"/>
  <c r="U601"/>
  <c r="CH601"/>
  <c r="CI601"/>
  <c r="CJ601"/>
  <c r="CK601"/>
  <c r="CL601"/>
  <c r="O603"/>
  <c r="U603"/>
  <c r="CI603"/>
  <c r="CJ603"/>
  <c r="CK603"/>
  <c r="CL603"/>
  <c r="O604"/>
  <c r="U604"/>
  <c r="CH604"/>
  <c r="CI604"/>
  <c r="CJ604"/>
  <c r="CK604"/>
  <c r="CL604"/>
  <c r="O605"/>
  <c r="U605"/>
  <c r="CI605"/>
  <c r="CJ605"/>
  <c r="CK605"/>
  <c r="CL605"/>
  <c r="O606"/>
  <c r="U606"/>
  <c r="CH606"/>
  <c r="CI606"/>
  <c r="CJ606"/>
  <c r="CK606"/>
  <c r="CL606"/>
  <c r="O609"/>
  <c r="U609"/>
  <c r="CI609"/>
  <c r="CJ609"/>
  <c r="CK609"/>
  <c r="CL609"/>
  <c r="O610"/>
  <c r="U610"/>
  <c r="CH610"/>
  <c r="CI610"/>
  <c r="CJ610"/>
  <c r="CK610"/>
  <c r="CL610"/>
  <c r="O611"/>
  <c r="U611"/>
  <c r="CI611"/>
  <c r="CJ611"/>
  <c r="CK611"/>
  <c r="CL611"/>
  <c r="O612"/>
  <c r="U612"/>
  <c r="CH612"/>
  <c r="CI612"/>
  <c r="CJ612"/>
  <c r="CK612"/>
  <c r="CL612"/>
  <c r="O613"/>
  <c r="U613"/>
  <c r="CI613"/>
  <c r="CJ613"/>
  <c r="CK613"/>
  <c r="CL613"/>
  <c r="O614"/>
  <c r="U614"/>
  <c r="CI614"/>
  <c r="CJ614"/>
  <c r="CK614"/>
  <c r="CL614"/>
  <c r="O615"/>
  <c r="U615"/>
  <c r="CI615"/>
  <c r="CJ615"/>
  <c r="CK615"/>
  <c r="CL615"/>
  <c r="O616"/>
  <c r="U616"/>
  <c r="CI616"/>
  <c r="CJ616"/>
  <c r="CK616"/>
  <c r="CL616"/>
  <c r="O617"/>
  <c r="U617"/>
  <c r="CI617"/>
  <c r="CJ617"/>
  <c r="CK617"/>
  <c r="CL617"/>
  <c r="O619"/>
  <c r="U619"/>
  <c r="CI619"/>
  <c r="CJ619"/>
  <c r="CK619"/>
  <c r="CL619"/>
  <c r="O620"/>
  <c r="CI620"/>
  <c r="CJ620"/>
  <c r="CK620"/>
  <c r="CL620"/>
  <c r="O459"/>
  <c r="U459"/>
  <c r="CH459"/>
  <c r="CI459"/>
  <c r="CJ459"/>
  <c r="CK459"/>
  <c r="CL459"/>
  <c r="O622"/>
  <c r="U622"/>
  <c r="CI622"/>
  <c r="CJ622"/>
  <c r="CK622"/>
  <c r="CL622"/>
  <c r="O623"/>
  <c r="U623"/>
  <c r="CI623"/>
  <c r="CJ623"/>
  <c r="CK623"/>
  <c r="CL623"/>
  <c r="O624"/>
  <c r="U624"/>
  <c r="CI624"/>
  <c r="CJ624"/>
  <c r="CK624"/>
  <c r="CL624"/>
  <c r="O625"/>
  <c r="U625"/>
  <c r="CH625"/>
  <c r="CI625"/>
  <c r="CJ625"/>
  <c r="CK625"/>
  <c r="CL625"/>
  <c r="O626"/>
  <c r="U626"/>
  <c r="CI626"/>
  <c r="CJ626"/>
  <c r="CK626"/>
  <c r="CL626"/>
  <c r="O627"/>
  <c r="U627"/>
  <c r="CI627"/>
  <c r="CJ627"/>
  <c r="CK627"/>
  <c r="CL627"/>
  <c r="O629"/>
  <c r="U629"/>
  <c r="CI629"/>
  <c r="CJ629"/>
  <c r="CK629"/>
  <c r="CL629"/>
  <c r="O636"/>
  <c r="U636"/>
  <c r="CI636"/>
  <c r="CJ636"/>
  <c r="CK636"/>
  <c r="CL636"/>
  <c r="O637"/>
  <c r="U637"/>
  <c r="CI637"/>
  <c r="CJ637"/>
  <c r="CK637"/>
  <c r="CL637"/>
  <c r="O638"/>
  <c r="U638"/>
  <c r="CI638"/>
  <c r="CJ638"/>
  <c r="CK638"/>
  <c r="CL638"/>
  <c r="O639"/>
  <c r="U639"/>
  <c r="CH639"/>
  <c r="CI639"/>
  <c r="CJ639"/>
  <c r="CK639"/>
  <c r="CL639"/>
  <c r="O641"/>
  <c r="U641"/>
  <c r="CI641"/>
  <c r="CJ641"/>
  <c r="CK641"/>
  <c r="CL641"/>
  <c r="O643"/>
  <c r="U643"/>
  <c r="CH643"/>
  <c r="CI643"/>
  <c r="CJ643"/>
  <c r="CK643"/>
  <c r="CL643"/>
  <c r="O646"/>
  <c r="U646"/>
  <c r="CI646"/>
  <c r="CJ646"/>
  <c r="CK646"/>
  <c r="CL646"/>
  <c r="O647"/>
  <c r="U647"/>
  <c r="CH647"/>
  <c r="CI647"/>
  <c r="CJ647"/>
  <c r="CK647"/>
  <c r="CL647"/>
  <c r="O648"/>
  <c r="CH648"/>
  <c r="CI648"/>
  <c r="CJ648"/>
  <c r="CK648"/>
  <c r="CL648"/>
  <c r="O649"/>
  <c r="U649"/>
  <c r="CH649"/>
  <c r="CI649"/>
  <c r="CJ649"/>
  <c r="CK649"/>
  <c r="CL649"/>
  <c r="O655"/>
  <c r="U655"/>
  <c r="CI655"/>
  <c r="CJ655"/>
  <c r="CK655"/>
  <c r="CL655"/>
  <c r="O659"/>
  <c r="U659"/>
  <c r="CI659"/>
  <c r="CJ659"/>
  <c r="CK659"/>
  <c r="CL659"/>
  <c r="O660"/>
  <c r="U660"/>
  <c r="CH660"/>
  <c r="CI660"/>
  <c r="CJ660"/>
  <c r="CK660"/>
  <c r="CL660"/>
  <c r="O661"/>
  <c r="U661"/>
  <c r="CH661"/>
  <c r="CI661"/>
  <c r="CJ661"/>
  <c r="CK661"/>
  <c r="CL661"/>
  <c r="O671"/>
  <c r="U671"/>
  <c r="CH671"/>
  <c r="CI671"/>
  <c r="CJ671"/>
  <c r="CK671"/>
  <c r="CL671"/>
  <c r="O665"/>
  <c r="U665"/>
  <c r="CI665"/>
  <c r="CJ665"/>
  <c r="CK665"/>
  <c r="CL665"/>
  <c r="O666"/>
  <c r="U666"/>
  <c r="CI666"/>
  <c r="CJ666"/>
  <c r="CK666"/>
  <c r="CL666"/>
  <c r="O669"/>
  <c r="U669"/>
  <c r="CI669"/>
  <c r="CJ669"/>
  <c r="CK669"/>
  <c r="CL669"/>
  <c r="O674"/>
  <c r="U674"/>
  <c r="CI674"/>
  <c r="CJ674"/>
  <c r="CK674"/>
  <c r="CL674"/>
  <c r="O675"/>
  <c r="U675"/>
  <c r="CI675"/>
  <c r="CJ675"/>
  <c r="CK675"/>
  <c r="CL675"/>
  <c r="O676"/>
  <c r="U676"/>
  <c r="CH676"/>
  <c r="CI676"/>
  <c r="CJ676"/>
  <c r="CK676"/>
  <c r="CL676"/>
  <c r="O677"/>
  <c r="U677"/>
  <c r="CI677"/>
  <c r="CJ677"/>
  <c r="CK677"/>
  <c r="CL677"/>
  <c r="O678"/>
  <c r="U678"/>
  <c r="CI678"/>
  <c r="CJ678"/>
  <c r="CK678"/>
  <c r="CL678"/>
  <c r="O682"/>
  <c r="U682"/>
  <c r="CH682"/>
  <c r="CI682"/>
  <c r="CJ682"/>
  <c r="CK682"/>
  <c r="CL682"/>
  <c r="O668"/>
  <c r="U668"/>
  <c r="CH668"/>
  <c r="CI668"/>
  <c r="CJ668"/>
  <c r="CK668"/>
  <c r="CL668"/>
  <c r="O688"/>
  <c r="U688"/>
  <c r="CH688"/>
  <c r="CI688"/>
  <c r="CJ688"/>
  <c r="CK688"/>
  <c r="CL688"/>
  <c r="O689"/>
  <c r="U689"/>
  <c r="CI689"/>
  <c r="CJ689"/>
  <c r="CK689"/>
  <c r="CL689"/>
  <c r="O683"/>
  <c r="U683"/>
  <c r="CI683"/>
  <c r="CJ683"/>
  <c r="CK683"/>
  <c r="CL683"/>
  <c r="O684"/>
  <c r="U684"/>
  <c r="CH684"/>
  <c r="CI684"/>
  <c r="CJ684"/>
  <c r="CK684"/>
  <c r="CL684"/>
  <c r="O685"/>
  <c r="U685"/>
  <c r="CH685"/>
  <c r="CI685"/>
  <c r="CJ685"/>
  <c r="CK685"/>
  <c r="CL685"/>
  <c r="O673"/>
  <c r="U673"/>
  <c r="CI673"/>
  <c r="CJ673"/>
  <c r="CK673"/>
  <c r="CL673"/>
  <c r="O686"/>
  <c r="U686"/>
  <c r="CI686"/>
  <c r="CJ686"/>
  <c r="CK686"/>
  <c r="CL686"/>
  <c r="O709"/>
  <c r="U709"/>
  <c r="CI709"/>
  <c r="CJ709"/>
  <c r="CK709"/>
  <c r="CL709"/>
  <c r="O710"/>
  <c r="U710"/>
  <c r="CI710"/>
  <c r="CJ710"/>
  <c r="CK710"/>
  <c r="CL710"/>
  <c r="O711"/>
  <c r="U711"/>
  <c r="CH711"/>
  <c r="CI711"/>
  <c r="CJ711"/>
  <c r="CK711"/>
  <c r="CL711"/>
  <c r="O712"/>
  <c r="U712"/>
  <c r="CH712"/>
  <c r="CI712"/>
  <c r="CJ712"/>
  <c r="CK712"/>
  <c r="CL712"/>
  <c r="O713"/>
  <c r="U713"/>
  <c r="CI713"/>
  <c r="CJ713"/>
  <c r="CK713"/>
  <c r="CL713"/>
  <c r="O714"/>
  <c r="U714"/>
  <c r="CI714"/>
  <c r="CJ714"/>
  <c r="CK714"/>
  <c r="CL714"/>
  <c r="O715"/>
  <c r="U715"/>
  <c r="CH715"/>
  <c r="CI715"/>
  <c r="CJ715"/>
  <c r="CK715"/>
  <c r="CL715"/>
  <c r="O716"/>
  <c r="U716"/>
  <c r="CH716"/>
  <c r="CI716"/>
  <c r="CJ716"/>
  <c r="CK716"/>
  <c r="CL716"/>
  <c r="O717"/>
  <c r="U717"/>
  <c r="CI717"/>
  <c r="CJ717"/>
  <c r="CK717"/>
  <c r="CL717"/>
  <c r="O719"/>
  <c r="U719"/>
  <c r="CH719"/>
  <c r="CI719"/>
  <c r="CJ719"/>
  <c r="CK719"/>
  <c r="CL719"/>
  <c r="O720"/>
  <c r="U720"/>
  <c r="CH720"/>
  <c r="CI720"/>
  <c r="CJ720"/>
  <c r="CK720"/>
  <c r="CL720"/>
  <c r="O721"/>
  <c r="U721"/>
  <c r="CI721"/>
  <c r="CJ721"/>
  <c r="CK721"/>
  <c r="CL721"/>
  <c r="O737"/>
  <c r="U737"/>
  <c r="CH737"/>
  <c r="CI737"/>
  <c r="CJ737"/>
  <c r="CK737"/>
  <c r="CL737"/>
  <c r="O740"/>
  <c r="U740"/>
  <c r="CH740"/>
  <c r="CI740"/>
  <c r="CJ740"/>
  <c r="CK740"/>
  <c r="CL740"/>
  <c r="C8" i="51067"/>
  <c r="I742" i="51055"/>
  <c r="C9" i="51067" s="1"/>
  <c r="C12"/>
  <c r="E12" s="1"/>
  <c r="C16"/>
  <c r="E16" s="1"/>
  <c r="C20"/>
  <c r="E20" s="1"/>
  <c r="E8"/>
  <c r="D25"/>
  <c r="C6" i="51059"/>
  <c r="C7"/>
  <c r="C9"/>
  <c r="C10"/>
  <c r="C13"/>
  <c r="C19"/>
  <c r="C20"/>
  <c r="L21"/>
  <c r="D61"/>
  <c r="B98"/>
  <c r="E98"/>
  <c r="F98"/>
  <c r="B99"/>
  <c r="E99"/>
  <c r="F99"/>
  <c r="B100"/>
  <c r="E100"/>
  <c r="F100"/>
  <c r="B101"/>
  <c r="E101"/>
  <c r="F101"/>
  <c r="B102"/>
  <c r="E102"/>
  <c r="F102"/>
  <c r="B103"/>
  <c r="E103"/>
  <c r="O339" i="51055"/>
  <c r="AB199"/>
  <c r="O630"/>
  <c r="O693"/>
  <c r="O707"/>
  <c r="AG110" i="51061"/>
  <c r="AB24" i="51055"/>
  <c r="AH742"/>
  <c r="O628"/>
  <c r="O652"/>
  <c r="O654"/>
  <c r="O468"/>
  <c r="O730"/>
  <c r="AB689"/>
  <c r="CO689"/>
  <c r="N748"/>
  <c r="D100" i="51059" s="1"/>
  <c r="R93" i="51061"/>
  <c r="C17" i="51059"/>
  <c r="AB95" i="51055"/>
  <c r="AB724"/>
  <c r="AG102" i="51061"/>
  <c r="AB173" i="51055"/>
  <c r="CO173"/>
  <c r="CO465"/>
  <c r="CO578"/>
  <c r="AB578"/>
  <c r="CO721"/>
  <c r="AB721"/>
  <c r="CO467"/>
  <c r="AB467"/>
  <c r="CO82"/>
  <c r="AB182"/>
  <c r="CO182"/>
  <c r="CO684"/>
  <c r="AB684"/>
  <c r="AB178"/>
  <c r="CO178"/>
  <c r="CO558"/>
  <c r="AB558"/>
  <c r="CO622"/>
  <c r="AB622"/>
  <c r="CO709"/>
  <c r="AB709"/>
  <c r="CO719"/>
  <c r="AB719"/>
  <c r="CO606"/>
  <c r="AB606"/>
  <c r="CO711"/>
  <c r="AB711"/>
  <c r="AB109"/>
  <c r="CO109"/>
  <c r="AB169"/>
  <c r="CO169"/>
  <c r="AB142"/>
  <c r="CO142"/>
  <c r="AB244"/>
  <c r="CO244"/>
  <c r="AA240"/>
  <c r="CN240"/>
  <c r="AB242"/>
  <c r="CO242"/>
  <c r="AB240"/>
  <c r="CO240"/>
  <c r="AA242"/>
  <c r="CN242"/>
  <c r="AB193"/>
  <c r="CO193"/>
  <c r="CO246"/>
  <c r="AB246"/>
  <c r="AB248"/>
  <c r="CO248"/>
  <c r="AB361"/>
  <c r="CO361"/>
  <c r="AB195"/>
  <c r="CO195"/>
  <c r="AB201"/>
  <c r="CO201"/>
  <c r="AB526"/>
  <c r="CO526"/>
  <c r="AB528"/>
  <c r="CO528"/>
  <c r="AB530"/>
  <c r="CO530"/>
  <c r="AB540"/>
  <c r="CO540"/>
  <c r="AB550"/>
  <c r="CO550"/>
  <c r="AB585"/>
  <c r="CO585"/>
  <c r="AB593"/>
  <c r="CO593"/>
  <c r="AB646"/>
  <c r="CO646"/>
  <c r="AB556"/>
  <c r="CO556"/>
  <c r="AB596"/>
  <c r="CO596"/>
  <c r="AB640"/>
  <c r="CO640"/>
  <c r="AM742"/>
  <c r="F42" i="51059"/>
  <c r="D42"/>
  <c r="I42" s="1"/>
  <c r="E42"/>
  <c r="G42"/>
  <c r="G43"/>
  <c r="F44"/>
  <c r="D44"/>
  <c r="I44" s="1"/>
  <c r="G44"/>
  <c r="J44"/>
  <c r="E44"/>
  <c r="H42"/>
  <c r="D41"/>
  <c r="H41" s="1"/>
  <c r="D40"/>
  <c r="H40" s="1"/>
  <c r="D39"/>
  <c r="H39" s="1"/>
  <c r="D43"/>
  <c r="I43" s="1"/>
  <c r="E43"/>
  <c r="H43"/>
  <c r="F43"/>
  <c r="C29"/>
  <c r="C31"/>
  <c r="C32"/>
  <c r="C33"/>
  <c r="F33"/>
  <c r="I33" s="1"/>
  <c r="C28"/>
  <c r="C35" s="1"/>
  <c r="F28"/>
  <c r="I28" s="1"/>
  <c r="D33"/>
  <c r="G33" s="1"/>
  <c r="D28"/>
  <c r="G28" s="1"/>
  <c r="F7"/>
  <c r="H7" s="1"/>
  <c r="F11"/>
  <c r="H11" s="1"/>
  <c r="F13"/>
  <c r="H13" s="1"/>
  <c r="F8"/>
  <c r="H8" s="1"/>
  <c r="F12"/>
  <c r="H12" s="1"/>
  <c r="F20"/>
  <c r="H20" s="1"/>
  <c r="F10"/>
  <c r="H10" s="1"/>
  <c r="F17"/>
  <c r="H17" s="1"/>
  <c r="AL36" i="51061"/>
  <c r="AL70"/>
  <c r="AJ93"/>
  <c r="AI93" s="1"/>
  <c r="AG95"/>
  <c r="AJ66"/>
  <c r="AL44"/>
  <c r="BT725" i="51055"/>
  <c r="BT723"/>
  <c r="BT719"/>
  <c r="BT715"/>
  <c r="BT711"/>
  <c r="BT724"/>
  <c r="BT720"/>
  <c r="BT712"/>
  <c r="BT721"/>
  <c r="BT713"/>
  <c r="BT709"/>
  <c r="BT668"/>
  <c r="BT259"/>
  <c r="BT143"/>
  <c r="BT58"/>
  <c r="BT670"/>
  <c r="BT212"/>
  <c r="AJ105" i="51061"/>
  <c r="AJ51"/>
  <c r="AL27"/>
  <c r="F17" i="16"/>
  <c r="O663" i="51055"/>
  <c r="N80" i="51061"/>
  <c r="N83"/>
  <c r="N84"/>
  <c r="N87" s="1"/>
  <c r="N102"/>
  <c r="BT55" i="51055"/>
  <c r="BT109"/>
  <c r="BT144"/>
  <c r="BT171"/>
  <c r="BT234"/>
  <c r="BT238"/>
  <c r="BT256"/>
  <c r="BT270"/>
  <c r="BT272"/>
  <c r="BT294"/>
  <c r="BT330"/>
  <c r="BT342"/>
  <c r="BT366"/>
  <c r="BT382"/>
  <c r="BT405"/>
  <c r="BT416"/>
  <c r="BT430"/>
  <c r="BT461"/>
  <c r="BT491"/>
  <c r="BT496"/>
  <c r="BT501"/>
  <c r="BT518"/>
  <c r="BT543"/>
  <c r="BT549"/>
  <c r="BT560"/>
  <c r="BT564"/>
  <c r="BT568"/>
  <c r="BT589"/>
  <c r="BT586"/>
  <c r="BT602"/>
  <c r="BT669"/>
  <c r="BT675"/>
  <c r="BT683"/>
  <c r="BT737"/>
  <c r="BT730"/>
  <c r="BT492"/>
  <c r="BT493"/>
  <c r="BT494"/>
  <c r="BT716"/>
  <c r="BT717"/>
  <c r="BT347"/>
  <c r="BT339"/>
  <c r="BT335"/>
  <c r="BT331"/>
  <c r="BT325"/>
  <c r="BT352"/>
  <c r="BT340"/>
  <c r="BT336"/>
  <c r="BT332"/>
  <c r="BT328"/>
  <c r="BT326"/>
  <c r="BT337"/>
  <c r="BT333"/>
  <c r="BT329"/>
  <c r="BT327"/>
  <c r="BT383"/>
  <c r="BT122"/>
  <c r="BT702"/>
  <c r="BT690"/>
  <c r="BT684"/>
  <c r="BT676"/>
  <c r="BT666"/>
  <c r="BT663"/>
  <c r="BT626"/>
  <c r="BT622"/>
  <c r="BT619"/>
  <c r="BT615"/>
  <c r="BT613"/>
  <c r="BT609"/>
  <c r="BT603"/>
  <c r="BT600"/>
  <c r="BT597"/>
  <c r="BT587"/>
  <c r="BT588"/>
  <c r="BT592"/>
  <c r="BT576"/>
  <c r="BT565"/>
  <c r="BT561"/>
  <c r="BT558"/>
  <c r="BT557"/>
  <c r="BT550"/>
  <c r="BT535"/>
  <c r="BT530"/>
  <c r="BT538"/>
  <c r="BT525"/>
  <c r="BT522"/>
  <c r="BT519"/>
  <c r="BT484"/>
  <c r="BT480"/>
  <c r="BT468"/>
  <c r="BT469"/>
  <c r="BT464"/>
  <c r="BT457"/>
  <c r="BT448"/>
  <c r="BT425"/>
  <c r="BT412"/>
  <c r="BT408"/>
  <c r="BT406"/>
  <c r="BT402"/>
  <c r="BT395"/>
  <c r="BT367"/>
  <c r="BT363"/>
  <c r="BT359"/>
  <c r="BT321"/>
  <c r="BT314"/>
  <c r="BT309"/>
  <c r="BT303"/>
  <c r="BT298"/>
  <c r="BT293"/>
  <c r="BT289"/>
  <c r="BT292"/>
  <c r="BT280"/>
  <c r="BT279"/>
  <c r="BT265"/>
  <c r="BT269"/>
  <c r="BT260"/>
  <c r="BT257"/>
  <c r="BT253"/>
  <c r="BT244"/>
  <c r="BT240"/>
  <c r="BT239"/>
  <c r="BT229"/>
  <c r="BT222"/>
  <c r="BT215"/>
  <c r="BT208"/>
  <c r="BT205"/>
  <c r="BT199"/>
  <c r="BT193"/>
  <c r="BT190"/>
  <c r="BT177"/>
  <c r="BT172"/>
  <c r="BT161"/>
  <c r="BT155"/>
  <c r="BT151"/>
  <c r="BT147"/>
  <c r="BT142"/>
  <c r="BT117"/>
  <c r="BT110"/>
  <c r="BT101"/>
  <c r="BT92"/>
  <c r="BT88"/>
  <c r="BT85"/>
  <c r="BT77"/>
  <c r="BT68"/>
  <c r="BT59"/>
  <c r="BT56"/>
  <c r="BT52"/>
  <c r="BT47"/>
  <c r="BT31"/>
  <c r="BT23"/>
  <c r="BT16"/>
  <c r="BT705"/>
  <c r="BT685"/>
  <c r="BT688"/>
  <c r="BT677"/>
  <c r="BT672"/>
  <c r="BT660"/>
  <c r="BT657"/>
  <c r="BT627"/>
  <c r="BT623"/>
  <c r="BT620"/>
  <c r="BT616"/>
  <c r="BT604"/>
  <c r="BT608"/>
  <c r="BT590"/>
  <c r="BT574"/>
  <c r="BT567"/>
  <c r="BT562"/>
  <c r="BT559"/>
  <c r="BT554"/>
  <c r="BT556"/>
  <c r="BT545"/>
  <c r="BT531"/>
  <c r="BT528"/>
  <c r="BT526"/>
  <c r="BT523"/>
  <c r="BT520"/>
  <c r="BT485"/>
  <c r="BT481"/>
  <c r="BT477"/>
  <c r="BT470"/>
  <c r="BT465"/>
  <c r="BT458"/>
  <c r="BT449"/>
  <c r="BT442"/>
  <c r="BT439"/>
  <c r="BT437"/>
  <c r="BT422"/>
  <c r="BT418"/>
  <c r="BT413"/>
  <c r="BT409"/>
  <c r="BT407"/>
  <c r="BT403"/>
  <c r="BT396"/>
  <c r="BT368"/>
  <c r="BT364"/>
  <c r="BT360"/>
  <c r="BT356"/>
  <c r="BT322"/>
  <c r="BT315"/>
  <c r="BT310"/>
  <c r="BT312"/>
  <c r="BT291"/>
  <c r="BT296"/>
  <c r="BT277"/>
  <c r="BT283"/>
  <c r="BT266"/>
  <c r="BT261"/>
  <c r="BT254"/>
  <c r="BT249"/>
  <c r="BT245"/>
  <c r="BT236"/>
  <c r="BT223"/>
  <c r="BT213"/>
  <c r="BT206"/>
  <c r="BT203"/>
  <c r="BT197"/>
  <c r="BT194"/>
  <c r="BT191"/>
  <c r="BT182"/>
  <c r="BT178"/>
  <c r="BT162"/>
  <c r="BT158"/>
  <c r="BT156"/>
  <c r="BT139"/>
  <c r="BT136"/>
  <c r="BT118"/>
  <c r="BT114"/>
  <c r="BT111"/>
  <c r="BT106"/>
  <c r="BT86"/>
  <c r="BT73"/>
  <c r="BT69"/>
  <c r="BT60"/>
  <c r="BT57"/>
  <c r="BT53"/>
  <c r="BT42"/>
  <c r="BT36"/>
  <c r="BT32"/>
  <c r="BT24"/>
  <c r="BT21"/>
  <c r="BT17"/>
  <c r="BT708"/>
  <c r="BT703"/>
  <c r="BT698"/>
  <c r="BT692"/>
  <c r="BT686"/>
  <c r="BT689"/>
  <c r="BT678"/>
  <c r="BT674"/>
  <c r="BT673"/>
  <c r="BT671"/>
  <c r="BT661"/>
  <c r="BT654"/>
  <c r="BT628"/>
  <c r="BT624"/>
  <c r="BT621"/>
  <c r="BT617"/>
  <c r="BT614"/>
  <c r="BT611"/>
  <c r="BT605"/>
  <c r="BT601"/>
  <c r="BT593"/>
  <c r="BT585"/>
  <c r="BT575"/>
  <c r="BT577"/>
  <c r="BT579"/>
  <c r="BT566"/>
  <c r="BT552"/>
  <c r="BT548"/>
  <c r="BT546"/>
  <c r="BT534"/>
  <c r="BT537"/>
  <c r="BT527"/>
  <c r="BT521"/>
  <c r="BT490"/>
  <c r="BT482"/>
  <c r="BT478"/>
  <c r="BT474"/>
  <c r="BT471"/>
  <c r="BT460"/>
  <c r="BT455"/>
  <c r="BT450"/>
  <c r="BT446"/>
  <c r="BT443"/>
  <c r="BT433"/>
  <c r="BT429"/>
  <c r="BT419"/>
  <c r="BT414"/>
  <c r="BT404"/>
  <c r="BT394"/>
  <c r="BT369"/>
  <c r="BT365"/>
  <c r="BT361"/>
  <c r="BT353"/>
  <c r="BT323"/>
  <c r="BT319"/>
  <c r="BT316"/>
  <c r="BT313"/>
  <c r="BT307"/>
  <c r="BT301"/>
  <c r="BT281"/>
  <c r="BT282"/>
  <c r="BT268"/>
  <c r="BT267"/>
  <c r="BT262"/>
  <c r="BT255"/>
  <c r="BT251"/>
  <c r="BT248"/>
  <c r="BT246"/>
  <c r="BT242"/>
  <c r="BT237"/>
  <c r="BT227"/>
  <c r="BT216"/>
  <c r="BT198"/>
  <c r="BT195"/>
  <c r="BT188"/>
  <c r="BT183"/>
  <c r="BT179"/>
  <c r="BT174"/>
  <c r="BT170"/>
  <c r="BT166"/>
  <c r="BT163"/>
  <c r="BT140"/>
  <c r="BT137"/>
  <c r="BT127"/>
  <c r="BT119"/>
  <c r="BT112"/>
  <c r="BT104"/>
  <c r="BT90"/>
  <c r="BT66"/>
  <c r="BT54"/>
  <c r="BT45"/>
  <c r="BT41"/>
  <c r="BT37"/>
  <c r="BT25"/>
  <c r="BT18"/>
  <c r="BT14"/>
  <c r="BT34"/>
  <c r="BT74"/>
  <c r="BT120"/>
  <c r="BT123"/>
  <c r="BT131"/>
  <c r="BT263"/>
  <c r="BT644"/>
  <c r="BT648"/>
  <c r="D14" i="51059"/>
  <c r="G14" s="1"/>
  <c r="E20"/>
  <c r="F31"/>
  <c r="AJ12" i="51061"/>
  <c r="AL12" s="1"/>
  <c r="D20" i="51059"/>
  <c r="G20" s="1"/>
  <c r="D17"/>
  <c r="F6"/>
  <c r="F5"/>
  <c r="F19"/>
  <c r="H19"/>
  <c r="F9"/>
  <c r="H9"/>
  <c r="G41"/>
  <c r="J41"/>
  <c r="AB465" i="51055"/>
  <c r="C8" i="51059"/>
  <c r="C4"/>
  <c r="C22" s="1"/>
  <c r="G21" i="16"/>
  <c r="G17"/>
  <c r="O586" i="51055"/>
  <c r="BT15"/>
  <c r="BT28"/>
  <c r="BT38"/>
  <c r="BT51"/>
  <c r="BT62"/>
  <c r="BT100"/>
  <c r="BT103"/>
  <c r="BT116"/>
  <c r="BT167"/>
  <c r="BT192"/>
  <c r="BT250"/>
  <c r="BT252"/>
  <c r="BT284"/>
  <c r="BT297"/>
  <c r="BT308"/>
  <c r="BT334"/>
  <c r="BT354"/>
  <c r="BT358"/>
  <c r="BT372"/>
  <c r="BT389"/>
  <c r="BT374"/>
  <c r="BT378"/>
  <c r="BT392"/>
  <c r="BT424"/>
  <c r="BT434"/>
  <c r="BT483"/>
  <c r="BT539"/>
  <c r="BT540"/>
  <c r="BT591"/>
  <c r="BT583"/>
  <c r="BT607"/>
  <c r="BT599"/>
  <c r="BT612"/>
  <c r="BT459"/>
  <c r="BT704"/>
  <c r="BT722"/>
  <c r="BT377"/>
  <c r="BT488"/>
  <c r="BT476"/>
  <c r="BT454"/>
  <c r="BT317"/>
  <c r="BT276"/>
  <c r="BT225"/>
  <c r="BT157"/>
  <c r="BT138"/>
  <c r="BT134"/>
  <c r="BT113"/>
  <c r="BT39"/>
  <c r="BT35"/>
  <c r="BT20"/>
  <c r="BT707"/>
  <c r="BT610"/>
  <c r="BT595"/>
  <c r="BT569"/>
  <c r="BT473"/>
  <c r="BT318"/>
  <c r="BT200"/>
  <c r="BT165"/>
  <c r="BT124"/>
  <c r="BT40"/>
  <c r="BT13"/>
  <c r="BT580"/>
  <c r="BT486"/>
  <c r="BT410"/>
  <c r="BT159"/>
  <c r="BT149"/>
  <c r="BT130"/>
  <c r="BT61"/>
  <c r="BT49"/>
  <c r="BT22"/>
  <c r="BT731"/>
  <c r="BT732"/>
  <c r="BT649"/>
  <c r="BT637"/>
  <c r="BT630"/>
  <c r="BT511"/>
  <c r="BT502"/>
  <c r="BT499"/>
  <c r="BT497"/>
  <c r="BT509"/>
  <c r="BT391"/>
  <c r="BT390"/>
  <c r="BT379"/>
  <c r="BT393"/>
  <c r="BT385"/>
  <c r="BT371"/>
  <c r="BT121"/>
  <c r="BT98"/>
  <c r="BT650"/>
  <c r="BT646"/>
  <c r="BT638"/>
  <c r="BT516"/>
  <c r="BT503"/>
  <c r="BT508"/>
  <c r="BT495"/>
  <c r="BT376"/>
  <c r="BT381"/>
  <c r="BT380"/>
  <c r="BT388"/>
  <c r="BT386"/>
  <c r="BT95"/>
  <c r="BT651"/>
  <c r="BT647"/>
  <c r="BT643"/>
  <c r="BT639"/>
  <c r="BT517"/>
  <c r="BT513"/>
  <c r="BT504"/>
  <c r="BT500"/>
  <c r="BT498"/>
  <c r="BT375"/>
  <c r="BT387"/>
  <c r="BT384"/>
  <c r="BT96"/>
  <c r="BT99"/>
  <c r="BT682"/>
  <c r="BT202"/>
  <c r="BT196"/>
  <c r="BT181"/>
  <c r="BT169"/>
  <c r="BT584"/>
  <c r="BT306"/>
  <c r="BT187"/>
  <c r="BT173"/>
  <c r="BT168"/>
  <c r="BT596"/>
  <c r="BT466"/>
  <c r="BT357"/>
  <c r="BT210"/>
  <c r="BT27"/>
  <c r="D19" i="51059"/>
  <c r="C5"/>
  <c r="N69" i="51061"/>
  <c r="BT150" i="51055"/>
  <c r="BT154"/>
  <c r="BT189"/>
  <c r="BT224"/>
  <c r="BT247"/>
  <c r="BT271"/>
  <c r="BT275"/>
  <c r="BT286"/>
  <c r="BT324"/>
  <c r="BT350"/>
  <c r="BT411"/>
  <c r="BT420"/>
  <c r="BT524"/>
  <c r="BT547"/>
  <c r="BT578"/>
  <c r="BT572"/>
  <c r="BT618"/>
  <c r="BT629"/>
  <c r="BT640"/>
  <c r="BT641"/>
  <c r="BT652"/>
  <c r="BT655"/>
  <c r="BT659"/>
  <c r="BT693"/>
  <c r="BT714"/>
  <c r="BT718"/>
  <c r="AB602"/>
  <c r="D4" i="51059"/>
  <c r="E40"/>
  <c r="N8" i="51061"/>
  <c r="D32" i="51059"/>
  <c r="G32"/>
  <c r="N22" i="51061"/>
  <c r="N28"/>
  <c r="AB118" i="51055"/>
  <c r="CO118"/>
  <c r="CO197"/>
  <c r="AB197"/>
  <c r="N15" i="51061"/>
  <c r="N32"/>
  <c r="N21"/>
  <c r="D8" i="51059"/>
  <c r="N43" i="51061"/>
  <c r="N51"/>
  <c r="N55" s="1"/>
  <c r="D9" i="51059"/>
  <c r="AB47" i="51055"/>
  <c r="CO47"/>
  <c r="N9" i="51061"/>
  <c r="N13"/>
  <c r="N14"/>
  <c r="CO31" i="51055"/>
  <c r="AB31"/>
  <c r="N27" i="51061"/>
  <c r="CO45" i="51055"/>
  <c r="AB45"/>
  <c r="AB49"/>
  <c r="CO49"/>
  <c r="AB270"/>
  <c r="CO270"/>
  <c r="N48" i="51061"/>
  <c r="N47"/>
  <c r="CO346" i="51055"/>
  <c r="AB346"/>
  <c r="CO38"/>
  <c r="AB38"/>
  <c r="AB151"/>
  <c r="CO151"/>
  <c r="AB59"/>
  <c r="CO59"/>
  <c r="CO36"/>
  <c r="AB36"/>
  <c r="AB40"/>
  <c r="CO40"/>
  <c r="N23" i="51061"/>
  <c r="N31"/>
  <c r="N30"/>
  <c r="N24"/>
  <c r="N26"/>
  <c r="D6" i="51059"/>
  <c r="N34" i="51061"/>
  <c r="N42" s="1"/>
  <c r="D7" i="51059"/>
  <c r="N36" i="51061"/>
  <c r="AB293" i="51055"/>
  <c r="CO293"/>
  <c r="CO301"/>
  <c r="AB301"/>
  <c r="CO303"/>
  <c r="CO307"/>
  <c r="AB307"/>
  <c r="AB309"/>
  <c r="CO309"/>
  <c r="CO321"/>
  <c r="AB321"/>
  <c r="AB98"/>
  <c r="CO98"/>
  <c r="CO271"/>
  <c r="AB271"/>
  <c r="CO259"/>
  <c r="AB259"/>
  <c r="CO265"/>
  <c r="AB265"/>
  <c r="N11" i="51061"/>
  <c r="N37"/>
  <c r="CO250" i="51055"/>
  <c r="AB250"/>
  <c r="N10" i="51061"/>
  <c r="D31" i="51059"/>
  <c r="G31" s="1"/>
  <c r="E41"/>
  <c r="AB61" i="51055"/>
  <c r="CO61"/>
  <c r="CO52"/>
  <c r="AB52"/>
  <c r="E39" i="51059"/>
  <c r="D29"/>
  <c r="G29" s="1"/>
  <c r="N12" i="51061"/>
  <c r="D5" i="51059"/>
  <c r="G5" s="1"/>
  <c r="N19" i="51061"/>
  <c r="N20"/>
  <c r="N25" s="1"/>
  <c r="AB120" i="51055"/>
  <c r="CO120"/>
  <c r="N17" i="51061"/>
  <c r="N29"/>
  <c r="N16"/>
  <c r="N35"/>
  <c r="CO237" i="51055"/>
  <c r="AB237"/>
  <c r="AB425"/>
  <c r="CO425"/>
  <c r="CO405"/>
  <c r="AB405"/>
  <c r="AB572"/>
  <c r="CO572"/>
  <c r="CO215"/>
  <c r="AB215"/>
  <c r="CN303"/>
  <c r="AB122"/>
  <c r="CO122"/>
  <c r="CO261"/>
  <c r="AB261"/>
  <c r="AB276"/>
  <c r="CO276"/>
  <c r="AB282"/>
  <c r="CO282"/>
  <c r="N65" i="51061"/>
  <c r="AB350" i="51055"/>
  <c r="CO350"/>
  <c r="N57" i="51061"/>
  <c r="N67"/>
  <c r="D12" i="51059"/>
  <c r="G12" s="1"/>
  <c r="CO617" i="51055"/>
  <c r="AB617"/>
  <c r="CO165"/>
  <c r="AB165"/>
  <c r="CO454"/>
  <c r="AB454"/>
  <c r="CO546"/>
  <c r="AB546"/>
  <c r="D18" i="51059"/>
  <c r="N104" i="51061"/>
  <c r="N105" s="1"/>
  <c r="F37"/>
  <c r="N39"/>
  <c r="N40"/>
  <c r="N44"/>
  <c r="N49" s="1"/>
  <c r="CO159" i="51055"/>
  <c r="AB159"/>
  <c r="AB295"/>
  <c r="CO295"/>
  <c r="CO291"/>
  <c r="AB291"/>
  <c r="AB297"/>
  <c r="CO297"/>
  <c r="CO312"/>
  <c r="AB312"/>
  <c r="CO311"/>
  <c r="AB311"/>
  <c r="CO315"/>
  <c r="AB315"/>
  <c r="D11" i="51059"/>
  <c r="N61" i="51061"/>
  <c r="CO331" i="51055"/>
  <c r="AB331"/>
  <c r="CO188"/>
  <c r="AB188"/>
  <c r="N95" i="51061"/>
  <c r="AB167" i="51055"/>
  <c r="CO167"/>
  <c r="AB212"/>
  <c r="CO212"/>
  <c r="N45" i="51061"/>
  <c r="CO245" i="51055"/>
  <c r="AB245"/>
  <c r="AB272"/>
  <c r="CO272"/>
  <c r="N46" i="51061"/>
  <c r="N63"/>
  <c r="N66" s="1"/>
  <c r="N62"/>
  <c r="CO190" i="51055"/>
  <c r="AB190"/>
  <c r="CO375"/>
  <c r="AB375"/>
  <c r="CO471"/>
  <c r="AB471"/>
  <c r="AB484"/>
  <c r="CO484"/>
  <c r="AB538"/>
  <c r="CO538"/>
  <c r="N94" i="51061"/>
  <c r="N96"/>
  <c r="D16" i="51059"/>
  <c r="AB263" i="51055"/>
  <c r="CO263"/>
  <c r="CO353"/>
  <c r="AB353"/>
  <c r="AB629"/>
  <c r="CO629"/>
  <c r="CO223"/>
  <c r="AB223"/>
  <c r="AB256"/>
  <c r="CO256"/>
  <c r="D10" i="51059"/>
  <c r="G10" s="1"/>
  <c r="N56" i="51061"/>
  <c r="N59"/>
  <c r="CO379" i="51055"/>
  <c r="AB379"/>
  <c r="AB480"/>
  <c r="CO480"/>
  <c r="AB384"/>
  <c r="CO384"/>
  <c r="AB368"/>
  <c r="CO368"/>
  <c r="AB674"/>
  <c r="CO674"/>
  <c r="AB655"/>
  <c r="CO655"/>
  <c r="AA724"/>
  <c r="CN724"/>
  <c r="AL51" i="51061"/>
  <c r="AJ55"/>
  <c r="AI55" s="1"/>
  <c r="CO611" i="51055"/>
  <c r="AB611"/>
  <c r="N79" i="51061"/>
  <c r="D13" i="51059"/>
  <c r="CO520" i="51055"/>
  <c r="AB520"/>
  <c r="CO576"/>
  <c r="AB576"/>
  <c r="CO614"/>
  <c r="AB614"/>
  <c r="CO627"/>
  <c r="AB627"/>
  <c r="CO254"/>
  <c r="CO524"/>
  <c r="AB524"/>
  <c r="F36" i="51061"/>
  <c r="AB657" i="51055"/>
  <c r="CO657"/>
  <c r="CO450"/>
  <c r="AB450"/>
  <c r="CO715"/>
  <c r="AB715"/>
  <c r="CO713"/>
  <c r="AB713"/>
  <c r="N73" i="51061"/>
  <c r="CO171" i="51055"/>
  <c r="AB171"/>
  <c r="AB403"/>
  <c r="CO403"/>
  <c r="CO522"/>
  <c r="AB522"/>
  <c r="CO443"/>
  <c r="AB443"/>
  <c r="CO497"/>
  <c r="AB497"/>
  <c r="CO565"/>
  <c r="AB565"/>
  <c r="AB434"/>
  <c r="CO434"/>
  <c r="AB707"/>
  <c r="CO707"/>
  <c r="I31" i="51059"/>
  <c r="AB644" i="51055"/>
  <c r="CO644"/>
  <c r="E46" i="51059"/>
  <c r="D22"/>
  <c r="D35"/>
  <c r="N18" i="51061"/>
  <c r="AE110"/>
  <c r="AI110"/>
  <c r="AM110"/>
  <c r="F80"/>
  <c r="R36"/>
  <c r="R72"/>
  <c r="R68"/>
  <c r="R19"/>
  <c r="R25" s="1"/>
  <c r="R96"/>
  <c r="R99" s="1"/>
  <c r="R62"/>
  <c r="R66"/>
  <c r="R39"/>
  <c r="R42"/>
  <c r="R67"/>
  <c r="R73"/>
  <c r="R79"/>
  <c r="C15" i="101"/>
  <c r="I16" s="1"/>
  <c r="F16"/>
  <c r="F18" s="1"/>
  <c r="L16"/>
  <c r="L18"/>
  <c r="C20"/>
  <c r="AL58" i="51061"/>
  <c r="D94" i="51059"/>
  <c r="D117" s="1"/>
  <c r="BT421" i="51055"/>
  <c r="BT397"/>
  <c r="BT415"/>
  <c r="BT573"/>
  <c r="BT264"/>
  <c r="BT287"/>
  <c r="BT258"/>
  <c r="BT19"/>
  <c r="BT681"/>
  <c r="BT164"/>
  <c r="BT153"/>
  <c r="J43" i="51059"/>
  <c r="G13" i="16"/>
  <c r="F21"/>
  <c r="AJ49" i="51061"/>
  <c r="AI49" s="1"/>
  <c r="D46" i="51059"/>
  <c r="E21" i="16"/>
  <c r="G19"/>
  <c r="H18"/>
  <c r="H17"/>
  <c r="F88" i="51059"/>
  <c r="BT349" i="51055"/>
  <c r="BT532"/>
  <c r="BT553"/>
  <c r="BT290"/>
  <c r="BT80"/>
  <c r="BT489"/>
  <c r="AD566"/>
  <c r="AB153"/>
  <c r="AD684"/>
  <c r="AD625"/>
  <c r="AD599"/>
  <c r="BT728"/>
  <c r="DO742"/>
  <c r="AD443"/>
  <c r="AD378"/>
  <c r="AD434"/>
  <c r="AD424"/>
  <c r="AD353"/>
  <c r="AD321"/>
  <c r="EJ742"/>
  <c r="AD266"/>
  <c r="AD120"/>
  <c r="O258"/>
  <c r="O349"/>
  <c r="O489"/>
  <c r="O553"/>
  <c r="AD489"/>
  <c r="AD553"/>
  <c r="O287"/>
  <c r="O415"/>
  <c r="O97"/>
  <c r="O20" i="51061"/>
  <c r="O21"/>
  <c r="O23"/>
  <c r="O47"/>
  <c r="O50"/>
  <c r="E9" i="51059"/>
  <c r="O56" i="51061"/>
  <c r="E10" i="51059"/>
  <c r="O68" i="51061"/>
  <c r="O72"/>
  <c r="O82"/>
  <c r="O87" s="1"/>
  <c r="O88"/>
  <c r="E15" i="51059"/>
  <c r="O90" i="51061"/>
  <c r="O97"/>
  <c r="O98"/>
  <c r="E17" i="51059"/>
  <c r="O100" i="51061"/>
  <c r="O104"/>
  <c r="O105"/>
  <c r="E18" i="51059"/>
  <c r="G18"/>
  <c r="O106" i="51061"/>
  <c r="E19" i="51059"/>
  <c r="G19" s="1"/>
  <c r="O52" i="51061"/>
  <c r="O58"/>
  <c r="O59"/>
  <c r="O62"/>
  <c r="O65"/>
  <c r="E12" i="51059"/>
  <c r="O67" i="51061"/>
  <c r="O75" s="1"/>
  <c r="O69"/>
  <c r="E33" i="51059"/>
  <c r="H33" s="1"/>
  <c r="O74" i="51061"/>
  <c r="O108"/>
  <c r="O24"/>
  <c r="O51"/>
  <c r="O73"/>
  <c r="O85"/>
  <c r="O89"/>
  <c r="O92"/>
  <c r="O94"/>
  <c r="E16" i="51059"/>
  <c r="O16" i="51061"/>
  <c r="O22"/>
  <c r="O53"/>
  <c r="O55" s="1"/>
  <c r="O54"/>
  <c r="O57"/>
  <c r="O60" s="1"/>
  <c r="O63"/>
  <c r="O70"/>
  <c r="O71"/>
  <c r="O83"/>
  <c r="O86"/>
  <c r="O91"/>
  <c r="O95"/>
  <c r="O96"/>
  <c r="O99" s="1"/>
  <c r="O101"/>
  <c r="O102"/>
  <c r="O103" s="1"/>
  <c r="O107"/>
  <c r="O17"/>
  <c r="E4" i="51059"/>
  <c r="E29"/>
  <c r="H29" s="1"/>
  <c r="O8" i="51061"/>
  <c r="F39" i="51059"/>
  <c r="F40"/>
  <c r="CO27" i="51055"/>
  <c r="AB27"/>
  <c r="F29" i="51059"/>
  <c r="F4"/>
  <c r="G39"/>
  <c r="G46" s="1"/>
  <c r="E31"/>
  <c r="H31" s="1"/>
  <c r="O12" i="51061"/>
  <c r="O9"/>
  <c r="O10"/>
  <c r="CO22" i="51055"/>
  <c r="AB22"/>
  <c r="CO51"/>
  <c r="AB51"/>
  <c r="CO56"/>
  <c r="AB56"/>
  <c r="CO66"/>
  <c r="AB66"/>
  <c r="AB72"/>
  <c r="CO72"/>
  <c r="CO85"/>
  <c r="AB85"/>
  <c r="AB101"/>
  <c r="CO101"/>
  <c r="CO103"/>
  <c r="AB103"/>
  <c r="O28" i="51061"/>
  <c r="O31"/>
  <c r="O32"/>
  <c r="O44"/>
  <c r="O45"/>
  <c r="O49" s="1"/>
  <c r="CO130" i="51055"/>
  <c r="AB130"/>
  <c r="AD139"/>
  <c r="AB163"/>
  <c r="CO163"/>
  <c r="CO206"/>
  <c r="AB206"/>
  <c r="AB213"/>
  <c r="CO213"/>
  <c r="AA221"/>
  <c r="CN221"/>
  <c r="AA225"/>
  <c r="CN225"/>
  <c r="AB227"/>
  <c r="CO227"/>
  <c r="AA239"/>
  <c r="CN239"/>
  <c r="AA245"/>
  <c r="CN245"/>
  <c r="O36" i="51061"/>
  <c r="O37"/>
  <c r="O38"/>
  <c r="EQ246" i="51055"/>
  <c r="EQ250"/>
  <c r="EQ120"/>
  <c r="CO124"/>
  <c r="AA235"/>
  <c r="CN235"/>
  <c r="AA237"/>
  <c r="CN237"/>
  <c r="AB268"/>
  <c r="CO268"/>
  <c r="AB284"/>
  <c r="CO284"/>
  <c r="O48" i="51061"/>
  <c r="EQ312" i="51055"/>
  <c r="AD221"/>
  <c r="E11" i="51059"/>
  <c r="G11" s="1"/>
  <c r="O61" i="51061"/>
  <c r="F41" i="51059"/>
  <c r="I41"/>
  <c r="E32"/>
  <c r="H32" s="1"/>
  <c r="E14"/>
  <c r="O84" i="51061"/>
  <c r="F32" i="51059"/>
  <c r="I32" s="1"/>
  <c r="F14"/>
  <c r="H14" s="1"/>
  <c r="G40"/>
  <c r="O19" i="51061"/>
  <c r="O25" s="1"/>
  <c r="E5" i="51059"/>
  <c r="CO97" i="51055"/>
  <c r="AB97"/>
  <c r="AA421"/>
  <c r="CN421"/>
  <c r="O11" i="51061"/>
  <c r="O13"/>
  <c r="AB17" i="51055"/>
  <c r="CO17"/>
  <c r="CO20"/>
  <c r="AB20"/>
  <c r="AD421"/>
  <c r="O64" i="51061"/>
  <c r="AD415" i="51055"/>
  <c r="F65" i="51061"/>
  <c r="O15"/>
  <c r="CO532" i="51055"/>
  <c r="AB532"/>
  <c r="DX742"/>
  <c r="AA97"/>
  <c r="CN97"/>
  <c r="CO421"/>
  <c r="AB421"/>
  <c r="E28" i="51059"/>
  <c r="E35" s="1"/>
  <c r="O14" i="51061"/>
  <c r="CN82" i="51055"/>
  <c r="CN89"/>
  <c r="AA89"/>
  <c r="AA91"/>
  <c r="CN91"/>
  <c r="CO13"/>
  <c r="AB13"/>
  <c r="AA13"/>
  <c r="CN13"/>
  <c r="AB15"/>
  <c r="CO15"/>
  <c r="AB54"/>
  <c r="CO54"/>
  <c r="AB68"/>
  <c r="CO68"/>
  <c r="CO73"/>
  <c r="AB73"/>
  <c r="CO86"/>
  <c r="AB86"/>
  <c r="E6" i="51059"/>
  <c r="G6" s="1"/>
  <c r="O26" i="51061"/>
  <c r="O27"/>
  <c r="O29"/>
  <c r="O40"/>
  <c r="O43"/>
  <c r="E8" i="51059"/>
  <c r="G8" s="1"/>
  <c r="AB138" i="51055"/>
  <c r="CO138"/>
  <c r="CO140"/>
  <c r="AB140"/>
  <c r="CO161"/>
  <c r="AB161"/>
  <c r="CO202"/>
  <c r="AB202"/>
  <c r="AB211"/>
  <c r="CO211"/>
  <c r="CO217"/>
  <c r="AB217"/>
  <c r="AB225"/>
  <c r="CO225"/>
  <c r="CN227"/>
  <c r="AA227"/>
  <c r="AB239"/>
  <c r="CO239"/>
  <c r="EQ180"/>
  <c r="O30" i="51061"/>
  <c r="E7" i="51059"/>
  <c r="G7" s="1"/>
  <c r="O34" i="51061"/>
  <c r="O35"/>
  <c r="O39"/>
  <c r="EQ237" i="51055"/>
  <c r="O41" i="51061"/>
  <c r="O46"/>
  <c r="CO116" i="51055"/>
  <c r="AB116"/>
  <c r="CO150"/>
  <c r="AB150"/>
  <c r="AB280"/>
  <c r="CO280"/>
  <c r="EQ293"/>
  <c r="AA423"/>
  <c r="CN423"/>
  <c r="CN425"/>
  <c r="AA425"/>
  <c r="AA431"/>
  <c r="CN431"/>
  <c r="AB289"/>
  <c r="CO289"/>
  <c r="CO298"/>
  <c r="O77" i="51061"/>
  <c r="AD316" i="51055"/>
  <c r="EQ321"/>
  <c r="AB327"/>
  <c r="CO327"/>
  <c r="CO334"/>
  <c r="AB334"/>
  <c r="AB338"/>
  <c r="CO338"/>
  <c r="EQ353"/>
  <c r="AA419"/>
  <c r="CN419"/>
  <c r="AD429"/>
  <c r="CO429"/>
  <c r="AB429"/>
  <c r="CN429"/>
  <c r="AA429"/>
  <c r="AD433"/>
  <c r="EQ434"/>
  <c r="O80" i="51061"/>
  <c r="AD328" i="51055"/>
  <c r="AB333"/>
  <c r="CO333"/>
  <c r="CO341"/>
  <c r="AB341"/>
  <c r="CO357"/>
  <c r="AB357"/>
  <c r="CO413"/>
  <c r="AB413"/>
  <c r="AD442"/>
  <c r="AB442"/>
  <c r="CO442"/>
  <c r="EQ443"/>
  <c r="CO456"/>
  <c r="AB456"/>
  <c r="CO461"/>
  <c r="AB482"/>
  <c r="CO482"/>
  <c r="CO492"/>
  <c r="AB492"/>
  <c r="AB554"/>
  <c r="CO554"/>
  <c r="CO570"/>
  <c r="AB570"/>
  <c r="CO589"/>
  <c r="AB589"/>
  <c r="CO591"/>
  <c r="AB591"/>
  <c r="AD655"/>
  <c r="F95" i="51061"/>
  <c r="AD688" i="51055"/>
  <c r="EQ684"/>
  <c r="AB693"/>
  <c r="CO693"/>
  <c r="AD718"/>
  <c r="CO732"/>
  <c r="CO561"/>
  <c r="AB561"/>
  <c r="AD597"/>
  <c r="CO598"/>
  <c r="AB598"/>
  <c r="AD646"/>
  <c r="AA730"/>
  <c r="CN730"/>
  <c r="CN298"/>
  <c r="O76" i="51061"/>
  <c r="O81" s="1"/>
  <c r="E13" i="51059"/>
  <c r="AB515" i="51055"/>
  <c r="CO515"/>
  <c r="AD342"/>
  <c r="AB476"/>
  <c r="CO476"/>
  <c r="AB499"/>
  <c r="CO499"/>
  <c r="CO503"/>
  <c r="AB503"/>
  <c r="CO527"/>
  <c r="AB527"/>
  <c r="AD364"/>
  <c r="AD366"/>
  <c r="F57" i="51061"/>
  <c r="AB366" i="51055"/>
  <c r="CO366"/>
  <c r="CO377"/>
  <c r="AB377"/>
  <c r="CO390"/>
  <c r="AB390"/>
  <c r="AB394"/>
  <c r="CO394"/>
  <c r="AB396"/>
  <c r="CO396"/>
  <c r="CO469"/>
  <c r="AB469"/>
  <c r="AD474"/>
  <c r="AB474"/>
  <c r="CO474"/>
  <c r="AB513"/>
  <c r="CO513"/>
  <c r="CO581"/>
  <c r="AB581"/>
  <c r="CO624"/>
  <c r="AB624"/>
  <c r="CO636"/>
  <c r="AB636"/>
  <c r="CO671"/>
  <c r="AB671"/>
  <c r="AB666"/>
  <c r="CO666"/>
  <c r="AD724"/>
  <c r="AB604"/>
  <c r="CO604"/>
  <c r="AD616"/>
  <c r="AD629"/>
  <c r="CO648"/>
  <c r="AB648"/>
  <c r="AB650"/>
  <c r="CO650"/>
  <c r="AB659"/>
  <c r="CO659"/>
  <c r="AD661"/>
  <c r="AB668"/>
  <c r="CO668"/>
  <c r="O78" i="51061"/>
  <c r="AD539" i="51055"/>
  <c r="F79" i="51061" s="1"/>
  <c r="AB539" i="51055"/>
  <c r="CO539"/>
  <c r="CO319"/>
  <c r="AB319"/>
  <c r="CO325"/>
  <c r="AB325"/>
  <c r="AB336"/>
  <c r="CO336"/>
  <c r="AB343"/>
  <c r="CO343"/>
  <c r="CO352"/>
  <c r="AB352"/>
  <c r="AB416"/>
  <c r="CO416"/>
  <c r="CN416"/>
  <c r="AA416"/>
  <c r="AB419"/>
  <c r="CO419"/>
  <c r="CO501"/>
  <c r="AB501"/>
  <c r="AD509"/>
  <c r="AB534"/>
  <c r="CO534"/>
  <c r="O79" i="51061"/>
  <c r="CO317" i="51055"/>
  <c r="AB317"/>
  <c r="CO329"/>
  <c r="AB329"/>
  <c r="CO359"/>
  <c r="AB359"/>
  <c r="CO363"/>
  <c r="AB363"/>
  <c r="CO371"/>
  <c r="AB371"/>
  <c r="AB381"/>
  <c r="CO381"/>
  <c r="CO388"/>
  <c r="AB388"/>
  <c r="CO392"/>
  <c r="AB392"/>
  <c r="AB407"/>
  <c r="CO407"/>
  <c r="CO410"/>
  <c r="AB410"/>
  <c r="CN413"/>
  <c r="AA413"/>
  <c r="CO438"/>
  <c r="AB438"/>
  <c r="AB445"/>
  <c r="CO445"/>
  <c r="AB447"/>
  <c r="CO447"/>
  <c r="CO449"/>
  <c r="AB449"/>
  <c r="CO458"/>
  <c r="AB458"/>
  <c r="CN461"/>
  <c r="AB478"/>
  <c r="CO478"/>
  <c r="CO491"/>
  <c r="AB491"/>
  <c r="CO494"/>
  <c r="AB494"/>
  <c r="AD508"/>
  <c r="AB511"/>
  <c r="CO511"/>
  <c r="AB517"/>
  <c r="CO517"/>
  <c r="CO552"/>
  <c r="AB552"/>
  <c r="AB574"/>
  <c r="CO574"/>
  <c r="CO583"/>
  <c r="AB583"/>
  <c r="AB587"/>
  <c r="CO587"/>
  <c r="AD588"/>
  <c r="AB600"/>
  <c r="CO600"/>
  <c r="AB613"/>
  <c r="CO613"/>
  <c r="CO638"/>
  <c r="AB638"/>
  <c r="AD676"/>
  <c r="AB676"/>
  <c r="CO676"/>
  <c r="AB678"/>
  <c r="CO678"/>
  <c r="AB686"/>
  <c r="CO686"/>
  <c r="CO705"/>
  <c r="AB705"/>
  <c r="AD704"/>
  <c r="AB717"/>
  <c r="CO717"/>
  <c r="CN732"/>
  <c r="AB567"/>
  <c r="CO567"/>
  <c r="CO608"/>
  <c r="AB608"/>
  <c r="CO615"/>
  <c r="AB615"/>
  <c r="CO621"/>
  <c r="AB621"/>
  <c r="AD649"/>
  <c r="AB652"/>
  <c r="CO652"/>
  <c r="CO660"/>
  <c r="AB660"/>
  <c r="CO662"/>
  <c r="AB662"/>
  <c r="AB673"/>
  <c r="CO673"/>
  <c r="AB670"/>
  <c r="CO670"/>
  <c r="CO730"/>
  <c r="AB730"/>
  <c r="AE107" i="51061"/>
  <c r="AI107"/>
  <c r="AM107"/>
  <c r="AE86"/>
  <c r="AM86"/>
  <c r="AE22"/>
  <c r="AI22"/>
  <c r="AM22"/>
  <c r="AM59"/>
  <c r="AE59"/>
  <c r="AI59"/>
  <c r="AM58"/>
  <c r="AE58"/>
  <c r="AI58"/>
  <c r="AM97"/>
  <c r="AI97"/>
  <c r="AE97"/>
  <c r="O93"/>
  <c r="AM63"/>
  <c r="AI63"/>
  <c r="AE63"/>
  <c r="AI57"/>
  <c r="AM57"/>
  <c r="AE57"/>
  <c r="AM92"/>
  <c r="AE92"/>
  <c r="AI85"/>
  <c r="AM85"/>
  <c r="AE85"/>
  <c r="AM51"/>
  <c r="AE51"/>
  <c r="AI51"/>
  <c r="AE24"/>
  <c r="AI24"/>
  <c r="AM24"/>
  <c r="AE88"/>
  <c r="AM88"/>
  <c r="AI88"/>
  <c r="O109"/>
  <c r="EQ730" i="51055"/>
  <c r="EQ670"/>
  <c r="EQ600"/>
  <c r="EQ407"/>
  <c r="EQ388"/>
  <c r="EQ359"/>
  <c r="EQ501"/>
  <c r="EQ416"/>
  <c r="EQ325"/>
  <c r="EQ629"/>
  <c r="EQ396"/>
  <c r="EQ499"/>
  <c r="EQ476"/>
  <c r="AE730"/>
  <c r="EQ598"/>
  <c r="EQ655"/>
  <c r="EQ442"/>
  <c r="EQ327"/>
  <c r="EQ298"/>
  <c r="AE431"/>
  <c r="EQ225"/>
  <c r="EQ140"/>
  <c r="EQ13"/>
  <c r="EQ17"/>
  <c r="EQ97"/>
  <c r="EQ206"/>
  <c r="EQ85"/>
  <c r="EQ56"/>
  <c r="J39" i="51059"/>
  <c r="I29"/>
  <c r="EQ27" i="51055"/>
  <c r="I39" i="51059"/>
  <c r="F46"/>
  <c r="G4"/>
  <c r="AN742" i="51055"/>
  <c r="F94" i="51061"/>
  <c r="EQ662" i="51055"/>
  <c r="EQ458"/>
  <c r="EQ449"/>
  <c r="EQ392"/>
  <c r="EQ363"/>
  <c r="EQ317"/>
  <c r="EQ343"/>
  <c r="EQ319"/>
  <c r="EQ539"/>
  <c r="EQ659"/>
  <c r="AM108" i="51061"/>
  <c r="AE108"/>
  <c r="P109"/>
  <c r="AI109" s="1"/>
  <c r="EQ390" i="51055"/>
  <c r="EQ377"/>
  <c r="EQ527"/>
  <c r="EQ503"/>
  <c r="EQ693"/>
  <c r="EQ554"/>
  <c r="EQ482"/>
  <c r="EQ456"/>
  <c r="EQ357"/>
  <c r="EQ116"/>
  <c r="EQ239"/>
  <c r="EQ161"/>
  <c r="EQ138"/>
  <c r="EQ54"/>
  <c r="EQ15"/>
  <c r="CO258"/>
  <c r="AB258"/>
  <c r="AB287"/>
  <c r="AB489"/>
  <c r="CO489"/>
  <c r="EQ20"/>
  <c r="EQ221"/>
  <c r="EQ124"/>
  <c r="EQ163"/>
  <c r="CO287"/>
  <c r="AE97"/>
  <c r="AE50" i="51061"/>
  <c r="AI50"/>
  <c r="AM50"/>
  <c r="P105"/>
  <c r="AI105" s="1"/>
  <c r="AI104"/>
  <c r="AM104"/>
  <c r="AM105" s="1"/>
  <c r="AN105" s="1"/>
  <c r="AE104"/>
  <c r="AM52"/>
  <c r="AE52"/>
  <c r="AI52"/>
  <c r="AE71"/>
  <c r="AM71"/>
  <c r="AI71"/>
  <c r="AE106"/>
  <c r="AI106"/>
  <c r="AM106"/>
  <c r="AM109" s="1"/>
  <c r="AM68"/>
  <c r="AE68"/>
  <c r="AI68"/>
  <c r="AI90"/>
  <c r="AM90"/>
  <c r="AE90"/>
  <c r="AM96"/>
  <c r="AE96"/>
  <c r="AI96"/>
  <c r="AM69"/>
  <c r="AE69"/>
  <c r="AI69"/>
  <c r="AI98"/>
  <c r="AM98"/>
  <c r="AE98"/>
  <c r="AE62"/>
  <c r="AM62"/>
  <c r="AI70"/>
  <c r="AM70"/>
  <c r="AE70"/>
  <c r="AM21"/>
  <c r="AE21"/>
  <c r="AI74"/>
  <c r="AM74"/>
  <c r="AE74"/>
  <c r="AM16"/>
  <c r="AE16"/>
  <c r="AI91"/>
  <c r="AM91"/>
  <c r="AE91"/>
  <c r="AE82"/>
  <c r="AI82"/>
  <c r="AM82"/>
  <c r="AE235" i="51055"/>
  <c r="E94" i="51059"/>
  <c r="E117" s="1"/>
  <c r="AI65" i="51061"/>
  <c r="AM65"/>
  <c r="AE65"/>
  <c r="AE23"/>
  <c r="AI23"/>
  <c r="AM23"/>
  <c r="AE225" i="51055"/>
  <c r="AM73" i="51061"/>
  <c r="AE73"/>
  <c r="P75"/>
  <c r="AE75" s="1"/>
  <c r="AE245" i="51055"/>
  <c r="EQ474"/>
  <c r="EQ676"/>
  <c r="AM83" i="51061"/>
  <c r="AM87" s="1"/>
  <c r="AE83"/>
  <c r="P55"/>
  <c r="AM53"/>
  <c r="AM55" s="1"/>
  <c r="AN55" s="1"/>
  <c r="AE53"/>
  <c r="AI53"/>
  <c r="AM20"/>
  <c r="AE20"/>
  <c r="AI20"/>
  <c r="AM94"/>
  <c r="AE94"/>
  <c r="AM89"/>
  <c r="AE89"/>
  <c r="AM67"/>
  <c r="AE67"/>
  <c r="AM100"/>
  <c r="AI100"/>
  <c r="AE100"/>
  <c r="P103"/>
  <c r="AM72"/>
  <c r="AE72"/>
  <c r="AE101"/>
  <c r="AM101"/>
  <c r="AI101"/>
  <c r="AM95"/>
  <c r="AM99"/>
  <c r="AE95"/>
  <c r="P60"/>
  <c r="AI56"/>
  <c r="AM56"/>
  <c r="AE56"/>
  <c r="AE47"/>
  <c r="AM47"/>
  <c r="AI102"/>
  <c r="AM102"/>
  <c r="AE102"/>
  <c r="AI54"/>
  <c r="AM54"/>
  <c r="AE54"/>
  <c r="AE105"/>
  <c r="AM75"/>
  <c r="P99"/>
  <c r="P93"/>
  <c r="AM79"/>
  <c r="AM81" s="1"/>
  <c r="AE79"/>
  <c r="AI79"/>
  <c r="AM77"/>
  <c r="AI77"/>
  <c r="AE77"/>
  <c r="AM46"/>
  <c r="AE46"/>
  <c r="AI46"/>
  <c r="AM41"/>
  <c r="AE41"/>
  <c r="AI41"/>
  <c r="AE29"/>
  <c r="AM29"/>
  <c r="AI29"/>
  <c r="AM31"/>
  <c r="AE31"/>
  <c r="AI31"/>
  <c r="P81"/>
  <c r="AM76"/>
  <c r="AE76"/>
  <c r="AE14"/>
  <c r="AM14"/>
  <c r="AM78"/>
  <c r="AE78"/>
  <c r="AI78"/>
  <c r="AI11"/>
  <c r="AM11"/>
  <c r="AE11"/>
  <c r="AE9"/>
  <c r="AI9"/>
  <c r="AM9"/>
  <c r="AI80"/>
  <c r="AE80"/>
  <c r="AM80"/>
  <c r="AM35"/>
  <c r="AE35"/>
  <c r="AM30"/>
  <c r="AE30"/>
  <c r="AE40"/>
  <c r="AM40"/>
  <c r="AM15"/>
  <c r="AE15"/>
  <c r="AI15"/>
  <c r="AM84"/>
  <c r="AE84"/>
  <c r="AM12"/>
  <c r="AE12"/>
  <c r="AE17"/>
  <c r="AI17"/>
  <c r="AM17"/>
  <c r="AI48"/>
  <c r="AE48"/>
  <c r="AM48"/>
  <c r="AM32"/>
  <c r="AE32"/>
  <c r="C94" i="51059"/>
  <c r="C117" s="1"/>
  <c r="AI39" i="51061"/>
  <c r="AM39"/>
  <c r="AE39"/>
  <c r="AM34"/>
  <c r="AM42" s="1"/>
  <c r="P42"/>
  <c r="AE34"/>
  <c r="P49"/>
  <c r="AM43"/>
  <c r="AM49" s="1"/>
  <c r="AN49" s="1"/>
  <c r="AE43"/>
  <c r="AI43"/>
  <c r="AE38"/>
  <c r="AI38"/>
  <c r="AM38"/>
  <c r="AM36"/>
  <c r="AE36"/>
  <c r="AI36"/>
  <c r="AI13"/>
  <c r="AM13"/>
  <c r="AE13"/>
  <c r="AM44"/>
  <c r="AE44"/>
  <c r="AI44"/>
  <c r="AM8"/>
  <c r="AE8"/>
  <c r="P18"/>
  <c r="AI8"/>
  <c r="AE27"/>
  <c r="AI27"/>
  <c r="AM27"/>
  <c r="P33"/>
  <c r="AM26"/>
  <c r="AM33" s="1"/>
  <c r="AE26"/>
  <c r="AI64"/>
  <c r="AE64"/>
  <c r="AM64"/>
  <c r="P25"/>
  <c r="AM19"/>
  <c r="AM25" s="1"/>
  <c r="AE19"/>
  <c r="P66"/>
  <c r="AI66" s="1"/>
  <c r="AE61"/>
  <c r="AI61"/>
  <c r="AM61"/>
  <c r="AM66"/>
  <c r="AN66" s="1"/>
  <c r="AM37"/>
  <c r="AE37"/>
  <c r="AI37"/>
  <c r="AM10"/>
  <c r="AM18" s="1"/>
  <c r="AE10"/>
  <c r="AI10"/>
  <c r="AM45"/>
  <c r="AE45"/>
  <c r="AM28"/>
  <c r="AE28"/>
  <c r="AI28"/>
  <c r="P87"/>
  <c r="AM103"/>
  <c r="AE60"/>
  <c r="AE81"/>
  <c r="AE66"/>
  <c r="AE18"/>
  <c r="AE42"/>
  <c r="P112"/>
  <c r="P114"/>
  <c r="F94" i="51059"/>
  <c r="F117"/>
  <c r="Y221" i="51055" l="1"/>
  <c r="AE221" s="1"/>
  <c r="AC221"/>
  <c r="AF91"/>
  <c r="EQ91"/>
  <c r="AN103" i="51061"/>
  <c r="AL60"/>
  <c r="AL42"/>
  <c r="AL25"/>
  <c r="AL87"/>
  <c r="AL75"/>
  <c r="N109"/>
  <c r="Y109"/>
  <c r="Y103"/>
  <c r="Y81"/>
  <c r="Z81"/>
  <c r="Z42"/>
  <c r="AA99"/>
  <c r="AA87"/>
  <c r="AA66"/>
  <c r="AA42"/>
  <c r="AB60"/>
  <c r="AB49"/>
  <c r="AB25"/>
  <c r="N33"/>
  <c r="H5" i="51059"/>
  <c r="AL99" i="51061"/>
  <c r="Y93"/>
  <c r="Y42"/>
  <c r="Z109"/>
  <c r="Z103"/>
  <c r="Z93"/>
  <c r="AI45"/>
  <c r="AI19"/>
  <c r="AI26"/>
  <c r="AI34"/>
  <c r="AI32"/>
  <c r="AI12"/>
  <c r="AI84"/>
  <c r="AI40"/>
  <c r="AI30"/>
  <c r="AI35"/>
  <c r="AI14"/>
  <c r="AI76"/>
  <c r="AI47"/>
  <c r="AM60"/>
  <c r="AI95"/>
  <c r="AI72"/>
  <c r="AI67"/>
  <c r="AI89"/>
  <c r="AM93"/>
  <c r="AN93" s="1"/>
  <c r="AI94"/>
  <c r="AI83"/>
  <c r="AI73"/>
  <c r="AI16"/>
  <c r="AI21"/>
  <c r="AI62"/>
  <c r="AN109"/>
  <c r="H4" i="51059"/>
  <c r="AI108" i="51061"/>
  <c r="F35" i="51059"/>
  <c r="H28"/>
  <c r="AI92" i="51061"/>
  <c r="AI86"/>
  <c r="G13" i="51059"/>
  <c r="O42" i="51061"/>
  <c r="O33"/>
  <c r="J40" i="51059"/>
  <c r="O66" i="51061"/>
  <c r="O18"/>
  <c r="F22" i="51059"/>
  <c r="I40"/>
  <c r="E22"/>
  <c r="G17"/>
  <c r="AJ87" i="51061"/>
  <c r="AI87" s="1"/>
  <c r="C22" i="101"/>
  <c r="AJ60" i="51061"/>
  <c r="AI60" s="1"/>
  <c r="J16" i="101"/>
  <c r="D16"/>
  <c r="R81" i="51061"/>
  <c r="R75"/>
  <c r="AJ81"/>
  <c r="AN81" s="1"/>
  <c r="N81"/>
  <c r="AL55"/>
  <c r="N60"/>
  <c r="G16" i="51059"/>
  <c r="N99" i="51061"/>
  <c r="N75"/>
  <c r="G9" i="51059"/>
  <c r="H6"/>
  <c r="AJ18" i="51061"/>
  <c r="AI18" s="1"/>
  <c r="N103"/>
  <c r="AL100"/>
  <c r="AL106"/>
  <c r="AL109" s="1"/>
  <c r="AJ75"/>
  <c r="AI75" s="1"/>
  <c r="AJ42"/>
  <c r="AI42" s="1"/>
  <c r="C23" i="51067"/>
  <c r="E23" s="1"/>
  <c r="C18"/>
  <c r="E18" s="1"/>
  <c r="C14"/>
  <c r="E14" s="1"/>
  <c r="C11"/>
  <c r="E11" s="1"/>
  <c r="AJ99" i="51061"/>
  <c r="AI99" s="1"/>
  <c r="AJ33"/>
  <c r="AI33" s="1"/>
  <c r="AJ25"/>
  <c r="AI25" s="1"/>
  <c r="AL103"/>
  <c r="R55"/>
  <c r="R112" s="1"/>
  <c r="H18" i="51059"/>
  <c r="Y99" i="51061"/>
  <c r="Y87"/>
  <c r="Y75"/>
  <c r="Y18"/>
  <c r="Z99"/>
  <c r="Z87"/>
  <c r="Z75"/>
  <c r="Z18"/>
  <c r="AA109"/>
  <c r="AA103"/>
  <c r="AA93"/>
  <c r="AA60"/>
  <c r="AA18"/>
  <c r="AB109"/>
  <c r="AB103"/>
  <c r="AB66"/>
  <c r="AB55"/>
  <c r="AB33"/>
  <c r="I30" i="51059"/>
  <c r="J60" i="51061"/>
  <c r="J18"/>
  <c r="K99"/>
  <c r="K87"/>
  <c r="K75"/>
  <c r="D109"/>
  <c r="AE109" s="1"/>
  <c r="D103"/>
  <c r="AE103" s="1"/>
  <c r="D93"/>
  <c r="AE93" s="1"/>
  <c r="D55"/>
  <c r="AE55" s="1"/>
  <c r="D33"/>
  <c r="AE33" s="1"/>
  <c r="X133" i="51055"/>
  <c r="AD133" s="1"/>
  <c r="J66" i="51061"/>
  <c r="J42"/>
  <c r="K109"/>
  <c r="K103"/>
  <c r="K93"/>
  <c r="K81"/>
  <c r="K55"/>
  <c r="K33"/>
  <c r="D99"/>
  <c r="AE99" s="1"/>
  <c r="D87"/>
  <c r="AE87" s="1"/>
  <c r="D49"/>
  <c r="AE49" s="1"/>
  <c r="D25"/>
  <c r="Z738" i="51055"/>
  <c r="Z724"/>
  <c r="AJ721"/>
  <c r="AJ719"/>
  <c r="AJ715"/>
  <c r="AJ713"/>
  <c r="AJ711"/>
  <c r="AJ709"/>
  <c r="AJ707"/>
  <c r="Z702"/>
  <c r="AJ693"/>
  <c r="AJ684"/>
  <c r="AJ676"/>
  <c r="AJ674"/>
  <c r="AJ662"/>
  <c r="AJ664"/>
  <c r="AJ670"/>
  <c r="Z660"/>
  <c r="AJ659"/>
  <c r="AJ657"/>
  <c r="AJ655"/>
  <c r="AJ653"/>
  <c r="Z652"/>
  <c r="Z650"/>
  <c r="Z648"/>
  <c r="Z646"/>
  <c r="Z644"/>
  <c r="Z642"/>
  <c r="Z638"/>
  <c r="Z636"/>
  <c r="AJ631"/>
  <c r="AJ629"/>
  <c r="AJ622"/>
  <c r="Z621"/>
  <c r="Z617"/>
  <c r="Z606"/>
  <c r="AJ600"/>
  <c r="AJ598"/>
  <c r="AJ596"/>
  <c r="Z583"/>
  <c r="Z581"/>
  <c r="Z574"/>
  <c r="Z572"/>
  <c r="Z565"/>
  <c r="Z561"/>
  <c r="AJ554"/>
  <c r="Z550"/>
  <c r="Z548"/>
  <c r="Z546"/>
  <c r="Z540"/>
  <c r="AJ539"/>
  <c r="Z528"/>
  <c r="Z530"/>
  <c r="Z532"/>
  <c r="Z534"/>
  <c r="Z536"/>
  <c r="Z538"/>
  <c r="Z526"/>
  <c r="Z517"/>
  <c r="Z515"/>
  <c r="Z513"/>
  <c r="Z511"/>
  <c r="Z494"/>
  <c r="Z492"/>
  <c r="Z489"/>
  <c r="Z484"/>
  <c r="Z469"/>
  <c r="Z438"/>
  <c r="Y425"/>
  <c r="AE425" s="1"/>
  <c r="Z419"/>
  <c r="Z413"/>
  <c r="Z405"/>
  <c r="AJ405" s="1"/>
  <c r="Z403"/>
  <c r="Z371"/>
  <c r="AJ371" s="1"/>
  <c r="Z368"/>
  <c r="Z366"/>
  <c r="AJ366" s="1"/>
  <c r="Z355"/>
  <c r="Z348"/>
  <c r="AJ348" s="1"/>
  <c r="Z338"/>
  <c r="Z336"/>
  <c r="AJ336" s="1"/>
  <c r="Z334"/>
  <c r="Z331"/>
  <c r="AJ331" s="1"/>
  <c r="Z309"/>
  <c r="AJ293"/>
  <c r="AJ285"/>
  <c r="Z282"/>
  <c r="Z280"/>
  <c r="Z278"/>
  <c r="Z276"/>
  <c r="Z265"/>
  <c r="Z259"/>
  <c r="AJ245"/>
  <c r="Y242"/>
  <c r="AE242" s="1"/>
  <c r="Z240"/>
  <c r="Y239"/>
  <c r="AE239" s="1"/>
  <c r="Z227"/>
  <c r="AJ220"/>
  <c r="Z217"/>
  <c r="Z215"/>
  <c r="Z213"/>
  <c r="AJ206"/>
  <c r="Z202"/>
  <c r="AJ212"/>
  <c r="Z211"/>
  <c r="Z209"/>
  <c r="Z207"/>
  <c r="Z199"/>
  <c r="AJ193"/>
  <c r="Z195"/>
  <c r="AJ180"/>
  <c r="AJ182"/>
  <c r="Z178"/>
  <c r="Z190"/>
  <c r="Z188"/>
  <c r="AJ173"/>
  <c r="Z169"/>
  <c r="AJ167"/>
  <c r="AJ165"/>
  <c r="AJ161"/>
  <c r="AJ163"/>
  <c r="AJ155"/>
  <c r="Z153"/>
  <c r="Z151"/>
  <c r="Z148"/>
  <c r="AJ140"/>
  <c r="AJ138"/>
  <c r="Z130"/>
  <c r="Z122"/>
  <c r="AJ120"/>
  <c r="AJ116"/>
  <c r="Z98"/>
  <c r="Z95"/>
  <c r="Y91"/>
  <c r="AE91" s="1"/>
  <c r="Z89"/>
  <c r="AJ85"/>
  <c r="AJ81"/>
  <c r="Z72"/>
  <c r="Z68"/>
  <c r="Z66"/>
  <c r="Z59"/>
  <c r="AJ61"/>
  <c r="AJ56"/>
  <c r="AJ54"/>
  <c r="Z49"/>
  <c r="Z47"/>
  <c r="Z36"/>
  <c r="AJ27"/>
  <c r="Z26"/>
  <c r="Z24"/>
  <c r="Z22"/>
  <c r="AJ17"/>
  <c r="Y13"/>
  <c r="AE13" s="1"/>
  <c r="X146"/>
  <c r="AD146" s="1"/>
  <c r="AB300"/>
  <c r="Y303"/>
  <c r="X305"/>
  <c r="AD305" s="1"/>
  <c r="Z461"/>
  <c r="EQ461" s="1"/>
  <c r="Z732"/>
  <c r="EQ732" s="1"/>
  <c r="X453"/>
  <c r="AD453" s="1"/>
  <c r="I18" i="101"/>
  <c r="E9" i="51067"/>
  <c r="AL18" i="51061"/>
  <c r="AB112"/>
  <c r="AB114"/>
  <c r="AF7"/>
  <c r="AG7"/>
  <c r="AH7" s="1"/>
  <c r="O112"/>
  <c r="N114"/>
  <c r="N112"/>
  <c r="EP742" i="51055"/>
  <c r="J112" i="51061"/>
  <c r="K112"/>
  <c r="BS695" i="51055"/>
  <c r="BU695" s="1"/>
  <c r="BR695"/>
  <c r="O114" i="51061"/>
  <c r="AL66"/>
  <c r="AL49"/>
  <c r="AJ112"/>
  <c r="AI112" s="1"/>
  <c r="AL93"/>
  <c r="Y112"/>
  <c r="Z112"/>
  <c r="AA112"/>
  <c r="BT507" i="51055"/>
  <c r="BT373"/>
  <c r="BT132"/>
  <c r="BT79"/>
  <c r="BT133"/>
  <c r="BT78"/>
  <c r="BT462"/>
  <c r="BT304"/>
  <c r="BT463"/>
  <c r="BT305"/>
  <c r="BT145"/>
  <c r="BT125"/>
  <c r="BT76"/>
  <c r="BT43"/>
  <c r="BT146"/>
  <c r="BT126"/>
  <c r="BT75"/>
  <c r="BT44"/>
  <c r="BT739"/>
  <c r="BT733"/>
  <c r="BT734"/>
  <c r="BT727"/>
  <c r="BT736"/>
  <c r="J17" i="101"/>
  <c r="J19"/>
  <c r="H16"/>
  <c r="K17"/>
  <c r="D18"/>
  <c r="G16"/>
  <c r="O16"/>
  <c r="O18" s="1"/>
  <c r="M16"/>
  <c r="N16"/>
  <c r="K16"/>
  <c r="E16"/>
  <c r="E14" i="16"/>
  <c r="J42" i="51059"/>
  <c r="H44"/>
  <c r="C24" i="51067"/>
  <c r="E24" s="1"/>
  <c r="C22"/>
  <c r="E22" s="1"/>
  <c r="C21"/>
  <c r="E21" s="1"/>
  <c r="C19"/>
  <c r="E19" s="1"/>
  <c r="C17"/>
  <c r="E17" s="1"/>
  <c r="C15"/>
  <c r="E15" s="1"/>
  <c r="C13"/>
  <c r="E13" s="1"/>
  <c r="C10"/>
  <c r="E10" s="1"/>
  <c r="AL28" i="51061"/>
  <c r="AL33" s="1"/>
  <c r="E20" i="16"/>
  <c r="BT105" i="51055"/>
  <c r="BT141"/>
  <c r="BT274"/>
  <c r="BT432"/>
  <c r="BT505"/>
  <c r="BT542"/>
  <c r="BT729"/>
  <c r="BT706"/>
  <c r="BT370"/>
  <c r="BT115"/>
  <c r="BT555"/>
  <c r="BT533"/>
  <c r="BT656"/>
  <c r="BT529"/>
  <c r="BT687"/>
  <c r="BP732"/>
  <c r="BT176"/>
  <c r="BT185"/>
  <c r="BT453"/>
  <c r="BT428"/>
  <c r="BT700"/>
  <c r="BT697"/>
  <c r="BT175"/>
  <c r="BT452"/>
  <c r="BT699"/>
  <c r="BT29"/>
  <c r="BT70"/>
  <c r="BT634"/>
  <c r="BT400"/>
  <c r="BT184"/>
  <c r="BT427"/>
  <c r="BT696"/>
  <c r="BT30"/>
  <c r="BT71"/>
  <c r="BT635"/>
  <c r="BT299"/>
  <c r="BT84"/>
  <c r="BT65"/>
  <c r="BT231"/>
  <c r="BT401"/>
  <c r="BT300"/>
  <c r="BT93"/>
  <c r="BT83"/>
  <c r="BT64"/>
  <c r="BT230"/>
  <c r="BT691"/>
  <c r="BT435"/>
  <c r="BT135"/>
  <c r="BT50"/>
  <c r="BT694"/>
  <c r="BP175"/>
  <c r="BP452"/>
  <c r="BP699"/>
  <c r="BS699" s="1"/>
  <c r="BU699" s="1"/>
  <c r="BP184"/>
  <c r="BS184" s="1"/>
  <c r="BU184" s="1"/>
  <c r="BP427"/>
  <c r="BP696"/>
  <c r="BP299"/>
  <c r="BP145"/>
  <c r="BP132"/>
  <c r="BP125"/>
  <c r="BS125" s="1"/>
  <c r="BU125" s="1"/>
  <c r="BP74"/>
  <c r="BP82"/>
  <c r="BP131"/>
  <c r="BP144"/>
  <c r="BP174"/>
  <c r="BP298"/>
  <c r="BP399"/>
  <c r="BP28"/>
  <c r="BS28" s="1"/>
  <c r="BU28" s="1"/>
  <c r="BP42"/>
  <c r="BP63"/>
  <c r="BS63" s="1"/>
  <c r="BU63" s="1"/>
  <c r="BP69"/>
  <c r="BS69" s="1"/>
  <c r="BU69" s="1"/>
  <c r="BP77"/>
  <c r="BS77" s="1"/>
  <c r="BU77" s="1"/>
  <c r="BP124"/>
  <c r="BP183"/>
  <c r="BP229"/>
  <c r="BS229" s="1"/>
  <c r="BU229" s="1"/>
  <c r="BP303"/>
  <c r="BS303" s="1"/>
  <c r="BU303" s="1"/>
  <c r="BP426"/>
  <c r="BS426" s="1"/>
  <c r="BU426" s="1"/>
  <c r="BP451"/>
  <c r="BS451" s="1"/>
  <c r="BU451" s="1"/>
  <c r="BP461"/>
  <c r="BP633"/>
  <c r="BS633" s="1"/>
  <c r="BU633" s="1"/>
  <c r="BT97"/>
  <c r="BT217"/>
  <c r="BT129"/>
  <c r="BT152"/>
  <c r="BT735"/>
  <c r="BT12"/>
  <c r="BT108"/>
  <c r="BT273"/>
  <c r="BT436"/>
  <c r="BT506"/>
  <c r="BT544"/>
  <c r="BT633"/>
  <c r="BT738"/>
  <c r="BT541"/>
  <c r="BT107"/>
  <c r="BT563"/>
  <c r="BT228"/>
  <c r="BT204"/>
  <c r="BT512"/>
  <c r="BT680"/>
  <c r="BT87"/>
  <c r="BP698"/>
  <c r="BS698" s="1"/>
  <c r="BU698" s="1"/>
  <c r="D112" i="51061"/>
  <c r="AE112" s="1"/>
  <c r="R740" i="51055"/>
  <c r="Q740"/>
  <c r="R737"/>
  <c r="Q737"/>
  <c r="R735"/>
  <c r="Q735"/>
  <c r="R723"/>
  <c r="Q723"/>
  <c r="R703"/>
  <c r="Q703"/>
  <c r="R701"/>
  <c r="Q701"/>
  <c r="R688"/>
  <c r="Q688"/>
  <c r="R687"/>
  <c r="Q687"/>
  <c r="R679"/>
  <c r="Q679"/>
  <c r="X678"/>
  <c r="AD678" s="1"/>
  <c r="X673"/>
  <c r="AD673" s="1"/>
  <c r="R672"/>
  <c r="Q672"/>
  <c r="X671"/>
  <c r="AD671" s="1"/>
  <c r="R667"/>
  <c r="Q667"/>
  <c r="X668"/>
  <c r="AD668" s="1"/>
  <c r="R651"/>
  <c r="Q651"/>
  <c r="R649"/>
  <c r="Q649"/>
  <c r="R647"/>
  <c r="Q647"/>
  <c r="R645"/>
  <c r="Q645"/>
  <c r="R643"/>
  <c r="Q643"/>
  <c r="R641"/>
  <c r="Q641"/>
  <c r="X640"/>
  <c r="AD640" s="1"/>
  <c r="R639"/>
  <c r="Q639"/>
  <c r="R637"/>
  <c r="Q637"/>
  <c r="R626"/>
  <c r="Q626"/>
  <c r="R620"/>
  <c r="Q620"/>
  <c r="R618"/>
  <c r="Q618"/>
  <c r="R616"/>
  <c r="Q616"/>
  <c r="X615"/>
  <c r="AD615" s="1"/>
  <c r="X613"/>
  <c r="AD613" s="1"/>
  <c r="R610"/>
  <c r="Q610"/>
  <c r="R609"/>
  <c r="Q609"/>
  <c r="X608"/>
  <c r="AD608" s="1"/>
  <c r="Z608"/>
  <c r="R607"/>
  <c r="Q607"/>
  <c r="R605"/>
  <c r="Q605"/>
  <c r="X604"/>
  <c r="AD604" s="1"/>
  <c r="Z604"/>
  <c r="R603"/>
  <c r="Q603"/>
  <c r="X602"/>
  <c r="AD602" s="1"/>
  <c r="R594"/>
  <c r="Q594"/>
  <c r="X593"/>
  <c r="AD593" s="1"/>
  <c r="R592"/>
  <c r="Q592"/>
  <c r="X591"/>
  <c r="AD591" s="1"/>
  <c r="R590"/>
  <c r="Q590"/>
  <c r="X589"/>
  <c r="AD589" s="1"/>
  <c r="R584"/>
  <c r="Q584"/>
  <c r="R582"/>
  <c r="Q582"/>
  <c r="R580"/>
  <c r="Q580"/>
  <c r="R579"/>
  <c r="Q579"/>
  <c r="X578"/>
  <c r="AD578" s="1"/>
  <c r="R577"/>
  <c r="Q577"/>
  <c r="X576"/>
  <c r="AD576" s="1"/>
  <c r="R575"/>
  <c r="Q575"/>
  <c r="R573"/>
  <c r="Q573"/>
  <c r="R571"/>
  <c r="Q571"/>
  <c r="X570"/>
  <c r="AD570" s="1"/>
  <c r="R566"/>
  <c r="Q566"/>
  <c r="R562"/>
  <c r="Q562"/>
  <c r="R559"/>
  <c r="Q559"/>
  <c r="X558"/>
  <c r="AD558" s="1"/>
  <c r="R557"/>
  <c r="Q557"/>
  <c r="X556"/>
  <c r="AD556" s="1"/>
  <c r="R551"/>
  <c r="Q551"/>
  <c r="R549"/>
  <c r="Q549"/>
  <c r="R547"/>
  <c r="Q547"/>
  <c r="R545"/>
  <c r="Q545"/>
  <c r="R531"/>
  <c r="Q531"/>
  <c r="R535"/>
  <c r="Q535"/>
  <c r="R537"/>
  <c r="Q537"/>
  <c r="R518"/>
  <c r="Q518"/>
  <c r="R516"/>
  <c r="Q516"/>
  <c r="R514"/>
  <c r="Q514"/>
  <c r="R509"/>
  <c r="Q509"/>
  <c r="R495"/>
  <c r="Q495"/>
  <c r="R493"/>
  <c r="Q493"/>
  <c r="R490"/>
  <c r="Q490"/>
  <c r="R485"/>
  <c r="Q485"/>
  <c r="R472"/>
  <c r="Q472"/>
  <c r="X471"/>
  <c r="AD471" s="1"/>
  <c r="R470"/>
  <c r="Q470"/>
  <c r="X460"/>
  <c r="AD460" s="1"/>
  <c r="R448"/>
  <c r="Q448"/>
  <c r="X447"/>
  <c r="AD447" s="1"/>
  <c r="R446"/>
  <c r="Q446"/>
  <c r="X445"/>
  <c r="AD445" s="1"/>
  <c r="R439"/>
  <c r="Q439"/>
  <c r="Y738"/>
  <c r="AE738" s="1"/>
  <c r="AG738"/>
  <c r="AJ738" s="1"/>
  <c r="AG736"/>
  <c r="AG730"/>
  <c r="Y724"/>
  <c r="AE724" s="1"/>
  <c r="AG724"/>
  <c r="AJ724" s="1"/>
  <c r="AG717"/>
  <c r="AG705"/>
  <c r="AG702"/>
  <c r="AG691"/>
  <c r="AG689"/>
  <c r="AG686"/>
  <c r="AG680"/>
  <c r="AG666"/>
  <c r="AG660"/>
  <c r="AG652"/>
  <c r="AJ652" s="1"/>
  <c r="AG650"/>
  <c r="AJ650" s="1"/>
  <c r="AG648"/>
  <c r="AJ648" s="1"/>
  <c r="AG646"/>
  <c r="AJ646" s="1"/>
  <c r="AG644"/>
  <c r="AJ644" s="1"/>
  <c r="AG642"/>
  <c r="AG638"/>
  <c r="AJ638" s="1"/>
  <c r="AG636"/>
  <c r="AG627"/>
  <c r="AG624"/>
  <c r="AG621"/>
  <c r="AJ621" s="1"/>
  <c r="AG617"/>
  <c r="AG611"/>
  <c r="AG606"/>
  <c r="AG587"/>
  <c r="AG585"/>
  <c r="AG583"/>
  <c r="AJ583" s="1"/>
  <c r="AG581"/>
  <c r="AG574"/>
  <c r="AJ574" s="1"/>
  <c r="AG572"/>
  <c r="AG567"/>
  <c r="AG565"/>
  <c r="AJ565" s="1"/>
  <c r="AG563"/>
  <c r="AG561"/>
  <c r="AG552"/>
  <c r="AG550"/>
  <c r="AJ550" s="1"/>
  <c r="AG548"/>
  <c r="AG546"/>
  <c r="AJ546" s="1"/>
  <c r="AG542"/>
  <c r="AJ542" s="1"/>
  <c r="AG540"/>
  <c r="AG528"/>
  <c r="AJ528" s="1"/>
  <c r="AG530"/>
  <c r="AJ530" s="1"/>
  <c r="AG532"/>
  <c r="AJ532" s="1"/>
  <c r="AJ534"/>
  <c r="R731"/>
  <c r="Q731"/>
  <c r="R728"/>
  <c r="Q728"/>
  <c r="R725"/>
  <c r="Q725"/>
  <c r="R722"/>
  <c r="Q722"/>
  <c r="R720"/>
  <c r="Q720"/>
  <c r="R718"/>
  <c r="Q718"/>
  <c r="X717"/>
  <c r="AD717" s="1"/>
  <c r="R716"/>
  <c r="Q716"/>
  <c r="R714"/>
  <c r="Q714"/>
  <c r="R712"/>
  <c r="Q712"/>
  <c r="R710"/>
  <c r="Q710"/>
  <c r="R708"/>
  <c r="Q708"/>
  <c r="R704"/>
  <c r="Q704"/>
  <c r="X705"/>
  <c r="AD705" s="1"/>
  <c r="F101" i="51061" s="1"/>
  <c r="R692" i="51055"/>
  <c r="Q692"/>
  <c r="R690"/>
  <c r="Q690"/>
  <c r="X689"/>
  <c r="AD689" s="1"/>
  <c r="R683"/>
  <c r="Q683"/>
  <c r="R685"/>
  <c r="Q685"/>
  <c r="X686"/>
  <c r="AD686" s="1"/>
  <c r="F98" i="51061" s="1"/>
  <c r="R682" i="51055"/>
  <c r="Q682"/>
  <c r="R681"/>
  <c r="Q681"/>
  <c r="R677"/>
  <c r="Q677"/>
  <c r="R675"/>
  <c r="Q675"/>
  <c r="R661"/>
  <c r="Q661"/>
  <c r="R663"/>
  <c r="Q663"/>
  <c r="R665"/>
  <c r="Q665"/>
  <c r="X666"/>
  <c r="AD666" s="1"/>
  <c r="R669"/>
  <c r="Q669"/>
  <c r="R658"/>
  <c r="Q658"/>
  <c r="R654"/>
  <c r="Q654"/>
  <c r="R632"/>
  <c r="Q632"/>
  <c r="R630"/>
  <c r="Q630"/>
  <c r="R628"/>
  <c r="Q628"/>
  <c r="X627"/>
  <c r="AD627" s="1"/>
  <c r="F91" i="51061" s="1"/>
  <c r="R625" i="51055"/>
  <c r="Q625"/>
  <c r="X624"/>
  <c r="AD624" s="1"/>
  <c r="R623"/>
  <c r="Q623"/>
  <c r="R612"/>
  <c r="Q612"/>
  <c r="X611"/>
  <c r="R601"/>
  <c r="Q601"/>
  <c r="R599"/>
  <c r="Q599"/>
  <c r="R597"/>
  <c r="Q597"/>
  <c r="R595"/>
  <c r="Q595"/>
  <c r="R588"/>
  <c r="Q588"/>
  <c r="X587"/>
  <c r="AD587" s="1"/>
  <c r="Z587"/>
  <c r="R586"/>
  <c r="Q586"/>
  <c r="X585"/>
  <c r="AD585" s="1"/>
  <c r="Z585"/>
  <c r="R569"/>
  <c r="Q569"/>
  <c r="R568"/>
  <c r="Q568"/>
  <c r="X567"/>
  <c r="AD567" s="1"/>
  <c r="Z567"/>
  <c r="R564"/>
  <c r="Q564"/>
  <c r="R560"/>
  <c r="Q560"/>
  <c r="R553"/>
  <c r="Q553"/>
  <c r="X552"/>
  <c r="AD552" s="1"/>
  <c r="Z552"/>
  <c r="R543"/>
  <c r="Q543"/>
  <c r="R525"/>
  <c r="Q525"/>
  <c r="R523"/>
  <c r="Q523"/>
  <c r="R521"/>
  <c r="Q521"/>
  <c r="R519"/>
  <c r="Q519"/>
  <c r="X510"/>
  <c r="AD510" s="1"/>
  <c r="F76" i="51061" s="1"/>
  <c r="Z510" i="51055"/>
  <c r="R496"/>
  <c r="Q496"/>
  <c r="R498"/>
  <c r="Q498"/>
  <c r="R500"/>
  <c r="Q500"/>
  <c r="R502"/>
  <c r="Q502"/>
  <c r="R504"/>
  <c r="Q504"/>
  <c r="R508"/>
  <c r="Q508"/>
  <c r="X491"/>
  <c r="AD491" s="1"/>
  <c r="Z491"/>
  <c r="R488"/>
  <c r="Q488"/>
  <c r="R486"/>
  <c r="Q486"/>
  <c r="R483"/>
  <c r="Q483"/>
  <c r="R481"/>
  <c r="Q481"/>
  <c r="R479"/>
  <c r="Q479"/>
  <c r="X478"/>
  <c r="AD478" s="1"/>
  <c r="Z478"/>
  <c r="R477"/>
  <c r="Q477"/>
  <c r="R475"/>
  <c r="Q475"/>
  <c r="R473"/>
  <c r="Q473"/>
  <c r="R468"/>
  <c r="Q468"/>
  <c r="R466"/>
  <c r="Q466"/>
  <c r="R464"/>
  <c r="Q464"/>
  <c r="R459"/>
  <c r="Q459"/>
  <c r="R457"/>
  <c r="Q457"/>
  <c r="R455"/>
  <c r="Q455"/>
  <c r="X450"/>
  <c r="AD450" s="1"/>
  <c r="F70" i="51061" s="1"/>
  <c r="Z450" i="51055"/>
  <c r="R444"/>
  <c r="Q444"/>
  <c r="R440"/>
  <c r="Q440"/>
  <c r="R437"/>
  <c r="Q437"/>
  <c r="AG729"/>
  <c r="AG726"/>
  <c r="AJ726" s="1"/>
  <c r="AK726" s="1"/>
  <c r="AJ608"/>
  <c r="AJ604"/>
  <c r="AG527"/>
  <c r="AG524"/>
  <c r="AJ524" s="1"/>
  <c r="AG522"/>
  <c r="AJ522" s="1"/>
  <c r="AG520"/>
  <c r="AG497"/>
  <c r="AG499"/>
  <c r="AJ499" s="1"/>
  <c r="AG501"/>
  <c r="AJ501" s="1"/>
  <c r="AG503"/>
  <c r="AJ503" s="1"/>
  <c r="AG507"/>
  <c r="AJ507" s="1"/>
  <c r="AG487"/>
  <c r="AG482"/>
  <c r="AJ482" s="1"/>
  <c r="AG480"/>
  <c r="AJ480" s="1"/>
  <c r="AG476"/>
  <c r="AJ476" s="1"/>
  <c r="AG474"/>
  <c r="AG471"/>
  <c r="AG467"/>
  <c r="AJ467" s="1"/>
  <c r="AG465"/>
  <c r="AG460"/>
  <c r="AG458"/>
  <c r="AJ458" s="1"/>
  <c r="AG456"/>
  <c r="AJ456" s="1"/>
  <c r="AG454"/>
  <c r="AJ454" s="1"/>
  <c r="AG449"/>
  <c r="AJ449" s="1"/>
  <c r="AG447"/>
  <c r="AG445"/>
  <c r="AG443"/>
  <c r="AJ441"/>
  <c r="AG436"/>
  <c r="AJ436" s="1"/>
  <c r="R433"/>
  <c r="Q433"/>
  <c r="R415"/>
  <c r="Q415"/>
  <c r="R418"/>
  <c r="Q418"/>
  <c r="R412"/>
  <c r="Q412"/>
  <c r="R409"/>
  <c r="Q409"/>
  <c r="R406"/>
  <c r="Q406"/>
  <c r="R404"/>
  <c r="Q404"/>
  <c r="R402"/>
  <c r="Q402"/>
  <c r="X381"/>
  <c r="R380"/>
  <c r="Q380"/>
  <c r="X379"/>
  <c r="R372"/>
  <c r="Q372"/>
  <c r="R367"/>
  <c r="Q367"/>
  <c r="R369"/>
  <c r="Q369"/>
  <c r="R365"/>
  <c r="Q365"/>
  <c r="R356"/>
  <c r="Q356"/>
  <c r="X352"/>
  <c r="R349"/>
  <c r="Q349"/>
  <c r="R347"/>
  <c r="Q347"/>
  <c r="X346"/>
  <c r="R345"/>
  <c r="Q345"/>
  <c r="R340"/>
  <c r="Q340"/>
  <c r="R339"/>
  <c r="Q339"/>
  <c r="R337"/>
  <c r="Q337"/>
  <c r="R335"/>
  <c r="Q335"/>
  <c r="R332"/>
  <c r="Q332"/>
  <c r="R330"/>
  <c r="Q330"/>
  <c r="X329"/>
  <c r="R313"/>
  <c r="Q313"/>
  <c r="X311"/>
  <c r="R310"/>
  <c r="Q310"/>
  <c r="R290"/>
  <c r="Q290"/>
  <c r="X289"/>
  <c r="X284"/>
  <c r="R283"/>
  <c r="Q283"/>
  <c r="R281"/>
  <c r="Q281"/>
  <c r="R279"/>
  <c r="Q279"/>
  <c r="R277"/>
  <c r="Q277"/>
  <c r="R275"/>
  <c r="Q275"/>
  <c r="X271"/>
  <c r="R266"/>
  <c r="Q266"/>
  <c r="R260"/>
  <c r="Q260"/>
  <c r="R257"/>
  <c r="Q257"/>
  <c r="X256"/>
  <c r="Q608"/>
  <c r="Q606"/>
  <c r="Q604"/>
  <c r="Q602"/>
  <c r="Q600"/>
  <c r="Q598"/>
  <c r="Q596"/>
  <c r="Q593"/>
  <c r="Q591"/>
  <c r="Q589"/>
  <c r="Q587"/>
  <c r="Q585"/>
  <c r="Q583"/>
  <c r="Q581"/>
  <c r="Q578"/>
  <c r="Q576"/>
  <c r="Q574"/>
  <c r="Q572"/>
  <c r="Q570"/>
  <c r="Q567"/>
  <c r="Q565"/>
  <c r="Q561"/>
  <c r="Q558"/>
  <c r="Q556"/>
  <c r="Q554"/>
  <c r="Q552"/>
  <c r="Q550"/>
  <c r="Q548"/>
  <c r="Q546"/>
  <c r="Q540"/>
  <c r="Q539"/>
  <c r="Q528"/>
  <c r="Q530"/>
  <c r="Q532"/>
  <c r="Q534"/>
  <c r="Q536"/>
  <c r="Q538"/>
  <c r="Q527"/>
  <c r="Q526"/>
  <c r="Q524"/>
  <c r="Q522"/>
  <c r="Q520"/>
  <c r="Q517"/>
  <c r="Q515"/>
  <c r="Q513"/>
  <c r="Q511"/>
  <c r="Q510"/>
  <c r="Q497"/>
  <c r="Q499"/>
  <c r="Q501"/>
  <c r="Q503"/>
  <c r="Q494"/>
  <c r="Q492"/>
  <c r="Q491"/>
  <c r="Q489"/>
  <c r="Q487"/>
  <c r="Q484"/>
  <c r="Q482"/>
  <c r="Q480"/>
  <c r="Q478"/>
  <c r="Q476"/>
  <c r="Q474"/>
  <c r="Q471"/>
  <c r="Q469"/>
  <c r="Q467"/>
  <c r="Q465"/>
  <c r="Q460"/>
  <c r="Q458"/>
  <c r="Q456"/>
  <c r="Q454"/>
  <c r="Q450"/>
  <c r="Q449"/>
  <c r="Q447"/>
  <c r="Q445"/>
  <c r="Q443"/>
  <c r="Q441"/>
  <c r="Q438"/>
  <c r="Q436"/>
  <c r="Q434"/>
  <c r="AG434"/>
  <c r="AJ434" s="1"/>
  <c r="AG432"/>
  <c r="Y429"/>
  <c r="AE429" s="1"/>
  <c r="Z429"/>
  <c r="Y423"/>
  <c r="AE423" s="1"/>
  <c r="AG423"/>
  <c r="Y416"/>
  <c r="AE416" s="1"/>
  <c r="AG416"/>
  <c r="Y421"/>
  <c r="AE421" s="1"/>
  <c r="Z421"/>
  <c r="Y419"/>
  <c r="AE419" s="1"/>
  <c r="AG419"/>
  <c r="Y413"/>
  <c r="AE413" s="1"/>
  <c r="AG413"/>
  <c r="AG295"/>
  <c r="AG291"/>
  <c r="AG287"/>
  <c r="AG282"/>
  <c r="AJ282" s="1"/>
  <c r="AG280"/>
  <c r="AJ280" s="1"/>
  <c r="AJ278"/>
  <c r="R430"/>
  <c r="Q430"/>
  <c r="R424"/>
  <c r="Q424"/>
  <c r="R417"/>
  <c r="Q417"/>
  <c r="R422"/>
  <c r="Q422"/>
  <c r="R420"/>
  <c r="Q420"/>
  <c r="R414"/>
  <c r="Q414"/>
  <c r="R411"/>
  <c r="Q411"/>
  <c r="X410"/>
  <c r="R408"/>
  <c r="Q408"/>
  <c r="R397"/>
  <c r="Q397"/>
  <c r="R395"/>
  <c r="Q395"/>
  <c r="X394"/>
  <c r="AD394" s="1"/>
  <c r="F61" i="51061" s="1"/>
  <c r="R393" i="51055"/>
  <c r="Q393"/>
  <c r="R391"/>
  <c r="Q391"/>
  <c r="R389"/>
  <c r="Q389"/>
  <c r="R387"/>
  <c r="Q387"/>
  <c r="R385"/>
  <c r="Q385"/>
  <c r="R383"/>
  <c r="Q383"/>
  <c r="R378"/>
  <c r="Q378"/>
  <c r="R376"/>
  <c r="Q376"/>
  <c r="R374"/>
  <c r="Q374"/>
  <c r="R364"/>
  <c r="Q364"/>
  <c r="R362"/>
  <c r="Q362"/>
  <c r="X361"/>
  <c r="AD361" s="1"/>
  <c r="R360"/>
  <c r="Q360"/>
  <c r="R358"/>
  <c r="Q358"/>
  <c r="R354"/>
  <c r="Q354"/>
  <c r="R351"/>
  <c r="Q351"/>
  <c r="R344"/>
  <c r="Q344"/>
  <c r="R342"/>
  <c r="Q342"/>
  <c r="X341"/>
  <c r="AD341" s="1"/>
  <c r="F52" i="51061" s="1"/>
  <c r="X333" i="51055"/>
  <c r="AD333" s="1"/>
  <c r="R328"/>
  <c r="Q328"/>
  <c r="R326"/>
  <c r="Q326"/>
  <c r="R324"/>
  <c r="Q324"/>
  <c r="X315"/>
  <c r="AD315" s="1"/>
  <c r="R314"/>
  <c r="Q314"/>
  <c r="R308"/>
  <c r="Q308"/>
  <c r="R306"/>
  <c r="Q306"/>
  <c r="R302"/>
  <c r="Q302"/>
  <c r="X297"/>
  <c r="AD297" s="1"/>
  <c r="X323"/>
  <c r="AD323" s="1"/>
  <c r="R322"/>
  <c r="Q322"/>
  <c r="R320"/>
  <c r="Q320"/>
  <c r="R318"/>
  <c r="Q318"/>
  <c r="R316"/>
  <c r="Q316"/>
  <c r="R296"/>
  <c r="Q296"/>
  <c r="X295"/>
  <c r="AD295" s="1"/>
  <c r="R294"/>
  <c r="Q294"/>
  <c r="R292"/>
  <c r="Q292"/>
  <c r="X291"/>
  <c r="AD291" s="1"/>
  <c r="R288"/>
  <c r="Q288"/>
  <c r="X287"/>
  <c r="AD287" s="1"/>
  <c r="R286"/>
  <c r="Q286"/>
  <c r="R267"/>
  <c r="Q267"/>
  <c r="X270"/>
  <c r="AD270" s="1"/>
  <c r="R269"/>
  <c r="Q269"/>
  <c r="X268"/>
  <c r="AD268" s="1"/>
  <c r="R264"/>
  <c r="Q264"/>
  <c r="R262"/>
  <c r="Q262"/>
  <c r="X261"/>
  <c r="AD261" s="1"/>
  <c r="X258"/>
  <c r="AD258" s="1"/>
  <c r="R255"/>
  <c r="Q255"/>
  <c r="X254"/>
  <c r="AD254" s="1"/>
  <c r="R253"/>
  <c r="Q253"/>
  <c r="R252"/>
  <c r="Q252"/>
  <c r="R251"/>
  <c r="Q251"/>
  <c r="R249"/>
  <c r="Q249"/>
  <c r="X248"/>
  <c r="AD248" s="1"/>
  <c r="R247"/>
  <c r="Q247"/>
  <c r="X232"/>
  <c r="AD232" s="1"/>
  <c r="Q721"/>
  <c r="Q719"/>
  <c r="Q717"/>
  <c r="Q715"/>
  <c r="Q713"/>
  <c r="Q711"/>
  <c r="Q709"/>
  <c r="Q707"/>
  <c r="Q705"/>
  <c r="Q702"/>
  <c r="Q693"/>
  <c r="Q689"/>
  <c r="Q684"/>
  <c r="Q686"/>
  <c r="Q678"/>
  <c r="Q676"/>
  <c r="Q674"/>
  <c r="Q673"/>
  <c r="Q671"/>
  <c r="Q662"/>
  <c r="Q664"/>
  <c r="Q666"/>
  <c r="Q668"/>
  <c r="Q670"/>
  <c r="Q660"/>
  <c r="Q659"/>
  <c r="Q657"/>
  <c r="Q655"/>
  <c r="Q653"/>
  <c r="Q652"/>
  <c r="Q650"/>
  <c r="Q648"/>
  <c r="Q646"/>
  <c r="Q644"/>
  <c r="Q642"/>
  <c r="Q640"/>
  <c r="Q638"/>
  <c r="Q636"/>
  <c r="Q631"/>
  <c r="Q629"/>
  <c r="Q627"/>
  <c r="Q624"/>
  <c r="Q622"/>
  <c r="Q621"/>
  <c r="Q617"/>
  <c r="Q615"/>
  <c r="Q613"/>
  <c r="Q611"/>
  <c r="AG431"/>
  <c r="AJ431" s="1"/>
  <c r="AK431" s="1"/>
  <c r="AG429"/>
  <c r="AJ429" s="1"/>
  <c r="AK429" s="1"/>
  <c r="AG425"/>
  <c r="AJ425" s="1"/>
  <c r="AK425" s="1"/>
  <c r="AG421"/>
  <c r="AJ421" s="1"/>
  <c r="AK421" s="1"/>
  <c r="AG407"/>
  <c r="AG398"/>
  <c r="AJ398" s="1"/>
  <c r="AG396"/>
  <c r="AG392"/>
  <c r="AJ392" s="1"/>
  <c r="AG390"/>
  <c r="AJ390" s="1"/>
  <c r="AG388"/>
  <c r="AJ388" s="1"/>
  <c r="AG386"/>
  <c r="AJ386" s="1"/>
  <c r="AG384"/>
  <c r="AJ384" s="1"/>
  <c r="AG382"/>
  <c r="AG381"/>
  <c r="AG379"/>
  <c r="AG377"/>
  <c r="AJ377" s="1"/>
  <c r="AG375"/>
  <c r="AG370"/>
  <c r="AG363"/>
  <c r="AG359"/>
  <c r="AJ359" s="1"/>
  <c r="AG357"/>
  <c r="AJ357" s="1"/>
  <c r="AG353"/>
  <c r="AG352"/>
  <c r="AG350"/>
  <c r="AJ350" s="1"/>
  <c r="AG346"/>
  <c r="AG343"/>
  <c r="AG329"/>
  <c r="AG327"/>
  <c r="AJ327" s="1"/>
  <c r="AG325"/>
  <c r="AG312"/>
  <c r="AJ312" s="1"/>
  <c r="AG311"/>
  <c r="AG307"/>
  <c r="AJ307" s="1"/>
  <c r="AG301"/>
  <c r="AG321"/>
  <c r="AJ319"/>
  <c r="AJ317"/>
  <c r="AG274"/>
  <c r="AJ274" s="1"/>
  <c r="AG272"/>
  <c r="AG263"/>
  <c r="AG256"/>
  <c r="AG250"/>
  <c r="AG246"/>
  <c r="AJ246" s="1"/>
  <c r="AK245"/>
  <c r="R243"/>
  <c r="Q243"/>
  <c r="R236"/>
  <c r="Q236"/>
  <c r="R233"/>
  <c r="Q233"/>
  <c r="X223"/>
  <c r="AD223" s="1"/>
  <c r="F38" i="51061" s="1"/>
  <c r="R218" i="51055"/>
  <c r="Q218"/>
  <c r="R216"/>
  <c r="Q216"/>
  <c r="R214"/>
  <c r="Q214"/>
  <c r="R203"/>
  <c r="Q203"/>
  <c r="R210"/>
  <c r="Q210"/>
  <c r="R208"/>
  <c r="Q208"/>
  <c r="R200"/>
  <c r="Q200"/>
  <c r="R198"/>
  <c r="Q198"/>
  <c r="X197"/>
  <c r="R191"/>
  <c r="Q191"/>
  <c r="R189"/>
  <c r="Q189"/>
  <c r="R170"/>
  <c r="Q170"/>
  <c r="R158"/>
  <c r="Q158"/>
  <c r="X159"/>
  <c r="R157"/>
  <c r="Q157"/>
  <c r="R154"/>
  <c r="Q154"/>
  <c r="R152"/>
  <c r="Q152"/>
  <c r="R149"/>
  <c r="Q149"/>
  <c r="R147"/>
  <c r="Q147"/>
  <c r="R143"/>
  <c r="Q143"/>
  <c r="X142"/>
  <c r="R137"/>
  <c r="Q137"/>
  <c r="R136"/>
  <c r="Q136"/>
  <c r="R129"/>
  <c r="Q129"/>
  <c r="R128"/>
  <c r="Q128"/>
  <c r="R127"/>
  <c r="Q127"/>
  <c r="R123"/>
  <c r="Q123"/>
  <c r="R119"/>
  <c r="Q119"/>
  <c r="X118"/>
  <c r="R106"/>
  <c r="Q106"/>
  <c r="R104"/>
  <c r="Q104"/>
  <c r="X103"/>
  <c r="R100"/>
  <c r="Q100"/>
  <c r="R99"/>
  <c r="Q99"/>
  <c r="Q410"/>
  <c r="Q407"/>
  <c r="Q405"/>
  <c r="Q403"/>
  <c r="Q398"/>
  <c r="Q396"/>
  <c r="Q394"/>
  <c r="Q392"/>
  <c r="Q390"/>
  <c r="Q388"/>
  <c r="Q386"/>
  <c r="Q384"/>
  <c r="Q382"/>
  <c r="Q381"/>
  <c r="Q379"/>
  <c r="Q377"/>
  <c r="Q375"/>
  <c r="Q371"/>
  <c r="Q368"/>
  <c r="Q366"/>
  <c r="Q363"/>
  <c r="Q361"/>
  <c r="Q359"/>
  <c r="Q357"/>
  <c r="Q355"/>
  <c r="Q353"/>
  <c r="Q352"/>
  <c r="Q350"/>
  <c r="Q348"/>
  <c r="Q346"/>
  <c r="Q343"/>
  <c r="Q341"/>
  <c r="Q338"/>
  <c r="Q336"/>
  <c r="Q334"/>
  <c r="Q333"/>
  <c r="Q331"/>
  <c r="Q329"/>
  <c r="Q327"/>
  <c r="Q325"/>
  <c r="Q315"/>
  <c r="Q312"/>
  <c r="Q311"/>
  <c r="Q309"/>
  <c r="Q307"/>
  <c r="Q301"/>
  <c r="Q297"/>
  <c r="Q323"/>
  <c r="Q321"/>
  <c r="Q319"/>
  <c r="Q317"/>
  <c r="Q295"/>
  <c r="Q293"/>
  <c r="Q291"/>
  <c r="Q289"/>
  <c r="Q287"/>
  <c r="Q285"/>
  <c r="Q284"/>
  <c r="Q282"/>
  <c r="Q280"/>
  <c r="Q278"/>
  <c r="Q276"/>
  <c r="Q272"/>
  <c r="Q271"/>
  <c r="Q270"/>
  <c r="Q268"/>
  <c r="Q265"/>
  <c r="Q263"/>
  <c r="Q261"/>
  <c r="Q259"/>
  <c r="Q258"/>
  <c r="Q256"/>
  <c r="Q254"/>
  <c r="Q250"/>
  <c r="Q248"/>
  <c r="Q246"/>
  <c r="Y244"/>
  <c r="AE244" s="1"/>
  <c r="AG244"/>
  <c r="AJ244" s="1"/>
  <c r="Y240"/>
  <c r="AE240" s="1"/>
  <c r="AG240"/>
  <c r="Y237"/>
  <c r="AE237" s="1"/>
  <c r="AG237"/>
  <c r="AJ237" s="1"/>
  <c r="Q232"/>
  <c r="AG232"/>
  <c r="Y227"/>
  <c r="AE227" s="1"/>
  <c r="AG227"/>
  <c r="AJ227" s="1"/>
  <c r="AK227" s="1"/>
  <c r="AJ221"/>
  <c r="AK221" s="1"/>
  <c r="AU221"/>
  <c r="AW221" s="1"/>
  <c r="BL221" s="1"/>
  <c r="AG217"/>
  <c r="AJ217" s="1"/>
  <c r="AG215"/>
  <c r="AJ215" s="1"/>
  <c r="AG213"/>
  <c r="AG204"/>
  <c r="AG202"/>
  <c r="AG211"/>
  <c r="AJ211" s="1"/>
  <c r="AG209"/>
  <c r="AJ209" s="1"/>
  <c r="AG207"/>
  <c r="AG201"/>
  <c r="AG199"/>
  <c r="AG178"/>
  <c r="AG190"/>
  <c r="AJ190" s="1"/>
  <c r="AG188"/>
  <c r="AJ188" s="1"/>
  <c r="AG186"/>
  <c r="AG171"/>
  <c r="AG169"/>
  <c r="AG153"/>
  <c r="AJ153" s="1"/>
  <c r="AG151"/>
  <c r="AG150"/>
  <c r="AG148"/>
  <c r="AG130"/>
  <c r="AG122"/>
  <c r="AG111"/>
  <c r="AG109"/>
  <c r="AG101"/>
  <c r="AG98"/>
  <c r="AJ98" s="1"/>
  <c r="R241"/>
  <c r="Q241"/>
  <c r="R238"/>
  <c r="Q238"/>
  <c r="R234"/>
  <c r="Q234"/>
  <c r="R226"/>
  <c r="Q226"/>
  <c r="R224"/>
  <c r="Q224"/>
  <c r="R222"/>
  <c r="Q222"/>
  <c r="R219"/>
  <c r="Q219"/>
  <c r="R205"/>
  <c r="Q205"/>
  <c r="X201"/>
  <c r="AD201" s="1"/>
  <c r="Z201"/>
  <c r="R196"/>
  <c r="Q196"/>
  <c r="R192"/>
  <c r="Q192"/>
  <c r="R194"/>
  <c r="Q194"/>
  <c r="R179"/>
  <c r="Q179"/>
  <c r="R181"/>
  <c r="Q181"/>
  <c r="R177"/>
  <c r="Q177"/>
  <c r="R187"/>
  <c r="Q187"/>
  <c r="X186"/>
  <c r="AD186" s="1"/>
  <c r="Z186"/>
  <c r="R172"/>
  <c r="Q172"/>
  <c r="X171"/>
  <c r="AD171" s="1"/>
  <c r="Z171"/>
  <c r="R168"/>
  <c r="Q168"/>
  <c r="R166"/>
  <c r="Q166"/>
  <c r="R160"/>
  <c r="Q160"/>
  <c r="R162"/>
  <c r="Q162"/>
  <c r="R164"/>
  <c r="Q164"/>
  <c r="R156"/>
  <c r="Q156"/>
  <c r="X150"/>
  <c r="AD150" s="1"/>
  <c r="F26" i="51061" s="1"/>
  <c r="Z150" i="51055"/>
  <c r="R139"/>
  <c r="Q139"/>
  <c r="R134"/>
  <c r="Q134"/>
  <c r="R121"/>
  <c r="Q121"/>
  <c r="R117"/>
  <c r="Q117"/>
  <c r="R114"/>
  <c r="Q114"/>
  <c r="R113"/>
  <c r="Q113"/>
  <c r="R112"/>
  <c r="Q112"/>
  <c r="X111"/>
  <c r="AD111" s="1"/>
  <c r="Z111"/>
  <c r="R110"/>
  <c r="Q110"/>
  <c r="X109"/>
  <c r="AD109" s="1"/>
  <c r="Z109"/>
  <c r="R102"/>
  <c r="Q102"/>
  <c r="X101"/>
  <c r="AD101" s="1"/>
  <c r="Z101"/>
  <c r="AG242"/>
  <c r="AJ242" s="1"/>
  <c r="AK242" s="1"/>
  <c r="AG239"/>
  <c r="AJ239" s="1"/>
  <c r="AK239" s="1"/>
  <c r="AG235"/>
  <c r="AG225"/>
  <c r="AJ195"/>
  <c r="R96"/>
  <c r="Q96"/>
  <c r="R92"/>
  <c r="Q92"/>
  <c r="R88"/>
  <c r="Q88"/>
  <c r="R80"/>
  <c r="Q80"/>
  <c r="X73"/>
  <c r="AD73" s="1"/>
  <c r="R67"/>
  <c r="Q67"/>
  <c r="R48"/>
  <c r="Q48"/>
  <c r="R46"/>
  <c r="Q46"/>
  <c r="X45"/>
  <c r="AD45" s="1"/>
  <c r="R39"/>
  <c r="Q39"/>
  <c r="X38"/>
  <c r="AD38" s="1"/>
  <c r="R37"/>
  <c r="Q37"/>
  <c r="R35"/>
  <c r="Q35"/>
  <c r="R32"/>
  <c r="Q32"/>
  <c r="X31"/>
  <c r="AD31" s="1"/>
  <c r="R25"/>
  <c r="Q25"/>
  <c r="R23"/>
  <c r="Q23"/>
  <c r="Q223"/>
  <c r="Q220"/>
  <c r="Q217"/>
  <c r="Q215"/>
  <c r="Q213"/>
  <c r="Q206"/>
  <c r="Q202"/>
  <c r="Q212"/>
  <c r="Q211"/>
  <c r="Q209"/>
  <c r="Q207"/>
  <c r="Q201"/>
  <c r="Q199"/>
  <c r="Q197"/>
  <c r="Q180"/>
  <c r="Q182"/>
  <c r="Q178"/>
  <c r="Q190"/>
  <c r="Q188"/>
  <c r="Q186"/>
  <c r="Q173"/>
  <c r="Q171"/>
  <c r="Q169"/>
  <c r="Q167"/>
  <c r="Q165"/>
  <c r="Q159"/>
  <c r="Q161"/>
  <c r="Q163"/>
  <c r="Q155"/>
  <c r="Q153"/>
  <c r="Q151"/>
  <c r="Q150"/>
  <c r="Q148"/>
  <c r="Q142"/>
  <c r="Q140"/>
  <c r="Q138"/>
  <c r="Q130"/>
  <c r="Q118"/>
  <c r="Q116"/>
  <c r="Q111"/>
  <c r="Q109"/>
  <c r="Q103"/>
  <c r="Q101"/>
  <c r="AG97"/>
  <c r="AJ97" s="1"/>
  <c r="AK97" s="1"/>
  <c r="Y89"/>
  <c r="AE89" s="1"/>
  <c r="AG89"/>
  <c r="AJ89" s="1"/>
  <c r="AG87"/>
  <c r="Q86"/>
  <c r="AG72"/>
  <c r="AJ72" s="1"/>
  <c r="AG68"/>
  <c r="AJ68" s="1"/>
  <c r="AG66"/>
  <c r="AJ66" s="1"/>
  <c r="AG59"/>
  <c r="AG52"/>
  <c r="AG51"/>
  <c r="AG49"/>
  <c r="AJ49" s="1"/>
  <c r="AG47"/>
  <c r="AG40"/>
  <c r="AG36"/>
  <c r="AG33"/>
  <c r="AG26"/>
  <c r="AJ26" s="1"/>
  <c r="AG24"/>
  <c r="AJ24" s="1"/>
  <c r="AG22"/>
  <c r="R94"/>
  <c r="Q94"/>
  <c r="R90"/>
  <c r="Q90"/>
  <c r="X86"/>
  <c r="AD86" s="1"/>
  <c r="R60"/>
  <c r="Q60"/>
  <c r="R62"/>
  <c r="Q62"/>
  <c r="R58"/>
  <c r="Q58"/>
  <c r="R57"/>
  <c r="Q57"/>
  <c r="R55"/>
  <c r="Q55"/>
  <c r="R53"/>
  <c r="Q53"/>
  <c r="X52"/>
  <c r="AD52" s="1"/>
  <c r="Z52"/>
  <c r="X51"/>
  <c r="AD51" s="1"/>
  <c r="Z51"/>
  <c r="R41"/>
  <c r="Q41"/>
  <c r="X40"/>
  <c r="AD40" s="1"/>
  <c r="Z40"/>
  <c r="R34"/>
  <c r="Q34"/>
  <c r="X33"/>
  <c r="AD33" s="1"/>
  <c r="Z33"/>
  <c r="R21"/>
  <c r="Q21"/>
  <c r="R19"/>
  <c r="Q19"/>
  <c r="R18"/>
  <c r="Q18"/>
  <c r="R16"/>
  <c r="Q16"/>
  <c r="Q193"/>
  <c r="Q195"/>
  <c r="Q122"/>
  <c r="Q120"/>
  <c r="Q98"/>
  <c r="Y95"/>
  <c r="AE95" s="1"/>
  <c r="AG95"/>
  <c r="AG91"/>
  <c r="AJ91" s="1"/>
  <c r="AK91" s="1"/>
  <c r="AJ20"/>
  <c r="R14"/>
  <c r="Q14"/>
  <c r="R42"/>
  <c r="Q42"/>
  <c r="R87"/>
  <c r="Q87"/>
  <c r="R108"/>
  <c r="Q108"/>
  <c r="R135"/>
  <c r="Q135"/>
  <c r="R204"/>
  <c r="Q204"/>
  <c r="R273"/>
  <c r="Q273"/>
  <c r="AT65"/>
  <c r="R65"/>
  <c r="Q65"/>
  <c r="BQ65"/>
  <c r="AT84"/>
  <c r="R84"/>
  <c r="Q84"/>
  <c r="BQ84"/>
  <c r="AB93"/>
  <c r="Z93"/>
  <c r="CO93"/>
  <c r="R125"/>
  <c r="Q125"/>
  <c r="BQ125"/>
  <c r="BR125" s="1"/>
  <c r="AB133"/>
  <c r="CO133"/>
  <c r="AB146"/>
  <c r="CO146"/>
  <c r="Y145"/>
  <c r="R144"/>
  <c r="Q144"/>
  <c r="CO145"/>
  <c r="Z145"/>
  <c r="Q85"/>
  <c r="Q81"/>
  <c r="Q73"/>
  <c r="Q72"/>
  <c r="Q68"/>
  <c r="Q66"/>
  <c r="Q59"/>
  <c r="Q61"/>
  <c r="Q56"/>
  <c r="Q54"/>
  <c r="Q52"/>
  <c r="Q51"/>
  <c r="Q49"/>
  <c r="Q47"/>
  <c r="Q45"/>
  <c r="Q40"/>
  <c r="Q38"/>
  <c r="Q36"/>
  <c r="Q33"/>
  <c r="Q31"/>
  <c r="Q27"/>
  <c r="Q26"/>
  <c r="Q24"/>
  <c r="Q22"/>
  <c r="Q20"/>
  <c r="Q17"/>
  <c r="Q15"/>
  <c r="AG15"/>
  <c r="AJ15" s="1"/>
  <c r="R12"/>
  <c r="Z105"/>
  <c r="Y105"/>
  <c r="AE105" s="1"/>
  <c r="BP64"/>
  <c r="BS64" s="1"/>
  <c r="BU64" s="1"/>
  <c r="AG65"/>
  <c r="BP83"/>
  <c r="BS83" s="1"/>
  <c r="BU83" s="1"/>
  <c r="AT44"/>
  <c r="P43"/>
  <c r="O43"/>
  <c r="R50"/>
  <c r="Q50"/>
  <c r="R107"/>
  <c r="Q107"/>
  <c r="R115"/>
  <c r="Q115"/>
  <c r="R141"/>
  <c r="Q141"/>
  <c r="R228"/>
  <c r="Q228"/>
  <c r="R555"/>
  <c r="Q555"/>
  <c r="R563"/>
  <c r="Q563"/>
  <c r="Q619"/>
  <c r="R619"/>
  <c r="R727"/>
  <c r="Q727"/>
  <c r="R736"/>
  <c r="Q736"/>
  <c r="AT231"/>
  <c r="R231"/>
  <c r="Q231"/>
  <c r="BQ231"/>
  <c r="R229"/>
  <c r="Q229"/>
  <c r="Z230"/>
  <c r="CO230"/>
  <c r="R64"/>
  <c r="Q64"/>
  <c r="BQ64"/>
  <c r="R63"/>
  <c r="Q63"/>
  <c r="AT76"/>
  <c r="R76"/>
  <c r="Q76"/>
  <c r="BQ76"/>
  <c r="R74"/>
  <c r="Q74"/>
  <c r="Z75"/>
  <c r="EQ75" s="1"/>
  <c r="CO75"/>
  <c r="AT79"/>
  <c r="R79"/>
  <c r="Q79"/>
  <c r="BQ79"/>
  <c r="R77"/>
  <c r="Q77"/>
  <c r="Z78"/>
  <c r="CO78"/>
  <c r="R83"/>
  <c r="BQ83"/>
  <c r="BR83" s="1"/>
  <c r="Q83"/>
  <c r="AB126"/>
  <c r="CO126"/>
  <c r="R131"/>
  <c r="Q131"/>
  <c r="CO132"/>
  <c r="Z132"/>
  <c r="AG13"/>
  <c r="Y12"/>
  <c r="BP43"/>
  <c r="BS43" s="1"/>
  <c r="BU43" s="1"/>
  <c r="BP230"/>
  <c r="BS230" s="1"/>
  <c r="BU230" s="1"/>
  <c r="EQ230"/>
  <c r="BP75"/>
  <c r="BS75" s="1"/>
  <c r="BU75" s="1"/>
  <c r="BP78"/>
  <c r="BS78" s="1"/>
  <c r="BU78" s="1"/>
  <c r="AG79"/>
  <c r="AJ93"/>
  <c r="R299"/>
  <c r="Q299"/>
  <c r="AT305"/>
  <c r="R399"/>
  <c r="Q399"/>
  <c r="Q462"/>
  <c r="R462"/>
  <c r="AT635"/>
  <c r="BQ635"/>
  <c r="R635"/>
  <c r="Q635"/>
  <c r="Q733"/>
  <c r="R733"/>
  <c r="BQ733"/>
  <c r="Q230"/>
  <c r="Q75"/>
  <c r="Q78"/>
  <c r="Q93"/>
  <c r="Q126"/>
  <c r="Q124"/>
  <c r="Q133"/>
  <c r="Q132"/>
  <c r="Q146"/>
  <c r="Y298"/>
  <c r="BP304"/>
  <c r="BS304" s="1"/>
  <c r="BU304" s="1"/>
  <c r="O305"/>
  <c r="AA305"/>
  <c r="R305"/>
  <c r="Z303"/>
  <c r="EQ303" s="1"/>
  <c r="BP462"/>
  <c r="BS462" s="1"/>
  <c r="BU462" s="1"/>
  <c r="BP634"/>
  <c r="BS634" s="1"/>
  <c r="BU634" s="1"/>
  <c r="AG635"/>
  <c r="BP29"/>
  <c r="BS29" s="1"/>
  <c r="BU29" s="1"/>
  <c r="P304"/>
  <c r="O304"/>
  <c r="AT401"/>
  <c r="P400"/>
  <c r="O400"/>
  <c r="AT463"/>
  <c r="BQ463"/>
  <c r="R463"/>
  <c r="Q463"/>
  <c r="Q634"/>
  <c r="R634"/>
  <c r="BQ634"/>
  <c r="BR634" s="1"/>
  <c r="AT734"/>
  <c r="BQ734"/>
  <c r="R734"/>
  <c r="Q734"/>
  <c r="AT739"/>
  <c r="R739"/>
  <c r="Q739"/>
  <c r="BQ739"/>
  <c r="AT71"/>
  <c r="BQ71"/>
  <c r="R71"/>
  <c r="Q71"/>
  <c r="R69"/>
  <c r="Q69"/>
  <c r="CO70"/>
  <c r="Z70"/>
  <c r="Z29"/>
  <c r="CO29"/>
  <c r="Q274"/>
  <c r="Q370"/>
  <c r="Q373"/>
  <c r="Q432"/>
  <c r="Q435"/>
  <c r="Q442"/>
  <c r="Q505"/>
  <c r="Q506"/>
  <c r="Q507"/>
  <c r="Q512"/>
  <c r="Q529"/>
  <c r="Q533"/>
  <c r="Q541"/>
  <c r="Q542"/>
  <c r="Q544"/>
  <c r="Q656"/>
  <c r="Q680"/>
  <c r="Q691"/>
  <c r="Q694"/>
  <c r="Q706"/>
  <c r="BP400"/>
  <c r="BS400" s="1"/>
  <c r="BU400" s="1"/>
  <c r="BP733"/>
  <c r="BS733" s="1"/>
  <c r="BU733" s="1"/>
  <c r="BP70"/>
  <c r="BS70" s="1"/>
  <c r="BU70" s="1"/>
  <c r="BR699"/>
  <c r="BR184"/>
  <c r="R30"/>
  <c r="Q30"/>
  <c r="R28"/>
  <c r="Q28"/>
  <c r="R700"/>
  <c r="Q700"/>
  <c r="W696"/>
  <c r="Y696" s="1"/>
  <c r="CN696"/>
  <c r="R695"/>
  <c r="Q695"/>
  <c r="W699"/>
  <c r="Y699" s="1"/>
  <c r="CN699"/>
  <c r="R698"/>
  <c r="Q698"/>
  <c r="R453"/>
  <c r="Q453"/>
  <c r="W452"/>
  <c r="CN452"/>
  <c r="R451"/>
  <c r="Q451"/>
  <c r="AG697"/>
  <c r="AG428"/>
  <c r="O184"/>
  <c r="R184"/>
  <c r="R175"/>
  <c r="AG614"/>
  <c r="R697"/>
  <c r="Q697"/>
  <c r="R428"/>
  <c r="Q428"/>
  <c r="W427"/>
  <c r="CN427"/>
  <c r="R426"/>
  <c r="Q426"/>
  <c r="R185"/>
  <c r="Q185"/>
  <c r="W184"/>
  <c r="Y184" s="1"/>
  <c r="CN184"/>
  <c r="R183"/>
  <c r="Q183"/>
  <c r="R176"/>
  <c r="Q176"/>
  <c r="W175"/>
  <c r="CN175"/>
  <c r="R174"/>
  <c r="Q174"/>
  <c r="Z614"/>
  <c r="X614"/>
  <c r="AD614" s="1"/>
  <c r="O462"/>
  <c r="O634"/>
  <c r="O733"/>
  <c r="O739"/>
  <c r="Q70"/>
  <c r="O29"/>
  <c r="BQ30"/>
  <c r="AG30"/>
  <c r="Y29"/>
  <c r="O699"/>
  <c r="AG700"/>
  <c r="R696"/>
  <c r="R699"/>
  <c r="AG453"/>
  <c r="AG185"/>
  <c r="AG176"/>
  <c r="DB176"/>
  <c r="DB742" s="1"/>
  <c r="BQ614"/>
  <c r="Q614"/>
  <c r="AF24" l="1"/>
  <c r="EQ24"/>
  <c r="EQ47"/>
  <c r="AF47"/>
  <c r="AF66"/>
  <c r="EQ66"/>
  <c r="AF72"/>
  <c r="EQ72"/>
  <c r="EQ98"/>
  <c r="AF98"/>
  <c r="AF130"/>
  <c r="EQ130"/>
  <c r="AF151"/>
  <c r="EQ151"/>
  <c r="AF190"/>
  <c r="EQ190"/>
  <c r="AF195"/>
  <c r="EQ195"/>
  <c r="AF199"/>
  <c r="EQ199"/>
  <c r="AF209"/>
  <c r="EQ209"/>
  <c r="AF215"/>
  <c r="EQ215"/>
  <c r="AF259"/>
  <c r="EQ259"/>
  <c r="AF276"/>
  <c r="EQ276"/>
  <c r="AF280"/>
  <c r="EQ280"/>
  <c r="AF309"/>
  <c r="EQ309"/>
  <c r="AF334"/>
  <c r="EQ334"/>
  <c r="AF338"/>
  <c r="EQ338"/>
  <c r="AF355"/>
  <c r="EQ355"/>
  <c r="AF368"/>
  <c r="EQ368"/>
  <c r="AF403"/>
  <c r="EQ403"/>
  <c r="AF413"/>
  <c r="EQ413"/>
  <c r="AF469"/>
  <c r="EQ469"/>
  <c r="AF489"/>
  <c r="EQ489"/>
  <c r="AF494"/>
  <c r="EQ494"/>
  <c r="AF513"/>
  <c r="EQ513"/>
  <c r="AF517"/>
  <c r="EQ517"/>
  <c r="AF538"/>
  <c r="EQ538"/>
  <c r="AF534"/>
  <c r="EQ534"/>
  <c r="AF530"/>
  <c r="EQ530"/>
  <c r="AF546"/>
  <c r="EQ546"/>
  <c r="AF550"/>
  <c r="EQ550"/>
  <c r="AF561"/>
  <c r="EQ561"/>
  <c r="AF572"/>
  <c r="EQ572"/>
  <c r="AF581"/>
  <c r="EQ581"/>
  <c r="EQ617"/>
  <c r="AF617"/>
  <c r="AF638"/>
  <c r="EQ638"/>
  <c r="AF644"/>
  <c r="EQ644"/>
  <c r="AF648"/>
  <c r="EQ648"/>
  <c r="AF652"/>
  <c r="EQ652"/>
  <c r="AF738"/>
  <c r="EQ738"/>
  <c r="F17" i="101"/>
  <c r="F19" s="1"/>
  <c r="D17"/>
  <c r="D19"/>
  <c r="E17"/>
  <c r="Z678" i="51055"/>
  <c r="AJ678" s="1"/>
  <c r="BV695"/>
  <c r="AJ259"/>
  <c r="AJ276"/>
  <c r="AJ469"/>
  <c r="AJ489"/>
  <c r="AJ494"/>
  <c r="AJ513"/>
  <c r="AJ517"/>
  <c r="AJ538"/>
  <c r="AN60" i="51061"/>
  <c r="AN99"/>
  <c r="AN87"/>
  <c r="AN33"/>
  <c r="AM112"/>
  <c r="AI81"/>
  <c r="AF22" i="51055"/>
  <c r="EQ22"/>
  <c r="AF26"/>
  <c r="EQ26"/>
  <c r="AF36"/>
  <c r="EQ36"/>
  <c r="AF49"/>
  <c r="EQ49"/>
  <c r="AF59"/>
  <c r="EQ59"/>
  <c r="AF68"/>
  <c r="EQ68"/>
  <c r="AF89"/>
  <c r="EQ89"/>
  <c r="AF95"/>
  <c r="EQ95"/>
  <c r="AF122"/>
  <c r="EQ122"/>
  <c r="AF148"/>
  <c r="EQ148"/>
  <c r="AF153"/>
  <c r="EQ153"/>
  <c r="AF169"/>
  <c r="EQ169"/>
  <c r="AF188"/>
  <c r="EQ188"/>
  <c r="AF178"/>
  <c r="EQ178"/>
  <c r="AF207"/>
  <c r="EQ207"/>
  <c r="AF211"/>
  <c r="EQ211"/>
  <c r="AF202"/>
  <c r="EQ202"/>
  <c r="AF213"/>
  <c r="EQ213"/>
  <c r="AF217"/>
  <c r="EQ217"/>
  <c r="AF227"/>
  <c r="EQ227"/>
  <c r="AF240"/>
  <c r="EQ240"/>
  <c r="AF265"/>
  <c r="EQ265"/>
  <c r="AF278"/>
  <c r="EQ278"/>
  <c r="AF282"/>
  <c r="EQ282"/>
  <c r="AF331"/>
  <c r="EQ331"/>
  <c r="AF336"/>
  <c r="EQ336"/>
  <c r="AF348"/>
  <c r="EQ348"/>
  <c r="AF366"/>
  <c r="EQ366"/>
  <c r="AF371"/>
  <c r="EQ371"/>
  <c r="AF405"/>
  <c r="EQ405"/>
  <c r="AF419"/>
  <c r="EQ419"/>
  <c r="AF438"/>
  <c r="EQ438"/>
  <c r="AF484"/>
  <c r="EQ484"/>
  <c r="AF492"/>
  <c r="EQ492"/>
  <c r="AF511"/>
  <c r="EQ511"/>
  <c r="AF515"/>
  <c r="EQ515"/>
  <c r="AF526"/>
  <c r="EQ526"/>
  <c r="AF536"/>
  <c r="EQ536"/>
  <c r="AF532"/>
  <c r="EQ532"/>
  <c r="EQ528"/>
  <c r="AF528"/>
  <c r="AF540"/>
  <c r="EQ540"/>
  <c r="EQ548"/>
  <c r="AF548"/>
  <c r="AF565"/>
  <c r="EQ565"/>
  <c r="AF574"/>
  <c r="EQ574"/>
  <c r="AF583"/>
  <c r="EQ583"/>
  <c r="AF606"/>
  <c r="EQ606"/>
  <c r="AF621"/>
  <c r="EQ621"/>
  <c r="AF636"/>
  <c r="EQ636"/>
  <c r="AF642"/>
  <c r="EQ642"/>
  <c r="AF646"/>
  <c r="EQ646"/>
  <c r="AF650"/>
  <c r="EQ650"/>
  <c r="AF660"/>
  <c r="EQ660"/>
  <c r="AF702"/>
  <c r="EQ702"/>
  <c r="AF724"/>
  <c r="EQ724"/>
  <c r="D114" i="51061"/>
  <c r="AE114" s="1"/>
  <c r="AE25"/>
  <c r="L17" i="101"/>
  <c r="L19" s="1"/>
  <c r="J18"/>
  <c r="E23"/>
  <c r="D23"/>
  <c r="L23"/>
  <c r="M23"/>
  <c r="H23"/>
  <c r="N23"/>
  <c r="J23"/>
  <c r="O23"/>
  <c r="O25" s="1"/>
  <c r="F23"/>
  <c r="F25" s="1"/>
  <c r="K23"/>
  <c r="I23"/>
  <c r="G23"/>
  <c r="BR70" i="51055"/>
  <c r="BR462"/>
  <c r="BR64"/>
  <c r="Z341"/>
  <c r="Z361"/>
  <c r="AF361" s="1"/>
  <c r="Z394"/>
  <c r="Z570"/>
  <c r="AJ570" s="1"/>
  <c r="Z576"/>
  <c r="AJ576" s="1"/>
  <c r="Z578"/>
  <c r="AJ578" s="1"/>
  <c r="Z589"/>
  <c r="AJ589" s="1"/>
  <c r="Z591"/>
  <c r="AJ591" s="1"/>
  <c r="Z593"/>
  <c r="AJ593" s="1"/>
  <c r="Z602"/>
  <c r="AJ602" s="1"/>
  <c r="AL112" i="51061"/>
  <c r="AJ265" i="51055"/>
  <c r="AJ309"/>
  <c r="AJ334"/>
  <c r="AJ338"/>
  <c r="AJ355"/>
  <c r="AJ368"/>
  <c r="AJ403"/>
  <c r="AJ438"/>
  <c r="AJ484"/>
  <c r="AJ492"/>
  <c r="AJ511"/>
  <c r="AJ515"/>
  <c r="AJ526"/>
  <c r="AJ536"/>
  <c r="AN75" i="51061"/>
  <c r="AN25"/>
  <c r="AN18"/>
  <c r="AN42"/>
  <c r="W614" i="51055"/>
  <c r="AC614" s="1"/>
  <c r="CN614"/>
  <c r="AA614"/>
  <c r="I70" i="51061"/>
  <c r="AG70" s="1"/>
  <c r="Z183" i="51055"/>
  <c r="EQ183" s="1"/>
  <c r="CO183"/>
  <c r="Y427"/>
  <c r="CO697"/>
  <c r="AB697"/>
  <c r="Z184"/>
  <c r="CO184"/>
  <c r="AA453"/>
  <c r="CN453"/>
  <c r="W695"/>
  <c r="Y695" s="1"/>
  <c r="Y697" s="1"/>
  <c r="AE697" s="1"/>
  <c r="CN695"/>
  <c r="AA700"/>
  <c r="CN700"/>
  <c r="CN30"/>
  <c r="AA30"/>
  <c r="W694"/>
  <c r="AC694" s="1"/>
  <c r="AA694"/>
  <c r="CN694"/>
  <c r="W680"/>
  <c r="AC680" s="1"/>
  <c r="CN680"/>
  <c r="AA680"/>
  <c r="W544"/>
  <c r="AC544" s="1"/>
  <c r="CN544"/>
  <c r="AA544"/>
  <c r="W541"/>
  <c r="AC541" s="1"/>
  <c r="CN541"/>
  <c r="AA541"/>
  <c r="W529"/>
  <c r="AC529" s="1"/>
  <c r="CN529"/>
  <c r="AA529"/>
  <c r="W507"/>
  <c r="AC507" s="1"/>
  <c r="CN507"/>
  <c r="AA507"/>
  <c r="W505"/>
  <c r="AC505" s="1"/>
  <c r="CN505"/>
  <c r="AA505"/>
  <c r="W435"/>
  <c r="AC435" s="1"/>
  <c r="CN435"/>
  <c r="AA435"/>
  <c r="W373"/>
  <c r="AC373" s="1"/>
  <c r="CN373"/>
  <c r="AA373"/>
  <c r="W274"/>
  <c r="AC274" s="1"/>
  <c r="CN274"/>
  <c r="AA274"/>
  <c r="Z69"/>
  <c r="EQ69" s="1"/>
  <c r="CO69"/>
  <c r="AB71"/>
  <c r="CO71"/>
  <c r="Z739"/>
  <c r="CO739"/>
  <c r="AB739"/>
  <c r="AB734"/>
  <c r="CO734"/>
  <c r="W634"/>
  <c r="W635" s="1"/>
  <c r="AC635" s="1"/>
  <c r="CN634"/>
  <c r="AB463"/>
  <c r="CO463"/>
  <c r="Q304"/>
  <c r="R304"/>
  <c r="BQ304"/>
  <c r="BR304" s="1"/>
  <c r="AB305"/>
  <c r="CO305"/>
  <c r="CN146"/>
  <c r="AA146"/>
  <c r="CN133"/>
  <c r="AA133"/>
  <c r="CN126"/>
  <c r="AA126"/>
  <c r="W78"/>
  <c r="CN78"/>
  <c r="Y78"/>
  <c r="W230"/>
  <c r="CN230"/>
  <c r="Y230"/>
  <c r="CO733"/>
  <c r="Z733"/>
  <c r="CN635"/>
  <c r="AA635"/>
  <c r="W462"/>
  <c r="W463" s="1"/>
  <c r="AC463" s="1"/>
  <c r="CN462"/>
  <c r="Z399"/>
  <c r="EQ399" s="1"/>
  <c r="CO399"/>
  <c r="W299"/>
  <c r="W300" s="1"/>
  <c r="AC300" s="1"/>
  <c r="CN299"/>
  <c r="AE12"/>
  <c r="AJ13"/>
  <c r="AK13" s="1"/>
  <c r="I8" i="51061"/>
  <c r="AG742" i="51055"/>
  <c r="EQ132"/>
  <c r="W131"/>
  <c r="Y131" s="1"/>
  <c r="CN131"/>
  <c r="W83"/>
  <c r="W84" s="1"/>
  <c r="AC84" s="1"/>
  <c r="CN83"/>
  <c r="Y83"/>
  <c r="Y84" s="1"/>
  <c r="AE84" s="1"/>
  <c r="Z83"/>
  <c r="CO83"/>
  <c r="Z77"/>
  <c r="EQ77" s="1"/>
  <c r="CO77"/>
  <c r="AA79"/>
  <c r="CN79"/>
  <c r="W74"/>
  <c r="Y74" s="1"/>
  <c r="CN74"/>
  <c r="CO76"/>
  <c r="AB76"/>
  <c r="X63"/>
  <c r="X65" s="1"/>
  <c r="AD65" s="1"/>
  <c r="CO63"/>
  <c r="CN64"/>
  <c r="W64"/>
  <c r="W229"/>
  <c r="Y229" s="1"/>
  <c r="CN229"/>
  <c r="CO231"/>
  <c r="AB231"/>
  <c r="Z736"/>
  <c r="AJ736" s="1"/>
  <c r="AB736"/>
  <c r="CO736"/>
  <c r="Z727"/>
  <c r="AB727"/>
  <c r="CO727"/>
  <c r="W619"/>
  <c r="AC619" s="1"/>
  <c r="AA619"/>
  <c r="CN619"/>
  <c r="Z563"/>
  <c r="CO563"/>
  <c r="AB563"/>
  <c r="Z555"/>
  <c r="CO555"/>
  <c r="AB555"/>
  <c r="Z228"/>
  <c r="AB228"/>
  <c r="CO228"/>
  <c r="Z141"/>
  <c r="CO141"/>
  <c r="AB141"/>
  <c r="Z115"/>
  <c r="CO115"/>
  <c r="AB115"/>
  <c r="Z107"/>
  <c r="AB107"/>
  <c r="CO107"/>
  <c r="Z50"/>
  <c r="AB50"/>
  <c r="CO50"/>
  <c r="Q43"/>
  <c r="BQ43"/>
  <c r="BR43" s="1"/>
  <c r="BV43" s="1"/>
  <c r="R43"/>
  <c r="R742" s="1"/>
  <c r="EQ105"/>
  <c r="AF105"/>
  <c r="W17"/>
  <c r="AC17" s="1"/>
  <c r="CN17"/>
  <c r="AA17"/>
  <c r="W22"/>
  <c r="AC22" s="1"/>
  <c r="CN22"/>
  <c r="AA22"/>
  <c r="W26"/>
  <c r="AC26" s="1"/>
  <c r="AA26"/>
  <c r="CN26"/>
  <c r="W31"/>
  <c r="AC31" s="1"/>
  <c r="AA31"/>
  <c r="CN31"/>
  <c r="W36"/>
  <c r="AC36" s="1"/>
  <c r="CN36"/>
  <c r="AA36"/>
  <c r="W40"/>
  <c r="AC40" s="1"/>
  <c r="AA40"/>
  <c r="CN40"/>
  <c r="W47"/>
  <c r="AC47" s="1"/>
  <c r="CN47"/>
  <c r="AA47"/>
  <c r="W51"/>
  <c r="AC51" s="1"/>
  <c r="CN51"/>
  <c r="AA51"/>
  <c r="W54"/>
  <c r="AC54" s="1"/>
  <c r="CN54"/>
  <c r="AA54"/>
  <c r="W61"/>
  <c r="AC61" s="1"/>
  <c r="AA61"/>
  <c r="CN61"/>
  <c r="W66"/>
  <c r="AC66" s="1"/>
  <c r="AA66"/>
  <c r="CN66"/>
  <c r="W72"/>
  <c r="AC72" s="1"/>
  <c r="CN72"/>
  <c r="AA72"/>
  <c r="W81"/>
  <c r="AC81" s="1"/>
  <c r="AA81"/>
  <c r="CN81"/>
  <c r="EQ145"/>
  <c r="W144"/>
  <c r="W146" s="1"/>
  <c r="AC146" s="1"/>
  <c r="CN144"/>
  <c r="CO125"/>
  <c r="Z125"/>
  <c r="AF93"/>
  <c r="EQ93"/>
  <c r="CO84"/>
  <c r="AB84"/>
  <c r="AA65"/>
  <c r="CN65"/>
  <c r="W273"/>
  <c r="AC273" s="1"/>
  <c r="CN273"/>
  <c r="AA273"/>
  <c r="W204"/>
  <c r="AC204" s="1"/>
  <c r="CN204"/>
  <c r="AA204"/>
  <c r="W135"/>
  <c r="AC135" s="1"/>
  <c r="CN135"/>
  <c r="AA135"/>
  <c r="W108"/>
  <c r="AC108" s="1"/>
  <c r="CN108"/>
  <c r="AA108"/>
  <c r="W87"/>
  <c r="AC87" s="1"/>
  <c r="CN87"/>
  <c r="AA87"/>
  <c r="W42"/>
  <c r="Y42" s="1"/>
  <c r="CN42"/>
  <c r="Y14"/>
  <c r="AE14" s="1"/>
  <c r="W14"/>
  <c r="CN14"/>
  <c r="AA14"/>
  <c r="W98"/>
  <c r="AC98" s="1"/>
  <c r="CN98"/>
  <c r="AA98"/>
  <c r="W122"/>
  <c r="AC122" s="1"/>
  <c r="AA122"/>
  <c r="CN122"/>
  <c r="W195"/>
  <c r="AC195" s="1"/>
  <c r="CN195"/>
  <c r="AA195"/>
  <c r="W16"/>
  <c r="AC16" s="1"/>
  <c r="CN16"/>
  <c r="AA16"/>
  <c r="W18"/>
  <c r="AC18" s="1"/>
  <c r="AA18"/>
  <c r="CN18"/>
  <c r="W19"/>
  <c r="AC19" s="1"/>
  <c r="Y19"/>
  <c r="AE19" s="1"/>
  <c r="CN19"/>
  <c r="AA19"/>
  <c r="W21"/>
  <c r="AC21" s="1"/>
  <c r="AA21"/>
  <c r="CN21"/>
  <c r="EQ33"/>
  <c r="AF33"/>
  <c r="W34"/>
  <c r="AC34" s="1"/>
  <c r="AA34"/>
  <c r="CN34"/>
  <c r="AF40"/>
  <c r="EQ40"/>
  <c r="W41"/>
  <c r="AC41" s="1"/>
  <c r="AA41"/>
  <c r="CN41"/>
  <c r="AF51"/>
  <c r="EQ51"/>
  <c r="AF52"/>
  <c r="EQ52"/>
  <c r="W53"/>
  <c r="AC53" s="1"/>
  <c r="AA53"/>
  <c r="CN53"/>
  <c r="W55"/>
  <c r="AC55" s="1"/>
  <c r="AA55"/>
  <c r="CN55"/>
  <c r="W57"/>
  <c r="AC57" s="1"/>
  <c r="AA57"/>
  <c r="CN57"/>
  <c r="W58"/>
  <c r="AC58" s="1"/>
  <c r="AA58"/>
  <c r="CN58"/>
  <c r="W62"/>
  <c r="AC62" s="1"/>
  <c r="CN62"/>
  <c r="AA62"/>
  <c r="W60"/>
  <c r="AC60" s="1"/>
  <c r="AA60"/>
  <c r="CN60"/>
  <c r="W90"/>
  <c r="AC90" s="1"/>
  <c r="CN90"/>
  <c r="AA90"/>
  <c r="W94"/>
  <c r="AC94" s="1"/>
  <c r="AA94"/>
  <c r="CN94"/>
  <c r="AJ36"/>
  <c r="I11" i="51061"/>
  <c r="AG11" s="1"/>
  <c r="AJ52" i="51055"/>
  <c r="I13" i="51061"/>
  <c r="AG13" s="1"/>
  <c r="I16"/>
  <c r="AG16" s="1"/>
  <c r="W101" i="51055"/>
  <c r="AC101" s="1"/>
  <c r="Y101"/>
  <c r="AE101" s="1"/>
  <c r="AA101"/>
  <c r="CN101"/>
  <c r="W109"/>
  <c r="AC109" s="1"/>
  <c r="Y109"/>
  <c r="AE109" s="1"/>
  <c r="CN109"/>
  <c r="AA109"/>
  <c r="W116"/>
  <c r="AC116" s="1"/>
  <c r="Y116"/>
  <c r="CN116"/>
  <c r="AA116"/>
  <c r="W130"/>
  <c r="AC130" s="1"/>
  <c r="Y130"/>
  <c r="AE130" s="1"/>
  <c r="CN130"/>
  <c r="AA130"/>
  <c r="W140"/>
  <c r="AC140" s="1"/>
  <c r="Y140"/>
  <c r="AA140"/>
  <c r="CN140"/>
  <c r="W148"/>
  <c r="AC148" s="1"/>
  <c r="Y148"/>
  <c r="AE148" s="1"/>
  <c r="AA148"/>
  <c r="CN148"/>
  <c r="W151"/>
  <c r="AC151" s="1"/>
  <c r="Y151"/>
  <c r="AE151" s="1"/>
  <c r="CN151"/>
  <c r="AA151"/>
  <c r="W155"/>
  <c r="AC155" s="1"/>
  <c r="Y155"/>
  <c r="CN155"/>
  <c r="AA155"/>
  <c r="W161"/>
  <c r="AC161" s="1"/>
  <c r="Y161"/>
  <c r="AA161"/>
  <c r="CN161"/>
  <c r="W165"/>
  <c r="AC165" s="1"/>
  <c r="Y165"/>
  <c r="CN165"/>
  <c r="AA165"/>
  <c r="W169"/>
  <c r="AC169" s="1"/>
  <c r="Y169"/>
  <c r="AE169" s="1"/>
  <c r="CN169"/>
  <c r="AA169"/>
  <c r="W173"/>
  <c r="AC173" s="1"/>
  <c r="Y173"/>
  <c r="AA173"/>
  <c r="CN173"/>
  <c r="W188"/>
  <c r="AC188" s="1"/>
  <c r="Y188"/>
  <c r="AE188" s="1"/>
  <c r="CN188"/>
  <c r="AA188"/>
  <c r="W178"/>
  <c r="AC178" s="1"/>
  <c r="Y178"/>
  <c r="AE178" s="1"/>
  <c r="AA178"/>
  <c r="CN178"/>
  <c r="W180"/>
  <c r="AC180" s="1"/>
  <c r="Y180"/>
  <c r="CN180"/>
  <c r="AA180"/>
  <c r="W199"/>
  <c r="AC199" s="1"/>
  <c r="Y199"/>
  <c r="AE199" s="1"/>
  <c r="CN199"/>
  <c r="AA199"/>
  <c r="W207"/>
  <c r="AC207" s="1"/>
  <c r="Y207"/>
  <c r="AE207" s="1"/>
  <c r="AA207"/>
  <c r="CN207"/>
  <c r="W211"/>
  <c r="AC211" s="1"/>
  <c r="Y211"/>
  <c r="AE211" s="1"/>
  <c r="AA211"/>
  <c r="CN211"/>
  <c r="W202"/>
  <c r="AC202" s="1"/>
  <c r="Y202"/>
  <c r="AE202" s="1"/>
  <c r="AA202"/>
  <c r="CN202"/>
  <c r="W213"/>
  <c r="AC213" s="1"/>
  <c r="Y213"/>
  <c r="AE213" s="1"/>
  <c r="AA213"/>
  <c r="CN213"/>
  <c r="W217"/>
  <c r="AC217" s="1"/>
  <c r="Y217"/>
  <c r="AE217" s="1"/>
  <c r="CN217"/>
  <c r="AA217"/>
  <c r="W223"/>
  <c r="AC223" s="1"/>
  <c r="Y223"/>
  <c r="AE223" s="1"/>
  <c r="CN223"/>
  <c r="AA223"/>
  <c r="Z23"/>
  <c r="CO23"/>
  <c r="AB23"/>
  <c r="Z25"/>
  <c r="AB25"/>
  <c r="CO25"/>
  <c r="Z32"/>
  <c r="CO32"/>
  <c r="AB32"/>
  <c r="Z35"/>
  <c r="CO35"/>
  <c r="AB35"/>
  <c r="X37"/>
  <c r="AD37" s="1"/>
  <c r="CO37"/>
  <c r="AB37"/>
  <c r="Z39"/>
  <c r="CO39"/>
  <c r="AB39"/>
  <c r="Z46"/>
  <c r="CO46"/>
  <c r="AB46"/>
  <c r="Z48"/>
  <c r="CO48"/>
  <c r="AB48"/>
  <c r="Z67"/>
  <c r="CO67"/>
  <c r="AB67"/>
  <c r="X80"/>
  <c r="AD80" s="1"/>
  <c r="AB80"/>
  <c r="CO80"/>
  <c r="Z88"/>
  <c r="AB88"/>
  <c r="CO88"/>
  <c r="Z92"/>
  <c r="CO92"/>
  <c r="AB92"/>
  <c r="AF101"/>
  <c r="EQ101"/>
  <c r="W102"/>
  <c r="AC102" s="1"/>
  <c r="AA102"/>
  <c r="CN102"/>
  <c r="AF109"/>
  <c r="EQ109"/>
  <c r="W110"/>
  <c r="AC110" s="1"/>
  <c r="CN110"/>
  <c r="AA110"/>
  <c r="AF111"/>
  <c r="EQ111"/>
  <c r="W112"/>
  <c r="AC112" s="1"/>
  <c r="AA112"/>
  <c r="CN112"/>
  <c r="W113"/>
  <c r="AC113" s="1"/>
  <c r="AA113"/>
  <c r="CN113"/>
  <c r="W114"/>
  <c r="AC114" s="1"/>
  <c r="Y114"/>
  <c r="AE114" s="1"/>
  <c r="AA114"/>
  <c r="CN114"/>
  <c r="W117"/>
  <c r="AC117" s="1"/>
  <c r="CN117"/>
  <c r="AA117"/>
  <c r="W121"/>
  <c r="AC121" s="1"/>
  <c r="CN121"/>
  <c r="AA121"/>
  <c r="W134"/>
  <c r="AC134" s="1"/>
  <c r="AA134"/>
  <c r="CN134"/>
  <c r="W139"/>
  <c r="AC139" s="1"/>
  <c r="CN139"/>
  <c r="AA139"/>
  <c r="AF150"/>
  <c r="EQ150"/>
  <c r="W156"/>
  <c r="AC156" s="1"/>
  <c r="AA156"/>
  <c r="CN156"/>
  <c r="W164"/>
  <c r="AC164" s="1"/>
  <c r="AA164"/>
  <c r="CN164"/>
  <c r="W162"/>
  <c r="AC162" s="1"/>
  <c r="CN162"/>
  <c r="AA162"/>
  <c r="W160"/>
  <c r="AC160" s="1"/>
  <c r="AA160"/>
  <c r="CN160"/>
  <c r="W166"/>
  <c r="AC166" s="1"/>
  <c r="AA166"/>
  <c r="CN166"/>
  <c r="W168"/>
  <c r="AC168" s="1"/>
  <c r="AA168"/>
  <c r="CN168"/>
  <c r="AF171"/>
  <c r="EQ171"/>
  <c r="W172"/>
  <c r="AC172" s="1"/>
  <c r="CN172"/>
  <c r="AA172"/>
  <c r="AF186"/>
  <c r="EQ186"/>
  <c r="W187"/>
  <c r="AC187" s="1"/>
  <c r="AA187"/>
  <c r="CN187"/>
  <c r="W177"/>
  <c r="AC177" s="1"/>
  <c r="CN177"/>
  <c r="AA177"/>
  <c r="W205"/>
  <c r="AC205" s="1"/>
  <c r="AA205"/>
  <c r="CN205"/>
  <c r="W219"/>
  <c r="AC219" s="1"/>
  <c r="AA219"/>
  <c r="CN219"/>
  <c r="W222"/>
  <c r="AC222" s="1"/>
  <c r="CN222"/>
  <c r="AA222"/>
  <c r="W224"/>
  <c r="AC224" s="1"/>
  <c r="CN224"/>
  <c r="AA224"/>
  <c r="W226"/>
  <c r="AC226" s="1"/>
  <c r="CN226"/>
  <c r="AA226"/>
  <c r="W234"/>
  <c r="AC234" s="1"/>
  <c r="CN234"/>
  <c r="AA234"/>
  <c r="W238"/>
  <c r="AC238" s="1"/>
  <c r="CN238"/>
  <c r="AA238"/>
  <c r="W241"/>
  <c r="AC241" s="1"/>
  <c r="AA241"/>
  <c r="CN241"/>
  <c r="AJ199"/>
  <c r="I34" i="51061"/>
  <c r="AJ207" i="51055"/>
  <c r="I35" i="51061"/>
  <c r="AG35" s="1"/>
  <c r="BP221" i="51055"/>
  <c r="BR221" s="1"/>
  <c r="AJ240"/>
  <c r="I41" i="51061"/>
  <c r="AG41" s="1"/>
  <c r="W248" i="51055"/>
  <c r="AC248" s="1"/>
  <c r="CN248"/>
  <c r="AA248"/>
  <c r="W254"/>
  <c r="AC254" s="1"/>
  <c r="AA254"/>
  <c r="CN254"/>
  <c r="W258"/>
  <c r="AC258" s="1"/>
  <c r="AA258"/>
  <c r="CN258"/>
  <c r="W261"/>
  <c r="AC261" s="1"/>
  <c r="CN261"/>
  <c r="AA261"/>
  <c r="W265"/>
  <c r="AC265" s="1"/>
  <c r="CN265"/>
  <c r="AA265"/>
  <c r="W270"/>
  <c r="AC270" s="1"/>
  <c r="CN270"/>
  <c r="AA270"/>
  <c r="W272"/>
  <c r="AC272" s="1"/>
  <c r="AA272"/>
  <c r="CN272"/>
  <c r="W278"/>
  <c r="AC278" s="1"/>
  <c r="AA278"/>
  <c r="CN278"/>
  <c r="W282"/>
  <c r="AC282" s="1"/>
  <c r="CN282"/>
  <c r="AA282"/>
  <c r="W285"/>
  <c r="AC285" s="1"/>
  <c r="AA285"/>
  <c r="CN285"/>
  <c r="W289"/>
  <c r="AC289" s="1"/>
  <c r="CN289"/>
  <c r="AA289"/>
  <c r="W293"/>
  <c r="AC293" s="1"/>
  <c r="CN293"/>
  <c r="AA293"/>
  <c r="W317"/>
  <c r="AC317" s="1"/>
  <c r="CN317"/>
  <c r="AA317"/>
  <c r="W321"/>
  <c r="AC321" s="1"/>
  <c r="AA321"/>
  <c r="CN321"/>
  <c r="W297"/>
  <c r="AC297" s="1"/>
  <c r="CN297"/>
  <c r="AA297"/>
  <c r="W307"/>
  <c r="AC307" s="1"/>
  <c r="AA307"/>
  <c r="CN307"/>
  <c r="W311"/>
  <c r="AC311" s="1"/>
  <c r="CN311"/>
  <c r="AA311"/>
  <c r="W315"/>
  <c r="AC315" s="1"/>
  <c r="AA315"/>
  <c r="CN315"/>
  <c r="W327"/>
  <c r="AC327" s="1"/>
  <c r="CN327"/>
  <c r="AA327"/>
  <c r="W331"/>
  <c r="AC331" s="1"/>
  <c r="CN331"/>
  <c r="AA331"/>
  <c r="W334"/>
  <c r="AC334" s="1"/>
  <c r="CN334"/>
  <c r="AA334"/>
  <c r="W338"/>
  <c r="AC338" s="1"/>
  <c r="AA338"/>
  <c r="CN338"/>
  <c r="W343"/>
  <c r="AC343" s="1"/>
  <c r="AA343"/>
  <c r="CN343"/>
  <c r="W348"/>
  <c r="AC348" s="1"/>
  <c r="AA348"/>
  <c r="CN348"/>
  <c r="W352"/>
  <c r="AC352" s="1"/>
  <c r="AA352"/>
  <c r="CN352"/>
  <c r="W355"/>
  <c r="AC355" s="1"/>
  <c r="CN355"/>
  <c r="AA355"/>
  <c r="W359"/>
  <c r="AC359" s="1"/>
  <c r="AA359"/>
  <c r="CN359"/>
  <c r="W363"/>
  <c r="AC363" s="1"/>
  <c r="CN363"/>
  <c r="AA363"/>
  <c r="W368"/>
  <c r="AC368" s="1"/>
  <c r="CN368"/>
  <c r="AA368"/>
  <c r="W375"/>
  <c r="AC375" s="1"/>
  <c r="AA375"/>
  <c r="CN375"/>
  <c r="W379"/>
  <c r="AC379" s="1"/>
  <c r="CN379"/>
  <c r="AA379"/>
  <c r="W382"/>
  <c r="AC382" s="1"/>
  <c r="AA382"/>
  <c r="CN382"/>
  <c r="W386"/>
  <c r="AC386" s="1"/>
  <c r="CN386"/>
  <c r="AA386"/>
  <c r="W390"/>
  <c r="AC390" s="1"/>
  <c r="AA390"/>
  <c r="CN390"/>
  <c r="W394"/>
  <c r="AC394" s="1"/>
  <c r="AA394"/>
  <c r="CN394"/>
  <c r="W398"/>
  <c r="AC398" s="1"/>
  <c r="AA398"/>
  <c r="CN398"/>
  <c r="W405"/>
  <c r="AC405" s="1"/>
  <c r="CN405"/>
  <c r="AA405"/>
  <c r="W410"/>
  <c r="AC410" s="1"/>
  <c r="AA410"/>
  <c r="CN410"/>
  <c r="X99"/>
  <c r="AD99" s="1"/>
  <c r="F17" i="51061" s="1"/>
  <c r="AB99" i="51055"/>
  <c r="CO99"/>
  <c r="Z100"/>
  <c r="CO100"/>
  <c r="AB100"/>
  <c r="AD118"/>
  <c r="Z118"/>
  <c r="X119"/>
  <c r="AD119" s="1"/>
  <c r="CO119"/>
  <c r="AB119"/>
  <c r="Z123"/>
  <c r="CO123"/>
  <c r="AB123"/>
  <c r="Z127"/>
  <c r="CO127"/>
  <c r="AB127"/>
  <c r="X128"/>
  <c r="AD128" s="1"/>
  <c r="F22" i="51061" s="1"/>
  <c r="AB128" i="51055"/>
  <c r="CO128"/>
  <c r="Z129"/>
  <c r="CO129"/>
  <c r="AB129"/>
  <c r="X136"/>
  <c r="AD136" s="1"/>
  <c r="AB136"/>
  <c r="CO136"/>
  <c r="X137"/>
  <c r="AD137" s="1"/>
  <c r="AB137"/>
  <c r="CO137"/>
  <c r="AD197"/>
  <c r="F34" i="51061" s="1"/>
  <c r="Z197" i="51055"/>
  <c r="Z198"/>
  <c r="AB198"/>
  <c r="CO198"/>
  <c r="Z200"/>
  <c r="AB200"/>
  <c r="CO200"/>
  <c r="Z208"/>
  <c r="CO208"/>
  <c r="AB208"/>
  <c r="Z210"/>
  <c r="AB210"/>
  <c r="CO210"/>
  <c r="Y175"/>
  <c r="DP176"/>
  <c r="DP742" s="1"/>
  <c r="AK93"/>
  <c r="Z79"/>
  <c r="EQ78"/>
  <c r="BR230"/>
  <c r="BV230" s="1"/>
  <c r="AJ33"/>
  <c r="AJ40"/>
  <c r="F10" i="51061"/>
  <c r="F12"/>
  <c r="F15"/>
  <c r="AJ111" i="51055"/>
  <c r="AJ150"/>
  <c r="AJ186"/>
  <c r="AK211"/>
  <c r="Z699"/>
  <c r="CO699"/>
  <c r="Z696"/>
  <c r="CO696"/>
  <c r="W70"/>
  <c r="Y70" s="1"/>
  <c r="CN70"/>
  <c r="AF614"/>
  <c r="EQ614"/>
  <c r="Z174"/>
  <c r="EQ174" s="1"/>
  <c r="CO174"/>
  <c r="CO176"/>
  <c r="AB176"/>
  <c r="CO185"/>
  <c r="AB185"/>
  <c r="Z426"/>
  <c r="CO426"/>
  <c r="CO428"/>
  <c r="AB428"/>
  <c r="Z175"/>
  <c r="CO175"/>
  <c r="W451"/>
  <c r="Y451" s="1"/>
  <c r="CN451"/>
  <c r="Y698"/>
  <c r="Y700" s="1"/>
  <c r="AE700" s="1"/>
  <c r="W698"/>
  <c r="CN698"/>
  <c r="W28"/>
  <c r="W30" s="1"/>
  <c r="AC30" s="1"/>
  <c r="CN28"/>
  <c r="I30" i="51061"/>
  <c r="AG30" s="1"/>
  <c r="I10"/>
  <c r="AG10" s="1"/>
  <c r="W174" i="51055"/>
  <c r="W176" s="1"/>
  <c r="AC176" s="1"/>
  <c r="CN174"/>
  <c r="AA176"/>
  <c r="CN176"/>
  <c r="W183"/>
  <c r="Y183" s="1"/>
  <c r="Y185" s="1"/>
  <c r="AE185" s="1"/>
  <c r="CN183"/>
  <c r="AA185"/>
  <c r="CN185"/>
  <c r="Y426"/>
  <c r="W426"/>
  <c r="W428" s="1"/>
  <c r="AC428" s="1"/>
  <c r="CN426"/>
  <c r="AA428"/>
  <c r="CN428"/>
  <c r="AA697"/>
  <c r="CN697"/>
  <c r="Z451"/>
  <c r="CO451"/>
  <c r="Y452"/>
  <c r="W453"/>
  <c r="AC453" s="1"/>
  <c r="CO453"/>
  <c r="AB453"/>
  <c r="Z698"/>
  <c r="EQ698" s="1"/>
  <c r="CO698"/>
  <c r="Z695"/>
  <c r="EQ695" s="1"/>
  <c r="CO695"/>
  <c r="CO700"/>
  <c r="AB700"/>
  <c r="Z28"/>
  <c r="EQ28" s="1"/>
  <c r="CO28"/>
  <c r="CO30"/>
  <c r="AB30"/>
  <c r="W706"/>
  <c r="AC706" s="1"/>
  <c r="CN706"/>
  <c r="AA706"/>
  <c r="W691"/>
  <c r="AC691" s="1"/>
  <c r="CN691"/>
  <c r="AA691"/>
  <c r="W656"/>
  <c r="AC656" s="1"/>
  <c r="CN656"/>
  <c r="AA656"/>
  <c r="W542"/>
  <c r="AC542" s="1"/>
  <c r="CN542"/>
  <c r="AA542"/>
  <c r="W533"/>
  <c r="AC533" s="1"/>
  <c r="CN533"/>
  <c r="AA533"/>
  <c r="W512"/>
  <c r="AC512" s="1"/>
  <c r="CN512"/>
  <c r="AA512"/>
  <c r="W506"/>
  <c r="AC506" s="1"/>
  <c r="CN506"/>
  <c r="AA506"/>
  <c r="W442"/>
  <c r="AC442" s="1"/>
  <c r="AA442"/>
  <c r="CN442"/>
  <c r="W432"/>
  <c r="AC432" s="1"/>
  <c r="CN432"/>
  <c r="AA432"/>
  <c r="W370"/>
  <c r="AC370" s="1"/>
  <c r="CN370"/>
  <c r="AA370"/>
  <c r="W69"/>
  <c r="Y69"/>
  <c r="CN69"/>
  <c r="CN71"/>
  <c r="AA71"/>
  <c r="W739"/>
  <c r="AC739" s="1"/>
  <c r="CN739"/>
  <c r="AA739"/>
  <c r="CN734"/>
  <c r="AA734"/>
  <c r="CO634"/>
  <c r="Z634"/>
  <c r="CN463"/>
  <c r="AA463"/>
  <c r="Q400"/>
  <c r="BQ400"/>
  <c r="BR400" s="1"/>
  <c r="BV400" s="1"/>
  <c r="R400"/>
  <c r="W132"/>
  <c r="W133" s="1"/>
  <c r="AC133" s="1"/>
  <c r="CN132"/>
  <c r="W124"/>
  <c r="Y124" s="1"/>
  <c r="CN124"/>
  <c r="W93"/>
  <c r="AC93" s="1"/>
  <c r="CN93"/>
  <c r="Y93"/>
  <c r="AE93" s="1"/>
  <c r="AA93"/>
  <c r="W75"/>
  <c r="CN75"/>
  <c r="Y75"/>
  <c r="Y733"/>
  <c r="Y734" s="1"/>
  <c r="AE734" s="1"/>
  <c r="W733"/>
  <c r="W734" s="1"/>
  <c r="AC734" s="1"/>
  <c r="CN733"/>
  <c r="AB635"/>
  <c r="CO635"/>
  <c r="CO462"/>
  <c r="Z462"/>
  <c r="W399"/>
  <c r="Y399" s="1"/>
  <c r="CN399"/>
  <c r="Z299"/>
  <c r="CO299"/>
  <c r="AJ79"/>
  <c r="I15" i="51061"/>
  <c r="AG15" s="1"/>
  <c r="Z131" i="51055"/>
  <c r="EQ131" s="1"/>
  <c r="CO131"/>
  <c r="W77"/>
  <c r="Y77" s="1"/>
  <c r="CN77"/>
  <c r="CO79"/>
  <c r="AB79"/>
  <c r="Z74"/>
  <c r="EQ74" s="1"/>
  <c r="CO74"/>
  <c r="AA76"/>
  <c r="CN76"/>
  <c r="W63"/>
  <c r="Y63" s="1"/>
  <c r="CN63"/>
  <c r="Z64"/>
  <c r="CO64"/>
  <c r="Z229"/>
  <c r="EQ229" s="1"/>
  <c r="CO229"/>
  <c r="AA231"/>
  <c r="CN231"/>
  <c r="W736"/>
  <c r="AC736" s="1"/>
  <c r="CN736"/>
  <c r="AA736"/>
  <c r="W727"/>
  <c r="AC727" s="1"/>
  <c r="CN727"/>
  <c r="AA727"/>
  <c r="X619"/>
  <c r="AD619" s="1"/>
  <c r="CO619"/>
  <c r="AB619"/>
  <c r="Y563"/>
  <c r="AE563" s="1"/>
  <c r="W563"/>
  <c r="AC563" s="1"/>
  <c r="CN563"/>
  <c r="AA563"/>
  <c r="Y555"/>
  <c r="AE555" s="1"/>
  <c r="W555"/>
  <c r="AC555" s="1"/>
  <c r="CN555"/>
  <c r="AA555"/>
  <c r="Y228"/>
  <c r="AE228" s="1"/>
  <c r="W228"/>
  <c r="AC228" s="1"/>
  <c r="CN228"/>
  <c r="AA228"/>
  <c r="Y141"/>
  <c r="AE141" s="1"/>
  <c r="W141"/>
  <c r="AC141" s="1"/>
  <c r="CN141"/>
  <c r="AA141"/>
  <c r="Y115"/>
  <c r="AE115" s="1"/>
  <c r="W115"/>
  <c r="AC115" s="1"/>
  <c r="CN115"/>
  <c r="AA115"/>
  <c r="Y107"/>
  <c r="AE107" s="1"/>
  <c r="W107"/>
  <c r="AC107" s="1"/>
  <c r="CN107"/>
  <c r="AA107"/>
  <c r="Y50"/>
  <c r="AE50" s="1"/>
  <c r="W50"/>
  <c r="AC50" s="1"/>
  <c r="CN50"/>
  <c r="AA50"/>
  <c r="X12"/>
  <c r="CO12"/>
  <c r="AB12"/>
  <c r="W15"/>
  <c r="AC15" s="1"/>
  <c r="CN15"/>
  <c r="AA15"/>
  <c r="W20"/>
  <c r="AC20" s="1"/>
  <c r="CN20"/>
  <c r="AA20"/>
  <c r="W24"/>
  <c r="AC24" s="1"/>
  <c r="AA24"/>
  <c r="CN24"/>
  <c r="W27"/>
  <c r="AC27" s="1"/>
  <c r="CN27"/>
  <c r="AA27"/>
  <c r="W33"/>
  <c r="AC33" s="1"/>
  <c r="CN33"/>
  <c r="AA33"/>
  <c r="W38"/>
  <c r="AC38" s="1"/>
  <c r="AA38"/>
  <c r="CN38"/>
  <c r="W45"/>
  <c r="AC45" s="1"/>
  <c r="AA45"/>
  <c r="CN45"/>
  <c r="W49"/>
  <c r="AC49" s="1"/>
  <c r="CN49"/>
  <c r="AA49"/>
  <c r="W52"/>
  <c r="AC52" s="1"/>
  <c r="AA52"/>
  <c r="CN52"/>
  <c r="W56"/>
  <c r="AC56" s="1"/>
  <c r="AA56"/>
  <c r="CN56"/>
  <c r="W59"/>
  <c r="AC59" s="1"/>
  <c r="AA59"/>
  <c r="CN59"/>
  <c r="W68"/>
  <c r="AC68" s="1"/>
  <c r="CN68"/>
  <c r="AA68"/>
  <c r="W73"/>
  <c r="AC73" s="1"/>
  <c r="AA73"/>
  <c r="CN73"/>
  <c r="W85"/>
  <c r="AC85" s="1"/>
  <c r="AA85"/>
  <c r="CN85"/>
  <c r="Z144"/>
  <c r="EQ144" s="1"/>
  <c r="CO144"/>
  <c r="W125"/>
  <c r="W126" s="1"/>
  <c r="AC126" s="1"/>
  <c r="CN125"/>
  <c r="AA84"/>
  <c r="CN84"/>
  <c r="CO65"/>
  <c r="AB65"/>
  <c r="Z273"/>
  <c r="CO273"/>
  <c r="AB273"/>
  <c r="Z204"/>
  <c r="AJ204" s="1"/>
  <c r="CO204"/>
  <c r="AB204"/>
  <c r="Z135"/>
  <c r="AB135"/>
  <c r="CO135"/>
  <c r="Z108"/>
  <c r="CO108"/>
  <c r="AB108"/>
  <c r="Z87"/>
  <c r="CO87"/>
  <c r="AB87"/>
  <c r="Z42"/>
  <c r="EQ42" s="1"/>
  <c r="CO42"/>
  <c r="Z14"/>
  <c r="CO14"/>
  <c r="AB14"/>
  <c r="AY91"/>
  <c r="AZ91"/>
  <c r="BF91" s="1"/>
  <c r="BA91"/>
  <c r="BG91" s="1"/>
  <c r="BB91"/>
  <c r="BH91" s="1"/>
  <c r="BC91"/>
  <c r="BI91" s="1"/>
  <c r="AJ95"/>
  <c r="AK95" s="1"/>
  <c r="I17" i="51061"/>
  <c r="AG17" s="1"/>
  <c r="Y120" i="51055"/>
  <c r="W120"/>
  <c r="AC120" s="1"/>
  <c r="CN120"/>
  <c r="AA120"/>
  <c r="Y193"/>
  <c r="W193"/>
  <c r="AC193" s="1"/>
  <c r="CN193"/>
  <c r="AA193"/>
  <c r="Z16"/>
  <c r="AB16"/>
  <c r="CO16"/>
  <c r="X18"/>
  <c r="AD18" s="1"/>
  <c r="CO18"/>
  <c r="AB18"/>
  <c r="Z19"/>
  <c r="CO19"/>
  <c r="AB19"/>
  <c r="X21"/>
  <c r="AD21" s="1"/>
  <c r="F9" i="51061" s="1"/>
  <c r="AB21" i="51055"/>
  <c r="CO21"/>
  <c r="Z34"/>
  <c r="AB34"/>
  <c r="CO34"/>
  <c r="X41"/>
  <c r="AD41" s="1"/>
  <c r="AB41"/>
  <c r="CO41"/>
  <c r="Z53"/>
  <c r="CO53"/>
  <c r="AB53"/>
  <c r="Z55"/>
  <c r="CO55"/>
  <c r="AB55"/>
  <c r="X57"/>
  <c r="AD57" s="1"/>
  <c r="AB57"/>
  <c r="CO57"/>
  <c r="X58"/>
  <c r="AD58" s="1"/>
  <c r="F14" i="51061" s="1"/>
  <c r="CO58" i="51055"/>
  <c r="AB58"/>
  <c r="Z62"/>
  <c r="CO62"/>
  <c r="AB62"/>
  <c r="Z60"/>
  <c r="X60"/>
  <c r="AD60" s="1"/>
  <c r="AB60"/>
  <c r="CO60"/>
  <c r="Z90"/>
  <c r="X90"/>
  <c r="AD90" s="1"/>
  <c r="F16" i="51061" s="1"/>
  <c r="AB90" i="51055"/>
  <c r="CO90"/>
  <c r="Z94"/>
  <c r="CO94"/>
  <c r="AB94"/>
  <c r="AJ22"/>
  <c r="I9" i="51061"/>
  <c r="AG9" s="1"/>
  <c r="AJ47" i="51055"/>
  <c r="I12" i="51061"/>
  <c r="AG12" s="1"/>
  <c r="AJ59" i="51055"/>
  <c r="I14" i="51061"/>
  <c r="AG14" s="1"/>
  <c r="W86" i="51055"/>
  <c r="AC86" s="1"/>
  <c r="Y86"/>
  <c r="AE86" s="1"/>
  <c r="CN86"/>
  <c r="AA86"/>
  <c r="AU97"/>
  <c r="AW97" s="1"/>
  <c r="BL97" s="1"/>
  <c r="AX97"/>
  <c r="AY97"/>
  <c r="AZ97"/>
  <c r="BF97" s="1"/>
  <c r="BA97"/>
  <c r="BG97" s="1"/>
  <c r="BB97"/>
  <c r="BH97" s="1"/>
  <c r="BC97"/>
  <c r="BI97" s="1"/>
  <c r="W103"/>
  <c r="AC103" s="1"/>
  <c r="CN103"/>
  <c r="AA103"/>
  <c r="W111"/>
  <c r="AC111" s="1"/>
  <c r="CN111"/>
  <c r="AA111"/>
  <c r="W118"/>
  <c r="AC118" s="1"/>
  <c r="AA118"/>
  <c r="CN118"/>
  <c r="W138"/>
  <c r="AC138" s="1"/>
  <c r="CN138"/>
  <c r="AA138"/>
  <c r="W142"/>
  <c r="AC142" s="1"/>
  <c r="CN142"/>
  <c r="AA142"/>
  <c r="W150"/>
  <c r="AC150" s="1"/>
  <c r="AA150"/>
  <c r="CN150"/>
  <c r="W153"/>
  <c r="AC153" s="1"/>
  <c r="CN153"/>
  <c r="AA153"/>
  <c r="W163"/>
  <c r="AC163" s="1"/>
  <c r="AA163"/>
  <c r="CN163"/>
  <c r="W159"/>
  <c r="AC159" s="1"/>
  <c r="AA159"/>
  <c r="CN159"/>
  <c r="W167"/>
  <c r="AC167" s="1"/>
  <c r="AA167"/>
  <c r="CN167"/>
  <c r="W171"/>
  <c r="AC171" s="1"/>
  <c r="AA171"/>
  <c r="CN171"/>
  <c r="W186"/>
  <c r="AC186" s="1"/>
  <c r="CN186"/>
  <c r="AA186"/>
  <c r="W190"/>
  <c r="AC190" s="1"/>
  <c r="CN190"/>
  <c r="AA190"/>
  <c r="W182"/>
  <c r="AC182" s="1"/>
  <c r="AA182"/>
  <c r="CN182"/>
  <c r="W197"/>
  <c r="AC197" s="1"/>
  <c r="CN197"/>
  <c r="AA197"/>
  <c r="W201"/>
  <c r="AC201" s="1"/>
  <c r="AA201"/>
  <c r="CN201"/>
  <c r="W209"/>
  <c r="AC209" s="1"/>
  <c r="CN209"/>
  <c r="AA209"/>
  <c r="W212"/>
  <c r="AC212" s="1"/>
  <c r="AA212"/>
  <c r="CN212"/>
  <c r="W206"/>
  <c r="AC206" s="1"/>
  <c r="CN206"/>
  <c r="AA206"/>
  <c r="W215"/>
  <c r="AC215" s="1"/>
  <c r="CN215"/>
  <c r="AA215"/>
  <c r="W220"/>
  <c r="AC220" s="1"/>
  <c r="AA220"/>
  <c r="CN220"/>
  <c r="W23"/>
  <c r="AC23" s="1"/>
  <c r="CN23"/>
  <c r="AA23"/>
  <c r="W25"/>
  <c r="AC25" s="1"/>
  <c r="AA25"/>
  <c r="CN25"/>
  <c r="W32"/>
  <c r="AC32" s="1"/>
  <c r="AA32"/>
  <c r="CN32"/>
  <c r="W35"/>
  <c r="AC35" s="1"/>
  <c r="AA35"/>
  <c r="CN35"/>
  <c r="W37"/>
  <c r="AC37" s="1"/>
  <c r="AA37"/>
  <c r="CN37"/>
  <c r="W39"/>
  <c r="AC39" s="1"/>
  <c r="AA39"/>
  <c r="CN39"/>
  <c r="W46"/>
  <c r="AC46" s="1"/>
  <c r="AA46"/>
  <c r="CN46"/>
  <c r="W48"/>
  <c r="AC48" s="1"/>
  <c r="AA48"/>
  <c r="CN48"/>
  <c r="W67"/>
  <c r="AC67" s="1"/>
  <c r="AA67"/>
  <c r="CN67"/>
  <c r="W80"/>
  <c r="AC80" s="1"/>
  <c r="CN80"/>
  <c r="AA80"/>
  <c r="W88"/>
  <c r="AC88" s="1"/>
  <c r="CN88"/>
  <c r="AA88"/>
  <c r="W92"/>
  <c r="AC92" s="1"/>
  <c r="AA92"/>
  <c r="CN92"/>
  <c r="W96"/>
  <c r="AC96" s="1"/>
  <c r="CN96"/>
  <c r="AA96"/>
  <c r="AY242"/>
  <c r="AZ242"/>
  <c r="BF242" s="1"/>
  <c r="BA242"/>
  <c r="BG242" s="1"/>
  <c r="BB242"/>
  <c r="BH242" s="1"/>
  <c r="BC242"/>
  <c r="BI242" s="1"/>
  <c r="AU242"/>
  <c r="AW242" s="1"/>
  <c r="BL242" s="1"/>
  <c r="W181"/>
  <c r="AC181" s="1"/>
  <c r="CN181"/>
  <c r="AA181"/>
  <c r="W179"/>
  <c r="AC179" s="1"/>
  <c r="CN179"/>
  <c r="AA179"/>
  <c r="W194"/>
  <c r="AC194" s="1"/>
  <c r="Y194"/>
  <c r="AE194" s="1"/>
  <c r="CN194"/>
  <c r="AA194"/>
  <c r="W192"/>
  <c r="AC192" s="1"/>
  <c r="Y192"/>
  <c r="AE192" s="1"/>
  <c r="AA192"/>
  <c r="CN192"/>
  <c r="W196"/>
  <c r="AC196" s="1"/>
  <c r="AA196"/>
  <c r="CN196"/>
  <c r="AF201"/>
  <c r="EQ201"/>
  <c r="AJ122"/>
  <c r="I21" i="51061"/>
  <c r="AG21" s="1"/>
  <c r="AJ169" i="51055"/>
  <c r="AK169" s="1"/>
  <c r="I29" i="51061"/>
  <c r="AG29" s="1"/>
  <c r="AU227" i="51055"/>
  <c r="AW227" s="1"/>
  <c r="BL227" s="1"/>
  <c r="AY227"/>
  <c r="AZ227"/>
  <c r="BF227" s="1"/>
  <c r="BA227"/>
  <c r="BG227" s="1"/>
  <c r="BB227"/>
  <c r="BH227" s="1"/>
  <c r="BC227"/>
  <c r="BI227" s="1"/>
  <c r="AD103"/>
  <c r="Z103"/>
  <c r="X104"/>
  <c r="AD104" s="1"/>
  <c r="CO104"/>
  <c r="AB104"/>
  <c r="X106"/>
  <c r="AD106" s="1"/>
  <c r="AB106"/>
  <c r="CO106"/>
  <c r="AD142"/>
  <c r="F24" i="51061" s="1"/>
  <c r="Z142" i="51055"/>
  <c r="Z143"/>
  <c r="AB143"/>
  <c r="CO143"/>
  <c r="Z147"/>
  <c r="AB147"/>
  <c r="CO147"/>
  <c r="Z149"/>
  <c r="CO149"/>
  <c r="AB149"/>
  <c r="Z152"/>
  <c r="CO152"/>
  <c r="AB152"/>
  <c r="X154"/>
  <c r="AD154" s="1"/>
  <c r="F27" i="51061" s="1"/>
  <c r="CO154" i="51055"/>
  <c r="AB154"/>
  <c r="Z157"/>
  <c r="AB157"/>
  <c r="CO157"/>
  <c r="AD159"/>
  <c r="Z159"/>
  <c r="X158"/>
  <c r="AD158" s="1"/>
  <c r="F28" i="51061" s="1"/>
  <c r="CO158" i="51055"/>
  <c r="AB158"/>
  <c r="Z170"/>
  <c r="CO170"/>
  <c r="AB170"/>
  <c r="Z189"/>
  <c r="AB189"/>
  <c r="CO189"/>
  <c r="Z191"/>
  <c r="AB191"/>
  <c r="CO191"/>
  <c r="Z203"/>
  <c r="CO203"/>
  <c r="AB203"/>
  <c r="Z214"/>
  <c r="CO214"/>
  <c r="AB214"/>
  <c r="Z216"/>
  <c r="CO216"/>
  <c r="AB216"/>
  <c r="Z218"/>
  <c r="AB218"/>
  <c r="CO218"/>
  <c r="AJ614"/>
  <c r="W700"/>
  <c r="AC700" s="1"/>
  <c r="W697"/>
  <c r="AC697" s="1"/>
  <c r="BR29"/>
  <c r="BV29" s="1"/>
  <c r="BV70"/>
  <c r="Z71"/>
  <c r="EQ29"/>
  <c r="EQ70"/>
  <c r="BV634"/>
  <c r="BV462"/>
  <c r="BV304"/>
  <c r="BR733"/>
  <c r="BV733" s="1"/>
  <c r="Z76"/>
  <c r="Z231"/>
  <c r="AT742"/>
  <c r="BV83"/>
  <c r="BR78"/>
  <c r="BV78" s="1"/>
  <c r="BR75"/>
  <c r="BV75" s="1"/>
  <c r="BV64"/>
  <c r="F13" i="51061"/>
  <c r="Z86" i="51055"/>
  <c r="AJ51"/>
  <c r="AK89"/>
  <c r="Z31"/>
  <c r="Z38"/>
  <c r="Z45"/>
  <c r="Z73"/>
  <c r="AU91"/>
  <c r="AW91" s="1"/>
  <c r="BL91" s="1"/>
  <c r="AJ105"/>
  <c r="AK105" s="1"/>
  <c r="AJ109"/>
  <c r="AK109" s="1"/>
  <c r="Z96"/>
  <c r="CO96"/>
  <c r="AB96"/>
  <c r="AJ225"/>
  <c r="AK225" s="1"/>
  <c r="I39" i="51061"/>
  <c r="AG39" s="1"/>
  <c r="AJ235" i="51055"/>
  <c r="AK235" s="1"/>
  <c r="I40" i="51061"/>
  <c r="AG40" s="1"/>
  <c r="AY239" i="51055"/>
  <c r="AZ239"/>
  <c r="BF239" s="1"/>
  <c r="BA239"/>
  <c r="BG239" s="1"/>
  <c r="BB239"/>
  <c r="BH239" s="1"/>
  <c r="BC239"/>
  <c r="BI239" s="1"/>
  <c r="AX239"/>
  <c r="Z102"/>
  <c r="AB102"/>
  <c r="CO102"/>
  <c r="X110"/>
  <c r="AD110" s="1"/>
  <c r="AB110"/>
  <c r="CO110"/>
  <c r="X112"/>
  <c r="AD112" s="1"/>
  <c r="CO112"/>
  <c r="AB112"/>
  <c r="X113"/>
  <c r="AD113" s="1"/>
  <c r="F20" i="51061" s="1"/>
  <c r="CO113" i="51055"/>
  <c r="AB113"/>
  <c r="X114"/>
  <c r="AD114" s="1"/>
  <c r="Z114"/>
  <c r="CO114"/>
  <c r="AB114"/>
  <c r="Z117"/>
  <c r="CO117"/>
  <c r="AB117"/>
  <c r="X121"/>
  <c r="AD121" s="1"/>
  <c r="F21" i="51061" s="1"/>
  <c r="AB121" i="51055"/>
  <c r="CO121"/>
  <c r="Z134"/>
  <c r="CO134"/>
  <c r="AB134"/>
  <c r="Z139"/>
  <c r="AB139"/>
  <c r="CO139"/>
  <c r="Z156"/>
  <c r="CO156"/>
  <c r="AB156"/>
  <c r="Z164"/>
  <c r="CO164"/>
  <c r="AB164"/>
  <c r="Z162"/>
  <c r="CO162"/>
  <c r="AB162"/>
  <c r="Z160"/>
  <c r="CO160"/>
  <c r="AB160"/>
  <c r="Z166"/>
  <c r="AB166"/>
  <c r="CO166"/>
  <c r="X168"/>
  <c r="AD168" s="1"/>
  <c r="F29" i="51061" s="1"/>
  <c r="CO168" i="51055"/>
  <c r="AB168"/>
  <c r="Z172"/>
  <c r="CO172"/>
  <c r="AB172"/>
  <c r="Z187"/>
  <c r="X187"/>
  <c r="AD187" s="1"/>
  <c r="CO187"/>
  <c r="AB187"/>
  <c r="Z177"/>
  <c r="X177"/>
  <c r="AD177" s="1"/>
  <c r="F31" i="51061" s="1"/>
  <c r="CO177" i="51055"/>
  <c r="AB177"/>
  <c r="Z181"/>
  <c r="AB181"/>
  <c r="CO181"/>
  <c r="Z179"/>
  <c r="AB179"/>
  <c r="CO179"/>
  <c r="Z194"/>
  <c r="AB194"/>
  <c r="CO194"/>
  <c r="X192"/>
  <c r="AD192" s="1"/>
  <c r="F32" i="51061" s="1"/>
  <c r="Z192" i="51055"/>
  <c r="CO192"/>
  <c r="AB192"/>
  <c r="Z196"/>
  <c r="CO196"/>
  <c r="AB196"/>
  <c r="Z205"/>
  <c r="AB205"/>
  <c r="CO205"/>
  <c r="Z219"/>
  <c r="CO219"/>
  <c r="AB219"/>
  <c r="Z222"/>
  <c r="CO222"/>
  <c r="AB222"/>
  <c r="Z224"/>
  <c r="AB224"/>
  <c r="CO224"/>
  <c r="Z226"/>
  <c r="AB226"/>
  <c r="CO226"/>
  <c r="Z234"/>
  <c r="CO234"/>
  <c r="AB234"/>
  <c r="Z238"/>
  <c r="AB238"/>
  <c r="CO238"/>
  <c r="X241"/>
  <c r="AD241" s="1"/>
  <c r="CO241"/>
  <c r="AB241"/>
  <c r="AJ101"/>
  <c r="AK101" s="1"/>
  <c r="I19" i="51061"/>
  <c r="AJ130" i="51055"/>
  <c r="AK130" s="1"/>
  <c r="I22" i="51061"/>
  <c r="AG22" s="1"/>
  <c r="AJ148" i="51055"/>
  <c r="AK148" s="1"/>
  <c r="I26" i="51061"/>
  <c r="AJ151" i="51055"/>
  <c r="I27" i="51061"/>
  <c r="AG27" s="1"/>
  <c r="AJ178" i="51055"/>
  <c r="AK178" s="1"/>
  <c r="I31" i="51061"/>
  <c r="AG31" s="1"/>
  <c r="AJ202" i="51055"/>
  <c r="I36" i="51061"/>
  <c r="AG36" s="1"/>
  <c r="AJ213" i="51055"/>
  <c r="I37" i="51061"/>
  <c r="AG37" s="1"/>
  <c r="AY221" i="51055"/>
  <c r="AZ221"/>
  <c r="BF221" s="1"/>
  <c r="BA221"/>
  <c r="BG221" s="1"/>
  <c r="BB221"/>
  <c r="BH221" s="1"/>
  <c r="BC221"/>
  <c r="BI221" s="1"/>
  <c r="AX221"/>
  <c r="W232"/>
  <c r="AC232" s="1"/>
  <c r="CN232"/>
  <c r="AA232"/>
  <c r="W246"/>
  <c r="AC246" s="1"/>
  <c r="CN246"/>
  <c r="AA246"/>
  <c r="W250"/>
  <c r="AC250" s="1"/>
  <c r="AA250"/>
  <c r="CN250"/>
  <c r="W256"/>
  <c r="AC256" s="1"/>
  <c r="AA256"/>
  <c r="CN256"/>
  <c r="W259"/>
  <c r="AC259" s="1"/>
  <c r="CN259"/>
  <c r="AA259"/>
  <c r="W263"/>
  <c r="AC263" s="1"/>
  <c r="CN263"/>
  <c r="AA263"/>
  <c r="W268"/>
  <c r="AC268" s="1"/>
  <c r="AA268"/>
  <c r="CN268"/>
  <c r="W271"/>
  <c r="AC271" s="1"/>
  <c r="CN271"/>
  <c r="AA271"/>
  <c r="W276"/>
  <c r="AC276" s="1"/>
  <c r="CN276"/>
  <c r="AA276"/>
  <c r="W280"/>
  <c r="AC280" s="1"/>
  <c r="CN280"/>
  <c r="AA280"/>
  <c r="W284"/>
  <c r="AC284" s="1"/>
  <c r="CN284"/>
  <c r="AA284"/>
  <c r="W287"/>
  <c r="AC287" s="1"/>
  <c r="AA287"/>
  <c r="CN287"/>
  <c r="W291"/>
  <c r="AC291" s="1"/>
  <c r="AA291"/>
  <c r="CN291"/>
  <c r="W295"/>
  <c r="AC295" s="1"/>
  <c r="CN295"/>
  <c r="AA295"/>
  <c r="W319"/>
  <c r="AC319" s="1"/>
  <c r="CN319"/>
  <c r="AA319"/>
  <c r="W323"/>
  <c r="AC323" s="1"/>
  <c r="AA323"/>
  <c r="CN323"/>
  <c r="W301"/>
  <c r="AC301" s="1"/>
  <c r="AA301"/>
  <c r="CN301"/>
  <c r="W309"/>
  <c r="AC309" s="1"/>
  <c r="CN309"/>
  <c r="AA309"/>
  <c r="W312"/>
  <c r="AC312" s="1"/>
  <c r="CN312"/>
  <c r="AA312"/>
  <c r="W325"/>
  <c r="AC325" s="1"/>
  <c r="CN325"/>
  <c r="AA325"/>
  <c r="W329"/>
  <c r="AC329" s="1"/>
  <c r="AA329"/>
  <c r="CN329"/>
  <c r="W333"/>
  <c r="AC333" s="1"/>
  <c r="AA333"/>
  <c r="CN333"/>
  <c r="W336"/>
  <c r="AC336" s="1"/>
  <c r="AA336"/>
  <c r="CN336"/>
  <c r="W341"/>
  <c r="AC341" s="1"/>
  <c r="AA341"/>
  <c r="CN341"/>
  <c r="W346"/>
  <c r="AC346" s="1"/>
  <c r="AA346"/>
  <c r="CN346"/>
  <c r="W350"/>
  <c r="AC350" s="1"/>
  <c r="CN350"/>
  <c r="AA350"/>
  <c r="W353"/>
  <c r="AC353" s="1"/>
  <c r="AA353"/>
  <c r="CN353"/>
  <c r="W357"/>
  <c r="AC357" s="1"/>
  <c r="AA357"/>
  <c r="CN357"/>
  <c r="W361"/>
  <c r="AC361" s="1"/>
  <c r="CN361"/>
  <c r="AA361"/>
  <c r="W366"/>
  <c r="AC366" s="1"/>
  <c r="AA366"/>
  <c r="CN366"/>
  <c r="W371"/>
  <c r="AC371" s="1"/>
  <c r="AA371"/>
  <c r="CN371"/>
  <c r="W377"/>
  <c r="AC377" s="1"/>
  <c r="AA377"/>
  <c r="CN377"/>
  <c r="W381"/>
  <c r="AC381" s="1"/>
  <c r="CN381"/>
  <c r="AA381"/>
  <c r="W384"/>
  <c r="AC384" s="1"/>
  <c r="AA384"/>
  <c r="CN384"/>
  <c r="W388"/>
  <c r="AC388" s="1"/>
  <c r="AA388"/>
  <c r="CN388"/>
  <c r="W392"/>
  <c r="AC392" s="1"/>
  <c r="CN392"/>
  <c r="AA392"/>
  <c r="W396"/>
  <c r="AC396" s="1"/>
  <c r="CN396"/>
  <c r="AA396"/>
  <c r="W403"/>
  <c r="AC403" s="1"/>
  <c r="AA403"/>
  <c r="CN403"/>
  <c r="W407"/>
  <c r="AC407" s="1"/>
  <c r="AA407"/>
  <c r="CN407"/>
  <c r="W99"/>
  <c r="AC99" s="1"/>
  <c r="AA99"/>
  <c r="CN99"/>
  <c r="W100"/>
  <c r="AC100" s="1"/>
  <c r="CN100"/>
  <c r="AA100"/>
  <c r="W104"/>
  <c r="AC104" s="1"/>
  <c r="CN104"/>
  <c r="AA104"/>
  <c r="W106"/>
  <c r="AC106" s="1"/>
  <c r="CN106"/>
  <c r="AA106"/>
  <c r="W119"/>
  <c r="AC119" s="1"/>
  <c r="CN119"/>
  <c r="AA119"/>
  <c r="W123"/>
  <c r="AC123" s="1"/>
  <c r="AA123"/>
  <c r="CN123"/>
  <c r="W127"/>
  <c r="AC127" s="1"/>
  <c r="AA127"/>
  <c r="CN127"/>
  <c r="W128"/>
  <c r="AC128" s="1"/>
  <c r="Y128"/>
  <c r="AE128" s="1"/>
  <c r="AA128"/>
  <c r="CN128"/>
  <c r="W129"/>
  <c r="AC129" s="1"/>
  <c r="CN129"/>
  <c r="AA129"/>
  <c r="W136"/>
  <c r="AC136" s="1"/>
  <c r="CN136"/>
  <c r="AA136"/>
  <c r="W137"/>
  <c r="AC137" s="1"/>
  <c r="Y137"/>
  <c r="AE137" s="1"/>
  <c r="CN137"/>
  <c r="AA137"/>
  <c r="W143"/>
  <c r="AC143" s="1"/>
  <c r="AA143"/>
  <c r="CN143"/>
  <c r="W147"/>
  <c r="AC147" s="1"/>
  <c r="AA147"/>
  <c r="CN147"/>
  <c r="W149"/>
  <c r="AC149" s="1"/>
  <c r="CN149"/>
  <c r="AA149"/>
  <c r="W152"/>
  <c r="AC152" s="1"/>
  <c r="AA152"/>
  <c r="CN152"/>
  <c r="W154"/>
  <c r="AC154" s="1"/>
  <c r="AA154"/>
  <c r="CN154"/>
  <c r="W157"/>
  <c r="AC157" s="1"/>
  <c r="CN157"/>
  <c r="AA157"/>
  <c r="W158"/>
  <c r="AC158" s="1"/>
  <c r="CN158"/>
  <c r="AA158"/>
  <c r="W170"/>
  <c r="AC170" s="1"/>
  <c r="CN170"/>
  <c r="AA170"/>
  <c r="W189"/>
  <c r="AC189" s="1"/>
  <c r="AA189"/>
  <c r="CN189"/>
  <c r="W191"/>
  <c r="AC191" s="1"/>
  <c r="CN191"/>
  <c r="AA191"/>
  <c r="W198"/>
  <c r="AC198" s="1"/>
  <c r="AA198"/>
  <c r="CN198"/>
  <c r="W200"/>
  <c r="AC200" s="1"/>
  <c r="AA200"/>
  <c r="CN200"/>
  <c r="W208"/>
  <c r="AC208" s="1"/>
  <c r="AA208"/>
  <c r="CN208"/>
  <c r="W210"/>
  <c r="AC210" s="1"/>
  <c r="CN210"/>
  <c r="AA210"/>
  <c r="W203"/>
  <c r="AC203" s="1"/>
  <c r="AA203"/>
  <c r="CN203"/>
  <c r="W214"/>
  <c r="AC214" s="1"/>
  <c r="AA214"/>
  <c r="CN214"/>
  <c r="W216"/>
  <c r="AC216" s="1"/>
  <c r="AA216"/>
  <c r="CN216"/>
  <c r="W218"/>
  <c r="AC218" s="1"/>
  <c r="CN218"/>
  <c r="AA218"/>
  <c r="W233"/>
  <c r="AC233" s="1"/>
  <c r="CN233"/>
  <c r="AA233"/>
  <c r="W236"/>
  <c r="AC236" s="1"/>
  <c r="CN236"/>
  <c r="AA236"/>
  <c r="W243"/>
  <c r="AC243" s="1"/>
  <c r="AA243"/>
  <c r="CN243"/>
  <c r="AU245"/>
  <c r="AW245" s="1"/>
  <c r="BL245" s="1"/>
  <c r="AY245"/>
  <c r="AZ245"/>
  <c r="BF245" s="1"/>
  <c r="BA245"/>
  <c r="BG245" s="1"/>
  <c r="BB245"/>
  <c r="BH245" s="1"/>
  <c r="BC245"/>
  <c r="BI245" s="1"/>
  <c r="AX245"/>
  <c r="AJ321"/>
  <c r="I47" i="51061"/>
  <c r="AG47" s="1"/>
  <c r="AJ343" i="51055"/>
  <c r="I52" i="51061"/>
  <c r="AG52" s="1"/>
  <c r="I53"/>
  <c r="AG53" s="1"/>
  <c r="AJ353" i="51055"/>
  <c r="I54" i="51061"/>
  <c r="AG54" s="1"/>
  <c r="AJ363" i="51055"/>
  <c r="I56" i="51061"/>
  <c r="AJ370" i="51055"/>
  <c r="I57" i="51061"/>
  <c r="AG57" s="1"/>
  <c r="AJ375" i="51055"/>
  <c r="I58" i="51061"/>
  <c r="AG58" s="1"/>
  <c r="AJ396" i="51055"/>
  <c r="I61" i="51061"/>
  <c r="AU421" i="51055"/>
  <c r="AW421" s="1"/>
  <c r="BL421" s="1"/>
  <c r="AY421"/>
  <c r="AZ421"/>
  <c r="BF421" s="1"/>
  <c r="BA421"/>
  <c r="BG421" s="1"/>
  <c r="BB421"/>
  <c r="BH421" s="1"/>
  <c r="BC421"/>
  <c r="BI421" s="1"/>
  <c r="AX421"/>
  <c r="AY425"/>
  <c r="AZ425"/>
  <c r="BF425" s="1"/>
  <c r="BA425"/>
  <c r="BG425" s="1"/>
  <c r="BB425"/>
  <c r="BH425" s="1"/>
  <c r="BC425"/>
  <c r="BI425" s="1"/>
  <c r="AX425"/>
  <c r="AU425"/>
  <c r="AW425" s="1"/>
  <c r="BL425" s="1"/>
  <c r="AY431"/>
  <c r="AZ431"/>
  <c r="BF431" s="1"/>
  <c r="BA431"/>
  <c r="BG431" s="1"/>
  <c r="BB431"/>
  <c r="BH431" s="1"/>
  <c r="BC431"/>
  <c r="BI431" s="1"/>
  <c r="AU431"/>
  <c r="AW431" s="1"/>
  <c r="BL431" s="1"/>
  <c r="W611"/>
  <c r="AC611" s="1"/>
  <c r="AA611"/>
  <c r="CN611"/>
  <c r="W615"/>
  <c r="AC615" s="1"/>
  <c r="AA615"/>
  <c r="CN615"/>
  <c r="W621"/>
  <c r="AC621" s="1"/>
  <c r="AA621"/>
  <c r="CN621"/>
  <c r="W624"/>
  <c r="AC624" s="1"/>
  <c r="CN624"/>
  <c r="AA624"/>
  <c r="W629"/>
  <c r="AC629" s="1"/>
  <c r="AA629"/>
  <c r="CN629"/>
  <c r="W636"/>
  <c r="AC636" s="1"/>
  <c r="CN636"/>
  <c r="AA636"/>
  <c r="W640"/>
  <c r="AC640" s="1"/>
  <c r="AA640"/>
  <c r="CN640"/>
  <c r="W644"/>
  <c r="AC644" s="1"/>
  <c r="CN644"/>
  <c r="AA644"/>
  <c r="W648"/>
  <c r="AC648" s="1"/>
  <c r="AA648"/>
  <c r="CN648"/>
  <c r="W652"/>
  <c r="AC652" s="1"/>
  <c r="CN652"/>
  <c r="AA652"/>
  <c r="W655"/>
  <c r="AC655" s="1"/>
  <c r="AA655"/>
  <c r="CN655"/>
  <c r="W659"/>
  <c r="AC659" s="1"/>
  <c r="CN659"/>
  <c r="AA659"/>
  <c r="W670"/>
  <c r="AC670" s="1"/>
  <c r="AA670"/>
  <c r="CN670"/>
  <c r="W666"/>
  <c r="AC666" s="1"/>
  <c r="AA666"/>
  <c r="CN666"/>
  <c r="W662"/>
  <c r="AC662" s="1"/>
  <c r="CN662"/>
  <c r="AA662"/>
  <c r="W673"/>
  <c r="AC673" s="1"/>
  <c r="AA673"/>
  <c r="CN673"/>
  <c r="W676"/>
  <c r="AC676" s="1"/>
  <c r="AA676"/>
  <c r="CN676"/>
  <c r="W686"/>
  <c r="AC686" s="1"/>
  <c r="AA686"/>
  <c r="CN686"/>
  <c r="W689"/>
  <c r="AC689" s="1"/>
  <c r="AA689"/>
  <c r="CN689"/>
  <c r="W702"/>
  <c r="AC702" s="1"/>
  <c r="AA702"/>
  <c r="CN702"/>
  <c r="W707"/>
  <c r="AC707" s="1"/>
  <c r="AA707"/>
  <c r="CN707"/>
  <c r="W711"/>
  <c r="AC711" s="1"/>
  <c r="AA711"/>
  <c r="CN711"/>
  <c r="W715"/>
  <c r="AC715" s="1"/>
  <c r="AA715"/>
  <c r="CN715"/>
  <c r="W719"/>
  <c r="AC719" s="1"/>
  <c r="AA719"/>
  <c r="CN719"/>
  <c r="W247"/>
  <c r="AC247" s="1"/>
  <c r="AA247"/>
  <c r="CN247"/>
  <c r="W249"/>
  <c r="AC249" s="1"/>
  <c r="CN249"/>
  <c r="AA249"/>
  <c r="W251"/>
  <c r="AC251" s="1"/>
  <c r="AA251"/>
  <c r="CN251"/>
  <c r="W252"/>
  <c r="AC252" s="1"/>
  <c r="Y252"/>
  <c r="AE252" s="1"/>
  <c r="AA252"/>
  <c r="CN252"/>
  <c r="W253"/>
  <c r="AC253" s="1"/>
  <c r="AA253"/>
  <c r="CN253"/>
  <c r="W255"/>
  <c r="AC255" s="1"/>
  <c r="AA255"/>
  <c r="CN255"/>
  <c r="W262"/>
  <c r="AC262" s="1"/>
  <c r="CN262"/>
  <c r="AA262"/>
  <c r="W264"/>
  <c r="AC264" s="1"/>
  <c r="AA264"/>
  <c r="CN264"/>
  <c r="W269"/>
  <c r="AC269" s="1"/>
  <c r="AA269"/>
  <c r="CN269"/>
  <c r="W267"/>
  <c r="AC267" s="1"/>
  <c r="AA267"/>
  <c r="CN267"/>
  <c r="W286"/>
  <c r="AC286" s="1"/>
  <c r="AA286"/>
  <c r="CN286"/>
  <c r="W288"/>
  <c r="AC288" s="1"/>
  <c r="AA288"/>
  <c r="CN288"/>
  <c r="W292"/>
  <c r="AC292" s="1"/>
  <c r="CN292"/>
  <c r="AA292"/>
  <c r="W294"/>
  <c r="AC294" s="1"/>
  <c r="AA294"/>
  <c r="CN294"/>
  <c r="W296"/>
  <c r="AC296" s="1"/>
  <c r="AA296"/>
  <c r="CN296"/>
  <c r="W316"/>
  <c r="AC316" s="1"/>
  <c r="CN316"/>
  <c r="AA316"/>
  <c r="W318"/>
  <c r="AC318" s="1"/>
  <c r="CN318"/>
  <c r="AA318"/>
  <c r="W320"/>
  <c r="AC320" s="1"/>
  <c r="CN320"/>
  <c r="AA320"/>
  <c r="W322"/>
  <c r="AC322" s="1"/>
  <c r="CN322"/>
  <c r="AA322"/>
  <c r="W302"/>
  <c r="AC302" s="1"/>
  <c r="AA302"/>
  <c r="CN302"/>
  <c r="W306"/>
  <c r="AC306" s="1"/>
  <c r="AA306"/>
  <c r="CN306"/>
  <c r="W308"/>
  <c r="AC308" s="1"/>
  <c r="AA308"/>
  <c r="CN308"/>
  <c r="W314"/>
  <c r="AC314" s="1"/>
  <c r="CN314"/>
  <c r="AA314"/>
  <c r="W324"/>
  <c r="AC324" s="1"/>
  <c r="CN324"/>
  <c r="AA324"/>
  <c r="W326"/>
  <c r="AC326" s="1"/>
  <c r="CN326"/>
  <c r="AA326"/>
  <c r="W328"/>
  <c r="AC328" s="1"/>
  <c r="AA328"/>
  <c r="CN328"/>
  <c r="AF341"/>
  <c r="EQ341"/>
  <c r="W342"/>
  <c r="AC342" s="1"/>
  <c r="AA342"/>
  <c r="CN342"/>
  <c r="W344"/>
  <c r="AC344" s="1"/>
  <c r="AA344"/>
  <c r="CN344"/>
  <c r="W351"/>
  <c r="AC351" s="1"/>
  <c r="CN351"/>
  <c r="AA351"/>
  <c r="W354"/>
  <c r="AC354" s="1"/>
  <c r="AA354"/>
  <c r="CN354"/>
  <c r="W358"/>
  <c r="AC358" s="1"/>
  <c r="AA358"/>
  <c r="CN358"/>
  <c r="W360"/>
  <c r="AC360" s="1"/>
  <c r="CN360"/>
  <c r="AA360"/>
  <c r="EQ361"/>
  <c r="W362"/>
  <c r="AC362" s="1"/>
  <c r="AA362"/>
  <c r="CN362"/>
  <c r="W364"/>
  <c r="AC364" s="1"/>
  <c r="AA364"/>
  <c r="CN364"/>
  <c r="W374"/>
  <c r="AC374" s="1"/>
  <c r="AA374"/>
  <c r="CN374"/>
  <c r="W376"/>
  <c r="AC376" s="1"/>
  <c r="AA376"/>
  <c r="CN376"/>
  <c r="W378"/>
  <c r="AC378" s="1"/>
  <c r="CN378"/>
  <c r="AA378"/>
  <c r="W383"/>
  <c r="AC383" s="1"/>
  <c r="CN383"/>
  <c r="AA383"/>
  <c r="W385"/>
  <c r="AC385" s="1"/>
  <c r="CN385"/>
  <c r="AA385"/>
  <c r="W387"/>
  <c r="AC387" s="1"/>
  <c r="AA387"/>
  <c r="CN387"/>
  <c r="W389"/>
  <c r="AC389" s="1"/>
  <c r="AA389"/>
  <c r="CN389"/>
  <c r="W391"/>
  <c r="AC391" s="1"/>
  <c r="CN391"/>
  <c r="AA391"/>
  <c r="W393"/>
  <c r="AC393" s="1"/>
  <c r="CN393"/>
  <c r="AA393"/>
  <c r="AF394"/>
  <c r="EQ394"/>
  <c r="AJ394"/>
  <c r="W395"/>
  <c r="AC395" s="1"/>
  <c r="CN395"/>
  <c r="AA395"/>
  <c r="AD410"/>
  <c r="Z410"/>
  <c r="Z411"/>
  <c r="AB411"/>
  <c r="CO411"/>
  <c r="Z414"/>
  <c r="AB414"/>
  <c r="CO414"/>
  <c r="Z420"/>
  <c r="CO420"/>
  <c r="AB420"/>
  <c r="Z422"/>
  <c r="AB422"/>
  <c r="CO422"/>
  <c r="Z417"/>
  <c r="AB417"/>
  <c r="CO417"/>
  <c r="Z424"/>
  <c r="CO424"/>
  <c r="AB424"/>
  <c r="X430"/>
  <c r="AD430" s="1"/>
  <c r="F67" i="51061" s="1"/>
  <c r="AB430" i="51055"/>
  <c r="CO430"/>
  <c r="AJ413"/>
  <c r="AK413" s="1"/>
  <c r="I63" i="51061"/>
  <c r="AG63" s="1"/>
  <c r="AJ423" i="51055"/>
  <c r="I67" i="51061"/>
  <c r="AD256" i="51055"/>
  <c r="Z256"/>
  <c r="Z257"/>
  <c r="AB257"/>
  <c r="CO257"/>
  <c r="Z260"/>
  <c r="AB260"/>
  <c r="CO260"/>
  <c r="Z266"/>
  <c r="AB266"/>
  <c r="CO266"/>
  <c r="AD284"/>
  <c r="Z284"/>
  <c r="AD311"/>
  <c r="Z311"/>
  <c r="X313"/>
  <c r="AD313" s="1"/>
  <c r="AB313"/>
  <c r="CO313"/>
  <c r="AD346"/>
  <c r="Z346"/>
  <c r="Z347"/>
  <c r="CO347"/>
  <c r="AB347"/>
  <c r="Z349"/>
  <c r="X349"/>
  <c r="AD349" s="1"/>
  <c r="CO349"/>
  <c r="AB349"/>
  <c r="Z369"/>
  <c r="AB369"/>
  <c r="CO369"/>
  <c r="Z367"/>
  <c r="AB367"/>
  <c r="CO367"/>
  <c r="Z372"/>
  <c r="AB372"/>
  <c r="CO372"/>
  <c r="AD381"/>
  <c r="Z381"/>
  <c r="Z402"/>
  <c r="CO402"/>
  <c r="AB402"/>
  <c r="Z404"/>
  <c r="AB404"/>
  <c r="CO404"/>
  <c r="X406"/>
  <c r="AD406" s="1"/>
  <c r="F62" i="51061" s="1"/>
  <c r="CO406" i="51055"/>
  <c r="AB406"/>
  <c r="Z409"/>
  <c r="AB409"/>
  <c r="CO409"/>
  <c r="X412"/>
  <c r="AD412" s="1"/>
  <c r="AB412"/>
  <c r="CO412"/>
  <c r="X418"/>
  <c r="AD418" s="1"/>
  <c r="F64" i="51061" s="1"/>
  <c r="CO418" i="51055"/>
  <c r="AB418"/>
  <c r="Z415"/>
  <c r="AB415"/>
  <c r="CO415"/>
  <c r="Z433"/>
  <c r="AB433"/>
  <c r="CO433"/>
  <c r="AJ465"/>
  <c r="I71" i="51061"/>
  <c r="AG71" s="1"/>
  <c r="AJ474" i="51055"/>
  <c r="I72" i="51061"/>
  <c r="AG72" s="1"/>
  <c r="AJ527" i="51055"/>
  <c r="I79" i="51061"/>
  <c r="AG79" s="1"/>
  <c r="AJ729" i="51055"/>
  <c r="AK729" s="1"/>
  <c r="I106" i="51061"/>
  <c r="W437" i="51055"/>
  <c r="AC437" s="1"/>
  <c r="AA437"/>
  <c r="CN437"/>
  <c r="W440"/>
  <c r="AC440" s="1"/>
  <c r="AA440"/>
  <c r="CN440"/>
  <c r="W444"/>
  <c r="AC444" s="1"/>
  <c r="CN444"/>
  <c r="AA444"/>
  <c r="AF450"/>
  <c r="EQ450"/>
  <c r="AJ450"/>
  <c r="W455"/>
  <c r="AC455" s="1"/>
  <c r="AA455"/>
  <c r="CN455"/>
  <c r="W457"/>
  <c r="AC457" s="1"/>
  <c r="AA457"/>
  <c r="CN457"/>
  <c r="W459"/>
  <c r="AC459" s="1"/>
  <c r="AA459"/>
  <c r="CN459"/>
  <c r="W464"/>
  <c r="AC464" s="1"/>
  <c r="AA464"/>
  <c r="CN464"/>
  <c r="W466"/>
  <c r="AC466" s="1"/>
  <c r="AA466"/>
  <c r="CN466"/>
  <c r="W468"/>
  <c r="AC468" s="1"/>
  <c r="CN468"/>
  <c r="AA468"/>
  <c r="W473"/>
  <c r="AC473" s="1"/>
  <c r="CN473"/>
  <c r="AA473"/>
  <c r="W475"/>
  <c r="AC475" s="1"/>
  <c r="AA475"/>
  <c r="CN475"/>
  <c r="W477"/>
  <c r="AC477" s="1"/>
  <c r="CN477"/>
  <c r="AA477"/>
  <c r="AF478"/>
  <c r="EQ478"/>
  <c r="AJ478"/>
  <c r="Y479"/>
  <c r="AE479" s="1"/>
  <c r="W479"/>
  <c r="AC479" s="1"/>
  <c r="AA479"/>
  <c r="CN479"/>
  <c r="Y481"/>
  <c r="AE481" s="1"/>
  <c r="W481"/>
  <c r="AC481" s="1"/>
  <c r="AA481"/>
  <c r="CN481"/>
  <c r="Y483"/>
  <c r="AE483" s="1"/>
  <c r="W483"/>
  <c r="AC483" s="1"/>
  <c r="CN483"/>
  <c r="AA483"/>
  <c r="Y486"/>
  <c r="AE486" s="1"/>
  <c r="W486"/>
  <c r="AC486" s="1"/>
  <c r="AA486"/>
  <c r="CN486"/>
  <c r="Y488"/>
  <c r="AE488" s="1"/>
  <c r="W488"/>
  <c r="AC488" s="1"/>
  <c r="AA488"/>
  <c r="CN488"/>
  <c r="AF491"/>
  <c r="EQ491"/>
  <c r="AJ491"/>
  <c r="W508"/>
  <c r="AC508" s="1"/>
  <c r="AA508"/>
  <c r="CN508"/>
  <c r="W612"/>
  <c r="AC612" s="1"/>
  <c r="CN612"/>
  <c r="AA612"/>
  <c r="W623"/>
  <c r="AC623" s="1"/>
  <c r="CN623"/>
  <c r="AA623"/>
  <c r="F19" i="51061"/>
  <c r="F30"/>
  <c r="AJ171" i="51055"/>
  <c r="AJ201"/>
  <c r="AK217"/>
  <c r="AK237"/>
  <c r="AK244"/>
  <c r="Z223"/>
  <c r="AJ379"/>
  <c r="Z232"/>
  <c r="AJ232" s="1"/>
  <c r="Z248"/>
  <c r="Z254"/>
  <c r="Z258"/>
  <c r="Z261"/>
  <c r="Z268"/>
  <c r="Z270"/>
  <c r="Z287"/>
  <c r="Z291"/>
  <c r="Z295"/>
  <c r="Z323"/>
  <c r="Z297"/>
  <c r="Z315"/>
  <c r="Z333"/>
  <c r="X233"/>
  <c r="AD233" s="1"/>
  <c r="CO233"/>
  <c r="AB233"/>
  <c r="X236"/>
  <c r="AD236" s="1"/>
  <c r="F40" i="51061" s="1"/>
  <c r="CO236" i="51055"/>
  <c r="AB236"/>
  <c r="Z243"/>
  <c r="CO243"/>
  <c r="AB243"/>
  <c r="AJ250"/>
  <c r="I43" i="51061"/>
  <c r="AJ263" i="51055"/>
  <c r="I44" i="51061"/>
  <c r="AG44" s="1"/>
  <c r="AJ272" i="51055"/>
  <c r="I45" i="51061"/>
  <c r="AG45" s="1"/>
  <c r="AJ301" i="51055"/>
  <c r="I48" i="51061"/>
  <c r="AG48" s="1"/>
  <c r="AJ325" i="51055"/>
  <c r="I50" i="51061"/>
  <c r="AJ382" i="51055"/>
  <c r="I59" i="51061"/>
  <c r="AG59" s="1"/>
  <c r="AJ407" i="51055"/>
  <c r="I62" i="51061"/>
  <c r="AG62" s="1"/>
  <c r="AU429" i="51055"/>
  <c r="AW429" s="1"/>
  <c r="BL429" s="1"/>
  <c r="AY429"/>
  <c r="AZ429"/>
  <c r="BF429" s="1"/>
  <c r="BA429"/>
  <c r="BG429" s="1"/>
  <c r="BB429"/>
  <c r="BH429" s="1"/>
  <c r="BC429"/>
  <c r="BI429" s="1"/>
  <c r="AX429"/>
  <c r="W613"/>
  <c r="AC613" s="1"/>
  <c r="AA613"/>
  <c r="CN613"/>
  <c r="W617"/>
  <c r="AC617" s="1"/>
  <c r="AA617"/>
  <c r="CN617"/>
  <c r="W622"/>
  <c r="AC622" s="1"/>
  <c r="CN622"/>
  <c r="AA622"/>
  <c r="W627"/>
  <c r="AC627" s="1"/>
  <c r="AA627"/>
  <c r="CN627"/>
  <c r="W631"/>
  <c r="AC631" s="1"/>
  <c r="CN631"/>
  <c r="AA631"/>
  <c r="W638"/>
  <c r="AC638" s="1"/>
  <c r="AA638"/>
  <c r="CN638"/>
  <c r="W642"/>
  <c r="AC642" s="1"/>
  <c r="CN642"/>
  <c r="AA642"/>
  <c r="W646"/>
  <c r="AC646" s="1"/>
  <c r="AA646"/>
  <c r="CN646"/>
  <c r="W650"/>
  <c r="AC650" s="1"/>
  <c r="AA650"/>
  <c r="CN650"/>
  <c r="W653"/>
  <c r="AC653" s="1"/>
  <c r="CN653"/>
  <c r="AA653"/>
  <c r="W657"/>
  <c r="AC657" s="1"/>
  <c r="AA657"/>
  <c r="CN657"/>
  <c r="W660"/>
  <c r="AC660" s="1"/>
  <c r="AA660"/>
  <c r="CN660"/>
  <c r="W668"/>
  <c r="AC668" s="1"/>
  <c r="AA668"/>
  <c r="CN668"/>
  <c r="W664"/>
  <c r="AC664" s="1"/>
  <c r="AA664"/>
  <c r="CN664"/>
  <c r="W671"/>
  <c r="AC671" s="1"/>
  <c r="AA671"/>
  <c r="CN671"/>
  <c r="W674"/>
  <c r="AC674" s="1"/>
  <c r="AA674"/>
  <c r="CN674"/>
  <c r="W678"/>
  <c r="AC678" s="1"/>
  <c r="CN678"/>
  <c r="AA678"/>
  <c r="W684"/>
  <c r="AC684" s="1"/>
  <c r="CN684"/>
  <c r="AA684"/>
  <c r="W693"/>
  <c r="AC693" s="1"/>
  <c r="CN693"/>
  <c r="AA693"/>
  <c r="W705"/>
  <c r="AC705" s="1"/>
  <c r="AA705"/>
  <c r="CN705"/>
  <c r="W709"/>
  <c r="AC709" s="1"/>
  <c r="AA709"/>
  <c r="CN709"/>
  <c r="W713"/>
  <c r="AC713" s="1"/>
  <c r="CN713"/>
  <c r="AA713"/>
  <c r="W717"/>
  <c r="AC717" s="1"/>
  <c r="CN717"/>
  <c r="AA717"/>
  <c r="W721"/>
  <c r="AC721" s="1"/>
  <c r="AA721"/>
  <c r="CN721"/>
  <c r="X247"/>
  <c r="AD247" s="1"/>
  <c r="AB247"/>
  <c r="CO247"/>
  <c r="Z249"/>
  <c r="AB249"/>
  <c r="CO249"/>
  <c r="X251"/>
  <c r="AD251" s="1"/>
  <c r="F43" i="51061" s="1"/>
  <c r="CO251" i="51055"/>
  <c r="AB251"/>
  <c r="X252"/>
  <c r="AD252" s="1"/>
  <c r="Z252"/>
  <c r="AB252"/>
  <c r="CO252"/>
  <c r="X253"/>
  <c r="AD253" s="1"/>
  <c r="CO253"/>
  <c r="AB253"/>
  <c r="Z255"/>
  <c r="CO255"/>
  <c r="AB255"/>
  <c r="Z262"/>
  <c r="AB262"/>
  <c r="CO262"/>
  <c r="X264"/>
  <c r="AD264" s="1"/>
  <c r="CO264"/>
  <c r="AB264"/>
  <c r="X269"/>
  <c r="AD269" s="1"/>
  <c r="AB269"/>
  <c r="CO269"/>
  <c r="Z267"/>
  <c r="AB267"/>
  <c r="CO267"/>
  <c r="X286"/>
  <c r="AD286" s="1"/>
  <c r="AB286"/>
  <c r="CO286"/>
  <c r="Z288"/>
  <c r="AB288"/>
  <c r="CO288"/>
  <c r="Z292"/>
  <c r="CO292"/>
  <c r="AB292"/>
  <c r="X294"/>
  <c r="AD294" s="1"/>
  <c r="CO294"/>
  <c r="AB294"/>
  <c r="X296"/>
  <c r="AD296" s="1"/>
  <c r="CO296"/>
  <c r="AB296"/>
  <c r="Z316"/>
  <c r="AB316"/>
  <c r="CO316"/>
  <c r="Z318"/>
  <c r="CO318"/>
  <c r="AB318"/>
  <c r="Z320"/>
  <c r="CO320"/>
  <c r="AB320"/>
  <c r="X322"/>
  <c r="AD322" s="1"/>
  <c r="F47" i="51061" s="1"/>
  <c r="CO322" i="51055"/>
  <c r="AB322"/>
  <c r="Z302"/>
  <c r="AB302"/>
  <c r="CO302"/>
  <c r="Z306"/>
  <c r="AB306"/>
  <c r="CO306"/>
  <c r="X308"/>
  <c r="AD308" s="1"/>
  <c r="AB308"/>
  <c r="CO308"/>
  <c r="X314"/>
  <c r="AD314" s="1"/>
  <c r="CO314"/>
  <c r="AB314"/>
  <c r="Z324"/>
  <c r="CO324"/>
  <c r="AB324"/>
  <c r="Z326"/>
  <c r="CO326"/>
  <c r="AB326"/>
  <c r="Z328"/>
  <c r="CO328"/>
  <c r="AB328"/>
  <c r="Z342"/>
  <c r="CO342"/>
  <c r="AB342"/>
  <c r="Z344"/>
  <c r="CO344"/>
  <c r="AB344"/>
  <c r="Z351"/>
  <c r="CO351"/>
  <c r="AB351"/>
  <c r="X354"/>
  <c r="AD354" s="1"/>
  <c r="AB354"/>
  <c r="CO354"/>
  <c r="Z358"/>
  <c r="CO358"/>
  <c r="AB358"/>
  <c r="X360"/>
  <c r="AD360" s="1"/>
  <c r="F56" i="51061" s="1"/>
  <c r="CO360" i="51055"/>
  <c r="AB360"/>
  <c r="Z362"/>
  <c r="CO362"/>
  <c r="AB362"/>
  <c r="Z364"/>
  <c r="AB364"/>
  <c r="CO364"/>
  <c r="Z374"/>
  <c r="AB374"/>
  <c r="CO374"/>
  <c r="Z376"/>
  <c r="CO376"/>
  <c r="AB376"/>
  <c r="Z378"/>
  <c r="AB378"/>
  <c r="CO378"/>
  <c r="Z383"/>
  <c r="AB383"/>
  <c r="CO383"/>
  <c r="Z385"/>
  <c r="CO385"/>
  <c r="AB385"/>
  <c r="Z387"/>
  <c r="CO387"/>
  <c r="AB387"/>
  <c r="Z389"/>
  <c r="CO389"/>
  <c r="AB389"/>
  <c r="Z391"/>
  <c r="CO391"/>
  <c r="AB391"/>
  <c r="X393"/>
  <c r="AD393" s="1"/>
  <c r="F59" i="51061" s="1"/>
  <c r="AB393" i="51055"/>
  <c r="CO393"/>
  <c r="Z395"/>
  <c r="CO395"/>
  <c r="AB395"/>
  <c r="Z397"/>
  <c r="CO397"/>
  <c r="AB397"/>
  <c r="Z408"/>
  <c r="AB408"/>
  <c r="CO408"/>
  <c r="AF421"/>
  <c r="EQ421"/>
  <c r="AJ432"/>
  <c r="I68" i="51061"/>
  <c r="AG68" s="1"/>
  <c r="W434" i="51055"/>
  <c r="AC434" s="1"/>
  <c r="AA434"/>
  <c r="CN434"/>
  <c r="W438"/>
  <c r="AC438" s="1"/>
  <c r="AA438"/>
  <c r="CN438"/>
  <c r="W443"/>
  <c r="AC443" s="1"/>
  <c r="CN443"/>
  <c r="AA443"/>
  <c r="W447"/>
  <c r="AC447" s="1"/>
  <c r="AA447"/>
  <c r="CN447"/>
  <c r="W450"/>
  <c r="AC450" s="1"/>
  <c r="AA450"/>
  <c r="CN450"/>
  <c r="W456"/>
  <c r="AC456" s="1"/>
  <c r="AA456"/>
  <c r="CN456"/>
  <c r="W460"/>
  <c r="AC460" s="1"/>
  <c r="CN460"/>
  <c r="AA460"/>
  <c r="W467"/>
  <c r="AC467" s="1"/>
  <c r="CN467"/>
  <c r="AA467"/>
  <c r="W471"/>
  <c r="AC471" s="1"/>
  <c r="CN471"/>
  <c r="AA471"/>
  <c r="W476"/>
  <c r="AC476" s="1"/>
  <c r="AA476"/>
  <c r="CN476"/>
  <c r="W480"/>
  <c r="AC480" s="1"/>
  <c r="CN480"/>
  <c r="AA480"/>
  <c r="W484"/>
  <c r="AC484" s="1"/>
  <c r="AA484"/>
  <c r="CN484"/>
  <c r="W489"/>
  <c r="AC489" s="1"/>
  <c r="AA489"/>
  <c r="CN489"/>
  <c r="W492"/>
  <c r="AC492" s="1"/>
  <c r="CN492"/>
  <c r="AA492"/>
  <c r="W503"/>
  <c r="AC503" s="1"/>
  <c r="CN503"/>
  <c r="AA503"/>
  <c r="W499"/>
  <c r="AC499" s="1"/>
  <c r="AA499"/>
  <c r="CN499"/>
  <c r="W510"/>
  <c r="AC510" s="1"/>
  <c r="CN510"/>
  <c r="AA510"/>
  <c r="W513"/>
  <c r="AC513" s="1"/>
  <c r="CN513"/>
  <c r="AA513"/>
  <c r="W517"/>
  <c r="AC517" s="1"/>
  <c r="AA517"/>
  <c r="CN517"/>
  <c r="W522"/>
  <c r="AC522" s="1"/>
  <c r="AA522"/>
  <c r="CN522"/>
  <c r="W526"/>
  <c r="AC526" s="1"/>
  <c r="AA526"/>
  <c r="CN526"/>
  <c r="W538"/>
  <c r="AC538" s="1"/>
  <c r="AA538"/>
  <c r="CN538"/>
  <c r="W534"/>
  <c r="AC534" s="1"/>
  <c r="CN534"/>
  <c r="AA534"/>
  <c r="W530"/>
  <c r="AC530" s="1"/>
  <c r="CN530"/>
  <c r="AA530"/>
  <c r="W539"/>
  <c r="AC539" s="1"/>
  <c r="AA539"/>
  <c r="CN539"/>
  <c r="W546"/>
  <c r="AC546" s="1"/>
  <c r="CN546"/>
  <c r="AA546"/>
  <c r="W550"/>
  <c r="AC550" s="1"/>
  <c r="AA550"/>
  <c r="CN550"/>
  <c r="W554"/>
  <c r="AC554" s="1"/>
  <c r="CN554"/>
  <c r="AA554"/>
  <c r="W558"/>
  <c r="AC558" s="1"/>
  <c r="AA558"/>
  <c r="CN558"/>
  <c r="W565"/>
  <c r="AC565" s="1"/>
  <c r="CN565"/>
  <c r="AA565"/>
  <c r="W570"/>
  <c r="AC570" s="1"/>
  <c r="AA570"/>
  <c r="CN570"/>
  <c r="W574"/>
  <c r="AC574" s="1"/>
  <c r="CN574"/>
  <c r="AA574"/>
  <c r="W578"/>
  <c r="AC578" s="1"/>
  <c r="CN578"/>
  <c r="AA578"/>
  <c r="W583"/>
  <c r="AC583" s="1"/>
  <c r="AA583"/>
  <c r="CN583"/>
  <c r="W587"/>
  <c r="AC587" s="1"/>
  <c r="AA587"/>
  <c r="CN587"/>
  <c r="W591"/>
  <c r="AC591" s="1"/>
  <c r="AA591"/>
  <c r="CN591"/>
  <c r="W596"/>
  <c r="AC596" s="1"/>
  <c r="AA596"/>
  <c r="CN596"/>
  <c r="W600"/>
  <c r="AC600" s="1"/>
  <c r="AA600"/>
  <c r="CN600"/>
  <c r="W604"/>
  <c r="AC604" s="1"/>
  <c r="AA604"/>
  <c r="CN604"/>
  <c r="W608"/>
  <c r="AC608" s="1"/>
  <c r="AA608"/>
  <c r="CN608"/>
  <c r="AD271"/>
  <c r="Z271"/>
  <c r="Z275"/>
  <c r="CO275"/>
  <c r="AB275"/>
  <c r="Z277"/>
  <c r="AB277"/>
  <c r="CO277"/>
  <c r="Z279"/>
  <c r="CO279"/>
  <c r="AB279"/>
  <c r="Z281"/>
  <c r="AB281"/>
  <c r="CO281"/>
  <c r="X283"/>
  <c r="AD283" s="1"/>
  <c r="F45" i="51061" s="1"/>
  <c r="CO283" i="51055"/>
  <c r="AB283"/>
  <c r="AD289"/>
  <c r="Z289"/>
  <c r="Z290"/>
  <c r="AB290"/>
  <c r="CO290"/>
  <c r="Z310"/>
  <c r="X310"/>
  <c r="AD310" s="1"/>
  <c r="CO310"/>
  <c r="AB310"/>
  <c r="AD329"/>
  <c r="F50" i="51061" s="1"/>
  <c r="Z329" i="51055"/>
  <c r="Z330"/>
  <c r="AB330"/>
  <c r="CO330"/>
  <c r="Z332"/>
  <c r="CO332"/>
  <c r="AB332"/>
  <c r="Z335"/>
  <c r="AB335"/>
  <c r="CO335"/>
  <c r="Z337"/>
  <c r="AB337"/>
  <c r="CO337"/>
  <c r="Z339"/>
  <c r="X339"/>
  <c r="AD339" s="1"/>
  <c r="F51" i="51061" s="1"/>
  <c r="CO339" i="51055"/>
  <c r="AB339"/>
  <c r="Z340"/>
  <c r="CO340"/>
  <c r="AB340"/>
  <c r="X345"/>
  <c r="AD345" s="1"/>
  <c r="CO345"/>
  <c r="AB345"/>
  <c r="AD352"/>
  <c r="Z352"/>
  <c r="X356"/>
  <c r="AD356" s="1"/>
  <c r="AB356"/>
  <c r="CO356"/>
  <c r="Z365"/>
  <c r="CO365"/>
  <c r="AB365"/>
  <c r="AD379"/>
  <c r="F58" i="51061" s="1"/>
  <c r="Z379" i="51055"/>
  <c r="Z380"/>
  <c r="X380"/>
  <c r="AD380" s="1"/>
  <c r="AB380"/>
  <c r="CO380"/>
  <c r="AJ520"/>
  <c r="I78" i="51061"/>
  <c r="AG78" s="1"/>
  <c r="AY726" i="51055"/>
  <c r="AZ726"/>
  <c r="BF726" s="1"/>
  <c r="BA726"/>
  <c r="BG726" s="1"/>
  <c r="BB726"/>
  <c r="BH726" s="1"/>
  <c r="BC726"/>
  <c r="BI726" s="1"/>
  <c r="AU726"/>
  <c r="AW726" s="1"/>
  <c r="BL726" s="1"/>
  <c r="W504"/>
  <c r="AC504" s="1"/>
  <c r="AA504"/>
  <c r="CN504"/>
  <c r="W502"/>
  <c r="AC502" s="1"/>
  <c r="CN502"/>
  <c r="AA502"/>
  <c r="W500"/>
  <c r="AC500" s="1"/>
  <c r="CN500"/>
  <c r="AA500"/>
  <c r="W498"/>
  <c r="AC498" s="1"/>
  <c r="CN498"/>
  <c r="AA498"/>
  <c r="W496"/>
  <c r="AC496" s="1"/>
  <c r="AA496"/>
  <c r="CN496"/>
  <c r="AF510"/>
  <c r="EQ510"/>
  <c r="AJ510"/>
  <c r="Y519"/>
  <c r="AE519" s="1"/>
  <c r="W519"/>
  <c r="AC519" s="1"/>
  <c r="CN519"/>
  <c r="AA519"/>
  <c r="Y521"/>
  <c r="AE521" s="1"/>
  <c r="W521"/>
  <c r="AC521" s="1"/>
  <c r="CN521"/>
  <c r="AA521"/>
  <c r="Y523"/>
  <c r="AE523" s="1"/>
  <c r="W523"/>
  <c r="AC523" s="1"/>
  <c r="CN523"/>
  <c r="AA523"/>
  <c r="Y525"/>
  <c r="AE525" s="1"/>
  <c r="W525"/>
  <c r="AC525" s="1"/>
  <c r="CN525"/>
  <c r="AA525"/>
  <c r="Y543"/>
  <c r="AE543" s="1"/>
  <c r="W543"/>
  <c r="AC543" s="1"/>
  <c r="AA543"/>
  <c r="CN543"/>
  <c r="AF552"/>
  <c r="EQ552"/>
  <c r="Y553"/>
  <c r="AE553" s="1"/>
  <c r="W553"/>
  <c r="AC553" s="1"/>
  <c r="AA553"/>
  <c r="CN553"/>
  <c r="Y560"/>
  <c r="AE560" s="1"/>
  <c r="W560"/>
  <c r="AC560" s="1"/>
  <c r="AA560"/>
  <c r="CN560"/>
  <c r="Y564"/>
  <c r="AE564" s="1"/>
  <c r="W564"/>
  <c r="AC564" s="1"/>
  <c r="AA564"/>
  <c r="CN564"/>
  <c r="AF567"/>
  <c r="EQ567"/>
  <c r="Y568"/>
  <c r="AE568" s="1"/>
  <c r="W568"/>
  <c r="AC568" s="1"/>
  <c r="CN568"/>
  <c r="AA568"/>
  <c r="Y569"/>
  <c r="AE569" s="1"/>
  <c r="W569"/>
  <c r="AC569" s="1"/>
  <c r="AA569"/>
  <c r="CN569"/>
  <c r="AF585"/>
  <c r="EQ585"/>
  <c r="Y586"/>
  <c r="AE586" s="1"/>
  <c r="W586"/>
  <c r="AC586" s="1"/>
  <c r="AA586"/>
  <c r="CN586"/>
  <c r="AF587"/>
  <c r="EQ587"/>
  <c r="Y588"/>
  <c r="AE588" s="1"/>
  <c r="W588"/>
  <c r="AC588" s="1"/>
  <c r="CN588"/>
  <c r="AA588"/>
  <c r="Y595"/>
  <c r="AE595" s="1"/>
  <c r="W595"/>
  <c r="AC595" s="1"/>
  <c r="AA595"/>
  <c r="CN595"/>
  <c r="Y597"/>
  <c r="AE597" s="1"/>
  <c r="W597"/>
  <c r="AC597" s="1"/>
  <c r="CN597"/>
  <c r="AA597"/>
  <c r="Y599"/>
  <c r="AE599" s="1"/>
  <c r="W599"/>
  <c r="AC599" s="1"/>
  <c r="AA599"/>
  <c r="CN599"/>
  <c r="Y601"/>
  <c r="AE601" s="1"/>
  <c r="W601"/>
  <c r="AC601" s="1"/>
  <c r="AA601"/>
  <c r="CN601"/>
  <c r="AD611"/>
  <c r="F88" i="51061" s="1"/>
  <c r="Z611" i="51055"/>
  <c r="AU239"/>
  <c r="AW239" s="1"/>
  <c r="BL239" s="1"/>
  <c r="AJ256"/>
  <c r="AJ311"/>
  <c r="AJ329"/>
  <c r="F39" i="51061"/>
  <c r="F48"/>
  <c r="AJ291" i="51055"/>
  <c r="AJ295"/>
  <c r="AJ341"/>
  <c r="AJ361"/>
  <c r="W625"/>
  <c r="AC625" s="1"/>
  <c r="AA625"/>
  <c r="CN625"/>
  <c r="W628"/>
  <c r="AC628" s="1"/>
  <c r="AA628"/>
  <c r="CN628"/>
  <c r="W630"/>
  <c r="AC630" s="1"/>
  <c r="CN630"/>
  <c r="AA630"/>
  <c r="W632"/>
  <c r="AC632" s="1"/>
  <c r="CN632"/>
  <c r="AA632"/>
  <c r="W654"/>
  <c r="AC654" s="1"/>
  <c r="CN654"/>
  <c r="AA654"/>
  <c r="W658"/>
  <c r="AC658" s="1"/>
  <c r="AA658"/>
  <c r="CN658"/>
  <c r="W669"/>
  <c r="AC669" s="1"/>
  <c r="AA669"/>
  <c r="CN669"/>
  <c r="W665"/>
  <c r="AC665" s="1"/>
  <c r="CN665"/>
  <c r="AA665"/>
  <c r="W663"/>
  <c r="AC663" s="1"/>
  <c r="AA663"/>
  <c r="CN663"/>
  <c r="W661"/>
  <c r="AC661" s="1"/>
  <c r="CN661"/>
  <c r="AA661"/>
  <c r="W675"/>
  <c r="AC675" s="1"/>
  <c r="CN675"/>
  <c r="AA675"/>
  <c r="W677"/>
  <c r="AC677" s="1"/>
  <c r="CN677"/>
  <c r="AA677"/>
  <c r="W681"/>
  <c r="AC681" s="1"/>
  <c r="CN681"/>
  <c r="AA681"/>
  <c r="W682"/>
  <c r="AC682" s="1"/>
  <c r="AA682"/>
  <c r="CN682"/>
  <c r="W685"/>
  <c r="AC685" s="1"/>
  <c r="CN685"/>
  <c r="AA685"/>
  <c r="W683"/>
  <c r="AC683" s="1"/>
  <c r="AA683"/>
  <c r="CN683"/>
  <c r="W690"/>
  <c r="AC690" s="1"/>
  <c r="CN690"/>
  <c r="AA690"/>
  <c r="W692"/>
  <c r="AC692" s="1"/>
  <c r="CN692"/>
  <c r="AA692"/>
  <c r="W704"/>
  <c r="AC704" s="1"/>
  <c r="CN704"/>
  <c r="AA704"/>
  <c r="W708"/>
  <c r="AC708" s="1"/>
  <c r="AA708"/>
  <c r="CN708"/>
  <c r="W710"/>
  <c r="AC710" s="1"/>
  <c r="AA710"/>
  <c r="CN710"/>
  <c r="W712"/>
  <c r="AC712" s="1"/>
  <c r="CN712"/>
  <c r="AA712"/>
  <c r="W714"/>
  <c r="AC714" s="1"/>
  <c r="AA714"/>
  <c r="CN714"/>
  <c r="W716"/>
  <c r="AC716" s="1"/>
  <c r="CN716"/>
  <c r="AA716"/>
  <c r="W718"/>
  <c r="AC718" s="1"/>
  <c r="AA718"/>
  <c r="CN718"/>
  <c r="W720"/>
  <c r="AC720" s="1"/>
  <c r="CN720"/>
  <c r="AA720"/>
  <c r="W722"/>
  <c r="AC722" s="1"/>
  <c r="CN722"/>
  <c r="AA722"/>
  <c r="Y725"/>
  <c r="AE725" s="1"/>
  <c r="W725"/>
  <c r="AC725" s="1"/>
  <c r="AA725"/>
  <c r="CN725"/>
  <c r="Y728"/>
  <c r="AE728" s="1"/>
  <c r="W728"/>
  <c r="AC728" s="1"/>
  <c r="CN728"/>
  <c r="AA728"/>
  <c r="Y731"/>
  <c r="AE731" s="1"/>
  <c r="G107" i="51061" s="1"/>
  <c r="W731" i="51055"/>
  <c r="AC731" s="1"/>
  <c r="E107" i="51061" s="1"/>
  <c r="AA731" i="51055"/>
  <c r="CN731"/>
  <c r="AJ540"/>
  <c r="I80" i="51061"/>
  <c r="AG80" s="1"/>
  <c r="AJ561" i="51055"/>
  <c r="I83" i="51061"/>
  <c r="AG83" s="1"/>
  <c r="AJ572" i="51055"/>
  <c r="I84" i="51061"/>
  <c r="AG84" s="1"/>
  <c r="AJ581" i="51055"/>
  <c r="I85" i="51061"/>
  <c r="AG85" s="1"/>
  <c r="AJ606" i="51055"/>
  <c r="I86" i="51061"/>
  <c r="AG86" s="1"/>
  <c r="AJ611" i="51055"/>
  <c r="I88" i="51061"/>
  <c r="AJ617" i="51055"/>
  <c r="I89" i="51061"/>
  <c r="AG89" s="1"/>
  <c r="AJ642" i="51055"/>
  <c r="I94" i="51061"/>
  <c r="AJ680" i="51055"/>
  <c r="I97" i="51061"/>
  <c r="AG97" s="1"/>
  <c r="I98"/>
  <c r="AG98" s="1"/>
  <c r="AJ730" i="51055"/>
  <c r="I107" i="51061"/>
  <c r="AG107" s="1"/>
  <c r="I108"/>
  <c r="AG108" s="1"/>
  <c r="Z439" i="51055"/>
  <c r="AB439"/>
  <c r="CO439"/>
  <c r="X446"/>
  <c r="AD446" s="1"/>
  <c r="F69" i="51061" s="1"/>
  <c r="CO446" i="51055"/>
  <c r="AB446"/>
  <c r="X448"/>
  <c r="AD448" s="1"/>
  <c r="AB448"/>
  <c r="CO448"/>
  <c r="X470"/>
  <c r="AD470" s="1"/>
  <c r="AB470"/>
  <c r="CO470"/>
  <c r="Z472"/>
  <c r="CO472"/>
  <c r="AB472"/>
  <c r="Z485"/>
  <c r="AB485"/>
  <c r="CO485"/>
  <c r="Z490"/>
  <c r="AB490"/>
  <c r="CO490"/>
  <c r="Z493"/>
  <c r="CO493"/>
  <c r="AB493"/>
  <c r="Z495"/>
  <c r="CO495"/>
  <c r="AB495"/>
  <c r="Z509"/>
  <c r="AB509"/>
  <c r="CO509"/>
  <c r="Z514"/>
  <c r="AB514"/>
  <c r="CO514"/>
  <c r="Z516"/>
  <c r="CO516"/>
  <c r="AB516"/>
  <c r="Z518"/>
  <c r="AB518"/>
  <c r="CO518"/>
  <c r="Z537"/>
  <c r="AB537"/>
  <c r="CO537"/>
  <c r="Z535"/>
  <c r="AB535"/>
  <c r="CO535"/>
  <c r="Z531"/>
  <c r="CO531"/>
  <c r="AB531"/>
  <c r="Z545"/>
  <c r="AB545"/>
  <c r="CO545"/>
  <c r="Z547"/>
  <c r="AB547"/>
  <c r="CO547"/>
  <c r="Z549"/>
  <c r="AB549"/>
  <c r="CO549"/>
  <c r="Z551"/>
  <c r="AB551"/>
  <c r="CO551"/>
  <c r="X557"/>
  <c r="AD557" s="1"/>
  <c r="AB557"/>
  <c r="CO557"/>
  <c r="Z559"/>
  <c r="AB559"/>
  <c r="CO559"/>
  <c r="Z562"/>
  <c r="CO562"/>
  <c r="AB562"/>
  <c r="Z566"/>
  <c r="AB566"/>
  <c r="CO566"/>
  <c r="Z571"/>
  <c r="AB571"/>
  <c r="CO571"/>
  <c r="Z573"/>
  <c r="AB573"/>
  <c r="CO573"/>
  <c r="X575"/>
  <c r="AD575" s="1"/>
  <c r="AB575"/>
  <c r="CO575"/>
  <c r="X577"/>
  <c r="AD577" s="1"/>
  <c r="CO577"/>
  <c r="AB577"/>
  <c r="X579"/>
  <c r="AD579" s="1"/>
  <c r="AB579"/>
  <c r="CO579"/>
  <c r="Z580"/>
  <c r="AB580"/>
  <c r="CO580"/>
  <c r="Z582"/>
  <c r="CO582"/>
  <c r="AB582"/>
  <c r="Z584"/>
  <c r="CO584"/>
  <c r="AB584"/>
  <c r="X590"/>
  <c r="AD590" s="1"/>
  <c r="CO590"/>
  <c r="AB590"/>
  <c r="X592"/>
  <c r="AD592" s="1"/>
  <c r="CO592"/>
  <c r="AB592"/>
  <c r="Z594"/>
  <c r="AB594"/>
  <c r="CO594"/>
  <c r="X603"/>
  <c r="AD603" s="1"/>
  <c r="F86" i="51061" s="1"/>
  <c r="AB603" i="51055"/>
  <c r="CO603"/>
  <c r="Z605"/>
  <c r="CO605"/>
  <c r="AB605"/>
  <c r="X607"/>
  <c r="AD607" s="1"/>
  <c r="AB607"/>
  <c r="CO607"/>
  <c r="X609"/>
  <c r="AD609" s="1"/>
  <c r="CO609"/>
  <c r="AB609"/>
  <c r="Z610"/>
  <c r="CO610"/>
  <c r="AB610"/>
  <c r="Z616"/>
  <c r="CO616"/>
  <c r="AB616"/>
  <c r="X618"/>
  <c r="AD618" s="1"/>
  <c r="F89" i="51061" s="1"/>
  <c r="AB618" i="51055"/>
  <c r="CO618"/>
  <c r="Z620"/>
  <c r="CO620"/>
  <c r="AB620"/>
  <c r="Z626"/>
  <c r="CO626"/>
  <c r="AB626"/>
  <c r="Z637"/>
  <c r="AB637"/>
  <c r="CO637"/>
  <c r="X639"/>
  <c r="AD639" s="1"/>
  <c r="F92" i="51061" s="1"/>
  <c r="AB639" i="51055"/>
  <c r="CO639"/>
  <c r="Z641"/>
  <c r="AB641"/>
  <c r="CO641"/>
  <c r="Z643"/>
  <c r="CO643"/>
  <c r="AB643"/>
  <c r="Z645"/>
  <c r="AB645"/>
  <c r="CO645"/>
  <c r="Z647"/>
  <c r="CO647"/>
  <c r="AB647"/>
  <c r="Z649"/>
  <c r="AB649"/>
  <c r="CO649"/>
  <c r="Z651"/>
  <c r="CO651"/>
  <c r="AB651"/>
  <c r="Z667"/>
  <c r="CO667"/>
  <c r="AB667"/>
  <c r="X672"/>
  <c r="AD672" s="1"/>
  <c r="F96" i="51061" s="1"/>
  <c r="Z672" i="51055"/>
  <c r="AB672"/>
  <c r="CO672"/>
  <c r="EQ678"/>
  <c r="Z679"/>
  <c r="AB679"/>
  <c r="CO679"/>
  <c r="Z687"/>
  <c r="CO687"/>
  <c r="AB687"/>
  <c r="Z688"/>
  <c r="CO688"/>
  <c r="AB688"/>
  <c r="Z701"/>
  <c r="CO701"/>
  <c r="AB701"/>
  <c r="Z703"/>
  <c r="CO703"/>
  <c r="AB703"/>
  <c r="Z723"/>
  <c r="AB723"/>
  <c r="CO723"/>
  <c r="Z735"/>
  <c r="CO735"/>
  <c r="AB735"/>
  <c r="Z737"/>
  <c r="CO737"/>
  <c r="AB737"/>
  <c r="Z740"/>
  <c r="CO740"/>
  <c r="AB740"/>
  <c r="BS183"/>
  <c r="BR298"/>
  <c r="BS298"/>
  <c r="BU298" s="1"/>
  <c r="BR144"/>
  <c r="BS144"/>
  <c r="BU144" s="1"/>
  <c r="BR82"/>
  <c r="BS82"/>
  <c r="BU82" s="1"/>
  <c r="BR145"/>
  <c r="BS145"/>
  <c r="BU145" s="1"/>
  <c r="BS696"/>
  <c r="BU696" s="1"/>
  <c r="BR696"/>
  <c r="BS452"/>
  <c r="BU452" s="1"/>
  <c r="BR452"/>
  <c r="E18" i="101"/>
  <c r="E19"/>
  <c r="N19"/>
  <c r="N18"/>
  <c r="H19"/>
  <c r="H18"/>
  <c r="AJ567" i="51055"/>
  <c r="AJ585"/>
  <c r="AJ587"/>
  <c r="F84" i="51061"/>
  <c r="Z613" i="51055"/>
  <c r="Z615"/>
  <c r="Z640"/>
  <c r="Z668"/>
  <c r="Z671"/>
  <c r="Z673"/>
  <c r="BV125"/>
  <c r="BV184"/>
  <c r="BR63"/>
  <c r="BV63" s="1"/>
  <c r="BR69"/>
  <c r="BR77"/>
  <c r="BV77" s="1"/>
  <c r="BR183"/>
  <c r="BR229"/>
  <c r="BR426"/>
  <c r="BR698"/>
  <c r="BV698" s="1"/>
  <c r="C25" i="51067"/>
  <c r="C2" s="1"/>
  <c r="AN112" i="51061"/>
  <c r="W397" i="51055"/>
  <c r="AC397" s="1"/>
  <c r="AA397"/>
  <c r="CN397"/>
  <c r="W408"/>
  <c r="AC408" s="1"/>
  <c r="CN408"/>
  <c r="AA408"/>
  <c r="W411"/>
  <c r="AC411" s="1"/>
  <c r="AA411"/>
  <c r="CN411"/>
  <c r="W414"/>
  <c r="AC414" s="1"/>
  <c r="AA414"/>
  <c r="CN414"/>
  <c r="W420"/>
  <c r="AC420" s="1"/>
  <c r="AA420"/>
  <c r="CN420"/>
  <c r="W422"/>
  <c r="AC422" s="1"/>
  <c r="CN422"/>
  <c r="AA422"/>
  <c r="W417"/>
  <c r="AC417" s="1"/>
  <c r="CN417"/>
  <c r="AA417"/>
  <c r="W424"/>
  <c r="AC424" s="1"/>
  <c r="CN424"/>
  <c r="AA424"/>
  <c r="W430"/>
  <c r="AC430" s="1"/>
  <c r="AA430"/>
  <c r="CN430"/>
  <c r="AJ287"/>
  <c r="I46" i="51061"/>
  <c r="AG46" s="1"/>
  <c r="AJ419" i="51055"/>
  <c r="AK419" s="1"/>
  <c r="I64" i="51061"/>
  <c r="AG64" s="1"/>
  <c r="AJ416" i="51055"/>
  <c r="AK416" s="1"/>
  <c r="I65" i="51061"/>
  <c r="AG65" s="1"/>
  <c r="AF429" i="51055"/>
  <c r="EQ429"/>
  <c r="W436"/>
  <c r="AC436" s="1"/>
  <c r="CN436"/>
  <c r="AA436"/>
  <c r="W441"/>
  <c r="AC441" s="1"/>
  <c r="AA441"/>
  <c r="CN441"/>
  <c r="W445"/>
  <c r="AC445" s="1"/>
  <c r="AA445"/>
  <c r="CN445"/>
  <c r="W449"/>
  <c r="AC449" s="1"/>
  <c r="CN449"/>
  <c r="AA449"/>
  <c r="W454"/>
  <c r="AC454" s="1"/>
  <c r="CN454"/>
  <c r="AA454"/>
  <c r="W458"/>
  <c r="AC458" s="1"/>
  <c r="AA458"/>
  <c r="CN458"/>
  <c r="W465"/>
  <c r="AC465" s="1"/>
  <c r="AA465"/>
  <c r="CN465"/>
  <c r="W469"/>
  <c r="AC469" s="1"/>
  <c r="CN469"/>
  <c r="AA469"/>
  <c r="W474"/>
  <c r="AC474" s="1"/>
  <c r="CN474"/>
  <c r="AA474"/>
  <c r="W478"/>
  <c r="AC478" s="1"/>
  <c r="AA478"/>
  <c r="CN478"/>
  <c r="W482"/>
  <c r="AC482" s="1"/>
  <c r="AA482"/>
  <c r="CN482"/>
  <c r="W487"/>
  <c r="AC487" s="1"/>
  <c r="CN487"/>
  <c r="AA487"/>
  <c r="W491"/>
  <c r="AC491" s="1"/>
  <c r="AA491"/>
  <c r="CN491"/>
  <c r="W494"/>
  <c r="AC494" s="1"/>
  <c r="CN494"/>
  <c r="AA494"/>
  <c r="W501"/>
  <c r="AC501" s="1"/>
  <c r="CN501"/>
  <c r="AA501"/>
  <c r="W497"/>
  <c r="AC497" s="1"/>
  <c r="CN497"/>
  <c r="AA497"/>
  <c r="W511"/>
  <c r="AC511" s="1"/>
  <c r="CN511"/>
  <c r="AA511"/>
  <c r="W515"/>
  <c r="AC515" s="1"/>
  <c r="AA515"/>
  <c r="CN515"/>
  <c r="W520"/>
  <c r="AC520" s="1"/>
  <c r="CN520"/>
  <c r="AA520"/>
  <c r="W524"/>
  <c r="AC524" s="1"/>
  <c r="CN524"/>
  <c r="AA524"/>
  <c r="W527"/>
  <c r="AC527" s="1"/>
  <c r="CN527"/>
  <c r="AA527"/>
  <c r="W536"/>
  <c r="AC536" s="1"/>
  <c r="CN536"/>
  <c r="AA536"/>
  <c r="W532"/>
  <c r="AC532" s="1"/>
  <c r="AA532"/>
  <c r="CN532"/>
  <c r="W528"/>
  <c r="AC528" s="1"/>
  <c r="CN528"/>
  <c r="AA528"/>
  <c r="W540"/>
  <c r="AC540" s="1"/>
  <c r="CN540"/>
  <c r="AA540"/>
  <c r="W548"/>
  <c r="AC548" s="1"/>
  <c r="AA548"/>
  <c r="CN548"/>
  <c r="W552"/>
  <c r="AC552" s="1"/>
  <c r="CN552"/>
  <c r="AA552"/>
  <c r="W556"/>
  <c r="AC556" s="1"/>
  <c r="AA556"/>
  <c r="CN556"/>
  <c r="W561"/>
  <c r="AC561" s="1"/>
  <c r="AA561"/>
  <c r="CN561"/>
  <c r="W567"/>
  <c r="AC567" s="1"/>
  <c r="AA567"/>
  <c r="CN567"/>
  <c r="W572"/>
  <c r="AC572" s="1"/>
  <c r="CN572"/>
  <c r="AA572"/>
  <c r="W576"/>
  <c r="AC576" s="1"/>
  <c r="CN576"/>
  <c r="AA576"/>
  <c r="W581"/>
  <c r="AC581" s="1"/>
  <c r="AA581"/>
  <c r="CN581"/>
  <c r="W585"/>
  <c r="AC585" s="1"/>
  <c r="AA585"/>
  <c r="CN585"/>
  <c r="W589"/>
  <c r="AC589" s="1"/>
  <c r="CN589"/>
  <c r="AA589"/>
  <c r="W593"/>
  <c r="AC593" s="1"/>
  <c r="AA593"/>
  <c r="CN593"/>
  <c r="W598"/>
  <c r="AC598" s="1"/>
  <c r="AA598"/>
  <c r="CN598"/>
  <c r="W602"/>
  <c r="AC602" s="1"/>
  <c r="AA602"/>
  <c r="CN602"/>
  <c r="W606"/>
  <c r="AC606" s="1"/>
  <c r="CN606"/>
  <c r="AA606"/>
  <c r="W257"/>
  <c r="AC257" s="1"/>
  <c r="AA257"/>
  <c r="CN257"/>
  <c r="W260"/>
  <c r="AC260" s="1"/>
  <c r="AA260"/>
  <c r="CN260"/>
  <c r="W266"/>
  <c r="AC266" s="1"/>
  <c r="AA266"/>
  <c r="CN266"/>
  <c r="W275"/>
  <c r="AC275" s="1"/>
  <c r="AA275"/>
  <c r="CN275"/>
  <c r="W277"/>
  <c r="AC277" s="1"/>
  <c r="CN277"/>
  <c r="AA277"/>
  <c r="W279"/>
  <c r="AC279" s="1"/>
  <c r="CN279"/>
  <c r="AA279"/>
  <c r="W281"/>
  <c r="AC281" s="1"/>
  <c r="AA281"/>
  <c r="CN281"/>
  <c r="W283"/>
  <c r="AC283" s="1"/>
  <c r="AA283"/>
  <c r="CN283"/>
  <c r="W290"/>
  <c r="AC290" s="1"/>
  <c r="AA290"/>
  <c r="CN290"/>
  <c r="W310"/>
  <c r="AC310" s="1"/>
  <c r="CN310"/>
  <c r="AA310"/>
  <c r="W313"/>
  <c r="AC313" s="1"/>
  <c r="CN313"/>
  <c r="AA313"/>
  <c r="W330"/>
  <c r="AC330" s="1"/>
  <c r="AA330"/>
  <c r="CN330"/>
  <c r="W332"/>
  <c r="AC332" s="1"/>
  <c r="CN332"/>
  <c r="AA332"/>
  <c r="W335"/>
  <c r="AC335" s="1"/>
  <c r="AA335"/>
  <c r="CN335"/>
  <c r="W337"/>
  <c r="AC337" s="1"/>
  <c r="AA337"/>
  <c r="CN337"/>
  <c r="W339"/>
  <c r="AC339" s="1"/>
  <c r="AA339"/>
  <c r="CN339"/>
  <c r="W340"/>
  <c r="AC340" s="1"/>
  <c r="E52" i="51061" s="1"/>
  <c r="AA340" i="51055"/>
  <c r="CN340"/>
  <c r="W345"/>
  <c r="AC345" s="1"/>
  <c r="CN345"/>
  <c r="AA345"/>
  <c r="W347"/>
  <c r="AC347" s="1"/>
  <c r="AA347"/>
  <c r="CN347"/>
  <c r="W349"/>
  <c r="AC349" s="1"/>
  <c r="CN349"/>
  <c r="AA349"/>
  <c r="W356"/>
  <c r="AC356" s="1"/>
  <c r="AA356"/>
  <c r="CN356"/>
  <c r="W365"/>
  <c r="AC365" s="1"/>
  <c r="CN365"/>
  <c r="AA365"/>
  <c r="W369"/>
  <c r="AC369" s="1"/>
  <c r="CN369"/>
  <c r="AA369"/>
  <c r="W367"/>
  <c r="AC367" s="1"/>
  <c r="CN367"/>
  <c r="AA367"/>
  <c r="W372"/>
  <c r="AC372" s="1"/>
  <c r="AA372"/>
  <c r="CN372"/>
  <c r="W380"/>
  <c r="AC380" s="1"/>
  <c r="CN380"/>
  <c r="AA380"/>
  <c r="W402"/>
  <c r="AC402" s="1"/>
  <c r="CN402"/>
  <c r="AA402"/>
  <c r="W404"/>
  <c r="AC404" s="1"/>
  <c r="CN404"/>
  <c r="AA404"/>
  <c r="W406"/>
  <c r="AC406" s="1"/>
  <c r="AA406"/>
  <c r="CN406"/>
  <c r="W409"/>
  <c r="AC409" s="1"/>
  <c r="CN409"/>
  <c r="AA409"/>
  <c r="W412"/>
  <c r="AC412" s="1"/>
  <c r="AA412"/>
  <c r="CN412"/>
  <c r="W418"/>
  <c r="AC418" s="1"/>
  <c r="AA418"/>
  <c r="CN418"/>
  <c r="W415"/>
  <c r="AC415" s="1"/>
  <c r="E65" i="51061" s="1"/>
  <c r="AA415" i="51055"/>
  <c r="CN415"/>
  <c r="W433"/>
  <c r="AC433" s="1"/>
  <c r="CN433"/>
  <c r="AA433"/>
  <c r="AJ443"/>
  <c r="I69" i="51061"/>
  <c r="AG69" s="1"/>
  <c r="AJ487" i="51055"/>
  <c r="I73" i="51061"/>
  <c r="AG73" s="1"/>
  <c r="AJ497" i="51055"/>
  <c r="I76" i="51061"/>
  <c r="X437" i="51055"/>
  <c r="AD437" s="1"/>
  <c r="F68" i="51061" s="1"/>
  <c r="AB437" i="51055"/>
  <c r="CO437"/>
  <c r="Z440"/>
  <c r="CO440"/>
  <c r="AB440"/>
  <c r="Z444"/>
  <c r="AB444"/>
  <c r="CO444"/>
  <c r="Z455"/>
  <c r="AB455"/>
  <c r="CO455"/>
  <c r="Z457"/>
  <c r="CO457"/>
  <c r="AB457"/>
  <c r="Z459"/>
  <c r="CO459"/>
  <c r="AB459"/>
  <c r="Z464"/>
  <c r="CO464"/>
  <c r="AB464"/>
  <c r="Z466"/>
  <c r="CO466"/>
  <c r="AB466"/>
  <c r="Z468"/>
  <c r="X468"/>
  <c r="AD468" s="1"/>
  <c r="CO468"/>
  <c r="AB468"/>
  <c r="Z473"/>
  <c r="CO473"/>
  <c r="AB473"/>
  <c r="Z475"/>
  <c r="AB475"/>
  <c r="CO475"/>
  <c r="Z477"/>
  <c r="X477"/>
  <c r="AD477" s="1"/>
  <c r="AB477"/>
  <c r="CO477"/>
  <c r="Z479"/>
  <c r="AB479"/>
  <c r="CO479"/>
  <c r="Z481"/>
  <c r="CO481"/>
  <c r="AB481"/>
  <c r="Z483"/>
  <c r="X483"/>
  <c r="AD483" s="1"/>
  <c r="AB483"/>
  <c r="CO483"/>
  <c r="Z486"/>
  <c r="CO486"/>
  <c r="AB486"/>
  <c r="X488"/>
  <c r="AD488" s="1"/>
  <c r="F73" i="51061" s="1"/>
  <c r="CO488" i="51055"/>
  <c r="AB488"/>
  <c r="Z508"/>
  <c r="CO508"/>
  <c r="AB508"/>
  <c r="Z504"/>
  <c r="AB504"/>
  <c r="CO504"/>
  <c r="Z502"/>
  <c r="CO502"/>
  <c r="AB502"/>
  <c r="Z500"/>
  <c r="CO500"/>
  <c r="AB500"/>
  <c r="Z498"/>
  <c r="CO498"/>
  <c r="AB498"/>
  <c r="Z496"/>
  <c r="CO496"/>
  <c r="AB496"/>
  <c r="Z519"/>
  <c r="CO519"/>
  <c r="AB519"/>
  <c r="Z521"/>
  <c r="CO521"/>
  <c r="AB521"/>
  <c r="Z523"/>
  <c r="AB523"/>
  <c r="CO523"/>
  <c r="X525"/>
  <c r="AD525" s="1"/>
  <c r="F78" i="51061" s="1"/>
  <c r="F81" s="1"/>
  <c r="AB525" i="51055"/>
  <c r="CO525"/>
  <c r="Z543"/>
  <c r="AB543"/>
  <c r="CO543"/>
  <c r="Z553"/>
  <c r="CO553"/>
  <c r="AB553"/>
  <c r="X560"/>
  <c r="AD560" s="1"/>
  <c r="AB560"/>
  <c r="CO560"/>
  <c r="X564"/>
  <c r="AD564" s="1"/>
  <c r="CO564"/>
  <c r="AB564"/>
  <c r="X568"/>
  <c r="AD568" s="1"/>
  <c r="AB568"/>
  <c r="CO568"/>
  <c r="Z569"/>
  <c r="AB569"/>
  <c r="CO569"/>
  <c r="X586"/>
  <c r="AD586" s="1"/>
  <c r="F85" i="51061" s="1"/>
  <c r="CO586" i="51055"/>
  <c r="AB586"/>
  <c r="Z588"/>
  <c r="AB588"/>
  <c r="CO588"/>
  <c r="Z595"/>
  <c r="AB595"/>
  <c r="CO595"/>
  <c r="Z597"/>
  <c r="CO597"/>
  <c r="AB597"/>
  <c r="Z599"/>
  <c r="AB599"/>
  <c r="CO599"/>
  <c r="Z601"/>
  <c r="CO601"/>
  <c r="AB601"/>
  <c r="Z612"/>
  <c r="AB612"/>
  <c r="CO612"/>
  <c r="X623"/>
  <c r="AD623" s="1"/>
  <c r="F90" i="51061" s="1"/>
  <c r="Z623" i="51055"/>
  <c r="AB623"/>
  <c r="CO623"/>
  <c r="Z625"/>
  <c r="CO625"/>
  <c r="AB625"/>
  <c r="Z628"/>
  <c r="CO628"/>
  <c r="AB628"/>
  <c r="Z630"/>
  <c r="AB630"/>
  <c r="CO630"/>
  <c r="Z632"/>
  <c r="AB632"/>
  <c r="CO632"/>
  <c r="Z654"/>
  <c r="CO654"/>
  <c r="AB654"/>
  <c r="Z658"/>
  <c r="CO658"/>
  <c r="AB658"/>
  <c r="Z669"/>
  <c r="AB669"/>
  <c r="CO669"/>
  <c r="Z665"/>
  <c r="CO665"/>
  <c r="AB665"/>
  <c r="Z663"/>
  <c r="AB663"/>
  <c r="CO663"/>
  <c r="Z661"/>
  <c r="CO661"/>
  <c r="AB661"/>
  <c r="Z675"/>
  <c r="AB675"/>
  <c r="CO675"/>
  <c r="Z677"/>
  <c r="AB677"/>
  <c r="CO677"/>
  <c r="X681"/>
  <c r="AD681" s="1"/>
  <c r="Z681"/>
  <c r="CO681"/>
  <c r="AB681"/>
  <c r="Z682"/>
  <c r="CO682"/>
  <c r="AB682"/>
  <c r="Z685"/>
  <c r="AB685"/>
  <c r="CO685"/>
  <c r="Z683"/>
  <c r="CO683"/>
  <c r="AB683"/>
  <c r="X690"/>
  <c r="AD690" s="1"/>
  <c r="F100" i="51061" s="1"/>
  <c r="F103" s="1"/>
  <c r="CO690" i="51055"/>
  <c r="AB690"/>
  <c r="Z692"/>
  <c r="AB692"/>
  <c r="CO692"/>
  <c r="Z704"/>
  <c r="CO704"/>
  <c r="AB704"/>
  <c r="Z708"/>
  <c r="CO708"/>
  <c r="AB708"/>
  <c r="Z710"/>
  <c r="AB710"/>
  <c r="CO710"/>
  <c r="Z712"/>
  <c r="CO712"/>
  <c r="AB712"/>
  <c r="Z714"/>
  <c r="AB714"/>
  <c r="CO714"/>
  <c r="X716"/>
  <c r="AD716" s="1"/>
  <c r="F104" i="51061" s="1"/>
  <c r="F105" s="1"/>
  <c r="CO716" i="51055"/>
  <c r="AB716"/>
  <c r="Z718"/>
  <c r="CO718"/>
  <c r="AB718"/>
  <c r="Z720"/>
  <c r="CO720"/>
  <c r="AB720"/>
  <c r="Z722"/>
  <c r="AB722"/>
  <c r="CO722"/>
  <c r="Z725"/>
  <c r="AB725"/>
  <c r="CO725"/>
  <c r="Z728"/>
  <c r="AB728"/>
  <c r="CO728"/>
  <c r="Z731"/>
  <c r="CO731"/>
  <c r="AB731"/>
  <c r="AJ548"/>
  <c r="I82" i="51061"/>
  <c r="I90"/>
  <c r="AG90" s="1"/>
  <c r="I91"/>
  <c r="AG91" s="1"/>
  <c r="AJ636" i="51055"/>
  <c r="I92" i="51061"/>
  <c r="AG92" s="1"/>
  <c r="AJ660" i="51055"/>
  <c r="I96" i="51061"/>
  <c r="AG96" s="1"/>
  <c r="AJ691" i="51055"/>
  <c r="I100" i="51061"/>
  <c r="AJ702" i="51055"/>
  <c r="I101" i="51061"/>
  <c r="AG101" s="1"/>
  <c r="I104"/>
  <c r="Y439" i="51055"/>
  <c r="AE439" s="1"/>
  <c r="W439"/>
  <c r="AC439" s="1"/>
  <c r="CN439"/>
  <c r="AA439"/>
  <c r="Y446"/>
  <c r="AE446" s="1"/>
  <c r="W446"/>
  <c r="AC446" s="1"/>
  <c r="CN446"/>
  <c r="AA446"/>
  <c r="Y448"/>
  <c r="AE448" s="1"/>
  <c r="W448"/>
  <c r="AC448" s="1"/>
  <c r="CN448"/>
  <c r="AA448"/>
  <c r="Y470"/>
  <c r="AE470" s="1"/>
  <c r="W470"/>
  <c r="AC470" s="1"/>
  <c r="AA470"/>
  <c r="CN470"/>
  <c r="Y472"/>
  <c r="AE472" s="1"/>
  <c r="W472"/>
  <c r="AC472" s="1"/>
  <c r="AA472"/>
  <c r="CN472"/>
  <c r="Y485"/>
  <c r="AE485" s="1"/>
  <c r="W485"/>
  <c r="AC485" s="1"/>
  <c r="AA485"/>
  <c r="CN485"/>
  <c r="Y490"/>
  <c r="AE490" s="1"/>
  <c r="W490"/>
  <c r="AC490" s="1"/>
  <c r="CN490"/>
  <c r="AA490"/>
  <c r="Y493"/>
  <c r="AE493" s="1"/>
  <c r="W493"/>
  <c r="AC493" s="1"/>
  <c r="CN493"/>
  <c r="AA493"/>
  <c r="Y495"/>
  <c r="AE495" s="1"/>
  <c r="W495"/>
  <c r="AC495" s="1"/>
  <c r="AA495"/>
  <c r="CN495"/>
  <c r="Y509"/>
  <c r="AE509" s="1"/>
  <c r="W509"/>
  <c r="AC509" s="1"/>
  <c r="AA509"/>
  <c r="CN509"/>
  <c r="Y514"/>
  <c r="AE514" s="1"/>
  <c r="W514"/>
  <c r="AC514" s="1"/>
  <c r="CN514"/>
  <c r="AA514"/>
  <c r="Y516"/>
  <c r="AE516" s="1"/>
  <c r="W516"/>
  <c r="AC516" s="1"/>
  <c r="CN516"/>
  <c r="AA516"/>
  <c r="Y518"/>
  <c r="AE518" s="1"/>
  <c r="W518"/>
  <c r="AC518" s="1"/>
  <c r="CN518"/>
  <c r="AA518"/>
  <c r="Y537"/>
  <c r="AE537" s="1"/>
  <c r="W537"/>
  <c r="AC537" s="1"/>
  <c r="CN537"/>
  <c r="AA537"/>
  <c r="Y535"/>
  <c r="AE535" s="1"/>
  <c r="W535"/>
  <c r="AC535" s="1"/>
  <c r="AA535"/>
  <c r="CN535"/>
  <c r="Y531"/>
  <c r="AE531" s="1"/>
  <c r="W531"/>
  <c r="AC531" s="1"/>
  <c r="AA531"/>
  <c r="CN531"/>
  <c r="Y545"/>
  <c r="AE545" s="1"/>
  <c r="W545"/>
  <c r="AC545" s="1"/>
  <c r="CN545"/>
  <c r="AA545"/>
  <c r="Y547"/>
  <c r="AE547" s="1"/>
  <c r="W547"/>
  <c r="AC547" s="1"/>
  <c r="AA547"/>
  <c r="CN547"/>
  <c r="Y549"/>
  <c r="AE549" s="1"/>
  <c r="W549"/>
  <c r="AC549" s="1"/>
  <c r="AA549"/>
  <c r="CN549"/>
  <c r="Y551"/>
  <c r="AE551" s="1"/>
  <c r="W551"/>
  <c r="AC551" s="1"/>
  <c r="AA551"/>
  <c r="CN551"/>
  <c r="Y557"/>
  <c r="AE557" s="1"/>
  <c r="W557"/>
  <c r="AC557" s="1"/>
  <c r="AA557"/>
  <c r="CN557"/>
  <c r="Y559"/>
  <c r="AE559" s="1"/>
  <c r="W559"/>
  <c r="AC559" s="1"/>
  <c r="AA559"/>
  <c r="CN559"/>
  <c r="Y562"/>
  <c r="AE562" s="1"/>
  <c r="W562"/>
  <c r="AC562" s="1"/>
  <c r="CN562"/>
  <c r="AA562"/>
  <c r="Y566"/>
  <c r="AE566" s="1"/>
  <c r="W566"/>
  <c r="AC566" s="1"/>
  <c r="CN566"/>
  <c r="AA566"/>
  <c r="AF570"/>
  <c r="Y571"/>
  <c r="AE571" s="1"/>
  <c r="W571"/>
  <c r="AC571" s="1"/>
  <c r="CN571"/>
  <c r="AA571"/>
  <c r="Y573"/>
  <c r="AE573" s="1"/>
  <c r="W573"/>
  <c r="AC573" s="1"/>
  <c r="AA573"/>
  <c r="CN573"/>
  <c r="Y575"/>
  <c r="AE575" s="1"/>
  <c r="W575"/>
  <c r="AC575" s="1"/>
  <c r="AA575"/>
  <c r="CN575"/>
  <c r="AF576"/>
  <c r="EQ576"/>
  <c r="Y577"/>
  <c r="AE577" s="1"/>
  <c r="W577"/>
  <c r="AC577" s="1"/>
  <c r="AA577"/>
  <c r="CN577"/>
  <c r="AF578"/>
  <c r="Y579"/>
  <c r="AE579" s="1"/>
  <c r="W579"/>
  <c r="AC579" s="1"/>
  <c r="AA579"/>
  <c r="CN579"/>
  <c r="Y580"/>
  <c r="AE580" s="1"/>
  <c r="W580"/>
  <c r="AC580" s="1"/>
  <c r="AA580"/>
  <c r="CN580"/>
  <c r="Y582"/>
  <c r="AE582" s="1"/>
  <c r="W582"/>
  <c r="AC582" s="1"/>
  <c r="AA582"/>
  <c r="CN582"/>
  <c r="Y584"/>
  <c r="AE584" s="1"/>
  <c r="W584"/>
  <c r="AC584" s="1"/>
  <c r="AA584"/>
  <c r="CN584"/>
  <c r="AF589"/>
  <c r="EQ589"/>
  <c r="Y590"/>
  <c r="AE590" s="1"/>
  <c r="W590"/>
  <c r="AC590" s="1"/>
  <c r="CN590"/>
  <c r="AA590"/>
  <c r="AF591"/>
  <c r="Y592"/>
  <c r="AE592" s="1"/>
  <c r="W592"/>
  <c r="AC592" s="1"/>
  <c r="CN592"/>
  <c r="AA592"/>
  <c r="AF593"/>
  <c r="EQ593"/>
  <c r="Y594"/>
  <c r="AE594" s="1"/>
  <c r="W594"/>
  <c r="AC594" s="1"/>
  <c r="CN594"/>
  <c r="AA594"/>
  <c r="AF602"/>
  <c r="Y603"/>
  <c r="AE603" s="1"/>
  <c r="W603"/>
  <c r="AC603" s="1"/>
  <c r="AA603"/>
  <c r="CN603"/>
  <c r="AF604"/>
  <c r="EQ604"/>
  <c r="Y605"/>
  <c r="AE605" s="1"/>
  <c r="W605"/>
  <c r="AC605" s="1"/>
  <c r="CN605"/>
  <c r="AA605"/>
  <c r="Y607"/>
  <c r="AE607" s="1"/>
  <c r="W607"/>
  <c r="AC607" s="1"/>
  <c r="CN607"/>
  <c r="AA607"/>
  <c r="AF608"/>
  <c r="EQ608"/>
  <c r="Y609"/>
  <c r="AE609" s="1"/>
  <c r="W609"/>
  <c r="AC609" s="1"/>
  <c r="AA609"/>
  <c r="CN609"/>
  <c r="W610"/>
  <c r="AC610" s="1"/>
  <c r="E88" i="51061" s="1"/>
  <c r="AA610" i="51055"/>
  <c r="CN610"/>
  <c r="W616"/>
  <c r="AC616" s="1"/>
  <c r="CN616"/>
  <c r="AA616"/>
  <c r="W618"/>
  <c r="AC618" s="1"/>
  <c r="CN618"/>
  <c r="AA618"/>
  <c r="W620"/>
  <c r="AC620" s="1"/>
  <c r="AA620"/>
  <c r="CN620"/>
  <c r="W626"/>
  <c r="AC626" s="1"/>
  <c r="E91" i="51061" s="1"/>
  <c r="CN626" i="51055"/>
  <c r="AA626"/>
  <c r="W637"/>
  <c r="AC637" s="1"/>
  <c r="AA637"/>
  <c r="CN637"/>
  <c r="W639"/>
  <c r="AC639" s="1"/>
  <c r="CN639"/>
  <c r="AA639"/>
  <c r="W641"/>
  <c r="AC641" s="1"/>
  <c r="AA641"/>
  <c r="CN641"/>
  <c r="W643"/>
  <c r="AC643" s="1"/>
  <c r="AA643"/>
  <c r="CN643"/>
  <c r="W645"/>
  <c r="AC645" s="1"/>
  <c r="CN645"/>
  <c r="AA645"/>
  <c r="W647"/>
  <c r="AC647" s="1"/>
  <c r="CN647"/>
  <c r="AA647"/>
  <c r="W649"/>
  <c r="AC649" s="1"/>
  <c r="AA649"/>
  <c r="CN649"/>
  <c r="W651"/>
  <c r="AC651" s="1"/>
  <c r="AA651"/>
  <c r="CN651"/>
  <c r="W667"/>
  <c r="AC667" s="1"/>
  <c r="CN667"/>
  <c r="AA667"/>
  <c r="W672"/>
  <c r="AC672" s="1"/>
  <c r="AA672"/>
  <c r="CN672"/>
  <c r="W679"/>
  <c r="AC679" s="1"/>
  <c r="CN679"/>
  <c r="AA679"/>
  <c r="W687"/>
  <c r="AC687" s="1"/>
  <c r="CN687"/>
  <c r="AA687"/>
  <c r="W688"/>
  <c r="AC688" s="1"/>
  <c r="CN688"/>
  <c r="AA688"/>
  <c r="W701"/>
  <c r="AC701" s="1"/>
  <c r="E101" i="51061" s="1"/>
  <c r="AA701" i="51055"/>
  <c r="CN701"/>
  <c r="W703"/>
  <c r="AC703" s="1"/>
  <c r="CN703"/>
  <c r="AA703"/>
  <c r="Y723"/>
  <c r="AE723" s="1"/>
  <c r="W723"/>
  <c r="AC723" s="1"/>
  <c r="AA723"/>
  <c r="CN723"/>
  <c r="Y735"/>
  <c r="AE735" s="1"/>
  <c r="W735"/>
  <c r="AC735" s="1"/>
  <c r="AA735"/>
  <c r="CN735"/>
  <c r="Y737"/>
  <c r="AE737" s="1"/>
  <c r="W737"/>
  <c r="AC737" s="1"/>
  <c r="AA737"/>
  <c r="CN737"/>
  <c r="Y740"/>
  <c r="AE740" s="1"/>
  <c r="G110" i="51061" s="1"/>
  <c r="G111" s="1"/>
  <c r="W740" i="51055"/>
  <c r="AC740" s="1"/>
  <c r="E110" i="51061" s="1"/>
  <c r="E111" s="1"/>
  <c r="CN740" i="51055"/>
  <c r="AA740"/>
  <c r="BS461"/>
  <c r="BS124"/>
  <c r="BS42"/>
  <c r="BR399"/>
  <c r="BS399"/>
  <c r="BU399" s="1"/>
  <c r="BR174"/>
  <c r="BS174"/>
  <c r="BU174" s="1"/>
  <c r="BR131"/>
  <c r="BS131"/>
  <c r="BU131" s="1"/>
  <c r="BR74"/>
  <c r="BS74"/>
  <c r="BU74" s="1"/>
  <c r="BR132"/>
  <c r="BS132"/>
  <c r="BU132" s="1"/>
  <c r="BR299"/>
  <c r="BS299"/>
  <c r="BU299" s="1"/>
  <c r="BS427"/>
  <c r="BU427" s="1"/>
  <c r="BR427"/>
  <c r="BS175"/>
  <c r="BU175" s="1"/>
  <c r="BR175"/>
  <c r="BS732"/>
  <c r="BU732" s="1"/>
  <c r="BR732"/>
  <c r="K18" i="101"/>
  <c r="K19"/>
  <c r="M18"/>
  <c r="O17"/>
  <c r="M19"/>
  <c r="M17"/>
  <c r="N17"/>
  <c r="G19"/>
  <c r="G18"/>
  <c r="I17"/>
  <c r="I19" s="1"/>
  <c r="H17"/>
  <c r="G17"/>
  <c r="CC695" i="51055"/>
  <c r="CD695"/>
  <c r="F82" i="51061"/>
  <c r="Z624" i="51055"/>
  <c r="Z627"/>
  <c r="AJ627" s="1"/>
  <c r="Z666"/>
  <c r="Z686"/>
  <c r="AJ686" s="1"/>
  <c r="Z689"/>
  <c r="Z705"/>
  <c r="Z717"/>
  <c r="AJ552"/>
  <c r="AJ563"/>
  <c r="AK563" s="1"/>
  <c r="AJ666"/>
  <c r="AK724"/>
  <c r="AK738"/>
  <c r="Z445"/>
  <c r="Z447"/>
  <c r="Z460"/>
  <c r="Z471"/>
  <c r="AJ471" s="1"/>
  <c r="Z556"/>
  <c r="Z558"/>
  <c r="F97" i="51061"/>
  <c r="BV426" i="51055"/>
  <c r="BV229"/>
  <c r="BV69"/>
  <c r="BV699"/>
  <c r="BR28"/>
  <c r="BV28" s="1"/>
  <c r="BR42"/>
  <c r="BR124"/>
  <c r="BR303"/>
  <c r="BV303" s="1"/>
  <c r="BR451"/>
  <c r="BV451" s="1"/>
  <c r="BR461"/>
  <c r="BR633"/>
  <c r="BV633" s="1"/>
  <c r="E25" i="51067"/>
  <c r="C3" s="1"/>
  <c r="AK627" i="51055" l="1"/>
  <c r="AY627" s="1"/>
  <c r="I26" i="101"/>
  <c r="I25"/>
  <c r="L24"/>
  <c r="J25"/>
  <c r="J24"/>
  <c r="J26"/>
  <c r="K24"/>
  <c r="H26"/>
  <c r="H25"/>
  <c r="L25"/>
  <c r="L26"/>
  <c r="E26"/>
  <c r="E25"/>
  <c r="I24"/>
  <c r="H24"/>
  <c r="G25"/>
  <c r="G26"/>
  <c r="G24"/>
  <c r="K26"/>
  <c r="K25"/>
  <c r="N26"/>
  <c r="N25"/>
  <c r="O24"/>
  <c r="N24"/>
  <c r="M24"/>
  <c r="M25"/>
  <c r="M26"/>
  <c r="F24"/>
  <c r="F26" s="1"/>
  <c r="D25"/>
  <c r="E24"/>
  <c r="D26"/>
  <c r="D24"/>
  <c r="AK617" i="51055"/>
  <c r="AZ617" s="1"/>
  <c r="BF617" s="1"/>
  <c r="AK311"/>
  <c r="AZ311" s="1"/>
  <c r="BF311" s="1"/>
  <c r="F44" i="51061"/>
  <c r="AK379" i="51055"/>
  <c r="AZ379" s="1"/>
  <c r="BF379" s="1"/>
  <c r="AK396"/>
  <c r="AZ396" s="1"/>
  <c r="BF396" s="1"/>
  <c r="E51" i="51059"/>
  <c r="E57"/>
  <c r="E54"/>
  <c r="AK552" i="51055"/>
  <c r="AY552" s="1"/>
  <c r="BV732"/>
  <c r="BV175"/>
  <c r="CD175" s="1"/>
  <c r="BV427"/>
  <c r="EQ602"/>
  <c r="EQ591"/>
  <c r="EQ578"/>
  <c r="EQ570"/>
  <c r="Z568"/>
  <c r="AF568" s="1"/>
  <c r="Z564"/>
  <c r="Z560"/>
  <c r="AF560" s="1"/>
  <c r="Z525"/>
  <c r="E64" i="51061"/>
  <c r="Y606" i="51055"/>
  <c r="AE606" s="1"/>
  <c r="Y602"/>
  <c r="AE602" s="1"/>
  <c r="Y598"/>
  <c r="Y593"/>
  <c r="Y589"/>
  <c r="Y585"/>
  <c r="AE585" s="1"/>
  <c r="Y581"/>
  <c r="AE581" s="1"/>
  <c r="Y576"/>
  <c r="AE576" s="1"/>
  <c r="Y572"/>
  <c r="AE572" s="1"/>
  <c r="Y567"/>
  <c r="AE567" s="1"/>
  <c r="Y561"/>
  <c r="AE561" s="1"/>
  <c r="Y556"/>
  <c r="AE556" s="1"/>
  <c r="Y552"/>
  <c r="AE552" s="1"/>
  <c r="Y548"/>
  <c r="AE548" s="1"/>
  <c r="Y540"/>
  <c r="AE540" s="1"/>
  <c r="Y528"/>
  <c r="AE528" s="1"/>
  <c r="Y532"/>
  <c r="AE532" s="1"/>
  <c r="Y536"/>
  <c r="AK536" s="1"/>
  <c r="Y527"/>
  <c r="AE527" s="1"/>
  <c r="Y524"/>
  <c r="AE524" s="1"/>
  <c r="Y520"/>
  <c r="AE520" s="1"/>
  <c r="Y515"/>
  <c r="AK515" s="1"/>
  <c r="Y511"/>
  <c r="Y497"/>
  <c r="AE497" s="1"/>
  <c r="Y501"/>
  <c r="Y494"/>
  <c r="AK494" s="1"/>
  <c r="Y491"/>
  <c r="AE491" s="1"/>
  <c r="Y487"/>
  <c r="AE487" s="1"/>
  <c r="Y482"/>
  <c r="AE482" s="1"/>
  <c r="Y478"/>
  <c r="AE478" s="1"/>
  <c r="Y474"/>
  <c r="AE474" s="1"/>
  <c r="Y469"/>
  <c r="AK469" s="1"/>
  <c r="Y465"/>
  <c r="AE465" s="1"/>
  <c r="Y458"/>
  <c r="AE458" s="1"/>
  <c r="Y454"/>
  <c r="AE454" s="1"/>
  <c r="Y449"/>
  <c r="AE449" s="1"/>
  <c r="Y445"/>
  <c r="AE445" s="1"/>
  <c r="Y441"/>
  <c r="AE441" s="1"/>
  <c r="Y436"/>
  <c r="BV452"/>
  <c r="BV696"/>
  <c r="CD696" s="1"/>
  <c r="AF678"/>
  <c r="F99" i="51061"/>
  <c r="Z618" i="51055"/>
  <c r="Z603"/>
  <c r="EQ603" s="1"/>
  <c r="Z579"/>
  <c r="Z577"/>
  <c r="EQ577" s="1"/>
  <c r="Z575"/>
  <c r="F53" i="51061"/>
  <c r="Y608" i="51055"/>
  <c r="AE608" s="1"/>
  <c r="Y604"/>
  <c r="AE604" s="1"/>
  <c r="Y600"/>
  <c r="Y596"/>
  <c r="AE596" s="1"/>
  <c r="G86" i="51061" s="1"/>
  <c r="Y591" i="51055"/>
  <c r="Y587"/>
  <c r="AE587" s="1"/>
  <c r="Y583"/>
  <c r="Y578"/>
  <c r="Y574"/>
  <c r="Y570"/>
  <c r="AE570" s="1"/>
  <c r="Y565"/>
  <c r="Y558"/>
  <c r="AE558" s="1"/>
  <c r="Y554"/>
  <c r="Y550"/>
  <c r="Y546"/>
  <c r="Y539"/>
  <c r="AE539" s="1"/>
  <c r="Y530"/>
  <c r="Y534"/>
  <c r="Y538"/>
  <c r="Y526"/>
  <c r="AE526" s="1"/>
  <c r="Y522"/>
  <c r="Y517"/>
  <c r="AE517" s="1"/>
  <c r="Y513"/>
  <c r="Y510"/>
  <c r="AE510" s="1"/>
  <c r="Y499"/>
  <c r="AE499" s="1"/>
  <c r="Y503"/>
  <c r="AE503" s="1"/>
  <c r="Y492"/>
  <c r="Y489"/>
  <c r="AE489" s="1"/>
  <c r="G73" i="51061" s="1"/>
  <c r="Y484" i="51055"/>
  <c r="Y480"/>
  <c r="Y476"/>
  <c r="Y471"/>
  <c r="AE471" s="1"/>
  <c r="Y467"/>
  <c r="Y460"/>
  <c r="AE460" s="1"/>
  <c r="Y456"/>
  <c r="Y450"/>
  <c r="AE450" s="1"/>
  <c r="Y447"/>
  <c r="AE447" s="1"/>
  <c r="Y443"/>
  <c r="AE443" s="1"/>
  <c r="Y438"/>
  <c r="Y434"/>
  <c r="Z393"/>
  <c r="Z360"/>
  <c r="AF360" s="1"/>
  <c r="Z296"/>
  <c r="Z294"/>
  <c r="AF294" s="1"/>
  <c r="Z286"/>
  <c r="Z247"/>
  <c r="AF247" s="1"/>
  <c r="Y721"/>
  <c r="Y717"/>
  <c r="AE717" s="1"/>
  <c r="Y713"/>
  <c r="Y709"/>
  <c r="AK709" s="1"/>
  <c r="Y705"/>
  <c r="AE705" s="1"/>
  <c r="Y693"/>
  <c r="AK693" s="1"/>
  <c r="Y684"/>
  <c r="Y678"/>
  <c r="Y674"/>
  <c r="Y671"/>
  <c r="AE671" s="1"/>
  <c r="Y664"/>
  <c r="Y668"/>
  <c r="AE668" s="1"/>
  <c r="Y660"/>
  <c r="AE660" s="1"/>
  <c r="Y657"/>
  <c r="AK657" s="1"/>
  <c r="Y653"/>
  <c r="Y650"/>
  <c r="Y646"/>
  <c r="Y642"/>
  <c r="AE642" s="1"/>
  <c r="Y638"/>
  <c r="Y631"/>
  <c r="AK631" s="1"/>
  <c r="Y627"/>
  <c r="AE627" s="1"/>
  <c r="Y622"/>
  <c r="AK622" s="1"/>
  <c r="Y617"/>
  <c r="AE617" s="1"/>
  <c r="Y613"/>
  <c r="AE613" s="1"/>
  <c r="Z236"/>
  <c r="Z233"/>
  <c r="EQ233" s="1"/>
  <c r="F33" i="51061"/>
  <c r="Y623" i="51055"/>
  <c r="AE623" s="1"/>
  <c r="Y612"/>
  <c r="AE612" s="1"/>
  <c r="Y444"/>
  <c r="AE444" s="1"/>
  <c r="Y440"/>
  <c r="AE440" s="1"/>
  <c r="Y437"/>
  <c r="AE437" s="1"/>
  <c r="Z418"/>
  <c r="AF418" s="1"/>
  <c r="Z412"/>
  <c r="Z430"/>
  <c r="AF430" s="1"/>
  <c r="F63" i="51061"/>
  <c r="F66" s="1"/>
  <c r="Y395" i="51055"/>
  <c r="AE395" s="1"/>
  <c r="Y123"/>
  <c r="AE123" s="1"/>
  <c r="Y99"/>
  <c r="AE99" s="1"/>
  <c r="Y407"/>
  <c r="AE407" s="1"/>
  <c r="Y403"/>
  <c r="AK403" s="1"/>
  <c r="Y396"/>
  <c r="AE396" s="1"/>
  <c r="Y392"/>
  <c r="Y388"/>
  <c r="AE388" s="1"/>
  <c r="Y384"/>
  <c r="Y381"/>
  <c r="AE381" s="1"/>
  <c r="Y377"/>
  <c r="Y371"/>
  <c r="Y366"/>
  <c r="AK366" s="1"/>
  <c r="Y361"/>
  <c r="AE361" s="1"/>
  <c r="Y357"/>
  <c r="Y353"/>
  <c r="AE353" s="1"/>
  <c r="Y350"/>
  <c r="Y346"/>
  <c r="AE346" s="1"/>
  <c r="Y341"/>
  <c r="AE341" s="1"/>
  <c r="Y336"/>
  <c r="Y333"/>
  <c r="AE333" s="1"/>
  <c r="Y329"/>
  <c r="AE329" s="1"/>
  <c r="Y325"/>
  <c r="AE325" s="1"/>
  <c r="Y312"/>
  <c r="Y309"/>
  <c r="AK309" s="1"/>
  <c r="Y301"/>
  <c r="AE301" s="1"/>
  <c r="Y323"/>
  <c r="AE323" s="1"/>
  <c r="Y319"/>
  <c r="Y295"/>
  <c r="AE295" s="1"/>
  <c r="Y291"/>
  <c r="AE291" s="1"/>
  <c r="Y287"/>
  <c r="AE287" s="1"/>
  <c r="Y284"/>
  <c r="AE284" s="1"/>
  <c r="Y280"/>
  <c r="Y276"/>
  <c r="Y271"/>
  <c r="AE271" s="1"/>
  <c r="Y268"/>
  <c r="AE268" s="1"/>
  <c r="Y263"/>
  <c r="AE263" s="1"/>
  <c r="Y259"/>
  <c r="Y256"/>
  <c r="AE256" s="1"/>
  <c r="Y250"/>
  <c r="AE250" s="1"/>
  <c r="Y246"/>
  <c r="Y232"/>
  <c r="AE232" s="1"/>
  <c r="AK188"/>
  <c r="AZ188" s="1"/>
  <c r="BF188" s="1"/>
  <c r="Z154"/>
  <c r="Z106"/>
  <c r="AF106" s="1"/>
  <c r="Z104"/>
  <c r="AX227"/>
  <c r="E32" i="51061"/>
  <c r="Y96" i="51055"/>
  <c r="AE96" s="1"/>
  <c r="Y92"/>
  <c r="AE92" s="1"/>
  <c r="Y88"/>
  <c r="AE88" s="1"/>
  <c r="Y80"/>
  <c r="AE80" s="1"/>
  <c r="Y67"/>
  <c r="AE67" s="1"/>
  <c r="Y48"/>
  <c r="AE48" s="1"/>
  <c r="Y46"/>
  <c r="AE46" s="1"/>
  <c r="Y39"/>
  <c r="AE39" s="1"/>
  <c r="Y37"/>
  <c r="AE37" s="1"/>
  <c r="Y35"/>
  <c r="AE35" s="1"/>
  <c r="Y32"/>
  <c r="AE32" s="1"/>
  <c r="Y25"/>
  <c r="AE25" s="1"/>
  <c r="Y23"/>
  <c r="AE23" s="1"/>
  <c r="Z21"/>
  <c r="Y85"/>
  <c r="AK85" s="1"/>
  <c r="Y73"/>
  <c r="AE73" s="1"/>
  <c r="Y68"/>
  <c r="Y59"/>
  <c r="AE59" s="1"/>
  <c r="Y56"/>
  <c r="AK56" s="1"/>
  <c r="Y52"/>
  <c r="AE52" s="1"/>
  <c r="Y49"/>
  <c r="AE49" s="1"/>
  <c r="Y45"/>
  <c r="AE45" s="1"/>
  <c r="Y38"/>
  <c r="AE38" s="1"/>
  <c r="Y33"/>
  <c r="AE33" s="1"/>
  <c r="Y27"/>
  <c r="AK27" s="1"/>
  <c r="Y24"/>
  <c r="AE24" s="1"/>
  <c r="Y20"/>
  <c r="Y15"/>
  <c r="AE15" s="1"/>
  <c r="Y727"/>
  <c r="AE727" s="1"/>
  <c r="Y736"/>
  <c r="AE736" s="1"/>
  <c r="Y76"/>
  <c r="AE76" s="1"/>
  <c r="W76"/>
  <c r="AC76" s="1"/>
  <c r="Y132"/>
  <c r="Y133" s="1"/>
  <c r="AE133" s="1"/>
  <c r="Y174"/>
  <c r="E58" i="51059"/>
  <c r="E56"/>
  <c r="Z137" i="51055"/>
  <c r="AF137" s="1"/>
  <c r="F23" i="51061"/>
  <c r="F25" s="1"/>
  <c r="Z119" i="51055"/>
  <c r="EQ119" s="1"/>
  <c r="Z99"/>
  <c r="Y410"/>
  <c r="AE410" s="1"/>
  <c r="Y405"/>
  <c r="Y398"/>
  <c r="Y394"/>
  <c r="AE394" s="1"/>
  <c r="Y390"/>
  <c r="Y386"/>
  <c r="Y382"/>
  <c r="AE382" s="1"/>
  <c r="Y379"/>
  <c r="AE379" s="1"/>
  <c r="Y375"/>
  <c r="AE375" s="1"/>
  <c r="Y368"/>
  <c r="Y363"/>
  <c r="AE363" s="1"/>
  <c r="Y359"/>
  <c r="Y355"/>
  <c r="AK355" s="1"/>
  <c r="Y352"/>
  <c r="AE352" s="1"/>
  <c r="Y348"/>
  <c r="AK348" s="1"/>
  <c r="Y343"/>
  <c r="AE343" s="1"/>
  <c r="Y338"/>
  <c r="AK338" s="1"/>
  <c r="Y334"/>
  <c r="Y331"/>
  <c r="AK331" s="1"/>
  <c r="Y327"/>
  <c r="Y315"/>
  <c r="AE315" s="1"/>
  <c r="Y311"/>
  <c r="AE311" s="1"/>
  <c r="Y307"/>
  <c r="Y297"/>
  <c r="AE297" s="1"/>
  <c r="Y321"/>
  <c r="AE321" s="1"/>
  <c r="Y317"/>
  <c r="Y293"/>
  <c r="AK293" s="1"/>
  <c r="Y289"/>
  <c r="AE289" s="1"/>
  <c r="Y285"/>
  <c r="AK285" s="1"/>
  <c r="Y282"/>
  <c r="Y278"/>
  <c r="Y272"/>
  <c r="AE272" s="1"/>
  <c r="Y270"/>
  <c r="AE270" s="1"/>
  <c r="Y265"/>
  <c r="Y261"/>
  <c r="AE261" s="1"/>
  <c r="Y258"/>
  <c r="AE258" s="1"/>
  <c r="Y254"/>
  <c r="AE254" s="1"/>
  <c r="Y248"/>
  <c r="AE248" s="1"/>
  <c r="Y121"/>
  <c r="AE121" s="1"/>
  <c r="Y299"/>
  <c r="Y300" s="1"/>
  <c r="AE300" s="1"/>
  <c r="Y274"/>
  <c r="Y373"/>
  <c r="Y435"/>
  <c r="AK435" s="1"/>
  <c r="Y505"/>
  <c r="Y507"/>
  <c r="Y529"/>
  <c r="Y541"/>
  <c r="AK541" s="1"/>
  <c r="Y544"/>
  <c r="Y680"/>
  <c r="AE680" s="1"/>
  <c r="Y694"/>
  <c r="CC303"/>
  <c r="CD303"/>
  <c r="CC78"/>
  <c r="CD78"/>
  <c r="CD400"/>
  <c r="CC400"/>
  <c r="CC698"/>
  <c r="CD698"/>
  <c r="CC77"/>
  <c r="CD77"/>
  <c r="CC63"/>
  <c r="CD63"/>
  <c r="CC633"/>
  <c r="CD633"/>
  <c r="CC451"/>
  <c r="CD451"/>
  <c r="CC28"/>
  <c r="CD28"/>
  <c r="CC75"/>
  <c r="CD75"/>
  <c r="CD733"/>
  <c r="CC733"/>
  <c r="CD29"/>
  <c r="CC29"/>
  <c r="CC230"/>
  <c r="CD230"/>
  <c r="CD43"/>
  <c r="CC43"/>
  <c r="AF556"/>
  <c r="EQ556"/>
  <c r="AJ556"/>
  <c r="AF460"/>
  <c r="EQ460"/>
  <c r="AF445"/>
  <c r="EQ445"/>
  <c r="AU724"/>
  <c r="AW724" s="1"/>
  <c r="BL724" s="1"/>
  <c r="AY724"/>
  <c r="AZ724"/>
  <c r="BF724" s="1"/>
  <c r="BA724"/>
  <c r="BG724" s="1"/>
  <c r="BB724"/>
  <c r="BH724" s="1"/>
  <c r="BC724"/>
  <c r="BI724" s="1"/>
  <c r="AX724"/>
  <c r="AZ552"/>
  <c r="BF552" s="1"/>
  <c r="BB552"/>
  <c r="BH552" s="1"/>
  <c r="AX552"/>
  <c r="AF717"/>
  <c r="EQ717"/>
  <c r="AF689"/>
  <c r="EQ689"/>
  <c r="AF666"/>
  <c r="EQ666"/>
  <c r="AF624"/>
  <c r="EQ624"/>
  <c r="CC732"/>
  <c r="CD732"/>
  <c r="CC175"/>
  <c r="CC427"/>
  <c r="CD427"/>
  <c r="BU42"/>
  <c r="BU124"/>
  <c r="BU461"/>
  <c r="AF712"/>
  <c r="EQ712"/>
  <c r="AJ712"/>
  <c r="AF708"/>
  <c r="H102" i="51061" s="1"/>
  <c r="EQ708" i="51055"/>
  <c r="AJ708"/>
  <c r="AF692"/>
  <c r="EQ692"/>
  <c r="AJ692"/>
  <c r="AF685"/>
  <c r="EQ685"/>
  <c r="AJ685"/>
  <c r="AF677"/>
  <c r="EQ677"/>
  <c r="AJ677"/>
  <c r="AF665"/>
  <c r="EQ665"/>
  <c r="AJ665"/>
  <c r="AF486"/>
  <c r="EQ486"/>
  <c r="AJ486"/>
  <c r="AF483"/>
  <c r="EQ483"/>
  <c r="AJ483"/>
  <c r="AK483" s="1"/>
  <c r="AF479"/>
  <c r="EQ479"/>
  <c r="AJ479"/>
  <c r="AK479" s="1"/>
  <c r="AF477"/>
  <c r="EQ477"/>
  <c r="AJ477"/>
  <c r="AF473"/>
  <c r="EQ473"/>
  <c r="AJ473"/>
  <c r="AF468"/>
  <c r="EQ468"/>
  <c r="AJ468"/>
  <c r="AF464"/>
  <c r="EQ464"/>
  <c r="AJ464"/>
  <c r="AF457"/>
  <c r="EQ457"/>
  <c r="AJ457"/>
  <c r="AF444"/>
  <c r="EQ444"/>
  <c r="AJ444"/>
  <c r="AK444" s="1"/>
  <c r="I81" i="51061"/>
  <c r="AG81" s="1"/>
  <c r="AG76"/>
  <c r="AE598" i="51055"/>
  <c r="AK598"/>
  <c r="AE536"/>
  <c r="AE515"/>
  <c r="AE511"/>
  <c r="AK511"/>
  <c r="AE494"/>
  <c r="AE469"/>
  <c r="CD125"/>
  <c r="CC125"/>
  <c r="AF673"/>
  <c r="EQ673"/>
  <c r="AJ673"/>
  <c r="AF668"/>
  <c r="EQ668"/>
  <c r="AJ668"/>
  <c r="AF615"/>
  <c r="EQ615"/>
  <c r="AJ615"/>
  <c r="CC452"/>
  <c r="CD452"/>
  <c r="CC696"/>
  <c r="BU183"/>
  <c r="AF737"/>
  <c r="EQ737"/>
  <c r="AJ737"/>
  <c r="AK737" s="1"/>
  <c r="AF723"/>
  <c r="EQ723"/>
  <c r="AJ723"/>
  <c r="AK723" s="1"/>
  <c r="AF701"/>
  <c r="EQ701"/>
  <c r="AJ701"/>
  <c r="EQ687"/>
  <c r="AF687"/>
  <c r="AJ687"/>
  <c r="AF672"/>
  <c r="EQ672"/>
  <c r="AJ672"/>
  <c r="AF667"/>
  <c r="EQ667"/>
  <c r="AJ667"/>
  <c r="AF649"/>
  <c r="EQ649"/>
  <c r="AJ649"/>
  <c r="AF645"/>
  <c r="EQ645"/>
  <c r="AJ645"/>
  <c r="AF641"/>
  <c r="EQ641"/>
  <c r="AJ641"/>
  <c r="AF626"/>
  <c r="EQ626"/>
  <c r="AJ626"/>
  <c r="AF618"/>
  <c r="EQ618"/>
  <c r="AJ618"/>
  <c r="AF616"/>
  <c r="EQ616"/>
  <c r="AJ616"/>
  <c r="AF605"/>
  <c r="EQ605"/>
  <c r="AJ605"/>
  <c r="AK605" s="1"/>
  <c r="AF603"/>
  <c r="AJ603"/>
  <c r="AK603" s="1"/>
  <c r="AF584"/>
  <c r="EQ584"/>
  <c r="AJ584"/>
  <c r="AK584" s="1"/>
  <c r="AF580"/>
  <c r="EQ580"/>
  <c r="AJ580"/>
  <c r="AF579"/>
  <c r="EQ579"/>
  <c r="AJ579"/>
  <c r="AK579" s="1"/>
  <c r="AF577"/>
  <c r="AJ577"/>
  <c r="AK577" s="1"/>
  <c r="AF575"/>
  <c r="EQ575"/>
  <c r="AJ575"/>
  <c r="AK575" s="1"/>
  <c r="AF571"/>
  <c r="EQ571"/>
  <c r="AJ571"/>
  <c r="AK571" s="1"/>
  <c r="AF562"/>
  <c r="EQ562"/>
  <c r="AJ562"/>
  <c r="AK562" s="1"/>
  <c r="AF551"/>
  <c r="EQ551"/>
  <c r="AJ551"/>
  <c r="AK551" s="1"/>
  <c r="AF547"/>
  <c r="EQ547"/>
  <c r="AJ547"/>
  <c r="AK547" s="1"/>
  <c r="AF531"/>
  <c r="EQ531"/>
  <c r="AJ531"/>
  <c r="AK531" s="1"/>
  <c r="AF537"/>
  <c r="EQ537"/>
  <c r="AJ537"/>
  <c r="AK537" s="1"/>
  <c r="AF516"/>
  <c r="EQ516"/>
  <c r="AJ516"/>
  <c r="AK516" s="1"/>
  <c r="AF509"/>
  <c r="EQ509"/>
  <c r="AJ509"/>
  <c r="AK509" s="1"/>
  <c r="AF493"/>
  <c r="H74" i="51061" s="1"/>
  <c r="EQ493" i="51055"/>
  <c r="AJ493"/>
  <c r="AF485"/>
  <c r="EQ485"/>
  <c r="AJ485"/>
  <c r="AK485" s="1"/>
  <c r="AF439"/>
  <c r="EQ439"/>
  <c r="AJ439"/>
  <c r="AK439" s="1"/>
  <c r="AK730"/>
  <c r="AY617"/>
  <c r="BA617"/>
  <c r="BG617" s="1"/>
  <c r="BC617"/>
  <c r="BI617" s="1"/>
  <c r="AU617"/>
  <c r="AW617" s="1"/>
  <c r="BL617" s="1"/>
  <c r="AK540"/>
  <c r="AY311"/>
  <c r="BA311"/>
  <c r="BG311" s="1"/>
  <c r="BC311"/>
  <c r="BI311" s="1"/>
  <c r="AU311"/>
  <c r="AW311" s="1"/>
  <c r="BL311" s="1"/>
  <c r="BP239"/>
  <c r="BR239" s="1"/>
  <c r="BP726"/>
  <c r="BR726" s="1"/>
  <c r="BS726"/>
  <c r="BU726" s="1"/>
  <c r="BV726" s="1"/>
  <c r="BD726"/>
  <c r="BE726"/>
  <c r="AF380"/>
  <c r="EQ380"/>
  <c r="AJ380"/>
  <c r="AF352"/>
  <c r="EQ352"/>
  <c r="AF340"/>
  <c r="EQ340"/>
  <c r="AJ340"/>
  <c r="AF339"/>
  <c r="EQ339"/>
  <c r="AJ339"/>
  <c r="AF335"/>
  <c r="EQ335"/>
  <c r="AJ335"/>
  <c r="AF330"/>
  <c r="EQ330"/>
  <c r="AJ330"/>
  <c r="AF310"/>
  <c r="EQ310"/>
  <c r="AJ310"/>
  <c r="AF289"/>
  <c r="EQ289"/>
  <c r="AJ289"/>
  <c r="AK289" s="1"/>
  <c r="AF281"/>
  <c r="EQ281"/>
  <c r="AJ281"/>
  <c r="AF277"/>
  <c r="EQ277"/>
  <c r="AJ277"/>
  <c r="AF271"/>
  <c r="EQ271"/>
  <c r="AJ271"/>
  <c r="AK271" s="1"/>
  <c r="AE600"/>
  <c r="AK600"/>
  <c r="AK596"/>
  <c r="AE554"/>
  <c r="AK554"/>
  <c r="AK539"/>
  <c r="AE538"/>
  <c r="AK538"/>
  <c r="AK526"/>
  <c r="AK517"/>
  <c r="AE513"/>
  <c r="AK513"/>
  <c r="AE492"/>
  <c r="AK492"/>
  <c r="AK489"/>
  <c r="AE484"/>
  <c r="AK484"/>
  <c r="AE438"/>
  <c r="AK438"/>
  <c r="AF408"/>
  <c r="EQ408"/>
  <c r="AJ408"/>
  <c r="AF395"/>
  <c r="EQ395"/>
  <c r="AJ395"/>
  <c r="AK395" s="1"/>
  <c r="AF393"/>
  <c r="EQ393"/>
  <c r="AJ393"/>
  <c r="AF389"/>
  <c r="EQ389"/>
  <c r="AJ389"/>
  <c r="AF385"/>
  <c r="EQ385"/>
  <c r="AJ385"/>
  <c r="AF378"/>
  <c r="EQ378"/>
  <c r="AJ378"/>
  <c r="AF374"/>
  <c r="EQ374"/>
  <c r="AJ374"/>
  <c r="AF362"/>
  <c r="EQ362"/>
  <c r="AJ362"/>
  <c r="EQ360"/>
  <c r="AF351"/>
  <c r="EQ351"/>
  <c r="AJ351"/>
  <c r="AF342"/>
  <c r="EQ342"/>
  <c r="AJ342"/>
  <c r="AF326"/>
  <c r="EQ326"/>
  <c r="AJ326"/>
  <c r="AF306"/>
  <c r="EQ306"/>
  <c r="AJ306"/>
  <c r="AF320"/>
  <c r="EQ320"/>
  <c r="AJ320"/>
  <c r="AF316"/>
  <c r="EQ316"/>
  <c r="AJ316"/>
  <c r="AF296"/>
  <c r="EQ296"/>
  <c r="AJ296"/>
  <c r="EQ294"/>
  <c r="AF288"/>
  <c r="EQ288"/>
  <c r="AJ288"/>
  <c r="AF286"/>
  <c r="EQ286"/>
  <c r="AJ286"/>
  <c r="AF262"/>
  <c r="EQ262"/>
  <c r="AJ262"/>
  <c r="AF252"/>
  <c r="EQ252"/>
  <c r="AJ252"/>
  <c r="AK252" s="1"/>
  <c r="AF249"/>
  <c r="EQ249"/>
  <c r="AJ249"/>
  <c r="EQ247"/>
  <c r="AE721"/>
  <c r="AK721"/>
  <c r="AE713"/>
  <c r="AK713"/>
  <c r="AE709"/>
  <c r="AE693"/>
  <c r="AE684"/>
  <c r="AK684"/>
  <c r="AE674"/>
  <c r="AK674"/>
  <c r="AE664"/>
  <c r="AK664"/>
  <c r="AE657"/>
  <c r="AE653"/>
  <c r="AK653"/>
  <c r="AE631"/>
  <c r="AE622"/>
  <c r="BD429"/>
  <c r="BE429"/>
  <c r="I55" i="51061"/>
  <c r="AG55" s="1"/>
  <c r="AG50"/>
  <c r="I49"/>
  <c r="AG49" s="1"/>
  <c r="AG43"/>
  <c r="AF243" i="51055"/>
  <c r="EQ243"/>
  <c r="AJ243"/>
  <c r="AF236"/>
  <c r="EQ236"/>
  <c r="AJ236"/>
  <c r="AF233"/>
  <c r="AJ233"/>
  <c r="AF333"/>
  <c r="EQ333"/>
  <c r="AJ333"/>
  <c r="AF297"/>
  <c r="EQ297"/>
  <c r="AJ297"/>
  <c r="AF295"/>
  <c r="EQ295"/>
  <c r="AF287"/>
  <c r="EQ287"/>
  <c r="AF268"/>
  <c r="EQ268"/>
  <c r="AJ268"/>
  <c r="AK268" s="1"/>
  <c r="AF258"/>
  <c r="EQ258"/>
  <c r="AJ258"/>
  <c r="AK258" s="1"/>
  <c r="AF248"/>
  <c r="EQ248"/>
  <c r="AJ248"/>
  <c r="AY379"/>
  <c r="BA379"/>
  <c r="BG379" s="1"/>
  <c r="BC379"/>
  <c r="BI379" s="1"/>
  <c r="AU244"/>
  <c r="AW244" s="1"/>
  <c r="BL244" s="1"/>
  <c r="AY244"/>
  <c r="AZ244"/>
  <c r="BF244" s="1"/>
  <c r="BA244"/>
  <c r="BG244" s="1"/>
  <c r="BB244"/>
  <c r="BH244" s="1"/>
  <c r="BC244"/>
  <c r="BI244" s="1"/>
  <c r="AX244"/>
  <c r="AU237"/>
  <c r="AW237" s="1"/>
  <c r="BL237" s="1"/>
  <c r="AY237"/>
  <c r="AZ237"/>
  <c r="BF237" s="1"/>
  <c r="BA237"/>
  <c r="BG237" s="1"/>
  <c r="BB237"/>
  <c r="BH237" s="1"/>
  <c r="BC237"/>
  <c r="BI237" s="1"/>
  <c r="AX237"/>
  <c r="AU729"/>
  <c r="AW729" s="1"/>
  <c r="BL729" s="1"/>
  <c r="AY729"/>
  <c r="AZ729"/>
  <c r="BF729" s="1"/>
  <c r="BA729"/>
  <c r="BG729" s="1"/>
  <c r="BB729"/>
  <c r="BH729" s="1"/>
  <c r="BC729"/>
  <c r="BI729" s="1"/>
  <c r="AX729"/>
  <c r="AK527"/>
  <c r="AF415"/>
  <c r="EQ415"/>
  <c r="AJ415"/>
  <c r="EQ418"/>
  <c r="AJ412"/>
  <c r="AF412"/>
  <c r="EQ412"/>
  <c r="AF404"/>
  <c r="EQ404"/>
  <c r="AJ404"/>
  <c r="AF381"/>
  <c r="EQ381"/>
  <c r="AF372"/>
  <c r="EQ372"/>
  <c r="AJ372"/>
  <c r="AF369"/>
  <c r="EQ369"/>
  <c r="AJ369"/>
  <c r="AF349"/>
  <c r="EQ349"/>
  <c r="AJ349"/>
  <c r="AF346"/>
  <c r="EQ346"/>
  <c r="AF311"/>
  <c r="EQ311"/>
  <c r="AF284"/>
  <c r="EQ284"/>
  <c r="AJ284"/>
  <c r="AK284" s="1"/>
  <c r="AF266"/>
  <c r="EQ266"/>
  <c r="AJ266"/>
  <c r="AF257"/>
  <c r="EQ257"/>
  <c r="AJ257"/>
  <c r="AK423"/>
  <c r="AU413"/>
  <c r="AW413" s="1"/>
  <c r="BL413" s="1"/>
  <c r="AY413"/>
  <c r="AZ413"/>
  <c r="BF413" s="1"/>
  <c r="BA413"/>
  <c r="BG413" s="1"/>
  <c r="BB413"/>
  <c r="BH413" s="1"/>
  <c r="BC413"/>
  <c r="BI413" s="1"/>
  <c r="AX413"/>
  <c r="AJ430"/>
  <c r="EQ430"/>
  <c r="AJ417"/>
  <c r="AF417"/>
  <c r="EQ417"/>
  <c r="AJ420"/>
  <c r="AF420"/>
  <c r="EQ420"/>
  <c r="AF411"/>
  <c r="EQ411"/>
  <c r="AJ411"/>
  <c r="BP431"/>
  <c r="BR431" s="1"/>
  <c r="BD431"/>
  <c r="BE431"/>
  <c r="BP421"/>
  <c r="BR421" s="1"/>
  <c r="AY396"/>
  <c r="BA396"/>
  <c r="BG396" s="1"/>
  <c r="BC396"/>
  <c r="BI396" s="1"/>
  <c r="AK353"/>
  <c r="BD245"/>
  <c r="BE245"/>
  <c r="AE403"/>
  <c r="AE371"/>
  <c r="AK371"/>
  <c r="AE366"/>
  <c r="AE336"/>
  <c r="AK336"/>
  <c r="AE309"/>
  <c r="AE276"/>
  <c r="AK276"/>
  <c r="AE259"/>
  <c r="AK259"/>
  <c r="AG26" i="51061"/>
  <c r="I33"/>
  <c r="AG33" s="1"/>
  <c r="I25"/>
  <c r="AG25" s="1"/>
  <c r="AG19"/>
  <c r="AJ238" i="51055"/>
  <c r="AF238"/>
  <c r="EQ238"/>
  <c r="AJ226"/>
  <c r="AF226"/>
  <c r="EQ226"/>
  <c r="AF222"/>
  <c r="EQ222"/>
  <c r="AJ222"/>
  <c r="AF205"/>
  <c r="EQ205"/>
  <c r="AJ205"/>
  <c r="AF192"/>
  <c r="EQ192"/>
  <c r="AJ192"/>
  <c r="AF194"/>
  <c r="EQ194"/>
  <c r="AJ194"/>
  <c r="AK194" s="1"/>
  <c r="AF181"/>
  <c r="EQ181"/>
  <c r="AJ181"/>
  <c r="AF177"/>
  <c r="EQ177"/>
  <c r="AJ177"/>
  <c r="AF187"/>
  <c r="EQ187"/>
  <c r="AJ187"/>
  <c r="AF166"/>
  <c r="EQ166"/>
  <c r="AJ166"/>
  <c r="AF162"/>
  <c r="EQ162"/>
  <c r="AJ162"/>
  <c r="AF156"/>
  <c r="EQ156"/>
  <c r="AJ156"/>
  <c r="AF134"/>
  <c r="EQ134"/>
  <c r="AJ134"/>
  <c r="AF114"/>
  <c r="EQ114"/>
  <c r="AJ114"/>
  <c r="AK114" s="1"/>
  <c r="AF102"/>
  <c r="EQ102"/>
  <c r="AJ102"/>
  <c r="BD239"/>
  <c r="BE239"/>
  <c r="AY235"/>
  <c r="AZ235"/>
  <c r="BF235" s="1"/>
  <c r="BA235"/>
  <c r="BG235" s="1"/>
  <c r="BB235"/>
  <c r="BH235" s="1"/>
  <c r="BC235"/>
  <c r="BI235" s="1"/>
  <c r="AX235"/>
  <c r="AU235"/>
  <c r="AW235" s="1"/>
  <c r="BL235" s="1"/>
  <c r="AY225"/>
  <c r="AZ225"/>
  <c r="BF225" s="1"/>
  <c r="BA225"/>
  <c r="BG225" s="1"/>
  <c r="BB225"/>
  <c r="BH225" s="1"/>
  <c r="BC225"/>
  <c r="BI225" s="1"/>
  <c r="AU225"/>
  <c r="AW225" s="1"/>
  <c r="BL225" s="1"/>
  <c r="AY188"/>
  <c r="BA188"/>
  <c r="BG188" s="1"/>
  <c r="BC188"/>
  <c r="BI188" s="1"/>
  <c r="AU188"/>
  <c r="AW188" s="1"/>
  <c r="BL188" s="1"/>
  <c r="BP91"/>
  <c r="BR91" s="1"/>
  <c r="AF45"/>
  <c r="EQ45"/>
  <c r="AJ45"/>
  <c r="AK45" s="1"/>
  <c r="AF31"/>
  <c r="EQ31"/>
  <c r="AJ31"/>
  <c r="CC83"/>
  <c r="CD83"/>
  <c r="EQ231"/>
  <c r="AF231"/>
  <c r="AJ231"/>
  <c r="CD304"/>
  <c r="CC304"/>
  <c r="CD634"/>
  <c r="CC634"/>
  <c r="AF71"/>
  <c r="EQ71"/>
  <c r="AJ71"/>
  <c r="AF216"/>
  <c r="EQ216"/>
  <c r="AJ216"/>
  <c r="AF203"/>
  <c r="EQ203"/>
  <c r="AJ203"/>
  <c r="AF189"/>
  <c r="EQ189"/>
  <c r="AJ189"/>
  <c r="AF159"/>
  <c r="EQ159"/>
  <c r="AJ159"/>
  <c r="AF157"/>
  <c r="EQ157"/>
  <c r="AJ157"/>
  <c r="AF154"/>
  <c r="EQ154"/>
  <c r="AJ154"/>
  <c r="AF149"/>
  <c r="EQ149"/>
  <c r="AJ149"/>
  <c r="AF143"/>
  <c r="EQ143"/>
  <c r="AJ143"/>
  <c r="EQ106"/>
  <c r="AF104"/>
  <c r="EQ104"/>
  <c r="AJ104"/>
  <c r="BP242"/>
  <c r="BR242" s="1"/>
  <c r="BD242"/>
  <c r="BE242"/>
  <c r="AF94"/>
  <c r="EQ94"/>
  <c r="AJ94"/>
  <c r="AJ90"/>
  <c r="AF90"/>
  <c r="EQ90"/>
  <c r="AF60"/>
  <c r="EQ60"/>
  <c r="AJ60"/>
  <c r="AF55"/>
  <c r="EQ55"/>
  <c r="AJ55"/>
  <c r="AF34"/>
  <c r="EQ34"/>
  <c r="AJ34"/>
  <c r="AF21"/>
  <c r="EQ21"/>
  <c r="AJ21"/>
  <c r="AF16"/>
  <c r="EQ16"/>
  <c r="AJ16"/>
  <c r="AE193"/>
  <c r="AK193"/>
  <c r="AE120"/>
  <c r="AK120"/>
  <c r="AU95"/>
  <c r="AW95" s="1"/>
  <c r="BL95" s="1"/>
  <c r="AX95"/>
  <c r="AY95"/>
  <c r="AZ95"/>
  <c r="BF95" s="1"/>
  <c r="BA95"/>
  <c r="BG95" s="1"/>
  <c r="BB95"/>
  <c r="BH95" s="1"/>
  <c r="BC95"/>
  <c r="BI95" s="1"/>
  <c r="BD91"/>
  <c r="BE91"/>
  <c r="AF87"/>
  <c r="EQ87"/>
  <c r="EQ135"/>
  <c r="AF135"/>
  <c r="AJ135"/>
  <c r="AF273"/>
  <c r="EQ273"/>
  <c r="AJ273"/>
  <c r="AE85"/>
  <c r="AE56"/>
  <c r="AE27"/>
  <c r="AD12"/>
  <c r="X742"/>
  <c r="EQ64"/>
  <c r="Z300"/>
  <c r="EQ299"/>
  <c r="Z463"/>
  <c r="EQ462"/>
  <c r="Z400"/>
  <c r="CO400"/>
  <c r="W400"/>
  <c r="W401" s="1"/>
  <c r="AC401" s="1"/>
  <c r="CN400"/>
  <c r="EQ79"/>
  <c r="AF79"/>
  <c r="AU93"/>
  <c r="AW93" s="1"/>
  <c r="BL93" s="1"/>
  <c r="BC93"/>
  <c r="BI93" s="1"/>
  <c r="BB93"/>
  <c r="BH93" s="1"/>
  <c r="BA93"/>
  <c r="BG93" s="1"/>
  <c r="AZ93"/>
  <c r="BF93" s="1"/>
  <c r="AY93"/>
  <c r="AX93"/>
  <c r="AF210"/>
  <c r="EQ210"/>
  <c r="AJ210"/>
  <c r="AF200"/>
  <c r="EQ200"/>
  <c r="AJ200"/>
  <c r="AF197"/>
  <c r="EQ197"/>
  <c r="AJ197"/>
  <c r="EQ137"/>
  <c r="AF129"/>
  <c r="EQ129"/>
  <c r="AJ129"/>
  <c r="AF123"/>
  <c r="EQ123"/>
  <c r="AJ123"/>
  <c r="AK123" s="1"/>
  <c r="AF119"/>
  <c r="AJ119"/>
  <c r="AF99"/>
  <c r="EQ99"/>
  <c r="AJ99"/>
  <c r="AE405"/>
  <c r="AK405"/>
  <c r="AE368"/>
  <c r="AK368"/>
  <c r="AE355"/>
  <c r="AE348"/>
  <c r="AE338"/>
  <c r="AE334"/>
  <c r="AK334"/>
  <c r="AE331"/>
  <c r="AE293"/>
  <c r="AE285"/>
  <c r="AE265"/>
  <c r="AK265"/>
  <c r="I42" i="51061"/>
  <c r="AG42" s="1"/>
  <c r="AG34"/>
  <c r="AF92" i="51055"/>
  <c r="EQ92"/>
  <c r="AJ92"/>
  <c r="AK92" s="1"/>
  <c r="AF67"/>
  <c r="EQ67"/>
  <c r="AJ67"/>
  <c r="AF46"/>
  <c r="EQ46"/>
  <c r="AJ46"/>
  <c r="AK46" s="1"/>
  <c r="AF35"/>
  <c r="EQ35"/>
  <c r="AJ35"/>
  <c r="AF25"/>
  <c r="EQ25"/>
  <c r="AJ25"/>
  <c r="AK25" s="1"/>
  <c r="AE180"/>
  <c r="AK180"/>
  <c r="AE173"/>
  <c r="AK173"/>
  <c r="AE165"/>
  <c r="AK165"/>
  <c r="AE161"/>
  <c r="AK161"/>
  <c r="AE155"/>
  <c r="AK155"/>
  <c r="AE140"/>
  <c r="AK140"/>
  <c r="AE116"/>
  <c r="AK116"/>
  <c r="EQ125"/>
  <c r="Z126"/>
  <c r="EQ50"/>
  <c r="AF50"/>
  <c r="AJ50"/>
  <c r="AK50" s="1"/>
  <c r="EQ115"/>
  <c r="AF115"/>
  <c r="AJ115"/>
  <c r="AK115" s="1"/>
  <c r="EQ228"/>
  <c r="AF228"/>
  <c r="AJ228"/>
  <c r="AK228" s="1"/>
  <c r="AF563"/>
  <c r="EQ563"/>
  <c r="EQ736"/>
  <c r="AF736"/>
  <c r="Z84"/>
  <c r="EQ83"/>
  <c r="AG8" i="51061"/>
  <c r="I18"/>
  <c r="AG18" s="1"/>
  <c r="Z734" i="51055"/>
  <c r="EQ733"/>
  <c r="Y304"/>
  <c r="Y305" s="1"/>
  <c r="AE305" s="1"/>
  <c r="W304"/>
  <c r="W305" s="1"/>
  <c r="AC305" s="1"/>
  <c r="CN304"/>
  <c r="EQ739"/>
  <c r="AF739"/>
  <c r="AJ739"/>
  <c r="AE373"/>
  <c r="AK373"/>
  <c r="AE435"/>
  <c r="AE505"/>
  <c r="AK505"/>
  <c r="AE529"/>
  <c r="AK529"/>
  <c r="AE541"/>
  <c r="AE544"/>
  <c r="AK544"/>
  <c r="AE694"/>
  <c r="AK694"/>
  <c r="E63" i="51061"/>
  <c r="E62"/>
  <c r="E57"/>
  <c r="E53"/>
  <c r="E67"/>
  <c r="AK567" i="51055"/>
  <c r="AK532"/>
  <c r="AK606"/>
  <c r="AK581"/>
  <c r="AK572"/>
  <c r="AK561"/>
  <c r="E100" i="51061"/>
  <c r="E98"/>
  <c r="AK524" i="51055"/>
  <c r="AJ445"/>
  <c r="AK445" s="1"/>
  <c r="F93" i="51061"/>
  <c r="AK520" i="51055"/>
  <c r="F54" i="51061"/>
  <c r="F55" s="1"/>
  <c r="AK499" i="51055"/>
  <c r="AK482"/>
  <c r="AK454"/>
  <c r="AK491"/>
  <c r="E72" i="51061"/>
  <c r="AK474" i="51055"/>
  <c r="AK465"/>
  <c r="E56" i="51061"/>
  <c r="E50"/>
  <c r="E47"/>
  <c r="E102"/>
  <c r="E92"/>
  <c r="E89"/>
  <c r="AJ346" i="51055"/>
  <c r="AK346" s="1"/>
  <c r="E28" i="51061"/>
  <c r="E26"/>
  <c r="E19"/>
  <c r="F41"/>
  <c r="F42" s="1"/>
  <c r="E34"/>
  <c r="E24"/>
  <c r="E22"/>
  <c r="G106"/>
  <c r="E68"/>
  <c r="Y71" i="51055"/>
  <c r="AE71" s="1"/>
  <c r="AK24"/>
  <c r="AK15"/>
  <c r="Y176"/>
  <c r="AE176" s="1"/>
  <c r="E41" i="51061"/>
  <c r="E40"/>
  <c r="E38"/>
  <c r="E31"/>
  <c r="E23"/>
  <c r="E20"/>
  <c r="F11"/>
  <c r="E17"/>
  <c r="AA742" i="51055"/>
  <c r="E16" i="51061"/>
  <c r="W65" i="51055"/>
  <c r="AC65" s="1"/>
  <c r="E14" i="51061" s="1"/>
  <c r="Y64" i="51055"/>
  <c r="Y65" s="1"/>
  <c r="AE65" s="1"/>
  <c r="E71" i="51061"/>
  <c r="Y231" i="51055"/>
  <c r="AE231" s="1"/>
  <c r="W231"/>
  <c r="AC231" s="1"/>
  <c r="E39" i="51061" s="1"/>
  <c r="Y428" i="51055"/>
  <c r="AE428" s="1"/>
  <c r="CC69"/>
  <c r="CD69"/>
  <c r="CC426"/>
  <c r="CD426"/>
  <c r="AK660"/>
  <c r="AZ627"/>
  <c r="BF627" s="1"/>
  <c r="BB627"/>
  <c r="BH627" s="1"/>
  <c r="AU627"/>
  <c r="AW627" s="1"/>
  <c r="BL627" s="1"/>
  <c r="AJ728"/>
  <c r="AK728" s="1"/>
  <c r="AF728"/>
  <c r="EQ728"/>
  <c r="AF722"/>
  <c r="EQ722"/>
  <c r="AJ722"/>
  <c r="AF718"/>
  <c r="EQ718"/>
  <c r="AJ718"/>
  <c r="AF681"/>
  <c r="EQ681"/>
  <c r="AJ681"/>
  <c r="AF661"/>
  <c r="EQ661"/>
  <c r="AJ661"/>
  <c r="AF658"/>
  <c r="EQ658"/>
  <c r="AJ658"/>
  <c r="AF632"/>
  <c r="EQ632"/>
  <c r="AJ632"/>
  <c r="AF628"/>
  <c r="EQ628"/>
  <c r="AJ628"/>
  <c r="AF623"/>
  <c r="EQ623"/>
  <c r="AJ623"/>
  <c r="AF612"/>
  <c r="EQ612"/>
  <c r="AJ612"/>
  <c r="AF599"/>
  <c r="EQ599"/>
  <c r="AJ599"/>
  <c r="AK599" s="1"/>
  <c r="AF595"/>
  <c r="EQ595"/>
  <c r="AJ595"/>
  <c r="AF569"/>
  <c r="EQ569"/>
  <c r="AJ569"/>
  <c r="EQ568"/>
  <c r="AF564"/>
  <c r="EQ564"/>
  <c r="AJ564"/>
  <c r="AK564" s="1"/>
  <c r="EQ560"/>
  <c r="AF543"/>
  <c r="EQ543"/>
  <c r="AJ543"/>
  <c r="AK543" s="1"/>
  <c r="AF525"/>
  <c r="EQ525"/>
  <c r="AJ525"/>
  <c r="AK525" s="1"/>
  <c r="AF521"/>
  <c r="EQ521"/>
  <c r="AJ521"/>
  <c r="AK521" s="1"/>
  <c r="AF496"/>
  <c r="EQ496"/>
  <c r="AJ496"/>
  <c r="AF500"/>
  <c r="EQ500"/>
  <c r="AJ500"/>
  <c r="AF504"/>
  <c r="EQ504"/>
  <c r="AJ504"/>
  <c r="CC699"/>
  <c r="CD699"/>
  <c r="CC229"/>
  <c r="CD229"/>
  <c r="AF558"/>
  <c r="EQ558"/>
  <c r="AJ558"/>
  <c r="AK558" s="1"/>
  <c r="AF471"/>
  <c r="EQ471"/>
  <c r="AF447"/>
  <c r="EQ447"/>
  <c r="AU738"/>
  <c r="AW738" s="1"/>
  <c r="BL738" s="1"/>
  <c r="AY738"/>
  <c r="AZ738"/>
  <c r="BF738" s="1"/>
  <c r="BA738"/>
  <c r="BG738" s="1"/>
  <c r="BB738"/>
  <c r="BH738" s="1"/>
  <c r="BC738"/>
  <c r="BI738" s="1"/>
  <c r="AX738"/>
  <c r="AY563"/>
  <c r="AZ563"/>
  <c r="BF563" s="1"/>
  <c r="BA563"/>
  <c r="BG563" s="1"/>
  <c r="BB563"/>
  <c r="BH563" s="1"/>
  <c r="BC563"/>
  <c r="BI563" s="1"/>
  <c r="AX563"/>
  <c r="AU563"/>
  <c r="AW563" s="1"/>
  <c r="BL563" s="1"/>
  <c r="AF705"/>
  <c r="EQ705"/>
  <c r="AF686"/>
  <c r="EQ686"/>
  <c r="AF627"/>
  <c r="EQ627"/>
  <c r="I105" i="51061"/>
  <c r="AG105" s="1"/>
  <c r="AG104"/>
  <c r="I103"/>
  <c r="AG103" s="1"/>
  <c r="AG100"/>
  <c r="AG82"/>
  <c r="I87"/>
  <c r="AG87" s="1"/>
  <c r="AJ731" i="51055"/>
  <c r="AK731" s="1"/>
  <c r="AF731"/>
  <c r="H107" i="51061" s="1"/>
  <c r="EQ731" i="51055"/>
  <c r="AJ725"/>
  <c r="AK725" s="1"/>
  <c r="AF725"/>
  <c r="EQ725"/>
  <c r="AF720"/>
  <c r="EQ720"/>
  <c r="AJ720"/>
  <c r="AF714"/>
  <c r="EQ714"/>
  <c r="AJ714"/>
  <c r="AF710"/>
  <c r="EQ710"/>
  <c r="AJ710"/>
  <c r="AF704"/>
  <c r="EQ704"/>
  <c r="AJ704"/>
  <c r="AF683"/>
  <c r="EQ683"/>
  <c r="AJ683"/>
  <c r="AF682"/>
  <c r="EQ682"/>
  <c r="AJ682"/>
  <c r="AF675"/>
  <c r="EQ675"/>
  <c r="AJ675"/>
  <c r="AF663"/>
  <c r="EQ663"/>
  <c r="AJ663"/>
  <c r="AF669"/>
  <c r="EQ669"/>
  <c r="AJ669"/>
  <c r="AF654"/>
  <c r="H95" i="51061" s="1"/>
  <c r="EQ654" i="51055"/>
  <c r="AJ654"/>
  <c r="AF630"/>
  <c r="EQ630"/>
  <c r="AJ630"/>
  <c r="AF625"/>
  <c r="EQ625"/>
  <c r="AJ625"/>
  <c r="AF601"/>
  <c r="EQ601"/>
  <c r="AJ601"/>
  <c r="AK601" s="1"/>
  <c r="AF597"/>
  <c r="EQ597"/>
  <c r="AJ597"/>
  <c r="AK597" s="1"/>
  <c r="AF588"/>
  <c r="EQ588"/>
  <c r="AJ588"/>
  <c r="AK588" s="1"/>
  <c r="AF553"/>
  <c r="EQ553"/>
  <c r="AJ553"/>
  <c r="AK553" s="1"/>
  <c r="AF523"/>
  <c r="EQ523"/>
  <c r="AJ523"/>
  <c r="AK523" s="1"/>
  <c r="AF519"/>
  <c r="EQ519"/>
  <c r="AJ519"/>
  <c r="AF498"/>
  <c r="EQ498"/>
  <c r="AJ498"/>
  <c r="AF502"/>
  <c r="EQ502"/>
  <c r="AJ502"/>
  <c r="AF508"/>
  <c r="EQ508"/>
  <c r="AJ508"/>
  <c r="AF481"/>
  <c r="EQ481"/>
  <c r="AJ481"/>
  <c r="AK481" s="1"/>
  <c r="AF475"/>
  <c r="EQ475"/>
  <c r="AJ475"/>
  <c r="AF466"/>
  <c r="EQ466"/>
  <c r="AJ466"/>
  <c r="AF459"/>
  <c r="EQ459"/>
  <c r="AJ459"/>
  <c r="AF455"/>
  <c r="EQ455"/>
  <c r="AJ455"/>
  <c r="AF440"/>
  <c r="EQ440"/>
  <c r="AJ440"/>
  <c r="AU416"/>
  <c r="AW416" s="1"/>
  <c r="BL416" s="1"/>
  <c r="AY416"/>
  <c r="AZ416"/>
  <c r="BF416" s="1"/>
  <c r="BA416"/>
  <c r="BG416" s="1"/>
  <c r="BB416"/>
  <c r="BH416" s="1"/>
  <c r="BC416"/>
  <c r="BI416" s="1"/>
  <c r="AX416"/>
  <c r="AU419"/>
  <c r="AW419" s="1"/>
  <c r="BL419" s="1"/>
  <c r="AY419"/>
  <c r="AZ419"/>
  <c r="BF419" s="1"/>
  <c r="BA419"/>
  <c r="BG419" s="1"/>
  <c r="BB419"/>
  <c r="BH419" s="1"/>
  <c r="BC419"/>
  <c r="BI419" s="1"/>
  <c r="AX419"/>
  <c r="CC184"/>
  <c r="CD184"/>
  <c r="AF671"/>
  <c r="EQ671"/>
  <c r="AJ671"/>
  <c r="AK671" s="1"/>
  <c r="AF640"/>
  <c r="EQ640"/>
  <c r="AJ640"/>
  <c r="AF613"/>
  <c r="EQ613"/>
  <c r="AJ613"/>
  <c r="AK613" s="1"/>
  <c r="AF740"/>
  <c r="H110" i="51061" s="1"/>
  <c r="H111" s="1"/>
  <c r="EQ740" i="51055"/>
  <c r="AJ740"/>
  <c r="AF735"/>
  <c r="H108" i="51061" s="1"/>
  <c r="EQ735" i="51055"/>
  <c r="AJ735"/>
  <c r="AF703"/>
  <c r="EQ703"/>
  <c r="AJ703"/>
  <c r="AF688"/>
  <c r="EQ688"/>
  <c r="AJ688"/>
  <c r="AF679"/>
  <c r="EQ679"/>
  <c r="AJ679"/>
  <c r="AF651"/>
  <c r="EQ651"/>
  <c r="AJ651"/>
  <c r="AF647"/>
  <c r="EQ647"/>
  <c r="AJ647"/>
  <c r="AF643"/>
  <c r="EQ643"/>
  <c r="AJ643"/>
  <c r="AF637"/>
  <c r="EQ637"/>
  <c r="AJ637"/>
  <c r="AF620"/>
  <c r="EQ620"/>
  <c r="AJ620"/>
  <c r="AF610"/>
  <c r="EQ610"/>
  <c r="AJ610"/>
  <c r="AF594"/>
  <c r="EQ594"/>
  <c r="AJ594"/>
  <c r="AK594" s="1"/>
  <c r="AF582"/>
  <c r="EQ582"/>
  <c r="AJ582"/>
  <c r="AK582" s="1"/>
  <c r="AF573"/>
  <c r="EQ573"/>
  <c r="AJ573"/>
  <c r="AK573" s="1"/>
  <c r="AF566"/>
  <c r="EQ566"/>
  <c r="AJ566"/>
  <c r="AK566" s="1"/>
  <c r="AF559"/>
  <c r="EQ559"/>
  <c r="AJ559"/>
  <c r="AK559" s="1"/>
  <c r="AF549"/>
  <c r="EQ549"/>
  <c r="AJ549"/>
  <c r="AK549" s="1"/>
  <c r="AF545"/>
  <c r="EQ545"/>
  <c r="AJ545"/>
  <c r="AK545" s="1"/>
  <c r="AF535"/>
  <c r="EQ535"/>
  <c r="AJ535"/>
  <c r="AK535" s="1"/>
  <c r="AF518"/>
  <c r="EQ518"/>
  <c r="AJ518"/>
  <c r="AK518" s="1"/>
  <c r="AF514"/>
  <c r="EQ514"/>
  <c r="AJ514"/>
  <c r="AF495"/>
  <c r="H76" i="51061" s="1"/>
  <c r="EQ495" i="51055"/>
  <c r="AJ495"/>
  <c r="AF490"/>
  <c r="EQ490"/>
  <c r="AJ490"/>
  <c r="AK490" s="1"/>
  <c r="AF472"/>
  <c r="EQ472"/>
  <c r="AJ472"/>
  <c r="AK472" s="1"/>
  <c r="AG94" i="51061"/>
  <c r="I99"/>
  <c r="AG99" s="1"/>
  <c r="AG88"/>
  <c r="I93"/>
  <c r="AG93" s="1"/>
  <c r="AF611" i="51055"/>
  <c r="EQ611"/>
  <c r="AF379"/>
  <c r="EQ379"/>
  <c r="AF365"/>
  <c r="EQ365"/>
  <c r="AJ365"/>
  <c r="AF337"/>
  <c r="EQ337"/>
  <c r="AJ337"/>
  <c r="AF332"/>
  <c r="EQ332"/>
  <c r="AJ332"/>
  <c r="AF329"/>
  <c r="EQ329"/>
  <c r="AF290"/>
  <c r="EQ290"/>
  <c r="AJ290"/>
  <c r="AF279"/>
  <c r="EQ279"/>
  <c r="AJ279"/>
  <c r="AF275"/>
  <c r="EQ275"/>
  <c r="AJ275"/>
  <c r="AF397"/>
  <c r="EQ397"/>
  <c r="AJ397"/>
  <c r="AF391"/>
  <c r="EQ391"/>
  <c r="AJ391"/>
  <c r="AF387"/>
  <c r="EQ387"/>
  <c r="AJ387"/>
  <c r="L59" i="51061" s="1"/>
  <c r="AF383" i="51055"/>
  <c r="EQ383"/>
  <c r="AJ383"/>
  <c r="AF376"/>
  <c r="EQ376"/>
  <c r="AJ376"/>
  <c r="AF364"/>
  <c r="EQ364"/>
  <c r="AJ364"/>
  <c r="AF358"/>
  <c r="EQ358"/>
  <c r="AJ358"/>
  <c r="AF344"/>
  <c r="EQ344"/>
  <c r="AJ344"/>
  <c r="AF328"/>
  <c r="EQ328"/>
  <c r="AJ328"/>
  <c r="AF324"/>
  <c r="EQ324"/>
  <c r="AJ324"/>
  <c r="AF302"/>
  <c r="EQ302"/>
  <c r="AJ302"/>
  <c r="AF318"/>
  <c r="EQ318"/>
  <c r="AJ318"/>
  <c r="AF292"/>
  <c r="EQ292"/>
  <c r="AJ292"/>
  <c r="AF267"/>
  <c r="EQ267"/>
  <c r="AJ267"/>
  <c r="AF255"/>
  <c r="EQ255"/>
  <c r="AJ255"/>
  <c r="BP429"/>
  <c r="BR429" s="1"/>
  <c r="BS429"/>
  <c r="BU429" s="1"/>
  <c r="BV429" s="1"/>
  <c r="AK382"/>
  <c r="AK272"/>
  <c r="AF315"/>
  <c r="EQ315"/>
  <c r="AJ315"/>
  <c r="AK315" s="1"/>
  <c r="AF323"/>
  <c r="EQ323"/>
  <c r="AJ323"/>
  <c r="AF291"/>
  <c r="EQ291"/>
  <c r="AF270"/>
  <c r="EQ270"/>
  <c r="AJ270"/>
  <c r="AK270" s="1"/>
  <c r="AF261"/>
  <c r="EQ261"/>
  <c r="AJ261"/>
  <c r="AF254"/>
  <c r="EQ254"/>
  <c r="AJ254"/>
  <c r="AK254" s="1"/>
  <c r="AF232"/>
  <c r="EQ232"/>
  <c r="AF223"/>
  <c r="EQ223"/>
  <c r="AJ223"/>
  <c r="AK223" s="1"/>
  <c r="AY217"/>
  <c r="AZ217"/>
  <c r="BF217" s="1"/>
  <c r="BA217"/>
  <c r="BG217" s="1"/>
  <c r="BB217"/>
  <c r="BH217" s="1"/>
  <c r="BC217"/>
  <c r="BI217" s="1"/>
  <c r="AU217"/>
  <c r="AW217" s="1"/>
  <c r="BL217" s="1"/>
  <c r="I109" i="51061"/>
  <c r="AG109" s="1"/>
  <c r="AG106"/>
  <c r="AF433" i="51055"/>
  <c r="EQ433"/>
  <c r="AJ433"/>
  <c r="AF409"/>
  <c r="EQ409"/>
  <c r="AJ409"/>
  <c r="AF402"/>
  <c r="EQ402"/>
  <c r="AJ402"/>
  <c r="AF367"/>
  <c r="EQ367"/>
  <c r="AJ367"/>
  <c r="AF347"/>
  <c r="EQ347"/>
  <c r="AJ347"/>
  <c r="AF260"/>
  <c r="EQ260"/>
  <c r="AJ260"/>
  <c r="AF256"/>
  <c r="EQ256"/>
  <c r="AG67" i="51061"/>
  <c r="I75"/>
  <c r="AG75" s="1"/>
  <c r="AJ424" i="51055"/>
  <c r="AF424"/>
  <c r="EQ424"/>
  <c r="AJ422"/>
  <c r="AF422"/>
  <c r="EQ422"/>
  <c r="AJ414"/>
  <c r="AF414"/>
  <c r="EQ414"/>
  <c r="AF410"/>
  <c r="EQ410"/>
  <c r="AJ410"/>
  <c r="AK394"/>
  <c r="BP425"/>
  <c r="BR425" s="1"/>
  <c r="BS425"/>
  <c r="BU425" s="1"/>
  <c r="BV425" s="1"/>
  <c r="BD425"/>
  <c r="BE425"/>
  <c r="BD421"/>
  <c r="BE421"/>
  <c r="I66" i="51061"/>
  <c r="AG66" s="1"/>
  <c r="AG61"/>
  <c r="I60"/>
  <c r="AG60" s="1"/>
  <c r="AG56"/>
  <c r="BP245" i="51055"/>
  <c r="BR245" s="1"/>
  <c r="BD221"/>
  <c r="BE221"/>
  <c r="AK213"/>
  <c r="AK202"/>
  <c r="L36" i="51061"/>
  <c r="AY178" i="51055"/>
  <c r="AZ178"/>
  <c r="BF178" s="1"/>
  <c r="BA178"/>
  <c r="BG178" s="1"/>
  <c r="BB178"/>
  <c r="BH178" s="1"/>
  <c r="BC178"/>
  <c r="BI178" s="1"/>
  <c r="AU178"/>
  <c r="AW178" s="1"/>
  <c r="BL178" s="1"/>
  <c r="AK151"/>
  <c r="AY148"/>
  <c r="AZ148"/>
  <c r="BF148" s="1"/>
  <c r="BA148"/>
  <c r="BG148" s="1"/>
  <c r="BB148"/>
  <c r="BH148" s="1"/>
  <c r="BC148"/>
  <c r="BI148" s="1"/>
  <c r="AU148"/>
  <c r="AW148" s="1"/>
  <c r="BL148" s="1"/>
  <c r="AX130"/>
  <c r="AY130"/>
  <c r="AZ130"/>
  <c r="BF130" s="1"/>
  <c r="BA130"/>
  <c r="BG130" s="1"/>
  <c r="BB130"/>
  <c r="BH130" s="1"/>
  <c r="BC130"/>
  <c r="BI130" s="1"/>
  <c r="AU130"/>
  <c r="AW130" s="1"/>
  <c r="BL130" s="1"/>
  <c r="AX101"/>
  <c r="AY101"/>
  <c r="AZ101"/>
  <c r="BF101" s="1"/>
  <c r="BA101"/>
  <c r="BG101" s="1"/>
  <c r="BB101"/>
  <c r="BH101" s="1"/>
  <c r="BC101"/>
  <c r="BI101" s="1"/>
  <c r="AU101"/>
  <c r="AW101" s="1"/>
  <c r="BL101" s="1"/>
  <c r="AJ234"/>
  <c r="AF234"/>
  <c r="H40" i="51061" s="1"/>
  <c r="EQ234" i="51055"/>
  <c r="AJ224"/>
  <c r="AF224"/>
  <c r="H39" i="51061" s="1"/>
  <c r="EQ224" i="51055"/>
  <c r="AF219"/>
  <c r="H38" i="51061" s="1"/>
  <c r="EQ219" i="51055"/>
  <c r="AJ219"/>
  <c r="AF196"/>
  <c r="EQ196"/>
  <c r="AJ196"/>
  <c r="AF179"/>
  <c r="EQ179"/>
  <c r="AJ179"/>
  <c r="AF172"/>
  <c r="EQ172"/>
  <c r="AJ172"/>
  <c r="AF160"/>
  <c r="EQ160"/>
  <c r="AJ160"/>
  <c r="AF164"/>
  <c r="EQ164"/>
  <c r="AJ164"/>
  <c r="AF139"/>
  <c r="EQ139"/>
  <c r="AJ139"/>
  <c r="AF117"/>
  <c r="EQ117"/>
  <c r="AJ117"/>
  <c r="AJ96"/>
  <c r="AK96" s="1"/>
  <c r="AF96"/>
  <c r="EQ96"/>
  <c r="AY109"/>
  <c r="AZ109"/>
  <c r="BF109" s="1"/>
  <c r="BA109"/>
  <c r="BG109" s="1"/>
  <c r="BB109"/>
  <c r="BH109" s="1"/>
  <c r="BC109"/>
  <c r="BI109" s="1"/>
  <c r="AU109"/>
  <c r="AW109" s="1"/>
  <c r="BL109" s="1"/>
  <c r="AX105"/>
  <c r="AY105"/>
  <c r="AZ105"/>
  <c r="BF105" s="1"/>
  <c r="BA105"/>
  <c r="BG105" s="1"/>
  <c r="BB105"/>
  <c r="BH105" s="1"/>
  <c r="BC105"/>
  <c r="BI105" s="1"/>
  <c r="AU105"/>
  <c r="AW105" s="1"/>
  <c r="BL105" s="1"/>
  <c r="AF73"/>
  <c r="EQ73"/>
  <c r="AJ73"/>
  <c r="AF38"/>
  <c r="EQ38"/>
  <c r="AJ38"/>
  <c r="AU89"/>
  <c r="AW89" s="1"/>
  <c r="BL89" s="1"/>
  <c r="AY89"/>
  <c r="AZ89"/>
  <c r="BF89" s="1"/>
  <c r="BA89"/>
  <c r="BG89" s="1"/>
  <c r="BB89"/>
  <c r="BH89" s="1"/>
  <c r="BC89"/>
  <c r="BI89" s="1"/>
  <c r="AX89"/>
  <c r="AF86"/>
  <c r="EQ86"/>
  <c r="AJ86"/>
  <c r="AK86" s="1"/>
  <c r="CC64"/>
  <c r="CD64"/>
  <c r="EQ76"/>
  <c r="AF76"/>
  <c r="AJ76"/>
  <c r="AK76" s="1"/>
  <c r="CD462"/>
  <c r="CC462"/>
  <c r="CD70"/>
  <c r="CC70"/>
  <c r="AF218"/>
  <c r="EQ218"/>
  <c r="AJ218"/>
  <c r="AF214"/>
  <c r="H37" i="51061" s="1"/>
  <c r="EQ214" i="51055"/>
  <c r="AJ214"/>
  <c r="AF191"/>
  <c r="EQ191"/>
  <c r="AJ191"/>
  <c r="AF170"/>
  <c r="EQ170"/>
  <c r="AJ170"/>
  <c r="AF152"/>
  <c r="EQ152"/>
  <c r="AJ152"/>
  <c r="AF147"/>
  <c r="EQ147"/>
  <c r="AJ147"/>
  <c r="AF142"/>
  <c r="EQ142"/>
  <c r="AJ142"/>
  <c r="AF103"/>
  <c r="EQ103"/>
  <c r="AJ103"/>
  <c r="BD227"/>
  <c r="BE227"/>
  <c r="BP227"/>
  <c r="BR227" s="1"/>
  <c r="AY169"/>
  <c r="AZ169"/>
  <c r="BF169" s="1"/>
  <c r="BA169"/>
  <c r="BG169" s="1"/>
  <c r="BB169"/>
  <c r="BH169" s="1"/>
  <c r="BC169"/>
  <c r="BI169" s="1"/>
  <c r="AU169"/>
  <c r="AW169" s="1"/>
  <c r="BD97"/>
  <c r="BE97"/>
  <c r="BP97"/>
  <c r="BR97" s="1"/>
  <c r="AF62"/>
  <c r="EQ62"/>
  <c r="AJ62"/>
  <c r="AF53"/>
  <c r="EQ53"/>
  <c r="AJ53"/>
  <c r="AF19"/>
  <c r="EQ19"/>
  <c r="AJ19"/>
  <c r="AK19" s="1"/>
  <c r="AF14"/>
  <c r="EQ14"/>
  <c r="AJ14"/>
  <c r="AK14" s="1"/>
  <c r="AF108"/>
  <c r="EQ108"/>
  <c r="AJ108"/>
  <c r="AF204"/>
  <c r="EQ204"/>
  <c r="Z635"/>
  <c r="EQ634"/>
  <c r="EQ451"/>
  <c r="Z453"/>
  <c r="Z176"/>
  <c r="EQ175"/>
  <c r="EQ426"/>
  <c r="Z428"/>
  <c r="Z697"/>
  <c r="EQ696"/>
  <c r="Z700"/>
  <c r="EQ699"/>
  <c r="AY211"/>
  <c r="AZ211"/>
  <c r="BF211" s="1"/>
  <c r="BA211"/>
  <c r="BG211" s="1"/>
  <c r="BB211"/>
  <c r="BH211" s="1"/>
  <c r="BC211"/>
  <c r="BI211" s="1"/>
  <c r="AX211"/>
  <c r="AU211"/>
  <c r="AW211" s="1"/>
  <c r="BL211" s="1"/>
  <c r="AF208"/>
  <c r="H35" i="51061" s="1"/>
  <c r="EQ208" i="51055"/>
  <c r="AJ208"/>
  <c r="L35" i="51061" s="1"/>
  <c r="AF198" i="51055"/>
  <c r="EQ198"/>
  <c r="AJ198"/>
  <c r="AF127"/>
  <c r="EQ127"/>
  <c r="AJ127"/>
  <c r="AF118"/>
  <c r="EQ118"/>
  <c r="AJ118"/>
  <c r="AF100"/>
  <c r="EQ100"/>
  <c r="AJ100"/>
  <c r="AK240"/>
  <c r="AK207"/>
  <c r="AF88"/>
  <c r="EQ88"/>
  <c r="AJ88"/>
  <c r="AK88" s="1"/>
  <c r="AF48"/>
  <c r="EQ48"/>
  <c r="AJ48"/>
  <c r="AK48" s="1"/>
  <c r="AF39"/>
  <c r="EQ39"/>
  <c r="AJ39"/>
  <c r="AK39" s="1"/>
  <c r="AF32"/>
  <c r="EQ32"/>
  <c r="AJ32"/>
  <c r="AF23"/>
  <c r="EQ23"/>
  <c r="AJ23"/>
  <c r="AK23" s="1"/>
  <c r="AK52"/>
  <c r="AC14"/>
  <c r="Z43"/>
  <c r="CO43"/>
  <c r="W43"/>
  <c r="W44" s="1"/>
  <c r="AC44" s="1"/>
  <c r="E12" i="51061" s="1"/>
  <c r="CN43" i="51055"/>
  <c r="CN742" s="1"/>
  <c r="EQ107"/>
  <c r="AF107"/>
  <c r="AJ107"/>
  <c r="AK107" s="1"/>
  <c r="EQ141"/>
  <c r="AF141"/>
  <c r="AJ141"/>
  <c r="AK141" s="1"/>
  <c r="EQ555"/>
  <c r="AF555"/>
  <c r="AJ555"/>
  <c r="AK555" s="1"/>
  <c r="EQ727"/>
  <c r="AF727"/>
  <c r="AJ727"/>
  <c r="AY13"/>
  <c r="AZ13"/>
  <c r="BF13" s="1"/>
  <c r="BA13"/>
  <c r="BG13" s="1"/>
  <c r="BB13"/>
  <c r="BH13" s="1"/>
  <c r="BC13"/>
  <c r="BI13" s="1"/>
  <c r="AX13"/>
  <c r="AU13"/>
  <c r="AW13" s="1"/>
  <c r="BL13" s="1"/>
  <c r="CO304"/>
  <c r="Z304"/>
  <c r="Z185"/>
  <c r="EQ184"/>
  <c r="AJ460"/>
  <c r="AK460" s="1"/>
  <c r="E94" i="51061"/>
  <c r="AJ717" i="51055"/>
  <c r="AK717" s="1"/>
  <c r="AJ624"/>
  <c r="AJ689"/>
  <c r="BV299"/>
  <c r="BV132"/>
  <c r="BV74"/>
  <c r="BV131"/>
  <c r="BV174"/>
  <c r="BV399"/>
  <c r="E108" i="51061"/>
  <c r="Y703" i="51055"/>
  <c r="AE703" s="1"/>
  <c r="Y701"/>
  <c r="AE701" s="1"/>
  <c r="Y688"/>
  <c r="AE688" s="1"/>
  <c r="Y687"/>
  <c r="AE687" s="1"/>
  <c r="Y679"/>
  <c r="AE679" s="1"/>
  <c r="Y672"/>
  <c r="AE672" s="1"/>
  <c r="Y667"/>
  <c r="AE667" s="1"/>
  <c r="Y651"/>
  <c r="AE651" s="1"/>
  <c r="Y649"/>
  <c r="AE649" s="1"/>
  <c r="Y647"/>
  <c r="AE647" s="1"/>
  <c r="Y645"/>
  <c r="AE645" s="1"/>
  <c r="Y643"/>
  <c r="AE643" s="1"/>
  <c r="Y641"/>
  <c r="AE641" s="1"/>
  <c r="Y639"/>
  <c r="AE639" s="1"/>
  <c r="Y637"/>
  <c r="AE637" s="1"/>
  <c r="Y626"/>
  <c r="AE626" s="1"/>
  <c r="Y620"/>
  <c r="AE620" s="1"/>
  <c r="Y618"/>
  <c r="AE618" s="1"/>
  <c r="Y616"/>
  <c r="AE616" s="1"/>
  <c r="Y610"/>
  <c r="AE610" s="1"/>
  <c r="E85" i="51061"/>
  <c r="E76"/>
  <c r="Z716" i="51055"/>
  <c r="Z690"/>
  <c r="Z586"/>
  <c r="F83" i="51061"/>
  <c r="F87" s="1"/>
  <c r="Z488" i="51055"/>
  <c r="F72" i="51061"/>
  <c r="F71"/>
  <c r="Z437" i="51055"/>
  <c r="AK497"/>
  <c r="Y433"/>
  <c r="AE433" s="1"/>
  <c r="Y415"/>
  <c r="AE415" s="1"/>
  <c r="Y418"/>
  <c r="AE418" s="1"/>
  <c r="Y412"/>
  <c r="AE412" s="1"/>
  <c r="Y409"/>
  <c r="AE409" s="1"/>
  <c r="Y406"/>
  <c r="AE406" s="1"/>
  <c r="Y404"/>
  <c r="AE404" s="1"/>
  <c r="Y402"/>
  <c r="AE402" s="1"/>
  <c r="Y380"/>
  <c r="AE380" s="1"/>
  <c r="Y372"/>
  <c r="AE372" s="1"/>
  <c r="Y367"/>
  <c r="AE367" s="1"/>
  <c r="Y369"/>
  <c r="AE369" s="1"/>
  <c r="Y365"/>
  <c r="AE365" s="1"/>
  <c r="Y356"/>
  <c r="AE356" s="1"/>
  <c r="Y349"/>
  <c r="AE349" s="1"/>
  <c r="Y347"/>
  <c r="AE347" s="1"/>
  <c r="Y345"/>
  <c r="AE345" s="1"/>
  <c r="Y340"/>
  <c r="AE340" s="1"/>
  <c r="Y339"/>
  <c r="AE339" s="1"/>
  <c r="Y337"/>
  <c r="AE337" s="1"/>
  <c r="Y335"/>
  <c r="AE335" s="1"/>
  <c r="Y332"/>
  <c r="AE332" s="1"/>
  <c r="Y330"/>
  <c r="AE330" s="1"/>
  <c r="Y313"/>
  <c r="AE313" s="1"/>
  <c r="Y310"/>
  <c r="AE310" s="1"/>
  <c r="Y290"/>
  <c r="AE290" s="1"/>
  <c r="Y283"/>
  <c r="AE283" s="1"/>
  <c r="Y281"/>
  <c r="AE281" s="1"/>
  <c r="Y279"/>
  <c r="AE279" s="1"/>
  <c r="Y277"/>
  <c r="AE277" s="1"/>
  <c r="Y275"/>
  <c r="AE275" s="1"/>
  <c r="Y266"/>
  <c r="AE266" s="1"/>
  <c r="Y260"/>
  <c r="AE260" s="1"/>
  <c r="Y257"/>
  <c r="AE257" s="1"/>
  <c r="E82" i="51061"/>
  <c r="E80"/>
  <c r="E79"/>
  <c r="E77"/>
  <c r="Y430" i="51055"/>
  <c r="AE430" s="1"/>
  <c r="Y424"/>
  <c r="AE424" s="1"/>
  <c r="Y417"/>
  <c r="AE417" s="1"/>
  <c r="Y422"/>
  <c r="AE422" s="1"/>
  <c r="Y420"/>
  <c r="AE420" s="1"/>
  <c r="Y414"/>
  <c r="AE414" s="1"/>
  <c r="Y411"/>
  <c r="AE411" s="1"/>
  <c r="Y408"/>
  <c r="AE408" s="1"/>
  <c r="Y397"/>
  <c r="AE397" s="1"/>
  <c r="C4" i="51067"/>
  <c r="AJ705" i="51055"/>
  <c r="AK705" s="1"/>
  <c r="AK528"/>
  <c r="BV145"/>
  <c r="BV82"/>
  <c r="BV144"/>
  <c r="BV298"/>
  <c r="Z639"/>
  <c r="Z609"/>
  <c r="Z607"/>
  <c r="Z592"/>
  <c r="Z590"/>
  <c r="Z557"/>
  <c r="Z470"/>
  <c r="Z448"/>
  <c r="Z446"/>
  <c r="Y722"/>
  <c r="AE722" s="1"/>
  <c r="Y720"/>
  <c r="AE720" s="1"/>
  <c r="Y718"/>
  <c r="AE718" s="1"/>
  <c r="Y716"/>
  <c r="AE716" s="1"/>
  <c r="Y714"/>
  <c r="AE714" s="1"/>
  <c r="Y712"/>
  <c r="AE712" s="1"/>
  <c r="Y710"/>
  <c r="AE710" s="1"/>
  <c r="Y708"/>
  <c r="AE708" s="1"/>
  <c r="Y704"/>
  <c r="AE704" s="1"/>
  <c r="Y692"/>
  <c r="AE692" s="1"/>
  <c r="Y690"/>
  <c r="AE690" s="1"/>
  <c r="Y683"/>
  <c r="AE683" s="1"/>
  <c r="Y685"/>
  <c r="AE685" s="1"/>
  <c r="Y682"/>
  <c r="AE682" s="1"/>
  <c r="Y681"/>
  <c r="AE681" s="1"/>
  <c r="Y677"/>
  <c r="AE677" s="1"/>
  <c r="Y675"/>
  <c r="AE675" s="1"/>
  <c r="Y661"/>
  <c r="AE661" s="1"/>
  <c r="Y663"/>
  <c r="AE663" s="1"/>
  <c r="Y665"/>
  <c r="AE665" s="1"/>
  <c r="Y669"/>
  <c r="AE669" s="1"/>
  <c r="Y658"/>
  <c r="AE658" s="1"/>
  <c r="Y654"/>
  <c r="AE654" s="1"/>
  <c r="Y632"/>
  <c r="AE632" s="1"/>
  <c r="Y630"/>
  <c r="AE630" s="1"/>
  <c r="Y628"/>
  <c r="AE628" s="1"/>
  <c r="Y625"/>
  <c r="AE625" s="1"/>
  <c r="AK570"/>
  <c r="AK441"/>
  <c r="AJ352"/>
  <c r="AK352" s="1"/>
  <c r="E86" i="51061"/>
  <c r="E84"/>
  <c r="E83"/>
  <c r="E78"/>
  <c r="AK510" i="51055"/>
  <c r="Y496"/>
  <c r="AE496" s="1"/>
  <c r="Y498"/>
  <c r="AE498" s="1"/>
  <c r="Y500"/>
  <c r="AE500" s="1"/>
  <c r="Y502"/>
  <c r="AE502" s="1"/>
  <c r="Y504"/>
  <c r="AE504" s="1"/>
  <c r="AX726"/>
  <c r="Z356"/>
  <c r="Z345"/>
  <c r="Z283"/>
  <c r="E74" i="51061"/>
  <c r="E70"/>
  <c r="F60"/>
  <c r="Z354" i="51055"/>
  <c r="Z314"/>
  <c r="Z308"/>
  <c r="Z322"/>
  <c r="F46" i="51061"/>
  <c r="Z269" i="51055"/>
  <c r="Z264"/>
  <c r="Z253"/>
  <c r="Z251"/>
  <c r="E104" i="51061"/>
  <c r="E105" s="1"/>
  <c r="E97"/>
  <c r="E96"/>
  <c r="E95"/>
  <c r="E90"/>
  <c r="E93" s="1"/>
  <c r="AK608" i="51055"/>
  <c r="AK576"/>
  <c r="AK458"/>
  <c r="AJ447"/>
  <c r="AK447" s="1"/>
  <c r="AK388"/>
  <c r="AJ381"/>
  <c r="AK381" s="1"/>
  <c r="AK201"/>
  <c r="Y508"/>
  <c r="AE508" s="1"/>
  <c r="E73" i="51061"/>
  <c r="Y477" i="51055"/>
  <c r="AE477" s="1"/>
  <c r="Y475"/>
  <c r="AE475" s="1"/>
  <c r="Y473"/>
  <c r="AE473" s="1"/>
  <c r="Y468"/>
  <c r="AE468" s="1"/>
  <c r="Y466"/>
  <c r="AE466" s="1"/>
  <c r="Y464"/>
  <c r="AE464" s="1"/>
  <c r="Y459"/>
  <c r="AE459" s="1"/>
  <c r="Y457"/>
  <c r="AE457" s="1"/>
  <c r="Y455"/>
  <c r="AE455" s="1"/>
  <c r="E69" i="51061"/>
  <c r="Z406" i="51055"/>
  <c r="Z313"/>
  <c r="F75" i="51061"/>
  <c r="Y393" i="51055"/>
  <c r="AE393" s="1"/>
  <c r="Y391"/>
  <c r="AE391" s="1"/>
  <c r="Y389"/>
  <c r="AE389" s="1"/>
  <c r="Y387"/>
  <c r="AE387" s="1"/>
  <c r="Y385"/>
  <c r="AE385" s="1"/>
  <c r="Y383"/>
  <c r="AE383" s="1"/>
  <c r="Y378"/>
  <c r="AE378" s="1"/>
  <c r="Y376"/>
  <c r="AE376" s="1"/>
  <c r="Y374"/>
  <c r="AE374" s="1"/>
  <c r="Y364"/>
  <c r="AE364" s="1"/>
  <c r="Y362"/>
  <c r="AE362" s="1"/>
  <c r="Y360"/>
  <c r="AE360" s="1"/>
  <c r="G56" i="51061" s="1"/>
  <c r="Y358" i="51055"/>
  <c r="AE358" s="1"/>
  <c r="Y354"/>
  <c r="AE354" s="1"/>
  <c r="Y351"/>
  <c r="AE351" s="1"/>
  <c r="Y344"/>
  <c r="AE344" s="1"/>
  <c r="Y342"/>
  <c r="AE342" s="1"/>
  <c r="Y328"/>
  <c r="AE328" s="1"/>
  <c r="Y326"/>
  <c r="AE326" s="1"/>
  <c r="Y324"/>
  <c r="AE324" s="1"/>
  <c r="Y314"/>
  <c r="AE314" s="1"/>
  <c r="Y308"/>
  <c r="AE308" s="1"/>
  <c r="Y306"/>
  <c r="AE306" s="1"/>
  <c r="Y302"/>
  <c r="AE302" s="1"/>
  <c r="Y322"/>
  <c r="AE322" s="1"/>
  <c r="Y320"/>
  <c r="AE320" s="1"/>
  <c r="Y318"/>
  <c r="AE318" s="1"/>
  <c r="Y316"/>
  <c r="AE316" s="1"/>
  <c r="Y296"/>
  <c r="AE296" s="1"/>
  <c r="Y294"/>
  <c r="AE294" s="1"/>
  <c r="Y292"/>
  <c r="AE292" s="1"/>
  <c r="Y288"/>
  <c r="AE288" s="1"/>
  <c r="Y286"/>
  <c r="AE286" s="1"/>
  <c r="Y267"/>
  <c r="AE267" s="1"/>
  <c r="Y269"/>
  <c r="AE269" s="1"/>
  <c r="Y264"/>
  <c r="AE264" s="1"/>
  <c r="Y262"/>
  <c r="AE262" s="1"/>
  <c r="Y255"/>
  <c r="AE255" s="1"/>
  <c r="Y253"/>
  <c r="AE253" s="1"/>
  <c r="Y251"/>
  <c r="AE251" s="1"/>
  <c r="Y249"/>
  <c r="AE249" s="1"/>
  <c r="Y247"/>
  <c r="AE247" s="1"/>
  <c r="Y719"/>
  <c r="Y715"/>
  <c r="Y711"/>
  <c r="Y707"/>
  <c r="Y702"/>
  <c r="AE702" s="1"/>
  <c r="Y689"/>
  <c r="AE689" s="1"/>
  <c r="Y686"/>
  <c r="AE686" s="1"/>
  <c r="Y676"/>
  <c r="Y673"/>
  <c r="AE673" s="1"/>
  <c r="Y662"/>
  <c r="Y666"/>
  <c r="AE666" s="1"/>
  <c r="Y670"/>
  <c r="Y659"/>
  <c r="Y655"/>
  <c r="Y652"/>
  <c r="Y648"/>
  <c r="Y644"/>
  <c r="Y640"/>
  <c r="AE640" s="1"/>
  <c r="Y636"/>
  <c r="AE636" s="1"/>
  <c r="Y629"/>
  <c r="Y624"/>
  <c r="AE624" s="1"/>
  <c r="Y621"/>
  <c r="Y615"/>
  <c r="AE615" s="1"/>
  <c r="Y611"/>
  <c r="AE611" s="1"/>
  <c r="AX431"/>
  <c r="Y243"/>
  <c r="AE243" s="1"/>
  <c r="Y236"/>
  <c r="AE236" s="1"/>
  <c r="Y233"/>
  <c r="AE233" s="1"/>
  <c r="Y218"/>
  <c r="AE218" s="1"/>
  <c r="Y216"/>
  <c r="AE216" s="1"/>
  <c r="Y214"/>
  <c r="AE214" s="1"/>
  <c r="Y203"/>
  <c r="AE203" s="1"/>
  <c r="Y210"/>
  <c r="AE210" s="1"/>
  <c r="Y208"/>
  <c r="AE208" s="1"/>
  <c r="Y200"/>
  <c r="AE200" s="1"/>
  <c r="Y198"/>
  <c r="AE198" s="1"/>
  <c r="Y191"/>
  <c r="AE191" s="1"/>
  <c r="Y189"/>
  <c r="AE189" s="1"/>
  <c r="Y170"/>
  <c r="AE170" s="1"/>
  <c r="Y158"/>
  <c r="AE158" s="1"/>
  <c r="Y157"/>
  <c r="AE157" s="1"/>
  <c r="Y154"/>
  <c r="AE154" s="1"/>
  <c r="Y152"/>
  <c r="AE152" s="1"/>
  <c r="Y149"/>
  <c r="AE149" s="1"/>
  <c r="Y147"/>
  <c r="AE147" s="1"/>
  <c r="Y143"/>
  <c r="AE143" s="1"/>
  <c r="Y136"/>
  <c r="AE136" s="1"/>
  <c r="Y129"/>
  <c r="AE129" s="1"/>
  <c r="Y127"/>
  <c r="AE127" s="1"/>
  <c r="Y119"/>
  <c r="AE119" s="1"/>
  <c r="Y106"/>
  <c r="AE106" s="1"/>
  <c r="Y104"/>
  <c r="AE104" s="1"/>
  <c r="Y100"/>
  <c r="AE100" s="1"/>
  <c r="E58" i="51061"/>
  <c r="E54"/>
  <c r="E44"/>
  <c r="Z241" i="51055"/>
  <c r="Z168"/>
  <c r="Z121"/>
  <c r="Z113"/>
  <c r="Z112"/>
  <c r="Z110"/>
  <c r="W185"/>
  <c r="AC185" s="1"/>
  <c r="E30" i="51061" s="1"/>
  <c r="Z158" i="51055"/>
  <c r="Y196"/>
  <c r="AE196" s="1"/>
  <c r="Y179"/>
  <c r="AE179" s="1"/>
  <c r="Y181"/>
  <c r="AE181" s="1"/>
  <c r="AX242"/>
  <c r="E11" i="51061"/>
  <c r="Y220" i="51055"/>
  <c r="Y215"/>
  <c r="Y206"/>
  <c r="Y212"/>
  <c r="Y209"/>
  <c r="Y201"/>
  <c r="AE201" s="1"/>
  <c r="Y197"/>
  <c r="AE197" s="1"/>
  <c r="Y182"/>
  <c r="Y190"/>
  <c r="Y186"/>
  <c r="AE186" s="1"/>
  <c r="Y171"/>
  <c r="AE171" s="1"/>
  <c r="Y167"/>
  <c r="Y159"/>
  <c r="AE159" s="1"/>
  <c r="Y163"/>
  <c r="Y153"/>
  <c r="Y150"/>
  <c r="AE150" s="1"/>
  <c r="Y142"/>
  <c r="AE142" s="1"/>
  <c r="Y138"/>
  <c r="Y118"/>
  <c r="AE118" s="1"/>
  <c r="Y111"/>
  <c r="AE111" s="1"/>
  <c r="Y103"/>
  <c r="AE103" s="1"/>
  <c r="AK59"/>
  <c r="Z58"/>
  <c r="Z57"/>
  <c r="Z41"/>
  <c r="Z18"/>
  <c r="E21" i="51061"/>
  <c r="AX91" i="51055"/>
  <c r="Y125"/>
  <c r="Y126" s="1"/>
  <c r="AE126" s="1"/>
  <c r="G22" i="51061" s="1"/>
  <c r="E13"/>
  <c r="E10"/>
  <c r="E9"/>
  <c r="AB742" i="51055"/>
  <c r="Z12"/>
  <c r="Z619"/>
  <c r="E106" i="51061"/>
  <c r="E109" s="1"/>
  <c r="Y739" i="51055"/>
  <c r="AE739" s="1"/>
  <c r="G108" i="51061" s="1"/>
  <c r="Y370" i="51055"/>
  <c r="AE370" s="1"/>
  <c r="Y432"/>
  <c r="AE432" s="1"/>
  <c r="Y442"/>
  <c r="Y506"/>
  <c r="Y512"/>
  <c r="Y533"/>
  <c r="Y542"/>
  <c r="Y656"/>
  <c r="Y691"/>
  <c r="AE691" s="1"/>
  <c r="Y706"/>
  <c r="Y453"/>
  <c r="AE453" s="1"/>
  <c r="Y28"/>
  <c r="Y30" s="1"/>
  <c r="AE30" s="1"/>
  <c r="W71"/>
  <c r="AC71" s="1"/>
  <c r="E50" i="51059"/>
  <c r="E59"/>
  <c r="E55"/>
  <c r="E52"/>
  <c r="E53"/>
  <c r="AK111" i="51055"/>
  <c r="AK49"/>
  <c r="AK33"/>
  <c r="Z30"/>
  <c r="Z136"/>
  <c r="Z128"/>
  <c r="E61" i="51061"/>
  <c r="E66" s="1"/>
  <c r="E59"/>
  <c r="E51"/>
  <c r="E48"/>
  <c r="E46"/>
  <c r="E45"/>
  <c r="E43"/>
  <c r="BS221" i="51055"/>
  <c r="BU221" s="1"/>
  <c r="BV221" s="1"/>
  <c r="AK199"/>
  <c r="Y241"/>
  <c r="AE241" s="1"/>
  <c r="Y238"/>
  <c r="AE238" s="1"/>
  <c r="Y234"/>
  <c r="AE234" s="1"/>
  <c r="Y226"/>
  <c r="AE226" s="1"/>
  <c r="Y224"/>
  <c r="AE224" s="1"/>
  <c r="Y222"/>
  <c r="AE222" s="1"/>
  <c r="Y219"/>
  <c r="AE219" s="1"/>
  <c r="Y205"/>
  <c r="AE205" s="1"/>
  <c r="Y177"/>
  <c r="AE177" s="1"/>
  <c r="Y187"/>
  <c r="AE187" s="1"/>
  <c r="Y172"/>
  <c r="AE172" s="1"/>
  <c r="Y168"/>
  <c r="AE168" s="1"/>
  <c r="Y166"/>
  <c r="AE166" s="1"/>
  <c r="Y160"/>
  <c r="AE160" s="1"/>
  <c r="Y162"/>
  <c r="AE162" s="1"/>
  <c r="Y164"/>
  <c r="AE164" s="1"/>
  <c r="Y156"/>
  <c r="AE156" s="1"/>
  <c r="Y139"/>
  <c r="AE139" s="1"/>
  <c r="Y134"/>
  <c r="AE134" s="1"/>
  <c r="Y117"/>
  <c r="AE117" s="1"/>
  <c r="Y113"/>
  <c r="AE113" s="1"/>
  <c r="Y112"/>
  <c r="AE112" s="1"/>
  <c r="Y110"/>
  <c r="AE110" s="1"/>
  <c r="Y102"/>
  <c r="AE102" s="1"/>
  <c r="Z80"/>
  <c r="Z37"/>
  <c r="E37" i="51061"/>
  <c r="E36"/>
  <c r="E35"/>
  <c r="E29"/>
  <c r="E27"/>
  <c r="AJ87" i="51055"/>
  <c r="Y94"/>
  <c r="AE94" s="1"/>
  <c r="Y90"/>
  <c r="AE90" s="1"/>
  <c r="Y60"/>
  <c r="AE60" s="1"/>
  <c r="Y62"/>
  <c r="AE62" s="1"/>
  <c r="Y58"/>
  <c r="AE58" s="1"/>
  <c r="Y57"/>
  <c r="AE57" s="1"/>
  <c r="Y55"/>
  <c r="AE55" s="1"/>
  <c r="Y53"/>
  <c r="AE53" s="1"/>
  <c r="Y41"/>
  <c r="AE41" s="1"/>
  <c r="Y34"/>
  <c r="AE34" s="1"/>
  <c r="Y21"/>
  <c r="AE21" s="1"/>
  <c r="Y18"/>
  <c r="AE18" s="1"/>
  <c r="Y16"/>
  <c r="AE16" s="1"/>
  <c r="Y195"/>
  <c r="Y122"/>
  <c r="AE122" s="1"/>
  <c r="Y98"/>
  <c r="Q742"/>
  <c r="Y87"/>
  <c r="AE87" s="1"/>
  <c r="Y108"/>
  <c r="AE108" s="1"/>
  <c r="Y135"/>
  <c r="AE135" s="1"/>
  <c r="Y204"/>
  <c r="AE204" s="1"/>
  <c r="Y273"/>
  <c r="AE273" s="1"/>
  <c r="Y144"/>
  <c r="Y146" s="1"/>
  <c r="AE146" s="1"/>
  <c r="Z146"/>
  <c r="Y81"/>
  <c r="Y72"/>
  <c r="Y66"/>
  <c r="Y61"/>
  <c r="Y54"/>
  <c r="Y51"/>
  <c r="AE51" s="1"/>
  <c r="Y47"/>
  <c r="AE47" s="1"/>
  <c r="Y40"/>
  <c r="AE40" s="1"/>
  <c r="Y36"/>
  <c r="AE36" s="1"/>
  <c r="Y31"/>
  <c r="AE31" s="1"/>
  <c r="Y26"/>
  <c r="Y22"/>
  <c r="AE22" s="1"/>
  <c r="Y17"/>
  <c r="Y619"/>
  <c r="AE619" s="1"/>
  <c r="Z63"/>
  <c r="EQ63" s="1"/>
  <c r="Z133"/>
  <c r="Y462"/>
  <c r="Y463" s="1"/>
  <c r="AE463" s="1"/>
  <c r="Y79"/>
  <c r="AE79" s="1"/>
  <c r="W79"/>
  <c r="AC79" s="1"/>
  <c r="E15" i="51061" s="1"/>
  <c r="Y634" i="51055"/>
  <c r="Y635" s="1"/>
  <c r="AE635" s="1"/>
  <c r="Y614"/>
  <c r="AE614" s="1"/>
  <c r="CO742" l="1"/>
  <c r="BL169"/>
  <c r="AX169"/>
  <c r="G45" i="51061"/>
  <c r="AE507" i="51055"/>
  <c r="AK507"/>
  <c r="AE274"/>
  <c r="AK274"/>
  <c r="AE278"/>
  <c r="AK278"/>
  <c r="AE307"/>
  <c r="G48" i="51061" s="1"/>
  <c r="AK307" i="51055"/>
  <c r="AE390"/>
  <c r="AK390"/>
  <c r="AE398"/>
  <c r="AK398"/>
  <c r="AE20"/>
  <c r="AK20"/>
  <c r="AE68"/>
  <c r="AK68"/>
  <c r="AE246"/>
  <c r="AK246"/>
  <c r="AE280"/>
  <c r="AK280"/>
  <c r="AE350"/>
  <c r="AK350"/>
  <c r="AE357"/>
  <c r="G54" i="51061" s="1"/>
  <c r="AK357" i="51055"/>
  <c r="AE377"/>
  <c r="AK377"/>
  <c r="AE384"/>
  <c r="AK384"/>
  <c r="AE392"/>
  <c r="AK392"/>
  <c r="AE650"/>
  <c r="AK650"/>
  <c r="AE678"/>
  <c r="AK678"/>
  <c r="AE434"/>
  <c r="G68" i="51061" s="1"/>
  <c r="G75" s="1"/>
  <c r="AK434" i="51055"/>
  <c r="AE480"/>
  <c r="AK480"/>
  <c r="AE534"/>
  <c r="AK534"/>
  <c r="AE550"/>
  <c r="G82" i="51061" s="1"/>
  <c r="AK550" i="51055"/>
  <c r="AE578"/>
  <c r="AK578"/>
  <c r="AE593"/>
  <c r="AK593"/>
  <c r="AE282"/>
  <c r="AK282"/>
  <c r="AE317"/>
  <c r="G47" i="51061" s="1"/>
  <c r="AK317" i="51055"/>
  <c r="AE327"/>
  <c r="G50" i="51061" s="1"/>
  <c r="AK327" i="51055"/>
  <c r="AE359"/>
  <c r="AK359"/>
  <c r="AE386"/>
  <c r="G59" i="51061" s="1"/>
  <c r="AK386" i="51055"/>
  <c r="AE319"/>
  <c r="AK319"/>
  <c r="AE312"/>
  <c r="AK312"/>
  <c r="AE638"/>
  <c r="AK638"/>
  <c r="AE646"/>
  <c r="AK646"/>
  <c r="AE456"/>
  <c r="AK456"/>
  <c r="AE467"/>
  <c r="AK467"/>
  <c r="AE476"/>
  <c r="AK476"/>
  <c r="AE522"/>
  <c r="G78" i="51061" s="1"/>
  <c r="AK522" i="51055"/>
  <c r="AE530"/>
  <c r="AK530"/>
  <c r="AE546"/>
  <c r="AK546"/>
  <c r="AE565"/>
  <c r="G83" i="51061" s="1"/>
  <c r="AK565" i="51055"/>
  <c r="AE574"/>
  <c r="G84" i="51061" s="1"/>
  <c r="AK574" i="51055"/>
  <c r="AE583"/>
  <c r="G85" i="51061" s="1"/>
  <c r="G87" s="1"/>
  <c r="AK583" i="51055"/>
  <c r="AE591"/>
  <c r="AK591"/>
  <c r="AE436"/>
  <c r="AK436"/>
  <c r="AE501"/>
  <c r="AK501"/>
  <c r="AE589"/>
  <c r="AK589"/>
  <c r="AK321"/>
  <c r="AK341"/>
  <c r="AK587"/>
  <c r="AK363"/>
  <c r="AK263"/>
  <c r="AK325"/>
  <c r="AK295"/>
  <c r="AK680"/>
  <c r="AK443"/>
  <c r="AK471"/>
  <c r="G71" i="51061"/>
  <c r="G11"/>
  <c r="G20"/>
  <c r="G23"/>
  <c r="G39"/>
  <c r="G40"/>
  <c r="G41"/>
  <c r="G70"/>
  <c r="G43"/>
  <c r="AK478" i="51055"/>
  <c r="AK503"/>
  <c r="F49" i="51061"/>
  <c r="AK449" i="51055"/>
  <c r="AK602"/>
  <c r="AK585"/>
  <c r="G67" i="51061"/>
  <c r="G65"/>
  <c r="AK487" i="51055"/>
  <c r="AK32"/>
  <c r="H27" i="51061"/>
  <c r="AK38" i="51055"/>
  <c r="H34" i="51061"/>
  <c r="AK410" i="51055"/>
  <c r="AK261"/>
  <c r="AK323"/>
  <c r="H77" i="51061"/>
  <c r="AJ560" i="51055"/>
  <c r="AJ568"/>
  <c r="AK568" s="1"/>
  <c r="AK612"/>
  <c r="AK548"/>
  <c r="BC627"/>
  <c r="BI627" s="1"/>
  <c r="BA627"/>
  <c r="BG627" s="1"/>
  <c r="AK604"/>
  <c r="AK67"/>
  <c r="AK99"/>
  <c r="AJ137"/>
  <c r="AK137" s="1"/>
  <c r="AJ106"/>
  <c r="AX188"/>
  <c r="BB188"/>
  <c r="BH188" s="1"/>
  <c r="AU396"/>
  <c r="AW396" s="1"/>
  <c r="BL396" s="1"/>
  <c r="BB396"/>
  <c r="BH396" s="1"/>
  <c r="AJ418"/>
  <c r="AK450"/>
  <c r="AU379"/>
  <c r="AW379" s="1"/>
  <c r="BL379" s="1"/>
  <c r="BB379"/>
  <c r="BH379" s="1"/>
  <c r="AK333"/>
  <c r="AJ247"/>
  <c r="AJ294"/>
  <c r="AJ360"/>
  <c r="G74" i="51061"/>
  <c r="AX311" i="51055"/>
  <c r="BB311"/>
  <c r="BH311" s="1"/>
  <c r="AX617"/>
  <c r="BB617"/>
  <c r="BH617" s="1"/>
  <c r="AK668"/>
  <c r="AU552"/>
  <c r="AW552" s="1"/>
  <c r="BL552" s="1"/>
  <c r="BC552"/>
  <c r="BI552" s="1"/>
  <c r="BA552"/>
  <c r="BG552" s="1"/>
  <c r="AK556"/>
  <c r="AK343"/>
  <c r="AK232"/>
  <c r="AK291"/>
  <c r="AK375"/>
  <c r="AK250"/>
  <c r="AK301"/>
  <c r="AK407"/>
  <c r="AK256"/>
  <c r="AK329"/>
  <c r="AK361"/>
  <c r="AK642"/>
  <c r="AK287"/>
  <c r="AK736"/>
  <c r="AE17"/>
  <c r="G8" i="51061" s="1"/>
  <c r="AK17" i="51055"/>
  <c r="AE26"/>
  <c r="G9" i="51061" s="1"/>
  <c r="AK26" i="51055"/>
  <c r="AE54"/>
  <c r="G13" i="51061" s="1"/>
  <c r="AK54" i="51055"/>
  <c r="AE66"/>
  <c r="AK66"/>
  <c r="AE81"/>
  <c r="G15" i="51061" s="1"/>
  <c r="AK81" i="51055"/>
  <c r="AF80"/>
  <c r="EQ80"/>
  <c r="AJ80"/>
  <c r="AK80" s="1"/>
  <c r="AF128"/>
  <c r="EQ128"/>
  <c r="AJ128"/>
  <c r="AK128" s="1"/>
  <c r="AY33"/>
  <c r="AZ33"/>
  <c r="BF33" s="1"/>
  <c r="BA33"/>
  <c r="BG33" s="1"/>
  <c r="BB33"/>
  <c r="BH33" s="1"/>
  <c r="BC33"/>
  <c r="BI33" s="1"/>
  <c r="AU33"/>
  <c r="AW33" s="1"/>
  <c r="BL33" s="1"/>
  <c r="AY111"/>
  <c r="AZ111"/>
  <c r="BF111" s="1"/>
  <c r="BA111"/>
  <c r="BG111" s="1"/>
  <c r="BB111"/>
  <c r="BH111" s="1"/>
  <c r="BC111"/>
  <c r="BI111" s="1"/>
  <c r="AU111"/>
  <c r="AW111" s="1"/>
  <c r="BL111" s="1"/>
  <c r="AE542"/>
  <c r="G80" i="51061" s="1"/>
  <c r="AK542" i="51055"/>
  <c r="AE512"/>
  <c r="AK512"/>
  <c r="AE442"/>
  <c r="G69" i="51061" s="1"/>
  <c r="AK442" i="51055"/>
  <c r="AF12"/>
  <c r="EQ12"/>
  <c r="AJ12"/>
  <c r="AF133"/>
  <c r="EQ133"/>
  <c r="AJ133"/>
  <c r="AK133" s="1"/>
  <c r="AE61"/>
  <c r="AK61"/>
  <c r="AE72"/>
  <c r="AK72"/>
  <c r="AF146"/>
  <c r="EQ146"/>
  <c r="AJ146"/>
  <c r="AK146" s="1"/>
  <c r="AE98"/>
  <c r="AK98"/>
  <c r="AE195"/>
  <c r="G32" i="51061" s="1"/>
  <c r="AK195" i="51055"/>
  <c r="AK87"/>
  <c r="L16" i="51061"/>
  <c r="AF37" i="51055"/>
  <c r="EQ37"/>
  <c r="AJ37"/>
  <c r="AK37" s="1"/>
  <c r="AY199"/>
  <c r="AZ199"/>
  <c r="BF199" s="1"/>
  <c r="BA199"/>
  <c r="BG199" s="1"/>
  <c r="BB199"/>
  <c r="BH199" s="1"/>
  <c r="BC199"/>
  <c r="BI199" s="1"/>
  <c r="AX199"/>
  <c r="AU199"/>
  <c r="AW199" s="1"/>
  <c r="BL199" s="1"/>
  <c r="AF136"/>
  <c r="EQ136"/>
  <c r="AJ136"/>
  <c r="AK136" s="1"/>
  <c r="EQ30"/>
  <c r="AF30"/>
  <c r="H10" i="51061" s="1"/>
  <c r="AJ30" i="51055"/>
  <c r="AY49"/>
  <c r="AZ49"/>
  <c r="BF49" s="1"/>
  <c r="BA49"/>
  <c r="BG49" s="1"/>
  <c r="BB49"/>
  <c r="BH49" s="1"/>
  <c r="BC49"/>
  <c r="BI49" s="1"/>
  <c r="AU49"/>
  <c r="AW49" s="1"/>
  <c r="BL49" s="1"/>
  <c r="AE706"/>
  <c r="AK706"/>
  <c r="AE656"/>
  <c r="AK656"/>
  <c r="AE533"/>
  <c r="G79" i="51061" s="1"/>
  <c r="AK533" i="51055"/>
  <c r="AE506"/>
  <c r="G76" i="51061" s="1"/>
  <c r="AK506" i="51055"/>
  <c r="AF619"/>
  <c r="EQ619"/>
  <c r="AJ619"/>
  <c r="AK619" s="1"/>
  <c r="AF18"/>
  <c r="EQ18"/>
  <c r="AJ18"/>
  <c r="AK18" s="1"/>
  <c r="AF57"/>
  <c r="H13" i="51061" s="1"/>
  <c r="EQ57" i="51055"/>
  <c r="AJ57"/>
  <c r="AY59"/>
  <c r="AZ59"/>
  <c r="BF59" s="1"/>
  <c r="BA59"/>
  <c r="BG59" s="1"/>
  <c r="BB59"/>
  <c r="BH59" s="1"/>
  <c r="BC59"/>
  <c r="BI59" s="1"/>
  <c r="AU59"/>
  <c r="AW59" s="1"/>
  <c r="BL59" s="1"/>
  <c r="AX59"/>
  <c r="AE138"/>
  <c r="G24" i="51061" s="1"/>
  <c r="AK138" i="51055"/>
  <c r="AE163"/>
  <c r="AK163"/>
  <c r="AE167"/>
  <c r="AK167"/>
  <c r="AE182"/>
  <c r="AK182"/>
  <c r="AE212"/>
  <c r="AK212"/>
  <c r="AE215"/>
  <c r="G37" i="51061" s="1"/>
  <c r="AK215" i="51055"/>
  <c r="AF158"/>
  <c r="EQ158"/>
  <c r="AJ158"/>
  <c r="AK158" s="1"/>
  <c r="AF112"/>
  <c r="EQ112"/>
  <c r="AJ112"/>
  <c r="AK112" s="1"/>
  <c r="AF121"/>
  <c r="H21" i="51061" s="1"/>
  <c r="EQ121" i="51055"/>
  <c r="AJ121"/>
  <c r="AJ241"/>
  <c r="AF241"/>
  <c r="H41" i="51061" s="1"/>
  <c r="EQ241" i="51055"/>
  <c r="AE644"/>
  <c r="AK644"/>
  <c r="AE652"/>
  <c r="AK652"/>
  <c r="AE659"/>
  <c r="AK659"/>
  <c r="AE711"/>
  <c r="AK711"/>
  <c r="AE719"/>
  <c r="AK719"/>
  <c r="AF406"/>
  <c r="EQ406"/>
  <c r="AJ406"/>
  <c r="AK406" s="1"/>
  <c r="AY381"/>
  <c r="AZ381"/>
  <c r="BF381" s="1"/>
  <c r="BA381"/>
  <c r="BG381" s="1"/>
  <c r="BB381"/>
  <c r="BH381" s="1"/>
  <c r="BC381"/>
  <c r="BI381" s="1"/>
  <c r="AX381"/>
  <c r="AU381"/>
  <c r="AW381" s="1"/>
  <c r="BL381" s="1"/>
  <c r="AY447"/>
  <c r="AZ447"/>
  <c r="BF447" s="1"/>
  <c r="BA447"/>
  <c r="BG447" s="1"/>
  <c r="BB447"/>
  <c r="BH447" s="1"/>
  <c r="BC447"/>
  <c r="BI447" s="1"/>
  <c r="AU447"/>
  <c r="AW447" s="1"/>
  <c r="BL447" s="1"/>
  <c r="AY503"/>
  <c r="AZ503"/>
  <c r="BF503" s="1"/>
  <c r="BA503"/>
  <c r="BG503" s="1"/>
  <c r="BB503"/>
  <c r="BH503" s="1"/>
  <c r="BC503"/>
  <c r="BI503" s="1"/>
  <c r="AU503"/>
  <c r="AW503" s="1"/>
  <c r="BL503" s="1"/>
  <c r="AY608"/>
  <c r="AZ608"/>
  <c r="BF608" s="1"/>
  <c r="BA608"/>
  <c r="BG608" s="1"/>
  <c r="BB608"/>
  <c r="BH608" s="1"/>
  <c r="BC608"/>
  <c r="BI608" s="1"/>
  <c r="AU608"/>
  <c r="AW608" s="1"/>
  <c r="BL608" s="1"/>
  <c r="AF251"/>
  <c r="EQ251"/>
  <c r="AJ251"/>
  <c r="AK251" s="1"/>
  <c r="AF264"/>
  <c r="EQ264"/>
  <c r="AJ264"/>
  <c r="AK264" s="1"/>
  <c r="AF308"/>
  <c r="EQ308"/>
  <c r="AJ308"/>
  <c r="AK308" s="1"/>
  <c r="AF354"/>
  <c r="EQ354"/>
  <c r="AJ354"/>
  <c r="AF283"/>
  <c r="EQ283"/>
  <c r="AJ283"/>
  <c r="AF356"/>
  <c r="EQ356"/>
  <c r="AJ356"/>
  <c r="AK356" s="1"/>
  <c r="AY352"/>
  <c r="AZ352"/>
  <c r="BF352" s="1"/>
  <c r="BA352"/>
  <c r="BG352" s="1"/>
  <c r="BB352"/>
  <c r="BH352" s="1"/>
  <c r="BC352"/>
  <c r="BI352" s="1"/>
  <c r="AX352"/>
  <c r="AU352"/>
  <c r="AW352" s="1"/>
  <c r="BL352" s="1"/>
  <c r="AY449"/>
  <c r="AZ449"/>
  <c r="BF449" s="1"/>
  <c r="BA449"/>
  <c r="BG449" s="1"/>
  <c r="BB449"/>
  <c r="BH449" s="1"/>
  <c r="BC449"/>
  <c r="BI449" s="1"/>
  <c r="AX449"/>
  <c r="AU449"/>
  <c r="AW449" s="1"/>
  <c r="BL449" s="1"/>
  <c r="AY602"/>
  <c r="AZ602"/>
  <c r="BF602" s="1"/>
  <c r="BA602"/>
  <c r="BG602" s="1"/>
  <c r="BB602"/>
  <c r="BH602" s="1"/>
  <c r="BC602"/>
  <c r="BI602" s="1"/>
  <c r="AX602"/>
  <c r="AU602"/>
  <c r="AW602" s="1"/>
  <c r="BL602" s="1"/>
  <c r="AF446"/>
  <c r="EQ446"/>
  <c r="AJ446"/>
  <c r="AK446" s="1"/>
  <c r="AF470"/>
  <c r="EQ470"/>
  <c r="AJ470"/>
  <c r="AK470" s="1"/>
  <c r="AF590"/>
  <c r="EQ590"/>
  <c r="AJ590"/>
  <c r="AK590" s="1"/>
  <c r="AF607"/>
  <c r="EQ607"/>
  <c r="AJ607"/>
  <c r="AK607" s="1"/>
  <c r="AF639"/>
  <c r="EQ639"/>
  <c r="AJ639"/>
  <c r="AK639" s="1"/>
  <c r="CC144"/>
  <c r="CD144"/>
  <c r="CD145"/>
  <c r="CC145"/>
  <c r="AY585"/>
  <c r="AZ585"/>
  <c r="BF585" s="1"/>
  <c r="BA585"/>
  <c r="BG585" s="1"/>
  <c r="BB585"/>
  <c r="BH585" s="1"/>
  <c r="BC585"/>
  <c r="BI585" s="1"/>
  <c r="AX585"/>
  <c r="AU585"/>
  <c r="AW585" s="1"/>
  <c r="BL585" s="1"/>
  <c r="AY497"/>
  <c r="AZ497"/>
  <c r="BF497" s="1"/>
  <c r="BA497"/>
  <c r="BG497" s="1"/>
  <c r="BB497"/>
  <c r="BH497" s="1"/>
  <c r="BC497"/>
  <c r="BI497" s="1"/>
  <c r="AU497"/>
  <c r="AW497" s="1"/>
  <c r="BL497" s="1"/>
  <c r="AF488"/>
  <c r="EQ488"/>
  <c r="AJ488"/>
  <c r="AK488" s="1"/>
  <c r="AF586"/>
  <c r="EQ586"/>
  <c r="AJ586"/>
  <c r="AK586" s="1"/>
  <c r="AF716"/>
  <c r="EQ716"/>
  <c r="AJ716"/>
  <c r="AK716" s="1"/>
  <c r="CC399"/>
  <c r="CD399"/>
  <c r="CC131"/>
  <c r="CD131"/>
  <c r="CD132"/>
  <c r="CC132"/>
  <c r="Z305"/>
  <c r="EQ304"/>
  <c r="BP13"/>
  <c r="BR13" s="1"/>
  <c r="BD13"/>
  <c r="BE13"/>
  <c r="AU555"/>
  <c r="AW555" s="1"/>
  <c r="BL555" s="1"/>
  <c r="AY555"/>
  <c r="AZ555"/>
  <c r="BF555" s="1"/>
  <c r="BA555"/>
  <c r="BG555" s="1"/>
  <c r="BB555"/>
  <c r="BH555" s="1"/>
  <c r="BC555"/>
  <c r="BI555" s="1"/>
  <c r="AX555"/>
  <c r="AX107"/>
  <c r="AY107"/>
  <c r="AZ107"/>
  <c r="BF107" s="1"/>
  <c r="BA107"/>
  <c r="BG107" s="1"/>
  <c r="BB107"/>
  <c r="BH107" s="1"/>
  <c r="BC107"/>
  <c r="BI107" s="1"/>
  <c r="AU107"/>
  <c r="AW107" s="1"/>
  <c r="BL107" s="1"/>
  <c r="AU23"/>
  <c r="AW23" s="1"/>
  <c r="BL23" s="1"/>
  <c r="AY23"/>
  <c r="AZ23"/>
  <c r="BF23" s="1"/>
  <c r="BA23"/>
  <c r="BG23" s="1"/>
  <c r="BB23"/>
  <c r="BH23" s="1"/>
  <c r="BC23"/>
  <c r="BI23" s="1"/>
  <c r="AX23"/>
  <c r="AU39"/>
  <c r="AW39" s="1"/>
  <c r="BL39" s="1"/>
  <c r="AX39"/>
  <c r="AY39"/>
  <c r="AZ39"/>
  <c r="BF39" s="1"/>
  <c r="BA39"/>
  <c r="BG39" s="1"/>
  <c r="BB39"/>
  <c r="BH39" s="1"/>
  <c r="BC39"/>
  <c r="BI39" s="1"/>
  <c r="AY88"/>
  <c r="AZ88"/>
  <c r="BF88" s="1"/>
  <c r="BA88"/>
  <c r="BG88" s="1"/>
  <c r="BB88"/>
  <c r="BH88" s="1"/>
  <c r="BC88"/>
  <c r="BI88" s="1"/>
  <c r="AU88"/>
  <c r="AW88" s="1"/>
  <c r="BL88" s="1"/>
  <c r="AY207"/>
  <c r="AZ207"/>
  <c r="BF207" s="1"/>
  <c r="BA207"/>
  <c r="BG207" s="1"/>
  <c r="BB207"/>
  <c r="BH207" s="1"/>
  <c r="BC207"/>
  <c r="BI207" s="1"/>
  <c r="AX207"/>
  <c r="AU207"/>
  <c r="AU240"/>
  <c r="AY240"/>
  <c r="AZ240"/>
  <c r="BF240" s="1"/>
  <c r="BA240"/>
  <c r="BG240" s="1"/>
  <c r="BB240"/>
  <c r="BH240" s="1"/>
  <c r="BC240"/>
  <c r="BI240" s="1"/>
  <c r="BP211"/>
  <c r="BR211" s="1"/>
  <c r="BD211"/>
  <c r="BE211"/>
  <c r="EQ700"/>
  <c r="AF700"/>
  <c r="AJ700"/>
  <c r="AK700" s="1"/>
  <c r="EQ697"/>
  <c r="AF697"/>
  <c r="AJ697"/>
  <c r="AK697" s="1"/>
  <c r="EQ176"/>
  <c r="AF176"/>
  <c r="AJ176"/>
  <c r="AK176" s="1"/>
  <c r="AF635"/>
  <c r="EQ635"/>
  <c r="AJ635"/>
  <c r="AK635" s="1"/>
  <c r="AY14"/>
  <c r="AZ14"/>
  <c r="BF14" s="1"/>
  <c r="BA14"/>
  <c r="BG14" s="1"/>
  <c r="BB14"/>
  <c r="BH14" s="1"/>
  <c r="BC14"/>
  <c r="BI14" s="1"/>
  <c r="AU14"/>
  <c r="AW14" s="1"/>
  <c r="BL14" s="1"/>
  <c r="BS169"/>
  <c r="BU169" s="1"/>
  <c r="BV169" s="1"/>
  <c r="BP169"/>
  <c r="BR169" s="1"/>
  <c r="BD169"/>
  <c r="BE169"/>
  <c r="AU86"/>
  <c r="AW86" s="1"/>
  <c r="BL86" s="1"/>
  <c r="AY86"/>
  <c r="AZ86"/>
  <c r="BF86" s="1"/>
  <c r="BA86"/>
  <c r="BG86" s="1"/>
  <c r="BB86"/>
  <c r="BH86" s="1"/>
  <c r="BC86"/>
  <c r="BI86" s="1"/>
  <c r="BD89"/>
  <c r="BE89"/>
  <c r="AY38"/>
  <c r="AZ38"/>
  <c r="BF38" s="1"/>
  <c r="BA38"/>
  <c r="BG38" s="1"/>
  <c r="BB38"/>
  <c r="BH38" s="1"/>
  <c r="BC38"/>
  <c r="BI38" s="1"/>
  <c r="AX38"/>
  <c r="AU38"/>
  <c r="AW38" s="1"/>
  <c r="BL38" s="1"/>
  <c r="BP105"/>
  <c r="BR105" s="1"/>
  <c r="BD109"/>
  <c r="BE109"/>
  <c r="AY96"/>
  <c r="AZ96"/>
  <c r="BF96" s="1"/>
  <c r="BA96"/>
  <c r="BG96" s="1"/>
  <c r="BB96"/>
  <c r="BH96" s="1"/>
  <c r="BC96"/>
  <c r="BI96" s="1"/>
  <c r="AU96"/>
  <c r="AW96" s="1"/>
  <c r="BL96" s="1"/>
  <c r="AK139"/>
  <c r="L24" i="51061"/>
  <c r="AK219" i="51055"/>
  <c r="L38" i="51061"/>
  <c r="AK234" i="51055"/>
  <c r="L40" i="51061"/>
  <c r="BD101" i="51055"/>
  <c r="BE101"/>
  <c r="BP130"/>
  <c r="BR130" s="1"/>
  <c r="BD148"/>
  <c r="BE148"/>
  <c r="BD178"/>
  <c r="BE178"/>
  <c r="AY202"/>
  <c r="AZ202"/>
  <c r="BF202" s="1"/>
  <c r="BA202"/>
  <c r="BG202" s="1"/>
  <c r="BB202"/>
  <c r="BH202" s="1"/>
  <c r="BC202"/>
  <c r="BI202" s="1"/>
  <c r="AU202"/>
  <c r="AY213"/>
  <c r="AZ213"/>
  <c r="BF213" s="1"/>
  <c r="BA213"/>
  <c r="BG213" s="1"/>
  <c r="BB213"/>
  <c r="BH213" s="1"/>
  <c r="BC213"/>
  <c r="BI213" s="1"/>
  <c r="AX213"/>
  <c r="AU213"/>
  <c r="AY394"/>
  <c r="AZ394"/>
  <c r="BF394" s="1"/>
  <c r="BA394"/>
  <c r="BG394" s="1"/>
  <c r="BB394"/>
  <c r="BH394" s="1"/>
  <c r="BC394"/>
  <c r="BI394" s="1"/>
  <c r="AU394"/>
  <c r="AK402"/>
  <c r="L62" i="51061"/>
  <c r="AY223" i="51055"/>
  <c r="AZ223"/>
  <c r="BF223" s="1"/>
  <c r="BA223"/>
  <c r="BG223" s="1"/>
  <c r="BB223"/>
  <c r="BH223" s="1"/>
  <c r="BC223"/>
  <c r="BI223" s="1"/>
  <c r="AX223"/>
  <c r="AU223"/>
  <c r="AW223" s="1"/>
  <c r="BL223" s="1"/>
  <c r="AY254"/>
  <c r="AZ254"/>
  <c r="BF254" s="1"/>
  <c r="BA254"/>
  <c r="BG254" s="1"/>
  <c r="BB254"/>
  <c r="BH254" s="1"/>
  <c r="BC254"/>
  <c r="BI254" s="1"/>
  <c r="AX254"/>
  <c r="AU254"/>
  <c r="AW254" s="1"/>
  <c r="BL254" s="1"/>
  <c r="AY270"/>
  <c r="AZ270"/>
  <c r="BF270" s="1"/>
  <c r="BA270"/>
  <c r="BG270" s="1"/>
  <c r="BB270"/>
  <c r="BH270" s="1"/>
  <c r="BC270"/>
  <c r="BI270" s="1"/>
  <c r="AX270"/>
  <c r="AU270"/>
  <c r="AW270" s="1"/>
  <c r="BL270" s="1"/>
  <c r="AY315"/>
  <c r="AZ315"/>
  <c r="BF315" s="1"/>
  <c r="BA315"/>
  <c r="BG315" s="1"/>
  <c r="BB315"/>
  <c r="BH315" s="1"/>
  <c r="BC315"/>
  <c r="BI315" s="1"/>
  <c r="AU315"/>
  <c r="AW315" s="1"/>
  <c r="BL315" s="1"/>
  <c r="AY272"/>
  <c r="AZ272"/>
  <c r="BF272" s="1"/>
  <c r="BA272"/>
  <c r="BG272" s="1"/>
  <c r="BB272"/>
  <c r="BH272" s="1"/>
  <c r="BC272"/>
  <c r="BI272" s="1"/>
  <c r="AX272"/>
  <c r="AU272"/>
  <c r="AY382"/>
  <c r="AZ382"/>
  <c r="BF382" s="1"/>
  <c r="BA382"/>
  <c r="BG382" s="1"/>
  <c r="BB382"/>
  <c r="BH382" s="1"/>
  <c r="BC382"/>
  <c r="BI382" s="1"/>
  <c r="AX382"/>
  <c r="AU382"/>
  <c r="CC429"/>
  <c r="CD429"/>
  <c r="AK365"/>
  <c r="L57" i="51061"/>
  <c r="AU490" i="51055"/>
  <c r="AW490" s="1"/>
  <c r="BL490" s="1"/>
  <c r="AY490"/>
  <c r="AZ490"/>
  <c r="BF490" s="1"/>
  <c r="BA490"/>
  <c r="BG490" s="1"/>
  <c r="BB490"/>
  <c r="BH490" s="1"/>
  <c r="BC490"/>
  <c r="BI490" s="1"/>
  <c r="AX490"/>
  <c r="AK514"/>
  <c r="L77" i="51061"/>
  <c r="AU535" i="51055"/>
  <c r="AW535" s="1"/>
  <c r="BL535" s="1"/>
  <c r="AY535"/>
  <c r="AZ535"/>
  <c r="BF535" s="1"/>
  <c r="BA535"/>
  <c r="BG535" s="1"/>
  <c r="BB535"/>
  <c r="BH535" s="1"/>
  <c r="BC535"/>
  <c r="BI535" s="1"/>
  <c r="AU549"/>
  <c r="AW549" s="1"/>
  <c r="BL549" s="1"/>
  <c r="AY549"/>
  <c r="AZ549"/>
  <c r="BF549" s="1"/>
  <c r="BA549"/>
  <c r="BG549" s="1"/>
  <c r="BB549"/>
  <c r="BH549" s="1"/>
  <c r="BC549"/>
  <c r="BI549" s="1"/>
  <c r="AX549"/>
  <c r="AU566"/>
  <c r="AW566" s="1"/>
  <c r="BL566" s="1"/>
  <c r="AY566"/>
  <c r="AZ566"/>
  <c r="BF566" s="1"/>
  <c r="BA566"/>
  <c r="BG566" s="1"/>
  <c r="BB566"/>
  <c r="BH566" s="1"/>
  <c r="BC566"/>
  <c r="BI566" s="1"/>
  <c r="AX566"/>
  <c r="AU582"/>
  <c r="AW582" s="1"/>
  <c r="BL582" s="1"/>
  <c r="AY582"/>
  <c r="AZ582"/>
  <c r="BF582" s="1"/>
  <c r="BA582"/>
  <c r="BG582" s="1"/>
  <c r="BB582"/>
  <c r="BH582" s="1"/>
  <c r="BC582"/>
  <c r="BI582" s="1"/>
  <c r="AX582"/>
  <c r="AK610"/>
  <c r="L88" i="51061"/>
  <c r="AK740" i="51055"/>
  <c r="L110" i="51061"/>
  <c r="L111" s="1"/>
  <c r="BD419" i="51055"/>
  <c r="BE419"/>
  <c r="BP416"/>
  <c r="BR416" s="1"/>
  <c r="AK440"/>
  <c r="AU523"/>
  <c r="AW523" s="1"/>
  <c r="BL523" s="1"/>
  <c r="AY523"/>
  <c r="AZ523"/>
  <c r="BF523" s="1"/>
  <c r="BA523"/>
  <c r="BG523" s="1"/>
  <c r="BB523"/>
  <c r="BH523" s="1"/>
  <c r="BC523"/>
  <c r="BI523" s="1"/>
  <c r="AX523"/>
  <c r="AU588"/>
  <c r="AW588" s="1"/>
  <c r="BL588" s="1"/>
  <c r="AY588"/>
  <c r="AZ588"/>
  <c r="BF588" s="1"/>
  <c r="BA588"/>
  <c r="BG588" s="1"/>
  <c r="BB588"/>
  <c r="BH588" s="1"/>
  <c r="BC588"/>
  <c r="BI588" s="1"/>
  <c r="AX588"/>
  <c r="AU601"/>
  <c r="AW601" s="1"/>
  <c r="BL601" s="1"/>
  <c r="AY601"/>
  <c r="AZ601"/>
  <c r="BF601" s="1"/>
  <c r="BA601"/>
  <c r="BG601" s="1"/>
  <c r="BB601"/>
  <c r="BH601" s="1"/>
  <c r="BC601"/>
  <c r="BI601" s="1"/>
  <c r="AX601"/>
  <c r="AK675"/>
  <c r="L97" i="51061"/>
  <c r="AK710" i="51055"/>
  <c r="L104" i="51061"/>
  <c r="L105" s="1"/>
  <c r="AY731" i="51055"/>
  <c r="AZ731"/>
  <c r="BF731" s="1"/>
  <c r="BA731"/>
  <c r="BG731" s="1"/>
  <c r="BB731"/>
  <c r="BH731" s="1"/>
  <c r="BC731"/>
  <c r="BI731" s="1"/>
  <c r="AX731"/>
  <c r="AU731"/>
  <c r="AW731" s="1"/>
  <c r="BL731" s="1"/>
  <c r="BP563"/>
  <c r="BR563" s="1"/>
  <c r="BD563"/>
  <c r="BE563"/>
  <c r="BP738"/>
  <c r="BR738" s="1"/>
  <c r="AU525"/>
  <c r="AW525" s="1"/>
  <c r="BL525" s="1"/>
  <c r="AY525"/>
  <c r="AZ525"/>
  <c r="BF525" s="1"/>
  <c r="BA525"/>
  <c r="BG525" s="1"/>
  <c r="BB525"/>
  <c r="BH525" s="1"/>
  <c r="BC525"/>
  <c r="BI525" s="1"/>
  <c r="AX525"/>
  <c r="AK560"/>
  <c r="L83" i="51061"/>
  <c r="AU568" i="51055"/>
  <c r="AW568" s="1"/>
  <c r="BL568" s="1"/>
  <c r="AY568"/>
  <c r="AZ568"/>
  <c r="BF568" s="1"/>
  <c r="BA568"/>
  <c r="BG568" s="1"/>
  <c r="BB568"/>
  <c r="BH568" s="1"/>
  <c r="BC568"/>
  <c r="BI568" s="1"/>
  <c r="AX568"/>
  <c r="AK595"/>
  <c r="AU612"/>
  <c r="AW612" s="1"/>
  <c r="BL612" s="1"/>
  <c r="AY612"/>
  <c r="AZ612"/>
  <c r="BF612" s="1"/>
  <c r="BA612"/>
  <c r="BG612" s="1"/>
  <c r="BB612"/>
  <c r="BH612" s="1"/>
  <c r="BC612"/>
  <c r="BI612" s="1"/>
  <c r="AX612"/>
  <c r="BP627"/>
  <c r="BR627" s="1"/>
  <c r="BD627"/>
  <c r="BE627"/>
  <c r="AY660"/>
  <c r="AZ660"/>
  <c r="BF660" s="1"/>
  <c r="BA660"/>
  <c r="BG660" s="1"/>
  <c r="BB660"/>
  <c r="BH660" s="1"/>
  <c r="BC660"/>
  <c r="BI660" s="1"/>
  <c r="AU660"/>
  <c r="AU15"/>
  <c r="AW15" s="1"/>
  <c r="BL15" s="1"/>
  <c r="AY15"/>
  <c r="AZ15"/>
  <c r="BF15" s="1"/>
  <c r="BA15"/>
  <c r="BG15" s="1"/>
  <c r="BB15"/>
  <c r="BH15" s="1"/>
  <c r="BC15"/>
  <c r="BI15" s="1"/>
  <c r="AX15"/>
  <c r="AY474"/>
  <c r="AZ474"/>
  <c r="BF474" s="1"/>
  <c r="BA474"/>
  <c r="BG474" s="1"/>
  <c r="BB474"/>
  <c r="BH474" s="1"/>
  <c r="BC474"/>
  <c r="BI474" s="1"/>
  <c r="AX474"/>
  <c r="AU474"/>
  <c r="AW474" s="1"/>
  <c r="BL474" s="1"/>
  <c r="AY454"/>
  <c r="AZ454"/>
  <c r="BF454" s="1"/>
  <c r="BA454"/>
  <c r="BG454" s="1"/>
  <c r="BB454"/>
  <c r="BH454" s="1"/>
  <c r="BC454"/>
  <c r="BI454" s="1"/>
  <c r="AX454"/>
  <c r="AU454"/>
  <c r="AW454" s="1"/>
  <c r="BL454" s="1"/>
  <c r="AY499"/>
  <c r="AZ499"/>
  <c r="BF499" s="1"/>
  <c r="BA499"/>
  <c r="BG499" s="1"/>
  <c r="BB499"/>
  <c r="BH499" s="1"/>
  <c r="BC499"/>
  <c r="BI499" s="1"/>
  <c r="AU499"/>
  <c r="AW499" s="1"/>
  <c r="BL499" s="1"/>
  <c r="AY520"/>
  <c r="AZ520"/>
  <c r="BF520" s="1"/>
  <c r="BA520"/>
  <c r="BG520" s="1"/>
  <c r="BB520"/>
  <c r="BH520" s="1"/>
  <c r="BC520"/>
  <c r="BI520" s="1"/>
  <c r="AX520"/>
  <c r="AU520"/>
  <c r="AW520" s="1"/>
  <c r="BL520" s="1"/>
  <c r="AY524"/>
  <c r="AZ524"/>
  <c r="BF524" s="1"/>
  <c r="BA524"/>
  <c r="BG524" s="1"/>
  <c r="BB524"/>
  <c r="BH524" s="1"/>
  <c r="BC524"/>
  <c r="BI524" s="1"/>
  <c r="AX524"/>
  <c r="AU524"/>
  <c r="AW524" s="1"/>
  <c r="BL524" s="1"/>
  <c r="AY572"/>
  <c r="AZ572"/>
  <c r="BF572" s="1"/>
  <c r="BA572"/>
  <c r="BG572" s="1"/>
  <c r="BB572"/>
  <c r="BH572" s="1"/>
  <c r="BC572"/>
  <c r="BI572" s="1"/>
  <c r="AX572"/>
  <c r="AU572"/>
  <c r="AW572" s="1"/>
  <c r="BL572" s="1"/>
  <c r="AY606"/>
  <c r="AZ606"/>
  <c r="BF606" s="1"/>
  <c r="BA606"/>
  <c r="BG606" s="1"/>
  <c r="BB606"/>
  <c r="BH606" s="1"/>
  <c r="BC606"/>
  <c r="BI606" s="1"/>
  <c r="AX606"/>
  <c r="AU606"/>
  <c r="AW606" s="1"/>
  <c r="BL606" s="1"/>
  <c r="AY532"/>
  <c r="AZ532"/>
  <c r="BF532" s="1"/>
  <c r="BA532"/>
  <c r="BG532" s="1"/>
  <c r="BB532"/>
  <c r="BH532" s="1"/>
  <c r="BC532"/>
  <c r="BI532" s="1"/>
  <c r="AU532"/>
  <c r="AW532" s="1"/>
  <c r="BL532" s="1"/>
  <c r="AF734"/>
  <c r="EQ734"/>
  <c r="AJ734"/>
  <c r="AK734" s="1"/>
  <c r="EQ84"/>
  <c r="AF84"/>
  <c r="AJ84"/>
  <c r="AK84" s="1"/>
  <c r="AU115"/>
  <c r="AW115" s="1"/>
  <c r="BL115" s="1"/>
  <c r="AY115"/>
  <c r="AZ115"/>
  <c r="BF115" s="1"/>
  <c r="BA115"/>
  <c r="BG115" s="1"/>
  <c r="BB115"/>
  <c r="BH115" s="1"/>
  <c r="BC115"/>
  <c r="BI115" s="1"/>
  <c r="AF126"/>
  <c r="H22" i="51061" s="1"/>
  <c r="EQ126" i="51055"/>
  <c r="AJ126"/>
  <c r="AY116"/>
  <c r="AZ116"/>
  <c r="BF116" s="1"/>
  <c r="BA116"/>
  <c r="BG116" s="1"/>
  <c r="BB116"/>
  <c r="BH116" s="1"/>
  <c r="BC116"/>
  <c r="BI116" s="1"/>
  <c r="AU116"/>
  <c r="AW116" s="1"/>
  <c r="BL116" s="1"/>
  <c r="AY140"/>
  <c r="AZ140"/>
  <c r="BF140" s="1"/>
  <c r="BA140"/>
  <c r="BG140" s="1"/>
  <c r="BB140"/>
  <c r="BH140" s="1"/>
  <c r="BC140"/>
  <c r="BI140" s="1"/>
  <c r="AX140"/>
  <c r="AU140"/>
  <c r="AW140" s="1"/>
  <c r="BL140" s="1"/>
  <c r="AY155"/>
  <c r="AZ155"/>
  <c r="BF155" s="1"/>
  <c r="BA155"/>
  <c r="BG155" s="1"/>
  <c r="BB155"/>
  <c r="BH155" s="1"/>
  <c r="BC155"/>
  <c r="BI155" s="1"/>
  <c r="AX155"/>
  <c r="AU155"/>
  <c r="AW155" s="1"/>
  <c r="BL155" s="1"/>
  <c r="AY161"/>
  <c r="AZ161"/>
  <c r="BF161" s="1"/>
  <c r="BA161"/>
  <c r="BG161" s="1"/>
  <c r="BB161"/>
  <c r="BH161" s="1"/>
  <c r="BC161"/>
  <c r="BI161" s="1"/>
  <c r="AX161"/>
  <c r="AU161"/>
  <c r="AW161" s="1"/>
  <c r="BL161" s="1"/>
  <c r="AY165"/>
  <c r="AZ165"/>
  <c r="BF165" s="1"/>
  <c r="BA165"/>
  <c r="BG165" s="1"/>
  <c r="BB165"/>
  <c r="BH165" s="1"/>
  <c r="BC165"/>
  <c r="BI165" s="1"/>
  <c r="AX165"/>
  <c r="AU165"/>
  <c r="AY173"/>
  <c r="AZ173"/>
  <c r="BF173" s="1"/>
  <c r="BA173"/>
  <c r="BG173" s="1"/>
  <c r="BB173"/>
  <c r="BH173" s="1"/>
  <c r="BC173"/>
  <c r="BI173" s="1"/>
  <c r="AX173"/>
  <c r="AU173"/>
  <c r="AW173" s="1"/>
  <c r="BL173" s="1"/>
  <c r="AY180"/>
  <c r="AZ180"/>
  <c r="BF180" s="1"/>
  <c r="BA180"/>
  <c r="BG180" s="1"/>
  <c r="BB180"/>
  <c r="BH180" s="1"/>
  <c r="BC180"/>
  <c r="BI180" s="1"/>
  <c r="AX180"/>
  <c r="AU180"/>
  <c r="AW180" s="1"/>
  <c r="BL180" s="1"/>
  <c r="AU25"/>
  <c r="AW25" s="1"/>
  <c r="BL25" s="1"/>
  <c r="AY25"/>
  <c r="AZ25"/>
  <c r="BF25" s="1"/>
  <c r="BA25"/>
  <c r="BG25" s="1"/>
  <c r="BB25"/>
  <c r="BH25" s="1"/>
  <c r="BC25"/>
  <c r="BI25" s="1"/>
  <c r="AX25"/>
  <c r="AU46"/>
  <c r="AW46" s="1"/>
  <c r="BL46" s="1"/>
  <c r="AY46"/>
  <c r="AZ46"/>
  <c r="BF46" s="1"/>
  <c r="BA46"/>
  <c r="BG46" s="1"/>
  <c r="BB46"/>
  <c r="BH46" s="1"/>
  <c r="BC46"/>
  <c r="BI46" s="1"/>
  <c r="AY92"/>
  <c r="AZ92"/>
  <c r="BF92" s="1"/>
  <c r="BA92"/>
  <c r="BG92" s="1"/>
  <c r="BB92"/>
  <c r="BH92" s="1"/>
  <c r="BC92"/>
  <c r="BI92" s="1"/>
  <c r="AU92"/>
  <c r="AW92" s="1"/>
  <c r="BL92" s="1"/>
  <c r="BD93"/>
  <c r="BE93"/>
  <c r="Z401"/>
  <c r="EQ400"/>
  <c r="AF463"/>
  <c r="H71" i="51061" s="1"/>
  <c r="EQ463" i="51055"/>
  <c r="AJ463"/>
  <c r="EQ300"/>
  <c r="AF300"/>
  <c r="AJ300"/>
  <c r="AK300" s="1"/>
  <c r="F8" i="51061"/>
  <c r="AD742" i="51055"/>
  <c r="AY120"/>
  <c r="AZ120"/>
  <c r="BF120" s="1"/>
  <c r="BA120"/>
  <c r="BG120" s="1"/>
  <c r="BB120"/>
  <c r="BH120" s="1"/>
  <c r="BC120"/>
  <c r="BI120" s="1"/>
  <c r="AU120"/>
  <c r="AY193"/>
  <c r="AZ193"/>
  <c r="BF193" s="1"/>
  <c r="BA193"/>
  <c r="BG193" s="1"/>
  <c r="BB193"/>
  <c r="BH193" s="1"/>
  <c r="BC193"/>
  <c r="BI193" s="1"/>
  <c r="AX193"/>
  <c r="AU193"/>
  <c r="AW193" s="1"/>
  <c r="BL193" s="1"/>
  <c r="AK94"/>
  <c r="L17" i="51061"/>
  <c r="AK157" i="51055"/>
  <c r="L28" i="51061"/>
  <c r="BP188" i="51055"/>
  <c r="BR188" s="1"/>
  <c r="BD188"/>
  <c r="BE188"/>
  <c r="BD225"/>
  <c r="BE225"/>
  <c r="BP235"/>
  <c r="BR235" s="1"/>
  <c r="BD235"/>
  <c r="BE235"/>
  <c r="AU114"/>
  <c r="AW114" s="1"/>
  <c r="BL114" s="1"/>
  <c r="AY114"/>
  <c r="AZ114"/>
  <c r="BF114" s="1"/>
  <c r="BA114"/>
  <c r="BG114" s="1"/>
  <c r="BB114"/>
  <c r="BH114" s="1"/>
  <c r="BC114"/>
  <c r="BI114" s="1"/>
  <c r="AX114"/>
  <c r="AK166"/>
  <c r="AK177"/>
  <c r="L31" i="51061"/>
  <c r="AY194" i="51055"/>
  <c r="AZ194"/>
  <c r="BF194" s="1"/>
  <c r="BA194"/>
  <c r="BG194" s="1"/>
  <c r="BB194"/>
  <c r="BH194" s="1"/>
  <c r="BC194"/>
  <c r="BI194" s="1"/>
  <c r="AU194"/>
  <c r="AW194" s="1"/>
  <c r="BL194" s="1"/>
  <c r="AY259"/>
  <c r="AZ259"/>
  <c r="BF259" s="1"/>
  <c r="BA259"/>
  <c r="BG259" s="1"/>
  <c r="BB259"/>
  <c r="BH259" s="1"/>
  <c r="BC259"/>
  <c r="BI259" s="1"/>
  <c r="AX259"/>
  <c r="AU259"/>
  <c r="AY276"/>
  <c r="AZ276"/>
  <c r="BF276" s="1"/>
  <c r="BA276"/>
  <c r="BG276" s="1"/>
  <c r="BB276"/>
  <c r="BH276" s="1"/>
  <c r="BC276"/>
  <c r="BI276" s="1"/>
  <c r="AX276"/>
  <c r="AU276"/>
  <c r="AW276" s="1"/>
  <c r="BL276" s="1"/>
  <c r="AY309"/>
  <c r="AZ309"/>
  <c r="BF309" s="1"/>
  <c r="BA309"/>
  <c r="BG309" s="1"/>
  <c r="BB309"/>
  <c r="BH309" s="1"/>
  <c r="BC309"/>
  <c r="BI309" s="1"/>
  <c r="AX309"/>
  <c r="AU309"/>
  <c r="AW309" s="1"/>
  <c r="BL309" s="1"/>
  <c r="AY336"/>
  <c r="AZ336"/>
  <c r="BF336" s="1"/>
  <c r="BA336"/>
  <c r="BG336" s="1"/>
  <c r="BB336"/>
  <c r="BH336" s="1"/>
  <c r="BC336"/>
  <c r="BI336" s="1"/>
  <c r="AX336"/>
  <c r="AU336"/>
  <c r="AW336" s="1"/>
  <c r="BL336" s="1"/>
  <c r="AY366"/>
  <c r="AZ366"/>
  <c r="BF366" s="1"/>
  <c r="BA366"/>
  <c r="BG366" s="1"/>
  <c r="BB366"/>
  <c r="BH366" s="1"/>
  <c r="BC366"/>
  <c r="BI366" s="1"/>
  <c r="AU366"/>
  <c r="AW366" s="1"/>
  <c r="BL366" s="1"/>
  <c r="AY371"/>
  <c r="AZ371"/>
  <c r="BF371" s="1"/>
  <c r="BA371"/>
  <c r="BG371" s="1"/>
  <c r="BB371"/>
  <c r="BH371" s="1"/>
  <c r="BC371"/>
  <c r="BI371" s="1"/>
  <c r="AX371"/>
  <c r="AU371"/>
  <c r="AY403"/>
  <c r="AZ403"/>
  <c r="BF403" s="1"/>
  <c r="BA403"/>
  <c r="BG403" s="1"/>
  <c r="BB403"/>
  <c r="BH403" s="1"/>
  <c r="BC403"/>
  <c r="BI403" s="1"/>
  <c r="AX403"/>
  <c r="AU403"/>
  <c r="AW403" s="1"/>
  <c r="BL403" s="1"/>
  <c r="BP396"/>
  <c r="BR396" s="1"/>
  <c r="BD396"/>
  <c r="BE396"/>
  <c r="BD413"/>
  <c r="BE413"/>
  <c r="AY284"/>
  <c r="AZ284"/>
  <c r="BF284" s="1"/>
  <c r="BA284"/>
  <c r="BG284" s="1"/>
  <c r="BB284"/>
  <c r="BH284" s="1"/>
  <c r="BC284"/>
  <c r="BI284" s="1"/>
  <c r="AU284"/>
  <c r="AW284" s="1"/>
  <c r="BL284" s="1"/>
  <c r="AK418"/>
  <c r="L64" i="51061"/>
  <c r="BP729" i="51055"/>
  <c r="BR729" s="1"/>
  <c r="AY450"/>
  <c r="AZ450"/>
  <c r="BF450" s="1"/>
  <c r="BA450"/>
  <c r="BG450" s="1"/>
  <c r="BB450"/>
  <c r="BH450" s="1"/>
  <c r="BC450"/>
  <c r="BI450" s="1"/>
  <c r="AU450"/>
  <c r="BD237"/>
  <c r="BE237"/>
  <c r="BP244"/>
  <c r="BR244" s="1"/>
  <c r="BS379"/>
  <c r="BU379" s="1"/>
  <c r="BV379" s="1"/>
  <c r="BP379"/>
  <c r="BR379" s="1"/>
  <c r="BD379"/>
  <c r="BE379"/>
  <c r="AY258"/>
  <c r="AZ258"/>
  <c r="BF258" s="1"/>
  <c r="BA258"/>
  <c r="BG258" s="1"/>
  <c r="BB258"/>
  <c r="BH258" s="1"/>
  <c r="BC258"/>
  <c r="BI258" s="1"/>
  <c r="AU258"/>
  <c r="AW258" s="1"/>
  <c r="BL258" s="1"/>
  <c r="AK297"/>
  <c r="AU395"/>
  <c r="AW395" s="1"/>
  <c r="BL395" s="1"/>
  <c r="AY395"/>
  <c r="AZ395"/>
  <c r="BF395" s="1"/>
  <c r="BA395"/>
  <c r="BG395" s="1"/>
  <c r="BB395"/>
  <c r="BH395" s="1"/>
  <c r="BC395"/>
  <c r="BI395" s="1"/>
  <c r="AX395"/>
  <c r="AY438"/>
  <c r="AZ438"/>
  <c r="BF438" s="1"/>
  <c r="BA438"/>
  <c r="BG438" s="1"/>
  <c r="BB438"/>
  <c r="BH438" s="1"/>
  <c r="BC438"/>
  <c r="BI438" s="1"/>
  <c r="AX438"/>
  <c r="AU438"/>
  <c r="AW438" s="1"/>
  <c r="BL438" s="1"/>
  <c r="AY484"/>
  <c r="AZ484"/>
  <c r="BF484" s="1"/>
  <c r="BA484"/>
  <c r="BG484" s="1"/>
  <c r="BB484"/>
  <c r="BH484" s="1"/>
  <c r="BC484"/>
  <c r="BI484" s="1"/>
  <c r="AX484"/>
  <c r="AU484"/>
  <c r="AW484" s="1"/>
  <c r="BL484" s="1"/>
  <c r="AY489"/>
  <c r="AZ489"/>
  <c r="BF489" s="1"/>
  <c r="BA489"/>
  <c r="BG489" s="1"/>
  <c r="BB489"/>
  <c r="BH489" s="1"/>
  <c r="BC489"/>
  <c r="BI489" s="1"/>
  <c r="AU489"/>
  <c r="AW489" s="1"/>
  <c r="BL489" s="1"/>
  <c r="AY492"/>
  <c r="AZ492"/>
  <c r="BF492" s="1"/>
  <c r="BA492"/>
  <c r="BG492" s="1"/>
  <c r="BB492"/>
  <c r="BH492" s="1"/>
  <c r="BC492"/>
  <c r="BI492" s="1"/>
  <c r="AX492"/>
  <c r="AU492"/>
  <c r="AY513"/>
  <c r="AZ513"/>
  <c r="BF513" s="1"/>
  <c r="BA513"/>
  <c r="BG513" s="1"/>
  <c r="BB513"/>
  <c r="BH513" s="1"/>
  <c r="BC513"/>
  <c r="BI513" s="1"/>
  <c r="AU513"/>
  <c r="AW513" s="1"/>
  <c r="BL513" s="1"/>
  <c r="AY517"/>
  <c r="AZ517"/>
  <c r="BF517" s="1"/>
  <c r="BA517"/>
  <c r="BG517" s="1"/>
  <c r="BB517"/>
  <c r="BH517" s="1"/>
  <c r="BC517"/>
  <c r="BI517" s="1"/>
  <c r="AU517"/>
  <c r="AW517" s="1"/>
  <c r="BL517" s="1"/>
  <c r="AY526"/>
  <c r="AZ526"/>
  <c r="BF526" s="1"/>
  <c r="BA526"/>
  <c r="BG526" s="1"/>
  <c r="BB526"/>
  <c r="BH526" s="1"/>
  <c r="BC526"/>
  <c r="BI526" s="1"/>
  <c r="AX526"/>
  <c r="AU526"/>
  <c r="AW526" s="1"/>
  <c r="BL526" s="1"/>
  <c r="AY538"/>
  <c r="AZ538"/>
  <c r="BF538" s="1"/>
  <c r="BA538"/>
  <c r="BG538" s="1"/>
  <c r="BB538"/>
  <c r="BH538" s="1"/>
  <c r="BC538"/>
  <c r="BI538" s="1"/>
  <c r="AU538"/>
  <c r="AW538" s="1"/>
  <c r="BL538" s="1"/>
  <c r="AX538"/>
  <c r="AY539"/>
  <c r="AZ539"/>
  <c r="BF539" s="1"/>
  <c r="BA539"/>
  <c r="BG539" s="1"/>
  <c r="BB539"/>
  <c r="BH539" s="1"/>
  <c r="BC539"/>
  <c r="BI539" s="1"/>
  <c r="AX539"/>
  <c r="AU539"/>
  <c r="AW539" s="1"/>
  <c r="BL539" s="1"/>
  <c r="AY554"/>
  <c r="AZ554"/>
  <c r="BF554" s="1"/>
  <c r="BA554"/>
  <c r="BG554" s="1"/>
  <c r="BB554"/>
  <c r="BH554" s="1"/>
  <c r="BC554"/>
  <c r="BI554" s="1"/>
  <c r="AX554"/>
  <c r="AU554"/>
  <c r="AW554" s="1"/>
  <c r="BL554" s="1"/>
  <c r="AY596"/>
  <c r="AZ596"/>
  <c r="BF596" s="1"/>
  <c r="BA596"/>
  <c r="BG596" s="1"/>
  <c r="BB596"/>
  <c r="BH596" s="1"/>
  <c r="BC596"/>
  <c r="BI596" s="1"/>
  <c r="AX596"/>
  <c r="AU596"/>
  <c r="AW596" s="1"/>
  <c r="BL596" s="1"/>
  <c r="AY600"/>
  <c r="AZ600"/>
  <c r="BF600" s="1"/>
  <c r="BA600"/>
  <c r="BG600" s="1"/>
  <c r="BB600"/>
  <c r="BH600" s="1"/>
  <c r="BC600"/>
  <c r="BI600" s="1"/>
  <c r="AX600"/>
  <c r="AU600"/>
  <c r="AW600" s="1"/>
  <c r="BL600" s="1"/>
  <c r="AY271"/>
  <c r="AZ271"/>
  <c r="BF271" s="1"/>
  <c r="BA271"/>
  <c r="BG271" s="1"/>
  <c r="BB271"/>
  <c r="BH271" s="1"/>
  <c r="BC271"/>
  <c r="BI271" s="1"/>
  <c r="AX271"/>
  <c r="AU271"/>
  <c r="AW271" s="1"/>
  <c r="BL271" s="1"/>
  <c r="AK335"/>
  <c r="L51" i="51061"/>
  <c r="AK340" i="51055"/>
  <c r="L52" i="51061"/>
  <c r="CC726" i="51055"/>
  <c r="CD726"/>
  <c r="BP617"/>
  <c r="BR617" s="1"/>
  <c r="BD617"/>
  <c r="BE617"/>
  <c r="AU730"/>
  <c r="AY730"/>
  <c r="AZ730"/>
  <c r="BF730" s="1"/>
  <c r="BA730"/>
  <c r="BG730" s="1"/>
  <c r="BB730"/>
  <c r="BH730" s="1"/>
  <c r="BC730"/>
  <c r="BI730" s="1"/>
  <c r="AX730"/>
  <c r="M107" i="51061"/>
  <c r="AU439" i="51055"/>
  <c r="AW439" s="1"/>
  <c r="BL439" s="1"/>
  <c r="AY439"/>
  <c r="AZ439"/>
  <c r="BF439" s="1"/>
  <c r="BA439"/>
  <c r="BG439" s="1"/>
  <c r="BB439"/>
  <c r="BH439" s="1"/>
  <c r="BC439"/>
  <c r="BI439" s="1"/>
  <c r="AX439"/>
  <c r="AK493"/>
  <c r="L74" i="51061"/>
  <c r="AU516" i="51055"/>
  <c r="AW516" s="1"/>
  <c r="BL516" s="1"/>
  <c r="AY516"/>
  <c r="AZ516"/>
  <c r="BF516" s="1"/>
  <c r="BA516"/>
  <c r="BG516" s="1"/>
  <c r="BB516"/>
  <c r="BH516" s="1"/>
  <c r="BC516"/>
  <c r="BI516" s="1"/>
  <c r="AX516"/>
  <c r="AU531"/>
  <c r="AW531" s="1"/>
  <c r="BL531" s="1"/>
  <c r="AX531"/>
  <c r="AY531"/>
  <c r="AZ531"/>
  <c r="BF531" s="1"/>
  <c r="BA531"/>
  <c r="BG531" s="1"/>
  <c r="BB531"/>
  <c r="BH531" s="1"/>
  <c r="BC531"/>
  <c r="BI531" s="1"/>
  <c r="AU551"/>
  <c r="AW551" s="1"/>
  <c r="BL551" s="1"/>
  <c r="AY551"/>
  <c r="AZ551"/>
  <c r="BF551" s="1"/>
  <c r="BA551"/>
  <c r="BG551" s="1"/>
  <c r="BB551"/>
  <c r="BH551" s="1"/>
  <c r="BC551"/>
  <c r="BI551" s="1"/>
  <c r="AX551"/>
  <c r="AU571"/>
  <c r="AW571" s="1"/>
  <c r="BL571" s="1"/>
  <c r="AY571"/>
  <c r="AZ571"/>
  <c r="BF571" s="1"/>
  <c r="BA571"/>
  <c r="BG571" s="1"/>
  <c r="BB571"/>
  <c r="BH571" s="1"/>
  <c r="BC571"/>
  <c r="BI571" s="1"/>
  <c r="AX571"/>
  <c r="AU577"/>
  <c r="AW577" s="1"/>
  <c r="BL577" s="1"/>
  <c r="AY577"/>
  <c r="AZ577"/>
  <c r="BF577" s="1"/>
  <c r="BA577"/>
  <c r="BG577" s="1"/>
  <c r="BB577"/>
  <c r="BH577" s="1"/>
  <c r="BC577"/>
  <c r="BI577" s="1"/>
  <c r="AX577"/>
  <c r="AK580"/>
  <c r="AU603"/>
  <c r="AW603" s="1"/>
  <c r="BL603" s="1"/>
  <c r="AY603"/>
  <c r="AZ603"/>
  <c r="BF603" s="1"/>
  <c r="BA603"/>
  <c r="BG603" s="1"/>
  <c r="BB603"/>
  <c r="BH603" s="1"/>
  <c r="BC603"/>
  <c r="BI603" s="1"/>
  <c r="AX603"/>
  <c r="AK626"/>
  <c r="L91" i="51061"/>
  <c r="AY723" i="51055"/>
  <c r="AZ723"/>
  <c r="BF723" s="1"/>
  <c r="BA723"/>
  <c r="BG723" s="1"/>
  <c r="BB723"/>
  <c r="BH723" s="1"/>
  <c r="BC723"/>
  <c r="BI723" s="1"/>
  <c r="AX723"/>
  <c r="AU723"/>
  <c r="AW723" s="1"/>
  <c r="BL723" s="1"/>
  <c r="AK615"/>
  <c r="L89" i="51061"/>
  <c r="AU483" i="51055"/>
  <c r="AW483" s="1"/>
  <c r="BL483" s="1"/>
  <c r="AY483"/>
  <c r="AZ483"/>
  <c r="BF483" s="1"/>
  <c r="BA483"/>
  <c r="BG483" s="1"/>
  <c r="BB483"/>
  <c r="BH483" s="1"/>
  <c r="BC483"/>
  <c r="BI483" s="1"/>
  <c r="AX483"/>
  <c r="AK708"/>
  <c r="L102" i="51061"/>
  <c r="BP552" i="51055"/>
  <c r="BR552" s="1"/>
  <c r="BD552"/>
  <c r="BE552"/>
  <c r="BD724"/>
  <c r="BE724"/>
  <c r="AY556"/>
  <c r="AZ556"/>
  <c r="BF556" s="1"/>
  <c r="BA556"/>
  <c r="BG556" s="1"/>
  <c r="BB556"/>
  <c r="BH556" s="1"/>
  <c r="BC556"/>
  <c r="BI556" s="1"/>
  <c r="AU556"/>
  <c r="AW556" s="1"/>
  <c r="BL556" s="1"/>
  <c r="AK36"/>
  <c r="G16" i="51061"/>
  <c r="G14"/>
  <c r="G17"/>
  <c r="E49"/>
  <c r="E61" i="51059"/>
  <c r="AK22" i="51055"/>
  <c r="G34" i="51061"/>
  <c r="AK51" i="51055"/>
  <c r="G19" i="51061"/>
  <c r="G28"/>
  <c r="G92"/>
  <c r="G72"/>
  <c r="AK171" i="51055"/>
  <c r="G98" i="51061"/>
  <c r="E87"/>
  <c r="G53"/>
  <c r="G57"/>
  <c r="G63"/>
  <c r="G64"/>
  <c r="AK689" i="51055"/>
  <c r="AK691"/>
  <c r="E99" i="51061"/>
  <c r="H106"/>
  <c r="H109" s="1"/>
  <c r="Y43" i="51055"/>
  <c r="Y44" s="1"/>
  <c r="AE44" s="1"/>
  <c r="G12" i="51061" s="1"/>
  <c r="W742" i="51055"/>
  <c r="AK118"/>
  <c r="AK198"/>
  <c r="AK53"/>
  <c r="BS97"/>
  <c r="BU97" s="1"/>
  <c r="BV97" s="1"/>
  <c r="BS227"/>
  <c r="BU227" s="1"/>
  <c r="BV227" s="1"/>
  <c r="AK142"/>
  <c r="AK152"/>
  <c r="AK191"/>
  <c r="AK218"/>
  <c r="H24" i="51061"/>
  <c r="AK160" i="51055"/>
  <c r="AK179"/>
  <c r="L27" i="51061"/>
  <c r="AX178" i="51055"/>
  <c r="BS245"/>
  <c r="BU245" s="1"/>
  <c r="BV245" s="1"/>
  <c r="AK414"/>
  <c r="AK424"/>
  <c r="AK347"/>
  <c r="H62" i="51061"/>
  <c r="AK433" i="51055"/>
  <c r="AX217"/>
  <c r="AK255"/>
  <c r="AK292"/>
  <c r="AK302"/>
  <c r="AK328"/>
  <c r="AK358"/>
  <c r="AK376"/>
  <c r="AK387"/>
  <c r="AK397"/>
  <c r="AK432"/>
  <c r="AK279"/>
  <c r="AK332"/>
  <c r="H57" i="51061"/>
  <c r="H88"/>
  <c r="AK637" i="51055"/>
  <c r="H92" i="51061"/>
  <c r="AK647" i="51055"/>
  <c r="AK679"/>
  <c r="AK703"/>
  <c r="AK640"/>
  <c r="AK459"/>
  <c r="AK475"/>
  <c r="AK508"/>
  <c r="AK498"/>
  <c r="AK630"/>
  <c r="AK669"/>
  <c r="H97" i="51061"/>
  <c r="AK683" i="51055"/>
  <c r="H104" i="51061"/>
  <c r="H105" s="1"/>
  <c r="AK720" i="51055"/>
  <c r="AK504"/>
  <c r="AK496"/>
  <c r="H83" i="51061"/>
  <c r="AK628" i="51055"/>
  <c r="AK658"/>
  <c r="AK681"/>
  <c r="AK722"/>
  <c r="AK40"/>
  <c r="AK186"/>
  <c r="AK79"/>
  <c r="E42" i="51061"/>
  <c r="E25"/>
  <c r="AK370" i="51055"/>
  <c r="E60" i="51061"/>
  <c r="E103"/>
  <c r="E75"/>
  <c r="AK702" i="51055"/>
  <c r="AK666"/>
  <c r="G46" i="51061"/>
  <c r="G51"/>
  <c r="AK119" i="51055"/>
  <c r="AK129"/>
  <c r="AK197"/>
  <c r="AK210"/>
  <c r="Z65"/>
  <c r="G10" i="51061"/>
  <c r="AK135" i="51055"/>
  <c r="H16" i="51061"/>
  <c r="AK16" i="51055"/>
  <c r="AK34"/>
  <c r="AK60"/>
  <c r="H17" i="51061"/>
  <c r="AK106" i="51055"/>
  <c r="AK149"/>
  <c r="H28" i="51061"/>
  <c r="AK189" i="51055"/>
  <c r="AK216"/>
  <c r="AK231"/>
  <c r="AK31"/>
  <c r="AK156"/>
  <c r="H31" i="51061"/>
  <c r="AK205" i="51055"/>
  <c r="AK226"/>
  <c r="AK420"/>
  <c r="AK430"/>
  <c r="AK257"/>
  <c r="AK369"/>
  <c r="AK404"/>
  <c r="H64" i="51061"/>
  <c r="L79"/>
  <c r="AK233" i="51055"/>
  <c r="AK243"/>
  <c r="G90" i="51061"/>
  <c r="AK249" i="51055"/>
  <c r="AK262"/>
  <c r="AK288"/>
  <c r="AK296"/>
  <c r="AK320"/>
  <c r="AK326"/>
  <c r="AK351"/>
  <c r="AK362"/>
  <c r="AK378"/>
  <c r="AK389"/>
  <c r="AK281"/>
  <c r="AK310"/>
  <c r="H51" i="51061"/>
  <c r="H52"/>
  <c r="L80"/>
  <c r="H79"/>
  <c r="AK616" i="51055"/>
  <c r="H91" i="51061"/>
  <c r="AK645" i="51055"/>
  <c r="AK667"/>
  <c r="AK687"/>
  <c r="H89" i="51061"/>
  <c r="AK673" i="51055"/>
  <c r="G77" i="51061"/>
  <c r="AK457" i="51055"/>
  <c r="AK468"/>
  <c r="AK477"/>
  <c r="AK665"/>
  <c r="AK685"/>
  <c r="L92" i="51061"/>
  <c r="CC221" i="51055"/>
  <c r="CD221"/>
  <c r="AF41"/>
  <c r="EQ41"/>
  <c r="AJ41"/>
  <c r="AK41" s="1"/>
  <c r="AF58"/>
  <c r="EQ58"/>
  <c r="AJ58"/>
  <c r="AE153"/>
  <c r="G27" i="51061" s="1"/>
  <c r="AK153" i="51055"/>
  <c r="AE190"/>
  <c r="G30" i="51061" s="1"/>
  <c r="AK190" i="51055"/>
  <c r="AE209"/>
  <c r="G35" i="51061" s="1"/>
  <c r="AK209" i="51055"/>
  <c r="AE206"/>
  <c r="G36" i="51061" s="1"/>
  <c r="AK206" i="51055"/>
  <c r="AE220"/>
  <c r="G38" i="51061" s="1"/>
  <c r="AK220" i="51055"/>
  <c r="AF110"/>
  <c r="EQ110"/>
  <c r="AJ110"/>
  <c r="AK110" s="1"/>
  <c r="AF113"/>
  <c r="H20" i="51061" s="1"/>
  <c r="EQ113" i="51055"/>
  <c r="AJ113"/>
  <c r="AF168"/>
  <c r="H29" i="51061" s="1"/>
  <c r="EQ168" i="51055"/>
  <c r="AJ168"/>
  <c r="AK168" s="1"/>
  <c r="AE621"/>
  <c r="G89" i="51061" s="1"/>
  <c r="AK621" i="51055"/>
  <c r="AE629"/>
  <c r="AK629"/>
  <c r="AE648"/>
  <c r="G94" i="51061" s="1"/>
  <c r="AK648" i="51055"/>
  <c r="AE655"/>
  <c r="G95" i="51061" s="1"/>
  <c r="AK655" i="51055"/>
  <c r="AE670"/>
  <c r="AK670"/>
  <c r="AE662"/>
  <c r="G96" i="51061" s="1"/>
  <c r="AK662" i="51055"/>
  <c r="AE676"/>
  <c r="G97" i="51061" s="1"/>
  <c r="AK676" i="51055"/>
  <c r="AE707"/>
  <c r="G102" i="51061" s="1"/>
  <c r="AK707" i="51055"/>
  <c r="AE715"/>
  <c r="G104" i="51061" s="1"/>
  <c r="G105" s="1"/>
  <c r="AK715" i="51055"/>
  <c r="AF313"/>
  <c r="EQ313"/>
  <c r="AJ313"/>
  <c r="AK313" s="1"/>
  <c r="AY478"/>
  <c r="AZ478"/>
  <c r="BF478" s="1"/>
  <c r="BA478"/>
  <c r="BG478" s="1"/>
  <c r="BB478"/>
  <c r="BH478" s="1"/>
  <c r="BC478"/>
  <c r="BI478" s="1"/>
  <c r="AX478"/>
  <c r="AU478"/>
  <c r="AW478" s="1"/>
  <c r="BL478" s="1"/>
  <c r="AY201"/>
  <c r="AZ201"/>
  <c r="BF201" s="1"/>
  <c r="BA201"/>
  <c r="BG201" s="1"/>
  <c r="BB201"/>
  <c r="BH201" s="1"/>
  <c r="BC201"/>
  <c r="BI201" s="1"/>
  <c r="AX201"/>
  <c r="AU201"/>
  <c r="AW201" s="1"/>
  <c r="BL201" s="1"/>
  <c r="AY388"/>
  <c r="AZ388"/>
  <c r="BF388" s="1"/>
  <c r="BA388"/>
  <c r="BG388" s="1"/>
  <c r="BB388"/>
  <c r="BH388" s="1"/>
  <c r="BC388"/>
  <c r="BI388" s="1"/>
  <c r="AX388"/>
  <c r="AU388"/>
  <c r="AW388" s="1"/>
  <c r="BL388" s="1"/>
  <c r="AY458"/>
  <c r="AZ458"/>
  <c r="BF458" s="1"/>
  <c r="BA458"/>
  <c r="BG458" s="1"/>
  <c r="BB458"/>
  <c r="BH458" s="1"/>
  <c r="BC458"/>
  <c r="BI458" s="1"/>
  <c r="AX458"/>
  <c r="AU458"/>
  <c r="AW458" s="1"/>
  <c r="BL458" s="1"/>
  <c r="AY576"/>
  <c r="AZ576"/>
  <c r="BF576" s="1"/>
  <c r="BA576"/>
  <c r="BG576" s="1"/>
  <c r="BB576"/>
  <c r="BH576" s="1"/>
  <c r="BC576"/>
  <c r="BI576" s="1"/>
  <c r="AX576"/>
  <c r="AU576"/>
  <c r="AW576" s="1"/>
  <c r="BL576" s="1"/>
  <c r="AF253"/>
  <c r="EQ253"/>
  <c r="AJ253"/>
  <c r="AK253" s="1"/>
  <c r="AF269"/>
  <c r="EQ269"/>
  <c r="AJ269"/>
  <c r="AK269" s="1"/>
  <c r="AF322"/>
  <c r="EQ322"/>
  <c r="AJ322"/>
  <c r="AK322" s="1"/>
  <c r="AF314"/>
  <c r="EQ314"/>
  <c r="AJ314"/>
  <c r="AK314" s="1"/>
  <c r="AF345"/>
  <c r="H53" i="51061" s="1"/>
  <c r="EQ345" i="51055"/>
  <c r="AJ345"/>
  <c r="AY510"/>
  <c r="AZ510"/>
  <c r="BF510" s="1"/>
  <c r="BA510"/>
  <c r="BG510" s="1"/>
  <c r="BB510"/>
  <c r="BH510" s="1"/>
  <c r="BC510"/>
  <c r="BI510" s="1"/>
  <c r="AX510"/>
  <c r="AU510"/>
  <c r="AW510" s="1"/>
  <c r="BL510" s="1"/>
  <c r="AY441"/>
  <c r="AZ441"/>
  <c r="BF441" s="1"/>
  <c r="BA441"/>
  <c r="BG441" s="1"/>
  <c r="BB441"/>
  <c r="BH441" s="1"/>
  <c r="BC441"/>
  <c r="BI441" s="1"/>
  <c r="AX441"/>
  <c r="AU441"/>
  <c r="AW441" s="1"/>
  <c r="BL441" s="1"/>
  <c r="AY570"/>
  <c r="AZ570"/>
  <c r="BF570" s="1"/>
  <c r="BA570"/>
  <c r="BG570" s="1"/>
  <c r="BB570"/>
  <c r="BH570" s="1"/>
  <c r="BC570"/>
  <c r="BI570" s="1"/>
  <c r="AX570"/>
  <c r="AU570"/>
  <c r="AW570" s="1"/>
  <c r="BL570" s="1"/>
  <c r="AF448"/>
  <c r="H69" i="51061" s="1"/>
  <c r="EQ448" i="51055"/>
  <c r="AJ448"/>
  <c r="AK448" s="1"/>
  <c r="AF557"/>
  <c r="H82" i="51061" s="1"/>
  <c r="EQ557" i="51055"/>
  <c r="AJ557"/>
  <c r="AK557" s="1"/>
  <c r="AF592"/>
  <c r="H85" i="51061" s="1"/>
  <c r="EQ592" i="51055"/>
  <c r="AJ592"/>
  <c r="AK592" s="1"/>
  <c r="AF609"/>
  <c r="H86" i="51061" s="1"/>
  <c r="EQ609" i="51055"/>
  <c r="AJ609"/>
  <c r="AK609" s="1"/>
  <c r="CC298"/>
  <c r="CD298"/>
  <c r="CC82"/>
  <c r="CD82"/>
  <c r="AY528"/>
  <c r="AZ528"/>
  <c r="BF528" s="1"/>
  <c r="BA528"/>
  <c r="BG528" s="1"/>
  <c r="BB528"/>
  <c r="BH528" s="1"/>
  <c r="BC528"/>
  <c r="BI528" s="1"/>
  <c r="AU528"/>
  <c r="AW528" s="1"/>
  <c r="BL528" s="1"/>
  <c r="AX528"/>
  <c r="AY705"/>
  <c r="AZ705"/>
  <c r="BF705" s="1"/>
  <c r="BA705"/>
  <c r="BG705" s="1"/>
  <c r="BB705"/>
  <c r="BH705" s="1"/>
  <c r="BC705"/>
  <c r="BI705" s="1"/>
  <c r="AX705"/>
  <c r="AU705"/>
  <c r="AW705" s="1"/>
  <c r="BL705" s="1"/>
  <c r="AY487"/>
  <c r="AZ487"/>
  <c r="BF487" s="1"/>
  <c r="BA487"/>
  <c r="BG487" s="1"/>
  <c r="BB487"/>
  <c r="BH487" s="1"/>
  <c r="BC487"/>
  <c r="BI487" s="1"/>
  <c r="AU487"/>
  <c r="AW487" s="1"/>
  <c r="BL487" s="1"/>
  <c r="AF437"/>
  <c r="H68" i="51061" s="1"/>
  <c r="EQ437" i="51055"/>
  <c r="AJ437"/>
  <c r="AK437" s="1"/>
  <c r="AF690"/>
  <c r="H100" i="51061" s="1"/>
  <c r="EQ690" i="51055"/>
  <c r="AJ690"/>
  <c r="CC174"/>
  <c r="CD174"/>
  <c r="CC74"/>
  <c r="CD74"/>
  <c r="CD299"/>
  <c r="CC299"/>
  <c r="AY717"/>
  <c r="AZ717"/>
  <c r="BF717" s="1"/>
  <c r="BA717"/>
  <c r="BG717" s="1"/>
  <c r="BB717"/>
  <c r="BH717" s="1"/>
  <c r="BC717"/>
  <c r="BI717" s="1"/>
  <c r="AX717"/>
  <c r="AU717"/>
  <c r="AW717" s="1"/>
  <c r="BL717" s="1"/>
  <c r="AY460"/>
  <c r="AZ460"/>
  <c r="BF460" s="1"/>
  <c r="BA460"/>
  <c r="BG460" s="1"/>
  <c r="BB460"/>
  <c r="BH460" s="1"/>
  <c r="BC460"/>
  <c r="BI460" s="1"/>
  <c r="AU460"/>
  <c r="AW460" s="1"/>
  <c r="BL460" s="1"/>
  <c r="EQ185"/>
  <c r="AF185"/>
  <c r="H30" i="51061" s="1"/>
  <c r="AJ185" i="51055"/>
  <c r="AK727"/>
  <c r="L106" i="51061"/>
  <c r="AU141" i="51055"/>
  <c r="AW141" s="1"/>
  <c r="BL141" s="1"/>
  <c r="AY141"/>
  <c r="AZ141"/>
  <c r="BF141" s="1"/>
  <c r="BA141"/>
  <c r="BG141" s="1"/>
  <c r="BB141"/>
  <c r="BH141" s="1"/>
  <c r="BC141"/>
  <c r="BI141" s="1"/>
  <c r="Z44"/>
  <c r="EQ43"/>
  <c r="E8" i="51061"/>
  <c r="AC742" i="51055"/>
  <c r="AX52"/>
  <c r="AY52"/>
  <c r="AZ52"/>
  <c r="BF52" s="1"/>
  <c r="BA52"/>
  <c r="BG52" s="1"/>
  <c r="BB52"/>
  <c r="BH52" s="1"/>
  <c r="BC52"/>
  <c r="BI52" s="1"/>
  <c r="AU52"/>
  <c r="AU32"/>
  <c r="AW32" s="1"/>
  <c r="BL32" s="1"/>
  <c r="AY32"/>
  <c r="AZ32"/>
  <c r="BF32" s="1"/>
  <c r="BA32"/>
  <c r="BG32" s="1"/>
  <c r="BB32"/>
  <c r="BH32" s="1"/>
  <c r="BC32"/>
  <c r="BI32" s="1"/>
  <c r="AX32"/>
  <c r="AU48"/>
  <c r="AW48" s="1"/>
  <c r="BL48" s="1"/>
  <c r="AY48"/>
  <c r="AZ48"/>
  <c r="BF48" s="1"/>
  <c r="BA48"/>
  <c r="BG48" s="1"/>
  <c r="BB48"/>
  <c r="BH48" s="1"/>
  <c r="BC48"/>
  <c r="BI48" s="1"/>
  <c r="AK100"/>
  <c r="L19" i="51061"/>
  <c r="EQ428" i="51055"/>
  <c r="AF428"/>
  <c r="AJ428"/>
  <c r="AK428" s="1"/>
  <c r="EQ453"/>
  <c r="AF453"/>
  <c r="H70" i="51061" s="1"/>
  <c r="AJ453" i="51055"/>
  <c r="AU19"/>
  <c r="AW19" s="1"/>
  <c r="BL19" s="1"/>
  <c r="AY19"/>
  <c r="AZ19"/>
  <c r="BF19" s="1"/>
  <c r="BA19"/>
  <c r="BG19" s="1"/>
  <c r="BB19"/>
  <c r="BH19" s="1"/>
  <c r="BC19"/>
  <c r="BI19" s="1"/>
  <c r="AX19"/>
  <c r="BC76"/>
  <c r="BI76" s="1"/>
  <c r="BA76"/>
  <c r="BG76" s="1"/>
  <c r="AY76"/>
  <c r="AU76"/>
  <c r="AW76" s="1"/>
  <c r="BL76" s="1"/>
  <c r="BB76"/>
  <c r="BH76" s="1"/>
  <c r="AZ76"/>
  <c r="BF76" s="1"/>
  <c r="BP89"/>
  <c r="BR89" s="1"/>
  <c r="AK73"/>
  <c r="L15" i="51061"/>
  <c r="BD105" i="51055"/>
  <c r="BE105"/>
  <c r="BP109"/>
  <c r="BR109" s="1"/>
  <c r="AK196"/>
  <c r="L34" i="51061"/>
  <c r="AK224" i="51055"/>
  <c r="L39" i="51061"/>
  <c r="BP101" i="51055"/>
  <c r="BR101" s="1"/>
  <c r="BD130"/>
  <c r="BE130"/>
  <c r="BP148"/>
  <c r="BR148" s="1"/>
  <c r="AY151"/>
  <c r="AZ151"/>
  <c r="BF151" s="1"/>
  <c r="BA151"/>
  <c r="BG151" s="1"/>
  <c r="BB151"/>
  <c r="BH151" s="1"/>
  <c r="BC151"/>
  <c r="BI151" s="1"/>
  <c r="AU151"/>
  <c r="BP178"/>
  <c r="BR178" s="1"/>
  <c r="CC425"/>
  <c r="CD425"/>
  <c r="AY410"/>
  <c r="AZ410"/>
  <c r="BF410" s="1"/>
  <c r="BA410"/>
  <c r="BG410" s="1"/>
  <c r="BB410"/>
  <c r="BH410" s="1"/>
  <c r="BC410"/>
  <c r="BI410" s="1"/>
  <c r="AX410"/>
  <c r="AU410"/>
  <c r="AW410" s="1"/>
  <c r="BL410" s="1"/>
  <c r="AK260"/>
  <c r="L44" i="51061"/>
  <c r="AK409" i="51055"/>
  <c r="L63" i="51061"/>
  <c r="BP217" i="51055"/>
  <c r="BR217" s="1"/>
  <c r="BD217"/>
  <c r="BE217"/>
  <c r="AY261"/>
  <c r="AZ261"/>
  <c r="BF261" s="1"/>
  <c r="BA261"/>
  <c r="BG261" s="1"/>
  <c r="BB261"/>
  <c r="BH261" s="1"/>
  <c r="BC261"/>
  <c r="BI261" s="1"/>
  <c r="AX261"/>
  <c r="AU261"/>
  <c r="AW261" s="1"/>
  <c r="BL261" s="1"/>
  <c r="AY323"/>
  <c r="AZ323"/>
  <c r="BF323" s="1"/>
  <c r="BA323"/>
  <c r="BG323" s="1"/>
  <c r="BB323"/>
  <c r="BH323" s="1"/>
  <c r="BC323"/>
  <c r="BI323" s="1"/>
  <c r="AU323"/>
  <c r="AW323" s="1"/>
  <c r="BL323" s="1"/>
  <c r="AK324"/>
  <c r="L50" i="51061"/>
  <c r="AU472" i="51055"/>
  <c r="AW472" s="1"/>
  <c r="BL472" s="1"/>
  <c r="AY472"/>
  <c r="AZ472"/>
  <c r="BF472" s="1"/>
  <c r="BA472"/>
  <c r="BG472" s="1"/>
  <c r="BB472"/>
  <c r="BH472" s="1"/>
  <c r="BC472"/>
  <c r="BI472" s="1"/>
  <c r="AX472"/>
  <c r="AK495"/>
  <c r="L76" i="51061"/>
  <c r="AU518" i="51055"/>
  <c r="AW518" s="1"/>
  <c r="BL518" s="1"/>
  <c r="AY518"/>
  <c r="AZ518"/>
  <c r="BF518" s="1"/>
  <c r="BA518"/>
  <c r="BG518" s="1"/>
  <c r="BB518"/>
  <c r="BH518" s="1"/>
  <c r="BC518"/>
  <c r="BI518" s="1"/>
  <c r="AX518"/>
  <c r="AU545"/>
  <c r="AW545" s="1"/>
  <c r="BL545" s="1"/>
  <c r="AY545"/>
  <c r="AZ545"/>
  <c r="BF545" s="1"/>
  <c r="BA545"/>
  <c r="BG545" s="1"/>
  <c r="BB545"/>
  <c r="BH545" s="1"/>
  <c r="BC545"/>
  <c r="BI545" s="1"/>
  <c r="AX545"/>
  <c r="AU559"/>
  <c r="AW559" s="1"/>
  <c r="BL559" s="1"/>
  <c r="AY559"/>
  <c r="AZ559"/>
  <c r="BF559" s="1"/>
  <c r="BA559"/>
  <c r="BG559" s="1"/>
  <c r="BB559"/>
  <c r="BH559" s="1"/>
  <c r="BC559"/>
  <c r="BI559" s="1"/>
  <c r="AX559"/>
  <c r="AU573"/>
  <c r="AW573" s="1"/>
  <c r="BL573" s="1"/>
  <c r="AY573"/>
  <c r="AZ573"/>
  <c r="BF573" s="1"/>
  <c r="BA573"/>
  <c r="BG573" s="1"/>
  <c r="BB573"/>
  <c r="BH573" s="1"/>
  <c r="BC573"/>
  <c r="BI573" s="1"/>
  <c r="AX573"/>
  <c r="AU594"/>
  <c r="AW594" s="1"/>
  <c r="BL594" s="1"/>
  <c r="AY594"/>
  <c r="AZ594"/>
  <c r="BF594" s="1"/>
  <c r="BA594"/>
  <c r="BG594" s="1"/>
  <c r="BB594"/>
  <c r="BH594" s="1"/>
  <c r="BC594"/>
  <c r="BI594" s="1"/>
  <c r="AX594"/>
  <c r="AK735"/>
  <c r="L108" i="51061"/>
  <c r="AY613" i="51055"/>
  <c r="AZ613"/>
  <c r="BF613" s="1"/>
  <c r="BA613"/>
  <c r="BG613" s="1"/>
  <c r="BB613"/>
  <c r="BH613" s="1"/>
  <c r="BC613"/>
  <c r="BI613" s="1"/>
  <c r="AX613"/>
  <c r="AU613"/>
  <c r="AW613" s="1"/>
  <c r="BL613" s="1"/>
  <c r="AY671"/>
  <c r="AZ671"/>
  <c r="BF671" s="1"/>
  <c r="BA671"/>
  <c r="BG671" s="1"/>
  <c r="BB671"/>
  <c r="BH671" s="1"/>
  <c r="BC671"/>
  <c r="BI671" s="1"/>
  <c r="AU671"/>
  <c r="AW671" s="1"/>
  <c r="BL671" s="1"/>
  <c r="BP419"/>
  <c r="BR419" s="1"/>
  <c r="BD416"/>
  <c r="BE416"/>
  <c r="AU481"/>
  <c r="AW481" s="1"/>
  <c r="BL481" s="1"/>
  <c r="AY481"/>
  <c r="AZ481"/>
  <c r="BF481" s="1"/>
  <c r="BA481"/>
  <c r="BG481" s="1"/>
  <c r="BB481"/>
  <c r="BH481" s="1"/>
  <c r="BC481"/>
  <c r="BI481" s="1"/>
  <c r="AX481"/>
  <c r="AK519"/>
  <c r="L78" i="51061"/>
  <c r="AU553" i="51055"/>
  <c r="AW553" s="1"/>
  <c r="BL553" s="1"/>
  <c r="AY553"/>
  <c r="AZ553"/>
  <c r="BF553" s="1"/>
  <c r="BA553"/>
  <c r="BG553" s="1"/>
  <c r="BB553"/>
  <c r="BH553" s="1"/>
  <c r="BC553"/>
  <c r="BI553" s="1"/>
  <c r="AX553"/>
  <c r="AU597"/>
  <c r="AW597" s="1"/>
  <c r="BL597" s="1"/>
  <c r="AY597"/>
  <c r="AZ597"/>
  <c r="BF597" s="1"/>
  <c r="BA597"/>
  <c r="BG597" s="1"/>
  <c r="BB597"/>
  <c r="BH597" s="1"/>
  <c r="BC597"/>
  <c r="BI597" s="1"/>
  <c r="AX597"/>
  <c r="AK654"/>
  <c r="L95" i="51061"/>
  <c r="AK682" i="51055"/>
  <c r="L98" i="51061"/>
  <c r="AY725" i="51055"/>
  <c r="AZ725"/>
  <c r="BF725" s="1"/>
  <c r="BA725"/>
  <c r="BG725" s="1"/>
  <c r="BB725"/>
  <c r="BH725" s="1"/>
  <c r="BC725"/>
  <c r="BI725" s="1"/>
  <c r="AX725"/>
  <c r="AU725"/>
  <c r="AW725" s="1"/>
  <c r="BL725" s="1"/>
  <c r="BD738"/>
  <c r="BE738"/>
  <c r="AY558"/>
  <c r="AZ558"/>
  <c r="BF558" s="1"/>
  <c r="BA558"/>
  <c r="BG558" s="1"/>
  <c r="BB558"/>
  <c r="BH558" s="1"/>
  <c r="BC558"/>
  <c r="BI558" s="1"/>
  <c r="AU558"/>
  <c r="AW558" s="1"/>
  <c r="BL558" s="1"/>
  <c r="AU521"/>
  <c r="AW521" s="1"/>
  <c r="BL521" s="1"/>
  <c r="AY521"/>
  <c r="AZ521"/>
  <c r="BF521" s="1"/>
  <c r="BA521"/>
  <c r="BG521" s="1"/>
  <c r="BB521"/>
  <c r="BH521" s="1"/>
  <c r="BC521"/>
  <c r="BI521" s="1"/>
  <c r="AX521"/>
  <c r="AU543"/>
  <c r="AW543" s="1"/>
  <c r="BL543" s="1"/>
  <c r="AY543"/>
  <c r="AZ543"/>
  <c r="BF543" s="1"/>
  <c r="BA543"/>
  <c r="BG543" s="1"/>
  <c r="BB543"/>
  <c r="BH543" s="1"/>
  <c r="BC543"/>
  <c r="BI543" s="1"/>
  <c r="AX543"/>
  <c r="AU564"/>
  <c r="AW564" s="1"/>
  <c r="BL564" s="1"/>
  <c r="AY564"/>
  <c r="AZ564"/>
  <c r="BF564" s="1"/>
  <c r="BA564"/>
  <c r="BG564" s="1"/>
  <c r="BB564"/>
  <c r="BH564" s="1"/>
  <c r="BC564"/>
  <c r="BI564" s="1"/>
  <c r="AX564"/>
  <c r="AK569"/>
  <c r="L84" i="51061"/>
  <c r="AU599" i="51055"/>
  <c r="AW599" s="1"/>
  <c r="BL599" s="1"/>
  <c r="AY599"/>
  <c r="AZ599"/>
  <c r="BF599" s="1"/>
  <c r="BA599"/>
  <c r="BG599" s="1"/>
  <c r="BB599"/>
  <c r="BH599" s="1"/>
  <c r="BC599"/>
  <c r="BI599" s="1"/>
  <c r="AX599"/>
  <c r="AK623"/>
  <c r="L90" i="51061"/>
  <c r="AY728" i="51055"/>
  <c r="AZ728"/>
  <c r="BF728" s="1"/>
  <c r="BA728"/>
  <c r="BG728" s="1"/>
  <c r="BB728"/>
  <c r="BH728" s="1"/>
  <c r="BC728"/>
  <c r="BI728" s="1"/>
  <c r="AX728"/>
  <c r="AU728"/>
  <c r="AW728" s="1"/>
  <c r="BL728" s="1"/>
  <c r="AY548"/>
  <c r="AZ548"/>
  <c r="BF548" s="1"/>
  <c r="BA548"/>
  <c r="BG548" s="1"/>
  <c r="BB548"/>
  <c r="BH548" s="1"/>
  <c r="BC548"/>
  <c r="BI548" s="1"/>
  <c r="AX548"/>
  <c r="M82" i="51061"/>
  <c r="AU548" i="51055"/>
  <c r="AY24"/>
  <c r="AZ24"/>
  <c r="BF24" s="1"/>
  <c r="BA24"/>
  <c r="BG24" s="1"/>
  <c r="BB24"/>
  <c r="BH24" s="1"/>
  <c r="BC24"/>
  <c r="BI24" s="1"/>
  <c r="AU24"/>
  <c r="AW24" s="1"/>
  <c r="BL24" s="1"/>
  <c r="AY346"/>
  <c r="AZ346"/>
  <c r="BF346" s="1"/>
  <c r="BA346"/>
  <c r="BG346" s="1"/>
  <c r="BB346"/>
  <c r="BH346" s="1"/>
  <c r="BC346"/>
  <c r="BI346" s="1"/>
  <c r="AX346"/>
  <c r="AU346"/>
  <c r="AW346" s="1"/>
  <c r="BL346" s="1"/>
  <c r="AY465"/>
  <c r="AZ465"/>
  <c r="BF465" s="1"/>
  <c r="BA465"/>
  <c r="BG465" s="1"/>
  <c r="BB465"/>
  <c r="BH465" s="1"/>
  <c r="BC465"/>
  <c r="BI465" s="1"/>
  <c r="AX465"/>
  <c r="AU465"/>
  <c r="AW465" s="1"/>
  <c r="BL465" s="1"/>
  <c r="AY491"/>
  <c r="AZ491"/>
  <c r="BF491" s="1"/>
  <c r="BA491"/>
  <c r="BG491" s="1"/>
  <c r="BB491"/>
  <c r="BH491" s="1"/>
  <c r="BC491"/>
  <c r="BI491" s="1"/>
  <c r="AU491"/>
  <c r="AW491" s="1"/>
  <c r="BL491" s="1"/>
  <c r="AY482"/>
  <c r="AZ482"/>
  <c r="BF482" s="1"/>
  <c r="BA482"/>
  <c r="BG482" s="1"/>
  <c r="BB482"/>
  <c r="BH482" s="1"/>
  <c r="BC482"/>
  <c r="BI482" s="1"/>
  <c r="AX482"/>
  <c r="AU482"/>
  <c r="AW482" s="1"/>
  <c r="BL482" s="1"/>
  <c r="AY604"/>
  <c r="AZ604"/>
  <c r="BF604" s="1"/>
  <c r="BA604"/>
  <c r="BG604" s="1"/>
  <c r="BB604"/>
  <c r="BH604" s="1"/>
  <c r="BC604"/>
  <c r="BI604" s="1"/>
  <c r="AX604"/>
  <c r="AU604"/>
  <c r="AW604" s="1"/>
  <c r="BL604" s="1"/>
  <c r="AY445"/>
  <c r="AZ445"/>
  <c r="BF445" s="1"/>
  <c r="BA445"/>
  <c r="BG445" s="1"/>
  <c r="BB445"/>
  <c r="BH445" s="1"/>
  <c r="BC445"/>
  <c r="BI445" s="1"/>
  <c r="AX445"/>
  <c r="AU445"/>
  <c r="AW445" s="1"/>
  <c r="BL445" s="1"/>
  <c r="AY561"/>
  <c r="AZ561"/>
  <c r="BF561" s="1"/>
  <c r="BA561"/>
  <c r="BG561" s="1"/>
  <c r="BB561"/>
  <c r="BH561" s="1"/>
  <c r="BC561"/>
  <c r="BI561" s="1"/>
  <c r="AX561"/>
  <c r="AU561"/>
  <c r="AW561" s="1"/>
  <c r="BL561" s="1"/>
  <c r="AY581"/>
  <c r="AZ581"/>
  <c r="BF581" s="1"/>
  <c r="BA581"/>
  <c r="BG581" s="1"/>
  <c r="BB581"/>
  <c r="BH581" s="1"/>
  <c r="BC581"/>
  <c r="BI581" s="1"/>
  <c r="AX581"/>
  <c r="AU581"/>
  <c r="AW581" s="1"/>
  <c r="BL581" s="1"/>
  <c r="AY567"/>
  <c r="AZ567"/>
  <c r="BF567" s="1"/>
  <c r="BA567"/>
  <c r="BG567" s="1"/>
  <c r="BB567"/>
  <c r="BH567" s="1"/>
  <c r="BC567"/>
  <c r="BI567" s="1"/>
  <c r="AU567"/>
  <c r="AW567" s="1"/>
  <c r="BL567" s="1"/>
  <c r="AU694"/>
  <c r="AW694" s="1"/>
  <c r="BL694" s="1"/>
  <c r="AY694"/>
  <c r="AZ694"/>
  <c r="BF694" s="1"/>
  <c r="BA694"/>
  <c r="BG694" s="1"/>
  <c r="BB694"/>
  <c r="BH694" s="1"/>
  <c r="BC694"/>
  <c r="BI694" s="1"/>
  <c r="AX694"/>
  <c r="AY544"/>
  <c r="AZ544"/>
  <c r="BF544" s="1"/>
  <c r="BA544"/>
  <c r="BG544" s="1"/>
  <c r="BB544"/>
  <c r="BH544" s="1"/>
  <c r="BC544"/>
  <c r="BI544" s="1"/>
  <c r="AX544"/>
  <c r="AU544"/>
  <c r="AW544" s="1"/>
  <c r="BL544" s="1"/>
  <c r="AU541"/>
  <c r="AW541" s="1"/>
  <c r="BL541" s="1"/>
  <c r="AY541"/>
  <c r="AZ541"/>
  <c r="BF541" s="1"/>
  <c r="BA541"/>
  <c r="BG541" s="1"/>
  <c r="BB541"/>
  <c r="BH541" s="1"/>
  <c r="BC541"/>
  <c r="BI541" s="1"/>
  <c r="AX541"/>
  <c r="AU529"/>
  <c r="AW529" s="1"/>
  <c r="BL529" s="1"/>
  <c r="AX529"/>
  <c r="AY529"/>
  <c r="AZ529"/>
  <c r="BF529" s="1"/>
  <c r="BA529"/>
  <c r="BG529" s="1"/>
  <c r="BB529"/>
  <c r="BH529" s="1"/>
  <c r="BC529"/>
  <c r="BI529" s="1"/>
  <c r="AY505"/>
  <c r="AZ505"/>
  <c r="BF505" s="1"/>
  <c r="BA505"/>
  <c r="BG505" s="1"/>
  <c r="BB505"/>
  <c r="BH505" s="1"/>
  <c r="BC505"/>
  <c r="BI505" s="1"/>
  <c r="AU505"/>
  <c r="AW505" s="1"/>
  <c r="BL505" s="1"/>
  <c r="AX505"/>
  <c r="AU435"/>
  <c r="AW435" s="1"/>
  <c r="BL435" s="1"/>
  <c r="AY435"/>
  <c r="AZ435"/>
  <c r="BF435" s="1"/>
  <c r="BA435"/>
  <c r="BG435" s="1"/>
  <c r="BB435"/>
  <c r="BH435" s="1"/>
  <c r="BC435"/>
  <c r="BI435" s="1"/>
  <c r="AX435"/>
  <c r="AY373"/>
  <c r="AZ373"/>
  <c r="BF373" s="1"/>
  <c r="BA373"/>
  <c r="BG373" s="1"/>
  <c r="BB373"/>
  <c r="BH373" s="1"/>
  <c r="BC373"/>
  <c r="BI373" s="1"/>
  <c r="AX373"/>
  <c r="AU373"/>
  <c r="AW373" s="1"/>
  <c r="BL373" s="1"/>
  <c r="AY228"/>
  <c r="AZ228"/>
  <c r="BF228" s="1"/>
  <c r="BA228"/>
  <c r="BG228" s="1"/>
  <c r="BB228"/>
  <c r="BH228" s="1"/>
  <c r="BC228"/>
  <c r="BI228" s="1"/>
  <c r="AU228"/>
  <c r="AW228" s="1"/>
  <c r="BL228" s="1"/>
  <c r="AU50"/>
  <c r="AW50" s="1"/>
  <c r="BL50" s="1"/>
  <c r="AY50"/>
  <c r="AZ50"/>
  <c r="BF50" s="1"/>
  <c r="BA50"/>
  <c r="BG50" s="1"/>
  <c r="BB50"/>
  <c r="BH50" s="1"/>
  <c r="BC50"/>
  <c r="BI50" s="1"/>
  <c r="AK35"/>
  <c r="L11" i="51061"/>
  <c r="AU67" i="51055"/>
  <c r="AW67" s="1"/>
  <c r="BL67" s="1"/>
  <c r="AY67"/>
  <c r="AZ67"/>
  <c r="BF67" s="1"/>
  <c r="BA67"/>
  <c r="BG67" s="1"/>
  <c r="BB67"/>
  <c r="BH67" s="1"/>
  <c r="BC67"/>
  <c r="BI67" s="1"/>
  <c r="AX67"/>
  <c r="AY265"/>
  <c r="AZ265"/>
  <c r="BF265" s="1"/>
  <c r="BA265"/>
  <c r="BG265" s="1"/>
  <c r="BB265"/>
  <c r="BH265" s="1"/>
  <c r="BC265"/>
  <c r="BI265" s="1"/>
  <c r="AX265"/>
  <c r="AU265"/>
  <c r="AW265" s="1"/>
  <c r="BL265" s="1"/>
  <c r="AY285"/>
  <c r="AZ285"/>
  <c r="BF285" s="1"/>
  <c r="BA285"/>
  <c r="BG285" s="1"/>
  <c r="BB285"/>
  <c r="BH285" s="1"/>
  <c r="BC285"/>
  <c r="BI285" s="1"/>
  <c r="AX285"/>
  <c r="AU285"/>
  <c r="AY293"/>
  <c r="AZ293"/>
  <c r="BF293" s="1"/>
  <c r="BA293"/>
  <c r="BG293" s="1"/>
  <c r="BB293"/>
  <c r="BH293" s="1"/>
  <c r="BC293"/>
  <c r="BI293" s="1"/>
  <c r="AX293"/>
  <c r="AU293"/>
  <c r="AW293" s="1"/>
  <c r="BL293" s="1"/>
  <c r="AY331"/>
  <c r="AZ331"/>
  <c r="BF331" s="1"/>
  <c r="BA331"/>
  <c r="BG331" s="1"/>
  <c r="BB331"/>
  <c r="BH331" s="1"/>
  <c r="BC331"/>
  <c r="BI331" s="1"/>
  <c r="AU331"/>
  <c r="AW331" s="1"/>
  <c r="BL331" s="1"/>
  <c r="AY334"/>
  <c r="AZ334"/>
  <c r="BF334" s="1"/>
  <c r="BA334"/>
  <c r="BG334" s="1"/>
  <c r="BB334"/>
  <c r="BH334" s="1"/>
  <c r="BC334"/>
  <c r="BI334" s="1"/>
  <c r="AU334"/>
  <c r="AY338"/>
  <c r="AZ338"/>
  <c r="BF338" s="1"/>
  <c r="BA338"/>
  <c r="BG338" s="1"/>
  <c r="BB338"/>
  <c r="BH338" s="1"/>
  <c r="BC338"/>
  <c r="BI338" s="1"/>
  <c r="AU338"/>
  <c r="AW338" s="1"/>
  <c r="BL338" s="1"/>
  <c r="AY348"/>
  <c r="AZ348"/>
  <c r="BF348" s="1"/>
  <c r="BA348"/>
  <c r="BG348" s="1"/>
  <c r="BB348"/>
  <c r="BH348" s="1"/>
  <c r="BC348"/>
  <c r="BI348" s="1"/>
  <c r="AX348"/>
  <c r="AU348"/>
  <c r="AW348" s="1"/>
  <c r="BL348" s="1"/>
  <c r="AY355"/>
  <c r="AZ355"/>
  <c r="BF355" s="1"/>
  <c r="BA355"/>
  <c r="BG355" s="1"/>
  <c r="BB355"/>
  <c r="BH355" s="1"/>
  <c r="BC355"/>
  <c r="BI355" s="1"/>
  <c r="AU355"/>
  <c r="AW355" s="1"/>
  <c r="BL355" s="1"/>
  <c r="AY368"/>
  <c r="AZ368"/>
  <c r="BF368" s="1"/>
  <c r="BA368"/>
  <c r="BG368" s="1"/>
  <c r="BB368"/>
  <c r="BH368" s="1"/>
  <c r="BC368"/>
  <c r="BI368" s="1"/>
  <c r="AU368"/>
  <c r="AW368" s="1"/>
  <c r="BL368" s="1"/>
  <c r="AY405"/>
  <c r="AZ405"/>
  <c r="BF405" s="1"/>
  <c r="BA405"/>
  <c r="BG405" s="1"/>
  <c r="BB405"/>
  <c r="BH405" s="1"/>
  <c r="BC405"/>
  <c r="BI405" s="1"/>
  <c r="AX405"/>
  <c r="AU405"/>
  <c r="AW405" s="1"/>
  <c r="BL405" s="1"/>
  <c r="AU99"/>
  <c r="AW99" s="1"/>
  <c r="BL99" s="1"/>
  <c r="AY99"/>
  <c r="AZ99"/>
  <c r="BF99" s="1"/>
  <c r="BA99"/>
  <c r="BG99" s="1"/>
  <c r="BB99"/>
  <c r="BH99" s="1"/>
  <c r="BC99"/>
  <c r="BI99" s="1"/>
  <c r="AU123"/>
  <c r="AW123" s="1"/>
  <c r="BL123" s="1"/>
  <c r="AX123"/>
  <c r="AY123"/>
  <c r="AZ123"/>
  <c r="BF123" s="1"/>
  <c r="BA123"/>
  <c r="BG123" s="1"/>
  <c r="BB123"/>
  <c r="BH123" s="1"/>
  <c r="BC123"/>
  <c r="BI123" s="1"/>
  <c r="AU137"/>
  <c r="AW137" s="1"/>
  <c r="BL137" s="1"/>
  <c r="AY137"/>
  <c r="AZ137"/>
  <c r="BF137" s="1"/>
  <c r="BA137"/>
  <c r="BG137" s="1"/>
  <c r="BB137"/>
  <c r="BH137" s="1"/>
  <c r="BC137"/>
  <c r="BI137" s="1"/>
  <c r="BP93"/>
  <c r="BR93" s="1"/>
  <c r="AY27"/>
  <c r="AZ27"/>
  <c r="BF27" s="1"/>
  <c r="BA27"/>
  <c r="BG27" s="1"/>
  <c r="BB27"/>
  <c r="BH27" s="1"/>
  <c r="BC27"/>
  <c r="BI27" s="1"/>
  <c r="AU27"/>
  <c r="AY56"/>
  <c r="AZ56"/>
  <c r="BF56" s="1"/>
  <c r="BA56"/>
  <c r="BG56" s="1"/>
  <c r="BB56"/>
  <c r="BH56" s="1"/>
  <c r="BC56"/>
  <c r="BI56" s="1"/>
  <c r="AU56"/>
  <c r="AW56" s="1"/>
  <c r="BL56" s="1"/>
  <c r="AY85"/>
  <c r="AZ85"/>
  <c r="BF85" s="1"/>
  <c r="BA85"/>
  <c r="BG85" s="1"/>
  <c r="BB85"/>
  <c r="BH85" s="1"/>
  <c r="BC85"/>
  <c r="BI85" s="1"/>
  <c r="AU85"/>
  <c r="AW85" s="1"/>
  <c r="BL85" s="1"/>
  <c r="BD95"/>
  <c r="BE95"/>
  <c r="BP95"/>
  <c r="BR95" s="1"/>
  <c r="AK21"/>
  <c r="L9" i="51061"/>
  <c r="AK143" i="51055"/>
  <c r="L26" i="51061"/>
  <c r="AY45" i="51055"/>
  <c r="AZ45"/>
  <c r="BF45" s="1"/>
  <c r="BA45"/>
  <c r="BG45" s="1"/>
  <c r="BB45"/>
  <c r="BH45" s="1"/>
  <c r="BC45"/>
  <c r="BI45" s="1"/>
  <c r="AU45"/>
  <c r="AW45" s="1"/>
  <c r="BL45" s="1"/>
  <c r="BP225"/>
  <c r="BR225" s="1"/>
  <c r="AK134"/>
  <c r="L23" i="51061"/>
  <c r="AK192" i="51055"/>
  <c r="L32" i="51061"/>
  <c r="AY353" i="51055"/>
  <c r="AZ353"/>
  <c r="BF353" s="1"/>
  <c r="BA353"/>
  <c r="BG353" s="1"/>
  <c r="BB353"/>
  <c r="BH353" s="1"/>
  <c r="BC353"/>
  <c r="BI353" s="1"/>
  <c r="AU353"/>
  <c r="BP413"/>
  <c r="BR413" s="1"/>
  <c r="AU423"/>
  <c r="AY423"/>
  <c r="AZ423"/>
  <c r="BF423" s="1"/>
  <c r="BA423"/>
  <c r="BG423" s="1"/>
  <c r="BB423"/>
  <c r="BH423" s="1"/>
  <c r="BC423"/>
  <c r="BI423" s="1"/>
  <c r="AX423"/>
  <c r="M67" i="51061"/>
  <c r="AK372" i="51055"/>
  <c r="L58" i="51061"/>
  <c r="AK415" i="51055"/>
  <c r="L65" i="51061"/>
  <c r="AY527" i="51055"/>
  <c r="AZ527"/>
  <c r="BF527" s="1"/>
  <c r="BA527"/>
  <c r="BG527" s="1"/>
  <c r="BB527"/>
  <c r="BH527" s="1"/>
  <c r="BC527"/>
  <c r="BI527" s="1"/>
  <c r="M79" i="51061"/>
  <c r="AU527" i="51055"/>
  <c r="BD729"/>
  <c r="BE729"/>
  <c r="BS237"/>
  <c r="BU237" s="1"/>
  <c r="BV237" s="1"/>
  <c r="BP237"/>
  <c r="BR237" s="1"/>
  <c r="BD244"/>
  <c r="BE244"/>
  <c r="AK248"/>
  <c r="L43" i="51061"/>
  <c r="AY268" i="51055"/>
  <c r="AZ268"/>
  <c r="BF268" s="1"/>
  <c r="BA268"/>
  <c r="BG268" s="1"/>
  <c r="BB268"/>
  <c r="BH268" s="1"/>
  <c r="BC268"/>
  <c r="BI268" s="1"/>
  <c r="AU268"/>
  <c r="AW268" s="1"/>
  <c r="BL268" s="1"/>
  <c r="AY333"/>
  <c r="AZ333"/>
  <c r="BF333" s="1"/>
  <c r="BA333"/>
  <c r="BG333" s="1"/>
  <c r="BB333"/>
  <c r="BH333" s="1"/>
  <c r="BC333"/>
  <c r="BI333" s="1"/>
  <c r="AX333"/>
  <c r="AU333"/>
  <c r="AW333" s="1"/>
  <c r="BL333" s="1"/>
  <c r="AY622"/>
  <c r="AZ622"/>
  <c r="BF622" s="1"/>
  <c r="BA622"/>
  <c r="BG622" s="1"/>
  <c r="BB622"/>
  <c r="BH622" s="1"/>
  <c r="BC622"/>
  <c r="BI622" s="1"/>
  <c r="AX622"/>
  <c r="AU622"/>
  <c r="AY631"/>
  <c r="AZ631"/>
  <c r="BF631" s="1"/>
  <c r="BA631"/>
  <c r="BG631" s="1"/>
  <c r="BB631"/>
  <c r="BH631" s="1"/>
  <c r="BC631"/>
  <c r="BI631" s="1"/>
  <c r="AU631"/>
  <c r="AW631" s="1"/>
  <c r="BL631" s="1"/>
  <c r="AY653"/>
  <c r="AZ653"/>
  <c r="BF653" s="1"/>
  <c r="BA653"/>
  <c r="BG653" s="1"/>
  <c r="BB653"/>
  <c r="BH653" s="1"/>
  <c r="BC653"/>
  <c r="BI653" s="1"/>
  <c r="M95" i="51061"/>
  <c r="AU653" i="51055"/>
  <c r="AY657"/>
  <c r="AZ657"/>
  <c r="BF657" s="1"/>
  <c r="BA657"/>
  <c r="BG657" s="1"/>
  <c r="BB657"/>
  <c r="BH657" s="1"/>
  <c r="BC657"/>
  <c r="BI657" s="1"/>
  <c r="AX657"/>
  <c r="AU657"/>
  <c r="AW657" s="1"/>
  <c r="BL657" s="1"/>
  <c r="AY664"/>
  <c r="AZ664"/>
  <c r="BF664" s="1"/>
  <c r="BA664"/>
  <c r="BG664" s="1"/>
  <c r="BB664"/>
  <c r="BH664" s="1"/>
  <c r="BC664"/>
  <c r="BI664" s="1"/>
  <c r="AU664"/>
  <c r="AW664" s="1"/>
  <c r="BL664" s="1"/>
  <c r="AY674"/>
  <c r="AZ674"/>
  <c r="BF674" s="1"/>
  <c r="BA674"/>
  <c r="BG674" s="1"/>
  <c r="BB674"/>
  <c r="BH674" s="1"/>
  <c r="BC674"/>
  <c r="BI674" s="1"/>
  <c r="AX674"/>
  <c r="AU674"/>
  <c r="AY684"/>
  <c r="AZ684"/>
  <c r="BF684" s="1"/>
  <c r="BA684"/>
  <c r="BG684" s="1"/>
  <c r="BB684"/>
  <c r="BH684" s="1"/>
  <c r="BC684"/>
  <c r="BI684" s="1"/>
  <c r="AX684"/>
  <c r="AU684"/>
  <c r="AW684" s="1"/>
  <c r="BL684" s="1"/>
  <c r="AY693"/>
  <c r="AZ693"/>
  <c r="BF693" s="1"/>
  <c r="BA693"/>
  <c r="BG693" s="1"/>
  <c r="BB693"/>
  <c r="BH693" s="1"/>
  <c r="BC693"/>
  <c r="BI693" s="1"/>
  <c r="AU693"/>
  <c r="AW693" s="1"/>
  <c r="BL693" s="1"/>
  <c r="AY709"/>
  <c r="AZ709"/>
  <c r="BF709" s="1"/>
  <c r="BA709"/>
  <c r="BG709" s="1"/>
  <c r="BB709"/>
  <c r="BH709" s="1"/>
  <c r="BC709"/>
  <c r="BI709" s="1"/>
  <c r="AX709"/>
  <c r="AU709"/>
  <c r="AY713"/>
  <c r="AZ713"/>
  <c r="BF713" s="1"/>
  <c r="BA713"/>
  <c r="BG713" s="1"/>
  <c r="BB713"/>
  <c r="BH713" s="1"/>
  <c r="BC713"/>
  <c r="BI713" s="1"/>
  <c r="AX713"/>
  <c r="AU713"/>
  <c r="AW713" s="1"/>
  <c r="BL713" s="1"/>
  <c r="AY721"/>
  <c r="AZ721"/>
  <c r="BF721" s="1"/>
  <c r="BA721"/>
  <c r="BG721" s="1"/>
  <c r="BB721"/>
  <c r="BH721" s="1"/>
  <c r="BC721"/>
  <c r="BI721" s="1"/>
  <c r="AX721"/>
  <c r="AU721"/>
  <c r="AW721" s="1"/>
  <c r="BL721" s="1"/>
  <c r="AU252"/>
  <c r="AW252" s="1"/>
  <c r="BL252" s="1"/>
  <c r="AY252"/>
  <c r="AZ252"/>
  <c r="BF252" s="1"/>
  <c r="BA252"/>
  <c r="BG252" s="1"/>
  <c r="BB252"/>
  <c r="BH252" s="1"/>
  <c r="BC252"/>
  <c r="BI252" s="1"/>
  <c r="AX252"/>
  <c r="AK286"/>
  <c r="L46" i="51061"/>
  <c r="AK316" i="51055"/>
  <c r="L47" i="51061"/>
  <c r="AK360" i="51055"/>
  <c r="L56" i="51061"/>
  <c r="AY289" i="51055"/>
  <c r="AZ289"/>
  <c r="BF289" s="1"/>
  <c r="BA289"/>
  <c r="BG289" s="1"/>
  <c r="BB289"/>
  <c r="BH289" s="1"/>
  <c r="BC289"/>
  <c r="BI289" s="1"/>
  <c r="AX289"/>
  <c r="AU289"/>
  <c r="AW289" s="1"/>
  <c r="BL289" s="1"/>
  <c r="BP311"/>
  <c r="BR311" s="1"/>
  <c r="BD311"/>
  <c r="BE311"/>
  <c r="AY540"/>
  <c r="AZ540"/>
  <c r="BF540" s="1"/>
  <c r="BA540"/>
  <c r="BG540" s="1"/>
  <c r="BB540"/>
  <c r="BH540" s="1"/>
  <c r="BC540"/>
  <c r="BI540" s="1"/>
  <c r="AX540"/>
  <c r="M80" i="51061"/>
  <c r="AU540" i="51055"/>
  <c r="AU485"/>
  <c r="AW485" s="1"/>
  <c r="BL485" s="1"/>
  <c r="AY485"/>
  <c r="AZ485"/>
  <c r="BF485" s="1"/>
  <c r="BA485"/>
  <c r="BG485" s="1"/>
  <c r="BB485"/>
  <c r="BH485" s="1"/>
  <c r="BC485"/>
  <c r="BI485" s="1"/>
  <c r="AX485"/>
  <c r="AU509"/>
  <c r="AW509" s="1"/>
  <c r="BL509" s="1"/>
  <c r="AY509"/>
  <c r="AZ509"/>
  <c r="BF509" s="1"/>
  <c r="BA509"/>
  <c r="BG509" s="1"/>
  <c r="BB509"/>
  <c r="BH509" s="1"/>
  <c r="BC509"/>
  <c r="BI509" s="1"/>
  <c r="AX509"/>
  <c r="AU537"/>
  <c r="AW537" s="1"/>
  <c r="BL537" s="1"/>
  <c r="AY537"/>
  <c r="AZ537"/>
  <c r="BF537" s="1"/>
  <c r="BA537"/>
  <c r="BG537" s="1"/>
  <c r="BB537"/>
  <c r="BH537" s="1"/>
  <c r="BC537"/>
  <c r="BI537" s="1"/>
  <c r="AU547"/>
  <c r="AW547" s="1"/>
  <c r="BL547" s="1"/>
  <c r="AY547"/>
  <c r="AZ547"/>
  <c r="BF547" s="1"/>
  <c r="BA547"/>
  <c r="BG547" s="1"/>
  <c r="BB547"/>
  <c r="BH547" s="1"/>
  <c r="BC547"/>
  <c r="BI547" s="1"/>
  <c r="AX547"/>
  <c r="AU562"/>
  <c r="AW562" s="1"/>
  <c r="BL562" s="1"/>
  <c r="AY562"/>
  <c r="AZ562"/>
  <c r="BF562" s="1"/>
  <c r="BA562"/>
  <c r="BG562" s="1"/>
  <c r="BB562"/>
  <c r="BH562" s="1"/>
  <c r="BC562"/>
  <c r="BI562" s="1"/>
  <c r="AX562"/>
  <c r="AU575"/>
  <c r="AW575" s="1"/>
  <c r="BL575" s="1"/>
  <c r="AY575"/>
  <c r="AZ575"/>
  <c r="BF575" s="1"/>
  <c r="BA575"/>
  <c r="BG575" s="1"/>
  <c r="BB575"/>
  <c r="BH575" s="1"/>
  <c r="BC575"/>
  <c r="BI575" s="1"/>
  <c r="AX575"/>
  <c r="AU579"/>
  <c r="AW579" s="1"/>
  <c r="BL579" s="1"/>
  <c r="AY579"/>
  <c r="AZ579"/>
  <c r="BF579" s="1"/>
  <c r="BA579"/>
  <c r="BG579" s="1"/>
  <c r="BB579"/>
  <c r="BH579" s="1"/>
  <c r="BC579"/>
  <c r="BI579" s="1"/>
  <c r="AX579"/>
  <c r="AU584"/>
  <c r="AW584" s="1"/>
  <c r="BL584" s="1"/>
  <c r="AY584"/>
  <c r="AZ584"/>
  <c r="BF584" s="1"/>
  <c r="BA584"/>
  <c r="BG584" s="1"/>
  <c r="BB584"/>
  <c r="BH584" s="1"/>
  <c r="BC584"/>
  <c r="BI584" s="1"/>
  <c r="AX584"/>
  <c r="AU605"/>
  <c r="AW605" s="1"/>
  <c r="BL605" s="1"/>
  <c r="AY605"/>
  <c r="AZ605"/>
  <c r="BF605" s="1"/>
  <c r="BA605"/>
  <c r="BG605" s="1"/>
  <c r="BB605"/>
  <c r="BH605" s="1"/>
  <c r="BC605"/>
  <c r="BI605" s="1"/>
  <c r="AX605"/>
  <c r="AK641"/>
  <c r="L94" i="51061"/>
  <c r="AK701" i="51055"/>
  <c r="L101" i="51061"/>
  <c r="AY737" i="51055"/>
  <c r="AZ737"/>
  <c r="BF737" s="1"/>
  <c r="BA737"/>
  <c r="BG737" s="1"/>
  <c r="BB737"/>
  <c r="BH737" s="1"/>
  <c r="BC737"/>
  <c r="BI737" s="1"/>
  <c r="AX737"/>
  <c r="AU737"/>
  <c r="AW737" s="1"/>
  <c r="BL737" s="1"/>
  <c r="BV183"/>
  <c r="AY668"/>
  <c r="AZ668"/>
  <c r="BF668" s="1"/>
  <c r="BA668"/>
  <c r="BG668" s="1"/>
  <c r="BB668"/>
  <c r="BH668" s="1"/>
  <c r="BC668"/>
  <c r="BI668" s="1"/>
  <c r="AU668"/>
  <c r="AW668" s="1"/>
  <c r="BL668" s="1"/>
  <c r="AY469"/>
  <c r="AZ469"/>
  <c r="BF469" s="1"/>
  <c r="BA469"/>
  <c r="BG469" s="1"/>
  <c r="BB469"/>
  <c r="BH469" s="1"/>
  <c r="BC469"/>
  <c r="BI469" s="1"/>
  <c r="AX469"/>
  <c r="AU469"/>
  <c r="AW469" s="1"/>
  <c r="BL469" s="1"/>
  <c r="AY494"/>
  <c r="AZ494"/>
  <c r="BF494" s="1"/>
  <c r="BA494"/>
  <c r="BG494" s="1"/>
  <c r="BB494"/>
  <c r="BH494" s="1"/>
  <c r="BC494"/>
  <c r="BI494" s="1"/>
  <c r="AX494"/>
  <c r="AU494"/>
  <c r="AW494" s="1"/>
  <c r="BL494" s="1"/>
  <c r="AY511"/>
  <c r="AZ511"/>
  <c r="BF511" s="1"/>
  <c r="BA511"/>
  <c r="BG511" s="1"/>
  <c r="BB511"/>
  <c r="BH511" s="1"/>
  <c r="BC511"/>
  <c r="BI511" s="1"/>
  <c r="M77" i="51061"/>
  <c r="AU511" i="51055"/>
  <c r="AY515"/>
  <c r="AZ515"/>
  <c r="BF515" s="1"/>
  <c r="BA515"/>
  <c r="BG515" s="1"/>
  <c r="BB515"/>
  <c r="BH515" s="1"/>
  <c r="BC515"/>
  <c r="BI515" s="1"/>
  <c r="AX515"/>
  <c r="AU515"/>
  <c r="AW515" s="1"/>
  <c r="BL515" s="1"/>
  <c r="AY536"/>
  <c r="AZ536"/>
  <c r="BF536" s="1"/>
  <c r="BA536"/>
  <c r="BG536" s="1"/>
  <c r="BB536"/>
  <c r="BH536" s="1"/>
  <c r="BC536"/>
  <c r="BI536" s="1"/>
  <c r="AU536"/>
  <c r="AW536" s="1"/>
  <c r="BL536" s="1"/>
  <c r="AX536"/>
  <c r="AY598"/>
  <c r="AZ598"/>
  <c r="BF598" s="1"/>
  <c r="BA598"/>
  <c r="BG598" s="1"/>
  <c r="BB598"/>
  <c r="BH598" s="1"/>
  <c r="BC598"/>
  <c r="BI598" s="1"/>
  <c r="AX598"/>
  <c r="AU598"/>
  <c r="AW598" s="1"/>
  <c r="BL598" s="1"/>
  <c r="AU444"/>
  <c r="AW444" s="1"/>
  <c r="BL444" s="1"/>
  <c r="AY444"/>
  <c r="AZ444"/>
  <c r="BF444" s="1"/>
  <c r="BA444"/>
  <c r="BG444" s="1"/>
  <c r="BB444"/>
  <c r="BH444" s="1"/>
  <c r="BC444"/>
  <c r="BI444" s="1"/>
  <c r="AX444"/>
  <c r="AK473"/>
  <c r="L72" i="51061"/>
  <c r="AU479" i="51055"/>
  <c r="AW479" s="1"/>
  <c r="BL479" s="1"/>
  <c r="AY479"/>
  <c r="AZ479"/>
  <c r="BF479" s="1"/>
  <c r="BA479"/>
  <c r="BG479" s="1"/>
  <c r="BB479"/>
  <c r="BH479" s="1"/>
  <c r="BC479"/>
  <c r="BI479" s="1"/>
  <c r="AX479"/>
  <c r="AK486"/>
  <c r="L73" i="51061"/>
  <c r="BV461" i="51055"/>
  <c r="BV124"/>
  <c r="BV42"/>
  <c r="BP724"/>
  <c r="BR724" s="1"/>
  <c r="G31" i="51061"/>
  <c r="AK47" i="51055"/>
  <c r="AK122"/>
  <c r="G26" i="51061"/>
  <c r="G100"/>
  <c r="G52"/>
  <c r="G62"/>
  <c r="E81"/>
  <c r="G88"/>
  <c r="G91"/>
  <c r="G101"/>
  <c r="AK624" i="51055"/>
  <c r="H19" i="51061"/>
  <c r="AK127" i="51055"/>
  <c r="AK208"/>
  <c r="AK108"/>
  <c r="AK62"/>
  <c r="AK103"/>
  <c r="AK147"/>
  <c r="AK170"/>
  <c r="AK214"/>
  <c r="H15" i="51061"/>
  <c r="AX109" i="51055"/>
  <c r="AK117"/>
  <c r="AK164"/>
  <c r="AK172"/>
  <c r="AX148"/>
  <c r="L37" i="51061"/>
  <c r="AK422" i="51055"/>
  <c r="H67" i="51061"/>
  <c r="H44"/>
  <c r="AK367" i="51055"/>
  <c r="H63" i="51061"/>
  <c r="AK267" i="51055"/>
  <c r="AK318"/>
  <c r="H50" i="51061"/>
  <c r="AK344" i="51055"/>
  <c r="AK364"/>
  <c r="AK383"/>
  <c r="H59" i="51061"/>
  <c r="AK391" i="51055"/>
  <c r="L68" i="51061"/>
  <c r="AK275" i="51055"/>
  <c r="AK290"/>
  <c r="AK337"/>
  <c r="AK620"/>
  <c r="AK643"/>
  <c r="AK651"/>
  <c r="AK688"/>
  <c r="AK455"/>
  <c r="AK466"/>
  <c r="AK502"/>
  <c r="H78" i="51061"/>
  <c r="AK625" i="51055"/>
  <c r="AK663"/>
  <c r="H98" i="51061"/>
  <c r="AK704" i="51055"/>
  <c r="AK714"/>
  <c r="AK500"/>
  <c r="H80" i="51061"/>
  <c r="H84"/>
  <c r="H90"/>
  <c r="AK632" i="51055"/>
  <c r="AK661"/>
  <c r="H96" i="51061"/>
  <c r="AK718" i="51055"/>
  <c r="AX627"/>
  <c r="L96" i="51061"/>
  <c r="AK150" i="51055"/>
  <c r="AK204"/>
  <c r="G109" i="51061"/>
  <c r="AK614" i="51055"/>
  <c r="E33" i="51061"/>
  <c r="E55"/>
  <c r="AK611" i="51055"/>
  <c r="AK739"/>
  <c r="I114" i="51061"/>
  <c r="AG114" s="1"/>
  <c r="I112"/>
  <c r="AG112" s="1"/>
  <c r="G29"/>
  <c r="H11"/>
  <c r="AK200" i="51055"/>
  <c r="Y400"/>
  <c r="Y401" s="1"/>
  <c r="AE401" s="1"/>
  <c r="G61" i="51061" s="1"/>
  <c r="G66" s="1"/>
  <c r="AK273" i="51055"/>
  <c r="H45" i="51061"/>
  <c r="G21"/>
  <c r="H9"/>
  <c r="AK55" i="51055"/>
  <c r="AK90"/>
  <c r="BS242"/>
  <c r="BU242" s="1"/>
  <c r="BV242" s="1"/>
  <c r="AK104"/>
  <c r="H26" i="51061"/>
  <c r="AK154" i="51055"/>
  <c r="AK159"/>
  <c r="AK203"/>
  <c r="H36" i="51061"/>
  <c r="H42" s="1"/>
  <c r="AK71" i="51055"/>
  <c r="BS91"/>
  <c r="BU91" s="1"/>
  <c r="BV91" s="1"/>
  <c r="AX225"/>
  <c r="AK102"/>
  <c r="H23" i="51061"/>
  <c r="AK162" i="51055"/>
  <c r="AK187"/>
  <c r="AK181"/>
  <c r="H32" i="51061"/>
  <c r="AK222" i="51055"/>
  <c r="AK238"/>
  <c r="G44" i="51061"/>
  <c r="G58"/>
  <c r="AX396" i="51055"/>
  <c r="BS421"/>
  <c r="BU421" s="1"/>
  <c r="BV421" s="1"/>
  <c r="BS431"/>
  <c r="BU431" s="1"/>
  <c r="BV431" s="1"/>
  <c r="AK411"/>
  <c r="AK417"/>
  <c r="AK266"/>
  <c r="AK349"/>
  <c r="H58" i="51061"/>
  <c r="AK412" i="51055"/>
  <c r="H65" i="51061"/>
  <c r="AX379" i="51055"/>
  <c r="H43" i="51061"/>
  <c r="AK236" i="51055"/>
  <c r="AK247"/>
  <c r="H46" i="51061"/>
  <c r="AK294" i="51055"/>
  <c r="H47" i="51061"/>
  <c r="AK306" i="51055"/>
  <c r="AK342"/>
  <c r="H56" i="51061"/>
  <c r="H60" s="1"/>
  <c r="AK374" i="51055"/>
  <c r="AK385"/>
  <c r="AK393"/>
  <c r="AK408"/>
  <c r="AK277"/>
  <c r="AK330"/>
  <c r="AK339"/>
  <c r="AK380"/>
  <c r="BS239"/>
  <c r="BU239" s="1"/>
  <c r="BV239" s="1"/>
  <c r="L107" i="51061"/>
  <c r="AK618" i="51055"/>
  <c r="H94" i="51061"/>
  <c r="H99" s="1"/>
  <c r="AK649" i="51055"/>
  <c r="AK672"/>
  <c r="H101" i="51061"/>
  <c r="AK464" i="51055"/>
  <c r="H72" i="51061"/>
  <c r="H73"/>
  <c r="AK677" i="51055"/>
  <c r="M97" i="51061" s="1"/>
  <c r="AK692" i="51055"/>
  <c r="AK712"/>
  <c r="M104" i="51061" s="1"/>
  <c r="M105" s="1"/>
  <c r="AK636" i="51055"/>
  <c r="AK686"/>
  <c r="AU736" l="1"/>
  <c r="AW736" s="1"/>
  <c r="BL736" s="1"/>
  <c r="BP736" s="1"/>
  <c r="BR736" s="1"/>
  <c r="AZ736"/>
  <c r="BF736" s="1"/>
  <c r="BB736"/>
  <c r="BH736" s="1"/>
  <c r="AX736"/>
  <c r="AY736"/>
  <c r="BA736"/>
  <c r="BG736" s="1"/>
  <c r="BC736"/>
  <c r="BI736" s="1"/>
  <c r="AY642"/>
  <c r="BA642"/>
  <c r="BG642" s="1"/>
  <c r="BC642"/>
  <c r="BI642" s="1"/>
  <c r="AU642"/>
  <c r="AW642" s="1"/>
  <c r="BL642" s="1"/>
  <c r="AZ642"/>
  <c r="BF642" s="1"/>
  <c r="BB642"/>
  <c r="BH642" s="1"/>
  <c r="AZ329"/>
  <c r="BF329" s="1"/>
  <c r="BB329"/>
  <c r="BH329" s="1"/>
  <c r="AU329"/>
  <c r="AW329" s="1"/>
  <c r="AY329"/>
  <c r="BA329"/>
  <c r="BG329" s="1"/>
  <c r="BC329"/>
  <c r="BI329" s="1"/>
  <c r="AY407"/>
  <c r="BA407"/>
  <c r="BG407" s="1"/>
  <c r="BC407"/>
  <c r="BI407" s="1"/>
  <c r="AU407"/>
  <c r="AW407" s="1"/>
  <c r="BL407" s="1"/>
  <c r="BP407" s="1"/>
  <c r="BR407" s="1"/>
  <c r="BB407"/>
  <c r="BH407" s="1"/>
  <c r="AZ407"/>
  <c r="BF407" s="1"/>
  <c r="AX407"/>
  <c r="AZ250"/>
  <c r="BF250" s="1"/>
  <c r="BB250"/>
  <c r="BH250" s="1"/>
  <c r="AU250"/>
  <c r="AW250" s="1"/>
  <c r="AY250"/>
  <c r="BC250"/>
  <c r="BI250" s="1"/>
  <c r="BA250"/>
  <c r="BG250" s="1"/>
  <c r="AZ291"/>
  <c r="BF291" s="1"/>
  <c r="BB291"/>
  <c r="BH291" s="1"/>
  <c r="AX291"/>
  <c r="BA291"/>
  <c r="BG291" s="1"/>
  <c r="AU291"/>
  <c r="AW291" s="1"/>
  <c r="BL291" s="1"/>
  <c r="BP291" s="1"/>
  <c r="BR291" s="1"/>
  <c r="AY291"/>
  <c r="BC291"/>
  <c r="BI291" s="1"/>
  <c r="AZ343"/>
  <c r="BF343" s="1"/>
  <c r="BB343"/>
  <c r="BH343" s="1"/>
  <c r="AX343"/>
  <c r="AY343"/>
  <c r="BA343"/>
  <c r="BG343" s="1"/>
  <c r="BC343"/>
  <c r="BI343" s="1"/>
  <c r="AU343"/>
  <c r="AW343" s="1"/>
  <c r="BL343" s="1"/>
  <c r="AZ471"/>
  <c r="BF471" s="1"/>
  <c r="BB471"/>
  <c r="BH471" s="1"/>
  <c r="AU471"/>
  <c r="AW471" s="1"/>
  <c r="AY471"/>
  <c r="BA471"/>
  <c r="BG471" s="1"/>
  <c r="BC471"/>
  <c r="BI471" s="1"/>
  <c r="AY680"/>
  <c r="BA680"/>
  <c r="BG680" s="1"/>
  <c r="BC680"/>
  <c r="BI680" s="1"/>
  <c r="AZ680"/>
  <c r="BF680" s="1"/>
  <c r="BB680"/>
  <c r="BH680" s="1"/>
  <c r="AU680"/>
  <c r="AW680" s="1"/>
  <c r="AZ325"/>
  <c r="BF325" s="1"/>
  <c r="BB325"/>
  <c r="BH325" s="1"/>
  <c r="AX325"/>
  <c r="BA325"/>
  <c r="BG325" s="1"/>
  <c r="AU325"/>
  <c r="AW325" s="1"/>
  <c r="BL325" s="1"/>
  <c r="BP325" s="1"/>
  <c r="BR325" s="1"/>
  <c r="AY325"/>
  <c r="BC325"/>
  <c r="BI325" s="1"/>
  <c r="AY363"/>
  <c r="BA363"/>
  <c r="BG363" s="1"/>
  <c r="BC363"/>
  <c r="BI363" s="1"/>
  <c r="AZ363"/>
  <c r="BF363" s="1"/>
  <c r="BB363"/>
  <c r="BH363" s="1"/>
  <c r="AU363"/>
  <c r="AW363" s="1"/>
  <c r="AY341"/>
  <c r="BA341"/>
  <c r="BG341" s="1"/>
  <c r="BC341"/>
  <c r="BI341" s="1"/>
  <c r="AU341"/>
  <c r="AW341" s="1"/>
  <c r="BL341" s="1"/>
  <c r="AZ341"/>
  <c r="BF341" s="1"/>
  <c r="AX341"/>
  <c r="BB341"/>
  <c r="BH341" s="1"/>
  <c r="AY589"/>
  <c r="BA589"/>
  <c r="BG589" s="1"/>
  <c r="BC589"/>
  <c r="BI589" s="1"/>
  <c r="AZ589"/>
  <c r="BF589" s="1"/>
  <c r="BB589"/>
  <c r="BH589" s="1"/>
  <c r="AU589"/>
  <c r="AW589" s="1"/>
  <c r="AY501"/>
  <c r="BA501"/>
  <c r="BG501" s="1"/>
  <c r="BC501"/>
  <c r="BI501" s="1"/>
  <c r="AU501"/>
  <c r="AW501" s="1"/>
  <c r="BL501" s="1"/>
  <c r="AZ501"/>
  <c r="BF501" s="1"/>
  <c r="BB501"/>
  <c r="BH501" s="1"/>
  <c r="AX501"/>
  <c r="AY436"/>
  <c r="BA436"/>
  <c r="BG436" s="1"/>
  <c r="BC436"/>
  <c r="BI436" s="1"/>
  <c r="AU436"/>
  <c r="AW436" s="1"/>
  <c r="BL436" s="1"/>
  <c r="BP436" s="1"/>
  <c r="BR436" s="1"/>
  <c r="AZ436"/>
  <c r="BF436" s="1"/>
  <c r="BB436"/>
  <c r="BH436" s="1"/>
  <c r="AZ591"/>
  <c r="BF591" s="1"/>
  <c r="BB591"/>
  <c r="BH591" s="1"/>
  <c r="AY591"/>
  <c r="BC591"/>
  <c r="BI591" s="1"/>
  <c r="BA591"/>
  <c r="BG591" s="1"/>
  <c r="AU591"/>
  <c r="AW591" s="1"/>
  <c r="BL591" s="1"/>
  <c r="BP591" s="1"/>
  <c r="BR591" s="1"/>
  <c r="AY583"/>
  <c r="BA583"/>
  <c r="BG583" s="1"/>
  <c r="BC583"/>
  <c r="BI583" s="1"/>
  <c r="AU583"/>
  <c r="AW583" s="1"/>
  <c r="BL583" s="1"/>
  <c r="AZ583"/>
  <c r="BF583" s="1"/>
  <c r="BB583"/>
  <c r="BH583" s="1"/>
  <c r="AX583"/>
  <c r="AZ574"/>
  <c r="BF574" s="1"/>
  <c r="BB574"/>
  <c r="BH574" s="1"/>
  <c r="AX574"/>
  <c r="AY574"/>
  <c r="BA574"/>
  <c r="BG574" s="1"/>
  <c r="BC574"/>
  <c r="BI574" s="1"/>
  <c r="AU574"/>
  <c r="AW574" s="1"/>
  <c r="BL574" s="1"/>
  <c r="AZ565"/>
  <c r="BF565" s="1"/>
  <c r="BB565"/>
  <c r="BH565" s="1"/>
  <c r="AX565"/>
  <c r="AY565"/>
  <c r="BA565"/>
  <c r="BG565" s="1"/>
  <c r="BC565"/>
  <c r="BI565" s="1"/>
  <c r="AU565"/>
  <c r="AW565" s="1"/>
  <c r="BL565" s="1"/>
  <c r="BP565" s="1"/>
  <c r="BR565" s="1"/>
  <c r="AZ546"/>
  <c r="BF546" s="1"/>
  <c r="BB546"/>
  <c r="BH546" s="1"/>
  <c r="AU546"/>
  <c r="AW546" s="1"/>
  <c r="AY546"/>
  <c r="BA546"/>
  <c r="BG546" s="1"/>
  <c r="BC546"/>
  <c r="BI546" s="1"/>
  <c r="AZ530"/>
  <c r="BF530" s="1"/>
  <c r="BB530"/>
  <c r="BH530" s="1"/>
  <c r="AU530"/>
  <c r="AW530" s="1"/>
  <c r="BL530" s="1"/>
  <c r="BP530" s="1"/>
  <c r="BR530" s="1"/>
  <c r="AY530"/>
  <c r="BA530"/>
  <c r="BG530" s="1"/>
  <c r="BC530"/>
  <c r="BI530" s="1"/>
  <c r="AX530"/>
  <c r="AY522"/>
  <c r="BA522"/>
  <c r="BG522" s="1"/>
  <c r="BC522"/>
  <c r="BI522" s="1"/>
  <c r="AU522"/>
  <c r="AW522" s="1"/>
  <c r="BL522" s="1"/>
  <c r="AZ522"/>
  <c r="BF522" s="1"/>
  <c r="AX522"/>
  <c r="BB522"/>
  <c r="BH522" s="1"/>
  <c r="AZ476"/>
  <c r="BF476" s="1"/>
  <c r="BB476"/>
  <c r="BH476" s="1"/>
  <c r="AX476"/>
  <c r="AY476"/>
  <c r="BA476"/>
  <c r="BG476" s="1"/>
  <c r="BC476"/>
  <c r="BI476" s="1"/>
  <c r="AU476"/>
  <c r="AW476" s="1"/>
  <c r="BL476" s="1"/>
  <c r="AY467"/>
  <c r="BA467"/>
  <c r="BG467" s="1"/>
  <c r="BC467"/>
  <c r="BI467" s="1"/>
  <c r="AU467"/>
  <c r="AW467" s="1"/>
  <c r="BL467" s="1"/>
  <c r="BB467"/>
  <c r="BH467" s="1"/>
  <c r="AZ467"/>
  <c r="BF467" s="1"/>
  <c r="AX467"/>
  <c r="AZ456"/>
  <c r="BF456" s="1"/>
  <c r="BB456"/>
  <c r="BH456" s="1"/>
  <c r="AX456"/>
  <c r="AY456"/>
  <c r="BC456"/>
  <c r="BI456" s="1"/>
  <c r="BA456"/>
  <c r="BG456" s="1"/>
  <c r="AU456"/>
  <c r="AW456" s="1"/>
  <c r="BL456" s="1"/>
  <c r="BP456" s="1"/>
  <c r="BR456" s="1"/>
  <c r="AY646"/>
  <c r="BA646"/>
  <c r="BG646" s="1"/>
  <c r="BC646"/>
  <c r="BI646" s="1"/>
  <c r="AU646"/>
  <c r="AW646" s="1"/>
  <c r="BL646" s="1"/>
  <c r="AZ646"/>
  <c r="BF646" s="1"/>
  <c r="AX646"/>
  <c r="BB646"/>
  <c r="BH646" s="1"/>
  <c r="AZ638"/>
  <c r="BF638" s="1"/>
  <c r="BB638"/>
  <c r="BH638" s="1"/>
  <c r="AX638"/>
  <c r="AY638"/>
  <c r="BA638"/>
  <c r="BG638" s="1"/>
  <c r="BC638"/>
  <c r="BI638" s="1"/>
  <c r="AU638"/>
  <c r="AW638" s="1"/>
  <c r="BL638" s="1"/>
  <c r="AY312"/>
  <c r="BA312"/>
  <c r="BG312" s="1"/>
  <c r="BC312"/>
  <c r="BI312" s="1"/>
  <c r="AU312"/>
  <c r="AW312" s="1"/>
  <c r="BL312" s="1"/>
  <c r="AZ312"/>
  <c r="BF312" s="1"/>
  <c r="AX312"/>
  <c r="BB312"/>
  <c r="BH312" s="1"/>
  <c r="AZ319"/>
  <c r="BF319" s="1"/>
  <c r="BB319"/>
  <c r="BH319" s="1"/>
  <c r="AX319"/>
  <c r="BA319"/>
  <c r="BG319" s="1"/>
  <c r="AU319"/>
  <c r="AW319" s="1"/>
  <c r="BL319" s="1"/>
  <c r="BP319" s="1"/>
  <c r="BR319" s="1"/>
  <c r="AY319"/>
  <c r="BC319"/>
  <c r="BI319" s="1"/>
  <c r="AZ386"/>
  <c r="BF386" s="1"/>
  <c r="BB386"/>
  <c r="BH386" s="1"/>
  <c r="AX386"/>
  <c r="AY386"/>
  <c r="BA386"/>
  <c r="BG386" s="1"/>
  <c r="BC386"/>
  <c r="BI386" s="1"/>
  <c r="AU386"/>
  <c r="AW386" s="1"/>
  <c r="BL386" s="1"/>
  <c r="BP386" s="1"/>
  <c r="BR386" s="1"/>
  <c r="AY359"/>
  <c r="BA359"/>
  <c r="BG359" s="1"/>
  <c r="BC359"/>
  <c r="BI359" s="1"/>
  <c r="AZ359"/>
  <c r="BF359" s="1"/>
  <c r="AU359"/>
  <c r="AW359" s="1"/>
  <c r="BB359"/>
  <c r="BH359" s="1"/>
  <c r="AY327"/>
  <c r="BA327"/>
  <c r="BG327" s="1"/>
  <c r="BC327"/>
  <c r="BI327" s="1"/>
  <c r="AU327"/>
  <c r="AW327" s="1"/>
  <c r="BL327" s="1"/>
  <c r="BB327"/>
  <c r="BH327" s="1"/>
  <c r="AZ327"/>
  <c r="BF327" s="1"/>
  <c r="AX327"/>
  <c r="AZ317"/>
  <c r="BF317" s="1"/>
  <c r="BB317"/>
  <c r="BH317" s="1"/>
  <c r="AX317"/>
  <c r="AY317"/>
  <c r="BC317"/>
  <c r="BI317" s="1"/>
  <c r="BA317"/>
  <c r="BG317" s="1"/>
  <c r="AU317"/>
  <c r="AW317" s="1"/>
  <c r="BL317" s="1"/>
  <c r="AZ282"/>
  <c r="BF282" s="1"/>
  <c r="BB282"/>
  <c r="BH282" s="1"/>
  <c r="BA282"/>
  <c r="BG282" s="1"/>
  <c r="AU282"/>
  <c r="AW282" s="1"/>
  <c r="BL282" s="1"/>
  <c r="AY282"/>
  <c r="BC282"/>
  <c r="BI282" s="1"/>
  <c r="AZ593"/>
  <c r="BF593" s="1"/>
  <c r="BB593"/>
  <c r="BH593" s="1"/>
  <c r="AY593"/>
  <c r="BA593"/>
  <c r="BG593" s="1"/>
  <c r="BC593"/>
  <c r="BI593" s="1"/>
  <c r="AU593"/>
  <c r="AW593" s="1"/>
  <c r="BL593" s="1"/>
  <c r="BP593" s="1"/>
  <c r="BR593" s="1"/>
  <c r="AZ578"/>
  <c r="BF578" s="1"/>
  <c r="BB578"/>
  <c r="BH578" s="1"/>
  <c r="AY578"/>
  <c r="BA578"/>
  <c r="BG578" s="1"/>
  <c r="BC578"/>
  <c r="BI578" s="1"/>
  <c r="AU578"/>
  <c r="AW578" s="1"/>
  <c r="BL578" s="1"/>
  <c r="BP578" s="1"/>
  <c r="BR578" s="1"/>
  <c r="AZ550"/>
  <c r="BF550" s="1"/>
  <c r="BB550"/>
  <c r="BH550" s="1"/>
  <c r="AX550"/>
  <c r="BA550"/>
  <c r="BG550" s="1"/>
  <c r="AU550"/>
  <c r="AW550" s="1"/>
  <c r="BL550" s="1"/>
  <c r="AY550"/>
  <c r="BC550"/>
  <c r="BI550" s="1"/>
  <c r="AZ534"/>
  <c r="BF534" s="1"/>
  <c r="BB534"/>
  <c r="BH534" s="1"/>
  <c r="AU534"/>
  <c r="AW534" s="1"/>
  <c r="AY534"/>
  <c r="BA534"/>
  <c r="BG534" s="1"/>
  <c r="BC534"/>
  <c r="BI534" s="1"/>
  <c r="AZ480"/>
  <c r="BF480" s="1"/>
  <c r="BB480"/>
  <c r="BH480" s="1"/>
  <c r="AX480"/>
  <c r="BA480"/>
  <c r="BG480" s="1"/>
  <c r="AU480"/>
  <c r="AW480" s="1"/>
  <c r="BL480" s="1"/>
  <c r="BP480" s="1"/>
  <c r="BR480" s="1"/>
  <c r="AY480"/>
  <c r="BC480"/>
  <c r="BI480" s="1"/>
  <c r="AU434"/>
  <c r="AW434" s="1"/>
  <c r="BL434" s="1"/>
  <c r="AZ434"/>
  <c r="BF434" s="1"/>
  <c r="BB434"/>
  <c r="BH434" s="1"/>
  <c r="AX434"/>
  <c r="AY434"/>
  <c r="BC434"/>
  <c r="BI434" s="1"/>
  <c r="BA434"/>
  <c r="BG434" s="1"/>
  <c r="AZ678"/>
  <c r="BF678" s="1"/>
  <c r="BB678"/>
  <c r="BH678" s="1"/>
  <c r="AU678"/>
  <c r="AW678" s="1"/>
  <c r="BA678"/>
  <c r="BG678" s="1"/>
  <c r="AY678"/>
  <c r="BC678"/>
  <c r="BI678" s="1"/>
  <c r="AY650"/>
  <c r="BA650"/>
  <c r="BG650" s="1"/>
  <c r="BC650"/>
  <c r="BI650" s="1"/>
  <c r="AU650"/>
  <c r="AW650" s="1"/>
  <c r="BL650" s="1"/>
  <c r="AZ650"/>
  <c r="BF650" s="1"/>
  <c r="BB650"/>
  <c r="BH650" s="1"/>
  <c r="AX650"/>
  <c r="AZ392"/>
  <c r="BF392" s="1"/>
  <c r="BB392"/>
  <c r="BH392" s="1"/>
  <c r="AX392"/>
  <c r="AY392"/>
  <c r="BA392"/>
  <c r="BG392" s="1"/>
  <c r="BC392"/>
  <c r="BI392" s="1"/>
  <c r="AU392"/>
  <c r="AW392" s="1"/>
  <c r="BL392" s="1"/>
  <c r="BP392" s="1"/>
  <c r="BR392" s="1"/>
  <c r="AY384"/>
  <c r="BA384"/>
  <c r="BG384" s="1"/>
  <c r="BC384"/>
  <c r="BI384" s="1"/>
  <c r="AU384"/>
  <c r="AW384" s="1"/>
  <c r="BL384" s="1"/>
  <c r="AZ384"/>
  <c r="BF384" s="1"/>
  <c r="BB384"/>
  <c r="BH384" s="1"/>
  <c r="AZ377"/>
  <c r="BF377" s="1"/>
  <c r="BB377"/>
  <c r="BH377" s="1"/>
  <c r="AX377"/>
  <c r="AY377"/>
  <c r="BC377"/>
  <c r="BI377" s="1"/>
  <c r="BA377"/>
  <c r="BG377" s="1"/>
  <c r="AU377"/>
  <c r="AW377" s="1"/>
  <c r="BL377" s="1"/>
  <c r="AY357"/>
  <c r="BA357"/>
  <c r="BG357" s="1"/>
  <c r="BC357"/>
  <c r="BI357" s="1"/>
  <c r="AU357"/>
  <c r="AW357" s="1"/>
  <c r="BL357" s="1"/>
  <c r="BP357" s="1"/>
  <c r="BR357" s="1"/>
  <c r="AZ357"/>
  <c r="BF357" s="1"/>
  <c r="BB357"/>
  <c r="BH357" s="1"/>
  <c r="AZ350"/>
  <c r="BF350" s="1"/>
  <c r="BB350"/>
  <c r="BH350" s="1"/>
  <c r="AX350"/>
  <c r="AY350"/>
  <c r="BA350"/>
  <c r="BG350" s="1"/>
  <c r="BC350"/>
  <c r="BI350" s="1"/>
  <c r="AU350"/>
  <c r="AW350" s="1"/>
  <c r="BL350" s="1"/>
  <c r="BP350" s="1"/>
  <c r="BR350" s="1"/>
  <c r="AZ280"/>
  <c r="BF280" s="1"/>
  <c r="BB280"/>
  <c r="BH280" s="1"/>
  <c r="AX280"/>
  <c r="AY280"/>
  <c r="BA280"/>
  <c r="BG280" s="1"/>
  <c r="BC280"/>
  <c r="BI280" s="1"/>
  <c r="AU280"/>
  <c r="AW280" s="1"/>
  <c r="BL280" s="1"/>
  <c r="BP280" s="1"/>
  <c r="BR280" s="1"/>
  <c r="AY246"/>
  <c r="BA246"/>
  <c r="BG246" s="1"/>
  <c r="BC246"/>
  <c r="BI246" s="1"/>
  <c r="AU246"/>
  <c r="AW246" s="1"/>
  <c r="BL246" s="1"/>
  <c r="BP246" s="1"/>
  <c r="BR246" s="1"/>
  <c r="BB246"/>
  <c r="BH246" s="1"/>
  <c r="AZ246"/>
  <c r="BF246" s="1"/>
  <c r="AX246"/>
  <c r="AY68"/>
  <c r="BA68"/>
  <c r="BG68" s="1"/>
  <c r="BC68"/>
  <c r="BI68" s="1"/>
  <c r="AX68"/>
  <c r="AZ68"/>
  <c r="BF68" s="1"/>
  <c r="BB68"/>
  <c r="BH68" s="1"/>
  <c r="AU68"/>
  <c r="AW68" s="1"/>
  <c r="BL68" s="1"/>
  <c r="AZ20"/>
  <c r="BF20" s="1"/>
  <c r="BB20"/>
  <c r="BH20" s="1"/>
  <c r="AU20"/>
  <c r="AW20" s="1"/>
  <c r="AY20"/>
  <c r="BA20"/>
  <c r="BG20" s="1"/>
  <c r="BC20"/>
  <c r="BI20" s="1"/>
  <c r="AY398"/>
  <c r="BA398"/>
  <c r="BG398" s="1"/>
  <c r="BC398"/>
  <c r="BI398" s="1"/>
  <c r="AU398"/>
  <c r="AW398" s="1"/>
  <c r="BL398" s="1"/>
  <c r="BP398" s="1"/>
  <c r="BR398" s="1"/>
  <c r="AZ398"/>
  <c r="BF398" s="1"/>
  <c r="BB398"/>
  <c r="BH398" s="1"/>
  <c r="AX398"/>
  <c r="AY390"/>
  <c r="BA390"/>
  <c r="BG390" s="1"/>
  <c r="BC390"/>
  <c r="BI390" s="1"/>
  <c r="AU390"/>
  <c r="AW390" s="1"/>
  <c r="BL390" s="1"/>
  <c r="BP390" s="1"/>
  <c r="BR390" s="1"/>
  <c r="BB390"/>
  <c r="BH390" s="1"/>
  <c r="AZ390"/>
  <c r="BF390" s="1"/>
  <c r="AX390"/>
  <c r="AY307"/>
  <c r="BA307"/>
  <c r="BG307" s="1"/>
  <c r="BC307"/>
  <c r="BI307" s="1"/>
  <c r="AU307"/>
  <c r="AW307" s="1"/>
  <c r="BL307" s="1"/>
  <c r="AZ307"/>
  <c r="BF307" s="1"/>
  <c r="BB307"/>
  <c r="BH307" s="1"/>
  <c r="AX307"/>
  <c r="AY278"/>
  <c r="BA278"/>
  <c r="BG278" s="1"/>
  <c r="BC278"/>
  <c r="BI278" s="1"/>
  <c r="AU278"/>
  <c r="AW278" s="1"/>
  <c r="BL278" s="1"/>
  <c r="BP278" s="1"/>
  <c r="BR278" s="1"/>
  <c r="AZ278"/>
  <c r="BF278" s="1"/>
  <c r="BB278"/>
  <c r="BH278" s="1"/>
  <c r="AX278"/>
  <c r="AZ274"/>
  <c r="BF274" s="1"/>
  <c r="BB274"/>
  <c r="BH274" s="1"/>
  <c r="AX274"/>
  <c r="AY274"/>
  <c r="BA274"/>
  <c r="BG274" s="1"/>
  <c r="BC274"/>
  <c r="BI274" s="1"/>
  <c r="AU274"/>
  <c r="AW274" s="1"/>
  <c r="BL274" s="1"/>
  <c r="BP274" s="1"/>
  <c r="BR274" s="1"/>
  <c r="AY507"/>
  <c r="BA507"/>
  <c r="BG507" s="1"/>
  <c r="BC507"/>
  <c r="BI507" s="1"/>
  <c r="BB507"/>
  <c r="BH507" s="1"/>
  <c r="AZ507"/>
  <c r="BF507" s="1"/>
  <c r="AU507"/>
  <c r="AW507" s="1"/>
  <c r="G60" i="51061"/>
  <c r="M96"/>
  <c r="M46"/>
  <c r="M27"/>
  <c r="M29"/>
  <c r="G81"/>
  <c r="AY287" i="51055"/>
  <c r="BA287"/>
  <c r="BG287" s="1"/>
  <c r="BC287"/>
  <c r="BI287" s="1"/>
  <c r="AU287"/>
  <c r="AW287" s="1"/>
  <c r="BL287" s="1"/>
  <c r="AZ287"/>
  <c r="BF287" s="1"/>
  <c r="AX287"/>
  <c r="BB287"/>
  <c r="BH287" s="1"/>
  <c r="AY361"/>
  <c r="BA361"/>
  <c r="BG361" s="1"/>
  <c r="BC361"/>
  <c r="BI361" s="1"/>
  <c r="AZ361"/>
  <c r="BF361" s="1"/>
  <c r="BB361"/>
  <c r="BH361" s="1"/>
  <c r="AU361"/>
  <c r="AW361" s="1"/>
  <c r="AY256"/>
  <c r="BA256"/>
  <c r="BG256" s="1"/>
  <c r="BC256"/>
  <c r="BI256" s="1"/>
  <c r="AU256"/>
  <c r="AW256" s="1"/>
  <c r="BL256" s="1"/>
  <c r="AZ256"/>
  <c r="BF256" s="1"/>
  <c r="BB256"/>
  <c r="BH256" s="1"/>
  <c r="AX256"/>
  <c r="AY301"/>
  <c r="BA301"/>
  <c r="BG301" s="1"/>
  <c r="BC301"/>
  <c r="BI301" s="1"/>
  <c r="AU301"/>
  <c r="AW301" s="1"/>
  <c r="BL301" s="1"/>
  <c r="BB301"/>
  <c r="BH301" s="1"/>
  <c r="AZ301"/>
  <c r="BF301" s="1"/>
  <c r="AX301"/>
  <c r="AZ375"/>
  <c r="BF375" s="1"/>
  <c r="BB375"/>
  <c r="BH375" s="1"/>
  <c r="AX375"/>
  <c r="AY375"/>
  <c r="BA375"/>
  <c r="BG375" s="1"/>
  <c r="BC375"/>
  <c r="BI375" s="1"/>
  <c r="AU375"/>
  <c r="AW375" s="1"/>
  <c r="BL375" s="1"/>
  <c r="BP375" s="1"/>
  <c r="BR375" s="1"/>
  <c r="AY232"/>
  <c r="BA232"/>
  <c r="BG232" s="1"/>
  <c r="BC232"/>
  <c r="BI232" s="1"/>
  <c r="AU232"/>
  <c r="AW232" s="1"/>
  <c r="BL232" s="1"/>
  <c r="BP232" s="1"/>
  <c r="BR232" s="1"/>
  <c r="AZ232"/>
  <c r="BF232" s="1"/>
  <c r="BB232"/>
  <c r="BH232" s="1"/>
  <c r="AX232"/>
  <c r="AZ443"/>
  <c r="BF443" s="1"/>
  <c r="BB443"/>
  <c r="BH443" s="1"/>
  <c r="AY443"/>
  <c r="BC443"/>
  <c r="BI443" s="1"/>
  <c r="BA443"/>
  <c r="BG443" s="1"/>
  <c r="AU443"/>
  <c r="AW443" s="1"/>
  <c r="BL443" s="1"/>
  <c r="AY295"/>
  <c r="BA295"/>
  <c r="BG295" s="1"/>
  <c r="BC295"/>
  <c r="BI295" s="1"/>
  <c r="AU295"/>
  <c r="AW295" s="1"/>
  <c r="BL295" s="1"/>
  <c r="BP295" s="1"/>
  <c r="BR295" s="1"/>
  <c r="AZ295"/>
  <c r="BF295" s="1"/>
  <c r="BB295"/>
  <c r="BH295" s="1"/>
  <c r="AX295"/>
  <c r="AY263"/>
  <c r="BA263"/>
  <c r="BG263" s="1"/>
  <c r="BC263"/>
  <c r="BI263" s="1"/>
  <c r="AU263"/>
  <c r="AW263" s="1"/>
  <c r="BL263" s="1"/>
  <c r="BP263" s="1"/>
  <c r="BR263" s="1"/>
  <c r="BB263"/>
  <c r="BH263" s="1"/>
  <c r="AZ263"/>
  <c r="BF263" s="1"/>
  <c r="AX263"/>
  <c r="AY587"/>
  <c r="BA587"/>
  <c r="BG587" s="1"/>
  <c r="BC587"/>
  <c r="BI587" s="1"/>
  <c r="AU587"/>
  <c r="AW587" s="1"/>
  <c r="BL587" s="1"/>
  <c r="BP587" s="1"/>
  <c r="BR587" s="1"/>
  <c r="AZ587"/>
  <c r="BF587" s="1"/>
  <c r="BB587"/>
  <c r="BH587" s="1"/>
  <c r="AX587"/>
  <c r="AY321"/>
  <c r="BA321"/>
  <c r="BG321" s="1"/>
  <c r="BC321"/>
  <c r="BI321" s="1"/>
  <c r="AU321"/>
  <c r="AW321" s="1"/>
  <c r="BL321" s="1"/>
  <c r="BP321" s="1"/>
  <c r="BR321" s="1"/>
  <c r="AZ321"/>
  <c r="BF321" s="1"/>
  <c r="BB321"/>
  <c r="BH321" s="1"/>
  <c r="AX321"/>
  <c r="G49" i="51061"/>
  <c r="H81"/>
  <c r="G55"/>
  <c r="L60"/>
  <c r="M58"/>
  <c r="BS225" i="51055"/>
  <c r="BU225" s="1"/>
  <c r="BV225" s="1"/>
  <c r="AX45"/>
  <c r="BS95"/>
  <c r="BU95" s="1"/>
  <c r="BV95" s="1"/>
  <c r="AX368"/>
  <c r="AX355"/>
  <c r="AX338"/>
  <c r="AX567"/>
  <c r="AX491"/>
  <c r="AX671"/>
  <c r="AX323"/>
  <c r="BS217"/>
  <c r="BU217" s="1"/>
  <c r="BV217" s="1"/>
  <c r="M44" i="51061"/>
  <c r="BS178" i="51055"/>
  <c r="BU178" s="1"/>
  <c r="BV178" s="1"/>
  <c r="BS148"/>
  <c r="BU148" s="1"/>
  <c r="BV148" s="1"/>
  <c r="BS101"/>
  <c r="BU101" s="1"/>
  <c r="BV101" s="1"/>
  <c r="BS109"/>
  <c r="BU109" s="1"/>
  <c r="BV109" s="1"/>
  <c r="AX556"/>
  <c r="AX513"/>
  <c r="BS729"/>
  <c r="BU729" s="1"/>
  <c r="BV729" s="1"/>
  <c r="AX284"/>
  <c r="BS188"/>
  <c r="BU188" s="1"/>
  <c r="BV188" s="1"/>
  <c r="AX46"/>
  <c r="BS416"/>
  <c r="BU416" s="1"/>
  <c r="BV416" s="1"/>
  <c r="AX503"/>
  <c r="G18" i="51061"/>
  <c r="H87"/>
  <c r="G99"/>
  <c r="AU672" i="51055"/>
  <c r="AW672" s="1"/>
  <c r="BL672" s="1"/>
  <c r="AY672"/>
  <c r="AZ672"/>
  <c r="BF672" s="1"/>
  <c r="BA672"/>
  <c r="BG672" s="1"/>
  <c r="BB672"/>
  <c r="BH672" s="1"/>
  <c r="BC672"/>
  <c r="BI672" s="1"/>
  <c r="AX672"/>
  <c r="CC239"/>
  <c r="CD239"/>
  <c r="AU339"/>
  <c r="AW339" s="1"/>
  <c r="BL339" s="1"/>
  <c r="AY339"/>
  <c r="AZ339"/>
  <c r="BF339" s="1"/>
  <c r="BA339"/>
  <c r="BG339" s="1"/>
  <c r="BB339"/>
  <c r="BH339" s="1"/>
  <c r="BC339"/>
  <c r="BI339" s="1"/>
  <c r="AX339"/>
  <c r="AU277"/>
  <c r="AW277" s="1"/>
  <c r="BL277" s="1"/>
  <c r="AY277"/>
  <c r="AZ277"/>
  <c r="BF277" s="1"/>
  <c r="BA277"/>
  <c r="BG277" s="1"/>
  <c r="BB277"/>
  <c r="BH277" s="1"/>
  <c r="BC277"/>
  <c r="BI277" s="1"/>
  <c r="AX277"/>
  <c r="AU393"/>
  <c r="AW393" s="1"/>
  <c r="BL393" s="1"/>
  <c r="AY393"/>
  <c r="AZ393"/>
  <c r="BF393" s="1"/>
  <c r="BA393"/>
  <c r="BG393" s="1"/>
  <c r="BB393"/>
  <c r="BH393" s="1"/>
  <c r="BC393"/>
  <c r="BI393" s="1"/>
  <c r="AX393"/>
  <c r="AU374"/>
  <c r="AW374" s="1"/>
  <c r="BL374" s="1"/>
  <c r="AY374"/>
  <c r="AZ374"/>
  <c r="BF374" s="1"/>
  <c r="BA374"/>
  <c r="BG374" s="1"/>
  <c r="BB374"/>
  <c r="BH374" s="1"/>
  <c r="BC374"/>
  <c r="BI374" s="1"/>
  <c r="AX374"/>
  <c r="AU342"/>
  <c r="AW342" s="1"/>
  <c r="BL342" s="1"/>
  <c r="AY342"/>
  <c r="AZ342"/>
  <c r="BF342" s="1"/>
  <c r="BA342"/>
  <c r="BG342" s="1"/>
  <c r="BB342"/>
  <c r="BH342" s="1"/>
  <c r="BC342"/>
  <c r="BI342" s="1"/>
  <c r="AX342"/>
  <c r="AY636"/>
  <c r="AZ636"/>
  <c r="BF636" s="1"/>
  <c r="BA636"/>
  <c r="BG636" s="1"/>
  <c r="BB636"/>
  <c r="BH636" s="1"/>
  <c r="BC636"/>
  <c r="BI636" s="1"/>
  <c r="AX636"/>
  <c r="M92" i="51061"/>
  <c r="AU636" i="51055"/>
  <c r="AU692"/>
  <c r="AW692" s="1"/>
  <c r="BL692" s="1"/>
  <c r="AY692"/>
  <c r="AZ692"/>
  <c r="BF692" s="1"/>
  <c r="BA692"/>
  <c r="BG692" s="1"/>
  <c r="BB692"/>
  <c r="BH692" s="1"/>
  <c r="BC692"/>
  <c r="BI692" s="1"/>
  <c r="AX692"/>
  <c r="AU464"/>
  <c r="AW464" s="1"/>
  <c r="BL464" s="1"/>
  <c r="AY464"/>
  <c r="AZ464"/>
  <c r="BF464" s="1"/>
  <c r="BA464"/>
  <c r="BG464" s="1"/>
  <c r="BB464"/>
  <c r="BH464" s="1"/>
  <c r="BC464"/>
  <c r="BI464" s="1"/>
  <c r="AX464"/>
  <c r="AU649"/>
  <c r="AW649" s="1"/>
  <c r="BL649" s="1"/>
  <c r="AY649"/>
  <c r="AZ649"/>
  <c r="BF649" s="1"/>
  <c r="BA649"/>
  <c r="BG649" s="1"/>
  <c r="BB649"/>
  <c r="BH649" s="1"/>
  <c r="BC649"/>
  <c r="BI649" s="1"/>
  <c r="AX649"/>
  <c r="AU618"/>
  <c r="AW618" s="1"/>
  <c r="BL618" s="1"/>
  <c r="AY618"/>
  <c r="AZ618"/>
  <c r="BF618" s="1"/>
  <c r="BA618"/>
  <c r="BG618" s="1"/>
  <c r="BB618"/>
  <c r="BH618" s="1"/>
  <c r="BC618"/>
  <c r="BI618" s="1"/>
  <c r="AX618"/>
  <c r="AU380"/>
  <c r="AW380" s="1"/>
  <c r="BL380" s="1"/>
  <c r="AY380"/>
  <c r="AZ380"/>
  <c r="BF380" s="1"/>
  <c r="BA380"/>
  <c r="BG380" s="1"/>
  <c r="BB380"/>
  <c r="BH380" s="1"/>
  <c r="BC380"/>
  <c r="BI380" s="1"/>
  <c r="AX380"/>
  <c r="AU330"/>
  <c r="AW330" s="1"/>
  <c r="BL330" s="1"/>
  <c r="AY330"/>
  <c r="AZ330"/>
  <c r="BF330" s="1"/>
  <c r="BA330"/>
  <c r="BG330" s="1"/>
  <c r="BB330"/>
  <c r="BH330" s="1"/>
  <c r="BC330"/>
  <c r="BI330" s="1"/>
  <c r="AX330"/>
  <c r="AU408"/>
  <c r="AW408" s="1"/>
  <c r="BL408" s="1"/>
  <c r="AY408"/>
  <c r="AZ408"/>
  <c r="BF408" s="1"/>
  <c r="BA408"/>
  <c r="BG408" s="1"/>
  <c r="BB408"/>
  <c r="BH408" s="1"/>
  <c r="BC408"/>
  <c r="BI408" s="1"/>
  <c r="AX408"/>
  <c r="AU385"/>
  <c r="AW385" s="1"/>
  <c r="BL385" s="1"/>
  <c r="AY385"/>
  <c r="AZ385"/>
  <c r="BF385" s="1"/>
  <c r="BA385"/>
  <c r="BG385" s="1"/>
  <c r="BB385"/>
  <c r="BH385" s="1"/>
  <c r="BC385"/>
  <c r="BI385" s="1"/>
  <c r="AX385"/>
  <c r="AU306"/>
  <c r="AW306" s="1"/>
  <c r="BL306" s="1"/>
  <c r="AY306"/>
  <c r="AZ306"/>
  <c r="BF306" s="1"/>
  <c r="BA306"/>
  <c r="BG306" s="1"/>
  <c r="BB306"/>
  <c r="BH306" s="1"/>
  <c r="BC306"/>
  <c r="BI306" s="1"/>
  <c r="AX306"/>
  <c r="AU294"/>
  <c r="AW294" s="1"/>
  <c r="BL294" s="1"/>
  <c r="AY294"/>
  <c r="AZ294"/>
  <c r="BF294" s="1"/>
  <c r="BA294"/>
  <c r="BG294" s="1"/>
  <c r="BB294"/>
  <c r="BH294" s="1"/>
  <c r="BC294"/>
  <c r="BI294" s="1"/>
  <c r="AX294"/>
  <c r="AU247"/>
  <c r="AW247" s="1"/>
  <c r="BL247" s="1"/>
  <c r="AY247"/>
  <c r="AZ247"/>
  <c r="BF247" s="1"/>
  <c r="BA247"/>
  <c r="BG247" s="1"/>
  <c r="BB247"/>
  <c r="BH247" s="1"/>
  <c r="BC247"/>
  <c r="BI247" s="1"/>
  <c r="AX247"/>
  <c r="AU266"/>
  <c r="AW266" s="1"/>
  <c r="BL266" s="1"/>
  <c r="AY266"/>
  <c r="AZ266"/>
  <c r="BF266" s="1"/>
  <c r="BA266"/>
  <c r="BG266" s="1"/>
  <c r="BB266"/>
  <c r="BH266" s="1"/>
  <c r="BC266"/>
  <c r="BI266" s="1"/>
  <c r="AX266"/>
  <c r="AU411"/>
  <c r="AW411" s="1"/>
  <c r="BL411" s="1"/>
  <c r="AY411"/>
  <c r="AZ411"/>
  <c r="BF411" s="1"/>
  <c r="BA411"/>
  <c r="BG411" s="1"/>
  <c r="BB411"/>
  <c r="BH411" s="1"/>
  <c r="BC411"/>
  <c r="BI411" s="1"/>
  <c r="AX411"/>
  <c r="CC421"/>
  <c r="CD421"/>
  <c r="AU222"/>
  <c r="AW222" s="1"/>
  <c r="BL222" s="1"/>
  <c r="AX222"/>
  <c r="AY222"/>
  <c r="AZ222"/>
  <c r="BF222" s="1"/>
  <c r="BA222"/>
  <c r="BG222" s="1"/>
  <c r="BB222"/>
  <c r="BH222" s="1"/>
  <c r="BC222"/>
  <c r="BI222" s="1"/>
  <c r="AU181"/>
  <c r="AW181" s="1"/>
  <c r="BL181" s="1"/>
  <c r="AX181"/>
  <c r="AY181"/>
  <c r="AZ181"/>
  <c r="BF181" s="1"/>
  <c r="BA181"/>
  <c r="BG181" s="1"/>
  <c r="BB181"/>
  <c r="BH181" s="1"/>
  <c r="BC181"/>
  <c r="BI181" s="1"/>
  <c r="AU162"/>
  <c r="AW162" s="1"/>
  <c r="BL162" s="1"/>
  <c r="AX162"/>
  <c r="AY162"/>
  <c r="AZ162"/>
  <c r="BF162" s="1"/>
  <c r="BA162"/>
  <c r="BG162" s="1"/>
  <c r="BB162"/>
  <c r="BH162" s="1"/>
  <c r="BC162"/>
  <c r="BI162" s="1"/>
  <c r="AU102"/>
  <c r="AW102" s="1"/>
  <c r="BL102" s="1"/>
  <c r="AY102"/>
  <c r="AZ102"/>
  <c r="BF102" s="1"/>
  <c r="BA102"/>
  <c r="BG102" s="1"/>
  <c r="BB102"/>
  <c r="BH102" s="1"/>
  <c r="BC102"/>
  <c r="BI102" s="1"/>
  <c r="AX102"/>
  <c r="CC91"/>
  <c r="CD91"/>
  <c r="AY159"/>
  <c r="AZ159"/>
  <c r="BF159" s="1"/>
  <c r="BA159"/>
  <c r="BG159" s="1"/>
  <c r="BB159"/>
  <c r="BH159" s="1"/>
  <c r="BC159"/>
  <c r="BI159" s="1"/>
  <c r="AX159"/>
  <c r="AU159"/>
  <c r="AW159" s="1"/>
  <c r="BL159" s="1"/>
  <c r="CC242"/>
  <c r="CD242"/>
  <c r="AU55"/>
  <c r="AW55" s="1"/>
  <c r="BL55" s="1"/>
  <c r="AY55"/>
  <c r="AZ55"/>
  <c r="BF55" s="1"/>
  <c r="BA55"/>
  <c r="BG55" s="1"/>
  <c r="BB55"/>
  <c r="BH55" s="1"/>
  <c r="BC55"/>
  <c r="BI55" s="1"/>
  <c r="AX55"/>
  <c r="AU273"/>
  <c r="AW273" s="1"/>
  <c r="BL273" s="1"/>
  <c r="AY273"/>
  <c r="AZ273"/>
  <c r="BF273" s="1"/>
  <c r="BA273"/>
  <c r="BG273" s="1"/>
  <c r="BB273"/>
  <c r="BH273" s="1"/>
  <c r="BC273"/>
  <c r="BI273" s="1"/>
  <c r="AX273"/>
  <c r="AU200"/>
  <c r="AW200" s="1"/>
  <c r="BL200" s="1"/>
  <c r="AY200"/>
  <c r="AZ200"/>
  <c r="BF200" s="1"/>
  <c r="BA200"/>
  <c r="BG200" s="1"/>
  <c r="BB200"/>
  <c r="BH200" s="1"/>
  <c r="BC200"/>
  <c r="BI200" s="1"/>
  <c r="AX200"/>
  <c r="AY614"/>
  <c r="AZ614"/>
  <c r="BF614" s="1"/>
  <c r="BA614"/>
  <c r="BG614" s="1"/>
  <c r="BB614"/>
  <c r="BH614" s="1"/>
  <c r="BC614"/>
  <c r="BI614" s="1"/>
  <c r="AX614"/>
  <c r="AU614"/>
  <c r="AW614" s="1"/>
  <c r="BL614" s="1"/>
  <c r="AY204"/>
  <c r="AZ204"/>
  <c r="BF204" s="1"/>
  <c r="BA204"/>
  <c r="BG204" s="1"/>
  <c r="BB204"/>
  <c r="BH204" s="1"/>
  <c r="BC204"/>
  <c r="BI204" s="1"/>
  <c r="AU204"/>
  <c r="AW204" s="1"/>
  <c r="BL204" s="1"/>
  <c r="AU632"/>
  <c r="AW632" s="1"/>
  <c r="BL632" s="1"/>
  <c r="AY632"/>
  <c r="AZ632"/>
  <c r="BF632" s="1"/>
  <c r="BA632"/>
  <c r="BG632" s="1"/>
  <c r="BB632"/>
  <c r="BH632" s="1"/>
  <c r="BC632"/>
  <c r="BI632" s="1"/>
  <c r="AX632"/>
  <c r="AU500"/>
  <c r="AW500" s="1"/>
  <c r="BL500" s="1"/>
  <c r="AY500"/>
  <c r="AZ500"/>
  <c r="BF500" s="1"/>
  <c r="BA500"/>
  <c r="BG500" s="1"/>
  <c r="BB500"/>
  <c r="BH500" s="1"/>
  <c r="BC500"/>
  <c r="BI500" s="1"/>
  <c r="AU704"/>
  <c r="AW704" s="1"/>
  <c r="BL704" s="1"/>
  <c r="AY704"/>
  <c r="AZ704"/>
  <c r="BF704" s="1"/>
  <c r="BA704"/>
  <c r="BG704" s="1"/>
  <c r="BB704"/>
  <c r="BH704" s="1"/>
  <c r="BC704"/>
  <c r="BI704" s="1"/>
  <c r="AX704"/>
  <c r="AU663"/>
  <c r="AW663" s="1"/>
  <c r="BL663" s="1"/>
  <c r="AX663"/>
  <c r="AY663"/>
  <c r="AZ663"/>
  <c r="BF663" s="1"/>
  <c r="BA663"/>
  <c r="BG663" s="1"/>
  <c r="BB663"/>
  <c r="BH663" s="1"/>
  <c r="BC663"/>
  <c r="BI663" s="1"/>
  <c r="AU466"/>
  <c r="AW466" s="1"/>
  <c r="BL466" s="1"/>
  <c r="AY466"/>
  <c r="AZ466"/>
  <c r="BF466" s="1"/>
  <c r="BA466"/>
  <c r="BG466" s="1"/>
  <c r="BB466"/>
  <c r="BH466" s="1"/>
  <c r="BC466"/>
  <c r="BI466" s="1"/>
  <c r="AX466"/>
  <c r="AU688"/>
  <c r="AW688" s="1"/>
  <c r="BL688" s="1"/>
  <c r="AY688"/>
  <c r="AZ688"/>
  <c r="BF688" s="1"/>
  <c r="BA688"/>
  <c r="BG688" s="1"/>
  <c r="BB688"/>
  <c r="BH688" s="1"/>
  <c r="BC688"/>
  <c r="BI688" s="1"/>
  <c r="AX688"/>
  <c r="AU643"/>
  <c r="AW643" s="1"/>
  <c r="BL643" s="1"/>
  <c r="AY643"/>
  <c r="AZ643"/>
  <c r="BF643" s="1"/>
  <c r="BA643"/>
  <c r="BG643" s="1"/>
  <c r="BB643"/>
  <c r="BH643" s="1"/>
  <c r="BC643"/>
  <c r="BI643" s="1"/>
  <c r="AX643"/>
  <c r="AU337"/>
  <c r="AW337" s="1"/>
  <c r="BL337" s="1"/>
  <c r="AY337"/>
  <c r="AZ337"/>
  <c r="BF337" s="1"/>
  <c r="BA337"/>
  <c r="BG337" s="1"/>
  <c r="BB337"/>
  <c r="BH337" s="1"/>
  <c r="BC337"/>
  <c r="BI337" s="1"/>
  <c r="AX337"/>
  <c r="AU275"/>
  <c r="AW275" s="1"/>
  <c r="BL275" s="1"/>
  <c r="AY275"/>
  <c r="AZ275"/>
  <c r="BF275" s="1"/>
  <c r="BA275"/>
  <c r="BG275" s="1"/>
  <c r="BB275"/>
  <c r="BH275" s="1"/>
  <c r="BC275"/>
  <c r="BI275" s="1"/>
  <c r="AX275"/>
  <c r="AU391"/>
  <c r="AW391" s="1"/>
  <c r="BL391" s="1"/>
  <c r="AY391"/>
  <c r="AZ391"/>
  <c r="BF391" s="1"/>
  <c r="BA391"/>
  <c r="BG391" s="1"/>
  <c r="BB391"/>
  <c r="BH391" s="1"/>
  <c r="BC391"/>
  <c r="BI391" s="1"/>
  <c r="AX391"/>
  <c r="AU383"/>
  <c r="AW383" s="1"/>
  <c r="BL383" s="1"/>
  <c r="AY383"/>
  <c r="AZ383"/>
  <c r="BF383" s="1"/>
  <c r="BA383"/>
  <c r="BG383" s="1"/>
  <c r="BB383"/>
  <c r="BH383" s="1"/>
  <c r="BC383"/>
  <c r="BI383" s="1"/>
  <c r="AX383"/>
  <c r="AU344"/>
  <c r="AW344" s="1"/>
  <c r="BL344" s="1"/>
  <c r="AY344"/>
  <c r="AZ344"/>
  <c r="BF344" s="1"/>
  <c r="BA344"/>
  <c r="BG344" s="1"/>
  <c r="BB344"/>
  <c r="BH344" s="1"/>
  <c r="BC344"/>
  <c r="BI344" s="1"/>
  <c r="AX344"/>
  <c r="AU318"/>
  <c r="AW318" s="1"/>
  <c r="BL318" s="1"/>
  <c r="AY318"/>
  <c r="AZ318"/>
  <c r="BF318" s="1"/>
  <c r="BA318"/>
  <c r="BG318" s="1"/>
  <c r="BB318"/>
  <c r="BH318" s="1"/>
  <c r="BC318"/>
  <c r="BI318" s="1"/>
  <c r="AX318"/>
  <c r="AY422"/>
  <c r="AZ422"/>
  <c r="BF422" s="1"/>
  <c r="BA422"/>
  <c r="BG422" s="1"/>
  <c r="BB422"/>
  <c r="BH422" s="1"/>
  <c r="BC422"/>
  <c r="BI422" s="1"/>
  <c r="AX422"/>
  <c r="AU422"/>
  <c r="AW422" s="1"/>
  <c r="BL422" s="1"/>
  <c r="AU172"/>
  <c r="AW172" s="1"/>
  <c r="BL172" s="1"/>
  <c r="AX172"/>
  <c r="AY172"/>
  <c r="AZ172"/>
  <c r="BF172" s="1"/>
  <c r="BA172"/>
  <c r="BG172" s="1"/>
  <c r="BB172"/>
  <c r="BH172" s="1"/>
  <c r="BC172"/>
  <c r="BI172" s="1"/>
  <c r="AU117"/>
  <c r="AW117" s="1"/>
  <c r="BL117" s="1"/>
  <c r="AY117"/>
  <c r="AZ117"/>
  <c r="BF117" s="1"/>
  <c r="BA117"/>
  <c r="BG117" s="1"/>
  <c r="BB117"/>
  <c r="BH117" s="1"/>
  <c r="BC117"/>
  <c r="BI117" s="1"/>
  <c r="AU170"/>
  <c r="AW170" s="1"/>
  <c r="BL170" s="1"/>
  <c r="AY170"/>
  <c r="AZ170"/>
  <c r="BF170" s="1"/>
  <c r="BA170"/>
  <c r="BG170" s="1"/>
  <c r="BB170"/>
  <c r="BH170" s="1"/>
  <c r="BC170"/>
  <c r="BI170" s="1"/>
  <c r="AY103"/>
  <c r="AZ103"/>
  <c r="BF103" s="1"/>
  <c r="BA103"/>
  <c r="BG103" s="1"/>
  <c r="BB103"/>
  <c r="BH103" s="1"/>
  <c r="BC103"/>
  <c r="BI103" s="1"/>
  <c r="AU103"/>
  <c r="AW103" s="1"/>
  <c r="BL103" s="1"/>
  <c r="AU108"/>
  <c r="AW108" s="1"/>
  <c r="BL108" s="1"/>
  <c r="AY108"/>
  <c r="AZ108"/>
  <c r="BF108" s="1"/>
  <c r="BA108"/>
  <c r="BG108" s="1"/>
  <c r="BB108"/>
  <c r="BH108" s="1"/>
  <c r="BC108"/>
  <c r="BI108" s="1"/>
  <c r="AX108"/>
  <c r="AU127"/>
  <c r="AW127" s="1"/>
  <c r="BL127" s="1"/>
  <c r="AY127"/>
  <c r="AZ127"/>
  <c r="BF127" s="1"/>
  <c r="BA127"/>
  <c r="BG127" s="1"/>
  <c r="BB127"/>
  <c r="BH127" s="1"/>
  <c r="BC127"/>
  <c r="BI127" s="1"/>
  <c r="AX127"/>
  <c r="AY624"/>
  <c r="AZ624"/>
  <c r="BF624" s="1"/>
  <c r="BA624"/>
  <c r="BG624" s="1"/>
  <c r="BB624"/>
  <c r="BH624" s="1"/>
  <c r="BC624"/>
  <c r="BI624" s="1"/>
  <c r="AX624"/>
  <c r="AU624"/>
  <c r="AW624" s="1"/>
  <c r="BL624" s="1"/>
  <c r="AY122"/>
  <c r="AZ122"/>
  <c r="BF122" s="1"/>
  <c r="BA122"/>
  <c r="BG122" s="1"/>
  <c r="BB122"/>
  <c r="BH122" s="1"/>
  <c r="BC122"/>
  <c r="BI122" s="1"/>
  <c r="AU122"/>
  <c r="AW122" s="1"/>
  <c r="BL122" s="1"/>
  <c r="CC42"/>
  <c r="CD42"/>
  <c r="CC124"/>
  <c r="CD124"/>
  <c r="CC461"/>
  <c r="CD461"/>
  <c r="AU486"/>
  <c r="AY486"/>
  <c r="AZ486"/>
  <c r="BF486" s="1"/>
  <c r="BA486"/>
  <c r="BG486" s="1"/>
  <c r="BB486"/>
  <c r="BH486" s="1"/>
  <c r="BC486"/>
  <c r="BI486" s="1"/>
  <c r="M73" i="51061"/>
  <c r="BD479" i="51055"/>
  <c r="BE479"/>
  <c r="BP444"/>
  <c r="BR444" s="1"/>
  <c r="BS444"/>
  <c r="BU444" s="1"/>
  <c r="BV444" s="1"/>
  <c r="BD536"/>
  <c r="BE536"/>
  <c r="AW511"/>
  <c r="BP494"/>
  <c r="BR494" s="1"/>
  <c r="BD494"/>
  <c r="BE494"/>
  <c r="BP668"/>
  <c r="BR668" s="1"/>
  <c r="BD668"/>
  <c r="BE668"/>
  <c r="CC183"/>
  <c r="CD183"/>
  <c r="BP605"/>
  <c r="BR605" s="1"/>
  <c r="BD584"/>
  <c r="BE584"/>
  <c r="BP579"/>
  <c r="BR579" s="1"/>
  <c r="BD575"/>
  <c r="BE575"/>
  <c r="BP562"/>
  <c r="BR562" s="1"/>
  <c r="BD547"/>
  <c r="BE547"/>
  <c r="BD537"/>
  <c r="BE537"/>
  <c r="BP537"/>
  <c r="BR537" s="1"/>
  <c r="BD509"/>
  <c r="BE509"/>
  <c r="BS485"/>
  <c r="BU485" s="1"/>
  <c r="BV485" s="1"/>
  <c r="BP485"/>
  <c r="BR485" s="1"/>
  <c r="BD540"/>
  <c r="BE540"/>
  <c r="BP252"/>
  <c r="BR252" s="1"/>
  <c r="BP713"/>
  <c r="BR713" s="1"/>
  <c r="BD713"/>
  <c r="BE713"/>
  <c r="BD709"/>
  <c r="BE709"/>
  <c r="BP684"/>
  <c r="BR684" s="1"/>
  <c r="BD684"/>
  <c r="BE684"/>
  <c r="BD674"/>
  <c r="BE674"/>
  <c r="BP657"/>
  <c r="BR657" s="1"/>
  <c r="BD657"/>
  <c r="BE657"/>
  <c r="BD653"/>
  <c r="BE653"/>
  <c r="AW622"/>
  <c r="BL622" s="1"/>
  <c r="BS333"/>
  <c r="BU333" s="1"/>
  <c r="BV333" s="1"/>
  <c r="BP333"/>
  <c r="BR333" s="1"/>
  <c r="BD333"/>
  <c r="BE333"/>
  <c r="BD423"/>
  <c r="BE423"/>
  <c r="AW353"/>
  <c r="BP45"/>
  <c r="BR45" s="1"/>
  <c r="BS45"/>
  <c r="BU45" s="1"/>
  <c r="BV45" s="1"/>
  <c r="BD45"/>
  <c r="BE45"/>
  <c r="AU143"/>
  <c r="AY143"/>
  <c r="AZ143"/>
  <c r="BF143" s="1"/>
  <c r="BA143"/>
  <c r="BG143" s="1"/>
  <c r="BB143"/>
  <c r="BH143" s="1"/>
  <c r="BC143"/>
  <c r="BI143" s="1"/>
  <c r="M26" i="51061"/>
  <c r="AU21" i="51055"/>
  <c r="AY21"/>
  <c r="AZ21"/>
  <c r="BF21" s="1"/>
  <c r="BA21"/>
  <c r="BG21" s="1"/>
  <c r="BB21"/>
  <c r="BH21" s="1"/>
  <c r="BC21"/>
  <c r="BI21" s="1"/>
  <c r="M9" i="51061"/>
  <c r="BL20" i="51055"/>
  <c r="AX20"/>
  <c r="BP56"/>
  <c r="BR56" s="1"/>
  <c r="BS56"/>
  <c r="BU56" s="1"/>
  <c r="BV56" s="1"/>
  <c r="BD27"/>
  <c r="BE27"/>
  <c r="BD123"/>
  <c r="BE123"/>
  <c r="BP123"/>
  <c r="BR123" s="1"/>
  <c r="BS123"/>
  <c r="BU123" s="1"/>
  <c r="BV123" s="1"/>
  <c r="BP405"/>
  <c r="BR405" s="1"/>
  <c r="BS405"/>
  <c r="BU405" s="1"/>
  <c r="BV405" s="1"/>
  <c r="BD405"/>
  <c r="BE405"/>
  <c r="BP368"/>
  <c r="BR368" s="1"/>
  <c r="BS368"/>
  <c r="BU368" s="1"/>
  <c r="BV368" s="1"/>
  <c r="BP355"/>
  <c r="BR355" s="1"/>
  <c r="BD355"/>
  <c r="BE355"/>
  <c r="BP338"/>
  <c r="BR338" s="1"/>
  <c r="BD338"/>
  <c r="BE338"/>
  <c r="BD334"/>
  <c r="BE334"/>
  <c r="BP293"/>
  <c r="BR293" s="1"/>
  <c r="BD293"/>
  <c r="BE293"/>
  <c r="BD285"/>
  <c r="BE285"/>
  <c r="BP67"/>
  <c r="BR67" s="1"/>
  <c r="AU35"/>
  <c r="AY35"/>
  <c r="AZ35"/>
  <c r="BF35" s="1"/>
  <c r="BA35"/>
  <c r="BG35" s="1"/>
  <c r="BB35"/>
  <c r="BH35" s="1"/>
  <c r="BC35"/>
  <c r="BI35" s="1"/>
  <c r="M11" i="51061"/>
  <c r="BD228" i="51055"/>
  <c r="BE228"/>
  <c r="BP435"/>
  <c r="BR435" s="1"/>
  <c r="BS435"/>
  <c r="BU435" s="1"/>
  <c r="BV435" s="1"/>
  <c r="BP505"/>
  <c r="BR505" s="1"/>
  <c r="BD529"/>
  <c r="BE529"/>
  <c r="BP529"/>
  <c r="BR529" s="1"/>
  <c r="BD541"/>
  <c r="BE541"/>
  <c r="BP544"/>
  <c r="BR544" s="1"/>
  <c r="BD544"/>
  <c r="BE544"/>
  <c r="BD694"/>
  <c r="BE694"/>
  <c r="BP567"/>
  <c r="BR567" s="1"/>
  <c r="BS567"/>
  <c r="BU567" s="1"/>
  <c r="BV567" s="1"/>
  <c r="BD567"/>
  <c r="BE567"/>
  <c r="BP561"/>
  <c r="BR561" s="1"/>
  <c r="BS561"/>
  <c r="BU561" s="1"/>
  <c r="BV561" s="1"/>
  <c r="BD561"/>
  <c r="BE561"/>
  <c r="BP604"/>
  <c r="BR604" s="1"/>
  <c r="BD604"/>
  <c r="BE604"/>
  <c r="BP491"/>
  <c r="BR491" s="1"/>
  <c r="BD491"/>
  <c r="BE491"/>
  <c r="BP346"/>
  <c r="BR346" s="1"/>
  <c r="BS346"/>
  <c r="BU346" s="1"/>
  <c r="BV346" s="1"/>
  <c r="BD346"/>
  <c r="BE346"/>
  <c r="BD24"/>
  <c r="BE24"/>
  <c r="AW548"/>
  <c r="BL548" s="1"/>
  <c r="BP728"/>
  <c r="BR728" s="1"/>
  <c r="BD728"/>
  <c r="BE728"/>
  <c r="AU623"/>
  <c r="AW623" s="1"/>
  <c r="BL623" s="1"/>
  <c r="AY623"/>
  <c r="AZ623"/>
  <c r="BF623" s="1"/>
  <c r="BA623"/>
  <c r="BG623" s="1"/>
  <c r="BB623"/>
  <c r="BH623" s="1"/>
  <c r="BC623"/>
  <c r="BI623" s="1"/>
  <c r="AX623"/>
  <c r="BD599"/>
  <c r="BE599"/>
  <c r="BP564"/>
  <c r="BR564" s="1"/>
  <c r="BD543"/>
  <c r="BE543"/>
  <c r="BP521"/>
  <c r="BR521" s="1"/>
  <c r="BS725"/>
  <c r="BU725" s="1"/>
  <c r="BV725" s="1"/>
  <c r="BP725"/>
  <c r="BR725" s="1"/>
  <c r="BD725"/>
  <c r="BE725"/>
  <c r="AU682"/>
  <c r="AY682"/>
  <c r="AZ682"/>
  <c r="BF682" s="1"/>
  <c r="BA682"/>
  <c r="BG682" s="1"/>
  <c r="BB682"/>
  <c r="BH682" s="1"/>
  <c r="BC682"/>
  <c r="BI682" s="1"/>
  <c r="M98" i="51061"/>
  <c r="AX682" i="51055"/>
  <c r="AU654"/>
  <c r="AW654" s="1"/>
  <c r="BL654" s="1"/>
  <c r="AY654"/>
  <c r="AZ654"/>
  <c r="BF654" s="1"/>
  <c r="BA654"/>
  <c r="BG654" s="1"/>
  <c r="BB654"/>
  <c r="BH654" s="1"/>
  <c r="BC654"/>
  <c r="BI654" s="1"/>
  <c r="AX654"/>
  <c r="BD597"/>
  <c r="BE597"/>
  <c r="BP553"/>
  <c r="BR553" s="1"/>
  <c r="BS553"/>
  <c r="BU553" s="1"/>
  <c r="BV553" s="1"/>
  <c r="AU519"/>
  <c r="AY519"/>
  <c r="AZ519"/>
  <c r="BF519" s="1"/>
  <c r="BA519"/>
  <c r="BG519" s="1"/>
  <c r="BB519"/>
  <c r="BH519" s="1"/>
  <c r="BC519"/>
  <c r="BI519" s="1"/>
  <c r="AX519"/>
  <c r="M78" i="51061"/>
  <c r="BD481" i="51055"/>
  <c r="BE481"/>
  <c r="BP671"/>
  <c r="BR671" s="1"/>
  <c r="BS671"/>
  <c r="BU671" s="1"/>
  <c r="BV671" s="1"/>
  <c r="BD671"/>
  <c r="BE671"/>
  <c r="BP594"/>
  <c r="BR594" s="1"/>
  <c r="BD573"/>
  <c r="BE573"/>
  <c r="BP559"/>
  <c r="BR559" s="1"/>
  <c r="BD545"/>
  <c r="BE545"/>
  <c r="BP518"/>
  <c r="BR518" s="1"/>
  <c r="AU495"/>
  <c r="AY495"/>
  <c r="AZ495"/>
  <c r="BF495" s="1"/>
  <c r="BA495"/>
  <c r="BG495" s="1"/>
  <c r="BB495"/>
  <c r="BH495" s="1"/>
  <c r="BC495"/>
  <c r="BI495" s="1"/>
  <c r="M76" i="51061"/>
  <c r="BD472" i="51055"/>
  <c r="BE472"/>
  <c r="BP323"/>
  <c r="BR323" s="1"/>
  <c r="BD323"/>
  <c r="BE323"/>
  <c r="BP410"/>
  <c r="BR410" s="1"/>
  <c r="BD410"/>
  <c r="BE410"/>
  <c r="BD151"/>
  <c r="BE151"/>
  <c r="AY224"/>
  <c r="AZ224"/>
  <c r="BF224" s="1"/>
  <c r="BA224"/>
  <c r="BG224" s="1"/>
  <c r="BB224"/>
  <c r="BH224" s="1"/>
  <c r="BC224"/>
  <c r="BI224" s="1"/>
  <c r="M39" i="51061"/>
  <c r="AU224" i="51055"/>
  <c r="AU196"/>
  <c r="AY196"/>
  <c r="AZ196"/>
  <c r="BF196" s="1"/>
  <c r="BA196"/>
  <c r="BG196" s="1"/>
  <c r="BB196"/>
  <c r="BH196" s="1"/>
  <c r="BC196"/>
  <c r="BI196" s="1"/>
  <c r="M34" i="51061"/>
  <c r="AY73" i="51055"/>
  <c r="AZ73"/>
  <c r="BF73" s="1"/>
  <c r="BA73"/>
  <c r="BG73" s="1"/>
  <c r="BB73"/>
  <c r="BH73" s="1"/>
  <c r="BC73"/>
  <c r="BI73" s="1"/>
  <c r="M15" i="51061"/>
  <c r="AU73" i="51055"/>
  <c r="BP19"/>
  <c r="BR19" s="1"/>
  <c r="BB428"/>
  <c r="BH428" s="1"/>
  <c r="AZ428"/>
  <c r="BF428" s="1"/>
  <c r="AU428"/>
  <c r="AW428" s="1"/>
  <c r="BL428" s="1"/>
  <c r="BC428"/>
  <c r="BI428" s="1"/>
  <c r="BA428"/>
  <c r="BG428" s="1"/>
  <c r="AY428"/>
  <c r="AX428"/>
  <c r="AU100"/>
  <c r="AY100"/>
  <c r="AZ100"/>
  <c r="BF100" s="1"/>
  <c r="BA100"/>
  <c r="BG100" s="1"/>
  <c r="BB100"/>
  <c r="BH100" s="1"/>
  <c r="BC100"/>
  <c r="BI100" s="1"/>
  <c r="AX100"/>
  <c r="M19" i="51061"/>
  <c r="BP32" i="51055"/>
  <c r="BR32" s="1"/>
  <c r="E18" i="51061"/>
  <c r="E114" s="1"/>
  <c r="AF114" s="1"/>
  <c r="AF44" i="51055"/>
  <c r="H12" i="51061" s="1"/>
  <c r="EQ44" i="51055"/>
  <c r="AJ44"/>
  <c r="AK185"/>
  <c r="L30" i="51061"/>
  <c r="BP717" i="51055"/>
  <c r="BR717" s="1"/>
  <c r="BD717"/>
  <c r="BE717"/>
  <c r="AU437"/>
  <c r="AW437" s="1"/>
  <c r="BL437" s="1"/>
  <c r="AY437"/>
  <c r="AZ437"/>
  <c r="BF437" s="1"/>
  <c r="BA437"/>
  <c r="BG437" s="1"/>
  <c r="BB437"/>
  <c r="BH437" s="1"/>
  <c r="BC437"/>
  <c r="BI437" s="1"/>
  <c r="AX437"/>
  <c r="BP705"/>
  <c r="BR705" s="1"/>
  <c r="BD705"/>
  <c r="BE705"/>
  <c r="BP528"/>
  <c r="BR528" s="1"/>
  <c r="AU609"/>
  <c r="AW609" s="1"/>
  <c r="BL609" s="1"/>
  <c r="AY609"/>
  <c r="AZ609"/>
  <c r="BF609" s="1"/>
  <c r="BA609"/>
  <c r="BG609" s="1"/>
  <c r="BB609"/>
  <c r="BH609" s="1"/>
  <c r="BC609"/>
  <c r="BI609" s="1"/>
  <c r="AX609"/>
  <c r="AU557"/>
  <c r="AW557" s="1"/>
  <c r="BL557" s="1"/>
  <c r="AY557"/>
  <c r="AZ557"/>
  <c r="BF557" s="1"/>
  <c r="BA557"/>
  <c r="BG557" s="1"/>
  <c r="BB557"/>
  <c r="BH557" s="1"/>
  <c r="BC557"/>
  <c r="BI557" s="1"/>
  <c r="AX557"/>
  <c r="BP570"/>
  <c r="BR570" s="1"/>
  <c r="BD570"/>
  <c r="BE570"/>
  <c r="BP510"/>
  <c r="BR510" s="1"/>
  <c r="BD510"/>
  <c r="BE510"/>
  <c r="AU314"/>
  <c r="AW314" s="1"/>
  <c r="BL314" s="1"/>
  <c r="AY314"/>
  <c r="AZ314"/>
  <c r="BF314" s="1"/>
  <c r="BA314"/>
  <c r="BG314" s="1"/>
  <c r="BB314"/>
  <c r="BH314" s="1"/>
  <c r="BC314"/>
  <c r="BI314" s="1"/>
  <c r="AX314"/>
  <c r="AU269"/>
  <c r="AW269" s="1"/>
  <c r="BL269" s="1"/>
  <c r="AY269"/>
  <c r="AZ269"/>
  <c r="BF269" s="1"/>
  <c r="BA269"/>
  <c r="BG269" s="1"/>
  <c r="BB269"/>
  <c r="BH269" s="1"/>
  <c r="BC269"/>
  <c r="BI269" s="1"/>
  <c r="AX269"/>
  <c r="BP576"/>
  <c r="BR576" s="1"/>
  <c r="BD576"/>
  <c r="BE576"/>
  <c r="BP388"/>
  <c r="BR388" s="1"/>
  <c r="BD388"/>
  <c r="BE388"/>
  <c r="BP478"/>
  <c r="BR478" s="1"/>
  <c r="BD478"/>
  <c r="BE478"/>
  <c r="AY715"/>
  <c r="AZ715"/>
  <c r="BF715" s="1"/>
  <c r="BA715"/>
  <c r="BG715" s="1"/>
  <c r="BB715"/>
  <c r="BH715" s="1"/>
  <c r="BC715"/>
  <c r="BI715" s="1"/>
  <c r="AX715"/>
  <c r="AU715"/>
  <c r="AW715" s="1"/>
  <c r="BL715" s="1"/>
  <c r="AY707"/>
  <c r="AZ707"/>
  <c r="BF707" s="1"/>
  <c r="BA707"/>
  <c r="BG707" s="1"/>
  <c r="BB707"/>
  <c r="BH707" s="1"/>
  <c r="BC707"/>
  <c r="BI707" s="1"/>
  <c r="M102" i="51061"/>
  <c r="AU707" i="51055"/>
  <c r="AY676"/>
  <c r="AZ676"/>
  <c r="BF676" s="1"/>
  <c r="BA676"/>
  <c r="BG676" s="1"/>
  <c r="BB676"/>
  <c r="BH676" s="1"/>
  <c r="BC676"/>
  <c r="BI676" s="1"/>
  <c r="AU676"/>
  <c r="AW676" s="1"/>
  <c r="BL676" s="1"/>
  <c r="AY662"/>
  <c r="AZ662"/>
  <c r="BF662" s="1"/>
  <c r="BA662"/>
  <c r="BG662" s="1"/>
  <c r="BB662"/>
  <c r="BH662" s="1"/>
  <c r="BC662"/>
  <c r="BI662" s="1"/>
  <c r="AX662"/>
  <c r="AU662"/>
  <c r="AW662" s="1"/>
  <c r="BL662" s="1"/>
  <c r="AY670"/>
  <c r="AZ670"/>
  <c r="BF670" s="1"/>
  <c r="BA670"/>
  <c r="BG670" s="1"/>
  <c r="BB670"/>
  <c r="BH670" s="1"/>
  <c r="BC670"/>
  <c r="BI670" s="1"/>
  <c r="AU670"/>
  <c r="AW670" s="1"/>
  <c r="BL670" s="1"/>
  <c r="AY655"/>
  <c r="AZ655"/>
  <c r="BF655" s="1"/>
  <c r="BA655"/>
  <c r="BG655" s="1"/>
  <c r="BB655"/>
  <c r="BH655" s="1"/>
  <c r="BC655"/>
  <c r="BI655" s="1"/>
  <c r="AX655"/>
  <c r="AU655"/>
  <c r="AW655" s="1"/>
  <c r="BL655" s="1"/>
  <c r="AY648"/>
  <c r="AZ648"/>
  <c r="BF648" s="1"/>
  <c r="BA648"/>
  <c r="BG648" s="1"/>
  <c r="BB648"/>
  <c r="BH648" s="1"/>
  <c r="BC648"/>
  <c r="BI648" s="1"/>
  <c r="AX648"/>
  <c r="AU648"/>
  <c r="AW648" s="1"/>
  <c r="BL648" s="1"/>
  <c r="AY629"/>
  <c r="AZ629"/>
  <c r="BF629" s="1"/>
  <c r="BA629"/>
  <c r="BG629" s="1"/>
  <c r="BB629"/>
  <c r="BH629" s="1"/>
  <c r="BC629"/>
  <c r="BI629" s="1"/>
  <c r="AX629"/>
  <c r="AU629"/>
  <c r="AW629" s="1"/>
  <c r="BL629" s="1"/>
  <c r="AY621"/>
  <c r="AZ621"/>
  <c r="BF621" s="1"/>
  <c r="BA621"/>
  <c r="BG621" s="1"/>
  <c r="BB621"/>
  <c r="BH621" s="1"/>
  <c r="BC621"/>
  <c r="BI621" s="1"/>
  <c r="AX621"/>
  <c r="AU621"/>
  <c r="AW621" s="1"/>
  <c r="BL621" s="1"/>
  <c r="AU168"/>
  <c r="AW168" s="1"/>
  <c r="BL168" s="1"/>
  <c r="AX168"/>
  <c r="AY168"/>
  <c r="AZ168"/>
  <c r="BF168" s="1"/>
  <c r="BA168"/>
  <c r="BG168" s="1"/>
  <c r="BB168"/>
  <c r="BH168" s="1"/>
  <c r="BC168"/>
  <c r="BI168" s="1"/>
  <c r="AU110"/>
  <c r="AW110" s="1"/>
  <c r="BL110" s="1"/>
  <c r="AY110"/>
  <c r="AZ110"/>
  <c r="BF110" s="1"/>
  <c r="BA110"/>
  <c r="BG110" s="1"/>
  <c r="BB110"/>
  <c r="BH110" s="1"/>
  <c r="BC110"/>
  <c r="BI110" s="1"/>
  <c r="AX110"/>
  <c r="AU41"/>
  <c r="AW41" s="1"/>
  <c r="BL41" s="1"/>
  <c r="AX41"/>
  <c r="AY41"/>
  <c r="AZ41"/>
  <c r="BF41" s="1"/>
  <c r="BA41"/>
  <c r="BG41" s="1"/>
  <c r="BB41"/>
  <c r="BH41" s="1"/>
  <c r="BC41"/>
  <c r="BI41" s="1"/>
  <c r="AU685"/>
  <c r="AW685" s="1"/>
  <c r="BL685" s="1"/>
  <c r="AX685"/>
  <c r="AY685"/>
  <c r="AZ685"/>
  <c r="BF685" s="1"/>
  <c r="BA685"/>
  <c r="BG685" s="1"/>
  <c r="BB685"/>
  <c r="BH685" s="1"/>
  <c r="BC685"/>
  <c r="BI685" s="1"/>
  <c r="AU477"/>
  <c r="AW477" s="1"/>
  <c r="BL477" s="1"/>
  <c r="AY477"/>
  <c r="AZ477"/>
  <c r="BF477" s="1"/>
  <c r="BA477"/>
  <c r="BG477" s="1"/>
  <c r="BB477"/>
  <c r="BH477" s="1"/>
  <c r="BC477"/>
  <c r="BI477" s="1"/>
  <c r="AX477"/>
  <c r="AU457"/>
  <c r="AW457" s="1"/>
  <c r="BL457" s="1"/>
  <c r="AY457"/>
  <c r="AZ457"/>
  <c r="BF457" s="1"/>
  <c r="BA457"/>
  <c r="BG457" s="1"/>
  <c r="BB457"/>
  <c r="BH457" s="1"/>
  <c r="BC457"/>
  <c r="BI457" s="1"/>
  <c r="AX457"/>
  <c r="AY673"/>
  <c r="AZ673"/>
  <c r="BF673" s="1"/>
  <c r="BA673"/>
  <c r="BG673" s="1"/>
  <c r="BB673"/>
  <c r="BH673" s="1"/>
  <c r="BC673"/>
  <c r="BI673" s="1"/>
  <c r="AX673"/>
  <c r="AU673"/>
  <c r="AW673" s="1"/>
  <c r="BL673" s="1"/>
  <c r="AU687"/>
  <c r="AW687" s="1"/>
  <c r="BL687" s="1"/>
  <c r="AY687"/>
  <c r="AZ687"/>
  <c r="BF687" s="1"/>
  <c r="BA687"/>
  <c r="BG687" s="1"/>
  <c r="BB687"/>
  <c r="BH687" s="1"/>
  <c r="BC687"/>
  <c r="BI687" s="1"/>
  <c r="AU645"/>
  <c r="AW645" s="1"/>
  <c r="BL645" s="1"/>
  <c r="AY645"/>
  <c r="AZ645"/>
  <c r="BF645" s="1"/>
  <c r="BA645"/>
  <c r="BG645" s="1"/>
  <c r="BB645"/>
  <c r="BH645" s="1"/>
  <c r="BC645"/>
  <c r="BI645" s="1"/>
  <c r="AX645"/>
  <c r="AU616"/>
  <c r="AW616" s="1"/>
  <c r="BL616" s="1"/>
  <c r="AY616"/>
  <c r="AZ616"/>
  <c r="BF616" s="1"/>
  <c r="BA616"/>
  <c r="BG616" s="1"/>
  <c r="BB616"/>
  <c r="BH616" s="1"/>
  <c r="BC616"/>
  <c r="BI616" s="1"/>
  <c r="AX616"/>
  <c r="AU310"/>
  <c r="AW310" s="1"/>
  <c r="BL310" s="1"/>
  <c r="AY310"/>
  <c r="AZ310"/>
  <c r="BF310" s="1"/>
  <c r="BA310"/>
  <c r="BG310" s="1"/>
  <c r="BB310"/>
  <c r="BH310" s="1"/>
  <c r="BC310"/>
  <c r="BI310" s="1"/>
  <c r="AX310"/>
  <c r="AU389"/>
  <c r="AW389" s="1"/>
  <c r="BL389" s="1"/>
  <c r="AY389"/>
  <c r="AZ389"/>
  <c r="BF389" s="1"/>
  <c r="BA389"/>
  <c r="BG389" s="1"/>
  <c r="BB389"/>
  <c r="BH389" s="1"/>
  <c r="BC389"/>
  <c r="BI389" s="1"/>
  <c r="AX389"/>
  <c r="AU362"/>
  <c r="AW362" s="1"/>
  <c r="BL362" s="1"/>
  <c r="AY362"/>
  <c r="AZ362"/>
  <c r="BF362" s="1"/>
  <c r="BA362"/>
  <c r="BG362" s="1"/>
  <c r="BB362"/>
  <c r="BH362" s="1"/>
  <c r="BC362"/>
  <c r="BI362" s="1"/>
  <c r="AX362"/>
  <c r="AU326"/>
  <c r="AW326" s="1"/>
  <c r="BL326" s="1"/>
  <c r="AY326"/>
  <c r="AZ326"/>
  <c r="BF326" s="1"/>
  <c r="BA326"/>
  <c r="BG326" s="1"/>
  <c r="BB326"/>
  <c r="BH326" s="1"/>
  <c r="BC326"/>
  <c r="BI326" s="1"/>
  <c r="AX326"/>
  <c r="AU296"/>
  <c r="AW296" s="1"/>
  <c r="BL296" s="1"/>
  <c r="AY296"/>
  <c r="AZ296"/>
  <c r="BF296" s="1"/>
  <c r="BA296"/>
  <c r="BG296" s="1"/>
  <c r="BB296"/>
  <c r="BH296" s="1"/>
  <c r="BC296"/>
  <c r="BI296" s="1"/>
  <c r="AX296"/>
  <c r="AU262"/>
  <c r="AW262" s="1"/>
  <c r="BL262" s="1"/>
  <c r="AY262"/>
  <c r="AZ262"/>
  <c r="BF262" s="1"/>
  <c r="BA262"/>
  <c r="BG262" s="1"/>
  <c r="BB262"/>
  <c r="BH262" s="1"/>
  <c r="BC262"/>
  <c r="BI262" s="1"/>
  <c r="AX262"/>
  <c r="AY243"/>
  <c r="AZ243"/>
  <c r="BF243" s="1"/>
  <c r="BA243"/>
  <c r="BG243" s="1"/>
  <c r="BB243"/>
  <c r="BH243" s="1"/>
  <c r="BC243"/>
  <c r="BI243" s="1"/>
  <c r="AU243"/>
  <c r="AW243" s="1"/>
  <c r="BL243" s="1"/>
  <c r="AU369"/>
  <c r="AW369" s="1"/>
  <c r="BL369" s="1"/>
  <c r="AY369"/>
  <c r="AZ369"/>
  <c r="BF369" s="1"/>
  <c r="BA369"/>
  <c r="BG369" s="1"/>
  <c r="BB369"/>
  <c r="BH369" s="1"/>
  <c r="BC369"/>
  <c r="BI369" s="1"/>
  <c r="AY420"/>
  <c r="AZ420"/>
  <c r="BF420" s="1"/>
  <c r="BA420"/>
  <c r="BG420" s="1"/>
  <c r="BB420"/>
  <c r="BH420" s="1"/>
  <c r="BC420"/>
  <c r="BI420" s="1"/>
  <c r="AX420"/>
  <c r="AU420"/>
  <c r="AW420" s="1"/>
  <c r="BL420" s="1"/>
  <c r="AU205"/>
  <c r="AW205" s="1"/>
  <c r="BL205" s="1"/>
  <c r="AY205"/>
  <c r="AZ205"/>
  <c r="BF205" s="1"/>
  <c r="BA205"/>
  <c r="BG205" s="1"/>
  <c r="BB205"/>
  <c r="BH205" s="1"/>
  <c r="BC205"/>
  <c r="BI205" s="1"/>
  <c r="AX205"/>
  <c r="AY31"/>
  <c r="AZ31"/>
  <c r="BF31" s="1"/>
  <c r="BA31"/>
  <c r="BG31" s="1"/>
  <c r="BB31"/>
  <c r="BH31" s="1"/>
  <c r="BC31"/>
  <c r="BI31" s="1"/>
  <c r="AU31"/>
  <c r="AW31" s="1"/>
  <c r="BL31" s="1"/>
  <c r="AU216"/>
  <c r="AW216" s="1"/>
  <c r="BL216" s="1"/>
  <c r="AX216"/>
  <c r="AY216"/>
  <c r="AZ216"/>
  <c r="BF216" s="1"/>
  <c r="BA216"/>
  <c r="BG216" s="1"/>
  <c r="BB216"/>
  <c r="BH216" s="1"/>
  <c r="BC216"/>
  <c r="BI216" s="1"/>
  <c r="AU106"/>
  <c r="AW106" s="1"/>
  <c r="BL106" s="1"/>
  <c r="AY106"/>
  <c r="AZ106"/>
  <c r="BF106" s="1"/>
  <c r="BA106"/>
  <c r="BG106" s="1"/>
  <c r="BB106"/>
  <c r="BH106" s="1"/>
  <c r="BC106"/>
  <c r="BI106" s="1"/>
  <c r="AX106"/>
  <c r="AU60"/>
  <c r="AW60" s="1"/>
  <c r="BL60" s="1"/>
  <c r="AY60"/>
  <c r="AZ60"/>
  <c r="BF60" s="1"/>
  <c r="BA60"/>
  <c r="BG60" s="1"/>
  <c r="BB60"/>
  <c r="BH60" s="1"/>
  <c r="BC60"/>
  <c r="BI60" s="1"/>
  <c r="AU16"/>
  <c r="AW16" s="1"/>
  <c r="BL16" s="1"/>
  <c r="AX16"/>
  <c r="AY16"/>
  <c r="AZ16"/>
  <c r="BF16" s="1"/>
  <c r="BA16"/>
  <c r="BG16" s="1"/>
  <c r="BB16"/>
  <c r="BH16" s="1"/>
  <c r="BC16"/>
  <c r="BI16" s="1"/>
  <c r="AX135"/>
  <c r="AY135"/>
  <c r="AZ135"/>
  <c r="BF135" s="1"/>
  <c r="BA135"/>
  <c r="BG135" s="1"/>
  <c r="BB135"/>
  <c r="BH135" s="1"/>
  <c r="BC135"/>
  <c r="BI135" s="1"/>
  <c r="AU135"/>
  <c r="AW135" s="1"/>
  <c r="BL135" s="1"/>
  <c r="EQ65"/>
  <c r="AF65"/>
  <c r="AJ65"/>
  <c r="AK65" s="1"/>
  <c r="AY197"/>
  <c r="AZ197"/>
  <c r="BF197" s="1"/>
  <c r="BA197"/>
  <c r="BG197" s="1"/>
  <c r="BB197"/>
  <c r="BH197" s="1"/>
  <c r="BC197"/>
  <c r="BI197" s="1"/>
  <c r="AX197"/>
  <c r="AU197"/>
  <c r="AW197" s="1"/>
  <c r="BL197" s="1"/>
  <c r="AU119"/>
  <c r="AW119" s="1"/>
  <c r="BL119" s="1"/>
  <c r="AX119"/>
  <c r="AY119"/>
  <c r="AZ119"/>
  <c r="BF119" s="1"/>
  <c r="BA119"/>
  <c r="BG119" s="1"/>
  <c r="BB119"/>
  <c r="BH119" s="1"/>
  <c r="BC119"/>
  <c r="BI119" s="1"/>
  <c r="AY702"/>
  <c r="AZ702"/>
  <c r="BF702" s="1"/>
  <c r="BA702"/>
  <c r="BG702" s="1"/>
  <c r="BB702"/>
  <c r="BH702" s="1"/>
  <c r="BC702"/>
  <c r="BI702" s="1"/>
  <c r="AX702"/>
  <c r="AU702"/>
  <c r="AW702" s="1"/>
  <c r="BL702" s="1"/>
  <c r="AY370"/>
  <c r="AZ370"/>
  <c r="BF370" s="1"/>
  <c r="BA370"/>
  <c r="BG370" s="1"/>
  <c r="BB370"/>
  <c r="BH370" s="1"/>
  <c r="BC370"/>
  <c r="BI370" s="1"/>
  <c r="AX370"/>
  <c r="AU370"/>
  <c r="AW370" s="1"/>
  <c r="BL370" s="1"/>
  <c r="AY186"/>
  <c r="AZ186"/>
  <c r="BF186" s="1"/>
  <c r="BA186"/>
  <c r="BG186" s="1"/>
  <c r="BB186"/>
  <c r="BH186" s="1"/>
  <c r="BC186"/>
  <c r="BI186" s="1"/>
  <c r="AX186"/>
  <c r="AU186"/>
  <c r="AW186" s="1"/>
  <c r="BL186" s="1"/>
  <c r="AY722"/>
  <c r="AZ722"/>
  <c r="BF722" s="1"/>
  <c r="BA722"/>
  <c r="BG722" s="1"/>
  <c r="BB722"/>
  <c r="BH722" s="1"/>
  <c r="BC722"/>
  <c r="BI722" s="1"/>
  <c r="AU722"/>
  <c r="AW722" s="1"/>
  <c r="BL722" s="1"/>
  <c r="AX722"/>
  <c r="AU658"/>
  <c r="AW658" s="1"/>
  <c r="BL658" s="1"/>
  <c r="AY658"/>
  <c r="AZ658"/>
  <c r="BF658" s="1"/>
  <c r="BA658"/>
  <c r="BG658" s="1"/>
  <c r="BB658"/>
  <c r="BH658" s="1"/>
  <c r="BC658"/>
  <c r="BI658" s="1"/>
  <c r="AX658"/>
  <c r="AU496"/>
  <c r="AW496" s="1"/>
  <c r="BL496" s="1"/>
  <c r="AX496"/>
  <c r="AY496"/>
  <c r="AZ496"/>
  <c r="BF496" s="1"/>
  <c r="BA496"/>
  <c r="BG496" s="1"/>
  <c r="BB496"/>
  <c r="BH496" s="1"/>
  <c r="BC496"/>
  <c r="BI496" s="1"/>
  <c r="AU720"/>
  <c r="AW720" s="1"/>
  <c r="BL720" s="1"/>
  <c r="AY720"/>
  <c r="AZ720"/>
  <c r="BF720" s="1"/>
  <c r="BA720"/>
  <c r="BG720" s="1"/>
  <c r="BB720"/>
  <c r="BH720" s="1"/>
  <c r="BC720"/>
  <c r="BI720" s="1"/>
  <c r="AX720"/>
  <c r="AU683"/>
  <c r="AW683" s="1"/>
  <c r="BL683" s="1"/>
  <c r="AX683"/>
  <c r="AY683"/>
  <c r="AZ683"/>
  <c r="BF683" s="1"/>
  <c r="BA683"/>
  <c r="BG683" s="1"/>
  <c r="BB683"/>
  <c r="BH683" s="1"/>
  <c r="BC683"/>
  <c r="BI683" s="1"/>
  <c r="AU669"/>
  <c r="AW669" s="1"/>
  <c r="BL669" s="1"/>
  <c r="AY669"/>
  <c r="AZ669"/>
  <c r="BF669" s="1"/>
  <c r="BA669"/>
  <c r="BG669" s="1"/>
  <c r="BB669"/>
  <c r="BH669" s="1"/>
  <c r="BC669"/>
  <c r="BI669" s="1"/>
  <c r="AU498"/>
  <c r="AW498" s="1"/>
  <c r="BL498" s="1"/>
  <c r="AY498"/>
  <c r="AZ498"/>
  <c r="BF498" s="1"/>
  <c r="BA498"/>
  <c r="BG498" s="1"/>
  <c r="BB498"/>
  <c r="BH498" s="1"/>
  <c r="BC498"/>
  <c r="BI498" s="1"/>
  <c r="AU475"/>
  <c r="AW475" s="1"/>
  <c r="BL475" s="1"/>
  <c r="AY475"/>
  <c r="AZ475"/>
  <c r="BF475" s="1"/>
  <c r="BA475"/>
  <c r="BG475" s="1"/>
  <c r="BB475"/>
  <c r="BH475" s="1"/>
  <c r="BC475"/>
  <c r="BI475" s="1"/>
  <c r="AX475"/>
  <c r="AU703"/>
  <c r="AW703" s="1"/>
  <c r="BL703" s="1"/>
  <c r="AY703"/>
  <c r="AZ703"/>
  <c r="BF703" s="1"/>
  <c r="BA703"/>
  <c r="BG703" s="1"/>
  <c r="BB703"/>
  <c r="BH703" s="1"/>
  <c r="BC703"/>
  <c r="BI703" s="1"/>
  <c r="AX703"/>
  <c r="AU647"/>
  <c r="AW647" s="1"/>
  <c r="BL647" s="1"/>
  <c r="AY647"/>
  <c r="AZ647"/>
  <c r="BF647" s="1"/>
  <c r="BA647"/>
  <c r="BG647" s="1"/>
  <c r="BB647"/>
  <c r="BH647" s="1"/>
  <c r="BC647"/>
  <c r="BI647" s="1"/>
  <c r="AX647"/>
  <c r="AU637"/>
  <c r="AW637" s="1"/>
  <c r="BL637" s="1"/>
  <c r="AY637"/>
  <c r="AZ637"/>
  <c r="BF637" s="1"/>
  <c r="BA637"/>
  <c r="BG637" s="1"/>
  <c r="BB637"/>
  <c r="BH637" s="1"/>
  <c r="BC637"/>
  <c r="BI637" s="1"/>
  <c r="AX637"/>
  <c r="AU332"/>
  <c r="AW332" s="1"/>
  <c r="BL332" s="1"/>
  <c r="AY332"/>
  <c r="AZ332"/>
  <c r="BF332" s="1"/>
  <c r="BA332"/>
  <c r="BG332" s="1"/>
  <c r="BB332"/>
  <c r="BH332" s="1"/>
  <c r="BC332"/>
  <c r="BI332" s="1"/>
  <c r="AX332"/>
  <c r="AU432"/>
  <c r="AY432"/>
  <c r="AZ432"/>
  <c r="BF432" s="1"/>
  <c r="BA432"/>
  <c r="BG432" s="1"/>
  <c r="BB432"/>
  <c r="BH432" s="1"/>
  <c r="BC432"/>
  <c r="BI432" s="1"/>
  <c r="AX432"/>
  <c r="M68" i="51061"/>
  <c r="AU387" i="51055"/>
  <c r="AW387" s="1"/>
  <c r="BL387" s="1"/>
  <c r="AY387"/>
  <c r="AZ387"/>
  <c r="BF387" s="1"/>
  <c r="BA387"/>
  <c r="BG387" s="1"/>
  <c r="BB387"/>
  <c r="BH387" s="1"/>
  <c r="BC387"/>
  <c r="BI387" s="1"/>
  <c r="AX387"/>
  <c r="AU358"/>
  <c r="AW358" s="1"/>
  <c r="BL358" s="1"/>
  <c r="AY358"/>
  <c r="AZ358"/>
  <c r="BF358" s="1"/>
  <c r="BA358"/>
  <c r="BG358" s="1"/>
  <c r="BB358"/>
  <c r="BH358" s="1"/>
  <c r="BC358"/>
  <c r="BI358" s="1"/>
  <c r="AX358"/>
  <c r="AU302"/>
  <c r="AW302" s="1"/>
  <c r="BL302" s="1"/>
  <c r="AY302"/>
  <c r="AZ302"/>
  <c r="BF302" s="1"/>
  <c r="BA302"/>
  <c r="BG302" s="1"/>
  <c r="BB302"/>
  <c r="BH302" s="1"/>
  <c r="BC302"/>
  <c r="BI302" s="1"/>
  <c r="AX302"/>
  <c r="AU255"/>
  <c r="AW255" s="1"/>
  <c r="BL255" s="1"/>
  <c r="AY255"/>
  <c r="AZ255"/>
  <c r="BF255" s="1"/>
  <c r="BA255"/>
  <c r="BG255" s="1"/>
  <c r="BB255"/>
  <c r="BH255" s="1"/>
  <c r="BC255"/>
  <c r="BI255" s="1"/>
  <c r="AX255"/>
  <c r="AY424"/>
  <c r="AZ424"/>
  <c r="BF424" s="1"/>
  <c r="BA424"/>
  <c r="BG424" s="1"/>
  <c r="BB424"/>
  <c r="BH424" s="1"/>
  <c r="BC424"/>
  <c r="BI424" s="1"/>
  <c r="AU424"/>
  <c r="AW424" s="1"/>
  <c r="BL424" s="1"/>
  <c r="CC245"/>
  <c r="CD245"/>
  <c r="AU160"/>
  <c r="AW160" s="1"/>
  <c r="BL160" s="1"/>
  <c r="AY160"/>
  <c r="AZ160"/>
  <c r="BF160" s="1"/>
  <c r="BA160"/>
  <c r="BG160" s="1"/>
  <c r="BB160"/>
  <c r="BH160" s="1"/>
  <c r="BC160"/>
  <c r="BI160" s="1"/>
  <c r="AU218"/>
  <c r="AW218" s="1"/>
  <c r="BL218" s="1"/>
  <c r="AX218"/>
  <c r="AY218"/>
  <c r="AZ218"/>
  <c r="BF218" s="1"/>
  <c r="BA218"/>
  <c r="BG218" s="1"/>
  <c r="BB218"/>
  <c r="BH218" s="1"/>
  <c r="BC218"/>
  <c r="BI218" s="1"/>
  <c r="AU152"/>
  <c r="AW152" s="1"/>
  <c r="BL152" s="1"/>
  <c r="AY152"/>
  <c r="AZ152"/>
  <c r="BF152" s="1"/>
  <c r="BA152"/>
  <c r="BG152" s="1"/>
  <c r="BB152"/>
  <c r="BH152" s="1"/>
  <c r="BC152"/>
  <c r="BI152" s="1"/>
  <c r="CC227"/>
  <c r="CD227"/>
  <c r="AU53"/>
  <c r="AW53" s="1"/>
  <c r="BL53" s="1"/>
  <c r="AY53"/>
  <c r="AZ53"/>
  <c r="BF53" s="1"/>
  <c r="BA53"/>
  <c r="BG53" s="1"/>
  <c r="BB53"/>
  <c r="BH53" s="1"/>
  <c r="BC53"/>
  <c r="BI53" s="1"/>
  <c r="AX53"/>
  <c r="AY118"/>
  <c r="AZ118"/>
  <c r="BF118" s="1"/>
  <c r="BA118"/>
  <c r="BG118" s="1"/>
  <c r="BB118"/>
  <c r="BH118" s="1"/>
  <c r="BC118"/>
  <c r="BI118" s="1"/>
  <c r="AX118"/>
  <c r="AU118"/>
  <c r="AW118" s="1"/>
  <c r="BL118" s="1"/>
  <c r="AY691"/>
  <c r="AZ691"/>
  <c r="BF691" s="1"/>
  <c r="BA691"/>
  <c r="BG691" s="1"/>
  <c r="BB691"/>
  <c r="BH691" s="1"/>
  <c r="BC691"/>
  <c r="BI691" s="1"/>
  <c r="AU691"/>
  <c r="AW691" s="1"/>
  <c r="BL691" s="1"/>
  <c r="AY36"/>
  <c r="AZ36"/>
  <c r="BF36" s="1"/>
  <c r="BA36"/>
  <c r="BG36" s="1"/>
  <c r="BB36"/>
  <c r="BH36" s="1"/>
  <c r="BC36"/>
  <c r="BI36" s="1"/>
  <c r="AU36"/>
  <c r="AW36" s="1"/>
  <c r="BL36" s="1"/>
  <c r="BP483"/>
  <c r="BR483" s="1"/>
  <c r="AY615"/>
  <c r="AZ615"/>
  <c r="BF615" s="1"/>
  <c r="BA615"/>
  <c r="BG615" s="1"/>
  <c r="BB615"/>
  <c r="BH615" s="1"/>
  <c r="BC615"/>
  <c r="BI615" s="1"/>
  <c r="M89" i="51061"/>
  <c r="AU615" i="51055"/>
  <c r="BP603"/>
  <c r="BR603" s="1"/>
  <c r="BS603"/>
  <c r="BU603" s="1"/>
  <c r="BV603" s="1"/>
  <c r="AU580"/>
  <c r="AY580"/>
  <c r="AZ580"/>
  <c r="BF580" s="1"/>
  <c r="BA580"/>
  <c r="BG580" s="1"/>
  <c r="BB580"/>
  <c r="BH580" s="1"/>
  <c r="BC580"/>
  <c r="BI580" s="1"/>
  <c r="AX580"/>
  <c r="M85" i="51061"/>
  <c r="BD577" i="51055"/>
  <c r="BE577"/>
  <c r="BP571"/>
  <c r="BR571" s="1"/>
  <c r="BS571"/>
  <c r="BU571" s="1"/>
  <c r="BV571" s="1"/>
  <c r="BD551"/>
  <c r="BE551"/>
  <c r="BD531"/>
  <c r="BE531"/>
  <c r="BP531"/>
  <c r="BR531" s="1"/>
  <c r="BS531"/>
  <c r="BU531" s="1"/>
  <c r="BV531" s="1"/>
  <c r="BD516"/>
  <c r="BE516"/>
  <c r="BP439"/>
  <c r="BR439" s="1"/>
  <c r="AW730"/>
  <c r="BL730" s="1"/>
  <c r="Q107" i="51061"/>
  <c r="AU340" i="51055"/>
  <c r="AY340"/>
  <c r="AZ340"/>
  <c r="BF340" s="1"/>
  <c r="BA340"/>
  <c r="BG340" s="1"/>
  <c r="BB340"/>
  <c r="BH340" s="1"/>
  <c r="BC340"/>
  <c r="BI340" s="1"/>
  <c r="AX340"/>
  <c r="M52" i="51061"/>
  <c r="AU335" i="51055"/>
  <c r="AW335" s="1"/>
  <c r="BL335" s="1"/>
  <c r="AY335"/>
  <c r="AZ335"/>
  <c r="BF335" s="1"/>
  <c r="BA335"/>
  <c r="BG335" s="1"/>
  <c r="BB335"/>
  <c r="BH335" s="1"/>
  <c r="BC335"/>
  <c r="BI335" s="1"/>
  <c r="AX335"/>
  <c r="BP600"/>
  <c r="BR600" s="1"/>
  <c r="BD600"/>
  <c r="BE600"/>
  <c r="BP554"/>
  <c r="BR554" s="1"/>
  <c r="BD554"/>
  <c r="BE554"/>
  <c r="BD538"/>
  <c r="BE538"/>
  <c r="BP517"/>
  <c r="BR517" s="1"/>
  <c r="BD517"/>
  <c r="BE517"/>
  <c r="AW492"/>
  <c r="BL492" s="1"/>
  <c r="BP489"/>
  <c r="BR489" s="1"/>
  <c r="BD489"/>
  <c r="BE489"/>
  <c r="BP438"/>
  <c r="BR438" s="1"/>
  <c r="BD438"/>
  <c r="BE438"/>
  <c r="BD395"/>
  <c r="BE395"/>
  <c r="BP258"/>
  <c r="BR258" s="1"/>
  <c r="BD258"/>
  <c r="BE258"/>
  <c r="CC379"/>
  <c r="CD379"/>
  <c r="BD450"/>
  <c r="BE450"/>
  <c r="CD729"/>
  <c r="CC729"/>
  <c r="AY418"/>
  <c r="AZ418"/>
  <c r="BF418" s="1"/>
  <c r="BA418"/>
  <c r="BG418" s="1"/>
  <c r="BB418"/>
  <c r="BH418" s="1"/>
  <c r="BC418"/>
  <c r="BI418" s="1"/>
  <c r="AX418"/>
  <c r="M64" i="51061"/>
  <c r="AU418" i="51055"/>
  <c r="BP403"/>
  <c r="BR403" s="1"/>
  <c r="BD403"/>
  <c r="BE403"/>
  <c r="BD371"/>
  <c r="BE371"/>
  <c r="BP366"/>
  <c r="BR366" s="1"/>
  <c r="BP336"/>
  <c r="BR336" s="1"/>
  <c r="BD336"/>
  <c r="BE336"/>
  <c r="BP276"/>
  <c r="BR276" s="1"/>
  <c r="BD276"/>
  <c r="BE276"/>
  <c r="BD259"/>
  <c r="BE259"/>
  <c r="BP194"/>
  <c r="BR194" s="1"/>
  <c r="BS114"/>
  <c r="BU114" s="1"/>
  <c r="BV114" s="1"/>
  <c r="BP114"/>
  <c r="BR114" s="1"/>
  <c r="AU157"/>
  <c r="AY157"/>
  <c r="AZ157"/>
  <c r="BF157" s="1"/>
  <c r="BA157"/>
  <c r="BG157" s="1"/>
  <c r="BB157"/>
  <c r="BH157" s="1"/>
  <c r="BC157"/>
  <c r="BI157" s="1"/>
  <c r="M28" i="51061"/>
  <c r="AX157" i="51055"/>
  <c r="AY94"/>
  <c r="AZ94"/>
  <c r="BF94" s="1"/>
  <c r="BA94"/>
  <c r="BG94" s="1"/>
  <c r="BB94"/>
  <c r="BH94" s="1"/>
  <c r="BC94"/>
  <c r="BI94" s="1"/>
  <c r="M17" i="51061"/>
  <c r="AU94" i="51055"/>
  <c r="AW120"/>
  <c r="AU300"/>
  <c r="AW300" s="1"/>
  <c r="BL300" s="1"/>
  <c r="BC300"/>
  <c r="BI300" s="1"/>
  <c r="BB300"/>
  <c r="BH300" s="1"/>
  <c r="BA300"/>
  <c r="BG300" s="1"/>
  <c r="AZ300"/>
  <c r="BF300" s="1"/>
  <c r="AY300"/>
  <c r="AX300"/>
  <c r="BP92"/>
  <c r="BR92" s="1"/>
  <c r="BS92"/>
  <c r="BU92" s="1"/>
  <c r="BV92" s="1"/>
  <c r="BP25"/>
  <c r="BR25" s="1"/>
  <c r="BS25"/>
  <c r="BU25" s="1"/>
  <c r="BV25" s="1"/>
  <c r="BP173"/>
  <c r="BR173" s="1"/>
  <c r="BD173"/>
  <c r="BE173"/>
  <c r="BD165"/>
  <c r="BE165"/>
  <c r="BP155"/>
  <c r="BR155" s="1"/>
  <c r="BD155"/>
  <c r="BE155"/>
  <c r="BP116"/>
  <c r="BR116" s="1"/>
  <c r="BD116"/>
  <c r="BE116"/>
  <c r="BD115"/>
  <c r="BE115"/>
  <c r="BP115"/>
  <c r="BR115" s="1"/>
  <c r="BC734"/>
  <c r="BI734" s="1"/>
  <c r="BA734"/>
  <c r="BG734" s="1"/>
  <c r="AY734"/>
  <c r="AU734"/>
  <c r="AW734" s="1"/>
  <c r="BL734" s="1"/>
  <c r="BB734"/>
  <c r="BH734" s="1"/>
  <c r="AZ734"/>
  <c r="BF734" s="1"/>
  <c r="AX734"/>
  <c r="BP532"/>
  <c r="BR532" s="1"/>
  <c r="BP606"/>
  <c r="BR606" s="1"/>
  <c r="BD606"/>
  <c r="BE606"/>
  <c r="BP524"/>
  <c r="BR524" s="1"/>
  <c r="BD524"/>
  <c r="BE524"/>
  <c r="BP499"/>
  <c r="BR499" s="1"/>
  <c r="BD499"/>
  <c r="BE499"/>
  <c r="BP474"/>
  <c r="BR474" s="1"/>
  <c r="BD474"/>
  <c r="BE474"/>
  <c r="BD15"/>
  <c r="BE15"/>
  <c r="BS612"/>
  <c r="BU612" s="1"/>
  <c r="BV612" s="1"/>
  <c r="BP612"/>
  <c r="BR612" s="1"/>
  <c r="AU595"/>
  <c r="AY595"/>
  <c r="AZ595"/>
  <c r="BF595" s="1"/>
  <c r="BA595"/>
  <c r="BG595" s="1"/>
  <c r="BB595"/>
  <c r="BH595" s="1"/>
  <c r="BC595"/>
  <c r="BI595" s="1"/>
  <c r="AX595"/>
  <c r="M86" i="51061"/>
  <c r="BD568" i="51055"/>
  <c r="BE568"/>
  <c r="BP525"/>
  <c r="BR525" s="1"/>
  <c r="BP601"/>
  <c r="BR601" s="1"/>
  <c r="BD588"/>
  <c r="BE588"/>
  <c r="BP523"/>
  <c r="BR523" s="1"/>
  <c r="AU440"/>
  <c r="AY440"/>
  <c r="AZ440"/>
  <c r="BF440" s="1"/>
  <c r="BA440"/>
  <c r="BG440" s="1"/>
  <c r="BB440"/>
  <c r="BH440" s="1"/>
  <c r="BC440"/>
  <c r="BI440" s="1"/>
  <c r="AX440"/>
  <c r="M69" i="51061"/>
  <c r="CC416" i="51055"/>
  <c r="CD416"/>
  <c r="AY740"/>
  <c r="AZ740"/>
  <c r="BF740" s="1"/>
  <c r="BA740"/>
  <c r="BG740" s="1"/>
  <c r="BB740"/>
  <c r="BH740" s="1"/>
  <c r="BC740"/>
  <c r="BI740" s="1"/>
  <c r="M110" i="51061"/>
  <c r="M111" s="1"/>
  <c r="AU740" i="51055"/>
  <c r="AU610"/>
  <c r="AY610"/>
  <c r="AZ610"/>
  <c r="BF610" s="1"/>
  <c r="BA610"/>
  <c r="BG610" s="1"/>
  <c r="BB610"/>
  <c r="BH610" s="1"/>
  <c r="BC610"/>
  <c r="BI610" s="1"/>
  <c r="M88" i="51061"/>
  <c r="BD582" i="51055"/>
  <c r="BE582"/>
  <c r="BP566"/>
  <c r="BR566" s="1"/>
  <c r="BD549"/>
  <c r="BE549"/>
  <c r="BD535"/>
  <c r="BE535"/>
  <c r="BP535"/>
  <c r="BR535" s="1"/>
  <c r="AU514"/>
  <c r="AW514" s="1"/>
  <c r="BL514" s="1"/>
  <c r="AY514"/>
  <c r="AZ514"/>
  <c r="BF514" s="1"/>
  <c r="BA514"/>
  <c r="BG514" s="1"/>
  <c r="BB514"/>
  <c r="BH514" s="1"/>
  <c r="BC514"/>
  <c r="BI514" s="1"/>
  <c r="AX514"/>
  <c r="BD490"/>
  <c r="BE490"/>
  <c r="AW382"/>
  <c r="BL382" s="1"/>
  <c r="Q59" i="51061"/>
  <c r="AW272" i="51055"/>
  <c r="BL272" s="1"/>
  <c r="BP315"/>
  <c r="BR315" s="1"/>
  <c r="BD315"/>
  <c r="BE315"/>
  <c r="BP254"/>
  <c r="BR254" s="1"/>
  <c r="BS254"/>
  <c r="BU254" s="1"/>
  <c r="BV254" s="1"/>
  <c r="BD254"/>
  <c r="BE254"/>
  <c r="AW394"/>
  <c r="AW213"/>
  <c r="BL213" s="1"/>
  <c r="AW202"/>
  <c r="BP96"/>
  <c r="BR96" s="1"/>
  <c r="BD96"/>
  <c r="BE96"/>
  <c r="BD86"/>
  <c r="BE86"/>
  <c r="BP86"/>
  <c r="BR86" s="1"/>
  <c r="BS86"/>
  <c r="BU86" s="1"/>
  <c r="BV86" s="1"/>
  <c r="CC169"/>
  <c r="CD169"/>
  <c r="BD14"/>
  <c r="BE14"/>
  <c r="AU635"/>
  <c r="AW635" s="1"/>
  <c r="BL635" s="1"/>
  <c r="BB635"/>
  <c r="BH635" s="1"/>
  <c r="AZ635"/>
  <c r="BF635" s="1"/>
  <c r="AX635"/>
  <c r="BC635"/>
  <c r="BI635" s="1"/>
  <c r="BA635"/>
  <c r="BG635" s="1"/>
  <c r="AY635"/>
  <c r="AU697"/>
  <c r="AW697" s="1"/>
  <c r="BL697" s="1"/>
  <c r="BC697"/>
  <c r="BI697" s="1"/>
  <c r="BA697"/>
  <c r="BG697" s="1"/>
  <c r="AY697"/>
  <c r="AZ697"/>
  <c r="BF697" s="1"/>
  <c r="BB697"/>
  <c r="BH697" s="1"/>
  <c r="AX697"/>
  <c r="BD240"/>
  <c r="BE240"/>
  <c r="AW207"/>
  <c r="BL207" s="1"/>
  <c r="BP88"/>
  <c r="BR88" s="1"/>
  <c r="BP23"/>
  <c r="BR23" s="1"/>
  <c r="BD107"/>
  <c r="BE107"/>
  <c r="BP555"/>
  <c r="BR555" s="1"/>
  <c r="AF305"/>
  <c r="H48" i="51061" s="1"/>
  <c r="EQ305" i="51055"/>
  <c r="AJ305"/>
  <c r="AU586"/>
  <c r="AW586" s="1"/>
  <c r="BL586" s="1"/>
  <c r="AY586"/>
  <c r="AZ586"/>
  <c r="BF586" s="1"/>
  <c r="BA586"/>
  <c r="BG586" s="1"/>
  <c r="BB586"/>
  <c r="BH586" s="1"/>
  <c r="BC586"/>
  <c r="BI586" s="1"/>
  <c r="AX586"/>
  <c r="BP497"/>
  <c r="BR497" s="1"/>
  <c r="BD497"/>
  <c r="BE497"/>
  <c r="AU639"/>
  <c r="AW639" s="1"/>
  <c r="BL639" s="1"/>
  <c r="AY639"/>
  <c r="AZ639"/>
  <c r="BF639" s="1"/>
  <c r="BA639"/>
  <c r="BG639" s="1"/>
  <c r="BB639"/>
  <c r="BH639" s="1"/>
  <c r="BC639"/>
  <c r="BI639" s="1"/>
  <c r="AX639"/>
  <c r="AU590"/>
  <c r="AW590" s="1"/>
  <c r="BL590" s="1"/>
  <c r="AY590"/>
  <c r="AZ590"/>
  <c r="BF590" s="1"/>
  <c r="BA590"/>
  <c r="BG590" s="1"/>
  <c r="BB590"/>
  <c r="BH590" s="1"/>
  <c r="BC590"/>
  <c r="BI590" s="1"/>
  <c r="AX590"/>
  <c r="AU446"/>
  <c r="AW446" s="1"/>
  <c r="BL446" s="1"/>
  <c r="AY446"/>
  <c r="AZ446"/>
  <c r="BF446" s="1"/>
  <c r="BA446"/>
  <c r="BG446" s="1"/>
  <c r="BB446"/>
  <c r="BH446" s="1"/>
  <c r="BC446"/>
  <c r="BI446" s="1"/>
  <c r="AX446"/>
  <c r="BS449"/>
  <c r="BU449" s="1"/>
  <c r="BV449" s="1"/>
  <c r="BP449"/>
  <c r="BR449" s="1"/>
  <c r="BD449"/>
  <c r="BE449"/>
  <c r="AU356"/>
  <c r="AW356" s="1"/>
  <c r="BL356" s="1"/>
  <c r="AY356"/>
  <c r="AZ356"/>
  <c r="BF356" s="1"/>
  <c r="BA356"/>
  <c r="BG356" s="1"/>
  <c r="BB356"/>
  <c r="BH356" s="1"/>
  <c r="BC356"/>
  <c r="BI356" s="1"/>
  <c r="AX356"/>
  <c r="AK354"/>
  <c r="L54" i="51061"/>
  <c r="AU264" i="51055"/>
  <c r="AW264" s="1"/>
  <c r="BL264" s="1"/>
  <c r="AY264"/>
  <c r="AZ264"/>
  <c r="BF264" s="1"/>
  <c r="BA264"/>
  <c r="BG264" s="1"/>
  <c r="BB264"/>
  <c r="BH264" s="1"/>
  <c r="BC264"/>
  <c r="BI264" s="1"/>
  <c r="AX264"/>
  <c r="BS608"/>
  <c r="BU608" s="1"/>
  <c r="BV608" s="1"/>
  <c r="BP608"/>
  <c r="BR608" s="1"/>
  <c r="BD608"/>
  <c r="BE608"/>
  <c r="BS447"/>
  <c r="BU447" s="1"/>
  <c r="BV447" s="1"/>
  <c r="BP447"/>
  <c r="BR447" s="1"/>
  <c r="BD447"/>
  <c r="BE447"/>
  <c r="AU406"/>
  <c r="AW406" s="1"/>
  <c r="BL406" s="1"/>
  <c r="AY406"/>
  <c r="AZ406"/>
  <c r="BF406" s="1"/>
  <c r="BA406"/>
  <c r="BG406" s="1"/>
  <c r="BB406"/>
  <c r="BH406" s="1"/>
  <c r="BC406"/>
  <c r="BI406" s="1"/>
  <c r="AX406"/>
  <c r="AK121"/>
  <c r="L21" i="51061"/>
  <c r="AU158" i="51055"/>
  <c r="AW158" s="1"/>
  <c r="BL158" s="1"/>
  <c r="AX158"/>
  <c r="AY158"/>
  <c r="AZ158"/>
  <c r="BF158" s="1"/>
  <c r="BA158"/>
  <c r="BG158" s="1"/>
  <c r="BB158"/>
  <c r="BH158" s="1"/>
  <c r="BC158"/>
  <c r="BI158" s="1"/>
  <c r="BS59"/>
  <c r="BU59" s="1"/>
  <c r="BV59" s="1"/>
  <c r="BP59"/>
  <c r="BR59" s="1"/>
  <c r="AK57"/>
  <c r="M13" i="51061" s="1"/>
  <c r="L13"/>
  <c r="AY619" i="51055"/>
  <c r="AZ619"/>
  <c r="BF619" s="1"/>
  <c r="BA619"/>
  <c r="BG619" s="1"/>
  <c r="BB619"/>
  <c r="BH619" s="1"/>
  <c r="BC619"/>
  <c r="BI619" s="1"/>
  <c r="AU619"/>
  <c r="AW619" s="1"/>
  <c r="BL619" s="1"/>
  <c r="AK30"/>
  <c r="L10" i="51061"/>
  <c r="BP199" i="51055"/>
  <c r="BR199" s="1"/>
  <c r="BD199"/>
  <c r="BE199"/>
  <c r="AY195"/>
  <c r="AZ195"/>
  <c r="BF195" s="1"/>
  <c r="BA195"/>
  <c r="BG195" s="1"/>
  <c r="BB195"/>
  <c r="BH195" s="1"/>
  <c r="BC195"/>
  <c r="BI195" s="1"/>
  <c r="AX195"/>
  <c r="AU195"/>
  <c r="AW195" s="1"/>
  <c r="BL195" s="1"/>
  <c r="AY98"/>
  <c r="AZ98"/>
  <c r="BF98" s="1"/>
  <c r="BA98"/>
  <c r="BG98" s="1"/>
  <c r="BB98"/>
  <c r="BH98" s="1"/>
  <c r="BC98"/>
  <c r="BI98" s="1"/>
  <c r="AU98"/>
  <c r="AW98" s="1"/>
  <c r="BL98" s="1"/>
  <c r="AU146"/>
  <c r="AW146" s="1"/>
  <c r="BL146" s="1"/>
  <c r="BC146"/>
  <c r="BI146" s="1"/>
  <c r="BB146"/>
  <c r="BH146" s="1"/>
  <c r="BA146"/>
  <c r="BG146" s="1"/>
  <c r="AZ146"/>
  <c r="BF146" s="1"/>
  <c r="AY146"/>
  <c r="AX146"/>
  <c r="AK12"/>
  <c r="L8" i="51061"/>
  <c r="AU442" i="51055"/>
  <c r="AW442" s="1"/>
  <c r="BL442" s="1"/>
  <c r="AY442"/>
  <c r="AZ442"/>
  <c r="BF442" s="1"/>
  <c r="BA442"/>
  <c r="BG442" s="1"/>
  <c r="BB442"/>
  <c r="BH442" s="1"/>
  <c r="BC442"/>
  <c r="BI442" s="1"/>
  <c r="AX442"/>
  <c r="AU512"/>
  <c r="AW512" s="1"/>
  <c r="BL512" s="1"/>
  <c r="AY512"/>
  <c r="AZ512"/>
  <c r="BF512" s="1"/>
  <c r="BA512"/>
  <c r="BG512" s="1"/>
  <c r="BB512"/>
  <c r="BH512" s="1"/>
  <c r="BC512"/>
  <c r="BI512" s="1"/>
  <c r="AX512"/>
  <c r="AY542"/>
  <c r="AZ542"/>
  <c r="BF542" s="1"/>
  <c r="BA542"/>
  <c r="BG542" s="1"/>
  <c r="BB542"/>
  <c r="BH542" s="1"/>
  <c r="BC542"/>
  <c r="BI542" s="1"/>
  <c r="AX542"/>
  <c r="AU542"/>
  <c r="AW542" s="1"/>
  <c r="BL542" s="1"/>
  <c r="BP111"/>
  <c r="BR111" s="1"/>
  <c r="BD33"/>
  <c r="BE33"/>
  <c r="AU128"/>
  <c r="AW128" s="1"/>
  <c r="BL128" s="1"/>
  <c r="AY128"/>
  <c r="AZ128"/>
  <c r="BF128" s="1"/>
  <c r="BA128"/>
  <c r="BG128" s="1"/>
  <c r="BB128"/>
  <c r="BH128" s="1"/>
  <c r="BC128"/>
  <c r="BI128" s="1"/>
  <c r="AY81"/>
  <c r="AZ81"/>
  <c r="BF81" s="1"/>
  <c r="BA81"/>
  <c r="BG81" s="1"/>
  <c r="BB81"/>
  <c r="BH81" s="1"/>
  <c r="BC81"/>
  <c r="BI81" s="1"/>
  <c r="AU81"/>
  <c r="AW81" s="1"/>
  <c r="BL81" s="1"/>
  <c r="AY66"/>
  <c r="AZ66"/>
  <c r="BF66" s="1"/>
  <c r="BA66"/>
  <c r="BG66" s="1"/>
  <c r="BB66"/>
  <c r="BH66" s="1"/>
  <c r="BC66"/>
  <c r="BI66" s="1"/>
  <c r="AU66"/>
  <c r="AW66" s="1"/>
  <c r="BL66" s="1"/>
  <c r="AY54"/>
  <c r="AZ54"/>
  <c r="BF54" s="1"/>
  <c r="BA54"/>
  <c r="BG54" s="1"/>
  <c r="BB54"/>
  <c r="BH54" s="1"/>
  <c r="BC54"/>
  <c r="BI54" s="1"/>
  <c r="AU54"/>
  <c r="AW54" s="1"/>
  <c r="BL54" s="1"/>
  <c r="AY26"/>
  <c r="AZ26"/>
  <c r="BF26" s="1"/>
  <c r="BA26"/>
  <c r="BG26" s="1"/>
  <c r="BB26"/>
  <c r="BH26" s="1"/>
  <c r="BC26"/>
  <c r="BI26" s="1"/>
  <c r="AU26"/>
  <c r="AW26" s="1"/>
  <c r="BL26" s="1"/>
  <c r="AY17"/>
  <c r="AZ17"/>
  <c r="BF17" s="1"/>
  <c r="BA17"/>
  <c r="BG17" s="1"/>
  <c r="BB17"/>
  <c r="BH17" s="1"/>
  <c r="BC17"/>
  <c r="BI17" s="1"/>
  <c r="AX17"/>
  <c r="AU17"/>
  <c r="AW17" s="1"/>
  <c r="BL17" s="1"/>
  <c r="H49" i="51061"/>
  <c r="H33"/>
  <c r="G103"/>
  <c r="L99"/>
  <c r="BS578" i="51055"/>
  <c r="BU578" s="1"/>
  <c r="BV578" s="1"/>
  <c r="BS295"/>
  <c r="BU295" s="1"/>
  <c r="BV295" s="1"/>
  <c r="BS398"/>
  <c r="BU398" s="1"/>
  <c r="BV398" s="1"/>
  <c r="BS357"/>
  <c r="BU357" s="1"/>
  <c r="BV357" s="1"/>
  <c r="BS311"/>
  <c r="BU311" s="1"/>
  <c r="BV311" s="1"/>
  <c r="AX693"/>
  <c r="AX664"/>
  <c r="AX631"/>
  <c r="AX268"/>
  <c r="BS350"/>
  <c r="BU350" s="1"/>
  <c r="BV350" s="1"/>
  <c r="BS274"/>
  <c r="BU274" s="1"/>
  <c r="BV274" s="1"/>
  <c r="BS413"/>
  <c r="BU413" s="1"/>
  <c r="BV413" s="1"/>
  <c r="BS375"/>
  <c r="BU375" s="1"/>
  <c r="BV375" s="1"/>
  <c r="AX85"/>
  <c r="AX56"/>
  <c r="BS93"/>
  <c r="BU93" s="1"/>
  <c r="BV93" s="1"/>
  <c r="AX137"/>
  <c r="AX99"/>
  <c r="M51" i="51061"/>
  <c r="AX331" i="51055"/>
  <c r="AX50"/>
  <c r="AX228"/>
  <c r="BS593"/>
  <c r="BU593" s="1"/>
  <c r="BV593" s="1"/>
  <c r="BS436"/>
  <c r="BU436" s="1"/>
  <c r="BV436" s="1"/>
  <c r="AX558"/>
  <c r="BS591"/>
  <c r="BU591" s="1"/>
  <c r="BV591" s="1"/>
  <c r="BS480"/>
  <c r="BU480" s="1"/>
  <c r="BV480" s="1"/>
  <c r="BS456"/>
  <c r="BU456" s="1"/>
  <c r="BV456" s="1"/>
  <c r="BS419"/>
  <c r="BU419" s="1"/>
  <c r="BV419" s="1"/>
  <c r="BS390"/>
  <c r="BU390" s="1"/>
  <c r="BV390" s="1"/>
  <c r="BS246"/>
  <c r="BU246" s="1"/>
  <c r="BV246" s="1"/>
  <c r="BS407"/>
  <c r="BU407" s="1"/>
  <c r="BV407" s="1"/>
  <c r="BS89"/>
  <c r="BU89" s="1"/>
  <c r="BV89" s="1"/>
  <c r="AX76"/>
  <c r="AX48"/>
  <c r="AX141"/>
  <c r="L109" i="51061"/>
  <c r="AX460" i="51055"/>
  <c r="AX487"/>
  <c r="L67" i="51061"/>
  <c r="Y742" i="51055"/>
  <c r="AE742"/>
  <c r="G25" i="51061"/>
  <c r="G42"/>
  <c r="BS617" i="51055"/>
  <c r="BU617" s="1"/>
  <c r="BV617" s="1"/>
  <c r="BS280"/>
  <c r="BU280" s="1"/>
  <c r="BV280" s="1"/>
  <c r="BS386"/>
  <c r="BU386" s="1"/>
  <c r="BV386" s="1"/>
  <c r="L29" i="51061"/>
  <c r="BS235" i="51055"/>
  <c r="BU235" s="1"/>
  <c r="BV235" s="1"/>
  <c r="AX92"/>
  <c r="AX88"/>
  <c r="H54" i="51061"/>
  <c r="AX49" i="51055"/>
  <c r="Z742"/>
  <c r="AX111"/>
  <c r="AY686"/>
  <c r="AZ686"/>
  <c r="BF686" s="1"/>
  <c r="BA686"/>
  <c r="BG686" s="1"/>
  <c r="BB686"/>
  <c r="BH686" s="1"/>
  <c r="BC686"/>
  <c r="BI686" s="1"/>
  <c r="AU686"/>
  <c r="AW686" s="1"/>
  <c r="BL686" s="1"/>
  <c r="AX686"/>
  <c r="AU712"/>
  <c r="AW712" s="1"/>
  <c r="BL712" s="1"/>
  <c r="AY712"/>
  <c r="AZ712"/>
  <c r="BF712" s="1"/>
  <c r="BA712"/>
  <c r="BG712" s="1"/>
  <c r="BB712"/>
  <c r="BH712" s="1"/>
  <c r="BC712"/>
  <c r="BI712" s="1"/>
  <c r="AX712"/>
  <c r="AU677"/>
  <c r="AW677" s="1"/>
  <c r="BL677" s="1"/>
  <c r="AY677"/>
  <c r="AZ677"/>
  <c r="BF677" s="1"/>
  <c r="BA677"/>
  <c r="BG677" s="1"/>
  <c r="BB677"/>
  <c r="BH677" s="1"/>
  <c r="BC677"/>
  <c r="BI677" s="1"/>
  <c r="AX677"/>
  <c r="AY236"/>
  <c r="AZ236"/>
  <c r="BF236" s="1"/>
  <c r="BA236"/>
  <c r="BG236" s="1"/>
  <c r="BB236"/>
  <c r="BH236" s="1"/>
  <c r="BC236"/>
  <c r="BI236" s="1"/>
  <c r="AX236"/>
  <c r="AU236"/>
  <c r="AW236" s="1"/>
  <c r="BL236" s="1"/>
  <c r="AY412"/>
  <c r="AZ412"/>
  <c r="BF412" s="1"/>
  <c r="BA412"/>
  <c r="BG412" s="1"/>
  <c r="BB412"/>
  <c r="BH412" s="1"/>
  <c r="BC412"/>
  <c r="BI412" s="1"/>
  <c r="AU412"/>
  <c r="AW412" s="1"/>
  <c r="BL412" s="1"/>
  <c r="AU349"/>
  <c r="AW349" s="1"/>
  <c r="BL349" s="1"/>
  <c r="AY349"/>
  <c r="AZ349"/>
  <c r="BF349" s="1"/>
  <c r="BA349"/>
  <c r="BG349" s="1"/>
  <c r="BB349"/>
  <c r="BH349" s="1"/>
  <c r="BC349"/>
  <c r="BI349" s="1"/>
  <c r="AX349"/>
  <c r="AY417"/>
  <c r="AZ417"/>
  <c r="BF417" s="1"/>
  <c r="BA417"/>
  <c r="BG417" s="1"/>
  <c r="BB417"/>
  <c r="BH417" s="1"/>
  <c r="BC417"/>
  <c r="BI417" s="1"/>
  <c r="AX417"/>
  <c r="AU417"/>
  <c r="AW417" s="1"/>
  <c r="BL417" s="1"/>
  <c r="CC431"/>
  <c r="CD431"/>
  <c r="AY238"/>
  <c r="AZ238"/>
  <c r="BF238" s="1"/>
  <c r="BA238"/>
  <c r="BG238" s="1"/>
  <c r="BB238"/>
  <c r="BH238" s="1"/>
  <c r="BC238"/>
  <c r="BI238" s="1"/>
  <c r="AU238"/>
  <c r="AW238" s="1"/>
  <c r="BL238" s="1"/>
  <c r="AU187"/>
  <c r="AW187" s="1"/>
  <c r="BL187" s="1"/>
  <c r="AY187"/>
  <c r="AZ187"/>
  <c r="BF187" s="1"/>
  <c r="BA187"/>
  <c r="BG187" s="1"/>
  <c r="BB187"/>
  <c r="BH187" s="1"/>
  <c r="BC187"/>
  <c r="BI187" s="1"/>
  <c r="AX187"/>
  <c r="BC71"/>
  <c r="BI71" s="1"/>
  <c r="BA71"/>
  <c r="BG71" s="1"/>
  <c r="AY71"/>
  <c r="AU71"/>
  <c r="AW71" s="1"/>
  <c r="BL71" s="1"/>
  <c r="BB71"/>
  <c r="BH71" s="1"/>
  <c r="AZ71"/>
  <c r="BF71" s="1"/>
  <c r="AU203"/>
  <c r="AW203" s="1"/>
  <c r="BL203" s="1"/>
  <c r="AY203"/>
  <c r="AZ203"/>
  <c r="BF203" s="1"/>
  <c r="BA203"/>
  <c r="BG203" s="1"/>
  <c r="BB203"/>
  <c r="BH203" s="1"/>
  <c r="BC203"/>
  <c r="BI203" s="1"/>
  <c r="AX203"/>
  <c r="AU154"/>
  <c r="AW154" s="1"/>
  <c r="BL154" s="1"/>
  <c r="AX154"/>
  <c r="AY154"/>
  <c r="AZ154"/>
  <c r="BF154" s="1"/>
  <c r="BA154"/>
  <c r="BG154" s="1"/>
  <c r="BB154"/>
  <c r="BH154" s="1"/>
  <c r="BC154"/>
  <c r="BI154" s="1"/>
  <c r="AU104"/>
  <c r="AW104" s="1"/>
  <c r="BL104" s="1"/>
  <c r="AY104"/>
  <c r="AZ104"/>
  <c r="BF104" s="1"/>
  <c r="BA104"/>
  <c r="BG104" s="1"/>
  <c r="BB104"/>
  <c r="BH104" s="1"/>
  <c r="BC104"/>
  <c r="BI104" s="1"/>
  <c r="AX104"/>
  <c r="AY90"/>
  <c r="AZ90"/>
  <c r="BF90" s="1"/>
  <c r="BA90"/>
  <c r="BG90" s="1"/>
  <c r="BB90"/>
  <c r="BH90" s="1"/>
  <c r="BC90"/>
  <c r="BI90" s="1"/>
  <c r="AU90"/>
  <c r="AW90" s="1"/>
  <c r="BL90" s="1"/>
  <c r="AX739"/>
  <c r="BC739"/>
  <c r="BI739" s="1"/>
  <c r="BA739"/>
  <c r="BG739" s="1"/>
  <c r="AY739"/>
  <c r="AU739"/>
  <c r="AW739" s="1"/>
  <c r="BL739" s="1"/>
  <c r="BB739"/>
  <c r="BH739" s="1"/>
  <c r="AZ739"/>
  <c r="BF739" s="1"/>
  <c r="AY611"/>
  <c r="AZ611"/>
  <c r="BF611" s="1"/>
  <c r="BA611"/>
  <c r="BG611" s="1"/>
  <c r="BB611"/>
  <c r="BH611" s="1"/>
  <c r="BC611"/>
  <c r="BI611" s="1"/>
  <c r="AU611"/>
  <c r="AW611" s="1"/>
  <c r="BL611" s="1"/>
  <c r="AY150"/>
  <c r="AZ150"/>
  <c r="BF150" s="1"/>
  <c r="BA150"/>
  <c r="BG150" s="1"/>
  <c r="BB150"/>
  <c r="BH150" s="1"/>
  <c r="BC150"/>
  <c r="BI150" s="1"/>
  <c r="AU150"/>
  <c r="AW150" s="1"/>
  <c r="BL150" s="1"/>
  <c r="AU718"/>
  <c r="AW718" s="1"/>
  <c r="BL718" s="1"/>
  <c r="AY718"/>
  <c r="AZ718"/>
  <c r="BF718" s="1"/>
  <c r="BA718"/>
  <c r="BG718" s="1"/>
  <c r="BB718"/>
  <c r="BH718" s="1"/>
  <c r="BC718"/>
  <c r="BI718" s="1"/>
  <c r="AX718"/>
  <c r="AU661"/>
  <c r="AW661" s="1"/>
  <c r="BL661" s="1"/>
  <c r="AY661"/>
  <c r="AZ661"/>
  <c r="BF661" s="1"/>
  <c r="BA661"/>
  <c r="BG661" s="1"/>
  <c r="BB661"/>
  <c r="BH661" s="1"/>
  <c r="BC661"/>
  <c r="BI661" s="1"/>
  <c r="AU714"/>
  <c r="AW714" s="1"/>
  <c r="BL714" s="1"/>
  <c r="AY714"/>
  <c r="AZ714"/>
  <c r="BF714" s="1"/>
  <c r="BA714"/>
  <c r="BG714" s="1"/>
  <c r="BB714"/>
  <c r="BH714" s="1"/>
  <c r="BC714"/>
  <c r="BI714" s="1"/>
  <c r="AX714"/>
  <c r="AU625"/>
  <c r="AW625" s="1"/>
  <c r="BL625" s="1"/>
  <c r="AY625"/>
  <c r="AZ625"/>
  <c r="BF625" s="1"/>
  <c r="BA625"/>
  <c r="BG625" s="1"/>
  <c r="BB625"/>
  <c r="BH625" s="1"/>
  <c r="BC625"/>
  <c r="BI625" s="1"/>
  <c r="AX625"/>
  <c r="AU502"/>
  <c r="AW502" s="1"/>
  <c r="BL502" s="1"/>
  <c r="AY502"/>
  <c r="AZ502"/>
  <c r="BF502" s="1"/>
  <c r="BA502"/>
  <c r="BG502" s="1"/>
  <c r="BB502"/>
  <c r="BH502" s="1"/>
  <c r="BC502"/>
  <c r="BI502" s="1"/>
  <c r="AU455"/>
  <c r="AW455" s="1"/>
  <c r="BL455" s="1"/>
  <c r="AY455"/>
  <c r="AZ455"/>
  <c r="BF455" s="1"/>
  <c r="BA455"/>
  <c r="BG455" s="1"/>
  <c r="BB455"/>
  <c r="BH455" s="1"/>
  <c r="BC455"/>
  <c r="BI455" s="1"/>
  <c r="AX455"/>
  <c r="AU651"/>
  <c r="AW651" s="1"/>
  <c r="BL651" s="1"/>
  <c r="AY651"/>
  <c r="AZ651"/>
  <c r="BF651" s="1"/>
  <c r="BA651"/>
  <c r="BG651" s="1"/>
  <c r="BB651"/>
  <c r="BH651" s="1"/>
  <c r="BC651"/>
  <c r="BI651" s="1"/>
  <c r="AX651"/>
  <c r="AU620"/>
  <c r="AW620" s="1"/>
  <c r="BL620" s="1"/>
  <c r="AY620"/>
  <c r="AZ620"/>
  <c r="BF620" s="1"/>
  <c r="BA620"/>
  <c r="BG620" s="1"/>
  <c r="BB620"/>
  <c r="BH620" s="1"/>
  <c r="BC620"/>
  <c r="BI620" s="1"/>
  <c r="AX620"/>
  <c r="AU290"/>
  <c r="AW290" s="1"/>
  <c r="BL290" s="1"/>
  <c r="AY290"/>
  <c r="AZ290"/>
  <c r="BF290" s="1"/>
  <c r="BA290"/>
  <c r="BG290" s="1"/>
  <c r="BB290"/>
  <c r="BH290" s="1"/>
  <c r="BC290"/>
  <c r="BI290" s="1"/>
  <c r="AX290"/>
  <c r="AU364"/>
  <c r="AW364" s="1"/>
  <c r="BL364" s="1"/>
  <c r="AY364"/>
  <c r="AZ364"/>
  <c r="BF364" s="1"/>
  <c r="BA364"/>
  <c r="BG364" s="1"/>
  <c r="BB364"/>
  <c r="BH364" s="1"/>
  <c r="BC364"/>
  <c r="BI364" s="1"/>
  <c r="AX364"/>
  <c r="AU267"/>
  <c r="AW267" s="1"/>
  <c r="BL267" s="1"/>
  <c r="AY267"/>
  <c r="AZ267"/>
  <c r="BF267" s="1"/>
  <c r="BA267"/>
  <c r="BG267" s="1"/>
  <c r="BB267"/>
  <c r="BH267" s="1"/>
  <c r="BC267"/>
  <c r="BI267" s="1"/>
  <c r="AX267"/>
  <c r="AU367"/>
  <c r="AW367" s="1"/>
  <c r="BL367" s="1"/>
  <c r="AY367"/>
  <c r="AZ367"/>
  <c r="BF367" s="1"/>
  <c r="BA367"/>
  <c r="BG367" s="1"/>
  <c r="BB367"/>
  <c r="BH367" s="1"/>
  <c r="BC367"/>
  <c r="BI367" s="1"/>
  <c r="AU164"/>
  <c r="AW164" s="1"/>
  <c r="BL164" s="1"/>
  <c r="AX164"/>
  <c r="AY164"/>
  <c r="AZ164"/>
  <c r="BF164" s="1"/>
  <c r="BA164"/>
  <c r="BG164" s="1"/>
  <c r="BB164"/>
  <c r="BH164" s="1"/>
  <c r="BC164"/>
  <c r="BI164" s="1"/>
  <c r="AU214"/>
  <c r="AW214" s="1"/>
  <c r="BL214" s="1"/>
  <c r="AY214"/>
  <c r="AZ214"/>
  <c r="BF214" s="1"/>
  <c r="BA214"/>
  <c r="BG214" s="1"/>
  <c r="BB214"/>
  <c r="BH214" s="1"/>
  <c r="BC214"/>
  <c r="BI214" s="1"/>
  <c r="AU147"/>
  <c r="AW147" s="1"/>
  <c r="BL147" s="1"/>
  <c r="AY147"/>
  <c r="AZ147"/>
  <c r="BF147" s="1"/>
  <c r="BA147"/>
  <c r="BG147" s="1"/>
  <c r="BB147"/>
  <c r="BH147" s="1"/>
  <c r="BC147"/>
  <c r="BI147" s="1"/>
  <c r="AX147"/>
  <c r="AU62"/>
  <c r="AW62" s="1"/>
  <c r="BL62" s="1"/>
  <c r="AY62"/>
  <c r="AZ62"/>
  <c r="BF62" s="1"/>
  <c r="BA62"/>
  <c r="BG62" s="1"/>
  <c r="BB62"/>
  <c r="BH62" s="1"/>
  <c r="BC62"/>
  <c r="BI62" s="1"/>
  <c r="AU208"/>
  <c r="AW208" s="1"/>
  <c r="BL208" s="1"/>
  <c r="AY208"/>
  <c r="AZ208"/>
  <c r="BF208" s="1"/>
  <c r="BA208"/>
  <c r="BG208" s="1"/>
  <c r="BB208"/>
  <c r="BH208" s="1"/>
  <c r="BC208"/>
  <c r="BI208" s="1"/>
  <c r="AX208"/>
  <c r="AY47"/>
  <c r="AZ47"/>
  <c r="BF47" s="1"/>
  <c r="BA47"/>
  <c r="BG47" s="1"/>
  <c r="BB47"/>
  <c r="BH47" s="1"/>
  <c r="BC47"/>
  <c r="BI47" s="1"/>
  <c r="AU47"/>
  <c r="AW47" s="1"/>
  <c r="BL47" s="1"/>
  <c r="BP479"/>
  <c r="BR479" s="1"/>
  <c r="AU473"/>
  <c r="AY473"/>
  <c r="AZ473"/>
  <c r="BF473" s="1"/>
  <c r="BA473"/>
  <c r="BG473" s="1"/>
  <c r="BB473"/>
  <c r="BH473" s="1"/>
  <c r="BC473"/>
  <c r="BI473" s="1"/>
  <c r="AX473"/>
  <c r="M72" i="51061"/>
  <c r="BD444" i="51055"/>
  <c r="BE444"/>
  <c r="BP598"/>
  <c r="BR598" s="1"/>
  <c r="BD598"/>
  <c r="BE598"/>
  <c r="BP536"/>
  <c r="BR536" s="1"/>
  <c r="BP515"/>
  <c r="BR515" s="1"/>
  <c r="BS515"/>
  <c r="BU515" s="1"/>
  <c r="BV515" s="1"/>
  <c r="BD515"/>
  <c r="BE515"/>
  <c r="BD511"/>
  <c r="BE511"/>
  <c r="BP469"/>
  <c r="BR469" s="1"/>
  <c r="BD469"/>
  <c r="BE469"/>
  <c r="BP737"/>
  <c r="BR737" s="1"/>
  <c r="BD737"/>
  <c r="BE737"/>
  <c r="AU701"/>
  <c r="AY701"/>
  <c r="AZ701"/>
  <c r="BF701" s="1"/>
  <c r="BA701"/>
  <c r="BG701" s="1"/>
  <c r="BB701"/>
  <c r="BH701" s="1"/>
  <c r="BC701"/>
  <c r="BI701" s="1"/>
  <c r="M101" i="51061"/>
  <c r="AU641" i="51055"/>
  <c r="AY641"/>
  <c r="AZ641"/>
  <c r="BF641" s="1"/>
  <c r="BA641"/>
  <c r="BG641" s="1"/>
  <c r="BB641"/>
  <c r="BH641" s="1"/>
  <c r="BC641"/>
  <c r="BI641" s="1"/>
  <c r="AX641"/>
  <c r="M94" i="51061"/>
  <c r="M99" s="1"/>
  <c r="BD605" i="51055"/>
  <c r="BE605"/>
  <c r="BP584"/>
  <c r="BR584" s="1"/>
  <c r="BD579"/>
  <c r="BE579"/>
  <c r="BP575"/>
  <c r="BR575" s="1"/>
  <c r="BS575"/>
  <c r="BU575" s="1"/>
  <c r="BV575" s="1"/>
  <c r="BD562"/>
  <c r="BE562"/>
  <c r="BP547"/>
  <c r="BR547" s="1"/>
  <c r="BS547"/>
  <c r="BU547" s="1"/>
  <c r="BV547" s="1"/>
  <c r="BP509"/>
  <c r="BR509" s="1"/>
  <c r="BS509"/>
  <c r="BU509" s="1"/>
  <c r="BV509" s="1"/>
  <c r="BD485"/>
  <c r="BE485"/>
  <c r="AW540"/>
  <c r="BL540" s="1"/>
  <c r="Q80" i="51061"/>
  <c r="BP289" i="51055"/>
  <c r="BR289" s="1"/>
  <c r="BD289"/>
  <c r="BE289"/>
  <c r="AU360"/>
  <c r="AY360"/>
  <c r="AZ360"/>
  <c r="BF360" s="1"/>
  <c r="BA360"/>
  <c r="BG360" s="1"/>
  <c r="BB360"/>
  <c r="BH360" s="1"/>
  <c r="BC360"/>
  <c r="BI360" s="1"/>
  <c r="M56" i="51061"/>
  <c r="AU316" i="51055"/>
  <c r="AY316"/>
  <c r="AZ316"/>
  <c r="BF316" s="1"/>
  <c r="BA316"/>
  <c r="BG316" s="1"/>
  <c r="BB316"/>
  <c r="BH316" s="1"/>
  <c r="BC316"/>
  <c r="BI316" s="1"/>
  <c r="M47" i="51061"/>
  <c r="AU286" i="51055"/>
  <c r="AW286" s="1"/>
  <c r="BL286" s="1"/>
  <c r="AY286"/>
  <c r="AZ286"/>
  <c r="BF286" s="1"/>
  <c r="BA286"/>
  <c r="BG286" s="1"/>
  <c r="BB286"/>
  <c r="BH286" s="1"/>
  <c r="BC286"/>
  <c r="BI286" s="1"/>
  <c r="AX286"/>
  <c r="BD252"/>
  <c r="BE252"/>
  <c r="BP721"/>
  <c r="BR721" s="1"/>
  <c r="BD721"/>
  <c r="BE721"/>
  <c r="AW709"/>
  <c r="BL709" s="1"/>
  <c r="BP693"/>
  <c r="BR693" s="1"/>
  <c r="BD693"/>
  <c r="BE693"/>
  <c r="AW674"/>
  <c r="BL674" s="1"/>
  <c r="BS664"/>
  <c r="BU664" s="1"/>
  <c r="BV664" s="1"/>
  <c r="BP664"/>
  <c r="BR664" s="1"/>
  <c r="BD664"/>
  <c r="BE664"/>
  <c r="AW653"/>
  <c r="BP631"/>
  <c r="BR631" s="1"/>
  <c r="BD631"/>
  <c r="BE631"/>
  <c r="BD622"/>
  <c r="BE622"/>
  <c r="BP268"/>
  <c r="BR268" s="1"/>
  <c r="BD268"/>
  <c r="BE268"/>
  <c r="AY248"/>
  <c r="AZ248"/>
  <c r="BF248" s="1"/>
  <c r="BA248"/>
  <c r="BG248" s="1"/>
  <c r="BB248"/>
  <c r="BH248" s="1"/>
  <c r="BC248"/>
  <c r="BI248" s="1"/>
  <c r="AX248"/>
  <c r="M43" i="51061"/>
  <c r="AU248" i="51055"/>
  <c r="CC237"/>
  <c r="CD237"/>
  <c r="AW527"/>
  <c r="BD527"/>
  <c r="BE527"/>
  <c r="AY415"/>
  <c r="AZ415"/>
  <c r="BF415" s="1"/>
  <c r="BA415"/>
  <c r="BG415" s="1"/>
  <c r="BB415"/>
  <c r="BH415" s="1"/>
  <c r="BC415"/>
  <c r="BI415" s="1"/>
  <c r="AX415"/>
  <c r="M65" i="51061"/>
  <c r="AU415" i="51055"/>
  <c r="AU372"/>
  <c r="AW372" s="1"/>
  <c r="BL372" s="1"/>
  <c r="AY372"/>
  <c r="AZ372"/>
  <c r="BF372" s="1"/>
  <c r="BA372"/>
  <c r="BG372" s="1"/>
  <c r="BB372"/>
  <c r="BH372" s="1"/>
  <c r="BC372"/>
  <c r="BI372" s="1"/>
  <c r="AX372"/>
  <c r="AW423"/>
  <c r="BL423" s="1"/>
  <c r="BD353"/>
  <c r="BE353"/>
  <c r="AU192"/>
  <c r="AY192"/>
  <c r="AZ192"/>
  <c r="BF192" s="1"/>
  <c r="BA192"/>
  <c r="BG192" s="1"/>
  <c r="BB192"/>
  <c r="BH192" s="1"/>
  <c r="BC192"/>
  <c r="BI192" s="1"/>
  <c r="M32" i="51061"/>
  <c r="AU134" i="51055"/>
  <c r="AY134"/>
  <c r="AZ134"/>
  <c r="BF134" s="1"/>
  <c r="BA134"/>
  <c r="BG134" s="1"/>
  <c r="BB134"/>
  <c r="BH134" s="1"/>
  <c r="BC134"/>
  <c r="BI134" s="1"/>
  <c r="AX134"/>
  <c r="M23" i="51061"/>
  <c r="CC225" i="51055"/>
  <c r="CD225"/>
  <c r="CC95"/>
  <c r="CD95"/>
  <c r="BP85"/>
  <c r="BR85" s="1"/>
  <c r="BD85"/>
  <c r="BE85"/>
  <c r="BD56"/>
  <c r="BE56"/>
  <c r="AW27"/>
  <c r="BD137"/>
  <c r="BE137"/>
  <c r="BP137"/>
  <c r="BR137" s="1"/>
  <c r="BD99"/>
  <c r="BE99"/>
  <c r="BP99"/>
  <c r="BR99" s="1"/>
  <c r="BD368"/>
  <c r="BE368"/>
  <c r="BP348"/>
  <c r="BR348" s="1"/>
  <c r="BD348"/>
  <c r="BE348"/>
  <c r="AW334"/>
  <c r="Q51" i="51061"/>
  <c r="BP331" i="51055"/>
  <c r="BR331" s="1"/>
  <c r="BD331"/>
  <c r="BE331"/>
  <c r="AW285"/>
  <c r="BL285" s="1"/>
  <c r="BP265"/>
  <c r="BR265" s="1"/>
  <c r="BD265"/>
  <c r="BE265"/>
  <c r="BD67"/>
  <c r="BE67"/>
  <c r="BD50"/>
  <c r="BE50"/>
  <c r="BP50"/>
  <c r="BR50" s="1"/>
  <c r="BS50"/>
  <c r="BU50" s="1"/>
  <c r="BV50" s="1"/>
  <c r="BP228"/>
  <c r="BR228" s="1"/>
  <c r="BP373"/>
  <c r="BR373" s="1"/>
  <c r="BD373"/>
  <c r="BE373"/>
  <c r="BD435"/>
  <c r="BE435"/>
  <c r="BD505"/>
  <c r="BE505"/>
  <c r="BP541"/>
  <c r="BR541" s="1"/>
  <c r="BP694"/>
  <c r="BR694" s="1"/>
  <c r="BP581"/>
  <c r="BR581" s="1"/>
  <c r="BS581"/>
  <c r="BU581" s="1"/>
  <c r="BV581" s="1"/>
  <c r="BD581"/>
  <c r="BE581"/>
  <c r="BP445"/>
  <c r="BR445" s="1"/>
  <c r="BD445"/>
  <c r="BE445"/>
  <c r="BP482"/>
  <c r="BR482" s="1"/>
  <c r="BD482"/>
  <c r="BE482"/>
  <c r="BP465"/>
  <c r="BR465" s="1"/>
  <c r="BD465"/>
  <c r="BE465"/>
  <c r="BP24"/>
  <c r="BR24" s="1"/>
  <c r="BD548"/>
  <c r="BE548"/>
  <c r="BP599"/>
  <c r="BR599" s="1"/>
  <c r="AU569"/>
  <c r="AY569"/>
  <c r="AZ569"/>
  <c r="BF569" s="1"/>
  <c r="BA569"/>
  <c r="BG569" s="1"/>
  <c r="BB569"/>
  <c r="BH569" s="1"/>
  <c r="BC569"/>
  <c r="BI569" s="1"/>
  <c r="M84" i="51061"/>
  <c r="M87" s="1"/>
  <c r="BD564" i="51055"/>
  <c r="BE564"/>
  <c r="BP543"/>
  <c r="BR543" s="1"/>
  <c r="BS543"/>
  <c r="BU543" s="1"/>
  <c r="BV543" s="1"/>
  <c r="BD521"/>
  <c r="BE521"/>
  <c r="BP558"/>
  <c r="BR558" s="1"/>
  <c r="BD558"/>
  <c r="BE558"/>
  <c r="BP597"/>
  <c r="BR597" s="1"/>
  <c r="BD553"/>
  <c r="BE553"/>
  <c r="BP481"/>
  <c r="BR481" s="1"/>
  <c r="BP613"/>
  <c r="BR613" s="1"/>
  <c r="BS613"/>
  <c r="BU613" s="1"/>
  <c r="BV613" s="1"/>
  <c r="BD613"/>
  <c r="BE613"/>
  <c r="AY735"/>
  <c r="AZ735"/>
  <c r="BF735" s="1"/>
  <c r="BA735"/>
  <c r="BG735" s="1"/>
  <c r="BB735"/>
  <c r="BH735" s="1"/>
  <c r="BC735"/>
  <c r="BI735" s="1"/>
  <c r="AX735"/>
  <c r="M108" i="51061"/>
  <c r="AU735" i="51055"/>
  <c r="BD594"/>
  <c r="BE594"/>
  <c r="BP573"/>
  <c r="BR573" s="1"/>
  <c r="BS573"/>
  <c r="BU573" s="1"/>
  <c r="BV573" s="1"/>
  <c r="BD559"/>
  <c r="BE559"/>
  <c r="BP545"/>
  <c r="BR545" s="1"/>
  <c r="BS545"/>
  <c r="BU545" s="1"/>
  <c r="BV545" s="1"/>
  <c r="BD518"/>
  <c r="BE518"/>
  <c r="BP472"/>
  <c r="BR472" s="1"/>
  <c r="BS472"/>
  <c r="BU472" s="1"/>
  <c r="BV472" s="1"/>
  <c r="AU324"/>
  <c r="AY324"/>
  <c r="AZ324"/>
  <c r="BF324" s="1"/>
  <c r="BA324"/>
  <c r="BG324" s="1"/>
  <c r="BB324"/>
  <c r="BH324" s="1"/>
  <c r="BC324"/>
  <c r="BI324" s="1"/>
  <c r="AX324"/>
  <c r="M50" i="51061"/>
  <c r="BP261" i="51055"/>
  <c r="BR261" s="1"/>
  <c r="BD261"/>
  <c r="BE261"/>
  <c r="CC217"/>
  <c r="CD217"/>
  <c r="AU409"/>
  <c r="AY409"/>
  <c r="AZ409"/>
  <c r="BF409" s="1"/>
  <c r="BA409"/>
  <c r="BG409" s="1"/>
  <c r="BB409"/>
  <c r="BH409" s="1"/>
  <c r="BC409"/>
  <c r="BI409" s="1"/>
  <c r="AX409"/>
  <c r="M63" i="51061"/>
  <c r="AU260" i="51055"/>
  <c r="AW260" s="1"/>
  <c r="BL260" s="1"/>
  <c r="AY260"/>
  <c r="AZ260"/>
  <c r="BF260" s="1"/>
  <c r="BA260"/>
  <c r="BG260" s="1"/>
  <c r="BB260"/>
  <c r="BH260" s="1"/>
  <c r="BC260"/>
  <c r="BI260" s="1"/>
  <c r="AX260"/>
  <c r="CC178"/>
  <c r="CD178"/>
  <c r="AW151"/>
  <c r="CC148"/>
  <c r="CD148"/>
  <c r="CC101"/>
  <c r="CD101"/>
  <c r="CC109"/>
  <c r="CD109"/>
  <c r="BP76"/>
  <c r="BR76" s="1"/>
  <c r="BE76"/>
  <c r="BD76"/>
  <c r="BD19"/>
  <c r="BE19"/>
  <c r="AK453"/>
  <c r="L70" i="51061"/>
  <c r="BD48" i="51055"/>
  <c r="BE48"/>
  <c r="BP48"/>
  <c r="BR48" s="1"/>
  <c r="BD32"/>
  <c r="BE32"/>
  <c r="AW52"/>
  <c r="BL52" s="1"/>
  <c r="BD52"/>
  <c r="BE52"/>
  <c r="BD141"/>
  <c r="BE141"/>
  <c r="BS141"/>
  <c r="BU141" s="1"/>
  <c r="BV141" s="1"/>
  <c r="BP141"/>
  <c r="BR141" s="1"/>
  <c r="AY727"/>
  <c r="AZ727"/>
  <c r="BF727" s="1"/>
  <c r="BA727"/>
  <c r="BG727" s="1"/>
  <c r="BB727"/>
  <c r="BH727" s="1"/>
  <c r="BC727"/>
  <c r="BI727" s="1"/>
  <c r="AX727"/>
  <c r="M106" i="51061"/>
  <c r="M109" s="1"/>
  <c r="AU727" i="51055"/>
  <c r="BP460"/>
  <c r="BR460" s="1"/>
  <c r="BD460"/>
  <c r="BE460"/>
  <c r="AK690"/>
  <c r="L100" i="51061"/>
  <c r="L103" s="1"/>
  <c r="BP487" i="51055"/>
  <c r="BR487" s="1"/>
  <c r="BD487"/>
  <c r="BE487"/>
  <c r="BD528"/>
  <c r="BE528"/>
  <c r="AU592"/>
  <c r="AW592" s="1"/>
  <c r="BL592" s="1"/>
  <c r="AY592"/>
  <c r="AZ592"/>
  <c r="BF592" s="1"/>
  <c r="BA592"/>
  <c r="BG592" s="1"/>
  <c r="BB592"/>
  <c r="BH592" s="1"/>
  <c r="BC592"/>
  <c r="BI592" s="1"/>
  <c r="AX592"/>
  <c r="AU448"/>
  <c r="AW448" s="1"/>
  <c r="BL448" s="1"/>
  <c r="AY448"/>
  <c r="AZ448"/>
  <c r="BF448" s="1"/>
  <c r="BA448"/>
  <c r="BG448" s="1"/>
  <c r="BB448"/>
  <c r="BH448" s="1"/>
  <c r="BC448"/>
  <c r="BI448" s="1"/>
  <c r="AX448"/>
  <c r="BP441"/>
  <c r="BR441" s="1"/>
  <c r="BD441"/>
  <c r="BE441"/>
  <c r="AK345"/>
  <c r="L53" i="51061"/>
  <c r="L55" s="1"/>
  <c r="AU322" i="51055"/>
  <c r="AW322" s="1"/>
  <c r="BL322" s="1"/>
  <c r="AY322"/>
  <c r="AZ322"/>
  <c r="BF322" s="1"/>
  <c r="BA322"/>
  <c r="BG322" s="1"/>
  <c r="BB322"/>
  <c r="BH322" s="1"/>
  <c r="BC322"/>
  <c r="BI322" s="1"/>
  <c r="AX322"/>
  <c r="AU253"/>
  <c r="AW253" s="1"/>
  <c r="BL253" s="1"/>
  <c r="AY253"/>
  <c r="AZ253"/>
  <c r="BF253" s="1"/>
  <c r="BA253"/>
  <c r="BG253" s="1"/>
  <c r="BB253"/>
  <c r="BH253" s="1"/>
  <c r="BC253"/>
  <c r="BI253" s="1"/>
  <c r="AX253"/>
  <c r="BP458"/>
  <c r="BR458" s="1"/>
  <c r="BD458"/>
  <c r="BE458"/>
  <c r="BS201"/>
  <c r="BU201" s="1"/>
  <c r="BV201" s="1"/>
  <c r="BP201"/>
  <c r="BR201" s="1"/>
  <c r="BD201"/>
  <c r="BE201"/>
  <c r="AU313"/>
  <c r="AW313" s="1"/>
  <c r="BL313" s="1"/>
  <c r="AY313"/>
  <c r="AZ313"/>
  <c r="BF313" s="1"/>
  <c r="BA313"/>
  <c r="BG313" s="1"/>
  <c r="BB313"/>
  <c r="BH313" s="1"/>
  <c r="BC313"/>
  <c r="BI313" s="1"/>
  <c r="AX313"/>
  <c r="AK113"/>
  <c r="L20" i="51061"/>
  <c r="AY220" i="51055"/>
  <c r="AZ220"/>
  <c r="BF220" s="1"/>
  <c r="BA220"/>
  <c r="BG220" s="1"/>
  <c r="BB220"/>
  <c r="BH220" s="1"/>
  <c r="BC220"/>
  <c r="BI220" s="1"/>
  <c r="AU220"/>
  <c r="AW220" s="1"/>
  <c r="BL220" s="1"/>
  <c r="AY206"/>
  <c r="AZ206"/>
  <c r="BF206" s="1"/>
  <c r="BA206"/>
  <c r="BG206" s="1"/>
  <c r="BB206"/>
  <c r="BH206" s="1"/>
  <c r="BC206"/>
  <c r="BI206" s="1"/>
  <c r="AU206"/>
  <c r="AW206" s="1"/>
  <c r="BL206" s="1"/>
  <c r="AY209"/>
  <c r="AZ209"/>
  <c r="BF209" s="1"/>
  <c r="BA209"/>
  <c r="BG209" s="1"/>
  <c r="BB209"/>
  <c r="BH209" s="1"/>
  <c r="BC209"/>
  <c r="BI209" s="1"/>
  <c r="AX209"/>
  <c r="AU209"/>
  <c r="AW209" s="1"/>
  <c r="BL209" s="1"/>
  <c r="AY190"/>
  <c r="AZ190"/>
  <c r="BF190" s="1"/>
  <c r="BA190"/>
  <c r="BG190" s="1"/>
  <c r="BB190"/>
  <c r="BH190" s="1"/>
  <c r="BC190"/>
  <c r="BI190" s="1"/>
  <c r="AU190"/>
  <c r="AW190" s="1"/>
  <c r="BL190" s="1"/>
  <c r="AY153"/>
  <c r="AZ153"/>
  <c r="BF153" s="1"/>
  <c r="BA153"/>
  <c r="BG153" s="1"/>
  <c r="BB153"/>
  <c r="BH153" s="1"/>
  <c r="BC153"/>
  <c r="BI153" s="1"/>
  <c r="AU153"/>
  <c r="AW153" s="1"/>
  <c r="BL153" s="1"/>
  <c r="AK58"/>
  <c r="L14" i="51061"/>
  <c r="AU665" i="51055"/>
  <c r="AW665" s="1"/>
  <c r="BL665" s="1"/>
  <c r="AY665"/>
  <c r="AZ665"/>
  <c r="BF665" s="1"/>
  <c r="BA665"/>
  <c r="BG665" s="1"/>
  <c r="BB665"/>
  <c r="BH665" s="1"/>
  <c r="BC665"/>
  <c r="BI665" s="1"/>
  <c r="AU468"/>
  <c r="AW468" s="1"/>
  <c r="BL468" s="1"/>
  <c r="AY468"/>
  <c r="AZ468"/>
  <c r="BF468" s="1"/>
  <c r="BA468"/>
  <c r="BG468" s="1"/>
  <c r="BB468"/>
  <c r="BH468" s="1"/>
  <c r="BC468"/>
  <c r="BI468" s="1"/>
  <c r="AX468"/>
  <c r="AU667"/>
  <c r="AW667" s="1"/>
  <c r="BL667" s="1"/>
  <c r="AY667"/>
  <c r="AZ667"/>
  <c r="BF667" s="1"/>
  <c r="BA667"/>
  <c r="BG667" s="1"/>
  <c r="BB667"/>
  <c r="BH667" s="1"/>
  <c r="BC667"/>
  <c r="BI667" s="1"/>
  <c r="AU281"/>
  <c r="AW281" s="1"/>
  <c r="BL281" s="1"/>
  <c r="AY281"/>
  <c r="AZ281"/>
  <c r="BF281" s="1"/>
  <c r="BA281"/>
  <c r="BG281" s="1"/>
  <c r="BB281"/>
  <c r="BH281" s="1"/>
  <c r="BC281"/>
  <c r="BI281" s="1"/>
  <c r="AX281"/>
  <c r="AU378"/>
  <c r="AW378" s="1"/>
  <c r="BL378" s="1"/>
  <c r="AY378"/>
  <c r="AZ378"/>
  <c r="BF378" s="1"/>
  <c r="BA378"/>
  <c r="BG378" s="1"/>
  <c r="BB378"/>
  <c r="BH378" s="1"/>
  <c r="BC378"/>
  <c r="BI378" s="1"/>
  <c r="AX378"/>
  <c r="AU351"/>
  <c r="AW351" s="1"/>
  <c r="BL351" s="1"/>
  <c r="AY351"/>
  <c r="AZ351"/>
  <c r="BF351" s="1"/>
  <c r="BA351"/>
  <c r="BG351" s="1"/>
  <c r="BB351"/>
  <c r="BH351" s="1"/>
  <c r="BC351"/>
  <c r="BI351" s="1"/>
  <c r="AX351"/>
  <c r="AU320"/>
  <c r="AW320" s="1"/>
  <c r="BL320" s="1"/>
  <c r="AY320"/>
  <c r="AZ320"/>
  <c r="BF320" s="1"/>
  <c r="BA320"/>
  <c r="BG320" s="1"/>
  <c r="BB320"/>
  <c r="BH320" s="1"/>
  <c r="BC320"/>
  <c r="BI320" s="1"/>
  <c r="AX320"/>
  <c r="AU288"/>
  <c r="AW288" s="1"/>
  <c r="BL288" s="1"/>
  <c r="AY288"/>
  <c r="AZ288"/>
  <c r="BF288" s="1"/>
  <c r="BA288"/>
  <c r="BG288" s="1"/>
  <c r="BB288"/>
  <c r="BH288" s="1"/>
  <c r="BC288"/>
  <c r="BI288" s="1"/>
  <c r="AX288"/>
  <c r="AU249"/>
  <c r="AW249" s="1"/>
  <c r="BL249" s="1"/>
  <c r="AY249"/>
  <c r="AZ249"/>
  <c r="BF249" s="1"/>
  <c r="BA249"/>
  <c r="BG249" s="1"/>
  <c r="BB249"/>
  <c r="BH249" s="1"/>
  <c r="BC249"/>
  <c r="BI249" s="1"/>
  <c r="AX249"/>
  <c r="AY233"/>
  <c r="AZ233"/>
  <c r="BF233" s="1"/>
  <c r="BA233"/>
  <c r="BG233" s="1"/>
  <c r="BB233"/>
  <c r="BH233" s="1"/>
  <c r="BC233"/>
  <c r="BI233" s="1"/>
  <c r="AU233"/>
  <c r="AW233" s="1"/>
  <c r="BL233" s="1"/>
  <c r="AU404"/>
  <c r="AW404" s="1"/>
  <c r="BL404" s="1"/>
  <c r="AY404"/>
  <c r="AZ404"/>
  <c r="BF404" s="1"/>
  <c r="BA404"/>
  <c r="BG404" s="1"/>
  <c r="BB404"/>
  <c r="BH404" s="1"/>
  <c r="BC404"/>
  <c r="BI404" s="1"/>
  <c r="AX404"/>
  <c r="AU257"/>
  <c r="AW257" s="1"/>
  <c r="BL257" s="1"/>
  <c r="AY257"/>
  <c r="AZ257"/>
  <c r="BF257" s="1"/>
  <c r="BA257"/>
  <c r="BG257" s="1"/>
  <c r="BB257"/>
  <c r="BH257" s="1"/>
  <c r="BC257"/>
  <c r="BI257" s="1"/>
  <c r="AX257"/>
  <c r="AY430"/>
  <c r="AZ430"/>
  <c r="BF430" s="1"/>
  <c r="BA430"/>
  <c r="BG430" s="1"/>
  <c r="BB430"/>
  <c r="BH430" s="1"/>
  <c r="BC430"/>
  <c r="BI430" s="1"/>
  <c r="AU430"/>
  <c r="AW430" s="1"/>
  <c r="BL430" s="1"/>
  <c r="AY226"/>
  <c r="AZ226"/>
  <c r="BF226" s="1"/>
  <c r="BA226"/>
  <c r="BG226" s="1"/>
  <c r="BB226"/>
  <c r="BH226" s="1"/>
  <c r="BC226"/>
  <c r="BI226" s="1"/>
  <c r="AU226"/>
  <c r="AW226" s="1"/>
  <c r="BL226" s="1"/>
  <c r="AU156"/>
  <c r="AW156" s="1"/>
  <c r="BL156" s="1"/>
  <c r="AY156"/>
  <c r="AZ156"/>
  <c r="BF156" s="1"/>
  <c r="BA156"/>
  <c r="BG156" s="1"/>
  <c r="BB156"/>
  <c r="BH156" s="1"/>
  <c r="BC156"/>
  <c r="BI156" s="1"/>
  <c r="BC231"/>
  <c r="BI231" s="1"/>
  <c r="BA231"/>
  <c r="BG231" s="1"/>
  <c r="AY231"/>
  <c r="AX231"/>
  <c r="AU231"/>
  <c r="AW231" s="1"/>
  <c r="BL231" s="1"/>
  <c r="BB231"/>
  <c r="BH231" s="1"/>
  <c r="AZ231"/>
  <c r="BF231" s="1"/>
  <c r="AU189"/>
  <c r="AW189" s="1"/>
  <c r="BL189" s="1"/>
  <c r="AY189"/>
  <c r="AZ189"/>
  <c r="BF189" s="1"/>
  <c r="BA189"/>
  <c r="BG189" s="1"/>
  <c r="BB189"/>
  <c r="BH189" s="1"/>
  <c r="BC189"/>
  <c r="BI189" s="1"/>
  <c r="AX189"/>
  <c r="AU149"/>
  <c r="AW149" s="1"/>
  <c r="BL149" s="1"/>
  <c r="AY149"/>
  <c r="AZ149"/>
  <c r="BF149" s="1"/>
  <c r="BA149"/>
  <c r="BG149" s="1"/>
  <c r="BB149"/>
  <c r="BH149" s="1"/>
  <c r="BC149"/>
  <c r="BI149" s="1"/>
  <c r="AX149"/>
  <c r="AU34"/>
  <c r="AW34" s="1"/>
  <c r="BL34" s="1"/>
  <c r="AY34"/>
  <c r="AZ34"/>
  <c r="BF34" s="1"/>
  <c r="BA34"/>
  <c r="BG34" s="1"/>
  <c r="BB34"/>
  <c r="BH34" s="1"/>
  <c r="BC34"/>
  <c r="BI34" s="1"/>
  <c r="AX34"/>
  <c r="AU210"/>
  <c r="AW210" s="1"/>
  <c r="BL210" s="1"/>
  <c r="AY210"/>
  <c r="AZ210"/>
  <c r="BF210" s="1"/>
  <c r="BA210"/>
  <c r="BG210" s="1"/>
  <c r="BB210"/>
  <c r="BH210" s="1"/>
  <c r="BC210"/>
  <c r="BI210" s="1"/>
  <c r="AX210"/>
  <c r="AU129"/>
  <c r="AW129" s="1"/>
  <c r="BL129" s="1"/>
  <c r="AY129"/>
  <c r="AZ129"/>
  <c r="BF129" s="1"/>
  <c r="BA129"/>
  <c r="BG129" s="1"/>
  <c r="BB129"/>
  <c r="BH129" s="1"/>
  <c r="BC129"/>
  <c r="BI129" s="1"/>
  <c r="AX129"/>
  <c r="AY666"/>
  <c r="AZ666"/>
  <c r="BF666" s="1"/>
  <c r="BA666"/>
  <c r="BG666" s="1"/>
  <c r="BB666"/>
  <c r="BH666" s="1"/>
  <c r="BC666"/>
  <c r="BI666" s="1"/>
  <c r="AU666"/>
  <c r="AW666" s="1"/>
  <c r="BL666" s="1"/>
  <c r="AX79"/>
  <c r="AU79"/>
  <c r="AW79" s="1"/>
  <c r="BL79" s="1"/>
  <c r="BB79"/>
  <c r="BH79" s="1"/>
  <c r="AZ79"/>
  <c r="BF79" s="1"/>
  <c r="BC79"/>
  <c r="BI79" s="1"/>
  <c r="BA79"/>
  <c r="BG79" s="1"/>
  <c r="AY79"/>
  <c r="AY40"/>
  <c r="AZ40"/>
  <c r="BF40" s="1"/>
  <c r="BA40"/>
  <c r="BG40" s="1"/>
  <c r="BB40"/>
  <c r="BH40" s="1"/>
  <c r="BC40"/>
  <c r="BI40" s="1"/>
  <c r="AU40"/>
  <c r="AW40" s="1"/>
  <c r="BL40" s="1"/>
  <c r="AU681"/>
  <c r="AW681" s="1"/>
  <c r="BL681" s="1"/>
  <c r="AY681"/>
  <c r="AZ681"/>
  <c r="BF681" s="1"/>
  <c r="BA681"/>
  <c r="BG681" s="1"/>
  <c r="BB681"/>
  <c r="BH681" s="1"/>
  <c r="BC681"/>
  <c r="BI681" s="1"/>
  <c r="AX681"/>
  <c r="AU628"/>
  <c r="AW628" s="1"/>
  <c r="BL628" s="1"/>
  <c r="AY628"/>
  <c r="AZ628"/>
  <c r="BF628" s="1"/>
  <c r="BA628"/>
  <c r="BG628" s="1"/>
  <c r="BB628"/>
  <c r="BH628" s="1"/>
  <c r="BC628"/>
  <c r="BI628" s="1"/>
  <c r="AX628"/>
  <c r="AU504"/>
  <c r="AW504" s="1"/>
  <c r="BL504" s="1"/>
  <c r="AY504"/>
  <c r="AZ504"/>
  <c r="BF504" s="1"/>
  <c r="BA504"/>
  <c r="BG504" s="1"/>
  <c r="BB504"/>
  <c r="BH504" s="1"/>
  <c r="BC504"/>
  <c r="BI504" s="1"/>
  <c r="AU630"/>
  <c r="AW630" s="1"/>
  <c r="BL630" s="1"/>
  <c r="AY630"/>
  <c r="AZ630"/>
  <c r="BF630" s="1"/>
  <c r="BA630"/>
  <c r="BG630" s="1"/>
  <c r="BB630"/>
  <c r="BH630" s="1"/>
  <c r="BC630"/>
  <c r="BI630" s="1"/>
  <c r="AX630"/>
  <c r="AU508"/>
  <c r="AW508" s="1"/>
  <c r="BL508" s="1"/>
  <c r="AY508"/>
  <c r="AZ508"/>
  <c r="BF508" s="1"/>
  <c r="BA508"/>
  <c r="BG508" s="1"/>
  <c r="BB508"/>
  <c r="BH508" s="1"/>
  <c r="BC508"/>
  <c r="BI508" s="1"/>
  <c r="AU459"/>
  <c r="AW459" s="1"/>
  <c r="BL459" s="1"/>
  <c r="AY459"/>
  <c r="AZ459"/>
  <c r="BF459" s="1"/>
  <c r="BA459"/>
  <c r="BG459" s="1"/>
  <c r="BB459"/>
  <c r="BH459" s="1"/>
  <c r="BC459"/>
  <c r="BI459" s="1"/>
  <c r="AX459"/>
  <c r="AY640"/>
  <c r="AZ640"/>
  <c r="BF640" s="1"/>
  <c r="BA640"/>
  <c r="BG640" s="1"/>
  <c r="BB640"/>
  <c r="BH640" s="1"/>
  <c r="BC640"/>
  <c r="BI640" s="1"/>
  <c r="AU640"/>
  <c r="AW640" s="1"/>
  <c r="BL640" s="1"/>
  <c r="AU679"/>
  <c r="AW679" s="1"/>
  <c r="BL679" s="1"/>
  <c r="AY679"/>
  <c r="AZ679"/>
  <c r="BF679" s="1"/>
  <c r="BA679"/>
  <c r="BG679" s="1"/>
  <c r="BB679"/>
  <c r="BH679" s="1"/>
  <c r="BC679"/>
  <c r="BI679" s="1"/>
  <c r="AX679"/>
  <c r="AU279"/>
  <c r="AW279" s="1"/>
  <c r="BL279" s="1"/>
  <c r="AY279"/>
  <c r="AZ279"/>
  <c r="BF279" s="1"/>
  <c r="BA279"/>
  <c r="BG279" s="1"/>
  <c r="BB279"/>
  <c r="BH279" s="1"/>
  <c r="BC279"/>
  <c r="BI279" s="1"/>
  <c r="AX279"/>
  <c r="AU397"/>
  <c r="AW397" s="1"/>
  <c r="BL397" s="1"/>
  <c r="AY397"/>
  <c r="AZ397"/>
  <c r="BF397" s="1"/>
  <c r="BA397"/>
  <c r="BG397" s="1"/>
  <c r="BB397"/>
  <c r="BH397" s="1"/>
  <c r="BC397"/>
  <c r="BI397" s="1"/>
  <c r="AX397"/>
  <c r="AU376"/>
  <c r="AW376" s="1"/>
  <c r="BL376" s="1"/>
  <c r="AY376"/>
  <c r="AZ376"/>
  <c r="BF376" s="1"/>
  <c r="BA376"/>
  <c r="BG376" s="1"/>
  <c r="BB376"/>
  <c r="BH376" s="1"/>
  <c r="BC376"/>
  <c r="BI376" s="1"/>
  <c r="AX376"/>
  <c r="AU328"/>
  <c r="AW328" s="1"/>
  <c r="BL328" s="1"/>
  <c r="AY328"/>
  <c r="AZ328"/>
  <c r="BF328" s="1"/>
  <c r="BA328"/>
  <c r="BG328" s="1"/>
  <c r="BB328"/>
  <c r="BH328" s="1"/>
  <c r="BC328"/>
  <c r="BI328" s="1"/>
  <c r="AX328"/>
  <c r="AU292"/>
  <c r="AW292" s="1"/>
  <c r="BL292" s="1"/>
  <c r="AY292"/>
  <c r="AZ292"/>
  <c r="BF292" s="1"/>
  <c r="BA292"/>
  <c r="BG292" s="1"/>
  <c r="BB292"/>
  <c r="BH292" s="1"/>
  <c r="BC292"/>
  <c r="BI292" s="1"/>
  <c r="AX292"/>
  <c r="AY433"/>
  <c r="AZ433"/>
  <c r="BF433" s="1"/>
  <c r="BA433"/>
  <c r="BG433" s="1"/>
  <c r="BB433"/>
  <c r="BH433" s="1"/>
  <c r="BC433"/>
  <c r="BI433" s="1"/>
  <c r="AX433"/>
  <c r="AU433"/>
  <c r="AW433" s="1"/>
  <c r="BL433" s="1"/>
  <c r="AU347"/>
  <c r="AW347" s="1"/>
  <c r="BL347" s="1"/>
  <c r="AY347"/>
  <c r="AZ347"/>
  <c r="BF347" s="1"/>
  <c r="BA347"/>
  <c r="BG347" s="1"/>
  <c r="BB347"/>
  <c r="BH347" s="1"/>
  <c r="BC347"/>
  <c r="BI347" s="1"/>
  <c r="AX347"/>
  <c r="AY414"/>
  <c r="AZ414"/>
  <c r="BF414" s="1"/>
  <c r="BA414"/>
  <c r="BG414" s="1"/>
  <c r="BB414"/>
  <c r="BH414" s="1"/>
  <c r="BC414"/>
  <c r="BI414" s="1"/>
  <c r="AX414"/>
  <c r="AU414"/>
  <c r="AW414" s="1"/>
  <c r="BL414" s="1"/>
  <c r="AU179"/>
  <c r="AW179" s="1"/>
  <c r="BL179" s="1"/>
  <c r="AX179"/>
  <c r="AY179"/>
  <c r="AZ179"/>
  <c r="BF179" s="1"/>
  <c r="BA179"/>
  <c r="BG179" s="1"/>
  <c r="BB179"/>
  <c r="BH179" s="1"/>
  <c r="BC179"/>
  <c r="BI179" s="1"/>
  <c r="AU191"/>
  <c r="AW191" s="1"/>
  <c r="BL191" s="1"/>
  <c r="AY191"/>
  <c r="AZ191"/>
  <c r="BF191" s="1"/>
  <c r="BA191"/>
  <c r="BG191" s="1"/>
  <c r="BB191"/>
  <c r="BH191" s="1"/>
  <c r="BC191"/>
  <c r="BI191" s="1"/>
  <c r="AX191"/>
  <c r="AY142"/>
  <c r="AZ142"/>
  <c r="BF142" s="1"/>
  <c r="BA142"/>
  <c r="BG142" s="1"/>
  <c r="BB142"/>
  <c r="BH142" s="1"/>
  <c r="BC142"/>
  <c r="BI142" s="1"/>
  <c r="AU142"/>
  <c r="AW142" s="1"/>
  <c r="BL142" s="1"/>
  <c r="CC97"/>
  <c r="CD97"/>
  <c r="AU198"/>
  <c r="AW198" s="1"/>
  <c r="BL198" s="1"/>
  <c r="AY198"/>
  <c r="AZ198"/>
  <c r="BF198" s="1"/>
  <c r="BA198"/>
  <c r="BG198" s="1"/>
  <c r="BB198"/>
  <c r="BH198" s="1"/>
  <c r="BC198"/>
  <c r="BI198" s="1"/>
  <c r="AX198"/>
  <c r="AY689"/>
  <c r="AZ689"/>
  <c r="BF689" s="1"/>
  <c r="BA689"/>
  <c r="BG689" s="1"/>
  <c r="BB689"/>
  <c r="BH689" s="1"/>
  <c r="BC689"/>
  <c r="BI689" s="1"/>
  <c r="AU689"/>
  <c r="AW689" s="1"/>
  <c r="BL689" s="1"/>
  <c r="AY171"/>
  <c r="AZ171"/>
  <c r="BF171" s="1"/>
  <c r="BA171"/>
  <c r="BG171" s="1"/>
  <c r="BB171"/>
  <c r="BH171" s="1"/>
  <c r="BC171"/>
  <c r="BI171" s="1"/>
  <c r="AX171"/>
  <c r="AU171"/>
  <c r="AW171" s="1"/>
  <c r="BL171" s="1"/>
  <c r="AY51"/>
  <c r="AZ51"/>
  <c r="BF51" s="1"/>
  <c r="BA51"/>
  <c r="BG51" s="1"/>
  <c r="BB51"/>
  <c r="BH51" s="1"/>
  <c r="BC51"/>
  <c r="BI51" s="1"/>
  <c r="AU51"/>
  <c r="AW51" s="1"/>
  <c r="BL51" s="1"/>
  <c r="AY22"/>
  <c r="AZ22"/>
  <c r="BF22" s="1"/>
  <c r="BA22"/>
  <c r="BG22" s="1"/>
  <c r="BB22"/>
  <c r="BH22" s="1"/>
  <c r="BC22"/>
  <c r="BI22" s="1"/>
  <c r="AU22"/>
  <c r="AW22" s="1"/>
  <c r="BL22" s="1"/>
  <c r="BS556"/>
  <c r="BU556" s="1"/>
  <c r="BV556" s="1"/>
  <c r="BP556"/>
  <c r="BR556" s="1"/>
  <c r="BD556"/>
  <c r="BE556"/>
  <c r="AU708"/>
  <c r="AW708" s="1"/>
  <c r="BL708" s="1"/>
  <c r="AY708"/>
  <c r="AZ708"/>
  <c r="BF708" s="1"/>
  <c r="BA708"/>
  <c r="BG708" s="1"/>
  <c r="BB708"/>
  <c r="BH708" s="1"/>
  <c r="BC708"/>
  <c r="BI708" s="1"/>
  <c r="AX708"/>
  <c r="BD483"/>
  <c r="BE483"/>
  <c r="BP723"/>
  <c r="BR723" s="1"/>
  <c r="BD723"/>
  <c r="BE723"/>
  <c r="AU626"/>
  <c r="AY626"/>
  <c r="AZ626"/>
  <c r="BF626" s="1"/>
  <c r="BA626"/>
  <c r="BG626" s="1"/>
  <c r="BB626"/>
  <c r="BH626" s="1"/>
  <c r="BC626"/>
  <c r="BI626" s="1"/>
  <c r="M91" i="51061"/>
  <c r="BD603" i="51055"/>
  <c r="BE603"/>
  <c r="BP577"/>
  <c r="BR577" s="1"/>
  <c r="BS577"/>
  <c r="BU577" s="1"/>
  <c r="BV577" s="1"/>
  <c r="BD571"/>
  <c r="BE571"/>
  <c r="BP551"/>
  <c r="BR551" s="1"/>
  <c r="BS551"/>
  <c r="BU551" s="1"/>
  <c r="BV551" s="1"/>
  <c r="BP516"/>
  <c r="BR516" s="1"/>
  <c r="AU493"/>
  <c r="AW493" s="1"/>
  <c r="BL493" s="1"/>
  <c r="AY493"/>
  <c r="AZ493"/>
  <c r="BF493" s="1"/>
  <c r="BA493"/>
  <c r="BG493" s="1"/>
  <c r="BB493"/>
  <c r="BH493" s="1"/>
  <c r="BC493"/>
  <c r="BI493" s="1"/>
  <c r="AX493"/>
  <c r="BD439"/>
  <c r="BE439"/>
  <c r="BD730"/>
  <c r="BE730"/>
  <c r="BP271"/>
  <c r="BR271" s="1"/>
  <c r="BD271"/>
  <c r="BE271"/>
  <c r="BS596"/>
  <c r="BU596" s="1"/>
  <c r="BV596" s="1"/>
  <c r="BP596"/>
  <c r="BR596" s="1"/>
  <c r="BD596"/>
  <c r="BE596"/>
  <c r="BP539"/>
  <c r="BR539" s="1"/>
  <c r="BD539"/>
  <c r="BE539"/>
  <c r="BP538"/>
  <c r="BR538" s="1"/>
  <c r="BP526"/>
  <c r="BR526" s="1"/>
  <c r="BD526"/>
  <c r="BE526"/>
  <c r="BP513"/>
  <c r="BR513" s="1"/>
  <c r="BD513"/>
  <c r="BE513"/>
  <c r="BD492"/>
  <c r="BE492"/>
  <c r="BP484"/>
  <c r="BR484" s="1"/>
  <c r="BD484"/>
  <c r="BE484"/>
  <c r="BP395"/>
  <c r="BR395" s="1"/>
  <c r="AY297"/>
  <c r="AZ297"/>
  <c r="BF297" s="1"/>
  <c r="BA297"/>
  <c r="BG297" s="1"/>
  <c r="BB297"/>
  <c r="BH297" s="1"/>
  <c r="BC297"/>
  <c r="BI297" s="1"/>
  <c r="AX297"/>
  <c r="AU297"/>
  <c r="AW450"/>
  <c r="BS284"/>
  <c r="BU284" s="1"/>
  <c r="BV284" s="1"/>
  <c r="BP284"/>
  <c r="BR284" s="1"/>
  <c r="BD284"/>
  <c r="BE284"/>
  <c r="AW371"/>
  <c r="BL371" s="1"/>
  <c r="BD366"/>
  <c r="BE366"/>
  <c r="BP309"/>
  <c r="BR309" s="1"/>
  <c r="BD309"/>
  <c r="BE309"/>
  <c r="AW259"/>
  <c r="BL259" s="1"/>
  <c r="Q44" i="51061"/>
  <c r="BD194" i="51055"/>
  <c r="BE194"/>
  <c r="AU177"/>
  <c r="AY177"/>
  <c r="AZ177"/>
  <c r="BF177" s="1"/>
  <c r="BA177"/>
  <c r="BG177" s="1"/>
  <c r="BB177"/>
  <c r="BH177" s="1"/>
  <c r="BC177"/>
  <c r="BI177" s="1"/>
  <c r="M31" i="51061"/>
  <c r="AU166" i="51055"/>
  <c r="AW166" s="1"/>
  <c r="BL166" s="1"/>
  <c r="AY166"/>
  <c r="AZ166"/>
  <c r="BF166" s="1"/>
  <c r="BA166"/>
  <c r="BG166" s="1"/>
  <c r="BB166"/>
  <c r="BH166" s="1"/>
  <c r="BC166"/>
  <c r="BI166" s="1"/>
  <c r="BD114"/>
  <c r="BE114"/>
  <c r="CC188"/>
  <c r="CD188"/>
  <c r="BP193"/>
  <c r="BR193" s="1"/>
  <c r="BD193"/>
  <c r="BE193"/>
  <c r="BD120"/>
  <c r="BE120"/>
  <c r="F18" i="51061"/>
  <c r="F114"/>
  <c r="F112"/>
  <c r="AK463" i="51055"/>
  <c r="L71" i="51061"/>
  <c r="AF401" i="51055"/>
  <c r="H61" i="51061" s="1"/>
  <c r="H66" s="1"/>
  <c r="EQ401" i="51055"/>
  <c r="AJ401"/>
  <c r="BD92"/>
  <c r="BE92"/>
  <c r="BD46"/>
  <c r="BE46"/>
  <c r="BP46"/>
  <c r="BR46" s="1"/>
  <c r="BD25"/>
  <c r="BE25"/>
  <c r="BP180"/>
  <c r="BR180" s="1"/>
  <c r="BD180"/>
  <c r="BE180"/>
  <c r="AW165"/>
  <c r="BL165" s="1"/>
  <c r="BP161"/>
  <c r="BR161" s="1"/>
  <c r="BD161"/>
  <c r="BE161"/>
  <c r="BP140"/>
  <c r="BR140" s="1"/>
  <c r="BD140"/>
  <c r="BE140"/>
  <c r="AK126"/>
  <c r="L22" i="51061"/>
  <c r="BC84" i="51055"/>
  <c r="BI84" s="1"/>
  <c r="BA84"/>
  <c r="BG84" s="1"/>
  <c r="AY84"/>
  <c r="AU84"/>
  <c r="AW84" s="1"/>
  <c r="BL84" s="1"/>
  <c r="BB84"/>
  <c r="BH84" s="1"/>
  <c r="AZ84"/>
  <c r="BF84" s="1"/>
  <c r="BD532"/>
  <c r="BE532"/>
  <c r="BP572"/>
  <c r="BR572" s="1"/>
  <c r="BD572"/>
  <c r="BE572"/>
  <c r="BP520"/>
  <c r="BR520" s="1"/>
  <c r="BD520"/>
  <c r="BE520"/>
  <c r="BP454"/>
  <c r="BR454" s="1"/>
  <c r="BD454"/>
  <c r="BE454"/>
  <c r="BP15"/>
  <c r="BR15" s="1"/>
  <c r="AW660"/>
  <c r="BD660"/>
  <c r="BE660"/>
  <c r="BD612"/>
  <c r="BE612"/>
  <c r="BS568"/>
  <c r="BU568" s="1"/>
  <c r="BV568" s="1"/>
  <c r="BP568"/>
  <c r="BR568" s="1"/>
  <c r="AU560"/>
  <c r="AY560"/>
  <c r="AZ560"/>
  <c r="BF560" s="1"/>
  <c r="BA560"/>
  <c r="BG560" s="1"/>
  <c r="BB560"/>
  <c r="BH560" s="1"/>
  <c r="BC560"/>
  <c r="BI560" s="1"/>
  <c r="AX560"/>
  <c r="M83" i="51061"/>
  <c r="BD525" i="51055"/>
  <c r="BE525"/>
  <c r="BS731"/>
  <c r="BU731" s="1"/>
  <c r="BV731" s="1"/>
  <c r="BP731"/>
  <c r="BR731" s="1"/>
  <c r="BD731"/>
  <c r="BE731"/>
  <c r="AU710"/>
  <c r="AW710" s="1"/>
  <c r="BL710" s="1"/>
  <c r="AY710"/>
  <c r="AZ710"/>
  <c r="BF710" s="1"/>
  <c r="BA710"/>
  <c r="BG710" s="1"/>
  <c r="BB710"/>
  <c r="BH710" s="1"/>
  <c r="BC710"/>
  <c r="BI710" s="1"/>
  <c r="AX710"/>
  <c r="AU675"/>
  <c r="AW675" s="1"/>
  <c r="BL675" s="1"/>
  <c r="AY675"/>
  <c r="AZ675"/>
  <c r="BF675" s="1"/>
  <c r="BA675"/>
  <c r="BG675" s="1"/>
  <c r="BB675"/>
  <c r="BH675" s="1"/>
  <c r="BC675"/>
  <c r="BI675" s="1"/>
  <c r="AX675"/>
  <c r="BD601"/>
  <c r="BE601"/>
  <c r="BS588"/>
  <c r="BU588" s="1"/>
  <c r="BV588" s="1"/>
  <c r="BP588"/>
  <c r="BR588" s="1"/>
  <c r="BD523"/>
  <c r="BE523"/>
  <c r="BS582"/>
  <c r="BU582" s="1"/>
  <c r="BV582" s="1"/>
  <c r="BP582"/>
  <c r="BR582" s="1"/>
  <c r="BD566"/>
  <c r="BE566"/>
  <c r="BP549"/>
  <c r="BR549" s="1"/>
  <c r="BP490"/>
  <c r="BR490" s="1"/>
  <c r="AU365"/>
  <c r="AY365"/>
  <c r="AZ365"/>
  <c r="BF365" s="1"/>
  <c r="BA365"/>
  <c r="BG365" s="1"/>
  <c r="BB365"/>
  <c r="BH365" s="1"/>
  <c r="BC365"/>
  <c r="BI365" s="1"/>
  <c r="M57" i="51061"/>
  <c r="BD382" i="51055"/>
  <c r="BE382"/>
  <c r="BD272"/>
  <c r="BE272"/>
  <c r="BP270"/>
  <c r="BR270" s="1"/>
  <c r="BD270"/>
  <c r="BE270"/>
  <c r="BS223"/>
  <c r="BU223" s="1"/>
  <c r="BV223" s="1"/>
  <c r="BP223"/>
  <c r="BR223" s="1"/>
  <c r="BD223"/>
  <c r="BE223"/>
  <c r="AU402"/>
  <c r="AY402"/>
  <c r="AZ402"/>
  <c r="BF402" s="1"/>
  <c r="BA402"/>
  <c r="BG402" s="1"/>
  <c r="BB402"/>
  <c r="BH402" s="1"/>
  <c r="BC402"/>
  <c r="BI402" s="1"/>
  <c r="AX402"/>
  <c r="M62" i="51061"/>
  <c r="BD394" i="51055"/>
  <c r="BE394"/>
  <c r="BD213"/>
  <c r="BE213"/>
  <c r="BD202"/>
  <c r="BE202"/>
  <c r="AY234"/>
  <c r="AZ234"/>
  <c r="BF234" s="1"/>
  <c r="BA234"/>
  <c r="BG234" s="1"/>
  <c r="BB234"/>
  <c r="BH234" s="1"/>
  <c r="BC234"/>
  <c r="BI234" s="1"/>
  <c r="AX234"/>
  <c r="M40" i="51061"/>
  <c r="AU234" i="51055"/>
  <c r="AU219"/>
  <c r="AY219"/>
  <c r="AZ219"/>
  <c r="BF219" s="1"/>
  <c r="BA219"/>
  <c r="BG219" s="1"/>
  <c r="BB219"/>
  <c r="BH219" s="1"/>
  <c r="BC219"/>
  <c r="BI219" s="1"/>
  <c r="M38" i="51061"/>
  <c r="AU139" i="51055"/>
  <c r="AW139" s="1"/>
  <c r="BL139" s="1"/>
  <c r="AX139"/>
  <c r="AY139"/>
  <c r="AZ139"/>
  <c r="BF139" s="1"/>
  <c r="BA139"/>
  <c r="BG139" s="1"/>
  <c r="BB139"/>
  <c r="BH139" s="1"/>
  <c r="BC139"/>
  <c r="BI139" s="1"/>
  <c r="BP38"/>
  <c r="BR38" s="1"/>
  <c r="BD38"/>
  <c r="BE38"/>
  <c r="BP14"/>
  <c r="BR14" s="1"/>
  <c r="BB176"/>
  <c r="BH176" s="1"/>
  <c r="AZ176"/>
  <c r="BF176" s="1"/>
  <c r="AU176"/>
  <c r="AW176" s="1"/>
  <c r="BL176" s="1"/>
  <c r="AY176"/>
  <c r="BC176"/>
  <c r="BI176" s="1"/>
  <c r="BA176"/>
  <c r="BG176" s="1"/>
  <c r="AX176"/>
  <c r="AU700"/>
  <c r="AW700" s="1"/>
  <c r="BL700" s="1"/>
  <c r="BC700"/>
  <c r="BI700" s="1"/>
  <c r="BA700"/>
  <c r="BG700" s="1"/>
  <c r="AY700"/>
  <c r="BB700"/>
  <c r="BH700" s="1"/>
  <c r="AZ700"/>
  <c r="BF700" s="1"/>
  <c r="AX700"/>
  <c r="AW240"/>
  <c r="BD207"/>
  <c r="BE207"/>
  <c r="BD88"/>
  <c r="BE88"/>
  <c r="BD39"/>
  <c r="BE39"/>
  <c r="BP39"/>
  <c r="BR39" s="1"/>
  <c r="BS39"/>
  <c r="BU39" s="1"/>
  <c r="BV39" s="1"/>
  <c r="BD23"/>
  <c r="BE23"/>
  <c r="BP107"/>
  <c r="BR107" s="1"/>
  <c r="BS107"/>
  <c r="BU107" s="1"/>
  <c r="BV107" s="1"/>
  <c r="BD555"/>
  <c r="BE555"/>
  <c r="AU716"/>
  <c r="AW716" s="1"/>
  <c r="BL716" s="1"/>
  <c r="AY716"/>
  <c r="AZ716"/>
  <c r="BF716" s="1"/>
  <c r="BA716"/>
  <c r="BG716" s="1"/>
  <c r="BB716"/>
  <c r="BH716" s="1"/>
  <c r="BC716"/>
  <c r="BI716" s="1"/>
  <c r="AX716"/>
  <c r="AU488"/>
  <c r="AW488" s="1"/>
  <c r="BL488" s="1"/>
  <c r="AY488"/>
  <c r="AZ488"/>
  <c r="BF488" s="1"/>
  <c r="BA488"/>
  <c r="BG488" s="1"/>
  <c r="BB488"/>
  <c r="BH488" s="1"/>
  <c r="BC488"/>
  <c r="BI488" s="1"/>
  <c r="AX488"/>
  <c r="BP585"/>
  <c r="BR585" s="1"/>
  <c r="BS585"/>
  <c r="BU585" s="1"/>
  <c r="BV585" s="1"/>
  <c r="BD585"/>
  <c r="BE585"/>
  <c r="AU607"/>
  <c r="AW607" s="1"/>
  <c r="BL607" s="1"/>
  <c r="AY607"/>
  <c r="AZ607"/>
  <c r="BF607" s="1"/>
  <c r="BA607"/>
  <c r="BG607" s="1"/>
  <c r="BB607"/>
  <c r="BH607" s="1"/>
  <c r="BC607"/>
  <c r="BI607" s="1"/>
  <c r="AX607"/>
  <c r="AU470"/>
  <c r="AW470" s="1"/>
  <c r="BL470" s="1"/>
  <c r="AY470"/>
  <c r="AZ470"/>
  <c r="BF470" s="1"/>
  <c r="BA470"/>
  <c r="BG470" s="1"/>
  <c r="BB470"/>
  <c r="BH470" s="1"/>
  <c r="BC470"/>
  <c r="BI470" s="1"/>
  <c r="AX470"/>
  <c r="BP602"/>
  <c r="BR602" s="1"/>
  <c r="BD602"/>
  <c r="BE602"/>
  <c r="BP352"/>
  <c r="BR352" s="1"/>
  <c r="BD352"/>
  <c r="BE352"/>
  <c r="AK283"/>
  <c r="L45" i="51061"/>
  <c r="AU308" i="51055"/>
  <c r="AW308" s="1"/>
  <c r="BL308" s="1"/>
  <c r="AY308"/>
  <c r="AZ308"/>
  <c r="BF308" s="1"/>
  <c r="BA308"/>
  <c r="BG308" s="1"/>
  <c r="BB308"/>
  <c r="BH308" s="1"/>
  <c r="BC308"/>
  <c r="BI308" s="1"/>
  <c r="AX308"/>
  <c r="AU251"/>
  <c r="AW251" s="1"/>
  <c r="BL251" s="1"/>
  <c r="AY251"/>
  <c r="AZ251"/>
  <c r="BF251" s="1"/>
  <c r="BA251"/>
  <c r="BG251" s="1"/>
  <c r="BB251"/>
  <c r="BH251" s="1"/>
  <c r="BC251"/>
  <c r="BI251" s="1"/>
  <c r="AX251"/>
  <c r="BP503"/>
  <c r="BR503" s="1"/>
  <c r="BD503"/>
  <c r="BE503"/>
  <c r="BP381"/>
  <c r="BR381" s="1"/>
  <c r="BD381"/>
  <c r="BE381"/>
  <c r="AY719"/>
  <c r="AZ719"/>
  <c r="BF719" s="1"/>
  <c r="BA719"/>
  <c r="BG719" s="1"/>
  <c r="BB719"/>
  <c r="BH719" s="1"/>
  <c r="BC719"/>
  <c r="BI719" s="1"/>
  <c r="AX719"/>
  <c r="AU719"/>
  <c r="AW719" s="1"/>
  <c r="BL719" s="1"/>
  <c r="AY711"/>
  <c r="AZ711"/>
  <c r="BF711" s="1"/>
  <c r="BA711"/>
  <c r="BG711" s="1"/>
  <c r="BB711"/>
  <c r="BH711" s="1"/>
  <c r="BC711"/>
  <c r="BI711" s="1"/>
  <c r="AX711"/>
  <c r="AU711"/>
  <c r="AW711" s="1"/>
  <c r="BL711" s="1"/>
  <c r="AY659"/>
  <c r="AZ659"/>
  <c r="BF659" s="1"/>
  <c r="BA659"/>
  <c r="BG659" s="1"/>
  <c r="BB659"/>
  <c r="BH659" s="1"/>
  <c r="BC659"/>
  <c r="BI659" s="1"/>
  <c r="AU659"/>
  <c r="AW659" s="1"/>
  <c r="BL659" s="1"/>
  <c r="AY652"/>
  <c r="AZ652"/>
  <c r="BF652" s="1"/>
  <c r="BA652"/>
  <c r="BG652" s="1"/>
  <c r="BB652"/>
  <c r="BH652" s="1"/>
  <c r="BC652"/>
  <c r="BI652" s="1"/>
  <c r="AX652"/>
  <c r="AU652"/>
  <c r="AW652" s="1"/>
  <c r="BL652" s="1"/>
  <c r="AY644"/>
  <c r="AZ644"/>
  <c r="BF644" s="1"/>
  <c r="BA644"/>
  <c r="BG644" s="1"/>
  <c r="BB644"/>
  <c r="BH644" s="1"/>
  <c r="BC644"/>
  <c r="BI644" s="1"/>
  <c r="AX644"/>
  <c r="AU644"/>
  <c r="AW644" s="1"/>
  <c r="BL644" s="1"/>
  <c r="AK241"/>
  <c r="L41" i="51061"/>
  <c r="L42" s="1"/>
  <c r="AU112" i="51055"/>
  <c r="AW112" s="1"/>
  <c r="BL112" s="1"/>
  <c r="AY112"/>
  <c r="AZ112"/>
  <c r="BF112" s="1"/>
  <c r="BA112"/>
  <c r="BG112" s="1"/>
  <c r="BB112"/>
  <c r="BH112" s="1"/>
  <c r="BC112"/>
  <c r="BI112" s="1"/>
  <c r="AX112"/>
  <c r="AY215"/>
  <c r="AZ215"/>
  <c r="BF215" s="1"/>
  <c r="BA215"/>
  <c r="BG215" s="1"/>
  <c r="BB215"/>
  <c r="BH215" s="1"/>
  <c r="BC215"/>
  <c r="BI215" s="1"/>
  <c r="AU215"/>
  <c r="AW215" s="1"/>
  <c r="BL215" s="1"/>
  <c r="AY212"/>
  <c r="AZ212"/>
  <c r="BF212" s="1"/>
  <c r="BA212"/>
  <c r="BG212" s="1"/>
  <c r="BB212"/>
  <c r="BH212" s="1"/>
  <c r="BC212"/>
  <c r="BI212" s="1"/>
  <c r="AU212"/>
  <c r="AW212" s="1"/>
  <c r="BL212" s="1"/>
  <c r="AY182"/>
  <c r="AZ182"/>
  <c r="BF182" s="1"/>
  <c r="BA182"/>
  <c r="BG182" s="1"/>
  <c r="BB182"/>
  <c r="BH182" s="1"/>
  <c r="BC182"/>
  <c r="BI182" s="1"/>
  <c r="AX182"/>
  <c r="AU182"/>
  <c r="AW182" s="1"/>
  <c r="BL182" s="1"/>
  <c r="AY167"/>
  <c r="AZ167"/>
  <c r="BF167" s="1"/>
  <c r="BA167"/>
  <c r="BG167" s="1"/>
  <c r="BB167"/>
  <c r="BH167" s="1"/>
  <c r="BC167"/>
  <c r="BI167" s="1"/>
  <c r="AU167"/>
  <c r="AW167" s="1"/>
  <c r="BL167" s="1"/>
  <c r="AY163"/>
  <c r="AZ163"/>
  <c r="BF163" s="1"/>
  <c r="BA163"/>
  <c r="BG163" s="1"/>
  <c r="BB163"/>
  <c r="BH163" s="1"/>
  <c r="BC163"/>
  <c r="BI163" s="1"/>
  <c r="AX163"/>
  <c r="AU163"/>
  <c r="AW163" s="1"/>
  <c r="BL163" s="1"/>
  <c r="AY138"/>
  <c r="AZ138"/>
  <c r="BF138" s="1"/>
  <c r="BA138"/>
  <c r="BG138" s="1"/>
  <c r="BB138"/>
  <c r="BH138" s="1"/>
  <c r="BC138"/>
  <c r="BI138" s="1"/>
  <c r="AX138"/>
  <c r="M24" i="51061"/>
  <c r="AU138" i="51055"/>
  <c r="BD59"/>
  <c r="BE59"/>
  <c r="AU18"/>
  <c r="AW18" s="1"/>
  <c r="BL18" s="1"/>
  <c r="AY18"/>
  <c r="AZ18"/>
  <c r="BF18" s="1"/>
  <c r="BA18"/>
  <c r="BG18" s="1"/>
  <c r="BB18"/>
  <c r="BH18" s="1"/>
  <c r="BC18"/>
  <c r="BI18" s="1"/>
  <c r="AU506"/>
  <c r="AW506" s="1"/>
  <c r="BL506" s="1"/>
  <c r="AX506"/>
  <c r="AY506"/>
  <c r="AZ506"/>
  <c r="BF506" s="1"/>
  <c r="BA506"/>
  <c r="BG506" s="1"/>
  <c r="BB506"/>
  <c r="BH506" s="1"/>
  <c r="BC506"/>
  <c r="BI506" s="1"/>
  <c r="AU533"/>
  <c r="AW533" s="1"/>
  <c r="BL533" s="1"/>
  <c r="AY533"/>
  <c r="AZ533"/>
  <c r="BF533" s="1"/>
  <c r="BA533"/>
  <c r="BG533" s="1"/>
  <c r="BB533"/>
  <c r="BH533" s="1"/>
  <c r="BC533"/>
  <c r="BI533" s="1"/>
  <c r="AU656"/>
  <c r="AW656" s="1"/>
  <c r="BL656" s="1"/>
  <c r="AY656"/>
  <c r="AZ656"/>
  <c r="BF656" s="1"/>
  <c r="BA656"/>
  <c r="BG656" s="1"/>
  <c r="BB656"/>
  <c r="BH656" s="1"/>
  <c r="BC656"/>
  <c r="BI656" s="1"/>
  <c r="AX656"/>
  <c r="AY706"/>
  <c r="AZ706"/>
  <c r="BF706" s="1"/>
  <c r="BA706"/>
  <c r="BG706" s="1"/>
  <c r="BB706"/>
  <c r="BH706" s="1"/>
  <c r="BC706"/>
  <c r="BI706" s="1"/>
  <c r="AU706"/>
  <c r="AW706" s="1"/>
  <c r="BL706" s="1"/>
  <c r="BP49"/>
  <c r="BR49" s="1"/>
  <c r="BS49"/>
  <c r="BU49" s="1"/>
  <c r="BV49" s="1"/>
  <c r="BD49"/>
  <c r="BE49"/>
  <c r="AU136"/>
  <c r="AW136" s="1"/>
  <c r="BL136" s="1"/>
  <c r="AY136"/>
  <c r="AZ136"/>
  <c r="BF136" s="1"/>
  <c r="BA136"/>
  <c r="BG136" s="1"/>
  <c r="BB136"/>
  <c r="BH136" s="1"/>
  <c r="BC136"/>
  <c r="BI136" s="1"/>
  <c r="AX136"/>
  <c r="AU37"/>
  <c r="AW37" s="1"/>
  <c r="BL37" s="1"/>
  <c r="AY37"/>
  <c r="AZ37"/>
  <c r="BF37" s="1"/>
  <c r="BA37"/>
  <c r="BG37" s="1"/>
  <c r="BB37"/>
  <c r="BH37" s="1"/>
  <c r="BC37"/>
  <c r="BI37" s="1"/>
  <c r="AU87"/>
  <c r="AY87"/>
  <c r="AZ87"/>
  <c r="BF87" s="1"/>
  <c r="BA87"/>
  <c r="BG87" s="1"/>
  <c r="BB87"/>
  <c r="BH87" s="1"/>
  <c r="BC87"/>
  <c r="BI87" s="1"/>
  <c r="M16" i="51061"/>
  <c r="AY72" i="51055"/>
  <c r="AZ72"/>
  <c r="BF72" s="1"/>
  <c r="BA72"/>
  <c r="BG72" s="1"/>
  <c r="BB72"/>
  <c r="BH72" s="1"/>
  <c r="BC72"/>
  <c r="BI72" s="1"/>
  <c r="AX72"/>
  <c r="AU72"/>
  <c r="AW72" s="1"/>
  <c r="BL72" s="1"/>
  <c r="AY61"/>
  <c r="AZ61"/>
  <c r="BF61" s="1"/>
  <c r="BA61"/>
  <c r="BG61" s="1"/>
  <c r="BB61"/>
  <c r="BH61" s="1"/>
  <c r="BC61"/>
  <c r="BI61" s="1"/>
  <c r="AU61"/>
  <c r="AW61" s="1"/>
  <c r="BL61" s="1"/>
  <c r="AU133"/>
  <c r="AW133" s="1"/>
  <c r="BL133" s="1"/>
  <c r="BC133"/>
  <c r="BI133" s="1"/>
  <c r="BB133"/>
  <c r="BH133" s="1"/>
  <c r="BA133"/>
  <c r="BG133" s="1"/>
  <c r="AZ133"/>
  <c r="BF133" s="1"/>
  <c r="AY133"/>
  <c r="AX133"/>
  <c r="H8" i="51061"/>
  <c r="BD111" i="51055"/>
  <c r="BE111"/>
  <c r="BP33"/>
  <c r="BR33" s="1"/>
  <c r="AU80"/>
  <c r="AW80" s="1"/>
  <c r="BL80" s="1"/>
  <c r="AY80"/>
  <c r="AZ80"/>
  <c r="BF80" s="1"/>
  <c r="BA80"/>
  <c r="BG80" s="1"/>
  <c r="BB80"/>
  <c r="BH80" s="1"/>
  <c r="BC80"/>
  <c r="BI80" s="1"/>
  <c r="AX80"/>
  <c r="H55" i="51061"/>
  <c r="H75"/>
  <c r="H25"/>
  <c r="G93"/>
  <c r="G33"/>
  <c r="BS724" i="51055"/>
  <c r="BU724" s="1"/>
  <c r="BV724" s="1"/>
  <c r="BS565"/>
  <c r="BU565" s="1"/>
  <c r="BV565" s="1"/>
  <c r="AX668"/>
  <c r="BS587"/>
  <c r="BU587" s="1"/>
  <c r="BV587" s="1"/>
  <c r="AX537"/>
  <c r="BS736"/>
  <c r="BU736" s="1"/>
  <c r="BV736" s="1"/>
  <c r="M90" i="51061"/>
  <c r="L33"/>
  <c r="AX24" i="51055"/>
  <c r="L81" i="51061"/>
  <c r="L25"/>
  <c r="H103"/>
  <c r="H14"/>
  <c r="L82"/>
  <c r="H93"/>
  <c r="BS232" i="51055"/>
  <c r="BU232" s="1"/>
  <c r="BV232" s="1"/>
  <c r="BS552"/>
  <c r="BU552" s="1"/>
  <c r="BV552" s="1"/>
  <c r="BS530"/>
  <c r="BU530" s="1"/>
  <c r="BV530" s="1"/>
  <c r="BS278"/>
  <c r="BU278" s="1"/>
  <c r="BV278" s="1"/>
  <c r="L85" i="51061"/>
  <c r="AX517" i="51055"/>
  <c r="M74" i="51061"/>
  <c r="AX489" i="51055"/>
  <c r="AX258"/>
  <c r="BS392"/>
  <c r="BU392" s="1"/>
  <c r="BV392" s="1"/>
  <c r="BS244"/>
  <c r="BU244" s="1"/>
  <c r="BV244" s="1"/>
  <c r="BS396"/>
  <c r="BU396" s="1"/>
  <c r="BV396" s="1"/>
  <c r="BS321"/>
  <c r="BU321" s="1"/>
  <c r="BV321" s="1"/>
  <c r="AX366"/>
  <c r="AX194"/>
  <c r="AX116"/>
  <c r="AX115"/>
  <c r="AX532"/>
  <c r="AX499"/>
  <c r="BS627"/>
  <c r="BU627" s="1"/>
  <c r="BV627" s="1"/>
  <c r="L86" i="51061"/>
  <c r="BS738" i="51055"/>
  <c r="BU738" s="1"/>
  <c r="BV738" s="1"/>
  <c r="BS563"/>
  <c r="BU563" s="1"/>
  <c r="BV563" s="1"/>
  <c r="L69" i="51061"/>
  <c r="L93"/>
  <c r="AX535" i="51055"/>
  <c r="BS291"/>
  <c r="BU291" s="1"/>
  <c r="BV291" s="1"/>
  <c r="BS319"/>
  <c r="BU319" s="1"/>
  <c r="BV319" s="1"/>
  <c r="M59" i="51061"/>
  <c r="BS325" i="51055"/>
  <c r="BU325" s="1"/>
  <c r="BV325" s="1"/>
  <c r="M45" i="51061"/>
  <c r="BS263" i="51055"/>
  <c r="BU263" s="1"/>
  <c r="BV263" s="1"/>
  <c r="AX315"/>
  <c r="M37" i="51061"/>
  <c r="M36"/>
  <c r="BS130" i="51055"/>
  <c r="BU130" s="1"/>
  <c r="BV130" s="1"/>
  <c r="AX96"/>
  <c r="BS105"/>
  <c r="BU105" s="1"/>
  <c r="BV105" s="1"/>
  <c r="AX86"/>
  <c r="AX14"/>
  <c r="BS211"/>
  <c r="BU211" s="1"/>
  <c r="BV211" s="1"/>
  <c r="M35" i="51061"/>
  <c r="BS13" i="51055"/>
  <c r="BU13" s="1"/>
  <c r="BV13" s="1"/>
  <c r="AX497"/>
  <c r="AX608"/>
  <c r="AX447"/>
  <c r="EQ742"/>
  <c r="AX33"/>
  <c r="BE321" l="1"/>
  <c r="BD321"/>
  <c r="BE263"/>
  <c r="BD263"/>
  <c r="BP443"/>
  <c r="BR443" s="1"/>
  <c r="BS443"/>
  <c r="BU443" s="1"/>
  <c r="BV443" s="1"/>
  <c r="BP301"/>
  <c r="BR301" s="1"/>
  <c r="BE256"/>
  <c r="BD256"/>
  <c r="BE361"/>
  <c r="BD361"/>
  <c r="BS287"/>
  <c r="BU287" s="1"/>
  <c r="BV287" s="1"/>
  <c r="BP287"/>
  <c r="BR287" s="1"/>
  <c r="BL507"/>
  <c r="AX507"/>
  <c r="BE307"/>
  <c r="BD307"/>
  <c r="BE398"/>
  <c r="BD398"/>
  <c r="BE246"/>
  <c r="BD246"/>
  <c r="BD280"/>
  <c r="BE280"/>
  <c r="BP377"/>
  <c r="BR377" s="1"/>
  <c r="BP384"/>
  <c r="BR384" s="1"/>
  <c r="BS384"/>
  <c r="BU384" s="1"/>
  <c r="BV384" s="1"/>
  <c r="BP650"/>
  <c r="BR650" s="1"/>
  <c r="BS650"/>
  <c r="BU650" s="1"/>
  <c r="BV650" s="1"/>
  <c r="BE434"/>
  <c r="BD434"/>
  <c r="BP434"/>
  <c r="BR434" s="1"/>
  <c r="BS434"/>
  <c r="BU434" s="1"/>
  <c r="BV434" s="1"/>
  <c r="BE480"/>
  <c r="BD480"/>
  <c r="BD534"/>
  <c r="BE534"/>
  <c r="BP550"/>
  <c r="BR550" s="1"/>
  <c r="BE578"/>
  <c r="BD578"/>
  <c r="BE282"/>
  <c r="BD282"/>
  <c r="BP317"/>
  <c r="BR317" s="1"/>
  <c r="BP327"/>
  <c r="BR327" s="1"/>
  <c r="BE319"/>
  <c r="BD319"/>
  <c r="BE312"/>
  <c r="BD312"/>
  <c r="BE638"/>
  <c r="BD638"/>
  <c r="BD646"/>
  <c r="BE646"/>
  <c r="BD456"/>
  <c r="BE456"/>
  <c r="BE467"/>
  <c r="BD467"/>
  <c r="BD476"/>
  <c r="BE476"/>
  <c r="BE522"/>
  <c r="BD522"/>
  <c r="BD530"/>
  <c r="BE530"/>
  <c r="BE546"/>
  <c r="BD546"/>
  <c r="BD574"/>
  <c r="BE574"/>
  <c r="BE583"/>
  <c r="BD583"/>
  <c r="BD591"/>
  <c r="BE591"/>
  <c r="BD436"/>
  <c r="BE436"/>
  <c r="BP501"/>
  <c r="BR501" s="1"/>
  <c r="BL589"/>
  <c r="AX589"/>
  <c r="BD341"/>
  <c r="BE341"/>
  <c r="BD363"/>
  <c r="BE363"/>
  <c r="BE325"/>
  <c r="BD325"/>
  <c r="BL680"/>
  <c r="AX680"/>
  <c r="BE471"/>
  <c r="BD471"/>
  <c r="BP343"/>
  <c r="BR343" s="1"/>
  <c r="BD291"/>
  <c r="BE291"/>
  <c r="BE250"/>
  <c r="BD250"/>
  <c r="BD407"/>
  <c r="BE407"/>
  <c r="BL329"/>
  <c r="AX329"/>
  <c r="BP642"/>
  <c r="BR642" s="1"/>
  <c r="BS642"/>
  <c r="BU642" s="1"/>
  <c r="BV642" s="1"/>
  <c r="BD736"/>
  <c r="BE736"/>
  <c r="AX215"/>
  <c r="AX659"/>
  <c r="BS352"/>
  <c r="BU352" s="1"/>
  <c r="BV352" s="1"/>
  <c r="BS520"/>
  <c r="BU520" s="1"/>
  <c r="BV520" s="1"/>
  <c r="BS572"/>
  <c r="BU572" s="1"/>
  <c r="BV572" s="1"/>
  <c r="AX84"/>
  <c r="BS140"/>
  <c r="BU140" s="1"/>
  <c r="BV140" s="1"/>
  <c r="BS180"/>
  <c r="BU180" s="1"/>
  <c r="BV180" s="1"/>
  <c r="BS309"/>
  <c r="BU309" s="1"/>
  <c r="BV309" s="1"/>
  <c r="BS526"/>
  <c r="BU526" s="1"/>
  <c r="BV526" s="1"/>
  <c r="BS538"/>
  <c r="BU538" s="1"/>
  <c r="BV538" s="1"/>
  <c r="AX40"/>
  <c r="AX233"/>
  <c r="AX153"/>
  <c r="BS441"/>
  <c r="BU441" s="1"/>
  <c r="BV441" s="1"/>
  <c r="BS487"/>
  <c r="BU487" s="1"/>
  <c r="BV487" s="1"/>
  <c r="BS48"/>
  <c r="BU48" s="1"/>
  <c r="BV48" s="1"/>
  <c r="BS597"/>
  <c r="BU597" s="1"/>
  <c r="BV597" s="1"/>
  <c r="BS599"/>
  <c r="BU599" s="1"/>
  <c r="BV599" s="1"/>
  <c r="BS482"/>
  <c r="BU482" s="1"/>
  <c r="BV482" s="1"/>
  <c r="BS541"/>
  <c r="BU541" s="1"/>
  <c r="BV541" s="1"/>
  <c r="BS373"/>
  <c r="BU373" s="1"/>
  <c r="BV373" s="1"/>
  <c r="BS348"/>
  <c r="BU348" s="1"/>
  <c r="BV348" s="1"/>
  <c r="BS99"/>
  <c r="BU99" s="1"/>
  <c r="BV99" s="1"/>
  <c r="BS721"/>
  <c r="BU721" s="1"/>
  <c r="BV721" s="1"/>
  <c r="AX502"/>
  <c r="AX611"/>
  <c r="AX238"/>
  <c r="G114" i="51061"/>
  <c r="BS555" i="51055"/>
  <c r="BU555" s="1"/>
  <c r="BV555" s="1"/>
  <c r="BS23"/>
  <c r="BU23" s="1"/>
  <c r="BV23" s="1"/>
  <c r="BS88"/>
  <c r="BU88" s="1"/>
  <c r="BV88" s="1"/>
  <c r="BS566"/>
  <c r="BU566" s="1"/>
  <c r="BV566" s="1"/>
  <c r="BS499"/>
  <c r="BU499" s="1"/>
  <c r="BV499" s="1"/>
  <c r="BS524"/>
  <c r="BU524" s="1"/>
  <c r="BV524" s="1"/>
  <c r="BS606"/>
  <c r="BU606" s="1"/>
  <c r="BV606" s="1"/>
  <c r="BS532"/>
  <c r="BU532" s="1"/>
  <c r="BV532" s="1"/>
  <c r="BS115"/>
  <c r="BU115" s="1"/>
  <c r="BV115" s="1"/>
  <c r="BS489"/>
  <c r="BU489" s="1"/>
  <c r="BV489" s="1"/>
  <c r="BS554"/>
  <c r="BU554" s="1"/>
  <c r="BV554" s="1"/>
  <c r="BS600"/>
  <c r="BU600" s="1"/>
  <c r="BV600" s="1"/>
  <c r="AX691"/>
  <c r="AX424"/>
  <c r="AX498"/>
  <c r="AX243"/>
  <c r="BS478"/>
  <c r="BU478" s="1"/>
  <c r="BV478" s="1"/>
  <c r="BS388"/>
  <c r="BU388" s="1"/>
  <c r="BV388" s="1"/>
  <c r="BS705"/>
  <c r="BU705" s="1"/>
  <c r="BV705" s="1"/>
  <c r="BS717"/>
  <c r="BU717" s="1"/>
  <c r="BV717" s="1"/>
  <c r="E112" i="51061"/>
  <c r="BS19" i="51055"/>
  <c r="BU19" s="1"/>
  <c r="BV19" s="1"/>
  <c r="BS323"/>
  <c r="BU323" s="1"/>
  <c r="BV323" s="1"/>
  <c r="BS559"/>
  <c r="BU559" s="1"/>
  <c r="BV559" s="1"/>
  <c r="BS564"/>
  <c r="BU564" s="1"/>
  <c r="BV564" s="1"/>
  <c r="BS728"/>
  <c r="BU728" s="1"/>
  <c r="BV728" s="1"/>
  <c r="BS529"/>
  <c r="BU529" s="1"/>
  <c r="BV529" s="1"/>
  <c r="BS338"/>
  <c r="BU338" s="1"/>
  <c r="BV338" s="1"/>
  <c r="BS713"/>
  <c r="BU713" s="1"/>
  <c r="BV713" s="1"/>
  <c r="BS562"/>
  <c r="BU562" s="1"/>
  <c r="BV562" s="1"/>
  <c r="BS494"/>
  <c r="BU494" s="1"/>
  <c r="BV494" s="1"/>
  <c r="AX170"/>
  <c r="G112" i="51061"/>
  <c r="AX443" i="51055"/>
  <c r="AX593"/>
  <c r="AX436"/>
  <c r="BE587"/>
  <c r="BD587"/>
  <c r="BD295"/>
  <c r="BE295"/>
  <c r="BE443"/>
  <c r="BD443"/>
  <c r="BD232"/>
  <c r="BE232"/>
  <c r="BE375"/>
  <c r="BD375"/>
  <c r="BE301"/>
  <c r="BD301"/>
  <c r="BS256"/>
  <c r="BU256" s="1"/>
  <c r="BV256" s="1"/>
  <c r="BP256"/>
  <c r="BR256" s="1"/>
  <c r="BL361"/>
  <c r="AX361"/>
  <c r="BD287"/>
  <c r="BE287"/>
  <c r="BD507"/>
  <c r="BE507"/>
  <c r="BD274"/>
  <c r="BE274"/>
  <c r="BE278"/>
  <c r="BD278"/>
  <c r="BP307"/>
  <c r="BR307" s="1"/>
  <c r="BD390"/>
  <c r="BE390"/>
  <c r="BE20"/>
  <c r="BD20"/>
  <c r="BS68"/>
  <c r="BU68" s="1"/>
  <c r="BV68" s="1"/>
  <c r="BP68"/>
  <c r="BR68" s="1"/>
  <c r="BE68"/>
  <c r="BD68"/>
  <c r="BE350"/>
  <c r="BD350"/>
  <c r="BD357"/>
  <c r="BE357"/>
  <c r="BE377"/>
  <c r="BD377"/>
  <c r="BE384"/>
  <c r="BD384"/>
  <c r="BD392"/>
  <c r="BE392"/>
  <c r="BE650"/>
  <c r="BD650"/>
  <c r="BE678"/>
  <c r="BD678"/>
  <c r="BL678"/>
  <c r="AX678"/>
  <c r="BL534"/>
  <c r="AX534"/>
  <c r="BD550"/>
  <c r="BE550"/>
  <c r="BE593"/>
  <c r="BD593"/>
  <c r="BP282"/>
  <c r="BR282" s="1"/>
  <c r="BD317"/>
  <c r="BE317"/>
  <c r="BD327"/>
  <c r="BE327"/>
  <c r="BL359"/>
  <c r="AX359"/>
  <c r="BD359"/>
  <c r="BE359"/>
  <c r="BE386"/>
  <c r="BD386"/>
  <c r="BP312"/>
  <c r="BR312" s="1"/>
  <c r="BP638"/>
  <c r="BR638" s="1"/>
  <c r="BS646"/>
  <c r="BU646" s="1"/>
  <c r="BV646" s="1"/>
  <c r="BP646"/>
  <c r="BR646" s="1"/>
  <c r="BP467"/>
  <c r="BR467" s="1"/>
  <c r="BP476"/>
  <c r="BR476" s="1"/>
  <c r="BP522"/>
  <c r="BR522" s="1"/>
  <c r="BL546"/>
  <c r="AX546"/>
  <c r="BE565"/>
  <c r="BD565"/>
  <c r="BS574"/>
  <c r="BU574" s="1"/>
  <c r="BV574" s="1"/>
  <c r="BP574"/>
  <c r="BR574" s="1"/>
  <c r="BS583"/>
  <c r="BU583" s="1"/>
  <c r="BV583" s="1"/>
  <c r="BP583"/>
  <c r="BR583" s="1"/>
  <c r="BD501"/>
  <c r="BE501"/>
  <c r="BD589"/>
  <c r="BE589"/>
  <c r="BS341"/>
  <c r="BU341" s="1"/>
  <c r="BV341" s="1"/>
  <c r="BP341"/>
  <c r="BR341" s="1"/>
  <c r="BL363"/>
  <c r="AX363"/>
  <c r="BD680"/>
  <c r="BE680"/>
  <c r="BL471"/>
  <c r="AX471"/>
  <c r="BD343"/>
  <c r="BE343"/>
  <c r="BL250"/>
  <c r="AX250"/>
  <c r="BD329"/>
  <c r="BE329"/>
  <c r="BE642"/>
  <c r="BD642"/>
  <c r="AX357"/>
  <c r="AX384"/>
  <c r="AX578"/>
  <c r="AX282"/>
  <c r="AX591"/>
  <c r="AX642"/>
  <c r="CC105"/>
  <c r="CD105"/>
  <c r="CC130"/>
  <c r="CD130"/>
  <c r="CC321"/>
  <c r="CD321"/>
  <c r="CC396"/>
  <c r="CD396"/>
  <c r="CC392"/>
  <c r="CD392"/>
  <c r="CC278"/>
  <c r="CD278"/>
  <c r="CC552"/>
  <c r="CD552"/>
  <c r="CC724"/>
  <c r="CD724"/>
  <c r="BP80"/>
  <c r="BR80" s="1"/>
  <c r="BD87"/>
  <c r="BE87"/>
  <c r="BD37"/>
  <c r="BE37"/>
  <c r="BD136"/>
  <c r="BE136"/>
  <c r="BP533"/>
  <c r="BR533" s="1"/>
  <c r="CC352"/>
  <c r="CD352"/>
  <c r="BP470"/>
  <c r="BR470" s="1"/>
  <c r="BD607"/>
  <c r="BE607"/>
  <c r="CC585"/>
  <c r="CD585"/>
  <c r="BP488"/>
  <c r="BR488" s="1"/>
  <c r="BD716"/>
  <c r="BE716"/>
  <c r="CC107"/>
  <c r="CD107"/>
  <c r="CC39"/>
  <c r="CD39"/>
  <c r="BP700"/>
  <c r="BR700" s="1"/>
  <c r="BE176"/>
  <c r="BD176"/>
  <c r="BD139"/>
  <c r="BE139"/>
  <c r="BP139"/>
  <c r="BR139" s="1"/>
  <c r="AW219"/>
  <c r="Q38" i="51061"/>
  <c r="CC140" i="51055"/>
  <c r="CD140"/>
  <c r="CC180"/>
  <c r="CD180"/>
  <c r="AK401"/>
  <c r="L61" i="51061"/>
  <c r="L66" s="1"/>
  <c r="BD626" i="51055"/>
  <c r="BE626"/>
  <c r="BP708"/>
  <c r="BR708" s="1"/>
  <c r="BS708"/>
  <c r="BU708" s="1"/>
  <c r="BV708" s="1"/>
  <c r="CC556"/>
  <c r="CD556"/>
  <c r="BD22"/>
  <c r="BE22"/>
  <c r="BP51"/>
  <c r="BR51" s="1"/>
  <c r="BD51"/>
  <c r="BE51"/>
  <c r="BP689"/>
  <c r="BR689" s="1"/>
  <c r="BD689"/>
  <c r="BE689"/>
  <c r="BD198"/>
  <c r="BE198"/>
  <c r="BP142"/>
  <c r="BR142" s="1"/>
  <c r="BD142"/>
  <c r="BE142"/>
  <c r="BD191"/>
  <c r="BE191"/>
  <c r="BD179"/>
  <c r="BE179"/>
  <c r="BP179"/>
  <c r="BR179" s="1"/>
  <c r="BP347"/>
  <c r="BR347" s="1"/>
  <c r="BP292"/>
  <c r="BR292" s="1"/>
  <c r="BD328"/>
  <c r="BE328"/>
  <c r="BP376"/>
  <c r="BR376" s="1"/>
  <c r="BD397"/>
  <c r="BE397"/>
  <c r="BP279"/>
  <c r="BR279" s="1"/>
  <c r="BS279"/>
  <c r="BU279" s="1"/>
  <c r="BV279" s="1"/>
  <c r="BD679"/>
  <c r="BE679"/>
  <c r="BP640"/>
  <c r="BR640" s="1"/>
  <c r="BD640"/>
  <c r="BE640"/>
  <c r="BD459"/>
  <c r="BE459"/>
  <c r="BD508"/>
  <c r="BE508"/>
  <c r="BP508"/>
  <c r="BR508" s="1"/>
  <c r="BD630"/>
  <c r="BE630"/>
  <c r="BD504"/>
  <c r="BE504"/>
  <c r="BP504"/>
  <c r="BR504" s="1"/>
  <c r="BS504"/>
  <c r="BU504" s="1"/>
  <c r="BV504" s="1"/>
  <c r="BD628"/>
  <c r="BE628"/>
  <c r="BP681"/>
  <c r="BR681" s="1"/>
  <c r="BE79"/>
  <c r="BD79"/>
  <c r="BP666"/>
  <c r="BR666" s="1"/>
  <c r="BP129"/>
  <c r="BR129" s="1"/>
  <c r="BS129"/>
  <c r="BU129" s="1"/>
  <c r="BV129" s="1"/>
  <c r="BD210"/>
  <c r="BE210"/>
  <c r="BP34"/>
  <c r="BR34" s="1"/>
  <c r="BD149"/>
  <c r="BE149"/>
  <c r="BP189"/>
  <c r="BR189" s="1"/>
  <c r="BD156"/>
  <c r="BE156"/>
  <c r="BP156"/>
  <c r="BR156" s="1"/>
  <c r="BS156"/>
  <c r="BU156" s="1"/>
  <c r="BV156" s="1"/>
  <c r="BP226"/>
  <c r="BR226" s="1"/>
  <c r="BS226"/>
  <c r="BU226" s="1"/>
  <c r="BV226" s="1"/>
  <c r="BP430"/>
  <c r="BR430" s="1"/>
  <c r="BD430"/>
  <c r="BE430"/>
  <c r="BD257"/>
  <c r="BE257"/>
  <c r="BP404"/>
  <c r="BR404" s="1"/>
  <c r="BP249"/>
  <c r="BR249" s="1"/>
  <c r="BD288"/>
  <c r="BE288"/>
  <c r="BP320"/>
  <c r="BR320" s="1"/>
  <c r="BD351"/>
  <c r="BE351"/>
  <c r="BP378"/>
  <c r="BR378" s="1"/>
  <c r="BD281"/>
  <c r="BE281"/>
  <c r="BD667"/>
  <c r="BE667"/>
  <c r="BP667"/>
  <c r="BR667" s="1"/>
  <c r="BD468"/>
  <c r="BE468"/>
  <c r="BD665"/>
  <c r="BE665"/>
  <c r="BP665"/>
  <c r="BR665" s="1"/>
  <c r="AU58"/>
  <c r="AY58"/>
  <c r="AZ58"/>
  <c r="BF58" s="1"/>
  <c r="BA58"/>
  <c r="BG58" s="1"/>
  <c r="BB58"/>
  <c r="BH58" s="1"/>
  <c r="BC58"/>
  <c r="BI58" s="1"/>
  <c r="M14" i="51061"/>
  <c r="BP190" i="51055"/>
  <c r="BR190" s="1"/>
  <c r="BS190"/>
  <c r="BU190" s="1"/>
  <c r="BV190" s="1"/>
  <c r="BD190"/>
  <c r="BE190"/>
  <c r="BP206"/>
  <c r="BR206" s="1"/>
  <c r="BS206"/>
  <c r="BU206" s="1"/>
  <c r="BV206" s="1"/>
  <c r="BD206"/>
  <c r="BE206"/>
  <c r="BD220"/>
  <c r="BE220"/>
  <c r="CC201"/>
  <c r="CD201"/>
  <c r="BD253"/>
  <c r="BE253"/>
  <c r="BP322"/>
  <c r="BR322" s="1"/>
  <c r="AU345"/>
  <c r="AY345"/>
  <c r="AZ345"/>
  <c r="BF345" s="1"/>
  <c r="BA345"/>
  <c r="BG345" s="1"/>
  <c r="BB345"/>
  <c r="BH345" s="1"/>
  <c r="BC345"/>
  <c r="BI345" s="1"/>
  <c r="M53" i="51061"/>
  <c r="BP592" i="51055"/>
  <c r="BR592" s="1"/>
  <c r="CC487"/>
  <c r="CD487"/>
  <c r="AU690"/>
  <c r="AY690"/>
  <c r="AZ690"/>
  <c r="BF690" s="1"/>
  <c r="BA690"/>
  <c r="BG690" s="1"/>
  <c r="BB690"/>
  <c r="BH690" s="1"/>
  <c r="BC690"/>
  <c r="BI690" s="1"/>
  <c r="M100" i="51061"/>
  <c r="M103" s="1"/>
  <c r="BD727" i="51055"/>
  <c r="BE727"/>
  <c r="CC141"/>
  <c r="CD141"/>
  <c r="BP52"/>
  <c r="CC48"/>
  <c r="CD48"/>
  <c r="AU453"/>
  <c r="BC453"/>
  <c r="BI453" s="1"/>
  <c r="BA453"/>
  <c r="BG453" s="1"/>
  <c r="AY453"/>
  <c r="BB453"/>
  <c r="BH453" s="1"/>
  <c r="AZ453"/>
  <c r="BF453" s="1"/>
  <c r="AX453"/>
  <c r="M70" i="51061"/>
  <c r="BL151" i="51055"/>
  <c r="AX151"/>
  <c r="BD260"/>
  <c r="BE260"/>
  <c r="CC13"/>
  <c r="CD13"/>
  <c r="CC211"/>
  <c r="CD211"/>
  <c r="CC263"/>
  <c r="CD263"/>
  <c r="CC325"/>
  <c r="CD325"/>
  <c r="CC319"/>
  <c r="CD319"/>
  <c r="CC738"/>
  <c r="CD738"/>
  <c r="CC627"/>
  <c r="CD627"/>
  <c r="CC244"/>
  <c r="CD244"/>
  <c r="CC530"/>
  <c r="CD530"/>
  <c r="CC232"/>
  <c r="CD232"/>
  <c r="CD736"/>
  <c r="CC736"/>
  <c r="CC587"/>
  <c r="CD587"/>
  <c r="CC565"/>
  <c r="CD565"/>
  <c r="BD80"/>
  <c r="BE80"/>
  <c r="BS133"/>
  <c r="BU133" s="1"/>
  <c r="BV133" s="1"/>
  <c r="BP133"/>
  <c r="BR133" s="1"/>
  <c r="BP72"/>
  <c r="BR72" s="1"/>
  <c r="BD72"/>
  <c r="BE72"/>
  <c r="AW87"/>
  <c r="Q16" i="51061"/>
  <c r="BP136" i="51055"/>
  <c r="BR136" s="1"/>
  <c r="BS656"/>
  <c r="BU656" s="1"/>
  <c r="BV656" s="1"/>
  <c r="BP656"/>
  <c r="BR656" s="1"/>
  <c r="BD506"/>
  <c r="BE506"/>
  <c r="BP506"/>
  <c r="BR506" s="1"/>
  <c r="AW138"/>
  <c r="BL138" s="1"/>
  <c r="Q24" i="51061"/>
  <c r="BP163" i="51055"/>
  <c r="BR163" s="1"/>
  <c r="BD163"/>
  <c r="BE163"/>
  <c r="BP182"/>
  <c r="BR182" s="1"/>
  <c r="BD182"/>
  <c r="BE182"/>
  <c r="BS215"/>
  <c r="BU215" s="1"/>
  <c r="BV215" s="1"/>
  <c r="BP215"/>
  <c r="BR215" s="1"/>
  <c r="BD215"/>
  <c r="BE215"/>
  <c r="BD112"/>
  <c r="BE112"/>
  <c r="BS644"/>
  <c r="BU644" s="1"/>
  <c r="BV644" s="1"/>
  <c r="BP644"/>
  <c r="BR644" s="1"/>
  <c r="BD644"/>
  <c r="BE644"/>
  <c r="BP659"/>
  <c r="BR659" s="1"/>
  <c r="BD659"/>
  <c r="BE659"/>
  <c r="BP719"/>
  <c r="BR719" s="1"/>
  <c r="BD719"/>
  <c r="BE719"/>
  <c r="BD251"/>
  <c r="BE251"/>
  <c r="BP308"/>
  <c r="BR308" s="1"/>
  <c r="AU283"/>
  <c r="AW283" s="1"/>
  <c r="BL283" s="1"/>
  <c r="AY283"/>
  <c r="AZ283"/>
  <c r="BF283" s="1"/>
  <c r="BA283"/>
  <c r="BG283" s="1"/>
  <c r="BB283"/>
  <c r="BH283" s="1"/>
  <c r="BC283"/>
  <c r="BI283" s="1"/>
  <c r="AX283"/>
  <c r="BD470"/>
  <c r="BE470"/>
  <c r="BP607"/>
  <c r="BR607" s="1"/>
  <c r="BS607"/>
  <c r="BU607" s="1"/>
  <c r="BV607" s="1"/>
  <c r="BD488"/>
  <c r="BE488"/>
  <c r="BP716"/>
  <c r="BR716" s="1"/>
  <c r="BS716"/>
  <c r="BU716" s="1"/>
  <c r="BV716" s="1"/>
  <c r="BL240"/>
  <c r="AX240"/>
  <c r="BE700"/>
  <c r="BD700"/>
  <c r="BP176"/>
  <c r="BR176" s="1"/>
  <c r="BS176"/>
  <c r="BU176" s="1"/>
  <c r="BV176" s="1"/>
  <c r="BD219"/>
  <c r="BE219"/>
  <c r="AW234"/>
  <c r="BL234" s="1"/>
  <c r="Q40" i="51061"/>
  <c r="BD402" i="51055"/>
  <c r="BE402"/>
  <c r="BP675"/>
  <c r="BR675" s="1"/>
  <c r="BS675"/>
  <c r="BU675" s="1"/>
  <c r="BV675" s="1"/>
  <c r="BD710"/>
  <c r="BE710"/>
  <c r="BD560"/>
  <c r="BE560"/>
  <c r="BP84"/>
  <c r="BR84" s="1"/>
  <c r="BS84"/>
  <c r="BU84" s="1"/>
  <c r="BV84" s="1"/>
  <c r="BE84"/>
  <c r="BD84"/>
  <c r="AU126"/>
  <c r="BC126"/>
  <c r="BI126" s="1"/>
  <c r="BB126"/>
  <c r="BH126" s="1"/>
  <c r="BA126"/>
  <c r="BG126" s="1"/>
  <c r="AZ126"/>
  <c r="BF126" s="1"/>
  <c r="AY126"/>
  <c r="M22" i="51061"/>
  <c r="S29"/>
  <c r="AF29" s="1"/>
  <c r="BP165" i="51055"/>
  <c r="BS165" s="1"/>
  <c r="AW297"/>
  <c r="BL297" s="1"/>
  <c r="BS493"/>
  <c r="BU493" s="1"/>
  <c r="BV493" s="1"/>
  <c r="BP493"/>
  <c r="BR493" s="1"/>
  <c r="AW626"/>
  <c r="Q91" i="51061"/>
  <c r="BD708" i="51055"/>
  <c r="BE708"/>
  <c r="BP22"/>
  <c r="BR22" s="1"/>
  <c r="BP171"/>
  <c r="BR171" s="1"/>
  <c r="BD171"/>
  <c r="BE171"/>
  <c r="BP198"/>
  <c r="BR198" s="1"/>
  <c r="BP191"/>
  <c r="BR191" s="1"/>
  <c r="BP414"/>
  <c r="BR414" s="1"/>
  <c r="BD414"/>
  <c r="BE414"/>
  <c r="BD347"/>
  <c r="BE347"/>
  <c r="BP433"/>
  <c r="BR433" s="1"/>
  <c r="BD433"/>
  <c r="BE433"/>
  <c r="BD292"/>
  <c r="BE292"/>
  <c r="BP328"/>
  <c r="BR328" s="1"/>
  <c r="BD376"/>
  <c r="BE376"/>
  <c r="BP397"/>
  <c r="BR397" s="1"/>
  <c r="BD279"/>
  <c r="BE279"/>
  <c r="BP679"/>
  <c r="BR679" s="1"/>
  <c r="BP459"/>
  <c r="BR459" s="1"/>
  <c r="BP630"/>
  <c r="BR630" s="1"/>
  <c r="BP628"/>
  <c r="BR628" s="1"/>
  <c r="BD681"/>
  <c r="BE681"/>
  <c r="BP40"/>
  <c r="BR40" s="1"/>
  <c r="BD40"/>
  <c r="BE40"/>
  <c r="BP79"/>
  <c r="BR79" s="1"/>
  <c r="BS79"/>
  <c r="BU79" s="1"/>
  <c r="BV79" s="1"/>
  <c r="BD666"/>
  <c r="BE666"/>
  <c r="BD129"/>
  <c r="BE129"/>
  <c r="BP210"/>
  <c r="BR210" s="1"/>
  <c r="BS210"/>
  <c r="BU210" s="1"/>
  <c r="BV210" s="1"/>
  <c r="BD34"/>
  <c r="BE34"/>
  <c r="BP149"/>
  <c r="BR149" s="1"/>
  <c r="BD189"/>
  <c r="BE189"/>
  <c r="BP231"/>
  <c r="BR231" s="1"/>
  <c r="BE231"/>
  <c r="BD231"/>
  <c r="BD226"/>
  <c r="BE226"/>
  <c r="BP257"/>
  <c r="BR257" s="1"/>
  <c r="BD404"/>
  <c r="BE404"/>
  <c r="BP233"/>
  <c r="BR233" s="1"/>
  <c r="BS233"/>
  <c r="BU233" s="1"/>
  <c r="BV233" s="1"/>
  <c r="BD233"/>
  <c r="BE233"/>
  <c r="BD249"/>
  <c r="BE249"/>
  <c r="BP288"/>
  <c r="BR288" s="1"/>
  <c r="BS288"/>
  <c r="BU288" s="1"/>
  <c r="BV288" s="1"/>
  <c r="BD320"/>
  <c r="BE320"/>
  <c r="BP351"/>
  <c r="BR351" s="1"/>
  <c r="BD378"/>
  <c r="BE378"/>
  <c r="BP281"/>
  <c r="BR281" s="1"/>
  <c r="BP468"/>
  <c r="BR468" s="1"/>
  <c r="BP153"/>
  <c r="BR153" s="1"/>
  <c r="BD153"/>
  <c r="BE153"/>
  <c r="BP209"/>
  <c r="BR209" s="1"/>
  <c r="BD209"/>
  <c r="BE209"/>
  <c r="BP220"/>
  <c r="BR220" s="1"/>
  <c r="AU113"/>
  <c r="AX113"/>
  <c r="AY113"/>
  <c r="AZ113"/>
  <c r="BF113" s="1"/>
  <c r="BA113"/>
  <c r="BG113" s="1"/>
  <c r="BB113"/>
  <c r="BH113" s="1"/>
  <c r="BC113"/>
  <c r="BI113" s="1"/>
  <c r="M20" i="51061"/>
  <c r="BD313" i="51055"/>
  <c r="BE313"/>
  <c r="BP253"/>
  <c r="BR253" s="1"/>
  <c r="BD322"/>
  <c r="BE322"/>
  <c r="BP448"/>
  <c r="BR448" s="1"/>
  <c r="BS448"/>
  <c r="BU448" s="1"/>
  <c r="BV448" s="1"/>
  <c r="BD592"/>
  <c r="BE592"/>
  <c r="AW727"/>
  <c r="BL727" s="1"/>
  <c r="Q106" i="51061"/>
  <c r="BP260" i="51055"/>
  <c r="BR260" s="1"/>
  <c r="BS260"/>
  <c r="BU260" s="1"/>
  <c r="BV260" s="1"/>
  <c r="AW409"/>
  <c r="BL409" s="1"/>
  <c r="Q63" i="51061"/>
  <c r="AW324" i="51055"/>
  <c r="BL324" s="1"/>
  <c r="Q50" i="51061"/>
  <c r="BD735" i="51055"/>
  <c r="BE735"/>
  <c r="AW569"/>
  <c r="Q84" i="51061"/>
  <c r="S46"/>
  <c r="AF46" s="1"/>
  <c r="BS285" i="51055"/>
  <c r="BP285"/>
  <c r="BL334"/>
  <c r="AX334"/>
  <c r="BL27"/>
  <c r="AX27"/>
  <c r="AW134"/>
  <c r="BL134" s="1"/>
  <c r="Q23" i="51061"/>
  <c r="BD192" i="51055"/>
  <c r="BE192"/>
  <c r="AW192"/>
  <c r="Q32" i="51061"/>
  <c r="S67"/>
  <c r="BP423" i="51055"/>
  <c r="BS423"/>
  <c r="BD372"/>
  <c r="BE372"/>
  <c r="AW415"/>
  <c r="BL415" s="1"/>
  <c r="Q65" i="51061"/>
  <c r="AW248" i="51055"/>
  <c r="BL248" s="1"/>
  <c r="Q43" i="51061"/>
  <c r="BP286" i="51055"/>
  <c r="BR286" s="1"/>
  <c r="BS286"/>
  <c r="BU286" s="1"/>
  <c r="BV286" s="1"/>
  <c r="AW316"/>
  <c r="Q47" i="51061"/>
  <c r="AW360" i="51055"/>
  <c r="Q56" i="51061"/>
  <c r="S80"/>
  <c r="AF80" s="1"/>
  <c r="BS540" i="51055"/>
  <c r="BP540"/>
  <c r="AW641"/>
  <c r="BL641" s="1"/>
  <c r="Q94" i="51061"/>
  <c r="AW701" i="51055"/>
  <c r="Q101" i="51061"/>
  <c r="AW473" i="51055"/>
  <c r="BL473" s="1"/>
  <c r="Q72" i="51061"/>
  <c r="BP208" i="51055"/>
  <c r="BR208" s="1"/>
  <c r="BP147"/>
  <c r="BR147" s="1"/>
  <c r="BD164"/>
  <c r="BE164"/>
  <c r="BP164"/>
  <c r="BR164" s="1"/>
  <c r="BS267"/>
  <c r="BU267" s="1"/>
  <c r="BV267" s="1"/>
  <c r="BP267"/>
  <c r="BR267" s="1"/>
  <c r="BD364"/>
  <c r="BE364"/>
  <c r="BP290"/>
  <c r="BR290" s="1"/>
  <c r="BD620"/>
  <c r="BE620"/>
  <c r="BP651"/>
  <c r="BR651" s="1"/>
  <c r="BD455"/>
  <c r="BE455"/>
  <c r="BD502"/>
  <c r="BE502"/>
  <c r="BP502"/>
  <c r="BR502" s="1"/>
  <c r="BD625"/>
  <c r="BE625"/>
  <c r="BP714"/>
  <c r="BR714" s="1"/>
  <c r="BP718"/>
  <c r="BR718" s="1"/>
  <c r="BD150"/>
  <c r="BE150"/>
  <c r="BP611"/>
  <c r="BR611" s="1"/>
  <c r="BD611"/>
  <c r="BE611"/>
  <c r="BE739"/>
  <c r="BD739"/>
  <c r="BP90"/>
  <c r="BR90" s="1"/>
  <c r="BD104"/>
  <c r="BE104"/>
  <c r="BD154"/>
  <c r="BE154"/>
  <c r="BP154"/>
  <c r="BR154" s="1"/>
  <c r="BD203"/>
  <c r="BE203"/>
  <c r="BD71"/>
  <c r="BE71"/>
  <c r="BD187"/>
  <c r="BE187"/>
  <c r="BP238"/>
  <c r="BR238" s="1"/>
  <c r="BD238"/>
  <c r="BE238"/>
  <c r="BP349"/>
  <c r="BR349" s="1"/>
  <c r="BP236"/>
  <c r="BR236" s="1"/>
  <c r="BD236"/>
  <c r="BE236"/>
  <c r="BD677"/>
  <c r="BE677"/>
  <c r="BP712"/>
  <c r="BR712" s="1"/>
  <c r="BP686"/>
  <c r="BR686" s="1"/>
  <c r="CC235"/>
  <c r="CD235"/>
  <c r="CC280"/>
  <c r="CD280"/>
  <c r="CC617"/>
  <c r="CD617"/>
  <c r="CC390"/>
  <c r="CD390"/>
  <c r="CC456"/>
  <c r="CD456"/>
  <c r="CC591"/>
  <c r="CD591"/>
  <c r="CC436"/>
  <c r="CD436"/>
  <c r="CC93"/>
  <c r="CD93"/>
  <c r="CC413"/>
  <c r="CD413"/>
  <c r="CC274"/>
  <c r="CD274"/>
  <c r="CC357"/>
  <c r="CD357"/>
  <c r="CC295"/>
  <c r="CD295"/>
  <c r="BP17"/>
  <c r="BR17" s="1"/>
  <c r="BD17"/>
  <c r="BE17"/>
  <c r="BD26"/>
  <c r="BE26"/>
  <c r="BP54"/>
  <c r="BR54" s="1"/>
  <c r="BD66"/>
  <c r="BE66"/>
  <c r="BS81"/>
  <c r="BU81" s="1"/>
  <c r="BV81" s="1"/>
  <c r="BP81"/>
  <c r="BR81" s="1"/>
  <c r="BS542"/>
  <c r="BU542" s="1"/>
  <c r="BV542" s="1"/>
  <c r="BP542"/>
  <c r="BR542" s="1"/>
  <c r="BD542"/>
  <c r="BE542"/>
  <c r="BD512"/>
  <c r="BE512"/>
  <c r="BP442"/>
  <c r="BR442" s="1"/>
  <c r="BP146"/>
  <c r="BR146" s="1"/>
  <c r="BP195"/>
  <c r="BR195" s="1"/>
  <c r="BD195"/>
  <c r="BE195"/>
  <c r="AU30"/>
  <c r="BC30"/>
  <c r="BI30" s="1"/>
  <c r="BB30"/>
  <c r="BH30" s="1"/>
  <c r="BA30"/>
  <c r="BG30" s="1"/>
  <c r="AZ30"/>
  <c r="BF30" s="1"/>
  <c r="AY30"/>
  <c r="M10" i="51061"/>
  <c r="BD158" i="51055"/>
  <c r="BE158"/>
  <c r="BP158"/>
  <c r="BR158" s="1"/>
  <c r="AU121"/>
  <c r="AY121"/>
  <c r="AZ121"/>
  <c r="BF121" s="1"/>
  <c r="BA121"/>
  <c r="BG121" s="1"/>
  <c r="BB121"/>
  <c r="BH121" s="1"/>
  <c r="BC121"/>
  <c r="BI121" s="1"/>
  <c r="M21" i="51061"/>
  <c r="BD406" i="51055"/>
  <c r="BE406"/>
  <c r="BP264"/>
  <c r="BR264" s="1"/>
  <c r="BS264"/>
  <c r="BU264" s="1"/>
  <c r="BV264" s="1"/>
  <c r="AU354"/>
  <c r="AY354"/>
  <c r="AZ354"/>
  <c r="BF354" s="1"/>
  <c r="BA354"/>
  <c r="BG354" s="1"/>
  <c r="BB354"/>
  <c r="BH354" s="1"/>
  <c r="BC354"/>
  <c r="BI354" s="1"/>
  <c r="AX354"/>
  <c r="M54" i="51061"/>
  <c r="BD356" i="51055"/>
  <c r="BE356"/>
  <c r="BP446"/>
  <c r="BR446" s="1"/>
  <c r="BS446"/>
  <c r="BU446" s="1"/>
  <c r="BV446" s="1"/>
  <c r="BD590"/>
  <c r="BE590"/>
  <c r="BP639"/>
  <c r="BR639" s="1"/>
  <c r="BS639"/>
  <c r="BU639" s="1"/>
  <c r="BV639" s="1"/>
  <c r="BD586"/>
  <c r="BE586"/>
  <c r="AK305"/>
  <c r="L48" i="51061"/>
  <c r="L49" s="1"/>
  <c r="S35"/>
  <c r="AF35" s="1"/>
  <c r="BS207" i="51055"/>
  <c r="BP207"/>
  <c r="BE697"/>
  <c r="BD697"/>
  <c r="BD635"/>
  <c r="BE635"/>
  <c r="BS635"/>
  <c r="BU635" s="1"/>
  <c r="BV635" s="1"/>
  <c r="BP635"/>
  <c r="BR635" s="1"/>
  <c r="BL202"/>
  <c r="AX202"/>
  <c r="S37" i="51061"/>
  <c r="AF37" s="1"/>
  <c r="BP213" i="51055"/>
  <c r="BS213" s="1"/>
  <c r="BL394"/>
  <c r="AX394"/>
  <c r="S45" i="51061"/>
  <c r="AF45" s="1"/>
  <c r="BP272" i="51055"/>
  <c r="BS272" s="1"/>
  <c r="S59" i="51061"/>
  <c r="AF59" s="1"/>
  <c r="BP382" i="51055"/>
  <c r="BS382" s="1"/>
  <c r="BD514"/>
  <c r="BE514"/>
  <c r="BD610"/>
  <c r="BE610"/>
  <c r="AW740"/>
  <c r="Q110" i="51061"/>
  <c r="Q111" s="1"/>
  <c r="BD440" i="51055"/>
  <c r="BE440"/>
  <c r="BD595"/>
  <c r="BE595"/>
  <c r="BD734"/>
  <c r="BE734"/>
  <c r="BD300"/>
  <c r="BE300"/>
  <c r="AW94"/>
  <c r="Q17" i="51061"/>
  <c r="BD157" i="51055"/>
  <c r="BE157"/>
  <c r="AW418"/>
  <c r="BL418" s="1"/>
  <c r="Q64" i="51061"/>
  <c r="BP335" i="51055"/>
  <c r="BR335" s="1"/>
  <c r="AW340"/>
  <c r="BL340" s="1"/>
  <c r="Q52" i="51061"/>
  <c r="S107"/>
  <c r="AF107" s="1"/>
  <c r="BP730" i="51055"/>
  <c r="BS730" s="1"/>
  <c r="AW580"/>
  <c r="BL580" s="1"/>
  <c r="Q85" i="51061"/>
  <c r="BD615" i="51055"/>
  <c r="BE615"/>
  <c r="BP691"/>
  <c r="BR691" s="1"/>
  <c r="BD691"/>
  <c r="BE691"/>
  <c r="BP53"/>
  <c r="BR53" s="1"/>
  <c r="BD218"/>
  <c r="BE218"/>
  <c r="BP218"/>
  <c r="BR218" s="1"/>
  <c r="BS424"/>
  <c r="BU424" s="1"/>
  <c r="BV424" s="1"/>
  <c r="BP424"/>
  <c r="BR424" s="1"/>
  <c r="BD424"/>
  <c r="BE424"/>
  <c r="BD255"/>
  <c r="BE255"/>
  <c r="BP302"/>
  <c r="BR302" s="1"/>
  <c r="BD358"/>
  <c r="BE358"/>
  <c r="BP387"/>
  <c r="BR387" s="1"/>
  <c r="AW432"/>
  <c r="BL432" s="1"/>
  <c r="Q68" i="51061"/>
  <c r="BD332" i="51055"/>
  <c r="BE332"/>
  <c r="BP637"/>
  <c r="BR637" s="1"/>
  <c r="BD647"/>
  <c r="BE647"/>
  <c r="BP703"/>
  <c r="BR703" s="1"/>
  <c r="BD475"/>
  <c r="BE475"/>
  <c r="BD498"/>
  <c r="BE498"/>
  <c r="BP498"/>
  <c r="BR498" s="1"/>
  <c r="BD683"/>
  <c r="BE683"/>
  <c r="BS683"/>
  <c r="BU683" s="1"/>
  <c r="BV683" s="1"/>
  <c r="BP683"/>
  <c r="BR683" s="1"/>
  <c r="BD720"/>
  <c r="BE720"/>
  <c r="BD496"/>
  <c r="BE496"/>
  <c r="BP496"/>
  <c r="BR496" s="1"/>
  <c r="BD658"/>
  <c r="BE658"/>
  <c r="BD722"/>
  <c r="BE722"/>
  <c r="BP370"/>
  <c r="BR370" s="1"/>
  <c r="BD370"/>
  <c r="BE370"/>
  <c r="BD119"/>
  <c r="BE119"/>
  <c r="BP119"/>
  <c r="BR119" s="1"/>
  <c r="AU65"/>
  <c r="AW65" s="1"/>
  <c r="BL65" s="1"/>
  <c r="BB65"/>
  <c r="BH65" s="1"/>
  <c r="AZ65"/>
  <c r="BF65" s="1"/>
  <c r="BC65"/>
  <c r="BI65" s="1"/>
  <c r="BA65"/>
  <c r="BG65" s="1"/>
  <c r="AY65"/>
  <c r="BD135"/>
  <c r="BE135"/>
  <c r="BD16"/>
  <c r="BE16"/>
  <c r="BP16"/>
  <c r="BR16" s="1"/>
  <c r="BP106"/>
  <c r="BR106" s="1"/>
  <c r="BP31"/>
  <c r="BR31" s="1"/>
  <c r="BD205"/>
  <c r="BE205"/>
  <c r="BP420"/>
  <c r="BR420" s="1"/>
  <c r="BD420"/>
  <c r="BE420"/>
  <c r="BP243"/>
  <c r="BR243" s="1"/>
  <c r="BD243"/>
  <c r="BE243"/>
  <c r="BD262"/>
  <c r="BE262"/>
  <c r="BP296"/>
  <c r="BR296" s="1"/>
  <c r="BS296"/>
  <c r="BU296" s="1"/>
  <c r="BV296" s="1"/>
  <c r="BD326"/>
  <c r="BE326"/>
  <c r="BP362"/>
  <c r="BR362" s="1"/>
  <c r="BS362"/>
  <c r="BU362" s="1"/>
  <c r="BV362" s="1"/>
  <c r="BD389"/>
  <c r="BE389"/>
  <c r="BP310"/>
  <c r="BR310" s="1"/>
  <c r="BS310"/>
  <c r="BU310" s="1"/>
  <c r="BV310" s="1"/>
  <c r="BD616"/>
  <c r="BE616"/>
  <c r="BP645"/>
  <c r="BR645" s="1"/>
  <c r="BS645"/>
  <c r="BU645" s="1"/>
  <c r="BV645" s="1"/>
  <c r="BP673"/>
  <c r="BR673" s="1"/>
  <c r="BS673"/>
  <c r="BU673" s="1"/>
  <c r="BV673" s="1"/>
  <c r="BD673"/>
  <c r="BE673"/>
  <c r="BD457"/>
  <c r="BE457"/>
  <c r="BP477"/>
  <c r="BR477" s="1"/>
  <c r="BD41"/>
  <c r="BE41"/>
  <c r="BP41"/>
  <c r="BR41" s="1"/>
  <c r="BD110"/>
  <c r="BE110"/>
  <c r="BD168"/>
  <c r="BE168"/>
  <c r="BP168"/>
  <c r="BR168" s="1"/>
  <c r="BP629"/>
  <c r="BR629" s="1"/>
  <c r="BD629"/>
  <c r="BE629"/>
  <c r="BP655"/>
  <c r="BR655" s="1"/>
  <c r="BS655"/>
  <c r="BU655" s="1"/>
  <c r="BV655" s="1"/>
  <c r="BD655"/>
  <c r="BE655"/>
  <c r="BP662"/>
  <c r="BR662" s="1"/>
  <c r="BD662"/>
  <c r="BE662"/>
  <c r="AW707"/>
  <c r="Q102" i="51061"/>
  <c r="BP715" i="51055"/>
  <c r="BR715" s="1"/>
  <c r="BD715"/>
  <c r="BE715"/>
  <c r="BD269"/>
  <c r="BE269"/>
  <c r="BP314"/>
  <c r="BR314" s="1"/>
  <c r="BS314"/>
  <c r="BU314" s="1"/>
  <c r="BV314" s="1"/>
  <c r="BD557"/>
  <c r="BE557"/>
  <c r="BP609"/>
  <c r="BR609" s="1"/>
  <c r="BS609"/>
  <c r="BU609" s="1"/>
  <c r="BV609" s="1"/>
  <c r="BD437"/>
  <c r="BE437"/>
  <c r="AK44"/>
  <c r="L12" i="51061"/>
  <c r="BD100" i="51055"/>
  <c r="BE100"/>
  <c r="BP428"/>
  <c r="BR428" s="1"/>
  <c r="BS428"/>
  <c r="BU428" s="1"/>
  <c r="BV428" s="1"/>
  <c r="AW196"/>
  <c r="Q34" i="51061"/>
  <c r="AW224" i="51055"/>
  <c r="Q39" i="51061"/>
  <c r="BD224" i="51055"/>
  <c r="BE224"/>
  <c r="AW495"/>
  <c r="Q76" i="51061"/>
  <c r="AW519" i="51055"/>
  <c r="BL519" s="1"/>
  <c r="Q78" i="51061"/>
  <c r="BD654" i="51055"/>
  <c r="BE654"/>
  <c r="BD682"/>
  <c r="BE682"/>
  <c r="BP623"/>
  <c r="BR623" s="1"/>
  <c r="S82" i="51061"/>
  <c r="BP548" i="51055"/>
  <c r="BS548" s="1"/>
  <c r="BD35"/>
  <c r="BE35"/>
  <c r="AW35"/>
  <c r="Q11" i="51061"/>
  <c r="BP20" i="51055"/>
  <c r="BS20" s="1"/>
  <c r="AW21"/>
  <c r="Q9" i="51061"/>
  <c r="BD143" i="51055"/>
  <c r="BE143"/>
  <c r="AW143"/>
  <c r="Q26" i="51061"/>
  <c r="BL353" i="51055"/>
  <c r="AX353"/>
  <c r="CC333"/>
  <c r="CD333"/>
  <c r="S90" i="51061"/>
  <c r="AF90" s="1"/>
  <c r="BP622" i="51055"/>
  <c r="BS622" s="1"/>
  <c r="CC713"/>
  <c r="CD713"/>
  <c r="CC485"/>
  <c r="CD485"/>
  <c r="CC562"/>
  <c r="CD562"/>
  <c r="CC494"/>
  <c r="CD494"/>
  <c r="CC444"/>
  <c r="CD444"/>
  <c r="BD486"/>
  <c r="BE486"/>
  <c r="BP624"/>
  <c r="BR624" s="1"/>
  <c r="BD624"/>
  <c r="BE624"/>
  <c r="BD127"/>
  <c r="BE127"/>
  <c r="BP108"/>
  <c r="BR108" s="1"/>
  <c r="BD103"/>
  <c r="BE103"/>
  <c r="BD170"/>
  <c r="BE170"/>
  <c r="BP170"/>
  <c r="BR170" s="1"/>
  <c r="BD172"/>
  <c r="BE172"/>
  <c r="BP172"/>
  <c r="BR172" s="1"/>
  <c r="BP318"/>
  <c r="BR318" s="1"/>
  <c r="BD344"/>
  <c r="BE344"/>
  <c r="BP383"/>
  <c r="BR383" s="1"/>
  <c r="BD391"/>
  <c r="BE391"/>
  <c r="BP275"/>
  <c r="BR275" s="1"/>
  <c r="BD337"/>
  <c r="BE337"/>
  <c r="BP643"/>
  <c r="BR643" s="1"/>
  <c r="BD688"/>
  <c r="BE688"/>
  <c r="BP466"/>
  <c r="BR466" s="1"/>
  <c r="BP704"/>
  <c r="BR704" s="1"/>
  <c r="BP632"/>
  <c r="BR632" s="1"/>
  <c r="BP614"/>
  <c r="BR614" s="1"/>
  <c r="BD614"/>
  <c r="BE614"/>
  <c r="BD200"/>
  <c r="BE200"/>
  <c r="BP273"/>
  <c r="BR273" s="1"/>
  <c r="BD55"/>
  <c r="BE55"/>
  <c r="BP159"/>
  <c r="BR159" s="1"/>
  <c r="BD159"/>
  <c r="BE159"/>
  <c r="BD102"/>
  <c r="BE102"/>
  <c r="BD162"/>
  <c r="BE162"/>
  <c r="BP162"/>
  <c r="BR162" s="1"/>
  <c r="BD222"/>
  <c r="BE222"/>
  <c r="BP222"/>
  <c r="BR222" s="1"/>
  <c r="BD411"/>
  <c r="BE411"/>
  <c r="BP266"/>
  <c r="BR266" s="1"/>
  <c r="BD247"/>
  <c r="BE247"/>
  <c r="BP294"/>
  <c r="BR294" s="1"/>
  <c r="BD306"/>
  <c r="BE306"/>
  <c r="BP385"/>
  <c r="BR385" s="1"/>
  <c r="BD408"/>
  <c r="BE408"/>
  <c r="BP330"/>
  <c r="BR330" s="1"/>
  <c r="BD380"/>
  <c r="BE380"/>
  <c r="BP618"/>
  <c r="BR618" s="1"/>
  <c r="BD649"/>
  <c r="BE649"/>
  <c r="BP464"/>
  <c r="BR464" s="1"/>
  <c r="BD692"/>
  <c r="BE692"/>
  <c r="AW636"/>
  <c r="BL636" s="1"/>
  <c r="Q92" i="51061"/>
  <c r="BP342" i="51055"/>
  <c r="BR342" s="1"/>
  <c r="BD374"/>
  <c r="BE374"/>
  <c r="BP393"/>
  <c r="BR393" s="1"/>
  <c r="BD277"/>
  <c r="BE277"/>
  <c r="BP339"/>
  <c r="BR339" s="1"/>
  <c r="BD672"/>
  <c r="BE672"/>
  <c r="Q29" i="51061"/>
  <c r="L87"/>
  <c r="BS33" i="51055"/>
  <c r="BU33" s="1"/>
  <c r="BV33" s="1"/>
  <c r="AF742"/>
  <c r="AX61"/>
  <c r="AX37"/>
  <c r="AX706"/>
  <c r="AX533"/>
  <c r="AX18"/>
  <c r="AX167"/>
  <c r="AX212"/>
  <c r="BS381"/>
  <c r="BU381" s="1"/>
  <c r="BV381" s="1"/>
  <c r="BS503"/>
  <c r="BU503" s="1"/>
  <c r="BV503" s="1"/>
  <c r="BS602"/>
  <c r="BU602" s="1"/>
  <c r="BV602" s="1"/>
  <c r="BS14"/>
  <c r="BU14" s="1"/>
  <c r="BV14" s="1"/>
  <c r="BS38"/>
  <c r="BU38" s="1"/>
  <c r="BV38" s="1"/>
  <c r="BS270"/>
  <c r="BU270" s="1"/>
  <c r="BV270" s="1"/>
  <c r="BS490"/>
  <c r="BU490" s="1"/>
  <c r="BV490" s="1"/>
  <c r="BS549"/>
  <c r="BU549" s="1"/>
  <c r="BV549" s="1"/>
  <c r="Q96" i="51061"/>
  <c r="BS15" i="51055"/>
  <c r="BU15" s="1"/>
  <c r="BV15" s="1"/>
  <c r="BS454"/>
  <c r="BU454" s="1"/>
  <c r="BV454" s="1"/>
  <c r="BS161"/>
  <c r="BU161" s="1"/>
  <c r="BV161" s="1"/>
  <c r="BS46"/>
  <c r="BU46" s="1"/>
  <c r="BV46" s="1"/>
  <c r="BS193"/>
  <c r="BU193" s="1"/>
  <c r="BV193" s="1"/>
  <c r="AX166"/>
  <c r="Q58" i="51061"/>
  <c r="BS395" i="51055"/>
  <c r="BU395" s="1"/>
  <c r="BV395" s="1"/>
  <c r="BS484"/>
  <c r="BU484" s="1"/>
  <c r="BV484" s="1"/>
  <c r="BS513"/>
  <c r="BU513" s="1"/>
  <c r="BV513" s="1"/>
  <c r="BS539"/>
  <c r="BU539" s="1"/>
  <c r="BV539" s="1"/>
  <c r="BS271"/>
  <c r="BU271" s="1"/>
  <c r="BV271" s="1"/>
  <c r="BS516"/>
  <c r="BU516" s="1"/>
  <c r="BV516" s="1"/>
  <c r="BS723"/>
  <c r="BU723" s="1"/>
  <c r="BV723" s="1"/>
  <c r="AX22"/>
  <c r="AX51"/>
  <c r="AX689"/>
  <c r="AX142"/>
  <c r="AX640"/>
  <c r="AX508"/>
  <c r="AX504"/>
  <c r="AX666"/>
  <c r="AX156"/>
  <c r="AX226"/>
  <c r="AX430"/>
  <c r="AX667"/>
  <c r="AX665"/>
  <c r="AX190"/>
  <c r="AX206"/>
  <c r="AX220"/>
  <c r="BS458"/>
  <c r="BU458" s="1"/>
  <c r="BV458" s="1"/>
  <c r="BS460"/>
  <c r="BU460" s="1"/>
  <c r="BV460" s="1"/>
  <c r="BS76"/>
  <c r="BU76" s="1"/>
  <c r="BV76" s="1"/>
  <c r="Q27" i="51061"/>
  <c r="BS261" i="51055"/>
  <c r="BU261" s="1"/>
  <c r="BV261" s="1"/>
  <c r="BS481"/>
  <c r="BU481" s="1"/>
  <c r="BV481" s="1"/>
  <c r="BS558"/>
  <c r="BU558" s="1"/>
  <c r="BV558" s="1"/>
  <c r="BS24"/>
  <c r="BU24" s="1"/>
  <c r="BV24" s="1"/>
  <c r="BS465"/>
  <c r="BU465" s="1"/>
  <c r="BV465" s="1"/>
  <c r="BS445"/>
  <c r="BU445" s="1"/>
  <c r="BV445" s="1"/>
  <c r="BS694"/>
  <c r="BU694" s="1"/>
  <c r="BV694" s="1"/>
  <c r="BS228"/>
  <c r="BU228" s="1"/>
  <c r="BV228" s="1"/>
  <c r="BS265"/>
  <c r="BU265" s="1"/>
  <c r="BV265" s="1"/>
  <c r="BS331"/>
  <c r="BU331" s="1"/>
  <c r="BV331" s="1"/>
  <c r="BS137"/>
  <c r="BU137" s="1"/>
  <c r="BV137" s="1"/>
  <c r="BS85"/>
  <c r="BU85" s="1"/>
  <c r="BV85" s="1"/>
  <c r="Q79" i="51061"/>
  <c r="BS268" i="51055"/>
  <c r="BU268" s="1"/>
  <c r="BV268" s="1"/>
  <c r="BS631"/>
  <c r="BU631" s="1"/>
  <c r="BV631" s="1"/>
  <c r="Q95" i="51061"/>
  <c r="Q97"/>
  <c r="BS693" i="51055"/>
  <c r="BU693" s="1"/>
  <c r="BV693" s="1"/>
  <c r="Q104" i="51061"/>
  <c r="Q105" s="1"/>
  <c r="BS289" i="51055"/>
  <c r="BU289" s="1"/>
  <c r="BV289" s="1"/>
  <c r="BS584"/>
  <c r="BU584" s="1"/>
  <c r="BV584" s="1"/>
  <c r="BS737"/>
  <c r="BU737" s="1"/>
  <c r="BV737" s="1"/>
  <c r="BS469"/>
  <c r="BU469" s="1"/>
  <c r="BV469" s="1"/>
  <c r="BS536"/>
  <c r="BU536" s="1"/>
  <c r="BV536" s="1"/>
  <c r="BS598"/>
  <c r="BU598" s="1"/>
  <c r="BV598" s="1"/>
  <c r="BS479"/>
  <c r="BU479" s="1"/>
  <c r="BV479" s="1"/>
  <c r="AX47"/>
  <c r="AX62"/>
  <c r="AX214"/>
  <c r="AX367"/>
  <c r="AX661"/>
  <c r="AX90"/>
  <c r="AX71"/>
  <c r="AX412"/>
  <c r="AX54"/>
  <c r="AX81"/>
  <c r="AX128"/>
  <c r="BS111"/>
  <c r="BU111" s="1"/>
  <c r="BV111" s="1"/>
  <c r="AX98"/>
  <c r="BS199"/>
  <c r="BU199" s="1"/>
  <c r="BV199" s="1"/>
  <c r="AX619"/>
  <c r="BS497"/>
  <c r="BU497" s="1"/>
  <c r="BV497" s="1"/>
  <c r="BS96"/>
  <c r="BU96" s="1"/>
  <c r="BV96" s="1"/>
  <c r="BS315"/>
  <c r="BU315" s="1"/>
  <c r="BV315" s="1"/>
  <c r="BS535"/>
  <c r="BU535" s="1"/>
  <c r="BV535" s="1"/>
  <c r="M93" i="51061"/>
  <c r="BS523" i="51055"/>
  <c r="BU523" s="1"/>
  <c r="BV523" s="1"/>
  <c r="BS601"/>
  <c r="BU601" s="1"/>
  <c r="BV601" s="1"/>
  <c r="BS525"/>
  <c r="BU525" s="1"/>
  <c r="BV525" s="1"/>
  <c r="BS474"/>
  <c r="BU474" s="1"/>
  <c r="BV474" s="1"/>
  <c r="BS116"/>
  <c r="BU116" s="1"/>
  <c r="BV116" s="1"/>
  <c r="BS155"/>
  <c r="BU155" s="1"/>
  <c r="BV155" s="1"/>
  <c r="BS173"/>
  <c r="BU173" s="1"/>
  <c r="BV173" s="1"/>
  <c r="BS194"/>
  <c r="BU194" s="1"/>
  <c r="BV194" s="1"/>
  <c r="BS276"/>
  <c r="BU276" s="1"/>
  <c r="BV276" s="1"/>
  <c r="BS336"/>
  <c r="BU336" s="1"/>
  <c r="BV336" s="1"/>
  <c r="BS366"/>
  <c r="BU366" s="1"/>
  <c r="BV366" s="1"/>
  <c r="BS403"/>
  <c r="BU403" s="1"/>
  <c r="BV403" s="1"/>
  <c r="BS258"/>
  <c r="BU258" s="1"/>
  <c r="BV258" s="1"/>
  <c r="BS438"/>
  <c r="BU438" s="1"/>
  <c r="BV438" s="1"/>
  <c r="Q74" i="51061"/>
  <c r="BS517" i="51055"/>
  <c r="BU517" s="1"/>
  <c r="BV517" s="1"/>
  <c r="BS439"/>
  <c r="BU439" s="1"/>
  <c r="BV439" s="1"/>
  <c r="BS483"/>
  <c r="BU483" s="1"/>
  <c r="BV483" s="1"/>
  <c r="AX36"/>
  <c r="AX152"/>
  <c r="AX160"/>
  <c r="AX669"/>
  <c r="AX60"/>
  <c r="AX31"/>
  <c r="AX369"/>
  <c r="AX687"/>
  <c r="AX670"/>
  <c r="AX676"/>
  <c r="BS576"/>
  <c r="BU576" s="1"/>
  <c r="BV576" s="1"/>
  <c r="BS510"/>
  <c r="BU510" s="1"/>
  <c r="BV510" s="1"/>
  <c r="BS570"/>
  <c r="BU570" s="1"/>
  <c r="BV570" s="1"/>
  <c r="BS528"/>
  <c r="BU528" s="1"/>
  <c r="BV528" s="1"/>
  <c r="BS32"/>
  <c r="BU32" s="1"/>
  <c r="BV32" s="1"/>
  <c r="M25" i="51061"/>
  <c r="BS410" i="51055"/>
  <c r="BU410" s="1"/>
  <c r="BV410" s="1"/>
  <c r="M81" i="51061"/>
  <c r="BS518" i="51055"/>
  <c r="BU518" s="1"/>
  <c r="BV518" s="1"/>
  <c r="BS594"/>
  <c r="BU594" s="1"/>
  <c r="BV594" s="1"/>
  <c r="BS521"/>
  <c r="BU521" s="1"/>
  <c r="BV521" s="1"/>
  <c r="BS491"/>
  <c r="BU491" s="1"/>
  <c r="BV491" s="1"/>
  <c r="BS604"/>
  <c r="BU604" s="1"/>
  <c r="BV604" s="1"/>
  <c r="BS544"/>
  <c r="BU544" s="1"/>
  <c r="BV544" s="1"/>
  <c r="BS505"/>
  <c r="BU505" s="1"/>
  <c r="BV505" s="1"/>
  <c r="BS67"/>
  <c r="BU67" s="1"/>
  <c r="BV67" s="1"/>
  <c r="BS293"/>
  <c r="BU293" s="1"/>
  <c r="BV293" s="1"/>
  <c r="BS355"/>
  <c r="BU355" s="1"/>
  <c r="BV355" s="1"/>
  <c r="Q77" i="51061"/>
  <c r="AX122" i="51055"/>
  <c r="AX117"/>
  <c r="AX500"/>
  <c r="AX204"/>
  <c r="CC291"/>
  <c r="CD291"/>
  <c r="CC563"/>
  <c r="CD563"/>
  <c r="H18" i="51061"/>
  <c r="H114" s="1"/>
  <c r="H112"/>
  <c r="BD133" i="51055"/>
  <c r="BE133"/>
  <c r="BP61"/>
  <c r="BR61" s="1"/>
  <c r="BD61"/>
  <c r="BE61"/>
  <c r="BP37"/>
  <c r="BR37" s="1"/>
  <c r="CC49"/>
  <c r="CD49"/>
  <c r="BP706"/>
  <c r="BR706" s="1"/>
  <c r="BD706"/>
  <c r="BE706"/>
  <c r="BD656"/>
  <c r="BE656"/>
  <c r="BD533"/>
  <c r="BE533"/>
  <c r="BD18"/>
  <c r="BE18"/>
  <c r="BP18"/>
  <c r="BR18" s="1"/>
  <c r="BD138"/>
  <c r="BE138"/>
  <c r="BP167"/>
  <c r="BR167" s="1"/>
  <c r="BD167"/>
  <c r="BE167"/>
  <c r="BP212"/>
  <c r="BR212" s="1"/>
  <c r="BD212"/>
  <c r="BE212"/>
  <c r="BS112"/>
  <c r="BU112" s="1"/>
  <c r="BV112" s="1"/>
  <c r="BP112"/>
  <c r="BR112" s="1"/>
  <c r="AY241"/>
  <c r="AZ241"/>
  <c r="BF241" s="1"/>
  <c r="BA241"/>
  <c r="BG241" s="1"/>
  <c r="BB241"/>
  <c r="BH241" s="1"/>
  <c r="BC241"/>
  <c r="BI241" s="1"/>
  <c r="AX241"/>
  <c r="AU241"/>
  <c r="M41" i="51061"/>
  <c r="BS652" i="51055"/>
  <c r="BU652" s="1"/>
  <c r="BV652" s="1"/>
  <c r="BP652"/>
  <c r="BR652" s="1"/>
  <c r="BD652"/>
  <c r="BE652"/>
  <c r="BS711"/>
  <c r="BU711" s="1"/>
  <c r="BV711" s="1"/>
  <c r="BP711"/>
  <c r="BR711" s="1"/>
  <c r="BD711"/>
  <c r="BE711"/>
  <c r="BS251"/>
  <c r="BU251" s="1"/>
  <c r="BV251" s="1"/>
  <c r="BP251"/>
  <c r="BR251" s="1"/>
  <c r="BD308"/>
  <c r="BE308"/>
  <c r="BD234"/>
  <c r="BE234"/>
  <c r="AW402"/>
  <c r="BL402" s="1"/>
  <c r="Q62" i="51061"/>
  <c r="CC223" i="51055"/>
  <c r="CD223"/>
  <c r="BD365"/>
  <c r="BE365"/>
  <c r="AW365"/>
  <c r="Q57" i="51061"/>
  <c r="CC582" i="51055"/>
  <c r="CD582"/>
  <c r="CC588"/>
  <c r="CD588"/>
  <c r="BD675"/>
  <c r="BE675"/>
  <c r="BP710"/>
  <c r="BR710" s="1"/>
  <c r="CC731"/>
  <c r="CD731"/>
  <c r="AW560"/>
  <c r="BL560" s="1"/>
  <c r="Q83" i="51061"/>
  <c r="CC568" i="51055"/>
  <c r="CD568"/>
  <c r="BL660"/>
  <c r="AX660"/>
  <c r="CC520"/>
  <c r="CD520"/>
  <c r="CC572"/>
  <c r="CD572"/>
  <c r="M71" i="51061"/>
  <c r="BC463" i="51055"/>
  <c r="BI463" s="1"/>
  <c r="BA463"/>
  <c r="BG463" s="1"/>
  <c r="AY463"/>
  <c r="AU463"/>
  <c r="BB463"/>
  <c r="BH463" s="1"/>
  <c r="AZ463"/>
  <c r="BF463" s="1"/>
  <c r="BD166"/>
  <c r="BE166"/>
  <c r="BP166"/>
  <c r="BR166" s="1"/>
  <c r="BD177"/>
  <c r="BE177"/>
  <c r="AW177"/>
  <c r="Q31" i="51061"/>
  <c r="S44"/>
  <c r="AF44" s="1"/>
  <c r="BP259" i="51055"/>
  <c r="BS259" s="1"/>
  <c r="CC309"/>
  <c r="CD309"/>
  <c r="S58" i="51061"/>
  <c r="AF58" s="1"/>
  <c r="BS371" i="51055"/>
  <c r="BP371"/>
  <c r="CC284"/>
  <c r="CD284"/>
  <c r="BL450"/>
  <c r="AX450"/>
  <c r="BD297"/>
  <c r="BE297"/>
  <c r="CC526"/>
  <c r="CD526"/>
  <c r="CC538"/>
  <c r="CD538"/>
  <c r="CC596"/>
  <c r="CD596"/>
  <c r="BD493"/>
  <c r="BE493"/>
  <c r="CC551"/>
  <c r="CD551"/>
  <c r="CC577"/>
  <c r="CD577"/>
  <c r="BP313"/>
  <c r="BR313" s="1"/>
  <c r="CC441"/>
  <c r="CD441"/>
  <c r="BD448"/>
  <c r="BE448"/>
  <c r="BD409"/>
  <c r="BE409"/>
  <c r="BD324"/>
  <c r="BE324"/>
  <c r="CC472"/>
  <c r="CD472"/>
  <c r="CC545"/>
  <c r="CD545"/>
  <c r="CC573"/>
  <c r="CD573"/>
  <c r="AW735"/>
  <c r="BL735" s="1"/>
  <c r="Q108" i="51061"/>
  <c r="CC613" i="51055"/>
  <c r="CD613"/>
  <c r="CC597"/>
  <c r="CD597"/>
  <c r="CC543"/>
  <c r="CD543"/>
  <c r="BD569"/>
  <c r="BE569"/>
  <c r="CC599"/>
  <c r="CD599"/>
  <c r="CC482"/>
  <c r="CD482"/>
  <c r="CC581"/>
  <c r="CD581"/>
  <c r="CC541"/>
  <c r="CD541"/>
  <c r="CD373"/>
  <c r="CC373"/>
  <c r="CD50"/>
  <c r="CC50"/>
  <c r="CC348"/>
  <c r="CD348"/>
  <c r="CC99"/>
  <c r="CD99"/>
  <c r="BD134"/>
  <c r="BE134"/>
  <c r="BP372"/>
  <c r="BR372" s="1"/>
  <c r="BD415"/>
  <c r="BE415"/>
  <c r="BL527"/>
  <c r="AX527"/>
  <c r="BD248"/>
  <c r="BE248"/>
  <c r="BL653"/>
  <c r="AX653"/>
  <c r="CC664"/>
  <c r="CD664"/>
  <c r="S97" i="51061"/>
  <c r="AF97" s="1"/>
  <c r="BP674" i="51055"/>
  <c r="BS674" s="1"/>
  <c r="S104" i="51061"/>
  <c r="BP709" i="51055"/>
  <c r="BS709" s="1"/>
  <c r="CC721"/>
  <c r="CD721"/>
  <c r="BD286"/>
  <c r="BE286"/>
  <c r="BD316"/>
  <c r="BE316"/>
  <c r="BD360"/>
  <c r="BE360"/>
  <c r="CC509"/>
  <c r="CD509"/>
  <c r="CC547"/>
  <c r="CD547"/>
  <c r="CC575"/>
  <c r="CD575"/>
  <c r="BD641"/>
  <c r="BE641"/>
  <c r="BD701"/>
  <c r="BE701"/>
  <c r="CC515"/>
  <c r="CD515"/>
  <c r="BD473"/>
  <c r="BE473"/>
  <c r="BP47"/>
  <c r="BR47" s="1"/>
  <c r="BD47"/>
  <c r="BE47"/>
  <c r="BD208"/>
  <c r="BE208"/>
  <c r="BD62"/>
  <c r="BE62"/>
  <c r="BP62"/>
  <c r="BR62" s="1"/>
  <c r="BD147"/>
  <c r="BE147"/>
  <c r="BD214"/>
  <c r="BE214"/>
  <c r="BP214"/>
  <c r="BR214" s="1"/>
  <c r="BD367"/>
  <c r="BE367"/>
  <c r="BS367"/>
  <c r="BU367" s="1"/>
  <c r="BV367" s="1"/>
  <c r="BP367"/>
  <c r="BR367" s="1"/>
  <c r="BD267"/>
  <c r="BE267"/>
  <c r="BP364"/>
  <c r="BR364" s="1"/>
  <c r="BD290"/>
  <c r="BE290"/>
  <c r="BP620"/>
  <c r="BR620" s="1"/>
  <c r="BD651"/>
  <c r="BE651"/>
  <c r="BS455"/>
  <c r="BU455" s="1"/>
  <c r="BV455" s="1"/>
  <c r="BP455"/>
  <c r="BR455" s="1"/>
  <c r="BS625"/>
  <c r="BU625" s="1"/>
  <c r="BV625" s="1"/>
  <c r="BP625"/>
  <c r="BR625" s="1"/>
  <c r="BD714"/>
  <c r="BE714"/>
  <c r="BD661"/>
  <c r="BE661"/>
  <c r="BP661"/>
  <c r="BR661" s="1"/>
  <c r="BD718"/>
  <c r="BE718"/>
  <c r="BP150"/>
  <c r="BR150" s="1"/>
  <c r="BP739"/>
  <c r="BR739" s="1"/>
  <c r="BD90"/>
  <c r="BE90"/>
  <c r="BP104"/>
  <c r="BR104" s="1"/>
  <c r="BP203"/>
  <c r="BR203" s="1"/>
  <c r="BP71"/>
  <c r="BR71" s="1"/>
  <c r="BP187"/>
  <c r="BR187" s="1"/>
  <c r="BP417"/>
  <c r="BR417" s="1"/>
  <c r="BD417"/>
  <c r="BE417"/>
  <c r="BD349"/>
  <c r="BE349"/>
  <c r="BS412"/>
  <c r="BU412" s="1"/>
  <c r="BV412" s="1"/>
  <c r="BP412"/>
  <c r="BR412" s="1"/>
  <c r="BD412"/>
  <c r="BE412"/>
  <c r="BP677"/>
  <c r="BR677" s="1"/>
  <c r="BD712"/>
  <c r="BE712"/>
  <c r="BD686"/>
  <c r="BE686"/>
  <c r="CC386"/>
  <c r="CD386"/>
  <c r="CC89"/>
  <c r="CD89"/>
  <c r="CC407"/>
  <c r="CD407"/>
  <c r="CC246"/>
  <c r="CD246"/>
  <c r="CC419"/>
  <c r="CD419"/>
  <c r="CC480"/>
  <c r="CD480"/>
  <c r="CC593"/>
  <c r="CD593"/>
  <c r="CC375"/>
  <c r="CD375"/>
  <c r="CC350"/>
  <c r="CD350"/>
  <c r="CC311"/>
  <c r="CD311"/>
  <c r="CC398"/>
  <c r="CD398"/>
  <c r="CC578"/>
  <c r="CD578"/>
  <c r="BP26"/>
  <c r="BR26" s="1"/>
  <c r="BD54"/>
  <c r="BE54"/>
  <c r="BP66"/>
  <c r="BR66" s="1"/>
  <c r="BD81"/>
  <c r="BE81"/>
  <c r="BD128"/>
  <c r="BE128"/>
  <c r="BS128"/>
  <c r="BU128" s="1"/>
  <c r="BV128" s="1"/>
  <c r="BP128"/>
  <c r="BR128" s="1"/>
  <c r="BS512"/>
  <c r="BU512" s="1"/>
  <c r="BV512" s="1"/>
  <c r="BP512"/>
  <c r="BR512" s="1"/>
  <c r="BD442"/>
  <c r="BE442"/>
  <c r="AX12"/>
  <c r="AY12"/>
  <c r="AZ12"/>
  <c r="BA12"/>
  <c r="BB12"/>
  <c r="BC12"/>
  <c r="M8" i="51061"/>
  <c r="AK742" i="51055"/>
  <c r="AU12"/>
  <c r="BD146"/>
  <c r="BE146"/>
  <c r="BP98"/>
  <c r="BR98" s="1"/>
  <c r="BD98"/>
  <c r="BE98"/>
  <c r="BP619"/>
  <c r="BR619" s="1"/>
  <c r="BD619"/>
  <c r="BE619"/>
  <c r="AU57"/>
  <c r="AY57"/>
  <c r="AZ57"/>
  <c r="BF57" s="1"/>
  <c r="BA57"/>
  <c r="BG57" s="1"/>
  <c r="BB57"/>
  <c r="BH57" s="1"/>
  <c r="BC57"/>
  <c r="BI57" s="1"/>
  <c r="CC59"/>
  <c r="CD59"/>
  <c r="BP406"/>
  <c r="BR406" s="1"/>
  <c r="CC447"/>
  <c r="CD447"/>
  <c r="CC608"/>
  <c r="CD608"/>
  <c r="BD264"/>
  <c r="BE264"/>
  <c r="BP356"/>
  <c r="BR356" s="1"/>
  <c r="CC449"/>
  <c r="CD449"/>
  <c r="BD446"/>
  <c r="BE446"/>
  <c r="BS590"/>
  <c r="BU590" s="1"/>
  <c r="BV590" s="1"/>
  <c r="BP590"/>
  <c r="BR590" s="1"/>
  <c r="BD639"/>
  <c r="BE639"/>
  <c r="BS586"/>
  <c r="BU586" s="1"/>
  <c r="BV586" s="1"/>
  <c r="BP586"/>
  <c r="BR586" s="1"/>
  <c r="CC555"/>
  <c r="CD555"/>
  <c r="CC23"/>
  <c r="CD23"/>
  <c r="CC88"/>
  <c r="CD88"/>
  <c r="BP697"/>
  <c r="BR697" s="1"/>
  <c r="CC86"/>
  <c r="CD86"/>
  <c r="CC254"/>
  <c r="CD254"/>
  <c r="BP514"/>
  <c r="BR514" s="1"/>
  <c r="CC566"/>
  <c r="CD566"/>
  <c r="AW610"/>
  <c r="Q88" i="51061"/>
  <c r="BD740" i="51055"/>
  <c r="BE740"/>
  <c r="AW440"/>
  <c r="BL440" s="1"/>
  <c r="Q69" i="51061"/>
  <c r="AW595" i="51055"/>
  <c r="BL595" s="1"/>
  <c r="Q86" i="51061"/>
  <c r="CC612" i="51055"/>
  <c r="CD612"/>
  <c r="CC499"/>
  <c r="CD499"/>
  <c r="CC524"/>
  <c r="CD524"/>
  <c r="CC606"/>
  <c r="CD606"/>
  <c r="CC532"/>
  <c r="CD532"/>
  <c r="BP734"/>
  <c r="BR734" s="1"/>
  <c r="CC115"/>
  <c r="CD115"/>
  <c r="CC25"/>
  <c r="CD25"/>
  <c r="CC92"/>
  <c r="CD92"/>
  <c r="BP300"/>
  <c r="BR300" s="1"/>
  <c r="BL120"/>
  <c r="AX120"/>
  <c r="BD94"/>
  <c r="BE94"/>
  <c r="AW157"/>
  <c r="BL157" s="1"/>
  <c r="Q28" i="51061"/>
  <c r="CC114" i="51055"/>
  <c r="CD114"/>
  <c r="BD418"/>
  <c r="BE418"/>
  <c r="CC489"/>
  <c r="CD489"/>
  <c r="S74" i="51061"/>
  <c r="AF74" s="1"/>
  <c r="BP492" i="51055"/>
  <c r="BS492" s="1"/>
  <c r="CC554"/>
  <c r="CD554"/>
  <c r="CC600"/>
  <c r="CD600"/>
  <c r="BD335"/>
  <c r="BE335"/>
  <c r="BD340"/>
  <c r="BE340"/>
  <c r="CC531"/>
  <c r="CD531"/>
  <c r="CC571"/>
  <c r="CD571"/>
  <c r="BD580"/>
  <c r="BE580"/>
  <c r="CC603"/>
  <c r="CD603"/>
  <c r="AW615"/>
  <c r="Q89" i="51061"/>
  <c r="BP36" i="51055"/>
  <c r="BR36" s="1"/>
  <c r="BD36"/>
  <c r="BE36"/>
  <c r="BP118"/>
  <c r="BR118" s="1"/>
  <c r="BD118"/>
  <c r="BE118"/>
  <c r="BD53"/>
  <c r="BE53"/>
  <c r="BD152"/>
  <c r="BE152"/>
  <c r="BP152"/>
  <c r="BR152" s="1"/>
  <c r="BD160"/>
  <c r="BE160"/>
  <c r="BP160"/>
  <c r="BR160" s="1"/>
  <c r="BP255"/>
  <c r="BR255" s="1"/>
  <c r="BD302"/>
  <c r="BE302"/>
  <c r="BP358"/>
  <c r="BR358" s="1"/>
  <c r="BS358"/>
  <c r="BU358" s="1"/>
  <c r="BV358" s="1"/>
  <c r="BD387"/>
  <c r="BE387"/>
  <c r="BD432"/>
  <c r="BE432"/>
  <c r="BP332"/>
  <c r="BR332" s="1"/>
  <c r="BS332"/>
  <c r="BU332" s="1"/>
  <c r="BV332" s="1"/>
  <c r="BD637"/>
  <c r="BE637"/>
  <c r="BP647"/>
  <c r="BR647" s="1"/>
  <c r="BS647"/>
  <c r="BU647" s="1"/>
  <c r="BV647" s="1"/>
  <c r="BD703"/>
  <c r="BE703"/>
  <c r="BP475"/>
  <c r="BR475" s="1"/>
  <c r="BD669"/>
  <c r="BE669"/>
  <c r="BP669"/>
  <c r="BR669" s="1"/>
  <c r="BP720"/>
  <c r="BR720" s="1"/>
  <c r="BS720"/>
  <c r="BU720" s="1"/>
  <c r="BV720" s="1"/>
  <c r="BP658"/>
  <c r="BR658" s="1"/>
  <c r="BP722"/>
  <c r="BR722" s="1"/>
  <c r="BP186"/>
  <c r="BR186" s="1"/>
  <c r="BD186"/>
  <c r="BE186"/>
  <c r="BP702"/>
  <c r="BR702" s="1"/>
  <c r="BD702"/>
  <c r="BE702"/>
  <c r="BP197"/>
  <c r="BR197" s="1"/>
  <c r="BD197"/>
  <c r="BE197"/>
  <c r="BP135"/>
  <c r="BR135" s="1"/>
  <c r="BS135"/>
  <c r="BU135" s="1"/>
  <c r="BV135" s="1"/>
  <c r="BD60"/>
  <c r="BE60"/>
  <c r="BP60"/>
  <c r="BR60" s="1"/>
  <c r="BS60"/>
  <c r="BU60" s="1"/>
  <c r="BV60" s="1"/>
  <c r="BD106"/>
  <c r="BE106"/>
  <c r="BD216"/>
  <c r="BE216"/>
  <c r="BP216"/>
  <c r="BR216" s="1"/>
  <c r="BS216"/>
  <c r="BU216" s="1"/>
  <c r="BV216" s="1"/>
  <c r="BD31"/>
  <c r="BE31"/>
  <c r="BP205"/>
  <c r="BR205" s="1"/>
  <c r="BD369"/>
  <c r="BE369"/>
  <c r="BP369"/>
  <c r="BR369" s="1"/>
  <c r="BP262"/>
  <c r="BR262" s="1"/>
  <c r="BS262"/>
  <c r="BU262" s="1"/>
  <c r="BV262" s="1"/>
  <c r="BD296"/>
  <c r="BE296"/>
  <c r="BP326"/>
  <c r="BR326" s="1"/>
  <c r="BS326"/>
  <c r="BU326" s="1"/>
  <c r="BV326" s="1"/>
  <c r="BD362"/>
  <c r="BE362"/>
  <c r="BP389"/>
  <c r="BR389" s="1"/>
  <c r="BD310"/>
  <c r="BE310"/>
  <c r="BP616"/>
  <c r="BR616" s="1"/>
  <c r="BD645"/>
  <c r="BE645"/>
  <c r="BD687"/>
  <c r="BE687"/>
  <c r="BP687"/>
  <c r="BR687" s="1"/>
  <c r="BP457"/>
  <c r="BR457" s="1"/>
  <c r="BD477"/>
  <c r="BE477"/>
  <c r="BD685"/>
  <c r="BE685"/>
  <c r="BP685"/>
  <c r="BR685" s="1"/>
  <c r="BP110"/>
  <c r="BR110" s="1"/>
  <c r="BP621"/>
  <c r="BR621" s="1"/>
  <c r="BD621"/>
  <c r="BE621"/>
  <c r="BP648"/>
  <c r="BR648" s="1"/>
  <c r="BD648"/>
  <c r="BE648"/>
  <c r="BP670"/>
  <c r="BR670" s="1"/>
  <c r="BD670"/>
  <c r="BE670"/>
  <c r="BP676"/>
  <c r="BR676" s="1"/>
  <c r="BD676"/>
  <c r="BE676"/>
  <c r="BD707"/>
  <c r="BE707"/>
  <c r="CC478"/>
  <c r="CD478"/>
  <c r="CC388"/>
  <c r="CD388"/>
  <c r="BP269"/>
  <c r="BR269" s="1"/>
  <c r="BD314"/>
  <c r="BE314"/>
  <c r="BP557"/>
  <c r="BR557" s="1"/>
  <c r="BD609"/>
  <c r="BE609"/>
  <c r="CC705"/>
  <c r="CD705"/>
  <c r="BP437"/>
  <c r="BR437" s="1"/>
  <c r="CC717"/>
  <c r="CD717"/>
  <c r="AU185"/>
  <c r="BC185"/>
  <c r="BI185" s="1"/>
  <c r="BA185"/>
  <c r="BG185" s="1"/>
  <c r="AY185"/>
  <c r="BB185"/>
  <c r="BH185" s="1"/>
  <c r="AZ185"/>
  <c r="BF185" s="1"/>
  <c r="M30" i="51061"/>
  <c r="AW100" i="51055"/>
  <c r="BL100" s="1"/>
  <c r="Q19" i="51061"/>
  <c r="BE428" i="51055"/>
  <c r="BD428"/>
  <c r="CC19"/>
  <c r="CD19"/>
  <c r="AW73"/>
  <c r="Q15" i="51061"/>
  <c r="BD73" i="51055"/>
  <c r="BE73"/>
  <c r="BD196"/>
  <c r="BE196"/>
  <c r="CC323"/>
  <c r="CD323"/>
  <c r="BD495"/>
  <c r="BE495"/>
  <c r="CC559"/>
  <c r="CD559"/>
  <c r="CC671"/>
  <c r="CD671"/>
  <c r="BD519"/>
  <c r="BE519"/>
  <c r="CC553"/>
  <c r="CD553"/>
  <c r="BP654"/>
  <c r="BR654" s="1"/>
  <c r="AW682"/>
  <c r="BL682" s="1"/>
  <c r="Q98" i="51061"/>
  <c r="CC725" i="51055"/>
  <c r="CD725"/>
  <c r="CC564"/>
  <c r="CD564"/>
  <c r="BD623"/>
  <c r="BE623"/>
  <c r="CC728"/>
  <c r="CD728"/>
  <c r="CC346"/>
  <c r="CD346"/>
  <c r="CC561"/>
  <c r="CD561"/>
  <c r="CC567"/>
  <c r="CD567"/>
  <c r="CC529"/>
  <c r="CD529"/>
  <c r="CD435"/>
  <c r="CC435"/>
  <c r="CC338"/>
  <c r="CD338"/>
  <c r="CC368"/>
  <c r="CD368"/>
  <c r="CC405"/>
  <c r="CD405"/>
  <c r="CC123"/>
  <c r="CD123"/>
  <c r="CC56"/>
  <c r="CD56"/>
  <c r="BD21"/>
  <c r="BE21"/>
  <c r="CC45"/>
  <c r="CD45"/>
  <c r="BL511"/>
  <c r="AX511"/>
  <c r="AW486"/>
  <c r="Q73" i="51061"/>
  <c r="BP122" i="51055"/>
  <c r="BR122" s="1"/>
  <c r="BD122"/>
  <c r="BE122"/>
  <c r="BP127"/>
  <c r="BR127" s="1"/>
  <c r="BD108"/>
  <c r="BE108"/>
  <c r="BP103"/>
  <c r="BR103" s="1"/>
  <c r="BD117"/>
  <c r="BE117"/>
  <c r="BP117"/>
  <c r="BR117" s="1"/>
  <c r="BP422"/>
  <c r="BR422" s="1"/>
  <c r="BD422"/>
  <c r="BE422"/>
  <c r="BD318"/>
  <c r="BE318"/>
  <c r="BP344"/>
  <c r="BR344" s="1"/>
  <c r="BS344"/>
  <c r="BU344" s="1"/>
  <c r="BV344" s="1"/>
  <c r="BD383"/>
  <c r="BE383"/>
  <c r="BP391"/>
  <c r="BR391" s="1"/>
  <c r="BD275"/>
  <c r="BE275"/>
  <c r="BP337"/>
  <c r="BR337" s="1"/>
  <c r="BD643"/>
  <c r="BE643"/>
  <c r="BP688"/>
  <c r="BR688" s="1"/>
  <c r="BD466"/>
  <c r="BE466"/>
  <c r="BD663"/>
  <c r="BE663"/>
  <c r="BP663"/>
  <c r="BR663" s="1"/>
  <c r="BD704"/>
  <c r="BE704"/>
  <c r="BD500"/>
  <c r="BE500"/>
  <c r="BP500"/>
  <c r="BR500" s="1"/>
  <c r="BD632"/>
  <c r="BE632"/>
  <c r="BP204"/>
  <c r="BR204" s="1"/>
  <c r="BD204"/>
  <c r="BE204"/>
  <c r="BP200"/>
  <c r="BR200" s="1"/>
  <c r="BD273"/>
  <c r="BE273"/>
  <c r="BP55"/>
  <c r="BR55" s="1"/>
  <c r="BP102"/>
  <c r="BR102" s="1"/>
  <c r="BD181"/>
  <c r="BE181"/>
  <c r="BP181"/>
  <c r="BR181" s="1"/>
  <c r="BP411"/>
  <c r="BR411" s="1"/>
  <c r="BS411"/>
  <c r="BU411" s="1"/>
  <c r="BV411" s="1"/>
  <c r="BD266"/>
  <c r="BE266"/>
  <c r="BP247"/>
  <c r="BR247" s="1"/>
  <c r="BD294"/>
  <c r="BE294"/>
  <c r="BP306"/>
  <c r="BR306" s="1"/>
  <c r="BD385"/>
  <c r="BE385"/>
  <c r="BP408"/>
  <c r="BR408" s="1"/>
  <c r="BD330"/>
  <c r="BE330"/>
  <c r="BP380"/>
  <c r="BR380" s="1"/>
  <c r="BS380"/>
  <c r="BU380" s="1"/>
  <c r="BV380" s="1"/>
  <c r="BD618"/>
  <c r="BE618"/>
  <c r="BP649"/>
  <c r="BR649" s="1"/>
  <c r="BS649"/>
  <c r="BU649" s="1"/>
  <c r="BV649" s="1"/>
  <c r="BD464"/>
  <c r="BE464"/>
  <c r="BP692"/>
  <c r="BR692" s="1"/>
  <c r="BD636"/>
  <c r="BE636"/>
  <c r="BD342"/>
  <c r="BE342"/>
  <c r="BP374"/>
  <c r="BR374" s="1"/>
  <c r="BD393"/>
  <c r="BE393"/>
  <c r="BP277"/>
  <c r="BR277" s="1"/>
  <c r="BS277"/>
  <c r="BU277" s="1"/>
  <c r="BV277" s="1"/>
  <c r="BD339"/>
  <c r="BE339"/>
  <c r="BP672"/>
  <c r="BR672" s="1"/>
  <c r="M55" i="51061"/>
  <c r="Q46"/>
  <c r="Q67"/>
  <c r="M60"/>
  <c r="AX150" i="51055"/>
  <c r="L75" i="51061"/>
  <c r="AX26" i="51055"/>
  <c r="AX66"/>
  <c r="AJ742"/>
  <c r="Q35" i="51061"/>
  <c r="Q36"/>
  <c r="Q37"/>
  <c r="Q45"/>
  <c r="M42"/>
  <c r="Q82"/>
  <c r="Q87" s="1"/>
  <c r="M33"/>
  <c r="Q90"/>
  <c r="BS657" i="51055"/>
  <c r="BU657" s="1"/>
  <c r="BV657" s="1"/>
  <c r="BS684"/>
  <c r="BU684" s="1"/>
  <c r="BV684" s="1"/>
  <c r="BS252"/>
  <c r="BU252" s="1"/>
  <c r="BV252" s="1"/>
  <c r="BS537"/>
  <c r="BU537" s="1"/>
  <c r="BV537" s="1"/>
  <c r="BS579"/>
  <c r="BU579" s="1"/>
  <c r="BV579" s="1"/>
  <c r="BS605"/>
  <c r="BU605" s="1"/>
  <c r="BV605" s="1"/>
  <c r="BS668"/>
  <c r="BU668" s="1"/>
  <c r="BV668" s="1"/>
  <c r="AX103"/>
  <c r="BP329" l="1"/>
  <c r="BR329" s="1"/>
  <c r="BP680"/>
  <c r="BR680" s="1"/>
  <c r="BP589"/>
  <c r="BR589" s="1"/>
  <c r="BP507"/>
  <c r="BR507" s="1"/>
  <c r="CD287"/>
  <c r="CC287"/>
  <c r="BS158"/>
  <c r="BU158" s="1"/>
  <c r="BV158" s="1"/>
  <c r="BS349"/>
  <c r="BU349" s="1"/>
  <c r="BV349" s="1"/>
  <c r="BS147"/>
  <c r="BU147" s="1"/>
  <c r="BV147" s="1"/>
  <c r="BS220"/>
  <c r="BU220" s="1"/>
  <c r="BV220" s="1"/>
  <c r="BS468"/>
  <c r="BU468" s="1"/>
  <c r="BV468" s="1"/>
  <c r="BS281"/>
  <c r="BU281" s="1"/>
  <c r="BV281" s="1"/>
  <c r="BS231"/>
  <c r="BU231" s="1"/>
  <c r="BV231" s="1"/>
  <c r="BS628"/>
  <c r="BU628" s="1"/>
  <c r="BV628" s="1"/>
  <c r="BS679"/>
  <c r="BU679" s="1"/>
  <c r="BV679" s="1"/>
  <c r="BS397"/>
  <c r="BU397" s="1"/>
  <c r="BV397" s="1"/>
  <c r="BS328"/>
  <c r="BU328" s="1"/>
  <c r="BV328" s="1"/>
  <c r="BS433"/>
  <c r="BU433" s="1"/>
  <c r="BV433" s="1"/>
  <c r="BS198"/>
  <c r="BU198" s="1"/>
  <c r="BV198" s="1"/>
  <c r="BS719"/>
  <c r="BU719" s="1"/>
  <c r="BV719" s="1"/>
  <c r="BS163"/>
  <c r="BU163" s="1"/>
  <c r="BV163" s="1"/>
  <c r="BS665"/>
  <c r="BU665" s="1"/>
  <c r="BV665" s="1"/>
  <c r="BS667"/>
  <c r="BU667" s="1"/>
  <c r="BV667" s="1"/>
  <c r="BS378"/>
  <c r="BU378" s="1"/>
  <c r="BV378" s="1"/>
  <c r="BS320"/>
  <c r="BU320" s="1"/>
  <c r="BV320" s="1"/>
  <c r="BS292"/>
  <c r="BU292" s="1"/>
  <c r="BV292" s="1"/>
  <c r="BS142"/>
  <c r="BU142" s="1"/>
  <c r="BV142" s="1"/>
  <c r="BS689"/>
  <c r="BU689" s="1"/>
  <c r="BV689" s="1"/>
  <c r="BS139"/>
  <c r="BU139" s="1"/>
  <c r="BV139" s="1"/>
  <c r="BS522"/>
  <c r="BU522" s="1"/>
  <c r="BV522" s="1"/>
  <c r="BS476"/>
  <c r="BU476" s="1"/>
  <c r="BV476" s="1"/>
  <c r="BS467"/>
  <c r="BU467" s="1"/>
  <c r="BV467" s="1"/>
  <c r="BS638"/>
  <c r="BU638" s="1"/>
  <c r="BV638" s="1"/>
  <c r="BS312"/>
  <c r="BU312" s="1"/>
  <c r="BV312" s="1"/>
  <c r="BS282"/>
  <c r="BU282" s="1"/>
  <c r="BV282" s="1"/>
  <c r="BS307"/>
  <c r="BU307" s="1"/>
  <c r="BV307" s="1"/>
  <c r="BS343"/>
  <c r="BU343" s="1"/>
  <c r="BV343" s="1"/>
  <c r="BS501"/>
  <c r="BU501" s="1"/>
  <c r="BV501" s="1"/>
  <c r="BS327"/>
  <c r="BU327" s="1"/>
  <c r="BV327" s="1"/>
  <c r="BS317"/>
  <c r="BU317" s="1"/>
  <c r="BV317" s="1"/>
  <c r="BS550"/>
  <c r="BU550" s="1"/>
  <c r="BV550" s="1"/>
  <c r="BS377"/>
  <c r="BU377" s="1"/>
  <c r="BV377" s="1"/>
  <c r="BP250"/>
  <c r="BR250" s="1"/>
  <c r="BS250"/>
  <c r="BU250" s="1"/>
  <c r="BV250" s="1"/>
  <c r="BP471"/>
  <c r="BR471" s="1"/>
  <c r="BS471"/>
  <c r="BU471" s="1"/>
  <c r="BV471" s="1"/>
  <c r="BP363"/>
  <c r="BR363" s="1"/>
  <c r="BS363"/>
  <c r="BU363" s="1"/>
  <c r="BV363" s="1"/>
  <c r="CD341"/>
  <c r="CC341"/>
  <c r="CD583"/>
  <c r="CC583"/>
  <c r="CC574"/>
  <c r="CD574"/>
  <c r="BP546"/>
  <c r="BR546" s="1"/>
  <c r="BS546"/>
  <c r="BU546" s="1"/>
  <c r="BV546" s="1"/>
  <c r="CD646"/>
  <c r="CC646"/>
  <c r="BP359"/>
  <c r="BR359" s="1"/>
  <c r="BP534"/>
  <c r="BR534" s="1"/>
  <c r="BS534"/>
  <c r="BU534" s="1"/>
  <c r="BV534" s="1"/>
  <c r="BP678"/>
  <c r="BR678" s="1"/>
  <c r="BS678"/>
  <c r="BU678" s="1"/>
  <c r="BV678" s="1"/>
  <c r="CD68"/>
  <c r="CC68"/>
  <c r="BP361"/>
  <c r="BR361" s="1"/>
  <c r="BS361"/>
  <c r="BU361" s="1"/>
  <c r="BV361" s="1"/>
  <c r="CD256"/>
  <c r="CC256"/>
  <c r="CC642"/>
  <c r="CD642"/>
  <c r="CD434"/>
  <c r="CC434"/>
  <c r="CD650"/>
  <c r="CC650"/>
  <c r="CD384"/>
  <c r="CC384"/>
  <c r="CD443"/>
  <c r="CC443"/>
  <c r="BS306"/>
  <c r="BU306" s="1"/>
  <c r="BV306" s="1"/>
  <c r="BS200"/>
  <c r="BU200" s="1"/>
  <c r="BV200" s="1"/>
  <c r="BS204"/>
  <c r="BU204" s="1"/>
  <c r="BV204" s="1"/>
  <c r="BS500"/>
  <c r="BU500" s="1"/>
  <c r="BV500" s="1"/>
  <c r="BS663"/>
  <c r="BU663" s="1"/>
  <c r="BV663" s="1"/>
  <c r="BS117"/>
  <c r="BU117" s="1"/>
  <c r="BV117" s="1"/>
  <c r="BS103"/>
  <c r="BU103" s="1"/>
  <c r="BV103" s="1"/>
  <c r="BS127"/>
  <c r="BU127" s="1"/>
  <c r="BV127" s="1"/>
  <c r="BS557"/>
  <c r="BU557" s="1"/>
  <c r="BV557" s="1"/>
  <c r="BS670"/>
  <c r="BU670" s="1"/>
  <c r="BV670" s="1"/>
  <c r="BS616"/>
  <c r="BU616" s="1"/>
  <c r="BV616" s="1"/>
  <c r="BS702"/>
  <c r="BU702" s="1"/>
  <c r="BV702" s="1"/>
  <c r="BS186"/>
  <c r="BU186" s="1"/>
  <c r="BV186" s="1"/>
  <c r="BS722"/>
  <c r="BU722" s="1"/>
  <c r="BV722" s="1"/>
  <c r="BS160"/>
  <c r="BU160" s="1"/>
  <c r="BV160" s="1"/>
  <c r="BS152"/>
  <c r="BU152" s="1"/>
  <c r="BV152" s="1"/>
  <c r="BS300"/>
  <c r="BU300" s="1"/>
  <c r="BV300" s="1"/>
  <c r="BS734"/>
  <c r="BU734" s="1"/>
  <c r="BV734" s="1"/>
  <c r="BS514"/>
  <c r="BU514" s="1"/>
  <c r="BV514" s="1"/>
  <c r="BS406"/>
  <c r="BU406" s="1"/>
  <c r="BV406" s="1"/>
  <c r="BS26"/>
  <c r="BU26" s="1"/>
  <c r="BV26" s="1"/>
  <c r="BS187"/>
  <c r="BU187" s="1"/>
  <c r="BV187" s="1"/>
  <c r="BS71"/>
  <c r="BU71" s="1"/>
  <c r="BV71" s="1"/>
  <c r="BS203"/>
  <c r="BU203" s="1"/>
  <c r="BV203" s="1"/>
  <c r="BS104"/>
  <c r="BU104" s="1"/>
  <c r="BV104" s="1"/>
  <c r="BS167"/>
  <c r="BU167" s="1"/>
  <c r="BV167" s="1"/>
  <c r="BS18"/>
  <c r="BU18" s="1"/>
  <c r="BV18" s="1"/>
  <c r="BS61"/>
  <c r="BU61" s="1"/>
  <c r="BV61" s="1"/>
  <c r="BS339"/>
  <c r="BU339" s="1"/>
  <c r="BV339" s="1"/>
  <c r="BS393"/>
  <c r="BU393" s="1"/>
  <c r="BV393" s="1"/>
  <c r="BS266"/>
  <c r="BU266" s="1"/>
  <c r="BV266" s="1"/>
  <c r="BS159"/>
  <c r="BU159" s="1"/>
  <c r="BV159" s="1"/>
  <c r="BS273"/>
  <c r="BU273" s="1"/>
  <c r="BV273" s="1"/>
  <c r="BS614"/>
  <c r="BU614" s="1"/>
  <c r="BV614" s="1"/>
  <c r="BS632"/>
  <c r="BU632" s="1"/>
  <c r="BV632" s="1"/>
  <c r="BS704"/>
  <c r="BU704" s="1"/>
  <c r="BV704" s="1"/>
  <c r="BS275"/>
  <c r="BU275" s="1"/>
  <c r="BV275" s="1"/>
  <c r="BS108"/>
  <c r="BU108" s="1"/>
  <c r="BV108" s="1"/>
  <c r="BS168"/>
  <c r="BU168" s="1"/>
  <c r="BV168" s="1"/>
  <c r="BS41"/>
  <c r="BU41" s="1"/>
  <c r="BV41" s="1"/>
  <c r="AX65"/>
  <c r="BS703"/>
  <c r="BU703" s="1"/>
  <c r="BV703" s="1"/>
  <c r="BS53"/>
  <c r="BU53" s="1"/>
  <c r="BV53" s="1"/>
  <c r="BS301"/>
  <c r="BU301" s="1"/>
  <c r="BV301" s="1"/>
  <c r="BU622"/>
  <c r="BU20"/>
  <c r="BU730"/>
  <c r="V107" i="51061"/>
  <c r="BU674" i="51055"/>
  <c r="BU259"/>
  <c r="BU382"/>
  <c r="BU272"/>
  <c r="BU213"/>
  <c r="CC668"/>
  <c r="CD668"/>
  <c r="CC579"/>
  <c r="CD579"/>
  <c r="CC252"/>
  <c r="CD252"/>
  <c r="CC657"/>
  <c r="CD657"/>
  <c r="CC277"/>
  <c r="CD277"/>
  <c r="CC649"/>
  <c r="CD649"/>
  <c r="CC380"/>
  <c r="CD380"/>
  <c r="CC306"/>
  <c r="CD306"/>
  <c r="CC411"/>
  <c r="CD411"/>
  <c r="CC200"/>
  <c r="CD200"/>
  <c r="CC204"/>
  <c r="CD204"/>
  <c r="CC500"/>
  <c r="CD500"/>
  <c r="CC663"/>
  <c r="CD663"/>
  <c r="CC344"/>
  <c r="CD344"/>
  <c r="CC117"/>
  <c r="CD117"/>
  <c r="CC103"/>
  <c r="CD103"/>
  <c r="CC127"/>
  <c r="CD127"/>
  <c r="BU492"/>
  <c r="V74" i="51061"/>
  <c r="S28"/>
  <c r="AF28" s="1"/>
  <c r="BP157" i="51055"/>
  <c r="BS157" s="1"/>
  <c r="BS120"/>
  <c r="BP120"/>
  <c r="CC300"/>
  <c r="CD300"/>
  <c r="CC734"/>
  <c r="CD734"/>
  <c r="S86" i="51061"/>
  <c r="AF86" s="1"/>
  <c r="BP595" i="51055"/>
  <c r="BS595"/>
  <c r="S69" i="51061"/>
  <c r="AF69" s="1"/>
  <c r="BP440" i="51055"/>
  <c r="BS440" s="1"/>
  <c r="BL610"/>
  <c r="AX610"/>
  <c r="CC514"/>
  <c r="CD514"/>
  <c r="CC586"/>
  <c r="CD586"/>
  <c r="CC590"/>
  <c r="CD590"/>
  <c r="CC406"/>
  <c r="CD406"/>
  <c r="BD57"/>
  <c r="BE57"/>
  <c r="AW12"/>
  <c r="Q8" i="51061"/>
  <c r="CC512" i="51055"/>
  <c r="CD512"/>
  <c r="CC26"/>
  <c r="CD26"/>
  <c r="CC412"/>
  <c r="CD412"/>
  <c r="CC71"/>
  <c r="CD71"/>
  <c r="CC455"/>
  <c r="CD455"/>
  <c r="BU709"/>
  <c r="CC605"/>
  <c r="CD605"/>
  <c r="CC537"/>
  <c r="CD537"/>
  <c r="CC684"/>
  <c r="CD684"/>
  <c r="BL486"/>
  <c r="AX486"/>
  <c r="S77" i="51061"/>
  <c r="AF77" s="1"/>
  <c r="BP511" i="51055"/>
  <c r="BS511" s="1"/>
  <c r="S98" i="51061"/>
  <c r="AF98" s="1"/>
  <c r="BP682" i="51055"/>
  <c r="BS682"/>
  <c r="BL73"/>
  <c r="AX73"/>
  <c r="S19" i="51061"/>
  <c r="BS100" i="51055"/>
  <c r="BP100"/>
  <c r="AW185"/>
  <c r="Q30" i="51061"/>
  <c r="BL615" i="51055"/>
  <c r="AX615"/>
  <c r="BR492"/>
  <c r="U74" i="51061" s="1"/>
  <c r="T74"/>
  <c r="AW57" i="51055"/>
  <c r="Q13" i="51061"/>
  <c r="BI12" i="51055"/>
  <c r="BG12"/>
  <c r="BD12"/>
  <c r="BE12"/>
  <c r="BR709"/>
  <c r="U104" i="51061" s="1"/>
  <c r="U105" s="1"/>
  <c r="T104"/>
  <c r="T105" s="1"/>
  <c r="AF104"/>
  <c r="S105"/>
  <c r="AF105" s="1"/>
  <c r="T58"/>
  <c r="BR371" i="51055"/>
  <c r="U58" i="51061" s="1"/>
  <c r="BD463" i="51055"/>
  <c r="BE463"/>
  <c r="CC355"/>
  <c r="CD355"/>
  <c r="CC67"/>
  <c r="CD67"/>
  <c r="CC544"/>
  <c r="CD544"/>
  <c r="CC491"/>
  <c r="CD491"/>
  <c r="CC594"/>
  <c r="CD594"/>
  <c r="CC528"/>
  <c r="CD528"/>
  <c r="CC510"/>
  <c r="CD510"/>
  <c r="CC483"/>
  <c r="CD483"/>
  <c r="CC517"/>
  <c r="CD517"/>
  <c r="CC438"/>
  <c r="CD438"/>
  <c r="CC403"/>
  <c r="CD403"/>
  <c r="CC336"/>
  <c r="CD336"/>
  <c r="CC194"/>
  <c r="CD194"/>
  <c r="CC155"/>
  <c r="CD155"/>
  <c r="CC474"/>
  <c r="CD474"/>
  <c r="CC601"/>
  <c r="CD601"/>
  <c r="CC315"/>
  <c r="CD315"/>
  <c r="CC497"/>
  <c r="CD497"/>
  <c r="CC199"/>
  <c r="CD199"/>
  <c r="CC111"/>
  <c r="CD111"/>
  <c r="CC479"/>
  <c r="CD479"/>
  <c r="CC536"/>
  <c r="CD536"/>
  <c r="CC737"/>
  <c r="CD737"/>
  <c r="CC289"/>
  <c r="CD289"/>
  <c r="CC693"/>
  <c r="CD693"/>
  <c r="CC268"/>
  <c r="CD268"/>
  <c r="CC85"/>
  <c r="CD85"/>
  <c r="CC331"/>
  <c r="CD331"/>
  <c r="CC228"/>
  <c r="CD228"/>
  <c r="CC445"/>
  <c r="CD445"/>
  <c r="CC24"/>
  <c r="CD24"/>
  <c r="CC481"/>
  <c r="CD481"/>
  <c r="CC460"/>
  <c r="CD460"/>
  <c r="CC723"/>
  <c r="CD723"/>
  <c r="CC271"/>
  <c r="CD271"/>
  <c r="CC513"/>
  <c r="CD513"/>
  <c r="CC395"/>
  <c r="CD395"/>
  <c r="CC46"/>
  <c r="CD46"/>
  <c r="CC454"/>
  <c r="CD454"/>
  <c r="CC490"/>
  <c r="CD490"/>
  <c r="CC38"/>
  <c r="CD38"/>
  <c r="CC602"/>
  <c r="CD602"/>
  <c r="CC381"/>
  <c r="CD381"/>
  <c r="BS353"/>
  <c r="BP353"/>
  <c r="BL143"/>
  <c r="AX143"/>
  <c r="BL21"/>
  <c r="AX21"/>
  <c r="T82" i="51061"/>
  <c r="BR548" i="51055"/>
  <c r="U82" i="51061" s="1"/>
  <c r="AF82"/>
  <c r="S78"/>
  <c r="AF78" s="1"/>
  <c r="BP519" i="51055"/>
  <c r="BS519" s="1"/>
  <c r="BL495"/>
  <c r="AX495"/>
  <c r="BL224"/>
  <c r="AX224"/>
  <c r="BL196"/>
  <c r="AX196"/>
  <c r="M12" i="51061"/>
  <c r="BC44" i="51055"/>
  <c r="BI44" s="1"/>
  <c r="BA44"/>
  <c r="BG44" s="1"/>
  <c r="AY44"/>
  <c r="AX44"/>
  <c r="AU44"/>
  <c r="BB44"/>
  <c r="BH44" s="1"/>
  <c r="AZ44"/>
  <c r="BF44" s="1"/>
  <c r="BL707"/>
  <c r="AX707"/>
  <c r="BP65"/>
  <c r="BR65" s="1"/>
  <c r="S52" i="51061"/>
  <c r="AF52" s="1"/>
  <c r="BP340" i="51055"/>
  <c r="BS340" s="1"/>
  <c r="S64" i="51061"/>
  <c r="AF64" s="1"/>
  <c r="BP418" i="51055"/>
  <c r="BS418" s="1"/>
  <c r="BL94"/>
  <c r="AX94"/>
  <c r="BL740"/>
  <c r="AX740"/>
  <c r="BS394"/>
  <c r="BP394"/>
  <c r="T35" i="51061"/>
  <c r="BR207" i="51055"/>
  <c r="U35" i="51061" s="1"/>
  <c r="AX305" i="51055"/>
  <c r="BC305"/>
  <c r="BI305" s="1"/>
  <c r="BA305"/>
  <c r="BG305" s="1"/>
  <c r="AY305"/>
  <c r="AU305"/>
  <c r="BB305"/>
  <c r="BH305" s="1"/>
  <c r="AZ305"/>
  <c r="BF305" s="1"/>
  <c r="M48" i="51061"/>
  <c r="M49" s="1"/>
  <c r="AW354" i="51055"/>
  <c r="BL354" s="1"/>
  <c r="S54" i="51061" s="1"/>
  <c r="AF54" s="1"/>
  <c r="Q54"/>
  <c r="BD121" i="51055"/>
  <c r="BE121"/>
  <c r="AW121"/>
  <c r="Q21" i="51061"/>
  <c r="AW30" i="51055"/>
  <c r="Q10" i="51061"/>
  <c r="T80"/>
  <c r="BR540" i="51055"/>
  <c r="U80" i="51061" s="1"/>
  <c r="BL360" i="51055"/>
  <c r="AX360"/>
  <c r="BL316"/>
  <c r="AX316"/>
  <c r="S43" i="51061"/>
  <c r="BP248" i="51055"/>
  <c r="S65" i="51061"/>
  <c r="AF65" s="1"/>
  <c r="BP415" i="51055"/>
  <c r="BS415"/>
  <c r="BR423"/>
  <c r="U67" i="51061" s="1"/>
  <c r="T67"/>
  <c r="T46"/>
  <c r="BR285" i="51055"/>
  <c r="U46" i="51061" s="1"/>
  <c r="BL569" i="51055"/>
  <c r="AX569"/>
  <c r="S50" i="51061"/>
  <c r="BP324" i="51055"/>
  <c r="S63" i="51061"/>
  <c r="AF63" s="1"/>
  <c r="BP409" i="51055"/>
  <c r="BS409"/>
  <c r="S106" i="51061"/>
  <c r="BP727" i="51055"/>
  <c r="BD113"/>
  <c r="BE113"/>
  <c r="AW113"/>
  <c r="BL113" s="1"/>
  <c r="Q20" i="51061"/>
  <c r="BL626" i="51055"/>
  <c r="AX626"/>
  <c r="CC493"/>
  <c r="CD493"/>
  <c r="BP297"/>
  <c r="BU165"/>
  <c r="BD126"/>
  <c r="BE126"/>
  <c r="CD84"/>
  <c r="CC84"/>
  <c r="CC675"/>
  <c r="CD675"/>
  <c r="CD176"/>
  <c r="CC176"/>
  <c r="CC716"/>
  <c r="CD716"/>
  <c r="CC607"/>
  <c r="CD607"/>
  <c r="BP283"/>
  <c r="BR283" s="1"/>
  <c r="CC719"/>
  <c r="CD719"/>
  <c r="CD644"/>
  <c r="CC644"/>
  <c r="CC215"/>
  <c r="CD215"/>
  <c r="CC163"/>
  <c r="CD163"/>
  <c r="S24" i="51061"/>
  <c r="AF24" s="1"/>
  <c r="BP138" i="51055"/>
  <c r="CD656"/>
  <c r="CC656"/>
  <c r="BL87"/>
  <c r="AX87"/>
  <c r="CC133"/>
  <c r="CD133"/>
  <c r="S27" i="51061"/>
  <c r="AF27" s="1"/>
  <c r="BP151" i="51055"/>
  <c r="AW453"/>
  <c r="BL453" s="1"/>
  <c r="Q70" i="51061"/>
  <c r="BR52" i="51055"/>
  <c r="BD690"/>
  <c r="BE690"/>
  <c r="BD345"/>
  <c r="BE345"/>
  <c r="CC206"/>
  <c r="CD206"/>
  <c r="CC190"/>
  <c r="CD190"/>
  <c r="CC665"/>
  <c r="CD665"/>
  <c r="CC667"/>
  <c r="CD667"/>
  <c r="CC378"/>
  <c r="CD378"/>
  <c r="CC320"/>
  <c r="CD320"/>
  <c r="CC226"/>
  <c r="CD226"/>
  <c r="CC156"/>
  <c r="CD156"/>
  <c r="CC129"/>
  <c r="CD129"/>
  <c r="CC504"/>
  <c r="CD504"/>
  <c r="CC279"/>
  <c r="CD279"/>
  <c r="CC292"/>
  <c r="CD292"/>
  <c r="CC142"/>
  <c r="CD142"/>
  <c r="CC689"/>
  <c r="CD689"/>
  <c r="CC708"/>
  <c r="CD708"/>
  <c r="BS672"/>
  <c r="BU672" s="1"/>
  <c r="BV672" s="1"/>
  <c r="BS374"/>
  <c r="BU374" s="1"/>
  <c r="BV374" s="1"/>
  <c r="BS692"/>
  <c r="BU692" s="1"/>
  <c r="BV692" s="1"/>
  <c r="BS408"/>
  <c r="BU408" s="1"/>
  <c r="BV408" s="1"/>
  <c r="BS247"/>
  <c r="BU247" s="1"/>
  <c r="BV247" s="1"/>
  <c r="BS181"/>
  <c r="BU181" s="1"/>
  <c r="BV181" s="1"/>
  <c r="BS102"/>
  <c r="BU102" s="1"/>
  <c r="BV102" s="1"/>
  <c r="BS55"/>
  <c r="BU55" s="1"/>
  <c r="BV55" s="1"/>
  <c r="BS688"/>
  <c r="BU688" s="1"/>
  <c r="BV688" s="1"/>
  <c r="BS337"/>
  <c r="BU337" s="1"/>
  <c r="BV337" s="1"/>
  <c r="BS391"/>
  <c r="BU391" s="1"/>
  <c r="BV391" s="1"/>
  <c r="BS422"/>
  <c r="BU422" s="1"/>
  <c r="BV422" s="1"/>
  <c r="BS122"/>
  <c r="BU122" s="1"/>
  <c r="BV122" s="1"/>
  <c r="BS654"/>
  <c r="BU654" s="1"/>
  <c r="BV654" s="1"/>
  <c r="BS437"/>
  <c r="BU437" s="1"/>
  <c r="BV437" s="1"/>
  <c r="BS269"/>
  <c r="BU269" s="1"/>
  <c r="BV269" s="1"/>
  <c r="BS676"/>
  <c r="BU676" s="1"/>
  <c r="BV676" s="1"/>
  <c r="BS648"/>
  <c r="BU648" s="1"/>
  <c r="BV648" s="1"/>
  <c r="BS621"/>
  <c r="BU621" s="1"/>
  <c r="BV621" s="1"/>
  <c r="BS110"/>
  <c r="BU110" s="1"/>
  <c r="BV110" s="1"/>
  <c r="BS685"/>
  <c r="BU685" s="1"/>
  <c r="BV685" s="1"/>
  <c r="BS457"/>
  <c r="BU457" s="1"/>
  <c r="BV457" s="1"/>
  <c r="BS687"/>
  <c r="BU687" s="1"/>
  <c r="BV687" s="1"/>
  <c r="BS389"/>
  <c r="BU389" s="1"/>
  <c r="BV389" s="1"/>
  <c r="BS369"/>
  <c r="BU369" s="1"/>
  <c r="BV369" s="1"/>
  <c r="BS205"/>
  <c r="BU205" s="1"/>
  <c r="BV205" s="1"/>
  <c r="BS197"/>
  <c r="BU197" s="1"/>
  <c r="BV197" s="1"/>
  <c r="BS658"/>
  <c r="BU658" s="1"/>
  <c r="BV658" s="1"/>
  <c r="BS669"/>
  <c r="BU669" s="1"/>
  <c r="BV669" s="1"/>
  <c r="BS475"/>
  <c r="BU475" s="1"/>
  <c r="BV475" s="1"/>
  <c r="BS255"/>
  <c r="BU255" s="1"/>
  <c r="BV255" s="1"/>
  <c r="BS118"/>
  <c r="BU118" s="1"/>
  <c r="BV118" s="1"/>
  <c r="BS36"/>
  <c r="BU36" s="1"/>
  <c r="BV36" s="1"/>
  <c r="Q93" i="51061"/>
  <c r="BS697" i="51055"/>
  <c r="BU697" s="1"/>
  <c r="BV697" s="1"/>
  <c r="BS356"/>
  <c r="BU356" s="1"/>
  <c r="BV356" s="1"/>
  <c r="BS619"/>
  <c r="BU619" s="1"/>
  <c r="BV619" s="1"/>
  <c r="BS98"/>
  <c r="BU98" s="1"/>
  <c r="BV98" s="1"/>
  <c r="BS66"/>
  <c r="BU66" s="1"/>
  <c r="BV66" s="1"/>
  <c r="BS677"/>
  <c r="BU677" s="1"/>
  <c r="BV677" s="1"/>
  <c r="BS417"/>
  <c r="BU417" s="1"/>
  <c r="BV417" s="1"/>
  <c r="BS739"/>
  <c r="BU739" s="1"/>
  <c r="BV739" s="1"/>
  <c r="BS150"/>
  <c r="BU150" s="1"/>
  <c r="BV150" s="1"/>
  <c r="BS661"/>
  <c r="BU661" s="1"/>
  <c r="BV661" s="1"/>
  <c r="BS620"/>
  <c r="BU620" s="1"/>
  <c r="BV620" s="1"/>
  <c r="BS364"/>
  <c r="BU364" s="1"/>
  <c r="BV364" s="1"/>
  <c r="BS214"/>
  <c r="BU214" s="1"/>
  <c r="BV214" s="1"/>
  <c r="BS62"/>
  <c r="BU62" s="1"/>
  <c r="BV62" s="1"/>
  <c r="BS47"/>
  <c r="BU47" s="1"/>
  <c r="BV47" s="1"/>
  <c r="BS372"/>
  <c r="BU372" s="1"/>
  <c r="BV372" s="1"/>
  <c r="BS313"/>
  <c r="BU313" s="1"/>
  <c r="BV313" s="1"/>
  <c r="BS166"/>
  <c r="BU166" s="1"/>
  <c r="BV166" s="1"/>
  <c r="BS710"/>
  <c r="BU710" s="1"/>
  <c r="BV710" s="1"/>
  <c r="BS212"/>
  <c r="BU212" s="1"/>
  <c r="BV212" s="1"/>
  <c r="BS706"/>
  <c r="BU706" s="1"/>
  <c r="BV706" s="1"/>
  <c r="BS37"/>
  <c r="BU37" s="1"/>
  <c r="BV37" s="1"/>
  <c r="BS342"/>
  <c r="BU342" s="1"/>
  <c r="BV342" s="1"/>
  <c r="BS464"/>
  <c r="BU464" s="1"/>
  <c r="BV464" s="1"/>
  <c r="BS618"/>
  <c r="BU618" s="1"/>
  <c r="BV618" s="1"/>
  <c r="BS330"/>
  <c r="BU330" s="1"/>
  <c r="BV330" s="1"/>
  <c r="BS385"/>
  <c r="BU385" s="1"/>
  <c r="BV385" s="1"/>
  <c r="BS294"/>
  <c r="BU294" s="1"/>
  <c r="BV294" s="1"/>
  <c r="BS222"/>
  <c r="BU222" s="1"/>
  <c r="BV222" s="1"/>
  <c r="BS162"/>
  <c r="BU162" s="1"/>
  <c r="BV162" s="1"/>
  <c r="BS466"/>
  <c r="BU466" s="1"/>
  <c r="BV466" s="1"/>
  <c r="BS643"/>
  <c r="BU643" s="1"/>
  <c r="BV643" s="1"/>
  <c r="BS383"/>
  <c r="BU383" s="1"/>
  <c r="BV383" s="1"/>
  <c r="BS318"/>
  <c r="BU318" s="1"/>
  <c r="BV318" s="1"/>
  <c r="BS172"/>
  <c r="BU172" s="1"/>
  <c r="BV172" s="1"/>
  <c r="BS170"/>
  <c r="BU170" s="1"/>
  <c r="BV170" s="1"/>
  <c r="BS624"/>
  <c r="BU624" s="1"/>
  <c r="BV624" s="1"/>
  <c r="BS623"/>
  <c r="BU623" s="1"/>
  <c r="BV623" s="1"/>
  <c r="BS715"/>
  <c r="BU715" s="1"/>
  <c r="BV715" s="1"/>
  <c r="BS662"/>
  <c r="BU662" s="1"/>
  <c r="BV662" s="1"/>
  <c r="BS629"/>
  <c r="BU629" s="1"/>
  <c r="BV629" s="1"/>
  <c r="BS477"/>
  <c r="BU477" s="1"/>
  <c r="BV477" s="1"/>
  <c r="BS243"/>
  <c r="BU243" s="1"/>
  <c r="BV243" s="1"/>
  <c r="BS420"/>
  <c r="BU420" s="1"/>
  <c r="BV420" s="1"/>
  <c r="BS31"/>
  <c r="BU31" s="1"/>
  <c r="BV31" s="1"/>
  <c r="BS106"/>
  <c r="BU106" s="1"/>
  <c r="BV106" s="1"/>
  <c r="BS16"/>
  <c r="BU16" s="1"/>
  <c r="BV16" s="1"/>
  <c r="BS119"/>
  <c r="BU119" s="1"/>
  <c r="BV119" s="1"/>
  <c r="BS370"/>
  <c r="BU370" s="1"/>
  <c r="BV370" s="1"/>
  <c r="BS496"/>
  <c r="BU496" s="1"/>
  <c r="BV496" s="1"/>
  <c r="BS498"/>
  <c r="BU498" s="1"/>
  <c r="BV498" s="1"/>
  <c r="BS637"/>
  <c r="BU637" s="1"/>
  <c r="BV637" s="1"/>
  <c r="BS387"/>
  <c r="BU387" s="1"/>
  <c r="BV387" s="1"/>
  <c r="BS302"/>
  <c r="BU302" s="1"/>
  <c r="BV302" s="1"/>
  <c r="BS218"/>
  <c r="BU218" s="1"/>
  <c r="BV218" s="1"/>
  <c r="BS691"/>
  <c r="BU691" s="1"/>
  <c r="BV691" s="1"/>
  <c r="BS335"/>
  <c r="BU335" s="1"/>
  <c r="BV335" s="1"/>
  <c r="BS195"/>
  <c r="BU195" s="1"/>
  <c r="BV195" s="1"/>
  <c r="BS146"/>
  <c r="BU146" s="1"/>
  <c r="BV146" s="1"/>
  <c r="BS442"/>
  <c r="BU442" s="1"/>
  <c r="BV442" s="1"/>
  <c r="BS54"/>
  <c r="BU54" s="1"/>
  <c r="BV54" s="1"/>
  <c r="BS17"/>
  <c r="BU17" s="1"/>
  <c r="BV17" s="1"/>
  <c r="BS686"/>
  <c r="BU686" s="1"/>
  <c r="BV686" s="1"/>
  <c r="BS712"/>
  <c r="BU712" s="1"/>
  <c r="BV712" s="1"/>
  <c r="BS236"/>
  <c r="BU236" s="1"/>
  <c r="BV236" s="1"/>
  <c r="BS238"/>
  <c r="BU238" s="1"/>
  <c r="BV238" s="1"/>
  <c r="BS154"/>
  <c r="BU154" s="1"/>
  <c r="BV154" s="1"/>
  <c r="BS90"/>
  <c r="BU90" s="1"/>
  <c r="BV90" s="1"/>
  <c r="BS611"/>
  <c r="BU611" s="1"/>
  <c r="BV611" s="1"/>
  <c r="BS718"/>
  <c r="BU718" s="1"/>
  <c r="BV718" s="1"/>
  <c r="BS714"/>
  <c r="BU714" s="1"/>
  <c r="BV714" s="1"/>
  <c r="BS502"/>
  <c r="BU502" s="1"/>
  <c r="BV502" s="1"/>
  <c r="BS651"/>
  <c r="BU651" s="1"/>
  <c r="BV651" s="1"/>
  <c r="BS290"/>
  <c r="BU290" s="1"/>
  <c r="BV290" s="1"/>
  <c r="BS164"/>
  <c r="BU164" s="1"/>
  <c r="BV164" s="1"/>
  <c r="BS208"/>
  <c r="BU208" s="1"/>
  <c r="BV208" s="1"/>
  <c r="Q99" i="51061"/>
  <c r="BS253" i="51055"/>
  <c r="BU253" s="1"/>
  <c r="BV253" s="1"/>
  <c r="BS209"/>
  <c r="BU209" s="1"/>
  <c r="BV209" s="1"/>
  <c r="BS153"/>
  <c r="BU153" s="1"/>
  <c r="BV153" s="1"/>
  <c r="BS351"/>
  <c r="BU351" s="1"/>
  <c r="BV351" s="1"/>
  <c r="BS257"/>
  <c r="BU257" s="1"/>
  <c r="BV257" s="1"/>
  <c r="BS149"/>
  <c r="BU149" s="1"/>
  <c r="BV149" s="1"/>
  <c r="BS40"/>
  <c r="BU40" s="1"/>
  <c r="BV40" s="1"/>
  <c r="BS630"/>
  <c r="BU630" s="1"/>
  <c r="BV630" s="1"/>
  <c r="BS459"/>
  <c r="BU459" s="1"/>
  <c r="BV459" s="1"/>
  <c r="BS414"/>
  <c r="BU414" s="1"/>
  <c r="BV414" s="1"/>
  <c r="BS191"/>
  <c r="BU191" s="1"/>
  <c r="BV191" s="1"/>
  <c r="BS171"/>
  <c r="BU171" s="1"/>
  <c r="BV171" s="1"/>
  <c r="BS22"/>
  <c r="BU22" s="1"/>
  <c r="BV22" s="1"/>
  <c r="BS700"/>
  <c r="BU700" s="1"/>
  <c r="BV700" s="1"/>
  <c r="BS488"/>
  <c r="BU488" s="1"/>
  <c r="BV488" s="1"/>
  <c r="BS470"/>
  <c r="BU470" s="1"/>
  <c r="BV470" s="1"/>
  <c r="BS533"/>
  <c r="BU533" s="1"/>
  <c r="BV533" s="1"/>
  <c r="BS80"/>
  <c r="BU80" s="1"/>
  <c r="BV80" s="1"/>
  <c r="BE185"/>
  <c r="BD185"/>
  <c r="CC557"/>
  <c r="CD557"/>
  <c r="CC670"/>
  <c r="CD670"/>
  <c r="CC616"/>
  <c r="CD616"/>
  <c r="CC326"/>
  <c r="CD326"/>
  <c r="CC262"/>
  <c r="CD262"/>
  <c r="CC216"/>
  <c r="CD216"/>
  <c r="CC60"/>
  <c r="CD60"/>
  <c r="CD135"/>
  <c r="CC135"/>
  <c r="CC702"/>
  <c r="CD702"/>
  <c r="CC186"/>
  <c r="CD186"/>
  <c r="CC722"/>
  <c r="CD722"/>
  <c r="CC720"/>
  <c r="CD720"/>
  <c r="CC647"/>
  <c r="CD647"/>
  <c r="CC332"/>
  <c r="CD332"/>
  <c r="CC358"/>
  <c r="CD358"/>
  <c r="CC160"/>
  <c r="CD160"/>
  <c r="CC152"/>
  <c r="CD152"/>
  <c r="M18" i="51061"/>
  <c r="BH12" i="51055"/>
  <c r="BF12"/>
  <c r="CC128"/>
  <c r="CD128"/>
  <c r="CC187"/>
  <c r="CD187"/>
  <c r="CC203"/>
  <c r="CD203"/>
  <c r="CC104"/>
  <c r="CD104"/>
  <c r="CC625"/>
  <c r="CD625"/>
  <c r="CC367"/>
  <c r="CD367"/>
  <c r="BR674"/>
  <c r="U97" i="51061" s="1"/>
  <c r="T97"/>
  <c r="S95"/>
  <c r="AF95" s="1"/>
  <c r="BP653" i="51055"/>
  <c r="BS653" s="1"/>
  <c r="S79" i="51061"/>
  <c r="AF79" s="1"/>
  <c r="BP527" i="51055"/>
  <c r="S108" i="51061"/>
  <c r="AF108" s="1"/>
  <c r="BP735" i="51055"/>
  <c r="BS735"/>
  <c r="S70" i="51061"/>
  <c r="AF70" s="1"/>
  <c r="BP450" i="51055"/>
  <c r="BU371"/>
  <c r="T44" i="51061"/>
  <c r="BR259" i="51055"/>
  <c r="U44" i="51061" s="1"/>
  <c r="BL177" i="51055"/>
  <c r="AX177"/>
  <c r="AW463"/>
  <c r="Q71" i="51061"/>
  <c r="Q75" s="1"/>
  <c r="S96"/>
  <c r="AF96" s="1"/>
  <c r="BP660" i="51055"/>
  <c r="S83" i="51061"/>
  <c r="AF83" s="1"/>
  <c r="BP560" i="51055"/>
  <c r="BS560" s="1"/>
  <c r="BL365"/>
  <c r="AX365"/>
  <c r="S62" i="51061"/>
  <c r="AF62" s="1"/>
  <c r="BP402" i="51055"/>
  <c r="CC251"/>
  <c r="CD251"/>
  <c r="CC711"/>
  <c r="CD711"/>
  <c r="CC652"/>
  <c r="CD652"/>
  <c r="AW241"/>
  <c r="BL241" s="1"/>
  <c r="Q41" i="51061"/>
  <c r="BD241" i="51055"/>
  <c r="BE241"/>
  <c r="CC112"/>
  <c r="CD112"/>
  <c r="CC167"/>
  <c r="CD167"/>
  <c r="CC18"/>
  <c r="CD18"/>
  <c r="CC61"/>
  <c r="CD61"/>
  <c r="CC293"/>
  <c r="CD293"/>
  <c r="CC505"/>
  <c r="CD505"/>
  <c r="CC604"/>
  <c r="CD604"/>
  <c r="CC521"/>
  <c r="CD521"/>
  <c r="CC518"/>
  <c r="CD518"/>
  <c r="CC410"/>
  <c r="CD410"/>
  <c r="CC32"/>
  <c r="CD32"/>
  <c r="CC570"/>
  <c r="CD570"/>
  <c r="CC576"/>
  <c r="CD576"/>
  <c r="CC439"/>
  <c r="CD439"/>
  <c r="CC258"/>
  <c r="CD258"/>
  <c r="CC366"/>
  <c r="CD366"/>
  <c r="CC276"/>
  <c r="CD276"/>
  <c r="CC173"/>
  <c r="CD173"/>
  <c r="CC116"/>
  <c r="CD116"/>
  <c r="CC525"/>
  <c r="CD525"/>
  <c r="CC523"/>
  <c r="CD523"/>
  <c r="CC535"/>
  <c r="CD535"/>
  <c r="CC96"/>
  <c r="CD96"/>
  <c r="CC598"/>
  <c r="CD598"/>
  <c r="CC469"/>
  <c r="CD469"/>
  <c r="CC584"/>
  <c r="CD584"/>
  <c r="CC631"/>
  <c r="CD631"/>
  <c r="CC137"/>
  <c r="CD137"/>
  <c r="CC265"/>
  <c r="CD265"/>
  <c r="CC694"/>
  <c r="CD694"/>
  <c r="CC465"/>
  <c r="CD465"/>
  <c r="CC558"/>
  <c r="CD558"/>
  <c r="CC261"/>
  <c r="CD261"/>
  <c r="CD76"/>
  <c r="CC76"/>
  <c r="CC458"/>
  <c r="CD458"/>
  <c r="CC516"/>
  <c r="CD516"/>
  <c r="CC539"/>
  <c r="CD539"/>
  <c r="CC484"/>
  <c r="CD484"/>
  <c r="CC193"/>
  <c r="CD193"/>
  <c r="CC161"/>
  <c r="CD161"/>
  <c r="CC15"/>
  <c r="CD15"/>
  <c r="CC549"/>
  <c r="CD549"/>
  <c r="CC270"/>
  <c r="CD270"/>
  <c r="CC14"/>
  <c r="CD14"/>
  <c r="CC503"/>
  <c r="CD503"/>
  <c r="CC33"/>
  <c r="CD33"/>
  <c r="CC339"/>
  <c r="CD339"/>
  <c r="CC393"/>
  <c r="CD393"/>
  <c r="S92" i="51061"/>
  <c r="AF92" s="1"/>
  <c r="BP636" i="51055"/>
  <c r="BS636" s="1"/>
  <c r="CC266"/>
  <c r="CD266"/>
  <c r="CC159"/>
  <c r="CD159"/>
  <c r="CC273"/>
  <c r="CD273"/>
  <c r="CC614"/>
  <c r="CD614"/>
  <c r="CC632"/>
  <c r="CD632"/>
  <c r="CC704"/>
  <c r="CD704"/>
  <c r="CC275"/>
  <c r="CD275"/>
  <c r="CC108"/>
  <c r="CD108"/>
  <c r="BR622"/>
  <c r="U90" i="51061" s="1"/>
  <c r="T90"/>
  <c r="BR20" i="51055"/>
  <c r="BL35"/>
  <c r="AX35"/>
  <c r="BU548"/>
  <c r="V82" i="51061"/>
  <c r="CD428" i="51055"/>
  <c r="CC428"/>
  <c r="CC609"/>
  <c r="CD609"/>
  <c r="CC314"/>
  <c r="CD314"/>
  <c r="CC655"/>
  <c r="CD655"/>
  <c r="CC168"/>
  <c r="CD168"/>
  <c r="CC41"/>
  <c r="CD41"/>
  <c r="CC673"/>
  <c r="CD673"/>
  <c r="CC645"/>
  <c r="CD645"/>
  <c r="CC310"/>
  <c r="CD310"/>
  <c r="CC362"/>
  <c r="CD362"/>
  <c r="CC296"/>
  <c r="CD296"/>
  <c r="BE65"/>
  <c r="BD65"/>
  <c r="CC683"/>
  <c r="CD683"/>
  <c r="CC703"/>
  <c r="CD703"/>
  <c r="S68" i="51061"/>
  <c r="AF68" s="1"/>
  <c r="BP432" i="51055"/>
  <c r="CC424"/>
  <c r="CD424"/>
  <c r="CC53"/>
  <c r="CD53"/>
  <c r="S85" i="51061"/>
  <c r="AF85" s="1"/>
  <c r="BP580" i="51055"/>
  <c r="BS580" s="1"/>
  <c r="T107" i="51061"/>
  <c r="BR730" i="51055"/>
  <c r="U107" i="51061" s="1"/>
  <c r="T59"/>
  <c r="BR382" i="51055"/>
  <c r="U59" i="51061" s="1"/>
  <c r="BR272" i="51055"/>
  <c r="U45" i="51061" s="1"/>
  <c r="T45"/>
  <c r="T37"/>
  <c r="BR213" i="51055"/>
  <c r="U37" i="51061" s="1"/>
  <c r="S36"/>
  <c r="AF36" s="1"/>
  <c r="BP202" i="51055"/>
  <c r="BS202" s="1"/>
  <c r="CC635"/>
  <c r="CD635"/>
  <c r="BU207"/>
  <c r="V35" i="51061"/>
  <c r="CC639" i="51055"/>
  <c r="CD639"/>
  <c r="CC446"/>
  <c r="CD446"/>
  <c r="BD354"/>
  <c r="BE354"/>
  <c r="CC264"/>
  <c r="CD264"/>
  <c r="CC158"/>
  <c r="CD158"/>
  <c r="BD30"/>
  <c r="BE30"/>
  <c r="CC542"/>
  <c r="CD542"/>
  <c r="CC81"/>
  <c r="CD81"/>
  <c r="CC349"/>
  <c r="CD349"/>
  <c r="CC267"/>
  <c r="CD267"/>
  <c r="CC147"/>
  <c r="CD147"/>
  <c r="S72" i="51061"/>
  <c r="AF72" s="1"/>
  <c r="BP473" i="51055"/>
  <c r="BS473" s="1"/>
  <c r="BL701"/>
  <c r="AX701"/>
  <c r="BK2" s="1"/>
  <c r="S94" i="51061"/>
  <c r="BP641" i="51055"/>
  <c r="BS641" s="1"/>
  <c r="BU540"/>
  <c r="V80" i="51061"/>
  <c r="CC286" i="51055"/>
  <c r="CD286"/>
  <c r="BU423"/>
  <c r="AF67" i="51061"/>
  <c r="BL192" i="51055"/>
  <c r="AX192"/>
  <c r="S23" i="51061"/>
  <c r="AF23" s="1"/>
  <c r="BP134" i="51055"/>
  <c r="BS134" s="1"/>
  <c r="BP27"/>
  <c r="BS27"/>
  <c r="S51" i="51061"/>
  <c r="AF51" s="1"/>
  <c r="BP334" i="51055"/>
  <c r="BU285"/>
  <c r="V46" i="51061"/>
  <c r="CC260" i="51055"/>
  <c r="CD260"/>
  <c r="CC448"/>
  <c r="CD448"/>
  <c r="CC220"/>
  <c r="CD220"/>
  <c r="CC468"/>
  <c r="CD468"/>
  <c r="CC281"/>
  <c r="CD281"/>
  <c r="CC288"/>
  <c r="CD288"/>
  <c r="CC233"/>
  <c r="CD233"/>
  <c r="CD231"/>
  <c r="CC231"/>
  <c r="CC210"/>
  <c r="CD210"/>
  <c r="CD79"/>
  <c r="CC79"/>
  <c r="CC628"/>
  <c r="CD628"/>
  <c r="CC679"/>
  <c r="CD679"/>
  <c r="CC397"/>
  <c r="CD397"/>
  <c r="CC328"/>
  <c r="CD328"/>
  <c r="CC433"/>
  <c r="CD433"/>
  <c r="CC198"/>
  <c r="CD198"/>
  <c r="T29" i="51061"/>
  <c r="BR165" i="51055"/>
  <c r="U29" i="51061" s="1"/>
  <c r="AW126" i="51055"/>
  <c r="Q22" i="51061"/>
  <c r="S40"/>
  <c r="AF40" s="1"/>
  <c r="BP234" i="51055"/>
  <c r="BS234" s="1"/>
  <c r="S41" i="51061"/>
  <c r="AF41" s="1"/>
  <c r="BP240" i="51055"/>
  <c r="BD283"/>
  <c r="BE283"/>
  <c r="BE453"/>
  <c r="BD453"/>
  <c r="AW690"/>
  <c r="Q100" i="51061"/>
  <c r="Q103" s="1"/>
  <c r="AW345" i="51055"/>
  <c r="Q53" i="51061"/>
  <c r="BD58" i="51055"/>
  <c r="BE58"/>
  <c r="AW58"/>
  <c r="Q14" i="51061"/>
  <c r="AU401" i="51055"/>
  <c r="BB401"/>
  <c r="BH401" s="1"/>
  <c r="AZ401"/>
  <c r="BF401" s="1"/>
  <c r="BC401"/>
  <c r="BI401" s="1"/>
  <c r="BA401"/>
  <c r="BG401" s="1"/>
  <c r="AY401"/>
  <c r="M61" i="51061"/>
  <c r="M66" s="1"/>
  <c r="BL219" i="51055"/>
  <c r="AX219"/>
  <c r="CC139"/>
  <c r="CD139"/>
  <c r="Q25" i="51061"/>
  <c r="Q33"/>
  <c r="Q81"/>
  <c r="Q42"/>
  <c r="L18"/>
  <c r="L114" s="1"/>
  <c r="Q60"/>
  <c r="Q55"/>
  <c r="Q109"/>
  <c r="BS308" i="51055"/>
  <c r="BU308" s="1"/>
  <c r="BV308" s="1"/>
  <c r="BS659"/>
  <c r="BU659" s="1"/>
  <c r="BV659" s="1"/>
  <c r="BS182"/>
  <c r="BU182" s="1"/>
  <c r="BV182" s="1"/>
  <c r="BS506"/>
  <c r="BU506" s="1"/>
  <c r="BV506" s="1"/>
  <c r="BS136"/>
  <c r="BU136" s="1"/>
  <c r="BV136" s="1"/>
  <c r="BS72"/>
  <c r="BU72" s="1"/>
  <c r="BV72" s="1"/>
  <c r="M75" i="51061"/>
  <c r="BS52" i="51055"/>
  <c r="BS592"/>
  <c r="BU592" s="1"/>
  <c r="BV592" s="1"/>
  <c r="BS322"/>
  <c r="BU322" s="1"/>
  <c r="BV322" s="1"/>
  <c r="BS249"/>
  <c r="BU249" s="1"/>
  <c r="BV249" s="1"/>
  <c r="BS404"/>
  <c r="BU404" s="1"/>
  <c r="BV404" s="1"/>
  <c r="BS430"/>
  <c r="BU430" s="1"/>
  <c r="BV430" s="1"/>
  <c r="BS189"/>
  <c r="BU189" s="1"/>
  <c r="BV189" s="1"/>
  <c r="BS34"/>
  <c r="BU34" s="1"/>
  <c r="BV34" s="1"/>
  <c r="BS666"/>
  <c r="BU666" s="1"/>
  <c r="BV666" s="1"/>
  <c r="BS681"/>
  <c r="BU681" s="1"/>
  <c r="BV681" s="1"/>
  <c r="BS508"/>
  <c r="BU508" s="1"/>
  <c r="BV508" s="1"/>
  <c r="BS640"/>
  <c r="BU640" s="1"/>
  <c r="BV640" s="1"/>
  <c r="BS376"/>
  <c r="BU376" s="1"/>
  <c r="BV376" s="1"/>
  <c r="BS347"/>
  <c r="BU347" s="1"/>
  <c r="BV347" s="1"/>
  <c r="BS179"/>
  <c r="BU179" s="1"/>
  <c r="BV179" s="1"/>
  <c r="BS51"/>
  <c r="BU51" s="1"/>
  <c r="BV51" s="1"/>
  <c r="CD550" l="1"/>
  <c r="CC550"/>
  <c r="CD327"/>
  <c r="CC327"/>
  <c r="CC343"/>
  <c r="CD343"/>
  <c r="CC282"/>
  <c r="CD282"/>
  <c r="CD638"/>
  <c r="CC638"/>
  <c r="CC476"/>
  <c r="CD476"/>
  <c r="BS283"/>
  <c r="BU283" s="1"/>
  <c r="BV283" s="1"/>
  <c r="BS65"/>
  <c r="BU65" s="1"/>
  <c r="BV65" s="1"/>
  <c r="BS359"/>
  <c r="BU359" s="1"/>
  <c r="BV359" s="1"/>
  <c r="CC301"/>
  <c r="CD301"/>
  <c r="CC361"/>
  <c r="CD361"/>
  <c r="CD678"/>
  <c r="CC678"/>
  <c r="CD534"/>
  <c r="CC534"/>
  <c r="CD546"/>
  <c r="CC546"/>
  <c r="CC363"/>
  <c r="CD363"/>
  <c r="CD471"/>
  <c r="CC471"/>
  <c r="CC250"/>
  <c r="CD250"/>
  <c r="CD377"/>
  <c r="CC377"/>
  <c r="CD317"/>
  <c r="CC317"/>
  <c r="CC501"/>
  <c r="CD501"/>
  <c r="CD307"/>
  <c r="CC307"/>
  <c r="CD312"/>
  <c r="CC312"/>
  <c r="CD467"/>
  <c r="CC467"/>
  <c r="CD522"/>
  <c r="CC522"/>
  <c r="M114" i="51061"/>
  <c r="BS507" i="51055"/>
  <c r="BU507" s="1"/>
  <c r="BV507" s="1"/>
  <c r="BS589"/>
  <c r="BU589" s="1"/>
  <c r="BV589" s="1"/>
  <c r="BS680"/>
  <c r="BU680" s="1"/>
  <c r="BV680" s="1"/>
  <c r="BS329"/>
  <c r="BU329" s="1"/>
  <c r="BV329" s="1"/>
  <c r="BU560"/>
  <c r="V83" i="51061"/>
  <c r="BU418" i="51055"/>
  <c r="V64" i="51061"/>
  <c r="BU340" i="51055"/>
  <c r="V52" i="51061"/>
  <c r="BU511" i="51055"/>
  <c r="V77" i="51061"/>
  <c r="BU157" i="51055"/>
  <c r="V28" i="51061"/>
  <c r="BU440" i="51055"/>
  <c r="V69" i="51061"/>
  <c r="CC179" i="51055"/>
  <c r="CD179"/>
  <c r="CC376"/>
  <c r="CD376"/>
  <c r="CC508"/>
  <c r="CD508"/>
  <c r="CC666"/>
  <c r="CD666"/>
  <c r="CC189"/>
  <c r="CD189"/>
  <c r="CC404"/>
  <c r="CD404"/>
  <c r="CC322"/>
  <c r="CD322"/>
  <c r="BU52"/>
  <c r="CC72"/>
  <c r="CD72"/>
  <c r="CC506"/>
  <c r="CD506"/>
  <c r="CC659"/>
  <c r="CD659"/>
  <c r="S38" i="51061"/>
  <c r="AF38" s="1"/>
  <c r="BS219" i="51055"/>
  <c r="BP219"/>
  <c r="BD401"/>
  <c r="BE401"/>
  <c r="AW401"/>
  <c r="Q61" i="51061"/>
  <c r="Q66" s="1"/>
  <c r="BL58" i="51055"/>
  <c r="AX58"/>
  <c r="BL345"/>
  <c r="AX345"/>
  <c r="BL690"/>
  <c r="AX690"/>
  <c r="BR240"/>
  <c r="BU234"/>
  <c r="V40" i="51061"/>
  <c r="BL126" i="51055"/>
  <c r="AX126"/>
  <c r="BV285"/>
  <c r="W46" i="51061"/>
  <c r="BR334" i="51055"/>
  <c r="U51" i="51061" s="1"/>
  <c r="T51"/>
  <c r="BU27" i="51055"/>
  <c r="BU134"/>
  <c r="V23" i="51061"/>
  <c r="BU641" i="51055"/>
  <c r="V94" i="51061"/>
  <c r="S99"/>
  <c r="AF99" s="1"/>
  <c r="AF94"/>
  <c r="S101"/>
  <c r="AF101" s="1"/>
  <c r="BP701" i="51055"/>
  <c r="BS701" s="1"/>
  <c r="BU473"/>
  <c r="V72" i="51061"/>
  <c r="BU202" i="51055"/>
  <c r="V36" i="51061"/>
  <c r="BU580" i="51055"/>
  <c r="V85" i="51061"/>
  <c r="T68"/>
  <c r="BR432" i="51055"/>
  <c r="U68" i="51061" s="1"/>
  <c r="BV548" i="51055"/>
  <c r="W82" i="51061"/>
  <c r="S11"/>
  <c r="AF11" s="1"/>
  <c r="BP35" i="51055"/>
  <c r="BS35" s="1"/>
  <c r="BU636"/>
  <c r="V92" i="51061"/>
  <c r="T62"/>
  <c r="BR402" i="51055"/>
  <c r="U62" i="51061" s="1"/>
  <c r="S57"/>
  <c r="AF57" s="1"/>
  <c r="BP365" i="51055"/>
  <c r="BS365" s="1"/>
  <c r="BR660"/>
  <c r="U96" i="51061" s="1"/>
  <c r="T96"/>
  <c r="BL463" i="51055"/>
  <c r="AX463"/>
  <c r="S31" i="51061"/>
  <c r="AF31" s="1"/>
  <c r="BP177" i="51055"/>
  <c r="BS177" s="1"/>
  <c r="BV371"/>
  <c r="W58" i="51061"/>
  <c r="BR450" i="51055"/>
  <c r="BU735"/>
  <c r="V108" i="51061"/>
  <c r="BR527" i="51055"/>
  <c r="U79" i="51061" s="1"/>
  <c r="T79"/>
  <c r="BU653" i="51055"/>
  <c r="V95" i="51061"/>
  <c r="CC80" i="51055"/>
  <c r="CD80"/>
  <c r="CC470"/>
  <c r="CD470"/>
  <c r="CD700"/>
  <c r="CC700"/>
  <c r="CC171"/>
  <c r="CD171"/>
  <c r="CC414"/>
  <c r="CD414"/>
  <c r="CC630"/>
  <c r="CD630"/>
  <c r="CC149"/>
  <c r="CD149"/>
  <c r="CC351"/>
  <c r="CD351"/>
  <c r="CC209"/>
  <c r="CD209"/>
  <c r="CC164"/>
  <c r="CD164"/>
  <c r="CC651"/>
  <c r="CD651"/>
  <c r="CC714"/>
  <c r="CD714"/>
  <c r="CC611"/>
  <c r="CD611"/>
  <c r="CC154"/>
  <c r="CD154"/>
  <c r="CC236"/>
  <c r="CD236"/>
  <c r="CC686"/>
  <c r="CD686"/>
  <c r="CC54"/>
  <c r="CD54"/>
  <c r="CC195"/>
  <c r="CD195"/>
  <c r="CD691"/>
  <c r="CC691"/>
  <c r="CC302"/>
  <c r="CD302"/>
  <c r="CC637"/>
  <c r="CD637"/>
  <c r="CC496"/>
  <c r="CD496"/>
  <c r="CC119"/>
  <c r="CD119"/>
  <c r="CC106"/>
  <c r="CD106"/>
  <c r="CC420"/>
  <c r="CD420"/>
  <c r="CC477"/>
  <c r="CD477"/>
  <c r="CC662"/>
  <c r="CD662"/>
  <c r="CC623"/>
  <c r="CD623"/>
  <c r="CC170"/>
  <c r="CD170"/>
  <c r="CC318"/>
  <c r="CD318"/>
  <c r="CC643"/>
  <c r="CD643"/>
  <c r="CC162"/>
  <c r="CD162"/>
  <c r="CC294"/>
  <c r="CD294"/>
  <c r="CC330"/>
  <c r="CD330"/>
  <c r="CC464"/>
  <c r="CD464"/>
  <c r="CC37"/>
  <c r="CD37"/>
  <c r="CC212"/>
  <c r="CD212"/>
  <c r="CC166"/>
  <c r="CD166"/>
  <c r="CC372"/>
  <c r="CD372"/>
  <c r="CC62"/>
  <c r="CD62"/>
  <c r="CC364"/>
  <c r="CD364"/>
  <c r="CC661"/>
  <c r="CD661"/>
  <c r="CD739"/>
  <c r="CC739"/>
  <c r="CC677"/>
  <c r="CD677"/>
  <c r="CC98"/>
  <c r="CD98"/>
  <c r="CC356"/>
  <c r="CD356"/>
  <c r="CC118"/>
  <c r="CD118"/>
  <c r="CC475"/>
  <c r="CD475"/>
  <c r="CC658"/>
  <c r="CD658"/>
  <c r="CC205"/>
  <c r="CD205"/>
  <c r="CC389"/>
  <c r="CD389"/>
  <c r="CC457"/>
  <c r="CD457"/>
  <c r="CC110"/>
  <c r="CD110"/>
  <c r="CC648"/>
  <c r="CD648"/>
  <c r="CC269"/>
  <c r="CD269"/>
  <c r="CC654"/>
  <c r="CD654"/>
  <c r="CC422"/>
  <c r="CD422"/>
  <c r="CC337"/>
  <c r="CD337"/>
  <c r="CC55"/>
  <c r="CD55"/>
  <c r="CC181"/>
  <c r="CD181"/>
  <c r="CC408"/>
  <c r="CD408"/>
  <c r="CC374"/>
  <c r="CD374"/>
  <c r="T27" i="51061"/>
  <c r="BR151" i="51055"/>
  <c r="U27" i="51061" s="1"/>
  <c r="S16"/>
  <c r="AF16" s="1"/>
  <c r="BP87" i="51055"/>
  <c r="BS87" s="1"/>
  <c r="BR138"/>
  <c r="U24" i="51061" s="1"/>
  <c r="T24"/>
  <c r="CC283" i="51055"/>
  <c r="CD283"/>
  <c r="BR297"/>
  <c r="S91" i="51061"/>
  <c r="AF91" s="1"/>
  <c r="BP626" i="51055"/>
  <c r="BS626" s="1"/>
  <c r="S20" i="51061"/>
  <c r="AF20" s="1"/>
  <c r="BP113" i="51055"/>
  <c r="BS113"/>
  <c r="BR727"/>
  <c r="U106" i="51061" s="1"/>
  <c r="T106"/>
  <c r="BU409" i="51055"/>
  <c r="V63" i="51061"/>
  <c r="BR324" i="51055"/>
  <c r="U50" i="51061" s="1"/>
  <c r="T50"/>
  <c r="BU415" i="51055"/>
  <c r="V65" i="51061"/>
  <c r="BR248" i="51055"/>
  <c r="U43" i="51061" s="1"/>
  <c r="T43"/>
  <c r="BD305" i="51055"/>
  <c r="BE305"/>
  <c r="BR394"/>
  <c r="S110" i="51061"/>
  <c r="BP740" i="51055"/>
  <c r="BS740" s="1"/>
  <c r="S17" i="51061"/>
  <c r="AF17" s="1"/>
  <c r="BP94" i="51055"/>
  <c r="BS94" s="1"/>
  <c r="S102" i="51061"/>
  <c r="AF102" s="1"/>
  <c r="BS707" i="51055"/>
  <c r="BP707"/>
  <c r="S34" i="51061"/>
  <c r="BP196" i="51055"/>
  <c r="BS196"/>
  <c r="S39" i="51061"/>
  <c r="AF39" s="1"/>
  <c r="BP224" i="51055"/>
  <c r="BS224" s="1"/>
  <c r="S76" i="51061"/>
  <c r="BP495" i="51055"/>
  <c r="BS495" s="1"/>
  <c r="BR519"/>
  <c r="U78" i="51061" s="1"/>
  <c r="T78"/>
  <c r="BR353" i="51055"/>
  <c r="T19" i="51061"/>
  <c r="BR100" i="51055"/>
  <c r="U19" i="51061" s="1"/>
  <c r="AF19"/>
  <c r="S15"/>
  <c r="AF15" s="1"/>
  <c r="BS73" i="51055"/>
  <c r="BP73"/>
  <c r="T98" i="51061"/>
  <c r="BR682" i="51055"/>
  <c r="U98" i="51061" s="1"/>
  <c r="S73"/>
  <c r="AF73" s="1"/>
  <c r="BP486" i="51055"/>
  <c r="BS486"/>
  <c r="BV709"/>
  <c r="W104" i="51061"/>
  <c r="W105" s="1"/>
  <c r="BR595" i="51055"/>
  <c r="U86" i="51061" s="1"/>
  <c r="T86"/>
  <c r="BR120" i="51055"/>
  <c r="BV213"/>
  <c r="W37" i="51061"/>
  <c r="BV272" i="51055"/>
  <c r="W45" i="51061"/>
  <c r="BV382" i="51055"/>
  <c r="W59" i="51061"/>
  <c r="BV259" i="51055"/>
  <c r="W44" i="51061"/>
  <c r="BV674" i="51055"/>
  <c r="W97" i="51061"/>
  <c r="BV730" i="51055"/>
  <c r="W107" i="51061"/>
  <c r="BV20" i="51055"/>
  <c r="BV622"/>
  <c r="W90" i="51061"/>
  <c r="V67"/>
  <c r="BF742" i="51055"/>
  <c r="BH742"/>
  <c r="L112" i="51061"/>
  <c r="V29"/>
  <c r="BA742" i="51055"/>
  <c r="BC742"/>
  <c r="CC51"/>
  <c r="CD51"/>
  <c r="CC347"/>
  <c r="CD347"/>
  <c r="CC640"/>
  <c r="CD640"/>
  <c r="CC681"/>
  <c r="CD681"/>
  <c r="CC34"/>
  <c r="CD34"/>
  <c r="CC430"/>
  <c r="CD430"/>
  <c r="CC249"/>
  <c r="CD249"/>
  <c r="CC592"/>
  <c r="CD592"/>
  <c r="CC136"/>
  <c r="CD136"/>
  <c r="CC182"/>
  <c r="CD182"/>
  <c r="CC308"/>
  <c r="CD308"/>
  <c r="BR234"/>
  <c r="U40" i="51061" s="1"/>
  <c r="T40"/>
  <c r="BR27" i="51055"/>
  <c r="T23" i="51061"/>
  <c r="BR134" i="51055"/>
  <c r="U23" i="51061" s="1"/>
  <c r="S32"/>
  <c r="AF32" s="1"/>
  <c r="BP192" i="51055"/>
  <c r="BS192" s="1"/>
  <c r="BV423"/>
  <c r="W67" i="51061"/>
  <c r="BV540" i="51055"/>
  <c r="W80" i="51061"/>
  <c r="T94"/>
  <c r="BR641" i="51055"/>
  <c r="U94" i="51061" s="1"/>
  <c r="T72"/>
  <c r="BR473" i="51055"/>
  <c r="U72" i="51061" s="1"/>
  <c r="BV207" i="51055"/>
  <c r="W35" i="51061"/>
  <c r="BR202" i="51055"/>
  <c r="U36" i="51061" s="1"/>
  <c r="T36"/>
  <c r="T85"/>
  <c r="BR580" i="51055"/>
  <c r="U85" i="51061" s="1"/>
  <c r="BR636" i="51055"/>
  <c r="U92" i="51061" s="1"/>
  <c r="T92"/>
  <c r="BP241" i="51055"/>
  <c r="BR241" s="1"/>
  <c r="T83" i="51061"/>
  <c r="BR560" i="51055"/>
  <c r="U83" i="51061" s="1"/>
  <c r="T108"/>
  <c r="BR735" i="51055"/>
  <c r="U108" i="51061" s="1"/>
  <c r="T95"/>
  <c r="BR653" i="51055"/>
  <c r="U95" i="51061" s="1"/>
  <c r="CC533" i="51055"/>
  <c r="CD533"/>
  <c r="CC488"/>
  <c r="CD488"/>
  <c r="CC22"/>
  <c r="CD22"/>
  <c r="CC191"/>
  <c r="CD191"/>
  <c r="CC459"/>
  <c r="CD459"/>
  <c r="CC40"/>
  <c r="CD40"/>
  <c r="CC257"/>
  <c r="CD257"/>
  <c r="CC153"/>
  <c r="CD153"/>
  <c r="CC253"/>
  <c r="CD253"/>
  <c r="CC208"/>
  <c r="CD208"/>
  <c r="CC290"/>
  <c r="CD290"/>
  <c r="CC502"/>
  <c r="CD502"/>
  <c r="CC718"/>
  <c r="CD718"/>
  <c r="CC90"/>
  <c r="CD90"/>
  <c r="CC238"/>
  <c r="CD238"/>
  <c r="CC712"/>
  <c r="CD712"/>
  <c r="CC17"/>
  <c r="CD17"/>
  <c r="CC442"/>
  <c r="CD442"/>
  <c r="CC146"/>
  <c r="CD146"/>
  <c r="CC335"/>
  <c r="CD335"/>
  <c r="CC218"/>
  <c r="CD218"/>
  <c r="CC387"/>
  <c r="CD387"/>
  <c r="CC498"/>
  <c r="CD498"/>
  <c r="CC370"/>
  <c r="CD370"/>
  <c r="CC16"/>
  <c r="CD16"/>
  <c r="CC31"/>
  <c r="CD31"/>
  <c r="CC243"/>
  <c r="CD243"/>
  <c r="CC629"/>
  <c r="CD629"/>
  <c r="CC715"/>
  <c r="CD715"/>
  <c r="CC624"/>
  <c r="CD624"/>
  <c r="CC172"/>
  <c r="CD172"/>
  <c r="CC383"/>
  <c r="CD383"/>
  <c r="CC466"/>
  <c r="CD466"/>
  <c r="CC222"/>
  <c r="CD222"/>
  <c r="CC385"/>
  <c r="CD385"/>
  <c r="CC618"/>
  <c r="CD618"/>
  <c r="CC342"/>
  <c r="CD342"/>
  <c r="CC706"/>
  <c r="CD706"/>
  <c r="CC710"/>
  <c r="CD710"/>
  <c r="CC313"/>
  <c r="CD313"/>
  <c r="CC47"/>
  <c r="CD47"/>
  <c r="CC214"/>
  <c r="CD214"/>
  <c r="CC620"/>
  <c r="CD620"/>
  <c r="CC150"/>
  <c r="CD150"/>
  <c r="CC417"/>
  <c r="CD417"/>
  <c r="CC66"/>
  <c r="CD66"/>
  <c r="CC619"/>
  <c r="CD619"/>
  <c r="CD697"/>
  <c r="CC697"/>
  <c r="CC36"/>
  <c r="CD36"/>
  <c r="CC255"/>
  <c r="CD255"/>
  <c r="CC669"/>
  <c r="CD669"/>
  <c r="CC197"/>
  <c r="CD197"/>
  <c r="CC369"/>
  <c r="CD369"/>
  <c r="CD687"/>
  <c r="CC687"/>
  <c r="CC685"/>
  <c r="CD685"/>
  <c r="CC621"/>
  <c r="CD621"/>
  <c r="CC676"/>
  <c r="CD676"/>
  <c r="CC437"/>
  <c r="CD437"/>
  <c r="CC122"/>
  <c r="CD122"/>
  <c r="CC391"/>
  <c r="CD391"/>
  <c r="CC688"/>
  <c r="CD688"/>
  <c r="CC102"/>
  <c r="CD102"/>
  <c r="CC247"/>
  <c r="CD247"/>
  <c r="CC692"/>
  <c r="CD692"/>
  <c r="CC672"/>
  <c r="CD672"/>
  <c r="BP453"/>
  <c r="BR453" s="1"/>
  <c r="BV165"/>
  <c r="W29" i="51061"/>
  <c r="S109"/>
  <c r="AF109" s="1"/>
  <c r="AF106"/>
  <c r="BR409" i="51055"/>
  <c r="U63" i="51061" s="1"/>
  <c r="T63"/>
  <c r="AF50"/>
  <c r="S84"/>
  <c r="AF84" s="1"/>
  <c r="BP569" i="51055"/>
  <c r="BS569" s="1"/>
  <c r="BR415"/>
  <c r="U65" i="51061" s="1"/>
  <c r="T65"/>
  <c r="AF43"/>
  <c r="S47"/>
  <c r="AF47" s="1"/>
  <c r="BP316" i="51055"/>
  <c r="BS316" s="1"/>
  <c r="S56" i="51061"/>
  <c r="BP360" i="51055"/>
  <c r="BS360"/>
  <c r="BL30"/>
  <c r="AX30"/>
  <c r="BL121"/>
  <c r="AX121"/>
  <c r="BP354"/>
  <c r="BR354" s="1"/>
  <c r="BS354"/>
  <c r="BU354" s="1"/>
  <c r="BV354" s="1"/>
  <c r="AW305"/>
  <c r="BL305" s="1"/>
  <c r="Q48" i="51061"/>
  <c r="Q49" s="1"/>
  <c r="BU394" i="51055"/>
  <c r="T64" i="51061"/>
  <c r="BR418" i="51055"/>
  <c r="U64" i="51061" s="1"/>
  <c r="BR340" i="51055"/>
  <c r="U52" i="51061" s="1"/>
  <c r="T52"/>
  <c r="CD65" i="51055"/>
  <c r="CC65"/>
  <c r="AW44"/>
  <c r="BL44" s="1"/>
  <c r="Q12" i="51061"/>
  <c r="BD44" i="51055"/>
  <c r="BE44"/>
  <c r="BE742" s="1"/>
  <c r="BU519"/>
  <c r="V78" i="51061"/>
  <c r="BP21" i="51055"/>
  <c r="BS21"/>
  <c r="S9" i="51061"/>
  <c r="AF9" s="1"/>
  <c r="S26"/>
  <c r="BP143" i="51055"/>
  <c r="BS143" s="1"/>
  <c r="BU353"/>
  <c r="V54" i="51061"/>
  <c r="BL57" i="51055"/>
  <c r="AX57"/>
  <c r="S89" i="51061"/>
  <c r="AF89" s="1"/>
  <c r="BP615" i="51055"/>
  <c r="BS615" s="1"/>
  <c r="BL185"/>
  <c r="AX185"/>
  <c r="BU100"/>
  <c r="V19" i="51061"/>
  <c r="BU682" i="51055"/>
  <c r="V98" i="51061"/>
  <c r="BR511" i="51055"/>
  <c r="U77" i="51061" s="1"/>
  <c r="T77"/>
  <c r="BL12" i="51055"/>
  <c r="AW742"/>
  <c r="S88" i="51061"/>
  <c r="BP610" i="51055"/>
  <c r="BR440"/>
  <c r="U69" i="51061" s="1"/>
  <c r="T69"/>
  <c r="BU595" i="51055"/>
  <c r="V86" i="51061"/>
  <c r="BU120" i="51055"/>
  <c r="T28" i="51061"/>
  <c r="BR157" i="51055"/>
  <c r="U28" i="51061" s="1"/>
  <c r="BV492" i="51055"/>
  <c r="W74" i="51061"/>
  <c r="BS240" i="51055"/>
  <c r="BS334"/>
  <c r="BS432"/>
  <c r="BS402"/>
  <c r="BS660"/>
  <c r="V58" i="51061"/>
  <c r="BS450" i="51055"/>
  <c r="BS527"/>
  <c r="AZ742"/>
  <c r="BB742"/>
  <c r="M112" i="51061"/>
  <c r="BS151" i="51055"/>
  <c r="BS138"/>
  <c r="BS297"/>
  <c r="BS727"/>
  <c r="BS324"/>
  <c r="BS248"/>
  <c r="S87" i="51061"/>
  <c r="AF87" s="1"/>
  <c r="AY742" i="51055"/>
  <c r="BD742"/>
  <c r="BG742"/>
  <c r="BI742"/>
  <c r="V104" i="51061"/>
  <c r="V105" s="1"/>
  <c r="AU742" i="51055"/>
  <c r="V37" i="51061"/>
  <c r="V45"/>
  <c r="V59"/>
  <c r="V44"/>
  <c r="V97"/>
  <c r="V90"/>
  <c r="CD680" i="51055" l="1"/>
  <c r="CC680"/>
  <c r="CC507"/>
  <c r="CD507"/>
  <c r="CD359"/>
  <c r="CC359"/>
  <c r="CC329"/>
  <c r="CD329"/>
  <c r="CC589"/>
  <c r="CD589"/>
  <c r="BS241"/>
  <c r="BU241" s="1"/>
  <c r="BV241" s="1"/>
  <c r="BU192"/>
  <c r="V32" i="51061"/>
  <c r="BU495" i="51055"/>
  <c r="V76" i="51061"/>
  <c r="BU224" i="51055"/>
  <c r="V39" i="51061"/>
  <c r="BU94" i="51055"/>
  <c r="V17" i="51061"/>
  <c r="BU316" i="51055"/>
  <c r="V47" i="51061"/>
  <c r="BU143" i="51055"/>
  <c r="V26" i="51061"/>
  <c r="BU87" i="51055"/>
  <c r="V16" i="51061"/>
  <c r="BU365" i="51055"/>
  <c r="V57" i="51061"/>
  <c r="BU35" i="51055"/>
  <c r="V11" i="51061"/>
  <c r="BU701" i="51055"/>
  <c r="V101" i="51061"/>
  <c r="BU727" i="51055"/>
  <c r="V106" i="51061"/>
  <c r="V109" s="1"/>
  <c r="BU138" i="51055"/>
  <c r="V24" i="51061"/>
  <c r="BU402" i="51055"/>
  <c r="V62" i="51061"/>
  <c r="BU334" i="51055"/>
  <c r="V51" i="51061"/>
  <c r="T88"/>
  <c r="BR610" i="51055"/>
  <c r="U88" i="51061" s="1"/>
  <c r="BV682" i="51055"/>
  <c r="W98" i="51061"/>
  <c r="BV100" i="51055"/>
  <c r="W19" i="51061"/>
  <c r="BP185" i="51055"/>
  <c r="BS185"/>
  <c r="S30" i="51061"/>
  <c r="AF30" s="1"/>
  <c r="BU615" i="51055"/>
  <c r="V89" i="51061"/>
  <c r="BU248" i="51055"/>
  <c r="V43" i="51061"/>
  <c r="BU324" i="51055"/>
  <c r="V50" i="51061"/>
  <c r="BU297" i="51055"/>
  <c r="BU151"/>
  <c r="V27" i="51061"/>
  <c r="BU450" i="51055"/>
  <c r="BU660"/>
  <c r="V96" i="51061"/>
  <c r="BU432" i="51055"/>
  <c r="V68" i="51061"/>
  <c r="BU240" i="51055"/>
  <c r="V41" i="51061"/>
  <c r="CC492" i="51055"/>
  <c r="AC74" i="51061" s="1"/>
  <c r="CD492" i="51055"/>
  <c r="AD74" i="51061" s="1"/>
  <c r="X74"/>
  <c r="AH74" s="1"/>
  <c r="BV120" i="51055"/>
  <c r="BV595"/>
  <c r="W86" i="51061"/>
  <c r="T89"/>
  <c r="BR615" i="51055"/>
  <c r="U89" i="51061" s="1"/>
  <c r="BP57" i="51055"/>
  <c r="S13" i="51061"/>
  <c r="AF13" s="1"/>
  <c r="BV353" i="51055"/>
  <c r="W54" i="51061"/>
  <c r="BR21" i="51055"/>
  <c r="U9" i="51061" s="1"/>
  <c r="T9"/>
  <c r="BV519" i="51055"/>
  <c r="W78" i="51061"/>
  <c r="S12"/>
  <c r="AF12" s="1"/>
  <c r="BP44" i="51055"/>
  <c r="BV394"/>
  <c r="BP305"/>
  <c r="BS305" s="1"/>
  <c r="BU305" s="1"/>
  <c r="S48" i="51061"/>
  <c r="AF48" s="1"/>
  <c r="BP121" i="51055"/>
  <c r="BS121" s="1"/>
  <c r="S21" i="51061"/>
  <c r="BP30" i="51055"/>
  <c r="BS30" s="1"/>
  <c r="S10" i="51061"/>
  <c r="AF10" s="1"/>
  <c r="BR360" i="51055"/>
  <c r="U56" i="51061" s="1"/>
  <c r="T56"/>
  <c r="BR569" i="51055"/>
  <c r="U84" i="51061" s="1"/>
  <c r="U87" s="1"/>
  <c r="T84"/>
  <c r="T87" s="1"/>
  <c r="CC622" i="51055"/>
  <c r="AC90" i="51061" s="1"/>
  <c r="CD622" i="51055"/>
  <c r="AD90" i="51061" s="1"/>
  <c r="X90"/>
  <c r="AH90" s="1"/>
  <c r="CC20" i="51055"/>
  <c r="CD20"/>
  <c r="CC730"/>
  <c r="AC107" i="51061" s="1"/>
  <c r="X107"/>
  <c r="AH107" s="1"/>
  <c r="CD730" i="51055"/>
  <c r="AD107" i="51061" s="1"/>
  <c r="CC674" i="51055"/>
  <c r="AC97" i="51061" s="1"/>
  <c r="X97"/>
  <c r="AH97" s="1"/>
  <c r="CD674" i="51055"/>
  <c r="AD97" i="51061" s="1"/>
  <c r="CC259" i="51055"/>
  <c r="AC44" i="51061" s="1"/>
  <c r="X44"/>
  <c r="AH44" s="1"/>
  <c r="CD259" i="51055"/>
  <c r="AD44" i="51061" s="1"/>
  <c r="CC382" i="51055"/>
  <c r="AC59" i="51061" s="1"/>
  <c r="X59"/>
  <c r="AH59" s="1"/>
  <c r="CD382" i="51055"/>
  <c r="AD59" i="51061" s="1"/>
  <c r="CC272" i="51055"/>
  <c r="AC45" i="51061" s="1"/>
  <c r="CD272" i="51055"/>
  <c r="AD45" i="51061" s="1"/>
  <c r="X45"/>
  <c r="AH45" s="1"/>
  <c r="CC213" i="51055"/>
  <c r="AC37" i="51061" s="1"/>
  <c r="CD213" i="51055"/>
  <c r="AD37" i="51061" s="1"/>
  <c r="X37"/>
  <c r="AH37" s="1"/>
  <c r="CC709" i="51055"/>
  <c r="AC104" i="51061" s="1"/>
  <c r="AC105" s="1"/>
  <c r="CD709" i="51055"/>
  <c r="AD104" i="51061" s="1"/>
  <c r="AD105" s="1"/>
  <c r="X104"/>
  <c r="BR486" i="51055"/>
  <c r="U73" i="51061" s="1"/>
  <c r="T73"/>
  <c r="T15"/>
  <c r="BR73" i="51055"/>
  <c r="U15" i="51061" s="1"/>
  <c r="BR196" i="51055"/>
  <c r="U34" i="51061" s="1"/>
  <c r="T34"/>
  <c r="BR707" i="51055"/>
  <c r="U102" i="51061" s="1"/>
  <c r="T102"/>
  <c r="BR740" i="51055"/>
  <c r="U110" i="51061" s="1"/>
  <c r="U111" s="1"/>
  <c r="T110"/>
  <c r="T111" s="1"/>
  <c r="S111"/>
  <c r="AF111" s="1"/>
  <c r="AF110"/>
  <c r="BV415" i="51055"/>
  <c r="W65" i="51061"/>
  <c r="BV409" i="51055"/>
  <c r="W63" i="51061"/>
  <c r="BR113" i="51055"/>
  <c r="U20" i="51061" s="1"/>
  <c r="T20"/>
  <c r="BU626" i="51055"/>
  <c r="V91" i="51061"/>
  <c r="T31"/>
  <c r="BR177" i="51055"/>
  <c r="U31" i="51061" s="1"/>
  <c r="BP463" i="51055"/>
  <c r="S71" i="51061"/>
  <c r="CC548" i="51055"/>
  <c r="AC82" i="51061" s="1"/>
  <c r="CD548" i="51055"/>
  <c r="AD82" i="51061" s="1"/>
  <c r="X82"/>
  <c r="BV580" i="51055"/>
  <c r="W85" i="51061"/>
  <c r="BV202" i="51055"/>
  <c r="W36" i="51061"/>
  <c r="BV473" i="51055"/>
  <c r="W72" i="51061"/>
  <c r="T38"/>
  <c r="BR219" i="51055"/>
  <c r="U38" i="51061" s="1"/>
  <c r="BV52" i="51055"/>
  <c r="BV440"/>
  <c r="W69" i="51061"/>
  <c r="BV157" i="51055"/>
  <c r="W28" i="51061"/>
  <c r="BV511" i="51055"/>
  <c r="W77" i="51061"/>
  <c r="BV340" i="51055"/>
  <c r="W52" i="51061"/>
  <c r="BV418" i="51055"/>
  <c r="W64" i="51061"/>
  <c r="BV560" i="51055"/>
  <c r="W83" i="51061"/>
  <c r="BS610" i="51055"/>
  <c r="S49" i="51061"/>
  <c r="AF49" s="1"/>
  <c r="BS453" i="51055"/>
  <c r="BU453" s="1"/>
  <c r="BV453" s="1"/>
  <c r="U99" i="51061"/>
  <c r="Q18"/>
  <c r="Q112" s="1"/>
  <c r="T54"/>
  <c r="U109"/>
  <c r="T70"/>
  <c r="V99"/>
  <c r="T41"/>
  <c r="BU527" i="51055"/>
  <c r="V79" i="51061"/>
  <c r="S93"/>
  <c r="AF93" s="1"/>
  <c r="AF88"/>
  <c r="S8"/>
  <c r="BP12" i="51055"/>
  <c r="T26" i="51061"/>
  <c r="BR143" i="51055"/>
  <c r="U26" i="51061" s="1"/>
  <c r="S33"/>
  <c r="AF33" s="1"/>
  <c r="AF26"/>
  <c r="BU21" i="51055"/>
  <c r="V9" i="51061"/>
  <c r="CC354" i="51055"/>
  <c r="CD354"/>
  <c r="BU360"/>
  <c r="V56" i="51061"/>
  <c r="V60" s="1"/>
  <c r="S60"/>
  <c r="AF60" s="1"/>
  <c r="AF56"/>
  <c r="BR316" i="51055"/>
  <c r="U47" i="51061" s="1"/>
  <c r="T47"/>
  <c r="BU569" i="51055"/>
  <c r="V84" i="51061"/>
  <c r="V87" s="1"/>
  <c r="CC165" i="51055"/>
  <c r="AC29" i="51061" s="1"/>
  <c r="CD165" i="51055"/>
  <c r="AD29" i="51061" s="1"/>
  <c r="X29"/>
  <c r="AH29" s="1"/>
  <c r="CC241" i="51055"/>
  <c r="CD241"/>
  <c r="CC207"/>
  <c r="AC35" i="51061" s="1"/>
  <c r="CD207" i="51055"/>
  <c r="AD35" i="51061" s="1"/>
  <c r="X35"/>
  <c r="AH35" s="1"/>
  <c r="CC540" i="51055"/>
  <c r="AC80" i="51061" s="1"/>
  <c r="X80"/>
  <c r="AH80" s="1"/>
  <c r="CD540" i="51055"/>
  <c r="AD80" i="51061" s="1"/>
  <c r="CC423" i="51055"/>
  <c r="AC67" i="51061" s="1"/>
  <c r="CD423" i="51055"/>
  <c r="AD67" i="51061" s="1"/>
  <c r="X67"/>
  <c r="BR192" i="51055"/>
  <c r="U32" i="51061" s="1"/>
  <c r="T32"/>
  <c r="BU486" i="51055"/>
  <c r="V73" i="51061"/>
  <c r="BU73" i="51055"/>
  <c r="V15" i="51061"/>
  <c r="T76"/>
  <c r="T81" s="1"/>
  <c r="BR495" i="51055"/>
  <c r="U76" i="51061" s="1"/>
  <c r="U81" s="1"/>
  <c r="S81"/>
  <c r="AF81" s="1"/>
  <c r="AF76"/>
  <c r="BR224" i="51055"/>
  <c r="U39" i="51061" s="1"/>
  <c r="T39"/>
  <c r="BU196" i="51055"/>
  <c r="V34" i="51061"/>
  <c r="S42"/>
  <c r="AF42" s="1"/>
  <c r="AF34"/>
  <c r="BU707" i="51055"/>
  <c r="V102" i="51061"/>
  <c r="T17"/>
  <c r="BR94" i="51055"/>
  <c r="U17" i="51061" s="1"/>
  <c r="BU740" i="51055"/>
  <c r="V110" i="51061"/>
  <c r="V111" s="1"/>
  <c r="BU113" i="51055"/>
  <c r="V20" i="51061"/>
  <c r="BR626" i="51055"/>
  <c r="U91" i="51061" s="1"/>
  <c r="T91"/>
  <c r="T16"/>
  <c r="BR87" i="51055"/>
  <c r="U16" i="51061" s="1"/>
  <c r="BV653" i="51055"/>
  <c r="W95" i="51061"/>
  <c r="BV735" i="51055"/>
  <c r="W108" i="51061"/>
  <c r="CC371" i="51055"/>
  <c r="AC58" i="51061" s="1"/>
  <c r="X58"/>
  <c r="AH58" s="1"/>
  <c r="CD371" i="51055"/>
  <c r="AD58" i="51061" s="1"/>
  <c r="BU177" i="51055"/>
  <c r="V31" i="51061"/>
  <c r="T57"/>
  <c r="BR365" i="51055"/>
  <c r="U57" i="51061" s="1"/>
  <c r="BV636" i="51055"/>
  <c r="W92" i="51061"/>
  <c r="BR35" i="51055"/>
  <c r="U11" i="51061" s="1"/>
  <c r="T11"/>
  <c r="BR701" i="51055"/>
  <c r="U101" i="51061" s="1"/>
  <c r="T101"/>
  <c r="BV641" i="51055"/>
  <c r="W94" i="51061"/>
  <c r="BV134" i="51055"/>
  <c r="W23" i="51061"/>
  <c r="BV27" i="51055"/>
  <c r="CC285"/>
  <c r="AC46" i="51061" s="1"/>
  <c r="X46"/>
  <c r="AH46" s="1"/>
  <c r="CD285" i="51055"/>
  <c r="AD46" i="51061" s="1"/>
  <c r="BS126" i="51055"/>
  <c r="BP126"/>
  <c r="S22" i="51061"/>
  <c r="AF22" s="1"/>
  <c r="BV234" i="51055"/>
  <c r="W40" i="51061"/>
  <c r="S100"/>
  <c r="BP690" i="51055"/>
  <c r="S53" i="51061"/>
  <c r="BP345" i="51055"/>
  <c r="S14" i="51061"/>
  <c r="AF14" s="1"/>
  <c r="BP58" i="51055"/>
  <c r="BL401"/>
  <c r="AX401"/>
  <c r="BU219"/>
  <c r="V38" i="51061"/>
  <c r="AX742" i="51055"/>
  <c r="T99" i="51061"/>
  <c r="U54"/>
  <c r="T109"/>
  <c r="U70"/>
  <c r="U41"/>
  <c r="BV219" i="51055" l="1"/>
  <c r="W38" i="51061"/>
  <c r="BP401" i="51055"/>
  <c r="S61" i="51061"/>
  <c r="BR58" i="51055"/>
  <c r="U14" i="51061" s="1"/>
  <c r="T14"/>
  <c r="T53"/>
  <c r="T55" s="1"/>
  <c r="BR345" i="51055"/>
  <c r="U53" i="51061" s="1"/>
  <c r="U55" s="1"/>
  <c r="CC735" i="51055"/>
  <c r="AC108" i="51061" s="1"/>
  <c r="CD735" i="51055"/>
  <c r="AD108" i="51061" s="1"/>
  <c r="X108"/>
  <c r="AH108" s="1"/>
  <c r="CC653" i="51055"/>
  <c r="AC95" i="51061" s="1"/>
  <c r="CD653" i="51055"/>
  <c r="AD95" i="51061" s="1"/>
  <c r="X95"/>
  <c r="AH95" s="1"/>
  <c r="BV113" i="51055"/>
  <c r="W20" i="51061"/>
  <c r="BV740" i="51055"/>
  <c r="W110" i="51061"/>
  <c r="W111" s="1"/>
  <c r="BV707" i="51055"/>
  <c r="W102" i="51061"/>
  <c r="BV196" i="51055"/>
  <c r="W34" i="51061"/>
  <c r="BV73" i="51055"/>
  <c r="W15" i="51061"/>
  <c r="BV486" i="51055"/>
  <c r="W73" i="51061"/>
  <c r="BV569" i="51055"/>
  <c r="W84" i="51061"/>
  <c r="W87" s="1"/>
  <c r="BV360" i="51055"/>
  <c r="W56" i="51061"/>
  <c r="BV21" i="51055"/>
  <c r="W9" i="51061"/>
  <c r="BP742" i="51055"/>
  <c r="T8" i="51061"/>
  <c r="BR12" i="51055"/>
  <c r="S18" i="51061"/>
  <c r="AF18" s="1"/>
  <c r="AF8"/>
  <c r="BV527" i="51055"/>
  <c r="W79" i="51061"/>
  <c r="CD453" i="51055"/>
  <c r="CC453"/>
  <c r="AH82" i="51061"/>
  <c r="BR463" i="51055"/>
  <c r="U71" i="51061" s="1"/>
  <c r="T71"/>
  <c r="T75" s="1"/>
  <c r="AH104"/>
  <c r="X105"/>
  <c r="AH105" s="1"/>
  <c r="I18" i="51059"/>
  <c r="BR30" i="51055"/>
  <c r="U10" i="51061" s="1"/>
  <c r="T10"/>
  <c r="AF21"/>
  <c r="S25"/>
  <c r="AF25" s="1"/>
  <c r="BR121" i="51055"/>
  <c r="U21" i="51061" s="1"/>
  <c r="T21"/>
  <c r="BR305" i="51055"/>
  <c r="U48" i="51061" s="1"/>
  <c r="U49" s="1"/>
  <c r="T48"/>
  <c r="T49" s="1"/>
  <c r="BR44" i="51055"/>
  <c r="U12" i="51061" s="1"/>
  <c r="T12"/>
  <c r="CC519" i="51055"/>
  <c r="AC78" i="51061" s="1"/>
  <c r="X78"/>
  <c r="AH78" s="1"/>
  <c r="CD519" i="51055"/>
  <c r="AD78" i="51061" s="1"/>
  <c r="CC353" i="51055"/>
  <c r="AC54" i="51061" s="1"/>
  <c r="X54"/>
  <c r="AH54" s="1"/>
  <c r="CD353" i="51055"/>
  <c r="AD54" i="51061" s="1"/>
  <c r="BR57" i="51055"/>
  <c r="U13" i="51061" s="1"/>
  <c r="T13"/>
  <c r="BV240" i="51055"/>
  <c r="W41" i="51061"/>
  <c r="BV432" i="51055"/>
  <c r="W68" i="51061"/>
  <c r="BV660" i="51055"/>
  <c r="W96" i="51061"/>
  <c r="W99" s="1"/>
  <c r="BV450" i="51055"/>
  <c r="W70" i="51061"/>
  <c r="BV151" i="51055"/>
  <c r="W27" i="51061"/>
  <c r="BV297" i="51055"/>
  <c r="W48" i="51061"/>
  <c r="BV324" i="51055"/>
  <c r="W50" i="51061"/>
  <c r="BV248" i="51055"/>
  <c r="W43" i="51061"/>
  <c r="BV615" i="51055"/>
  <c r="W89" i="51061"/>
  <c r="BU185" i="51055"/>
  <c r="V30" i="51061"/>
  <c r="V33" s="1"/>
  <c r="BV94" i="51055"/>
  <c r="W17" i="51061"/>
  <c r="BV224" i="51055"/>
  <c r="W39" i="51061"/>
  <c r="BV495" i="51055"/>
  <c r="W76" i="51061"/>
  <c r="W81" s="1"/>
  <c r="BV192" i="51055"/>
  <c r="W32" i="51061"/>
  <c r="T42"/>
  <c r="U60"/>
  <c r="BS44" i="51055"/>
  <c r="U93" i="51061"/>
  <c r="AF53"/>
  <c r="S55"/>
  <c r="AF55" s="1"/>
  <c r="T100"/>
  <c r="T103" s="1"/>
  <c r="BR690" i="51055"/>
  <c r="U100" i="51061" s="1"/>
  <c r="U103" s="1"/>
  <c r="BU126" i="51055"/>
  <c r="V22" i="51061"/>
  <c r="S103"/>
  <c r="AF103" s="1"/>
  <c r="AF100"/>
  <c r="CC234" i="51055"/>
  <c r="AC40" i="51061" s="1"/>
  <c r="CD234" i="51055"/>
  <c r="AD40" i="51061" s="1"/>
  <c r="X40"/>
  <c r="AH40" s="1"/>
  <c r="BR126" i="51055"/>
  <c r="U22" i="51061" s="1"/>
  <c r="T22"/>
  <c r="CC27" i="51055"/>
  <c r="CD27"/>
  <c r="CC134"/>
  <c r="AC23" i="51061" s="1"/>
  <c r="CD134" i="51055"/>
  <c r="AD23" i="51061" s="1"/>
  <c r="X23"/>
  <c r="AH23" s="1"/>
  <c r="CC641" i="51055"/>
  <c r="AC94" i="51061" s="1"/>
  <c r="CD641" i="51055"/>
  <c r="AD94" i="51061" s="1"/>
  <c r="X94"/>
  <c r="CC636" i="51055"/>
  <c r="AC92" i="51061" s="1"/>
  <c r="CD636" i="51055"/>
  <c r="AD92" i="51061" s="1"/>
  <c r="X92"/>
  <c r="AH92" s="1"/>
  <c r="BV177" i="51055"/>
  <c r="W31" i="51061"/>
  <c r="AH67"/>
  <c r="BU610" i="51055"/>
  <c r="V88" i="51061"/>
  <c r="V93" s="1"/>
  <c r="CC560" i="51055"/>
  <c r="AC83" i="51061" s="1"/>
  <c r="CD560" i="51055"/>
  <c r="AD83" i="51061" s="1"/>
  <c r="X83"/>
  <c r="AH83" s="1"/>
  <c r="CC418" i="51055"/>
  <c r="AC64" i="51061" s="1"/>
  <c r="CD418" i="51055"/>
  <c r="AD64" i="51061" s="1"/>
  <c r="X64"/>
  <c r="AH64" s="1"/>
  <c r="CC340" i="51055"/>
  <c r="AC52" i="51061" s="1"/>
  <c r="CD340" i="51055"/>
  <c r="AD52" i="51061" s="1"/>
  <c r="X52"/>
  <c r="AH52" s="1"/>
  <c r="CC511" i="51055"/>
  <c r="AC77" i="51061" s="1"/>
  <c r="X77"/>
  <c r="AH77" s="1"/>
  <c r="CD511" i="51055"/>
  <c r="AD77" i="51061" s="1"/>
  <c r="CC157" i="51055"/>
  <c r="AC28" i="51061" s="1"/>
  <c r="CD157" i="51055"/>
  <c r="AD28" i="51061" s="1"/>
  <c r="X28"/>
  <c r="AH28" s="1"/>
  <c r="CC440" i="51055"/>
  <c r="AC69" i="51061" s="1"/>
  <c r="CD440" i="51055"/>
  <c r="AD69" i="51061" s="1"/>
  <c r="X69"/>
  <c r="AH69" s="1"/>
  <c r="CC52" i="51055"/>
  <c r="CD52"/>
  <c r="CC473"/>
  <c r="AC72" i="51061" s="1"/>
  <c r="CD473" i="51055"/>
  <c r="AD72" i="51061" s="1"/>
  <c r="X72"/>
  <c r="AH72" s="1"/>
  <c r="CC202" i="51055"/>
  <c r="AC36" i="51061" s="1"/>
  <c r="X36"/>
  <c r="AH36" s="1"/>
  <c r="CD202" i="51055"/>
  <c r="AD36" i="51061" s="1"/>
  <c r="CC580" i="51055"/>
  <c r="AC85" i="51061" s="1"/>
  <c r="X85"/>
  <c r="AH85" s="1"/>
  <c r="CD580" i="51055"/>
  <c r="AD85" i="51061" s="1"/>
  <c r="AF71"/>
  <c r="S75"/>
  <c r="AF75" s="1"/>
  <c r="BV626" i="51055"/>
  <c r="W91" i="51061"/>
  <c r="CC409" i="51055"/>
  <c r="AC63" i="51061" s="1"/>
  <c r="X63"/>
  <c r="AH63" s="1"/>
  <c r="CD409" i="51055"/>
  <c r="AD63" i="51061" s="1"/>
  <c r="CC415" i="51055"/>
  <c r="AC65" i="51061" s="1"/>
  <c r="CD415" i="51055"/>
  <c r="AD65" i="51061" s="1"/>
  <c r="X65"/>
  <c r="AH65" s="1"/>
  <c r="BU30" i="51055"/>
  <c r="V10" i="51061"/>
  <c r="BU121" i="51055"/>
  <c r="V21" i="51061"/>
  <c r="V25" s="1"/>
  <c r="CC394" i="51055"/>
  <c r="CD394"/>
  <c r="CC595"/>
  <c r="AC86" i="51061" s="1"/>
  <c r="CD595" i="51055"/>
  <c r="AD86" i="51061" s="1"/>
  <c r="X86"/>
  <c r="AH86" s="1"/>
  <c r="CC120" i="51055"/>
  <c r="CD120"/>
  <c r="BR185"/>
  <c r="U30" i="51061" s="1"/>
  <c r="T30"/>
  <c r="T33" s="1"/>
  <c r="CC100" i="51055"/>
  <c r="AC19" i="51061" s="1"/>
  <c r="X19"/>
  <c r="CD100" i="51055"/>
  <c r="AD19" i="51061" s="1"/>
  <c r="CC682" i="51055"/>
  <c r="AC98" i="51061" s="1"/>
  <c r="CD682" i="51055"/>
  <c r="AD98" i="51061" s="1"/>
  <c r="X98"/>
  <c r="AH98" s="1"/>
  <c r="BV334" i="51055"/>
  <c r="W51" i="51061"/>
  <c r="BV402" i="51055"/>
  <c r="W62" i="51061"/>
  <c r="BV138" i="51055"/>
  <c r="W24" i="51061"/>
  <c r="BV727" i="51055"/>
  <c r="W106" i="51061"/>
  <c r="W109" s="1"/>
  <c r="BV701" i="51055"/>
  <c r="W101" i="51061"/>
  <c r="BV35" i="51055"/>
  <c r="W11" i="51061"/>
  <c r="BV365" i="51055"/>
  <c r="W57" i="51061"/>
  <c r="BV87" i="51055"/>
  <c r="W16" i="51061"/>
  <c r="BV143" i="51055"/>
  <c r="W26" i="51061"/>
  <c r="BV316" i="51055"/>
  <c r="W47" i="51061"/>
  <c r="U75"/>
  <c r="BS58" i="51055"/>
  <c r="BS345"/>
  <c r="BS690"/>
  <c r="V42" i="51061"/>
  <c r="U33"/>
  <c r="BL742" i="51055"/>
  <c r="BS12"/>
  <c r="BS463"/>
  <c r="U42" i="51061"/>
  <c r="T60"/>
  <c r="BV305" i="51055"/>
  <c r="BS57"/>
  <c r="V70" i="51061"/>
  <c r="V48"/>
  <c r="V49" s="1"/>
  <c r="T93"/>
  <c r="V81"/>
  <c r="BU57" i="51055" l="1"/>
  <c r="V13" i="51061"/>
  <c r="AH19"/>
  <c r="BV121" i="51055"/>
  <c r="W21" i="51061"/>
  <c r="BV30" i="51055"/>
  <c r="W10" i="51061"/>
  <c r="CC626" i="51055"/>
  <c r="AC91" i="51061" s="1"/>
  <c r="X91"/>
  <c r="AH91" s="1"/>
  <c r="CD626" i="51055"/>
  <c r="AD91" i="51061" s="1"/>
  <c r="BV610" i="51055"/>
  <c r="W88" i="51061"/>
  <c r="W93" s="1"/>
  <c r="BV126" i="51055"/>
  <c r="W22" i="51061"/>
  <c r="BU44" i="51055"/>
  <c r="V12" i="51061"/>
  <c r="K18" i="51059"/>
  <c r="L18" s="1"/>
  <c r="J18"/>
  <c r="U8" i="51061"/>
  <c r="CC21" i="51055"/>
  <c r="AC9" i="51061" s="1"/>
  <c r="CD21" i="51055"/>
  <c r="AD9" i="51061" s="1"/>
  <c r="X9"/>
  <c r="AH9" s="1"/>
  <c r="CC360" i="51055"/>
  <c r="AC56" i="51061" s="1"/>
  <c r="CD360" i="51055"/>
  <c r="AD56" i="51061" s="1"/>
  <c r="X56"/>
  <c r="CC569" i="51055"/>
  <c r="AC84" i="51061" s="1"/>
  <c r="AC87" s="1"/>
  <c r="CD569" i="51055"/>
  <c r="AD84" i="51061" s="1"/>
  <c r="AD87" s="1"/>
  <c r="X84"/>
  <c r="AH84" s="1"/>
  <c r="CC486" i="51055"/>
  <c r="AC73" i="51061" s="1"/>
  <c r="CD486" i="51055"/>
  <c r="AD73" i="51061" s="1"/>
  <c r="X73"/>
  <c r="AH73" s="1"/>
  <c r="CC73" i="51055"/>
  <c r="AC15" i="51061" s="1"/>
  <c r="CD73" i="51055"/>
  <c r="AD15" i="51061" s="1"/>
  <c r="X15"/>
  <c r="AH15" s="1"/>
  <c r="CC196" i="51055"/>
  <c r="AC34" i="51061" s="1"/>
  <c r="CD196" i="51055"/>
  <c r="AD34" i="51061" s="1"/>
  <c r="X34"/>
  <c r="CC707" i="51055"/>
  <c r="AC102" i="51061" s="1"/>
  <c r="CD707" i="51055"/>
  <c r="AD102" i="51061" s="1"/>
  <c r="X102"/>
  <c r="AH102" s="1"/>
  <c r="CC740" i="51055"/>
  <c r="AC110" i="51061" s="1"/>
  <c r="AC111" s="1"/>
  <c r="X110"/>
  <c r="CD740" i="51055"/>
  <c r="AD110" i="51061" s="1"/>
  <c r="AD111" s="1"/>
  <c r="CC113" i="51055"/>
  <c r="AC20" i="51061" s="1"/>
  <c r="X20"/>
  <c r="AH20" s="1"/>
  <c r="CD113" i="51055"/>
  <c r="AD20" i="51061" s="1"/>
  <c r="BR401" i="51055"/>
  <c r="U61" i="51061" s="1"/>
  <c r="U66" s="1"/>
  <c r="T61"/>
  <c r="T66" s="1"/>
  <c r="W49"/>
  <c r="T25"/>
  <c r="X87"/>
  <c r="AH87" s="1"/>
  <c r="BU690" i="51055"/>
  <c r="V100" i="51061"/>
  <c r="V103" s="1"/>
  <c r="BU58" i="51055"/>
  <c r="V14" i="51061"/>
  <c r="CC305" i="51055"/>
  <c r="CD305"/>
  <c r="BU463"/>
  <c r="V71" i="51061"/>
  <c r="BU12" i="51055"/>
  <c r="V8" i="51061"/>
  <c r="BU345" i="51055"/>
  <c r="V53" i="51061"/>
  <c r="V55" s="1"/>
  <c r="CC316" i="51055"/>
  <c r="AC47" i="51061" s="1"/>
  <c r="X47"/>
  <c r="AH47" s="1"/>
  <c r="CD316" i="51055"/>
  <c r="AD47" i="51061" s="1"/>
  <c r="CC143" i="51055"/>
  <c r="AC26" i="51061" s="1"/>
  <c r="CD143" i="51055"/>
  <c r="AD26" i="51061" s="1"/>
  <c r="X26"/>
  <c r="CC87" i="51055"/>
  <c r="AC16" i="51061" s="1"/>
  <c r="CD87" i="51055"/>
  <c r="AD16" i="51061" s="1"/>
  <c r="X16"/>
  <c r="AH16" s="1"/>
  <c r="CC365" i="51055"/>
  <c r="AC57" i="51061" s="1"/>
  <c r="CD365" i="51055"/>
  <c r="AD57" i="51061" s="1"/>
  <c r="X57"/>
  <c r="AH57" s="1"/>
  <c r="CC35" i="51055"/>
  <c r="AC11" i="51061" s="1"/>
  <c r="CD35" i="51055"/>
  <c r="AD11" i="51061" s="1"/>
  <c r="X11"/>
  <c r="AH11" s="1"/>
  <c r="CC701" i="51055"/>
  <c r="AC101" i="51061" s="1"/>
  <c r="X101"/>
  <c r="AH101" s="1"/>
  <c r="CD701" i="51055"/>
  <c r="AD101" i="51061" s="1"/>
  <c r="CD727" i="51055"/>
  <c r="AD106" i="51061" s="1"/>
  <c r="AD109" s="1"/>
  <c r="CC727" i="51055"/>
  <c r="AC106" i="51061" s="1"/>
  <c r="AC109" s="1"/>
  <c r="X106"/>
  <c r="CC138" i="51055"/>
  <c r="AC24" i="51061" s="1"/>
  <c r="X24"/>
  <c r="AH24" s="1"/>
  <c r="CD138" i="51055"/>
  <c r="AD24" i="51061" s="1"/>
  <c r="CC402" i="51055"/>
  <c r="AC62" i="51061" s="1"/>
  <c r="CD402" i="51055"/>
  <c r="AD62" i="51061" s="1"/>
  <c r="X62"/>
  <c r="AH62" s="1"/>
  <c r="CC334" i="51055"/>
  <c r="AC51" i="51061" s="1"/>
  <c r="CD334" i="51055"/>
  <c r="AD51" i="51061" s="1"/>
  <c r="X51"/>
  <c r="AH51" s="1"/>
  <c r="CC177" i="51055"/>
  <c r="AC31" i="51061" s="1"/>
  <c r="CD177" i="51055"/>
  <c r="AD31" i="51061" s="1"/>
  <c r="X31"/>
  <c r="AH31" s="1"/>
  <c r="AH94"/>
  <c r="CC192" i="51055"/>
  <c r="AC32" i="51061" s="1"/>
  <c r="CD192" i="51055"/>
  <c r="AD32" i="51061" s="1"/>
  <c r="X32"/>
  <c r="AH32" s="1"/>
  <c r="CC495" i="51055"/>
  <c r="AC76" i="51061" s="1"/>
  <c r="CD495" i="51055"/>
  <c r="AD76" i="51061" s="1"/>
  <c r="X76"/>
  <c r="CC224" i="51055"/>
  <c r="AC39" i="51061" s="1"/>
  <c r="CD224" i="51055"/>
  <c r="AD39" i="51061" s="1"/>
  <c r="X39"/>
  <c r="AH39" s="1"/>
  <c r="CC94" i="51055"/>
  <c r="AC17" i="51061" s="1"/>
  <c r="CD94" i="51055"/>
  <c r="AD17" i="51061" s="1"/>
  <c r="X17"/>
  <c r="AH17" s="1"/>
  <c r="BV185" i="51055"/>
  <c r="W30" i="51061"/>
  <c r="CC615" i="51055"/>
  <c r="AC89" i="51061" s="1"/>
  <c r="CD615" i="51055"/>
  <c r="AD89" i="51061" s="1"/>
  <c r="X89"/>
  <c r="AH89" s="1"/>
  <c r="CC248" i="51055"/>
  <c r="AC43" i="51061" s="1"/>
  <c r="CD248" i="51055"/>
  <c r="AD43" i="51061" s="1"/>
  <c r="X43"/>
  <c r="CC324" i="51055"/>
  <c r="AC50" i="51061" s="1"/>
  <c r="CD324" i="51055"/>
  <c r="AD50" i="51061" s="1"/>
  <c r="X50"/>
  <c r="CC297" i="51055"/>
  <c r="AC48" i="51061" s="1"/>
  <c r="X48"/>
  <c r="AH48" s="1"/>
  <c r="CD297" i="51055"/>
  <c r="AD48" i="51061" s="1"/>
  <c r="CC151" i="51055"/>
  <c r="AC27" i="51061" s="1"/>
  <c r="CD151" i="51055"/>
  <c r="AD27" i="51061" s="1"/>
  <c r="X27"/>
  <c r="AH27" s="1"/>
  <c r="CC450" i="51055"/>
  <c r="AC70" i="51061" s="1"/>
  <c r="CD450" i="51055"/>
  <c r="AD70" i="51061" s="1"/>
  <c r="X70"/>
  <c r="AH70" s="1"/>
  <c r="CC660" i="51055"/>
  <c r="AC96" i="51061" s="1"/>
  <c r="CD660" i="51055"/>
  <c r="AD96" i="51061" s="1"/>
  <c r="AD99" s="1"/>
  <c r="X96"/>
  <c r="AH96" s="1"/>
  <c r="CC432" i="51055"/>
  <c r="AC68" i="51061" s="1"/>
  <c r="CD432" i="51055"/>
  <c r="AD68" i="51061" s="1"/>
  <c r="X68"/>
  <c r="CC240" i="51055"/>
  <c r="AC41" i="51061" s="1"/>
  <c r="CD240" i="51055"/>
  <c r="AD41" i="51061" s="1"/>
  <c r="X41"/>
  <c r="AH41" s="1"/>
  <c r="CC527" i="51055"/>
  <c r="AC79" i="51061" s="1"/>
  <c r="X79"/>
  <c r="AH79" s="1"/>
  <c r="CD527" i="51055"/>
  <c r="AD79" i="51061" s="1"/>
  <c r="T18"/>
  <c r="T114" s="1"/>
  <c r="T112"/>
  <c r="S66"/>
  <c r="AF66" s="1"/>
  <c r="AF61"/>
  <c r="CC219" i="51055"/>
  <c r="AC38" i="51061" s="1"/>
  <c r="X38"/>
  <c r="AH38" s="1"/>
  <c r="CD219" i="51055"/>
  <c r="AD38" i="51061" s="1"/>
  <c r="W33"/>
  <c r="V75"/>
  <c r="AC99"/>
  <c r="U25"/>
  <c r="I14" i="51059"/>
  <c r="W60" i="51061"/>
  <c r="W42"/>
  <c r="BS401" i="51055"/>
  <c r="AD49" i="51061" l="1"/>
  <c r="BU401" i="51055"/>
  <c r="V61" i="51061"/>
  <c r="V66" s="1"/>
  <c r="AH50"/>
  <c r="CD185" i="51055"/>
  <c r="AD30" i="51061" s="1"/>
  <c r="CC185" i="51055"/>
  <c r="AC30" i="51061" s="1"/>
  <c r="X30"/>
  <c r="AH30" s="1"/>
  <c r="X109"/>
  <c r="AH109" s="1"/>
  <c r="I19" i="51059"/>
  <c r="AH106" i="51061"/>
  <c r="BV345" i="51055"/>
  <c r="W53" i="51061"/>
  <c r="W55" s="1"/>
  <c r="V114"/>
  <c r="V18"/>
  <c r="V112"/>
  <c r="X42"/>
  <c r="AH42" s="1"/>
  <c r="AH34"/>
  <c r="I7" i="51059"/>
  <c r="AH56" i="51061"/>
  <c r="X60"/>
  <c r="AH60" s="1"/>
  <c r="I10" i="51059"/>
  <c r="U18" i="51061"/>
  <c r="U112" s="1"/>
  <c r="CC30" i="51055"/>
  <c r="AC10" i="51061" s="1"/>
  <c r="CD30" i="51055"/>
  <c r="AD10" i="51061" s="1"/>
  <c r="X10"/>
  <c r="AH10" s="1"/>
  <c r="CC121" i="51055"/>
  <c r="AC21" i="51061" s="1"/>
  <c r="CD121" i="51055"/>
  <c r="AD21" i="51061" s="1"/>
  <c r="X21"/>
  <c r="AH21" s="1"/>
  <c r="AD81"/>
  <c r="I16" i="51059"/>
  <c r="AD33" i="51061"/>
  <c r="S112"/>
  <c r="AF112" s="1"/>
  <c r="AC42"/>
  <c r="AC60"/>
  <c r="J14" i="51059"/>
  <c r="K14"/>
  <c r="L14" s="1"/>
  <c r="AH68" i="51061"/>
  <c r="I8" i="51059"/>
  <c r="X49" i="51061"/>
  <c r="AH49" s="1"/>
  <c r="AH43"/>
  <c r="X81"/>
  <c r="AH81" s="1"/>
  <c r="I13" i="51059"/>
  <c r="AH76" i="51061"/>
  <c r="X33"/>
  <c r="AH33" s="1"/>
  <c r="AH26"/>
  <c r="I6" i="51059"/>
  <c r="BV12" i="51055"/>
  <c r="W8" i="51061"/>
  <c r="BU742" i="51055"/>
  <c r="BV463"/>
  <c r="W71" i="51061"/>
  <c r="W75" s="1"/>
  <c r="BV58" i="51055"/>
  <c r="W14" i="51061"/>
  <c r="BV690" i="51055"/>
  <c r="W100" i="51061"/>
  <c r="W103" s="1"/>
  <c r="X111"/>
  <c r="AH111" s="1"/>
  <c r="I20" i="51059"/>
  <c r="AH110" i="51061"/>
  <c r="BV44" i="51055"/>
  <c r="W12" i="51061"/>
  <c r="CC126" i="51055"/>
  <c r="AC22" i="51061" s="1"/>
  <c r="CD126" i="51055"/>
  <c r="AD22" i="51061" s="1"/>
  <c r="X22"/>
  <c r="AH22" s="1"/>
  <c r="CC610" i="51055"/>
  <c r="AC88" i="51061" s="1"/>
  <c r="AC93" s="1"/>
  <c r="CD610" i="51055"/>
  <c r="AD88" i="51061" s="1"/>
  <c r="AD93" s="1"/>
  <c r="X88"/>
  <c r="BV57" i="51055"/>
  <c r="W13" i="51061"/>
  <c r="AC49"/>
  <c r="AC81"/>
  <c r="X99"/>
  <c r="AH99" s="1"/>
  <c r="AC33"/>
  <c r="BS742" i="51055"/>
  <c r="S114" i="51061"/>
  <c r="AD42"/>
  <c r="AD60"/>
  <c r="BR742" i="51055"/>
  <c r="W25" i="51061"/>
  <c r="I5" i="51059"/>
  <c r="X25" i="51061"/>
  <c r="AH25" s="1"/>
  <c r="U114" l="1"/>
  <c r="AH88"/>
  <c r="X93"/>
  <c r="AH93" s="1"/>
  <c r="I15" i="51059"/>
  <c r="CC690" i="51055"/>
  <c r="AC100" i="51061" s="1"/>
  <c r="AC103" s="1"/>
  <c r="CD690" i="51055"/>
  <c r="AD100" i="51061" s="1"/>
  <c r="AD103" s="1"/>
  <c r="X100"/>
  <c r="CC58" i="51055"/>
  <c r="AC14" i="51061" s="1"/>
  <c r="CD58" i="51055"/>
  <c r="AD14" i="51061" s="1"/>
  <c r="X14"/>
  <c r="AH14" s="1"/>
  <c r="CC463" i="51055"/>
  <c r="AC71" i="51061" s="1"/>
  <c r="AC75" s="1"/>
  <c r="CD463" i="51055"/>
  <c r="AD71" i="51061" s="1"/>
  <c r="AD75" s="1"/>
  <c r="X71"/>
  <c r="W18"/>
  <c r="K6" i="51059"/>
  <c r="L6" s="1"/>
  <c r="J6"/>
  <c r="K13"/>
  <c r="L13" s="1"/>
  <c r="J13"/>
  <c r="K8"/>
  <c r="L8" s="1"/>
  <c r="J8"/>
  <c r="K16"/>
  <c r="L16" s="1"/>
  <c r="J16"/>
  <c r="K7"/>
  <c r="L7" s="1"/>
  <c r="J7"/>
  <c r="BV401" i="51055"/>
  <c r="W61" i="51061"/>
  <c r="W66" s="1"/>
  <c r="AC25"/>
  <c r="J5" i="51059"/>
  <c r="K5"/>
  <c r="L5" s="1"/>
  <c r="CC57" i="51055"/>
  <c r="AC13" i="51061" s="1"/>
  <c r="CD57" i="51055"/>
  <c r="AD13" i="51061" s="1"/>
  <c r="X13"/>
  <c r="AH13" s="1"/>
  <c r="CC44" i="51055"/>
  <c r="AC12" i="51061" s="1"/>
  <c r="CD44" i="51055"/>
  <c r="AD12" i="51061" s="1"/>
  <c r="X12"/>
  <c r="AH12" s="1"/>
  <c r="K20" i="51059"/>
  <c r="L20" s="1"/>
  <c r="J20"/>
  <c r="CC12" i="51055"/>
  <c r="CD12"/>
  <c r="X8" i="51061"/>
  <c r="BV742" i="51055"/>
  <c r="N746" s="1"/>
  <c r="D98" i="51059" s="1"/>
  <c r="E65"/>
  <c r="E66"/>
  <c r="E64"/>
  <c r="E70"/>
  <c r="E74"/>
  <c r="E69"/>
  <c r="E79"/>
  <c r="E72"/>
  <c r="E78"/>
  <c r="E76"/>
  <c r="E67"/>
  <c r="E68"/>
  <c r="E75"/>
  <c r="E73"/>
  <c r="E71"/>
  <c r="E77"/>
  <c r="K10"/>
  <c r="L10" s="1"/>
  <c r="J10"/>
  <c r="CC345" i="51055"/>
  <c r="AC53" i="51061" s="1"/>
  <c r="AC55" s="1"/>
  <c r="CD345" i="51055"/>
  <c r="AD53" i="51061" s="1"/>
  <c r="AD55" s="1"/>
  <c r="X53"/>
  <c r="K19" i="51059"/>
  <c r="L19" s="1"/>
  <c r="J19"/>
  <c r="AD25" i="51061"/>
  <c r="W112" l="1"/>
  <c r="AH8"/>
  <c r="X18"/>
  <c r="AH18" s="1"/>
  <c r="I4" i="51059"/>
  <c r="AC8" i="51061"/>
  <c r="K15" i="51059"/>
  <c r="L15" s="1"/>
  <c r="J15"/>
  <c r="W114" i="51061"/>
  <c r="AH53"/>
  <c r="X55"/>
  <c r="AH55" s="1"/>
  <c r="I9" i="51059"/>
  <c r="AD8" i="51061"/>
  <c r="CC401" i="51055"/>
  <c r="AC61" i="51061" s="1"/>
  <c r="AC66" s="1"/>
  <c r="CD401" i="51055"/>
  <c r="AD61" i="51061" s="1"/>
  <c r="AD66" s="1"/>
  <c r="X61"/>
  <c r="AH71"/>
  <c r="X75"/>
  <c r="AH75" s="1"/>
  <c r="I12" i="51059"/>
  <c r="AH100" i="51061"/>
  <c r="X103"/>
  <c r="AH103" s="1"/>
  <c r="I17" i="51059"/>
  <c r="J9" l="1"/>
  <c r="K9"/>
  <c r="L9" s="1"/>
  <c r="AC18" i="51061"/>
  <c r="AC112" s="1"/>
  <c r="K4" i="51059"/>
  <c r="L4" s="1"/>
  <c r="J4"/>
  <c r="CD742" i="51055"/>
  <c r="N751" s="1"/>
  <c r="D102" i="51059" s="1"/>
  <c r="K12"/>
  <c r="L12" s="1"/>
  <c r="J12"/>
  <c r="K17"/>
  <c r="L17" s="1"/>
  <c r="J17"/>
  <c r="X66" i="51061"/>
  <c r="AH66" s="1"/>
  <c r="I11" i="51059"/>
  <c r="I22" s="1"/>
  <c r="K22" s="1"/>
  <c r="L22" s="1"/>
  <c r="AH61" i="51061"/>
  <c r="AD18"/>
  <c r="AD112" s="1"/>
  <c r="CC742" i="51055"/>
  <c r="N752" s="1"/>
  <c r="X114" i="51061"/>
  <c r="AH114" s="1"/>
  <c r="B1" i="101" l="1"/>
  <c r="D103" i="51059"/>
  <c r="B8" i="101"/>
  <c r="AD114" i="51061"/>
  <c r="AC114"/>
  <c r="K11" i="51059"/>
  <c r="L11" s="1"/>
  <c r="J11"/>
  <c r="X112" i="51061"/>
  <c r="AH112" s="1"/>
  <c r="C8" i="101" l="1"/>
  <c r="C1"/>
  <c r="N9" l="1"/>
  <c r="L9"/>
  <c r="E9"/>
  <c r="D9"/>
  <c r="I9"/>
  <c r="J9"/>
  <c r="O9"/>
  <c r="O11" s="1"/>
  <c r="K9"/>
  <c r="M9"/>
  <c r="F9"/>
  <c r="H9"/>
  <c r="G9"/>
  <c r="O2"/>
  <c r="O4" s="1"/>
  <c r="G2"/>
  <c r="J2"/>
  <c r="L2"/>
  <c r="D2"/>
  <c r="E2"/>
  <c r="M2"/>
  <c r="N2"/>
  <c r="H2"/>
  <c r="I2"/>
  <c r="K2"/>
  <c r="F2"/>
  <c r="K4" l="1"/>
  <c r="K5"/>
  <c r="N12"/>
  <c r="N11"/>
  <c r="H4"/>
  <c r="H5"/>
  <c r="M3"/>
  <c r="N3"/>
  <c r="O3"/>
  <c r="M5"/>
  <c r="M4"/>
  <c r="D4"/>
  <c r="F3"/>
  <c r="E3"/>
  <c r="D5"/>
  <c r="D3"/>
  <c r="J5"/>
  <c r="K3"/>
  <c r="L3"/>
  <c r="J3"/>
  <c r="J4"/>
  <c r="H12"/>
  <c r="H11"/>
  <c r="M11"/>
  <c r="O10"/>
  <c r="N10"/>
  <c r="M10"/>
  <c r="M12"/>
  <c r="I11"/>
  <c r="E12"/>
  <c r="E11"/>
  <c r="F4"/>
  <c r="F5"/>
  <c r="I4"/>
  <c r="N5"/>
  <c r="N4"/>
  <c r="E5"/>
  <c r="E4"/>
  <c r="L5"/>
  <c r="L4"/>
  <c r="G4"/>
  <c r="I3"/>
  <c r="I5" s="1"/>
  <c r="H3"/>
  <c r="G3"/>
  <c r="G5"/>
  <c r="G12"/>
  <c r="G10"/>
  <c r="H10"/>
  <c r="G11"/>
  <c r="I10"/>
  <c r="I12" s="1"/>
  <c r="F11"/>
  <c r="K12"/>
  <c r="K11"/>
  <c r="J12"/>
  <c r="K10"/>
  <c r="J10"/>
  <c r="J11"/>
  <c r="L10"/>
  <c r="D12"/>
  <c r="D10"/>
  <c r="D11"/>
  <c r="E10"/>
  <c r="F10"/>
  <c r="F12" s="1"/>
  <c r="L11"/>
  <c r="L12"/>
  <c r="C13" l="1"/>
  <c r="C6"/>
  <c r="S752" i="51055" s="1"/>
  <c r="F103" i="51059" s="1"/>
</calcChain>
</file>

<file path=xl/comments1.xml><?xml version="1.0" encoding="utf-8"?>
<comments xmlns="http://schemas.openxmlformats.org/spreadsheetml/2006/main">
  <authors>
    <author>laptop</author>
    <author>User</author>
  </authors>
  <commentList>
    <comment ref="AX7" authorId="0">
      <text>
        <r>
          <rPr>
            <sz val="10"/>
            <color indexed="81"/>
            <rFont val="Arial"/>
            <family val="2"/>
          </rPr>
          <t>Những GV không hoàn thành định mức quy định so với số tiết giảng dạy và hoàn thành giảng dạy (Không tính NCKH thiếu)</t>
        </r>
      </text>
    </comment>
    <comment ref="BK7" authorId="0">
      <text>
        <r>
          <rPr>
            <b/>
            <sz val="10"/>
            <color indexed="81"/>
            <rFont val="Tahoma"/>
            <family val="2"/>
            <charset val="163"/>
          </rPr>
          <t>Công thức</t>
        </r>
        <r>
          <rPr>
            <sz val="10"/>
            <color indexed="81"/>
            <rFont val="Tahoma"/>
            <family val="2"/>
            <charset val="163"/>
          </rPr>
          <t xml:space="preserve">
= ((Tổng số giờ của CBGD không hoàn thành của Bộ môn/môn học)/ 
(Tổng số giờ của CBGD hoàn thành của Bộ môn/môn học)) x Số giờ hoàn thành của CBGD
Phần này không có NCKH (thiếu)</t>
        </r>
      </text>
    </comment>
    <comment ref="O8" authorId="0">
      <text>
        <r>
          <rPr>
            <sz val="11"/>
            <color indexed="81"/>
            <rFont val="Times New Roman"/>
            <family val="1"/>
            <charset val="163"/>
          </rPr>
          <t>Bao gồm HSL và PC thâm niên vượt khung (nếu có) lấy tại thời điểm tháng 7 năm trước (07/2019)</t>
        </r>
      </text>
    </comment>
    <comment ref="H11" authorId="0">
      <text>
        <r>
          <rPr>
            <sz val="11"/>
            <color indexed="81"/>
            <rFont val="Times New Roman"/>
            <family val="1"/>
            <charset val="163"/>
          </rPr>
          <t>Lọc theo đơn vị</t>
        </r>
      </text>
    </comment>
    <comment ref="I11" authorId="0">
      <text>
        <r>
          <rPr>
            <b/>
            <sz val="8"/>
            <color indexed="81"/>
            <rFont val="Tahoma"/>
            <family val="2"/>
          </rPr>
          <t>Lọc theo đơn vị</t>
        </r>
      </text>
    </comment>
    <comment ref="L11" authorId="0">
      <text>
        <r>
          <rPr>
            <sz val="10"/>
            <color indexed="81"/>
            <rFont val="Arial"/>
            <family val="2"/>
            <charset val="163"/>
          </rPr>
          <t>Lọc theo Bộ môn</t>
        </r>
      </text>
    </comment>
    <comment ref="AV153" authorId="1">
      <text>
        <r>
          <rPr>
            <b/>
            <sz val="9"/>
            <color indexed="81"/>
            <rFont val="Tahoma"/>
            <charset val="1"/>
          </rPr>
          <t>User:</t>
        </r>
        <r>
          <rPr>
            <sz val="9"/>
            <color indexed="81"/>
            <rFont val="Tahoma"/>
            <charset val="1"/>
          </rPr>
          <t xml:space="preserve">
Cắt 30 tiết hướng dẫn sang</t>
        </r>
      </text>
    </comment>
    <comment ref="AV195" authorId="1">
      <text>
        <r>
          <rPr>
            <b/>
            <sz val="9"/>
            <color indexed="81"/>
            <rFont val="Tahoma"/>
            <charset val="1"/>
          </rPr>
          <t>User:</t>
        </r>
        <r>
          <rPr>
            <sz val="9"/>
            <color indexed="81"/>
            <rFont val="Tahoma"/>
            <charset val="1"/>
          </rPr>
          <t xml:space="preserve">
Chuyển sang 65 tiết</t>
        </r>
      </text>
    </comment>
    <comment ref="BW200" authorId="1">
      <text>
        <r>
          <rPr>
            <b/>
            <sz val="9"/>
            <color indexed="81"/>
            <rFont val="Tahoma"/>
            <family val="2"/>
          </rPr>
          <t>Bổ sung miễn giảm 2 năm học trước</t>
        </r>
      </text>
    </comment>
    <comment ref="BW201" authorId="1">
      <text>
        <r>
          <rPr>
            <b/>
            <sz val="9"/>
            <color indexed="81"/>
            <rFont val="Tahoma"/>
            <family val="2"/>
          </rPr>
          <t>Bổ sung năm học 2013-2014</t>
        </r>
        <r>
          <rPr>
            <sz val="9"/>
            <color indexed="81"/>
            <rFont val="Tahoma"/>
            <family val="2"/>
          </rPr>
          <t xml:space="preserve">
</t>
        </r>
      </text>
    </comment>
    <comment ref="BW360" authorId="1">
      <text>
        <r>
          <rPr>
            <b/>
            <sz val="9"/>
            <color indexed="81"/>
            <rFont val="Tahoma"/>
            <family val="2"/>
          </rPr>
          <t>Bổ sung miễn giảm 2 năm học trước</t>
        </r>
        <r>
          <rPr>
            <sz val="9"/>
            <color indexed="81"/>
            <rFont val="Tahoma"/>
            <family val="2"/>
          </rPr>
          <t xml:space="preserve">
</t>
        </r>
      </text>
    </comment>
  </commentList>
</comments>
</file>

<file path=xl/sharedStrings.xml><?xml version="1.0" encoding="utf-8"?>
<sst xmlns="http://schemas.openxmlformats.org/spreadsheetml/2006/main" count="8178" uniqueCount="3206">
  <si>
    <t>NCS (01/2015-01/2019)
Con nhỏ (03/2017) (20%). 
Đi NN từ 06/2018</t>
  </si>
  <si>
    <t>Đi NN từ 02/2018</t>
  </si>
  <si>
    <t>Đi NN từ 01/2018</t>
  </si>
  <si>
    <t>Đi NN từ 04/2018</t>
  </si>
  <si>
    <t>K_PBTĐU</t>
  </si>
  <si>
    <t>Phó Bí thư Đảng ủy</t>
  </si>
  <si>
    <t>Gio_HT</t>
  </si>
  <si>
    <t>Trưởng Ban nữ công</t>
  </si>
  <si>
    <t>Thành</t>
  </si>
  <si>
    <t>Chu Tuấn</t>
  </si>
  <si>
    <t>Dương Thu</t>
  </si>
  <si>
    <t>Nguyệt</t>
  </si>
  <si>
    <t>Trần Bích</t>
  </si>
  <si>
    <t>Phương</t>
  </si>
  <si>
    <t>Sơn</t>
  </si>
  <si>
    <t>Bùi Quang</t>
  </si>
  <si>
    <t>Trần Nguyễn</t>
  </si>
  <si>
    <t>Hà</t>
  </si>
  <si>
    <t>Hà Viết</t>
  </si>
  <si>
    <t>Cường</t>
  </si>
  <si>
    <t>Nguyễn Đình</t>
  </si>
  <si>
    <t>Vũ Đình</t>
  </si>
  <si>
    <t>Chính</t>
  </si>
  <si>
    <t>Đinh Thái</t>
  </si>
  <si>
    <t>Hải</t>
  </si>
  <si>
    <t>Vũ Ngọc</t>
  </si>
  <si>
    <t>Thắng</t>
  </si>
  <si>
    <t>Bùi Thế</t>
  </si>
  <si>
    <t>Ninh Thị</t>
  </si>
  <si>
    <t>Phíp</t>
  </si>
  <si>
    <t>Huyên</t>
  </si>
  <si>
    <t>Nguyễn Thế</t>
  </si>
  <si>
    <t>Hùng</t>
  </si>
  <si>
    <t>Lộc</t>
  </si>
  <si>
    <t>Dương Thị Thu</t>
  </si>
  <si>
    <t>Hằng</t>
  </si>
  <si>
    <t>TËp sù chÝnh trÞ</t>
  </si>
  <si>
    <t>CT2</t>
  </si>
  <si>
    <t>GV chÝnh trÞ</t>
  </si>
  <si>
    <t>CT3</t>
  </si>
  <si>
    <t>KHDA1</t>
  </si>
  <si>
    <t>VSVA1</t>
  </si>
  <si>
    <t>TNNU1</t>
  </si>
  <si>
    <t>BQ</t>
  </si>
  <si>
    <t>QYHD</t>
  </si>
  <si>
    <t>SHUD2</t>
  </si>
  <si>
    <t>Lương Minh</t>
  </si>
  <si>
    <t>Nguyễn Tiến</t>
  </si>
  <si>
    <t>Phan Trọng</t>
  </si>
  <si>
    <t>Lê Thị Mai</t>
  </si>
  <si>
    <t>DRN03</t>
  </si>
  <si>
    <t>GDT17</t>
  </si>
  <si>
    <t>HSC09</t>
  </si>
  <si>
    <t>Hoàng Thị</t>
  </si>
  <si>
    <t>Nguyễn Doãn</t>
  </si>
  <si>
    <t>Nhâm</t>
  </si>
  <si>
    <t>Trần Vũ</t>
  </si>
  <si>
    <t>Phan Thị Thu</t>
  </si>
  <si>
    <t>KHD11</t>
  </si>
  <si>
    <t>TNN06</t>
  </si>
  <si>
    <t>TNN01</t>
  </si>
  <si>
    <t>TNN05</t>
  </si>
  <si>
    <t>TNN03</t>
  </si>
  <si>
    <t>TNN02</t>
  </si>
  <si>
    <t>TNN10</t>
  </si>
  <si>
    <t>QHD04</t>
  </si>
  <si>
    <t>QHD08</t>
  </si>
  <si>
    <t>QHD01</t>
  </si>
  <si>
    <t>QHD07</t>
  </si>
  <si>
    <t>QHD06</t>
  </si>
  <si>
    <t>QHD05</t>
  </si>
  <si>
    <t>QHD03</t>
  </si>
  <si>
    <t>QHD09</t>
  </si>
  <si>
    <t>QDD12</t>
  </si>
  <si>
    <t>QDD01</t>
  </si>
  <si>
    <t>QDD07</t>
  </si>
  <si>
    <t>QDD05</t>
  </si>
  <si>
    <t>QDD06</t>
  </si>
  <si>
    <t>QDD02</t>
  </si>
  <si>
    <t>QDD08</t>
  </si>
  <si>
    <t>QDD09</t>
  </si>
  <si>
    <t>QDD10</t>
  </si>
  <si>
    <t>QDD11</t>
  </si>
  <si>
    <t>TBD09</t>
  </si>
  <si>
    <t>TBD08</t>
  </si>
  <si>
    <t>TBD02</t>
  </si>
  <si>
    <t>TBD05</t>
  </si>
  <si>
    <t>TBD03</t>
  </si>
  <si>
    <t>TBD07</t>
  </si>
  <si>
    <t>TTD07</t>
  </si>
  <si>
    <t>TTD05</t>
  </si>
  <si>
    <t>TTD04</t>
  </si>
  <si>
    <t>TTD06</t>
  </si>
  <si>
    <t>TTD01</t>
  </si>
  <si>
    <t>TTD02</t>
  </si>
  <si>
    <t>TTD08</t>
  </si>
  <si>
    <t>NHO05</t>
  </si>
  <si>
    <t>NHO03</t>
  </si>
  <si>
    <t>NHO07</t>
  </si>
  <si>
    <t>NHO08</t>
  </si>
  <si>
    <t>CHO08</t>
  </si>
  <si>
    <t>CHO02</t>
  </si>
  <si>
    <t>CHO14</t>
  </si>
  <si>
    <t>CHO16</t>
  </si>
  <si>
    <t>CHO03</t>
  </si>
  <si>
    <t>CHO04</t>
  </si>
  <si>
    <t>KHD06</t>
  </si>
  <si>
    <t>KHD02</t>
  </si>
  <si>
    <t>KHD10</t>
  </si>
  <si>
    <t>KHD03</t>
  </si>
  <si>
    <t>KHD05</t>
  </si>
  <si>
    <t>Đào Thị</t>
  </si>
  <si>
    <t>Ngô Phương</t>
  </si>
  <si>
    <t>Ngô Văn</t>
  </si>
  <si>
    <t>004.003.01481</t>
  </si>
  <si>
    <t>004.003.01123</t>
  </si>
  <si>
    <t>004.003.01077</t>
  </si>
  <si>
    <t>004.003.01078</t>
  </si>
  <si>
    <t>004.003.00990</t>
  </si>
  <si>
    <t>004.090.01563</t>
  </si>
  <si>
    <t>004.090.01765</t>
  </si>
  <si>
    <t>004.090.01776</t>
  </si>
  <si>
    <t>004.090.01905</t>
  </si>
  <si>
    <t>004.090.02010</t>
  </si>
  <si>
    <t>004.090.02112</t>
  </si>
  <si>
    <t>004.090.02113</t>
  </si>
  <si>
    <t>VTN14</t>
  </si>
  <si>
    <t>VTN16</t>
  </si>
  <si>
    <t>VTN20</t>
  </si>
  <si>
    <t>VTN18</t>
  </si>
  <si>
    <t>VTN21</t>
  </si>
  <si>
    <t>VTN23</t>
  </si>
  <si>
    <t>VTN19</t>
  </si>
  <si>
    <t>VTN12</t>
  </si>
  <si>
    <t>VTN05</t>
  </si>
  <si>
    <t>BLY02</t>
  </si>
  <si>
    <t>BLY04</t>
  </si>
  <si>
    <t>BLY01</t>
  </si>
  <si>
    <t>BLY03</t>
  </si>
  <si>
    <t>BLY05</t>
  </si>
  <si>
    <t>BLY06</t>
  </si>
  <si>
    <t>BTY01</t>
  </si>
  <si>
    <t>BTY02</t>
  </si>
  <si>
    <t>BTY03</t>
  </si>
  <si>
    <t>TOA16</t>
  </si>
  <si>
    <t>TOA21</t>
  </si>
  <si>
    <t>TOA19</t>
  </si>
  <si>
    <t>TOA17</t>
  </si>
  <si>
    <t>TOA07</t>
  </si>
  <si>
    <t>TOA26</t>
  </si>
  <si>
    <t>TOA24</t>
  </si>
  <si>
    <t>TOA27</t>
  </si>
  <si>
    <t>TOA28</t>
  </si>
  <si>
    <t>TOA02</t>
  </si>
  <si>
    <t>TOA13</t>
  </si>
  <si>
    <t>TOA06</t>
  </si>
  <si>
    <t>TOA05</t>
  </si>
  <si>
    <t>Phó Bộ môn (15%)
NCS (05/2017-05/2020)</t>
  </si>
  <si>
    <t>Trưởng Bộ môn (20%)
Trưởng Ban Thanhh tra (20%)</t>
  </si>
  <si>
    <t>Phó khoa &gt; 81GV (25%) 
Trưởng Bộ môn (20%)
Phó Bí thư Chi bộ (10%)</t>
  </si>
  <si>
    <t>CHI TIẾT SỐ GIỜ GIẢNG HỌC KỲ I NĂM HỌC 2019 - 2020</t>
  </si>
  <si>
    <t>BẢNG THANH TOÁN TIỀN VƯỢT GIỜ HỌC KỲ I NĂM HỌC 2019 - 2020</t>
  </si>
  <si>
    <r>
      <t xml:space="preserve">(Kèm theo Quyết định số    171/QĐ-HVN  ngày  16  tháng   01   năm </t>
    </r>
    <r>
      <rPr>
        <b/>
        <sz val="14"/>
        <rFont val="Times New Roman"/>
        <family val="1"/>
        <charset val="163"/>
      </rPr>
      <t xml:space="preserve"> </t>
    </r>
    <r>
      <rPr>
        <sz val="14"/>
        <rFont val="Times New Roman"/>
        <family val="1"/>
        <charset val="163"/>
      </rPr>
      <t>2020  của Giám đốc Học viện Nông nghiệp Việt Nam)</t>
    </r>
  </si>
  <si>
    <t>Phó Bộ môn (15%)
CTCĐ bộ phận (15%)
Phó Bí thư Chi bộ (10%)</t>
  </si>
  <si>
    <t>1. Số tiền vượt giờ:</t>
  </si>
  <si>
    <t>TỔNG HỢP THANH TOÁN VƯỢT GiỜ</t>
  </si>
  <si>
    <t>Mai Thị Thanh</t>
  </si>
  <si>
    <t>Phạm Việt</t>
  </si>
  <si>
    <t>Phạm Thanh</t>
  </si>
  <si>
    <t>Đào Quang</t>
  </si>
  <si>
    <t>Tống Ngọc</t>
  </si>
  <si>
    <t>Lê Văn</t>
  </si>
  <si>
    <t>Bích</t>
  </si>
  <si>
    <t>Nguyễn Viết</t>
  </si>
  <si>
    <t>Lưu Văn</t>
  </si>
  <si>
    <t>Hoàng Đức</t>
  </si>
  <si>
    <t>Liên</t>
  </si>
  <si>
    <t>Lương Thị Minh</t>
  </si>
  <si>
    <t>Châu</t>
  </si>
  <si>
    <t>Lê Vũ</t>
  </si>
  <si>
    <t>Trần Đức</t>
  </si>
  <si>
    <t>Lương Đức</t>
  </si>
  <si>
    <t>Cao Trường</t>
  </si>
  <si>
    <t>Đinh Thị Hải</t>
  </si>
  <si>
    <t>Trần Nguyên</t>
  </si>
  <si>
    <t>Gio_chua_quy_doi_Ky_II</t>
  </si>
  <si>
    <t>NGSA2</t>
  </si>
  <si>
    <t>NCDL2</t>
  </si>
  <si>
    <t>Ngô Thị Hồng</t>
  </si>
  <si>
    <t>Tươi</t>
  </si>
  <si>
    <t>A1</t>
  </si>
  <si>
    <t>Hướng dẫn thực hành
Phó GĐ BV Thú y (10%)</t>
  </si>
  <si>
    <t>Trần Thị Như</t>
  </si>
  <si>
    <t>Đặng Xuân</t>
  </si>
  <si>
    <t>Nhuần</t>
  </si>
  <si>
    <t>Nhinh</t>
  </si>
  <si>
    <t>Đoàn Thị</t>
  </si>
  <si>
    <t>Hoàng Quốc</t>
  </si>
  <si>
    <t>Tổng
nhu cầu</t>
  </si>
  <si>
    <t>Tăng,
Giảm</t>
  </si>
  <si>
    <t>tien_moi</t>
  </si>
  <si>
    <t>Møc thanh to¸n TH, Bæ sung</t>
  </si>
  <si>
    <t>C«ng t¸c kiªm nhiÖm</t>
  </si>
  <si>
    <t>004.090.01732</t>
  </si>
  <si>
    <t>004.090.01911</t>
  </si>
  <si>
    <t>004.005.01392</t>
  </si>
  <si>
    <t>Giáo viên chủ nhiệm &gt;= 61SV; TL Vật tư &gt;= 40 GV, Trưởng BM &lt; 10 GV; Phó BM &gt;=10GV</t>
  </si>
  <si>
    <t>Con nhỏ dưới 36 tháng; Trưởng BM &gt;=10GV; TL Tổ chức &lt; 40GV, Trợ lý KH và HTQT &lt; 40GV</t>
  </si>
  <si>
    <t>Trợ lý KH và HTQT &gt;=40GV; Trợ lý đào tạo &lt; 40GV; Phó GĐ các TT thuộc Trường, Phó khoa &lt;40</t>
  </si>
  <si>
    <t>Giám đốc các trung tâm thuộc Trường, TTVH; Trợ lý TC &gt;= 40GV, Trưởng khoa &lt; 40 GV, Phó Khoa &gt;=41 và &lt; 81</t>
  </si>
  <si>
    <t>1 - 200</t>
  </si>
  <si>
    <t>Còn lĩnh
(đồng)</t>
  </si>
  <si>
    <t>Truy thu lại
(đồng)</t>
  </si>
  <si>
    <t>Ký nhận</t>
  </si>
  <si>
    <t>Tập sự
(1: TS
2:HTS)</t>
  </si>
  <si>
    <t>Định mức</t>
  </si>
  <si>
    <t>Thủy sản</t>
  </si>
  <si>
    <t>CN</t>
  </si>
  <si>
    <t>14 Total</t>
  </si>
  <si>
    <t>Dinh dưỡng và Thức ăn TS</t>
  </si>
  <si>
    <t>CNVS2</t>
  </si>
  <si>
    <t>004.005.00918</t>
  </si>
  <si>
    <t>004.005.00417</t>
  </si>
  <si>
    <t>004.090.01825</t>
  </si>
  <si>
    <t>004.090.01919</t>
  </si>
  <si>
    <t>004.011.01516</t>
  </si>
  <si>
    <t>004.005.01390</t>
  </si>
  <si>
    <t>004.090.01012</t>
  </si>
  <si>
    <t>004.005.01274</t>
  </si>
  <si>
    <t>004.090.01928</t>
  </si>
  <si>
    <t>004.009.00525</t>
  </si>
  <si>
    <t>004.005.01273</t>
  </si>
  <si>
    <t>004.090.01592</t>
  </si>
  <si>
    <t>004.090.01827</t>
  </si>
  <si>
    <t>004.090.01922</t>
  </si>
  <si>
    <t>004.090.01926</t>
  </si>
  <si>
    <t>004.090.01738</t>
  </si>
  <si>
    <t>004.005.00891</t>
  </si>
  <si>
    <t>004.090.01591</t>
  </si>
  <si>
    <t>004.090.01590</t>
  </si>
  <si>
    <t>004.005.01395</t>
  </si>
  <si>
    <t>004.005.00436</t>
  </si>
  <si>
    <t>004.011.01520</t>
  </si>
  <si>
    <t>004.005.01394</t>
  </si>
  <si>
    <t>004.005.00916</t>
  </si>
  <si>
    <t>004.005.00437</t>
  </si>
  <si>
    <t>004.090.01651</t>
  </si>
  <si>
    <t>004.090.01727</t>
  </si>
  <si>
    <t>004.090.01828</t>
  </si>
  <si>
    <t>004.090.01884</t>
  </si>
  <si>
    <t>004.090.01829</t>
  </si>
  <si>
    <t>004.090.01146</t>
  </si>
  <si>
    <t>004.011.01519</t>
  </si>
  <si>
    <t>004.090.02095</t>
  </si>
  <si>
    <t>004.008.01283</t>
  </si>
  <si>
    <t>004.008.01284</t>
  </si>
  <si>
    <t>004.008.01138</t>
  </si>
  <si>
    <t>TVA05</t>
  </si>
  <si>
    <t>CNK21</t>
  </si>
  <si>
    <t>HSD06</t>
  </si>
  <si>
    <t>KT008</t>
  </si>
  <si>
    <t>KT005</t>
  </si>
  <si>
    <t>KT006</t>
  </si>
  <si>
    <t>KT015</t>
  </si>
  <si>
    <t>KT017</t>
  </si>
  <si>
    <t>KT018</t>
  </si>
  <si>
    <t>KTM04</t>
  </si>
  <si>
    <t>KTM10</t>
  </si>
  <si>
    <t>KTM09</t>
  </si>
  <si>
    <t>KTM08</t>
  </si>
  <si>
    <t>KTM07</t>
  </si>
  <si>
    <t>KTM06</t>
  </si>
  <si>
    <t>KTM11</t>
  </si>
  <si>
    <t>KTM01</t>
  </si>
  <si>
    <t>KTM15</t>
  </si>
  <si>
    <t>KTM17</t>
  </si>
  <si>
    <t>KTM02</t>
  </si>
  <si>
    <t>KTM14</t>
  </si>
  <si>
    <t>KTM16</t>
  </si>
  <si>
    <t>Đinh Trường</t>
  </si>
  <si>
    <t>Trần Đông</t>
  </si>
  <si>
    <t>Tuân</t>
  </si>
  <si>
    <t>Hoàng Hải</t>
  </si>
  <si>
    <t>Đi NN từ 07/2014</t>
  </si>
  <si>
    <t>®Õn 12/2007</t>
  </si>
  <si>
    <t>TrÇn Quang Trung</t>
  </si>
  <si>
    <t>Thay Ph­¬ng</t>
  </si>
  <si>
    <t>QN biÖt ph¸i &gt; = 3</t>
  </si>
  <si>
    <t>HD2</t>
  </si>
  <si>
    <t>2. Số chi bổ sung năm học trước:</t>
  </si>
  <si>
    <t>Đã nhận 
I
(đồng)</t>
  </si>
  <si>
    <t>Đã nhận 
II
(đồng)</t>
  </si>
  <si>
    <t>Hoàn thành và không phải đảm nhận</t>
  </si>
  <si>
    <t>004.090.01736</t>
  </si>
  <si>
    <t>004.090.02021</t>
  </si>
  <si>
    <t>004.090.02027</t>
  </si>
  <si>
    <t>004.090.02440</t>
  </si>
  <si>
    <t>004.007.00867</t>
  </si>
  <si>
    <t>004.002.01265</t>
  </si>
  <si>
    <t>004.020.01525</t>
  </si>
  <si>
    <t>004.006.01412</t>
  </si>
  <si>
    <t>004.006.01294</t>
  </si>
  <si>
    <t>004.090.01148</t>
  </si>
  <si>
    <t>004.006.01081</t>
  </si>
  <si>
    <t>004.006.00912</t>
  </si>
  <si>
    <t>004.006.00854</t>
  </si>
  <si>
    <t>004.006.00491</t>
  </si>
  <si>
    <t>004.006.00490</t>
  </si>
  <si>
    <t>STN16</t>
  </si>
  <si>
    <t>STN19</t>
  </si>
  <si>
    <t>STN18</t>
  </si>
  <si>
    <t>STN20</t>
  </si>
  <si>
    <t>CMT05</t>
  </si>
  <si>
    <t>CMT10</t>
  </si>
  <si>
    <t>CMT09</t>
  </si>
  <si>
    <t>CMT07</t>
  </si>
  <si>
    <t>CMT06</t>
  </si>
  <si>
    <t>CMT11</t>
  </si>
  <si>
    <t>CMT08</t>
  </si>
  <si>
    <t>QMT10</t>
  </si>
  <si>
    <t>QMT01</t>
  </si>
  <si>
    <t>QMT04</t>
  </si>
  <si>
    <t>QMT06</t>
  </si>
  <si>
    <t>QMT02</t>
  </si>
  <si>
    <t>QMT05</t>
  </si>
  <si>
    <t>QMT08</t>
  </si>
  <si>
    <t>QMT03</t>
  </si>
  <si>
    <t>NTS15</t>
  </si>
  <si>
    <t>NTS12</t>
  </si>
  <si>
    <t>NTS04</t>
  </si>
  <si>
    <t>NTS03</t>
  </si>
  <si>
    <t>NTS02</t>
  </si>
  <si>
    <t>NTS19</t>
  </si>
  <si>
    <t>NTS22</t>
  </si>
  <si>
    <t>NTS05</t>
  </si>
  <si>
    <t>NTS13</t>
  </si>
  <si>
    <t>NTS18</t>
  </si>
  <si>
    <t>NTS21</t>
  </si>
  <si>
    <t>NTS20</t>
  </si>
  <si>
    <t>DTS02</t>
  </si>
  <si>
    <t>DTS03</t>
  </si>
  <si>
    <t>004.008.00449</t>
  </si>
  <si>
    <t>004.090.01720</t>
  </si>
  <si>
    <t>004.090.02098</t>
  </si>
  <si>
    <t>004.006.01064</t>
  </si>
  <si>
    <t>004.006.00838</t>
  </si>
  <si>
    <t>004.006.01497</t>
  </si>
  <si>
    <t xml:space="preserve">Tổng biên tập NXB (70%) </t>
  </si>
  <si>
    <t>Phó GĐ Trung tâm (15%)</t>
  </si>
  <si>
    <t>NCS 2015 - 2018 
Phó Bộ môn (15%)</t>
  </si>
  <si>
    <t>Trưởng Bộ môn (20%)
Phó Ban (70%) từ 05/2018
Phó Bí thư Chi bộ (10%)</t>
  </si>
  <si>
    <t>Phó BM phụ trách  (20%)</t>
  </si>
  <si>
    <t>Trưởng Bộ môn (20%)
Phó Bí thư Chi bộ (10%)</t>
  </si>
  <si>
    <t xml:space="preserve">Trưởng Bộ môn (20%)
Phó khoa (25%). </t>
  </si>
  <si>
    <t>BS1</t>
  </si>
  <si>
    <t>004.002.00151</t>
  </si>
  <si>
    <t>004.002.01504</t>
  </si>
  <si>
    <t>004.002.01225</t>
  </si>
  <si>
    <t>004.090.01579</t>
  </si>
  <si>
    <t>004.002.00149</t>
  </si>
  <si>
    <t>004.090.02105</t>
  </si>
  <si>
    <t>004.002.00183</t>
  </si>
  <si>
    <t>004.090.01580</t>
  </si>
  <si>
    <t>004.090.01768</t>
  </si>
  <si>
    <t>004.002.00906</t>
  </si>
  <si>
    <t>Trưởng Bộ môn (20%)
Phó Khoa (25%)</t>
  </si>
  <si>
    <t>Phó Bộ môn (15%)
Con nhỏ 09/2017 (20%)</t>
  </si>
  <si>
    <t>Trưởng Bộ môn (20%)
Phó khoa (25%)
Phó Bí thư Chi bộ (10%)</t>
  </si>
  <si>
    <t>Phó Chánh VP (70%)
Phó Bộ môn (15%)
Phó Bí thư Chi bộ (10%)</t>
  </si>
  <si>
    <t>GĐ Trung tâm (20%)
Phó GĐ Trung tâm (15%)</t>
  </si>
  <si>
    <t>GĐ Trung tâm (20%)</t>
  </si>
  <si>
    <t>K_CTHĐ</t>
  </si>
  <si>
    <t>Chủ tịch Hội đồng HV (80%)
GĐ Trung tâm (20%)</t>
  </si>
  <si>
    <t>GĐ Trung tâm (70%)
Bí thư Chi bộ (15%)</t>
  </si>
  <si>
    <t>Nông Thị</t>
  </si>
  <si>
    <t>Ngô Thành</t>
  </si>
  <si>
    <t>Nguyễn Tố</t>
  </si>
  <si>
    <t>Ngô Thu</t>
  </si>
  <si>
    <t>Trần Thị Bình</t>
  </si>
  <si>
    <t>Trần Thị Hồng</t>
  </si>
  <si>
    <t>Việt</t>
  </si>
  <si>
    <t>Nguyễn Thị Thuý</t>
  </si>
  <si>
    <t>Đồng Huy</t>
  </si>
  <si>
    <t>Giới</t>
  </si>
  <si>
    <t>Phí Thị Cẩm</t>
  </si>
  <si>
    <t>Miện</t>
  </si>
  <si>
    <t>Năm 2014-2015</t>
  </si>
  <si>
    <t>Tổng
Cả năm</t>
  </si>
  <si>
    <t>M1_2</t>
  </si>
  <si>
    <t>M1_3</t>
  </si>
  <si>
    <t>Đi NN từ 10/2012</t>
  </si>
  <si>
    <t>Năm 2012-2013</t>
  </si>
  <si>
    <t>Nguyễn Thị Hạnh</t>
  </si>
  <si>
    <t>CNPM1</t>
  </si>
  <si>
    <t>KHMT1</t>
  </si>
  <si>
    <t>TTUD1</t>
  </si>
  <si>
    <t>KETC1</t>
  </si>
  <si>
    <t>KTQT1</t>
  </si>
  <si>
    <t>dh_cdtc</t>
  </si>
  <si>
    <t>Đi NN từ 03/2016</t>
  </si>
  <si>
    <t>004.001.00031</t>
  </si>
  <si>
    <t>004.090.01722</t>
  </si>
  <si>
    <t>004.001.01540</t>
  </si>
  <si>
    <t>004.001.01362</t>
  </si>
  <si>
    <t>004.001.01258</t>
  </si>
  <si>
    <t>004.001.00118</t>
  </si>
  <si>
    <t>004.001.00117</t>
  </si>
  <si>
    <t>004.001.00041</t>
  </si>
  <si>
    <t>004.090.02084</t>
  </si>
  <si>
    <t>004.090.01334</t>
  </si>
  <si>
    <t>004.001.01363</t>
  </si>
  <si>
    <t>004.001.01364</t>
  </si>
  <si>
    <t>004.001.01256</t>
  </si>
  <si>
    <t>004.001.00084</t>
  </si>
  <si>
    <t>004.090.01036</t>
  </si>
  <si>
    <t>004.090.01803</t>
  </si>
  <si>
    <t>004.001.00780</t>
  </si>
  <si>
    <t>004.001.01365</t>
  </si>
  <si>
    <t>004.090.01171</t>
  </si>
  <si>
    <t>004.001.00821</t>
  </si>
  <si>
    <t>004.090.00895</t>
  </si>
  <si>
    <t>Phó Bộ môn (15%), 
Con nhỏ 10/2017 (20%)</t>
  </si>
  <si>
    <t>Phó Bộ môn (15%) từ 06/2019</t>
  </si>
  <si>
    <t>Về từ 09/2015
Trưởng BM (40%) từ 06/2019</t>
  </si>
  <si>
    <t>Về từ 09/2015
Phó Khoa (70%) từ 04/2019
Phó Bí thư Chi bộ (10%)</t>
  </si>
  <si>
    <t>Tiếp nhận lại 02/2019</t>
  </si>
  <si>
    <t>Con nhỏ 01/2017 (20%).
NCS (10/2017-10/2020)</t>
  </si>
  <si>
    <t>Đi NN từ 07/2017</t>
  </si>
  <si>
    <t>Trần Ánh</t>
  </si>
  <si>
    <t>CTU15</t>
  </si>
  <si>
    <t>004.001.00068</t>
  </si>
  <si>
    <t>004.001.00065</t>
  </si>
  <si>
    <t>004.090.02155</t>
  </si>
  <si>
    <t>004.090.01552</t>
  </si>
  <si>
    <t>004.090.01553</t>
  </si>
  <si>
    <t>004.090.02004</t>
  </si>
  <si>
    <t>004.001.01366</t>
  </si>
  <si>
    <t>004.001.01227</t>
  </si>
  <si>
    <t>004.001.00999</t>
  </si>
  <si>
    <t>004.090.01554</t>
  </si>
  <si>
    <t>004.001.01688</t>
  </si>
  <si>
    <t>004.090.01920</t>
  </si>
  <si>
    <t>004.090.00904</t>
  </si>
  <si>
    <t>004.001.00820</t>
  </si>
  <si>
    <t>004.090.02086</t>
  </si>
  <si>
    <t>004.090.02087</t>
  </si>
  <si>
    <t>004.001.00998</t>
  </si>
  <si>
    <t>004.090.01629</t>
  </si>
  <si>
    <t>Thay NhiÖm</t>
  </si>
  <si>
    <t>NguyÔn V¨n H¶i</t>
  </si>
  <si>
    <t>Thay Th¸i</t>
  </si>
  <si>
    <t>Thay Hµ</t>
  </si>
  <si>
    <t>HTN07</t>
  </si>
  <si>
    <t>HTN08</t>
  </si>
  <si>
    <t>HTN01</t>
  </si>
  <si>
    <t>DTC01</t>
  </si>
  <si>
    <t>DTC12</t>
  </si>
  <si>
    <t>DTC09</t>
  </si>
  <si>
    <t>Bảng 3 - 4 - 5: Quy chế quản lý nguồn thu và Chi tiêu nội bộ</t>
  </si>
  <si>
    <t>CHKT5</t>
  </si>
  <si>
    <t>CHKT6</t>
  </si>
  <si>
    <t>CNCK2</t>
  </si>
  <si>
    <t>BKT05</t>
  </si>
  <si>
    <t>BKT10</t>
  </si>
  <si>
    <t>KEQ08</t>
  </si>
  <si>
    <t>KEQ07</t>
  </si>
  <si>
    <t>KEQ01</t>
  </si>
  <si>
    <t>KEQ03</t>
  </si>
  <si>
    <t>KEQ06</t>
  </si>
  <si>
    <t>KEQ10</t>
  </si>
  <si>
    <t>KEQ09</t>
  </si>
  <si>
    <t>KEQ05</t>
  </si>
  <si>
    <t>KEQ02</t>
  </si>
  <si>
    <t>TCH03</t>
  </si>
  <si>
    <t>TCH06</t>
  </si>
  <si>
    <t>TCH09</t>
  </si>
  <si>
    <t>TCH12</t>
  </si>
  <si>
    <t>TCH13</t>
  </si>
  <si>
    <t>TCH14</t>
  </si>
  <si>
    <t>TCH15</t>
  </si>
  <si>
    <t>TCH05</t>
  </si>
  <si>
    <t>TCH08</t>
  </si>
  <si>
    <t>TCH10</t>
  </si>
  <si>
    <t>TCH07</t>
  </si>
  <si>
    <t>Giám đốc Trung tâm  (20%) từ 01/2020</t>
  </si>
  <si>
    <t>Con nhỏ 04/2019 (20%)
NCS (07/2019-06/2023)</t>
  </si>
  <si>
    <t>NCS 2018-2021
Con nhỏ 01/2019 (20%)</t>
  </si>
  <si>
    <t>Tạm hoãn HĐLV từ 15/8/2019</t>
  </si>
  <si>
    <t>Con nhỏ 10/2018 (20%)</t>
  </si>
  <si>
    <t>Trưởng Khoa (30%), 
GĐ Trung tâm (20%)
Bí thư Chi bộ (15%)</t>
  </si>
  <si>
    <t>Hưu 11/2019. Tính 1 tháng</t>
  </si>
  <si>
    <t>GĐ Trung tâm (75%)
Trưởng Bộ môn (20%)</t>
  </si>
  <si>
    <t>Con nhỏ (07/2018) (20%)</t>
  </si>
  <si>
    <t>Phó GĐ PT Trung tâm (20%)
Bí thư Chi bộ (15%)
NCS (05/2019-05/2022)</t>
  </si>
  <si>
    <t xml:space="preserve">Con nhỏ 05/2018 (20%). </t>
  </si>
  <si>
    <t>Phó Bộ môn (15%)
NCS (05/2016-05/2019)
Con nhỏ 12/2018 (20%)</t>
  </si>
  <si>
    <t xml:space="preserve">NCS (2017-2020). 
Con nhỏ 04/2018 (20%) </t>
  </si>
  <si>
    <t xml:space="preserve">Con nhỏ 10/2018 (20%) </t>
  </si>
  <si>
    <t>Con nhỏ 01/2019 (20%)</t>
  </si>
  <si>
    <t>Con nhỏ 09/2018 (20%) 
Phó CTCĐ bộ phận (10%)</t>
  </si>
  <si>
    <t xml:space="preserve">Trưởng Bộ môn (20%) </t>
  </si>
  <si>
    <t>Con nhỏ 12/2018 (20%)</t>
  </si>
  <si>
    <t>NCS 2018-2021
Con nhỏ 12/2018 (20%)</t>
  </si>
  <si>
    <t>Bài 
tập</t>
  </si>
  <si>
    <t>TDH01</t>
  </si>
  <si>
    <t>TDH02</t>
  </si>
  <si>
    <t>TDH09</t>
  </si>
  <si>
    <t>TDH04</t>
  </si>
  <si>
    <t>TDH05</t>
  </si>
  <si>
    <t>DIE07</t>
  </si>
  <si>
    <t>DIE08</t>
  </si>
  <si>
    <t>DIE13</t>
  </si>
  <si>
    <t>DIE09</t>
  </si>
  <si>
    <t>DIE14</t>
  </si>
  <si>
    <t>DIE15</t>
  </si>
  <si>
    <t>KLS03</t>
  </si>
  <si>
    <t>KLS02</t>
  </si>
  <si>
    <t>Đi NN từ 04/2015</t>
  </si>
  <si>
    <t>Đi NN từ 06/2015</t>
  </si>
  <si>
    <t>Nguyễn Thị Lan</t>
  </si>
  <si>
    <t>Lâm</t>
  </si>
  <si>
    <t>Về từ 05/2018</t>
  </si>
  <si>
    <t>004.090.02441</t>
  </si>
  <si>
    <t>Đi tiếp từ 12/2016</t>
  </si>
  <si>
    <t>Xưởng phó (10%)</t>
  </si>
  <si>
    <t>Đi NN từ 11/2015</t>
  </si>
  <si>
    <t>Con nhỏ 02/2017 (20%)</t>
  </si>
  <si>
    <t>004.090.02478</t>
  </si>
  <si>
    <t>Trần Bình</t>
  </si>
  <si>
    <t>Mức miễn giảm cao của Trưởng/Phó phòng thực hiện cho các Phòng: Hành chính - Tổng hợp, Đào tạo đại học, Khoa học công nghệ và Hợp tác quốc tế, Tổ chức cán bộ, Công tác chính trị và công tác sinh viên, Quản trị thiết bị, Tài vụ</t>
  </si>
  <si>
    <t>K_TP1</t>
  </si>
  <si>
    <t>K_PTP1</t>
  </si>
  <si>
    <t>10 Total</t>
  </si>
  <si>
    <t>11 Total</t>
  </si>
  <si>
    <t>12 Total</t>
  </si>
  <si>
    <t>20 Total</t>
  </si>
  <si>
    <t>23 Total</t>
  </si>
  <si>
    <t>29 Total</t>
  </si>
  <si>
    <t>M2_1</t>
  </si>
  <si>
    <t>M2_2</t>
  </si>
  <si>
    <t>M2_3</t>
  </si>
  <si>
    <t>M2_4</t>
  </si>
  <si>
    <t>HSL</t>
  </si>
  <si>
    <t>Huyền B</t>
  </si>
  <si>
    <t>Hà (B)</t>
  </si>
  <si>
    <t>Phan Thành</t>
  </si>
  <si>
    <t>Nội</t>
  </si>
  <si>
    <t>Phan Văn</t>
  </si>
  <si>
    <t>Khuê</t>
  </si>
  <si>
    <t>Cộng II</t>
  </si>
  <si>
    <t>Luận 
văn CH</t>
  </si>
  <si>
    <t>Luận 
án 
NCS</t>
  </si>
  <si>
    <t>CD_1</t>
  </si>
  <si>
    <t>KLCD_1</t>
  </si>
  <si>
    <t>KLDH_1</t>
  </si>
  <si>
    <t>LVCH_1</t>
  </si>
  <si>
    <t>NCS_1</t>
  </si>
  <si>
    <t>Cơ học kỹ thuật</t>
  </si>
  <si>
    <t>004.004.01382</t>
  </si>
  <si>
    <t>004.004.00302</t>
  </si>
  <si>
    <t>004.090.02091</t>
  </si>
  <si>
    <t>004.090.01913</t>
  </si>
  <si>
    <t>004.004.00309</t>
  </si>
  <si>
    <t>004.090.01992</t>
  </si>
  <si>
    <t>004.004.00320</t>
  </si>
  <si>
    <t>004.090.01705</t>
  </si>
  <si>
    <t>Số hoàn thành năm hiện tại</t>
  </si>
  <si>
    <t>Số HT kỳ này</t>
  </si>
  <si>
    <t>Số HT cả năm</t>
  </si>
  <si>
    <t>§Æng ThÞ Thanh B×nh</t>
  </si>
  <si>
    <t>- Trî lý §µo t¹o</t>
  </si>
  <si>
    <t>004.004.00339</t>
  </si>
  <si>
    <t>004.090.01810</t>
  </si>
  <si>
    <t>004.004.01383</t>
  </si>
  <si>
    <t>004.004.01384</t>
  </si>
  <si>
    <t>004.090.02014</t>
  </si>
  <si>
    <t>004.004.00317</t>
  </si>
  <si>
    <t>004.004.00325</t>
  </si>
  <si>
    <t>004.090.01712</t>
  </si>
  <si>
    <t>004.004.01462</t>
  </si>
  <si>
    <t>004.004.01190</t>
  </si>
  <si>
    <t>004.004.00324</t>
  </si>
  <si>
    <t>004.004.01491</t>
  </si>
  <si>
    <t>004.004.01385</t>
  </si>
  <si>
    <t>004.004.01270</t>
  </si>
  <si>
    <t>004.004.01192</t>
  </si>
  <si>
    <t>004.004.01129</t>
  </si>
  <si>
    <t>004.090.01571</t>
  </si>
  <si>
    <t>004.004.00379</t>
  </si>
  <si>
    <t>004.090.01570</t>
  </si>
  <si>
    <t>004.005.01271</t>
  </si>
  <si>
    <t>004.005.01061</t>
  </si>
  <si>
    <t>004.005.00861</t>
  </si>
  <si>
    <t>004.090.01639</t>
  </si>
  <si>
    <t>004.090.01723</t>
  </si>
  <si>
    <t>004.090.01724</t>
  </si>
  <si>
    <t>004.090.01772</t>
  </si>
  <si>
    <t>004.090.01774</t>
  </si>
  <si>
    <t>004.090.01906</t>
  </si>
  <si>
    <t>004.090.01930</t>
  </si>
  <si>
    <t>004.090.02092</t>
  </si>
  <si>
    <t>004.005.00414</t>
  </si>
  <si>
    <t>Lê Trọng</t>
  </si>
  <si>
    <t>Động</t>
  </si>
  <si>
    <t xml:space="preserve">Lê Thị </t>
  </si>
  <si>
    <t>CS4</t>
  </si>
  <si>
    <t>CS3</t>
  </si>
  <si>
    <t>Huy</t>
  </si>
  <si>
    <t>CS1</t>
  </si>
  <si>
    <t>M10</t>
  </si>
  <si>
    <t>M11</t>
  </si>
  <si>
    <t>M12</t>
  </si>
  <si>
    <t>M13</t>
  </si>
  <si>
    <t>CACN1</t>
  </si>
  <si>
    <t>CALT1</t>
  </si>
  <si>
    <t>COTR1</t>
  </si>
  <si>
    <t>DITG1</t>
  </si>
  <si>
    <t>DITG2</t>
  </si>
  <si>
    <t>Thân Thế</t>
  </si>
  <si>
    <t>Phạm Thị Huyền</t>
  </si>
  <si>
    <t>Phùng Thị Thu</t>
  </si>
  <si>
    <t>DH</t>
  </si>
  <si>
    <t>THS</t>
  </si>
  <si>
    <t>TS</t>
  </si>
  <si>
    <t>Huế</t>
  </si>
  <si>
    <t>Trần Hương</t>
  </si>
  <si>
    <t xml:space="preserve">Hà Thị </t>
  </si>
  <si>
    <t>Lường Thị</t>
  </si>
  <si>
    <t>Tô Thái</t>
  </si>
  <si>
    <t>Phạm Vân</t>
  </si>
  <si>
    <t>Phạm Thị Thu</t>
  </si>
  <si>
    <t>Thư</t>
  </si>
  <si>
    <t>Bùi Khánh</t>
  </si>
  <si>
    <t>Cam Thị Thu</t>
  </si>
  <si>
    <t>Nguyễn Vũ</t>
  </si>
  <si>
    <t>Chu Thị</t>
  </si>
  <si>
    <t>Ren nghe</t>
  </si>
  <si>
    <t>B1_1</t>
  </si>
  <si>
    <t>B1_2</t>
  </si>
  <si>
    <t>B1_3</t>
  </si>
  <si>
    <t>B3_1</t>
  </si>
  <si>
    <t>B3_2</t>
  </si>
  <si>
    <t>B3_3</t>
  </si>
  <si>
    <t>B3_4</t>
  </si>
  <si>
    <t>B3_5</t>
  </si>
  <si>
    <t>GĐ</t>
  </si>
  <si>
    <t>Hiền</t>
  </si>
  <si>
    <t>Trần Văn</t>
  </si>
  <si>
    <t>Tõ 07/2008</t>
  </si>
  <si>
    <t>Phó Giáo sư - GVCC</t>
  </si>
  <si>
    <t>Nguyễn Thành</t>
  </si>
  <si>
    <t>Giờ 
KH 
BQ/
GV</t>
  </si>
  <si>
    <t>Tiền 
BQ/GV</t>
  </si>
  <si>
    <t>Tiết vượt
(1-200)</t>
  </si>
  <si>
    <t>Thành 
tiền</t>
  </si>
  <si>
    <t>Vượt từ 
201 
trở lên</t>
  </si>
  <si>
    <t>Tổng số 
tiền thanh toán</t>
  </si>
  <si>
    <t>Nông Hữu</t>
  </si>
  <si>
    <t>Hướng dẫn
Cao học</t>
  </si>
  <si>
    <t>Đi NN từ 10/2017</t>
  </si>
  <si>
    <t>K_M30</t>
  </si>
  <si>
    <t>1 Total</t>
  </si>
  <si>
    <t>Đi NN từ 08/2017</t>
  </si>
  <si>
    <t>Ảnh</t>
  </si>
  <si>
    <t>Trần Hữu</t>
  </si>
  <si>
    <t>Nguyễn Hùng</t>
  </si>
  <si>
    <t>Nguyễn Thị Trang</t>
  </si>
  <si>
    <t>Đặng Thị Kim</t>
  </si>
  <si>
    <t>Trụ</t>
  </si>
  <si>
    <t>Chu Thị Kim</t>
  </si>
  <si>
    <t>Bùi Hồng</t>
  </si>
  <si>
    <t>Đỗ Thị Mỹ</t>
  </si>
  <si>
    <t>Vũ Thị Hằng</t>
  </si>
  <si>
    <t>Giờ HT
KI</t>
  </si>
  <si>
    <t>Trưởng Ban (75%)
Bí thư Chi bộ (15%)</t>
  </si>
  <si>
    <t>Hướng dẫn thực hành
Bí thư Chi bộ (15%)</t>
  </si>
  <si>
    <t>Phó CTCĐ bộ phận (10%)</t>
  </si>
  <si>
    <t>Phó CT Công đoàn (20%)
Phó CTCĐ bộ phận (10%)</t>
  </si>
  <si>
    <t>Phó Ban (70%)
Phó Bí thư Chi bộ (10%)</t>
  </si>
  <si>
    <t>Phó GĐ PT (75%) từ 05/2018
Phó Bí thư Chi bộ (10%)</t>
  </si>
  <si>
    <t>Trưởng ban Nữ công (20%)</t>
  </si>
  <si>
    <t>Giám đốc Viện (20%)
Thư ký Hội đồng (75%)</t>
  </si>
  <si>
    <t>Trưởng Khoa (30%)
Bí thư Chi bộ (15%)</t>
  </si>
  <si>
    <t>Phó Khoa (25%) từ 06/2018
GĐ Trung tâm (20%)
Phó BT ĐU (20%)</t>
  </si>
  <si>
    <t xml:space="preserve">Phó khoa (25%). </t>
  </si>
  <si>
    <t>Phó Khoa (25%)
Bí thư Chi bộ (15%)</t>
  </si>
  <si>
    <t>Phó Khoa (25%)</t>
  </si>
  <si>
    <t>Phó Khoa (25%)
Phó Bí thư Chi bộ (10%)</t>
  </si>
  <si>
    <t>Phó Trưởng Khoa (25%), 
Phó Bộ môn (15%) 
GĐ Bệnh viện CT (20%)
Phó Bí thư Chi bộ (10%)</t>
  </si>
  <si>
    <t>Phó Bộ môn (15%)</t>
  </si>
  <si>
    <t>004.090.01822</t>
  </si>
  <si>
    <t>004.010.01513</t>
  </si>
  <si>
    <t>004.090.01589</t>
  </si>
  <si>
    <t>004.006.01082</t>
  </si>
  <si>
    <t>004.006.00856</t>
  </si>
  <si>
    <t>004.006.00497</t>
  </si>
  <si>
    <t>004.006.00498</t>
  </si>
  <si>
    <t>004.090.01588</t>
  </si>
  <si>
    <t>004.090.01587</t>
  </si>
  <si>
    <t>004.090.01759</t>
  </si>
  <si>
    <t>004.090.02109</t>
  </si>
  <si>
    <t>004.006.01411</t>
  </si>
  <si>
    <t>004.006.01139</t>
  </si>
  <si>
    <t>004.090.01648</t>
  </si>
  <si>
    <t>004.004.00348</t>
  </si>
  <si>
    <t>004.010.01532</t>
  </si>
  <si>
    <t>004.090.01730</t>
  </si>
  <si>
    <t>004.090.02037</t>
  </si>
  <si>
    <t>004.006.00837</t>
  </si>
  <si>
    <t>004.006.01498</t>
  </si>
  <si>
    <t>004.006.00865</t>
  </si>
  <si>
    <t>004.008.00466</t>
  </si>
  <si>
    <t>004.090.01996</t>
  </si>
  <si>
    <t>004.090.02102</t>
  </si>
  <si>
    <t>004.006.00839</t>
  </si>
  <si>
    <t>004.006.00480</t>
  </si>
  <si>
    <t>004.090.01816</t>
  </si>
  <si>
    <t>004.090.01903</t>
  </si>
  <si>
    <t>004.090.01947</t>
  </si>
  <si>
    <t>NN021</t>
  </si>
  <si>
    <t>Chỉnh</t>
  </si>
  <si>
    <t>Phan Xuân</t>
  </si>
  <si>
    <t>Hà Xuân</t>
  </si>
  <si>
    <t>Bộ</t>
  </si>
  <si>
    <t>Vũ Thị</t>
  </si>
  <si>
    <t>Đỗ Đức</t>
  </si>
  <si>
    <t>Lực</t>
  </si>
  <si>
    <t>Nguyễn Hoàng</t>
  </si>
  <si>
    <t>Thịnh</t>
  </si>
  <si>
    <t>Nguyễn Chí</t>
  </si>
  <si>
    <t>004.002.00144</t>
  </si>
  <si>
    <t>004.002.01186</t>
  </si>
  <si>
    <t>004.002.01057</t>
  </si>
  <si>
    <t>004.090.01423</t>
  </si>
  <si>
    <t>004.002.00928</t>
  </si>
  <si>
    <t>004.090.01577</t>
  </si>
  <si>
    <t>004.090.01718</t>
  </si>
  <si>
    <t>004.090.01904</t>
  </si>
  <si>
    <t>004.002.01403</t>
  </si>
  <si>
    <t>004.002.01407</t>
  </si>
  <si>
    <t>004.090.01762</t>
  </si>
  <si>
    <t>XHH03</t>
  </si>
  <si>
    <t>XHH02</t>
  </si>
  <si>
    <t>XHH06</t>
  </si>
  <si>
    <t>XHH07</t>
  </si>
  <si>
    <t>PPG01</t>
  </si>
  <si>
    <t>PPG03</t>
  </si>
  <si>
    <t>PPG04</t>
  </si>
  <si>
    <t>PPG05</t>
  </si>
  <si>
    <t>PPG06</t>
  </si>
  <si>
    <t>TLY05</t>
  </si>
  <si>
    <t>TLY10</t>
  </si>
  <si>
    <t>TLY07</t>
  </si>
  <si>
    <t>TLY08</t>
  </si>
  <si>
    <t>TLY11</t>
  </si>
  <si>
    <t>TLY09</t>
  </si>
  <si>
    <t>NN006</t>
  </si>
  <si>
    <t>NN001</t>
  </si>
  <si>
    <t>NN020</t>
  </si>
  <si>
    <t>MKT12</t>
  </si>
  <si>
    <t>MKT09</t>
  </si>
  <si>
    <t>MKT06</t>
  </si>
  <si>
    <t>MKT01</t>
  </si>
  <si>
    <t>MKT07</t>
  </si>
  <si>
    <t>MKT13</t>
  </si>
  <si>
    <t>MKT15</t>
  </si>
  <si>
    <t>MKT19</t>
  </si>
  <si>
    <t>MKT18</t>
  </si>
  <si>
    <t>MKT16</t>
  </si>
  <si>
    <t>MKT17</t>
  </si>
  <si>
    <t>MKT20</t>
  </si>
  <si>
    <t>QKT11</t>
  </si>
  <si>
    <t>QKT04</t>
  </si>
  <si>
    <t>QKT19</t>
  </si>
  <si>
    <t>QKT08</t>
  </si>
  <si>
    <t>QKT03</t>
  </si>
  <si>
    <t>QKT16</t>
  </si>
  <si>
    <t>QKT14</t>
  </si>
  <si>
    <t>QKT05</t>
  </si>
  <si>
    <t>QKT06</t>
  </si>
  <si>
    <t>QKT07</t>
  </si>
  <si>
    <t>QKT15</t>
  </si>
  <si>
    <t>QKT13</t>
  </si>
  <si>
    <t>QKT17</t>
  </si>
  <si>
    <t>QKT18</t>
  </si>
  <si>
    <t>QKT20</t>
  </si>
  <si>
    <t>SPT20</t>
  </si>
  <si>
    <t>SPT21</t>
  </si>
  <si>
    <t>SPT24</t>
  </si>
  <si>
    <t>SPT22</t>
  </si>
  <si>
    <t>SPT08</t>
  </si>
  <si>
    <t>STV08</t>
  </si>
  <si>
    <t>STV01</t>
  </si>
  <si>
    <t>STV06</t>
  </si>
  <si>
    <t>STV10</t>
  </si>
  <si>
    <t>STV09</t>
  </si>
  <si>
    <t>STV02</t>
  </si>
  <si>
    <t>Con nhỏ 06/2017 (20%)
Thôi việc 12/2019</t>
  </si>
  <si>
    <t>Tạm hoãn HĐLV từ 07/2018</t>
  </si>
  <si>
    <t>Phụ trách BV Thú y (15%) đến 10/2019</t>
  </si>
  <si>
    <t>Hướng dẫn thực hành
GĐ BV Thú y (15%)</t>
  </si>
  <si>
    <t>Bí thư liên chi (40%) từ 09/2018</t>
  </si>
  <si>
    <t>Phó Khoa 25%</t>
  </si>
  <si>
    <t>Giờ hướng dẫn còn lại</t>
  </si>
  <si>
    <t>Tổng_HD</t>
  </si>
  <si>
    <t>K_BTĐ</t>
  </si>
  <si>
    <t>Tổng cộng</t>
  </si>
  <si>
    <t>đồng</t>
  </si>
  <si>
    <t>Hiệu trưởng</t>
  </si>
  <si>
    <t>RHQ1</t>
  </si>
  <si>
    <t>RHQ2</t>
  </si>
  <si>
    <t>RHQ3</t>
  </si>
  <si>
    <t>Phó Ban (70%)</t>
  </si>
  <si>
    <t>NguyÔn V¨n L©m</t>
  </si>
  <si>
    <t>Đoàn Thu</t>
  </si>
  <si>
    <t>Đinh Quang</t>
  </si>
  <si>
    <t>Ngô Thị Thanh</t>
  </si>
  <si>
    <t>Bùi Thị</t>
  </si>
  <si>
    <t>Là</t>
  </si>
  <si>
    <t>Phạm Hương</t>
  </si>
  <si>
    <t>Ngô Xuân</t>
  </si>
  <si>
    <t>004.002.01224</t>
  </si>
  <si>
    <t>004.090.02106</t>
  </si>
  <si>
    <t>004.002.01058</t>
  </si>
  <si>
    <t>004.090.01581</t>
  </si>
  <si>
    <t>004.002.01505</t>
  </si>
  <si>
    <t>004.002.00825</t>
  </si>
  <si>
    <t>004.002.00196</t>
  </si>
  <si>
    <t>004.090.01583</t>
  </si>
  <si>
    <t>004.002.01508</t>
  </si>
  <si>
    <t>004.002.00189</t>
  </si>
  <si>
    <t>004.090.01817</t>
  </si>
  <si>
    <t>004.090.01709</t>
  </si>
  <si>
    <t>004.090.01886</t>
  </si>
  <si>
    <t>004.090.02191</t>
  </si>
  <si>
    <t>004.090.01767</t>
  </si>
  <si>
    <t>004.002.01507</t>
  </si>
  <si>
    <t>004.002.00927</t>
  </si>
  <si>
    <t>004.002.00191</t>
  </si>
  <si>
    <t>004.002.01404</t>
  </si>
  <si>
    <t>004.002.00195</t>
  </si>
  <si>
    <t>004.002.00193</t>
  </si>
  <si>
    <t>004.090.01584</t>
  </si>
  <si>
    <t>004.090.02107</t>
  </si>
  <si>
    <t>004.002.00152</t>
  </si>
  <si>
    <t>004.090.01328</t>
  </si>
  <si>
    <t>004.090.01993</t>
  </si>
  <si>
    <t>004.090.01615</t>
  </si>
  <si>
    <t>004.090.02007</t>
  </si>
  <si>
    <t>004.090.02099</t>
  </si>
  <si>
    <t>004.090.02100</t>
  </si>
  <si>
    <t>004.090.02186</t>
  </si>
  <si>
    <t>004.008.01398</t>
  </si>
  <si>
    <t>004.006.00481</t>
  </si>
  <si>
    <t>004.006.00852</t>
  </si>
  <si>
    <t>004.006.00873</t>
  </si>
  <si>
    <t>004.090.01814</t>
  </si>
  <si>
    <t>004.090.01931</t>
  </si>
  <si>
    <t>004.006.01499</t>
  </si>
  <si>
    <t>004.090.01775</t>
  </si>
  <si>
    <t>004.090.02002</t>
  </si>
  <si>
    <t>004.090.02101</t>
  </si>
  <si>
    <t>004.090.02260</t>
  </si>
  <si>
    <t>004.007.01400</t>
  </si>
  <si>
    <t>004.007.00911</t>
  </si>
  <si>
    <t>004.007.00841</t>
  </si>
  <si>
    <t>004.007.00843</t>
  </si>
  <si>
    <t>004.024.00795</t>
  </si>
  <si>
    <t>004.090.01016</t>
  </si>
  <si>
    <t>004.007.00910</t>
  </si>
  <si>
    <t>004.007.00842</t>
  </si>
  <si>
    <t>004.007.00514</t>
  </si>
  <si>
    <t>004.090.01715</t>
  </si>
  <si>
    <t>004.090.01933</t>
  </si>
  <si>
    <t>004.090.02187</t>
  </si>
  <si>
    <t>004.090.02029</t>
  </si>
  <si>
    <t>004.090.02017</t>
  </si>
  <si>
    <t>004.005.00920</t>
  </si>
  <si>
    <t>004.005.00419</t>
  </si>
  <si>
    <t>004.005.00421</t>
  </si>
  <si>
    <t>004.090.01231</t>
  </si>
  <si>
    <t>004.005.00833</t>
  </si>
  <si>
    <t>004.005.00921</t>
  </si>
  <si>
    <t>004.090.02093</t>
  </si>
  <si>
    <t>004.090.02183</t>
  </si>
  <si>
    <t>004.008.01197</t>
  </si>
  <si>
    <t>004.008.01136</t>
  </si>
  <si>
    <t>004.008.01062</t>
  </si>
  <si>
    <t>004.008.00463</t>
  </si>
  <si>
    <t>004.006.01396</t>
  </si>
  <si>
    <t>004.008.01279</t>
  </si>
  <si>
    <t>004.008.01282</t>
  </si>
  <si>
    <t>004.008.00870</t>
  </si>
  <si>
    <t>004.090.02094</t>
  </si>
  <si>
    <t>004.090.02184</t>
  </si>
  <si>
    <t>004.006.01397</t>
  </si>
  <si>
    <t>004.008.01280</t>
  </si>
  <si>
    <t>004.008.01198</t>
  </si>
  <si>
    <t>004.008.01134</t>
  </si>
  <si>
    <t>004.008.00836</t>
  </si>
  <si>
    <t>004.090.02001</t>
  </si>
  <si>
    <t>004.008.01084</t>
  </si>
  <si>
    <t>004.008.00878</t>
  </si>
  <si>
    <t>004.008.00874</t>
  </si>
  <si>
    <t>004.008.00453</t>
  </si>
  <si>
    <t>Vượt 
từ 201
trở lên</t>
  </si>
  <si>
    <t>Tổng số 
tiền thanh toán
(đồng)</t>
  </si>
  <si>
    <t>Học kỳ I</t>
  </si>
  <si>
    <t>Học kỳ II</t>
  </si>
  <si>
    <t>Cả năm</t>
  </si>
  <si>
    <t>Học kỳ II_Cả năm</t>
  </si>
  <si>
    <t>Hướng</t>
  </si>
  <si>
    <t>Trần Thế</t>
  </si>
  <si>
    <t>Ngân</t>
  </si>
  <si>
    <t>Dương Đức</t>
  </si>
  <si>
    <t>Lê Thị Kim</t>
  </si>
  <si>
    <t>Hà Thị Hồng</t>
  </si>
  <si>
    <t>Yến</t>
  </si>
  <si>
    <t>Trần Khánh</t>
  </si>
  <si>
    <t>Dư</t>
  </si>
  <si>
    <t xml:space="preserve">Con nhỏ 04/2017 (20%). </t>
  </si>
  <si>
    <t>Con nhỏ 05/2017 (20%)</t>
  </si>
  <si>
    <t xml:space="preserve">Con nhỏ 01/2018 (20%). </t>
  </si>
  <si>
    <t>Con nhỏ 06/2017 (20%)</t>
  </si>
  <si>
    <t xml:space="preserve">Con nhỏ (02/2017) (20%) </t>
  </si>
  <si>
    <t>Tạm hoãn HĐLV từ 06/2018</t>
  </si>
  <si>
    <t>Phó Phòng TN (10%)</t>
  </si>
  <si>
    <t>Con nhỏ 09/2017 (20%)</t>
  </si>
  <si>
    <t>PTN14</t>
  </si>
  <si>
    <t>PTN01</t>
  </si>
  <si>
    <t>PTN18</t>
  </si>
  <si>
    <t>PTN07</t>
  </si>
  <si>
    <t>PTN06</t>
  </si>
  <si>
    <t>PTN20</t>
  </si>
  <si>
    <t>PTN19</t>
  </si>
  <si>
    <t>PTN09</t>
  </si>
  <si>
    <t>PTN11</t>
  </si>
  <si>
    <t>PTN03</t>
  </si>
  <si>
    <t>PTN12</t>
  </si>
  <si>
    <t>PTN10</t>
  </si>
  <si>
    <t>PTN08</t>
  </si>
  <si>
    <t>KNN11</t>
  </si>
  <si>
    <t>KNN15</t>
  </si>
  <si>
    <t>KNN01</t>
  </si>
  <si>
    <t>KNN12</t>
  </si>
  <si>
    <t>KNN13</t>
  </si>
  <si>
    <t>- Trî lý §µo t¹o vµ Sau §¹i häc</t>
  </si>
  <si>
    <t>DVI</t>
  </si>
  <si>
    <t>Ma-CB</t>
  </si>
  <si>
    <t>MGV</t>
  </si>
  <si>
    <t>MCB</t>
  </si>
  <si>
    <t>SLY05</t>
  </si>
  <si>
    <t>XHH01</t>
  </si>
  <si>
    <t>PPGD</t>
  </si>
  <si>
    <t>Đã nhận 
III
(đồng)</t>
  </si>
  <si>
    <t>Quang</t>
  </si>
  <si>
    <t>Bộ môn</t>
  </si>
  <si>
    <t>Số 
miễn giảm</t>
  </si>
  <si>
    <t>Số tiết trừ cho CB bị âm tiết</t>
  </si>
  <si>
    <t>Tiết 
thanh
 toán</t>
  </si>
  <si>
    <t>Hoàn thành NCKH (tiết)</t>
  </si>
  <si>
    <t>Thiếu
NCKH
(tiết)</t>
  </si>
  <si>
    <t>KL phải
đảm nhận
(tiết)</t>
  </si>
  <si>
    <t>Hương</t>
  </si>
  <si>
    <t>Dinh muc</t>
  </si>
  <si>
    <t>Lê Anh</t>
  </si>
  <si>
    <t>Đặng Ngọc</t>
  </si>
  <si>
    <t>K_PTRT</t>
  </si>
  <si>
    <t>004.090.01008</t>
  </si>
  <si>
    <t>004.004.01080</t>
  </si>
  <si>
    <t>004.090.01649</t>
  </si>
  <si>
    <t>004.090.01719</t>
  </si>
  <si>
    <t>004.090.01741</t>
  </si>
  <si>
    <t>004.090.01764</t>
  </si>
  <si>
    <t>004.011.01518</t>
  </si>
  <si>
    <t>004.005.01391</t>
  </si>
  <si>
    <t>004.005.01414</t>
  </si>
  <si>
    <t>004.005.00416</t>
  </si>
  <si>
    <t>004.090.01572</t>
  </si>
  <si>
    <t>004.005.00834</t>
  </si>
  <si>
    <t>004.090.01907</t>
  </si>
  <si>
    <t>004.090.01555</t>
  </si>
  <si>
    <t>004.090.01523</t>
  </si>
  <si>
    <t>004.090.01698</t>
  </si>
  <si>
    <t>004.090.01974</t>
  </si>
  <si>
    <t>004.090.02195</t>
  </si>
  <si>
    <t>004.090.02163</t>
  </si>
  <si>
    <t>004.001.00822</t>
  </si>
  <si>
    <t>004.001.01075</t>
  </si>
  <si>
    <t>004.001.00096</t>
  </si>
  <si>
    <t>004.090.01725</t>
  </si>
  <si>
    <t>004.090.01983</t>
  </si>
  <si>
    <t>TBI05</t>
  </si>
  <si>
    <t>TBI09</t>
  </si>
  <si>
    <t>TBI08</t>
  </si>
  <si>
    <t>TBI04</t>
  </si>
  <si>
    <t>TBI02</t>
  </si>
  <si>
    <t>HTD10</t>
  </si>
  <si>
    <t>004.008.01399</t>
  </si>
  <si>
    <t>HTD12</t>
  </si>
  <si>
    <t>HTD08</t>
  </si>
  <si>
    <t>HTD01</t>
  </si>
  <si>
    <t>HTD02</t>
  </si>
  <si>
    <t>HTD09</t>
  </si>
  <si>
    <t>HTD07</t>
  </si>
  <si>
    <t>KT009</t>
  </si>
  <si>
    <t>KT007</t>
  </si>
  <si>
    <t>KT001</t>
  </si>
  <si>
    <t>KT013</t>
  </si>
  <si>
    <t>KT004</t>
  </si>
  <si>
    <t>K_HT</t>
  </si>
  <si>
    <t>T­¬ng ®­¬ng GVC</t>
  </si>
  <si>
    <t>GVCC c¬ së</t>
  </si>
  <si>
    <t>M14</t>
  </si>
  <si>
    <t>Trưởng Khoa GDQP</t>
  </si>
  <si>
    <t>TËp sù c¬ b¶n</t>
  </si>
  <si>
    <t>12_A</t>
  </si>
  <si>
    <t>12_B</t>
  </si>
  <si>
    <t>Số tiết 
còn lại 
thanh
 toán
(tiết)</t>
  </si>
  <si>
    <t>Tổng tiền vượt giờ (10.000đ)</t>
  </si>
  <si>
    <t>Tiền vượt giờ BQ (1.000đ)</t>
  </si>
  <si>
    <t>Marketing</t>
  </si>
  <si>
    <t>K_PCty</t>
  </si>
  <si>
    <t>Số chi thừa đã trừ
(đồng)</t>
  </si>
  <si>
    <t>Bổ sung số thiếu năm học trước
(đồng)</t>
  </si>
  <si>
    <t>Truy 
thu lại
(đồng)</t>
  </si>
  <si>
    <t>Số giờ 
hoàn thành
BQ/GV</t>
  </si>
  <si>
    <t>Hồ Thị Lam</t>
  </si>
  <si>
    <t>Phã Gi¸o s­ GDTC</t>
  </si>
  <si>
    <t>Cu</t>
  </si>
  <si>
    <t>Cong 10</t>
  </si>
  <si>
    <t>CNCK4</t>
  </si>
  <si>
    <t>CLNG</t>
  </si>
  <si>
    <t>TKTN</t>
  </si>
  <si>
    <t>DTDV3</t>
  </si>
  <si>
    <t>M01</t>
  </si>
  <si>
    <t>GVC C¬ b¶n</t>
  </si>
  <si>
    <t>CB4</t>
  </si>
  <si>
    <t>GVCC c¬ b¶n</t>
  </si>
  <si>
    <t>TËp sù GDTC</t>
  </si>
  <si>
    <t>GV GDTC</t>
  </si>
  <si>
    <t>GVC GDTC</t>
  </si>
  <si>
    <t>QS1</t>
  </si>
  <si>
    <t>QN chuyÓn ngµnh</t>
  </si>
  <si>
    <t>QS2</t>
  </si>
  <si>
    <t>201 - 400</t>
  </si>
  <si>
    <t>401 - 600</t>
  </si>
  <si>
    <t>M3_1</t>
  </si>
  <si>
    <t>M3_2</t>
  </si>
  <si>
    <t>M3_3</t>
  </si>
  <si>
    <t>Ân</t>
  </si>
  <si>
    <t>Nguyên</t>
  </si>
  <si>
    <t>Trịnh Quang</t>
  </si>
  <si>
    <t>Phạm Châu</t>
  </si>
  <si>
    <t>Lý Thị Thu</t>
  </si>
  <si>
    <t>Hồ Thị Thúy</t>
  </si>
  <si>
    <t>NN015</t>
  </si>
  <si>
    <t>NN011</t>
  </si>
  <si>
    <t>NN019</t>
  </si>
  <si>
    <t>NN022</t>
  </si>
  <si>
    <t>NN026</t>
  </si>
  <si>
    <t>NN027</t>
  </si>
  <si>
    <t>NN028</t>
  </si>
  <si>
    <t>NN024</t>
  </si>
  <si>
    <t>NN004</t>
  </si>
  <si>
    <t>NN005</t>
  </si>
  <si>
    <t>Tự động hóa</t>
  </si>
  <si>
    <t>Trưởng phòng</t>
  </si>
  <si>
    <t>004.004.00323</t>
  </si>
  <si>
    <t>004.090.01355</t>
  </si>
  <si>
    <t>004.004.00292</t>
  </si>
  <si>
    <t>004.004.00881</t>
  </si>
  <si>
    <t>004.004.00334</t>
  </si>
  <si>
    <t>004.004.00337</t>
  </si>
  <si>
    <t>Lươngtại thời điểm tháng 07 năm trước</t>
  </si>
  <si>
    <t>Cơ sở kỹ thuật điện</t>
  </si>
  <si>
    <t>Công nghệ cơ khí</t>
  </si>
  <si>
    <t>Máy nông nghiệp</t>
  </si>
  <si>
    <t>Động lực</t>
  </si>
  <si>
    <t>TB bảo quản và CBNS</t>
  </si>
  <si>
    <t>Phạm Thị Bích</t>
  </si>
  <si>
    <t>Mien giam</t>
  </si>
  <si>
    <t>Số tiết thiếu
(tiết)</t>
  </si>
  <si>
    <t>Xác định nhu cầu GV</t>
  </si>
  <si>
    <t>Số giờ 
BQ/GV</t>
  </si>
  <si>
    <t>Kinh tế</t>
  </si>
  <si>
    <t>Kinh tế Tài nguyên và MT</t>
  </si>
  <si>
    <t>Phát triển nông thôn</t>
  </si>
  <si>
    <t xml:space="preserve">Kinh tế NN và Chính sách </t>
  </si>
  <si>
    <t>Phân tích định lượng</t>
  </si>
  <si>
    <t>Nguyên lý của CN Mác - Lênin</t>
  </si>
  <si>
    <t>Đường lối CM của ĐCSVN</t>
  </si>
  <si>
    <t>Tư tưởng Hồ Chí Minh</t>
  </si>
  <si>
    <t>Pháp luật</t>
  </si>
  <si>
    <t>Xã hội học</t>
  </si>
  <si>
    <t>Phương pháp giáo dục</t>
  </si>
  <si>
    <t>Tâm lý</t>
  </si>
  <si>
    <t>HS-CN sinh học thực phẩm</t>
  </si>
  <si>
    <t>Công nghệ chế biến</t>
  </si>
  <si>
    <t>Công nghệ Sau thu hoạch</t>
  </si>
  <si>
    <t>Thực phẩm và Dinh dưỡng</t>
  </si>
  <si>
    <t>Ký sinh trùng</t>
  </si>
  <si>
    <t>Thú y cộng đồng</t>
  </si>
  <si>
    <t>Nội - Chẩn - Dược lý</t>
  </si>
  <si>
    <t>Ngoại sản</t>
  </si>
  <si>
    <t>Tổ chức - Giải phẫu - Phôi thai</t>
  </si>
  <si>
    <t>VSV - Truyền nhiễm</t>
  </si>
  <si>
    <t xml:space="preserve">Bệnh lý thú y   </t>
  </si>
  <si>
    <t>Bệnh viện Thú y</t>
  </si>
  <si>
    <t>Toán</t>
  </si>
  <si>
    <t>Vật lý</t>
  </si>
  <si>
    <t>Công nghệ phần mềm</t>
  </si>
  <si>
    <t>Khoa học máy tính</t>
  </si>
  <si>
    <t>Nam</t>
  </si>
  <si>
    <t>Trung</t>
  </si>
  <si>
    <t>Linh</t>
  </si>
  <si>
    <t>Quý</t>
  </si>
  <si>
    <t>TDTT2</t>
  </si>
  <si>
    <t>CS31</t>
  </si>
  <si>
    <t>CB31</t>
  </si>
  <si>
    <t>Phã Gi¸o s­ c¬ së</t>
  </si>
  <si>
    <t>Phã Gi¸o s­ C¬ b¶n</t>
  </si>
  <si>
    <t>CT31</t>
  </si>
  <si>
    <t>Phã Gi¸o s­ chÝnh trÞ</t>
  </si>
  <si>
    <t>TT31</t>
  </si>
  <si>
    <t>Năm</t>
  </si>
  <si>
    <t>HOHO1</t>
  </si>
  <si>
    <t>Lý Thanh</t>
  </si>
  <si>
    <t>Trần Đình</t>
  </si>
  <si>
    <t>Chiến</t>
  </si>
  <si>
    <t>Nguyễn Minh</t>
  </si>
  <si>
    <t>Năm 2004-2005</t>
  </si>
  <si>
    <t>Năm 2005-2006</t>
  </si>
  <si>
    <t>Năm 2006-2007</t>
  </si>
  <si>
    <t>Sinh lý thực vật</t>
  </si>
  <si>
    <t>Phó Giáo sư</t>
  </si>
  <si>
    <t>Thực vật</t>
  </si>
  <si>
    <t>Chăn nuôi chuyên khoa</t>
  </si>
  <si>
    <t>G2</t>
  </si>
  <si>
    <t>Nguyễn Thị</t>
  </si>
  <si>
    <t>Hòa</t>
  </si>
  <si>
    <t>Bùi Văn</t>
  </si>
  <si>
    <t>Nguyễn Thị Lâm</t>
  </si>
  <si>
    <t>Phan Thị Phương</t>
  </si>
  <si>
    <t>Thảo</t>
  </si>
  <si>
    <t>Vũ Quỳnh</t>
  </si>
  <si>
    <t>Đinh Thị</t>
  </si>
  <si>
    <t>Nguyễn Mạnh</t>
  </si>
  <si>
    <t>Moi+10</t>
  </si>
  <si>
    <t>NHOM</t>
  </si>
  <si>
    <t>Nguyễn Thị Khánh</t>
  </si>
  <si>
    <t>Biển</t>
  </si>
  <si>
    <t>Hưởng</t>
  </si>
  <si>
    <t>Thực</t>
  </si>
  <si>
    <t>Vũ Khắc</t>
  </si>
  <si>
    <t>Miễn 100%. Đi nước ngoài</t>
  </si>
  <si>
    <t>Trợ lý tổ chức (Phạm Thanh Cường, Lê Ngọc Hướng)</t>
  </si>
  <si>
    <t>Cao học và NCS trong nước</t>
  </si>
  <si>
    <t>Nghỉ dẻ</t>
  </si>
  <si>
    <t>KL đảm nhận
trừ miễn giảm</t>
  </si>
  <si>
    <t>Giá &gt; 200</t>
  </si>
  <si>
    <t>Kiên</t>
  </si>
  <si>
    <t>Nguyễn Đức</t>
  </si>
  <si>
    <t>Tiếng Anh cơ bản</t>
  </si>
  <si>
    <t>Tiếng Anh chuyên nghiệp</t>
  </si>
  <si>
    <t>RHQ và Cảnh quan</t>
  </si>
  <si>
    <t>GVCC chÝnh trÞ</t>
  </si>
  <si>
    <t>Tõ khi nµo ?</t>
  </si>
  <si>
    <t>03/2008 -06/2008</t>
  </si>
  <si>
    <t>2008 - 2009</t>
  </si>
  <si>
    <t>CNCK1</t>
  </si>
  <si>
    <t>DDTA1</t>
  </si>
  <si>
    <t>NTTS1</t>
  </si>
  <si>
    <t>HSSL1</t>
  </si>
  <si>
    <t>CT1</t>
  </si>
  <si>
    <t>Mức miễn giảm thấp thực hiện cho cỏc Phũng/Ban: Bảo vệ, Viện Đào tạo Sau đại học, Trung tõm thể thao văn hoỏ, Trung tõm thụng tin thư viện, Trung tõm khảo thớ và đảm bảo chất lượng, Ban Thanh tra giỏo dục.</t>
  </si>
  <si>
    <t>Ba</t>
  </si>
  <si>
    <t>Nga</t>
  </si>
  <si>
    <t>CB3</t>
  </si>
  <si>
    <t>CB2</t>
  </si>
  <si>
    <t>Tạ Quang</t>
  </si>
  <si>
    <t>Giảng</t>
  </si>
  <si>
    <t>Trương Thị Thu</t>
  </si>
  <si>
    <t>Nguyễn Đắc</t>
  </si>
  <si>
    <t>Trần Lê</t>
  </si>
  <si>
    <t>Đỗ Thị Kim</t>
  </si>
  <si>
    <t>Trịnh Thị Ngọc</t>
  </si>
  <si>
    <t>Nguyễn Thị Lập</t>
  </si>
  <si>
    <t>Ngô Trung</t>
  </si>
  <si>
    <t>Diễn</t>
  </si>
  <si>
    <t>Bùi Thị Hải</t>
  </si>
  <si>
    <t>Trần Thị Hà</t>
  </si>
  <si>
    <t>Nguyễn Huyền</t>
  </si>
  <si>
    <t>Lê Thị Hồng</t>
  </si>
  <si>
    <t>Tâm</t>
  </si>
  <si>
    <t>Hà Thị</t>
  </si>
  <si>
    <t>Trần Thị Tuyết</t>
  </si>
  <si>
    <t xml:space="preserve">Số tiết và Số tiền thanh toán </t>
  </si>
  <si>
    <t>K_M65</t>
  </si>
  <si>
    <t>Nguyễn Thị Hải</t>
  </si>
  <si>
    <t xml:space="preserve">Hoàng Thị </t>
  </si>
  <si>
    <t>Khuynh</t>
  </si>
  <si>
    <t>Tổng hợp</t>
  </si>
  <si>
    <t>Đơn vị</t>
  </si>
  <si>
    <t>ĐH</t>
  </si>
  <si>
    <t>004.002.01405</t>
  </si>
  <si>
    <t>004.090.01582</t>
  </si>
  <si>
    <t>GVC chÝnh trÞ</t>
  </si>
  <si>
    <t>CT4</t>
  </si>
  <si>
    <t>004.090.01329</t>
  </si>
  <si>
    <t>004.006.01408</t>
  </si>
  <si>
    <t>004.004.01288</t>
  </si>
  <si>
    <t>004.004.01127</t>
  </si>
  <si>
    <t>004.004.00351</t>
  </si>
  <si>
    <t>004.090.01644</t>
  </si>
  <si>
    <t>004.090.01821</t>
  </si>
  <si>
    <t>004.090.01818</t>
  </si>
  <si>
    <t>004.090.01819</t>
  </si>
  <si>
    <t>004.090.01820</t>
  </si>
  <si>
    <t>004.004.01178</t>
  </si>
  <si>
    <t>004.004.01079</t>
  </si>
  <si>
    <t>004.004.00830</t>
  </si>
  <si>
    <t>004.010.01509</t>
  </si>
  <si>
    <t>004.006.01409</t>
  </si>
  <si>
    <t>004.004.00923</t>
  </si>
  <si>
    <t>004.004.01128</t>
  </si>
  <si>
    <t>004.004.01289</t>
  </si>
  <si>
    <t>004.004.01290</t>
  </si>
  <si>
    <t>004.004.01180</t>
  </si>
  <si>
    <t>004.004.00864</t>
  </si>
  <si>
    <t>004.004.00863</t>
  </si>
  <si>
    <t>CB, NN, LLCT, QPAN_TËp sù cßn l¹i</t>
  </si>
  <si>
    <t>GDTC_TËp sù cßn l¹i</t>
  </si>
  <si>
    <t>Ren nghe_TËp sù cßn l¹i</t>
  </si>
  <si>
    <t>CB, NN, LLCT, QPAN_TËp sù TiÕn sÜ</t>
  </si>
  <si>
    <t>GDTC_TËp sù TiÕn sÜ</t>
  </si>
  <si>
    <t>Ren nghe_TËp sù TiÕn sÜ</t>
  </si>
  <si>
    <t>Tạm hoãn HĐLV từ 03/2018
Con nhỏ 08/2018 (20%)</t>
  </si>
  <si>
    <t>Phó Tổng BT Tạp chí (70%)</t>
  </si>
  <si>
    <t>Con nhỏ 11/2017 (20%)</t>
  </si>
  <si>
    <t>Đi NN từ 07/2018</t>
  </si>
  <si>
    <t>TOA18</t>
  </si>
  <si>
    <t>TOA04</t>
  </si>
  <si>
    <t>TOA09</t>
  </si>
  <si>
    <t>VLY11</t>
  </si>
  <si>
    <t>VLY12</t>
  </si>
  <si>
    <t>VLY10</t>
  </si>
  <si>
    <t>VLY02</t>
  </si>
  <si>
    <t>VLY08</t>
  </si>
  <si>
    <t>VLY14</t>
  </si>
  <si>
    <t>VLY09</t>
  </si>
  <si>
    <t>VLY15</t>
  </si>
  <si>
    <t>CNP05</t>
  </si>
  <si>
    <t>CNP11</t>
  </si>
  <si>
    <t>CNP12</t>
  </si>
  <si>
    <t>CNP02</t>
  </si>
  <si>
    <t>CNP07</t>
  </si>
  <si>
    <t>CNP09</t>
  </si>
  <si>
    <t>CNP14</t>
  </si>
  <si>
    <t>CNP03</t>
  </si>
  <si>
    <t>MTI10</t>
  </si>
  <si>
    <t>MTI11</t>
  </si>
  <si>
    <t>MTI05</t>
  </si>
  <si>
    <t>MTI01</t>
  </si>
  <si>
    <t>MTI02</t>
  </si>
  <si>
    <t>MTI03</t>
  </si>
  <si>
    <t>MTI12</t>
  </si>
  <si>
    <t>MTI13</t>
  </si>
  <si>
    <t>QLCL và An toàn thực phẩm</t>
  </si>
  <si>
    <t>Thay Th«ng</t>
  </si>
  <si>
    <t>Lª V¨n Dòng</t>
  </si>
  <si>
    <t>Thay HiÓn</t>
  </si>
  <si>
    <t>Hoàng Thị Thanh</t>
  </si>
  <si>
    <t>Trần Như</t>
  </si>
  <si>
    <t>Khuyên</t>
  </si>
  <si>
    <t>Hoàng Xuân</t>
  </si>
  <si>
    <t>Phạm Đức</t>
  </si>
  <si>
    <t>Thương</t>
  </si>
  <si>
    <t>Vũ Hải</t>
  </si>
  <si>
    <t>Đào Xuân</t>
  </si>
  <si>
    <t>Tiến</t>
  </si>
  <si>
    <t>Ngô Quang</t>
  </si>
  <si>
    <t>Phó Bộ môn (15%)
NCS (05/2016-05/2019)
Bí thư liên chi (40%) từ 10/2019</t>
  </si>
  <si>
    <t>Về từ 08/2019
Đi NN từ 01/2020</t>
  </si>
  <si>
    <t>004.005.00831</t>
  </si>
  <si>
    <t>004.005.01494</t>
  </si>
  <si>
    <t>004.090.01763</t>
  </si>
  <si>
    <t>004.090.01932</t>
  </si>
  <si>
    <t>004.090.01640</t>
  </si>
  <si>
    <t>004.005.01130</t>
  </si>
  <si>
    <t>004.005.01069</t>
  </si>
  <si>
    <t>004.005.01493</t>
  </si>
  <si>
    <t>004.005.00408</t>
  </si>
  <si>
    <t>004.005.00407</t>
  </si>
  <si>
    <t>004.090.01573</t>
  </si>
  <si>
    <t>004.090.01642</t>
  </si>
  <si>
    <t>004.005.01756</t>
  </si>
  <si>
    <t>004.090.01769</t>
  </si>
  <si>
    <t>004.090.01627</t>
  </si>
  <si>
    <t>004.005.01388</t>
  </si>
  <si>
    <t>004.090.01733</t>
  </si>
  <si>
    <t>004.090.01813</t>
  </si>
  <si>
    <t>004.005.00422</t>
  </si>
  <si>
    <t>004.005.01495</t>
  </si>
  <si>
    <t>004.005.01132</t>
  </si>
  <si>
    <t>004.005.00859</t>
  </si>
  <si>
    <t>004.005.00424</t>
  </si>
  <si>
    <t>004.005.00423</t>
  </si>
  <si>
    <t>004.005.00882</t>
  </si>
  <si>
    <t>004.090.01641</t>
  </si>
  <si>
    <t>004.090.01699</t>
  </si>
  <si>
    <t>004.090.01812</t>
  </si>
  <si>
    <t>STT</t>
  </si>
  <si>
    <t>M·</t>
  </si>
  <si>
    <t>TiÕt</t>
  </si>
  <si>
    <t>NCKH</t>
  </si>
  <si>
    <t>Gi¶i thÝch</t>
  </si>
  <si>
    <t>1-200</t>
  </si>
  <si>
    <t>201-400</t>
  </si>
  <si>
    <t>401-600</t>
  </si>
  <si>
    <t>TËp sù C¬ së</t>
  </si>
  <si>
    <t>GV c¬ së</t>
  </si>
  <si>
    <t>TV2</t>
  </si>
  <si>
    <t>T­¬ng ®­¬ng GV</t>
  </si>
  <si>
    <t>GVC c¬ së</t>
  </si>
  <si>
    <t>TV3</t>
  </si>
  <si>
    <t>SĐH</t>
  </si>
  <si>
    <t>NH</t>
  </si>
  <si>
    <t>CĐ</t>
  </si>
  <si>
    <t>KT-PTPT</t>
  </si>
  <si>
    <t>LLCT-XH</t>
  </si>
  <si>
    <t>SP-NN</t>
  </si>
  <si>
    <t>CNTP</t>
  </si>
  <si>
    <t>Thú y</t>
  </si>
  <si>
    <t>CNTT</t>
  </si>
  <si>
    <t>KT-QTKD</t>
  </si>
  <si>
    <t>TT Thực nghiệm</t>
  </si>
  <si>
    <t>GDQP</t>
  </si>
  <si>
    <t>Mã</t>
  </si>
  <si>
    <t>CNSH</t>
  </si>
  <si>
    <t>HTN09</t>
  </si>
  <si>
    <t>HTN10</t>
  </si>
  <si>
    <t>HTN02</t>
  </si>
  <si>
    <t>Đi NN từ 11/2017</t>
  </si>
  <si>
    <t>Bí thư liên chi (40%)</t>
  </si>
  <si>
    <t>Tong tien</t>
  </si>
  <si>
    <t>Binh quan tien</t>
  </si>
  <si>
    <t>Hoµng V¨n §øc</t>
  </si>
  <si>
    <t>Phan V¨n Khuª</t>
  </si>
  <si>
    <t>ĐT
ĐH</t>
  </si>
  <si>
    <t>ĐT
SĐH</t>
  </si>
  <si>
    <t>Cộng</t>
  </si>
  <si>
    <t>Tổng HSL</t>
  </si>
  <si>
    <t xml:space="preserve">Số tiền thanh toán </t>
  </si>
  <si>
    <t>NguyÔn ThÞ Khanh</t>
  </si>
  <si>
    <t xml:space="preserve"> - Trî lý: Tæ chøc</t>
  </si>
  <si>
    <t>Thay Dòng</t>
  </si>
  <si>
    <t>Trî lý Khoa häc vµ Sau §¹i häc</t>
  </si>
  <si>
    <t>TrÇn Thuý Lan</t>
  </si>
  <si>
    <t>004.005.00832</t>
  </si>
  <si>
    <t>004.090.01830</t>
  </si>
  <si>
    <t>004.090.02194</t>
  </si>
  <si>
    <t>004.005.00432</t>
  </si>
  <si>
    <t>004.005.00886</t>
  </si>
  <si>
    <t>004.011.01521</t>
  </si>
  <si>
    <t>004.005.01393</t>
  </si>
  <si>
    <t>004.090.01422</t>
  </si>
  <si>
    <t>004.005.01133</t>
  </si>
  <si>
    <t>004.005.00858</t>
  </si>
  <si>
    <t>004.090.01652</t>
  </si>
  <si>
    <t>004.090.01653</t>
  </si>
  <si>
    <t>004.013.01524</t>
  </si>
  <si>
    <t>004.090.01704</t>
  </si>
  <si>
    <t>004.090.01721</t>
  </si>
  <si>
    <t>004.090.01831</t>
  </si>
  <si>
    <t>004.090.01912</t>
  </si>
  <si>
    <t>004.090.02024</t>
  </si>
  <si>
    <t>004.001.00057</t>
  </si>
  <si>
    <t>004.090.01560</t>
  </si>
  <si>
    <t>004.001.01119</t>
  </si>
  <si>
    <t>004.001.01259</t>
  </si>
  <si>
    <t>004.090.01731</t>
  </si>
  <si>
    <t>004.001.01473</t>
  </si>
  <si>
    <t>004.001.01474</t>
  </si>
  <si>
    <t>004.001.01052</t>
  </si>
  <si>
    <t>004.090.01561</t>
  </si>
  <si>
    <t>004.090.01559</t>
  </si>
  <si>
    <t>004.090.01832</t>
  </si>
  <si>
    <t>004.090.00898</t>
  </si>
  <si>
    <t>004.002.01076</t>
  </si>
  <si>
    <t>004.090.01533</t>
  </si>
  <si>
    <t>004.090.01558</t>
  </si>
  <si>
    <t>004.090.01556</t>
  </si>
  <si>
    <t>004.090.01557</t>
  </si>
  <si>
    <t>004.090.01562</t>
  </si>
  <si>
    <t>004.003.01266</t>
  </si>
  <si>
    <t>004.003.01124</t>
  </si>
  <si>
    <t>004.090.01632</t>
  </si>
  <si>
    <t>004.090.02020</t>
  </si>
  <si>
    <t>004.090.01924</t>
  </si>
  <si>
    <t>004.090.00970</t>
  </si>
  <si>
    <t>004.003.00244</t>
  </si>
  <si>
    <t>004.003.01484</t>
  </si>
  <si>
    <t>004.003.01485</t>
  </si>
  <si>
    <t>Nguyễn Ích</t>
  </si>
  <si>
    <t>KHDT</t>
  </si>
  <si>
    <t>Quyên</t>
  </si>
  <si>
    <t>Nguyễn Vĩnh</t>
  </si>
  <si>
    <t>Bẩy</t>
  </si>
  <si>
    <t>Cao Thị Bích</t>
  </si>
  <si>
    <t>Trừ số chi thừa năm học trước
(đồng)</t>
  </si>
  <si>
    <t>ĐG</t>
  </si>
  <si>
    <t>Di truyền Giống gia súc</t>
  </si>
  <si>
    <t>MTTS</t>
  </si>
  <si>
    <t>QLĐĐ</t>
  </si>
  <si>
    <t>Trưởng Bộ môn (20%)
Phó Khoa (25%) từ 08/2019</t>
  </si>
  <si>
    <t>Giảng viên từ 08/2018</t>
  </si>
  <si>
    <t>Hết tập sự 08/2019</t>
  </si>
  <si>
    <t xml:space="preserve">Tạm hoãn HĐLV </t>
  </si>
  <si>
    <t>Phó BM (15%)</t>
  </si>
  <si>
    <t>Về từ 09/2015
Trưởng BM (40%) từ 12/2019</t>
  </si>
  <si>
    <t>QS012</t>
  </si>
  <si>
    <t>NCS 2017-2020 
Phó BT Đoàn HV (60%)
Bí thư Chi bộ (15%)</t>
  </si>
  <si>
    <t>Bí thư liên chi (40%) đến 12/2019. NCS (2018-2021)</t>
  </si>
  <si>
    <t>Bí thư liên chi (40%) đến 09/2019</t>
  </si>
  <si>
    <t>Bí thư liên chi (40%) từ 10/2019</t>
  </si>
  <si>
    <t>Bí thư liên chi (40%) từ 04/2019</t>
  </si>
  <si>
    <t xml:space="preserve">Bí thư liên chi (40%) đến 09/2019
Phó Bộ môn (15%)
Phó GĐ BV Thú y (15%) </t>
  </si>
  <si>
    <t xml:space="preserve">Phó Bộ môn (15%)
Phó GĐ BV Thú y (15%) </t>
  </si>
  <si>
    <t>Bí thư liên chi (40%) từ 12/2019</t>
  </si>
  <si>
    <t>Giám đốc Trung tâm (20%) đến 07/2019</t>
  </si>
  <si>
    <t>Ước</t>
  </si>
  <si>
    <t>Nguyễn Thị Huyền</t>
  </si>
  <si>
    <t>Phạm Thị Lan</t>
  </si>
  <si>
    <t>Trường</t>
  </si>
  <si>
    <t>Thọ</t>
  </si>
  <si>
    <t>Quỳnh</t>
  </si>
  <si>
    <t>Trí</t>
  </si>
  <si>
    <t>Ngô Minh</t>
  </si>
  <si>
    <t xml:space="preserve">Lương Thị </t>
  </si>
  <si>
    <t>Dân</t>
  </si>
  <si>
    <t>Thái Thị</t>
  </si>
  <si>
    <t>Đoàn Bích</t>
  </si>
  <si>
    <t>Đồng Thanh</t>
  </si>
  <si>
    <t>B11_3</t>
  </si>
  <si>
    <t>B11_4</t>
  </si>
  <si>
    <t>B11_5</t>
  </si>
  <si>
    <t>B11_6</t>
  </si>
  <si>
    <t>B11_7</t>
  </si>
  <si>
    <t>B11_8</t>
  </si>
  <si>
    <t>Co so</t>
  </si>
  <si>
    <t>CB, NN, LLCT, QPAN</t>
  </si>
  <si>
    <t>NguyÔn Xu©n B¾c</t>
  </si>
  <si>
    <t>Thay L©m</t>
  </si>
  <si>
    <t>NguyÔn H­¬ng Thuû</t>
  </si>
  <si>
    <t>Thay Thanh Thuû</t>
  </si>
  <si>
    <t>NguyÔn Thi Kim QuÕ</t>
  </si>
  <si>
    <t>Thay Thanh</t>
  </si>
  <si>
    <t>NguyÔn Duy B×nh</t>
  </si>
  <si>
    <t xml:space="preserve"> -Trî lý HT quèc tÕ</t>
  </si>
  <si>
    <t>Thay 1 phÇn Huy</t>
  </si>
  <si>
    <t>NguyÔn V¨n Ph­¬ng</t>
  </si>
  <si>
    <t>Thay Oanh</t>
  </si>
  <si>
    <t>Thay V¹n</t>
  </si>
  <si>
    <t>NguyÔn ThÞ TuyÕt Lª</t>
  </si>
  <si>
    <t>Thay Dung</t>
  </si>
  <si>
    <t>Vò ThÞ Thu HiÒn</t>
  </si>
  <si>
    <t>Võ Hữu</t>
  </si>
  <si>
    <t>GDT14</t>
  </si>
  <si>
    <t>GDT10</t>
  </si>
  <si>
    <t>GDT03</t>
  </si>
  <si>
    <t>GDT13</t>
  </si>
  <si>
    <t>GDT01</t>
  </si>
  <si>
    <t>GDT12</t>
  </si>
  <si>
    <t>GDT11</t>
  </si>
  <si>
    <t>GDT08</t>
  </si>
  <si>
    <t>GDT07</t>
  </si>
  <si>
    <t>GDT16</t>
  </si>
  <si>
    <t>GDT15</t>
  </si>
  <si>
    <t>GDT18</t>
  </si>
  <si>
    <t>GDT20</t>
  </si>
  <si>
    <t>Tien</t>
  </si>
  <si>
    <t>Max</t>
  </si>
  <si>
    <t>1_1</t>
  </si>
  <si>
    <t>1_2</t>
  </si>
  <si>
    <t>TrÇn ThÞ Minh H»ng</t>
  </si>
  <si>
    <t>Sau Đại học (tiết)</t>
  </si>
  <si>
    <t>Nghiên cứu khoa học (tiết)</t>
  </si>
  <si>
    <t>Tổng
HSL</t>
  </si>
  <si>
    <t>Mã
mới</t>
  </si>
  <si>
    <t>Tiết 
vượt
(1-200)</t>
  </si>
  <si>
    <t>Đơn giá vượt
(đồng)</t>
  </si>
  <si>
    <t>Thành 
tiền
(đồng)</t>
  </si>
  <si>
    <t>Về từ 09/2015</t>
  </si>
  <si>
    <t>Huấn</t>
  </si>
  <si>
    <t>Tưởng</t>
  </si>
  <si>
    <t>Lê Quốc</t>
  </si>
  <si>
    <t>M1_4</t>
  </si>
  <si>
    <t>Tõ 01/2008</t>
  </si>
  <si>
    <t>Trần Quốc</t>
  </si>
  <si>
    <t>Đoàn Thanh</t>
  </si>
  <si>
    <t>Dương Thị</t>
  </si>
  <si>
    <t>Nguyễn Thu</t>
  </si>
  <si>
    <t>Thúy</t>
  </si>
  <si>
    <t>Nguyễn Thị Bích</t>
  </si>
  <si>
    <t>Yên</t>
  </si>
  <si>
    <t>Hội</t>
  </si>
  <si>
    <t>Phan Thị Hải</t>
  </si>
  <si>
    <t>Luyến</t>
  </si>
  <si>
    <t>Đi NN từ 05/2017</t>
  </si>
  <si>
    <t>Bí thư Chi bộ (15%)</t>
  </si>
  <si>
    <t>Giám đốc TT (20%)
Bí thư Chi bộ (15%)</t>
  </si>
  <si>
    <t>CĐ tốt nghiệp</t>
  </si>
  <si>
    <t>Khối lượng hoàn thành  (tiết)</t>
  </si>
  <si>
    <t>Giờ hướng dẫn</t>
  </si>
  <si>
    <t xml:space="preserve">Con nhỏ 02/2016 (20%). </t>
  </si>
  <si>
    <t>NCS (05/2017-05/2020)</t>
  </si>
  <si>
    <t>NCS (11/2016-11/2019)</t>
  </si>
  <si>
    <t>Tong</t>
  </si>
  <si>
    <t>QMT11</t>
  </si>
  <si>
    <t>004.007.01624</t>
  </si>
  <si>
    <t>004.001.00804</t>
  </si>
  <si>
    <t>004.001.00090</t>
  </si>
  <si>
    <t>004.090.01633</t>
  </si>
  <si>
    <t>004.090.01634</t>
  </si>
  <si>
    <t>004.034.00778</t>
  </si>
  <si>
    <t>004.001.00089</t>
  </si>
  <si>
    <t>004.001.00087</t>
  </si>
  <si>
    <t>004.090.02115</t>
  </si>
  <si>
    <t>004.090.01144</t>
  </si>
  <si>
    <t>004.001.00915</t>
  </si>
  <si>
    <t>004.090.01209</t>
  </si>
  <si>
    <t>004.003.00879</t>
  </si>
  <si>
    <t>004.090.01702</t>
  </si>
  <si>
    <t>004.003.01379</t>
  </si>
  <si>
    <t>004.003.01188</t>
  </si>
  <si>
    <t>004.003.01126</t>
  </si>
  <si>
    <t>004.090.01809</t>
  </si>
  <si>
    <t>004.090.02339</t>
  </si>
  <si>
    <t>004.001.00088</t>
  </si>
  <si>
    <t>004.003.01488</t>
  </si>
  <si>
    <t>004.003.01378</t>
  </si>
  <si>
    <t>004.003.01267</t>
  </si>
  <si>
    <t>004.090.01566</t>
  </si>
  <si>
    <t>004.090.00994</t>
  </si>
  <si>
    <t>004.090.01939</t>
  </si>
  <si>
    <t>004.090.01165</t>
  </si>
  <si>
    <t>004.001.01478</t>
  </si>
  <si>
    <t>004.002.01372</t>
  </si>
  <si>
    <t>004.002.01056</t>
  </si>
  <si>
    <t>004.002.00972</t>
  </si>
  <si>
    <t>004.002.00926</t>
  </si>
  <si>
    <t>004.090.01806</t>
  </si>
  <si>
    <t>004.090.02088</t>
  </si>
  <si>
    <t>004.002.01120</t>
  </si>
  <si>
    <t>004.002.01371</t>
  </si>
  <si>
    <t>Phó Bí thư đoàn trường, Chu tich HSV</t>
  </si>
  <si>
    <t>004.090.02012</t>
  </si>
  <si>
    <t>004.090.02116</t>
  </si>
  <si>
    <t>004.090.02199</t>
  </si>
  <si>
    <t>Con nhỏ 03/2017 (20%).</t>
  </si>
  <si>
    <t>TOAN1</t>
  </si>
  <si>
    <t>VL1</t>
  </si>
  <si>
    <t>Đi NN từ 08/2014</t>
  </si>
  <si>
    <t>Đi NN từ 10/2014</t>
  </si>
  <si>
    <t>LYTT2</t>
  </si>
  <si>
    <t>TUHT2</t>
  </si>
  <si>
    <t>DLCM1</t>
  </si>
  <si>
    <t>Phạm Thị Minh</t>
  </si>
  <si>
    <t>Phượng</t>
  </si>
  <si>
    <t>Vũ Thanh</t>
  </si>
  <si>
    <t>Trần Thị Minh</t>
  </si>
  <si>
    <t>Nguyễn Anh</t>
  </si>
  <si>
    <t>Đức</t>
  </si>
  <si>
    <t>Bùi Ngọc</t>
  </si>
  <si>
    <t>Tấn</t>
  </si>
  <si>
    <t>Sáng</t>
  </si>
  <si>
    <t>Dương Huyền</t>
  </si>
  <si>
    <t>Phạm Tuấn</t>
  </si>
  <si>
    <t>Trần Anh</t>
  </si>
  <si>
    <t>Nguyễn Thị Phương</t>
  </si>
  <si>
    <t>Phú</t>
  </si>
  <si>
    <t>Vũ Tiến</t>
  </si>
  <si>
    <t>Phạm Phú</t>
  </si>
  <si>
    <t>Nguyễn Hữu</t>
  </si>
  <si>
    <t>Giáo sư - GVCC</t>
  </si>
  <si>
    <t>Số CB</t>
  </si>
  <si>
    <t>F0</t>
  </si>
  <si>
    <t>NguyÔn ThÞ Ph­¬ng Th¶o</t>
  </si>
  <si>
    <t>Kim V¨n V¹n</t>
  </si>
  <si>
    <t>TrÇn V¨n Quyªn</t>
  </si>
  <si>
    <t>Bïi ThÞ Tho</t>
  </si>
  <si>
    <t>CHKT2</t>
  </si>
  <si>
    <t>CHKT3</t>
  </si>
  <si>
    <t>CHKT4</t>
  </si>
  <si>
    <t>L¹i ThÞ Ngäc Hµ</t>
  </si>
  <si>
    <t>B11_1</t>
  </si>
  <si>
    <t>B11_2</t>
  </si>
  <si>
    <t>Nguyễn Việt</t>
  </si>
  <si>
    <t>Tăng Thị</t>
  </si>
  <si>
    <t>Hạnh</t>
  </si>
  <si>
    <t>Phạm Văn</t>
  </si>
  <si>
    <t>Phan Thị Hồng</t>
  </si>
  <si>
    <t>Dương Nam</t>
  </si>
  <si>
    <t>Hồ Ngọc</t>
  </si>
  <si>
    <t>Đỗ Trường</t>
  </si>
  <si>
    <t>Tô Thế</t>
  </si>
  <si>
    <t>Lê Thị Long</t>
  </si>
  <si>
    <t>Vỹ</t>
  </si>
  <si>
    <t>Lê Khắc</t>
  </si>
  <si>
    <t>Trần Thu</t>
  </si>
  <si>
    <t>TUHT3</t>
  </si>
  <si>
    <t>Đỗ Ngọc</t>
  </si>
  <si>
    <t>Sinh học động vật</t>
  </si>
  <si>
    <t>Dinh dưỡng và Thức ăn</t>
  </si>
  <si>
    <t>Nuôi trồng thuỷ sản</t>
  </si>
  <si>
    <t>MT và Bệnh thủy sản</t>
  </si>
  <si>
    <t>Hoá học</t>
  </si>
  <si>
    <t>Khoa học đất</t>
  </si>
  <si>
    <t>Vi sinh vật</t>
  </si>
  <si>
    <t>Tài nguyên nước</t>
  </si>
  <si>
    <t>Quy hoạch đất</t>
  </si>
  <si>
    <t>Quản lý đất đai</t>
  </si>
  <si>
    <t>Tám</t>
  </si>
  <si>
    <t>004.007.00513</t>
  </si>
  <si>
    <t>004.007.00905</t>
  </si>
  <si>
    <t>004.090.02189</t>
  </si>
  <si>
    <t>004.002.00134</t>
  </si>
  <si>
    <t>004.002.01502</t>
  </si>
  <si>
    <t>004.002.01406</t>
  </si>
  <si>
    <t>004.090.01575</t>
  </si>
  <si>
    <t>004.090.02008</t>
  </si>
  <si>
    <t>004.090.02019</t>
  </si>
  <si>
    <t>004.090.02104</t>
  </si>
  <si>
    <t>004.002.00135</t>
  </si>
  <si>
    <t>004.090.01576</t>
  </si>
  <si>
    <t>004.090.01697</t>
  </si>
  <si>
    <t>004.002.01402</t>
  </si>
  <si>
    <t>004.090.01578</t>
  </si>
  <si>
    <t>004.002.00136</t>
  </si>
  <si>
    <t>004.090.01800</t>
  </si>
  <si>
    <t>004.090.02040</t>
  </si>
  <si>
    <t>004.002.00143</t>
  </si>
  <si>
    <t>004.090.01918</t>
  </si>
  <si>
    <t>004.011.01517</t>
  </si>
  <si>
    <t>004.090.01826</t>
  </si>
  <si>
    <t>004.090.01990</t>
  </si>
  <si>
    <t>004.090.02193</t>
  </si>
  <si>
    <t>Trang</t>
  </si>
  <si>
    <t>Thu</t>
  </si>
  <si>
    <t>CB1</t>
  </si>
  <si>
    <t>Nhung</t>
  </si>
  <si>
    <t>&gt; 600</t>
  </si>
  <si>
    <t>TiÒn lÔ tÕt</t>
  </si>
  <si>
    <t>TiÒn thuÕ</t>
  </si>
  <si>
    <t>C¬ b¶n</t>
  </si>
  <si>
    <t>Nhµ n­íc</t>
  </si>
  <si>
    <t>GD</t>
  </si>
  <si>
    <t>Danh</t>
  </si>
  <si>
    <t>Lam</t>
  </si>
  <si>
    <t>Toán - Tin ứng dụng</t>
  </si>
  <si>
    <t xml:space="preserve">Kế toán tài chính                                 </t>
  </si>
  <si>
    <t xml:space="preserve">KTQT và Kiểm toán                     </t>
  </si>
  <si>
    <t>Tài chính</t>
  </si>
  <si>
    <t>% 
miễn giảm</t>
  </si>
  <si>
    <t>Quản trị kinh doanh</t>
  </si>
  <si>
    <t>004.007.01287</t>
  </si>
  <si>
    <t>NguyÔn §øc Doan</t>
  </si>
  <si>
    <t>- Trî lý Tæ chøc</t>
  </si>
  <si>
    <t>Giải thích</t>
  </si>
  <si>
    <t>Không miễn giảm</t>
  </si>
  <si>
    <t>Giáo viên chủ nhiệm &lt; 61SV; TL Vật tư &lt; 40 GV, Phó BM &lt; 10 GV</t>
  </si>
  <si>
    <t>NCS 2015 - 2018</t>
  </si>
  <si>
    <t>Co so_TËp sù cßn l¹i</t>
  </si>
  <si>
    <t>KNN03</t>
  </si>
  <si>
    <t>KNN05</t>
  </si>
  <si>
    <t>KNN07</t>
  </si>
  <si>
    <t>KNN04</t>
  </si>
  <si>
    <t>KNN14</t>
  </si>
  <si>
    <t>KNN06</t>
  </si>
  <si>
    <t>KNN08</t>
  </si>
  <si>
    <t>KTL09</t>
  </si>
  <si>
    <t>KTL17</t>
  </si>
  <si>
    <t>KTL01</t>
  </si>
  <si>
    <t>KTL03</t>
  </si>
  <si>
    <t>KTL07</t>
  </si>
  <si>
    <t>KTL08</t>
  </si>
  <si>
    <t>KTL14</t>
  </si>
  <si>
    <t>KTL06</t>
  </si>
  <si>
    <t>KTL20</t>
  </si>
  <si>
    <t>KTL21</t>
  </si>
  <si>
    <t>KTL16</t>
  </si>
  <si>
    <t>KTL19</t>
  </si>
  <si>
    <t>KTL22</t>
  </si>
  <si>
    <t>KTL23</t>
  </si>
  <si>
    <t>KTL24</t>
  </si>
  <si>
    <t>KDT07</t>
  </si>
  <si>
    <t>KDT01</t>
  </si>
  <si>
    <t>KDT08</t>
  </si>
  <si>
    <t>KDT05</t>
  </si>
  <si>
    <t>KDT04</t>
  </si>
  <si>
    <t>KDT03</t>
  </si>
  <si>
    <t>KDT06</t>
  </si>
  <si>
    <t>KDT09</t>
  </si>
  <si>
    <t>NLM07</t>
  </si>
  <si>
    <t>NLM08</t>
  </si>
  <si>
    <t>NLM05</t>
  </si>
  <si>
    <t>NLM04</t>
  </si>
  <si>
    <t>NLM17</t>
  </si>
  <si>
    <t>NLM15</t>
  </si>
  <si>
    <t>NLM10</t>
  </si>
  <si>
    <t>NLM16</t>
  </si>
  <si>
    <t>NLM18</t>
  </si>
  <si>
    <t>NLM19</t>
  </si>
  <si>
    <t>DCM06</t>
  </si>
  <si>
    <t>DCM04</t>
  </si>
  <si>
    <t>DCM03</t>
  </si>
  <si>
    <t>DCM05</t>
  </si>
  <si>
    <t>DCM02</t>
  </si>
  <si>
    <t>DCM07</t>
  </si>
  <si>
    <t>Con nhỏ 01/2018 (20%)</t>
  </si>
  <si>
    <t>Tạm hoãn HĐLV 09/2018</t>
  </si>
  <si>
    <t>KH1</t>
  </si>
  <si>
    <t>Nhom120</t>
  </si>
  <si>
    <t>Nhom140</t>
  </si>
  <si>
    <t>Song</t>
  </si>
  <si>
    <t>Chung</t>
  </si>
  <si>
    <t>M7_1</t>
  </si>
  <si>
    <t>M7_2</t>
  </si>
  <si>
    <t>M7_3</t>
  </si>
  <si>
    <t>M7_4</t>
  </si>
  <si>
    <t>M7_6</t>
  </si>
  <si>
    <t>M7_7</t>
  </si>
  <si>
    <t>M7_8</t>
  </si>
  <si>
    <t>M7_9</t>
  </si>
  <si>
    <t>dh_lqs</t>
  </si>
  <si>
    <t>dh_lt</t>
  </si>
  <si>
    <t>dh_ltd</t>
  </si>
  <si>
    <t>dh_th</t>
  </si>
  <si>
    <t>dh_tn</t>
  </si>
  <si>
    <t>ch_ltch</t>
  </si>
  <si>
    <t>ch_cbch</t>
  </si>
  <si>
    <t>ch_di</t>
  </si>
  <si>
    <t>K_M50</t>
  </si>
  <si>
    <t>Miễn kiêm nhiệm 50%</t>
  </si>
  <si>
    <t>Kiêm nhiệm 50% ở NXB</t>
  </si>
  <si>
    <t>&lt;40000000</t>
  </si>
  <si>
    <t>QN biÖt ph¸i &lt; 3</t>
  </si>
  <si>
    <t>QS3</t>
  </si>
  <si>
    <t>Ma</t>
  </si>
  <si>
    <t>Ty le</t>
  </si>
  <si>
    <t>M8</t>
  </si>
  <si>
    <t>K_TTND</t>
  </si>
  <si>
    <t>K_PTP</t>
  </si>
  <si>
    <t>K_TP</t>
  </si>
  <si>
    <t>K_PHT</t>
  </si>
  <si>
    <t>004.005.01386</t>
  </si>
  <si>
    <t>004.005.01387</t>
  </si>
  <si>
    <t>004.090.01033</t>
  </si>
  <si>
    <t>004.005.00392</t>
  </si>
  <si>
    <t>004.090.01703</t>
  </si>
  <si>
    <t>004.090.01811</t>
  </si>
  <si>
    <t>004.090.02015</t>
  </si>
  <si>
    <t>004.090.01626</t>
  </si>
  <si>
    <t>004.005.01492</t>
  </si>
  <si>
    <t>004.090.01916</t>
  </si>
  <si>
    <t>004.090.01208</t>
  </si>
  <si>
    <t>004.090.02018</t>
  </si>
  <si>
    <t>Mai Thanh</t>
  </si>
  <si>
    <t>M9</t>
  </si>
  <si>
    <t>10=2-8</t>
  </si>
  <si>
    <t>11=3-9</t>
  </si>
  <si>
    <t>Thanh</t>
  </si>
  <si>
    <t>Lan</t>
  </si>
  <si>
    <t>Ph¹m Ph­¬ng Nam</t>
  </si>
  <si>
    <t>NguyÔn Kh¾c Th«ng</t>
  </si>
  <si>
    <t>H¸n Quang H¹nh</t>
  </si>
  <si>
    <t>Đỗ Nguyên</t>
  </si>
  <si>
    <t>Phan Quốc</t>
  </si>
  <si>
    <t>Hưng</t>
  </si>
  <si>
    <t>Luyện Hữu</t>
  </si>
  <si>
    <t>Cử</t>
  </si>
  <si>
    <t>Cao Việt</t>
  </si>
  <si>
    <t>Đinh Hồng</t>
  </si>
  <si>
    <t>Duyên</t>
  </si>
  <si>
    <t>Hoàn</t>
  </si>
  <si>
    <t>Nguyễn Tú</t>
  </si>
  <si>
    <t>Điệp</t>
  </si>
  <si>
    <t>Lê Thị</t>
  </si>
  <si>
    <t>Vân</t>
  </si>
  <si>
    <t>Bổ sung năm học trước
(đồng)</t>
  </si>
  <si>
    <t>SINH1</t>
  </si>
  <si>
    <t>Tiet_Am</t>
  </si>
  <si>
    <t>TALY</t>
  </si>
  <si>
    <t>TCGP1</t>
  </si>
  <si>
    <t>TCGP2</t>
  </si>
  <si>
    <t>VSTN3</t>
  </si>
  <si>
    <t>VSTN4</t>
  </si>
  <si>
    <t>C</t>
  </si>
  <si>
    <t>D</t>
  </si>
  <si>
    <t>E</t>
  </si>
  <si>
    <t>A</t>
  </si>
  <si>
    <t>B</t>
  </si>
  <si>
    <t>F</t>
  </si>
  <si>
    <t>CS2</t>
  </si>
  <si>
    <t>QLDD1</t>
  </si>
  <si>
    <t>TDTT1</t>
  </si>
  <si>
    <t>STNN1</t>
  </si>
  <si>
    <t>CNMT1</t>
  </si>
  <si>
    <t>NOHO1</t>
  </si>
  <si>
    <t xml:space="preserve"> - Trî lý §µo t¹o §H</t>
  </si>
  <si>
    <t xml:space="preserve"> - Trî lý S§H</t>
  </si>
  <si>
    <t>PhÝ ThÞ DiÔm Hång</t>
  </si>
  <si>
    <t>TrÇn ThÞ Thu H­¬ng</t>
  </si>
  <si>
    <t>NguyÔn H¶i Nói</t>
  </si>
  <si>
    <t>L­¬ng ThÞ Minh Ch©u</t>
  </si>
  <si>
    <t>CCSD2</t>
  </si>
  <si>
    <t>CCSD3</t>
  </si>
  <si>
    <t>&gt;=35000000</t>
  </si>
  <si>
    <t>Mai Lan</t>
  </si>
  <si>
    <t>Số 
tiết
vượt</t>
  </si>
  <si>
    <t>Nhóm</t>
  </si>
  <si>
    <t>Mã
M.giảm</t>
  </si>
  <si>
    <t>Số
tháng</t>
  </si>
  <si>
    <t>GD
(tiết)</t>
  </si>
  <si>
    <t>NCKH
(tiết)</t>
  </si>
  <si>
    <t>Tổng 
số</t>
  </si>
  <si>
    <t>Trong đó</t>
  </si>
  <si>
    <t>Thay</t>
  </si>
  <si>
    <t>Thay KhuyÕn</t>
  </si>
  <si>
    <t>004.003.00259</t>
  </si>
  <si>
    <t>004.003.00260</t>
  </si>
  <si>
    <t>004.090.01116</t>
  </si>
  <si>
    <t>004.003.00876</t>
  </si>
  <si>
    <t>004.001.01469</t>
  </si>
  <si>
    <t>004.034.00884</t>
  </si>
  <si>
    <t>004.001.01054</t>
  </si>
  <si>
    <t>004.001.00011</t>
  </si>
  <si>
    <t>004.001.00010</t>
  </si>
  <si>
    <t>NN003</t>
  </si>
  <si>
    <t>NN012</t>
  </si>
  <si>
    <t>NN009</t>
  </si>
  <si>
    <t>NN017</t>
  </si>
  <si>
    <t>NN014</t>
  </si>
  <si>
    <t>NN018</t>
  </si>
  <si>
    <t>NN010</t>
  </si>
  <si>
    <t>NN025</t>
  </si>
  <si>
    <t>NN029</t>
  </si>
  <si>
    <t>HSC10</t>
  </si>
  <si>
    <t>HSC06</t>
  </si>
  <si>
    <t>HSC04</t>
  </si>
  <si>
    <t>HSC05</t>
  </si>
  <si>
    <t>HSC11</t>
  </si>
  <si>
    <t>CNC10</t>
  </si>
  <si>
    <t>CNC09</t>
  </si>
  <si>
    <t>CNC06</t>
  </si>
  <si>
    <t>NCS 2015 - 2018
Con nhỏ (03/2017) (20%)</t>
  </si>
  <si>
    <t>Về từ 09/2017</t>
  </si>
  <si>
    <t>Về từ 10/2017</t>
  </si>
  <si>
    <t>Nguyễn Thị Ái</t>
  </si>
  <si>
    <t>Con nhỏ 03/2017 (20%)</t>
  </si>
  <si>
    <t xml:space="preserve">Con nhỏ 01/2017 (20%). </t>
  </si>
  <si>
    <t>Trần Quang</t>
  </si>
  <si>
    <t>Đỗ Quang</t>
  </si>
  <si>
    <t>Giám</t>
  </si>
  <si>
    <t>Bùi Thị Mai</t>
  </si>
  <si>
    <t>Nguyễn Thị Thùy</t>
  </si>
  <si>
    <t>Lại Phương</t>
  </si>
  <si>
    <t>Ngô Thị Thu</t>
  </si>
  <si>
    <t>Lê Thanh</t>
  </si>
  <si>
    <t>Nguyễn Quốc</t>
  </si>
  <si>
    <t>Hoàng Sĩ</t>
  </si>
  <si>
    <t>Thính</t>
  </si>
  <si>
    <t>Đào Thị Hoàng</t>
  </si>
  <si>
    <t>Đặng Thị Hải</t>
  </si>
  <si>
    <t>Bùi Thị Hồng</t>
  </si>
  <si>
    <t>Xuân</t>
  </si>
  <si>
    <t>Nguyễn Ngọc</t>
  </si>
  <si>
    <t>Bằng</t>
  </si>
  <si>
    <t>Điều</t>
  </si>
  <si>
    <t>Đặng Đức</t>
  </si>
  <si>
    <t>Quảng</t>
  </si>
  <si>
    <t>Cao Hùng</t>
  </si>
  <si>
    <t>Cừ</t>
  </si>
  <si>
    <t>Lương Thanh</t>
  </si>
  <si>
    <t>Hãnh</t>
  </si>
  <si>
    <t>&gt;=40000000</t>
  </si>
  <si>
    <t>Chu Anh</t>
  </si>
  <si>
    <t>Loan</t>
  </si>
  <si>
    <t>So_CB</t>
  </si>
  <si>
    <t>Giờ hoàn thành</t>
  </si>
  <si>
    <t>Cach 1</t>
  </si>
  <si>
    <t>Nho hon 5 trieu</t>
  </si>
  <si>
    <t>NTS</t>
  </si>
  <si>
    <t>Vượt từ:</t>
  </si>
  <si>
    <t>KH</t>
  </si>
  <si>
    <t>T</t>
  </si>
  <si>
    <t>Lại Thị Ngọc</t>
  </si>
  <si>
    <t>Năm 2007-2008</t>
  </si>
  <si>
    <t>Năm 2008-2009</t>
  </si>
  <si>
    <t>Năm 2009-2010</t>
  </si>
  <si>
    <t>Năm 2010-2011</t>
  </si>
  <si>
    <t>Năm 2011-2012</t>
  </si>
  <si>
    <t>ĐH,CĐ</t>
  </si>
  <si>
    <t>Nguyễn Thị Kim</t>
  </si>
  <si>
    <t>Đặng Thị</t>
  </si>
  <si>
    <t>Phạm Hồng</t>
  </si>
  <si>
    <t>Thái</t>
  </si>
  <si>
    <t>Phạm Thị</t>
  </si>
  <si>
    <t>Hiếu</t>
  </si>
  <si>
    <t>Khánh</t>
  </si>
  <si>
    <t>NCS 2018-2021</t>
  </si>
  <si>
    <t>004.090.01593</t>
  </si>
  <si>
    <t>004.090.01594</t>
  </si>
  <si>
    <t>004.090.01706</t>
  </si>
  <si>
    <t>004.090.01900</t>
  </si>
  <si>
    <t>004.090.02025</t>
  </si>
  <si>
    <t>Trưởng Bộ môn (20%)
Con nhỏ 10/2019 (20%)
Nghỉ 6 tháng thai sản</t>
  </si>
  <si>
    <t>Mark1</t>
  </si>
  <si>
    <t>QTKD1</t>
  </si>
  <si>
    <t>SHUD1</t>
  </si>
  <si>
    <t>SHTV1</t>
  </si>
  <si>
    <t>PCTN
VK</t>
  </si>
  <si>
    <t xml:space="preserve">Phan Lê </t>
  </si>
  <si>
    <t>Hoàng Thị Mai</t>
  </si>
  <si>
    <t>TYCD2</t>
  </si>
  <si>
    <t>Đi NN từ 10/2016</t>
  </si>
  <si>
    <t>Đi NN từ 09/2016</t>
  </si>
  <si>
    <t>TrÞnh Quang Huy</t>
  </si>
  <si>
    <t>Ng« TrÝ D­¬ng</t>
  </si>
  <si>
    <t>NguyÔn MËu Dòng</t>
  </si>
  <si>
    <t>Mai Lan Ph­¬ng</t>
  </si>
  <si>
    <t>Lª ThÞ Kim Oanh</t>
  </si>
  <si>
    <t>M5_7</t>
  </si>
  <si>
    <t>M5_8</t>
  </si>
  <si>
    <t>M5_9</t>
  </si>
  <si>
    <t>NguyÔn §¾c Dòng</t>
  </si>
  <si>
    <t>TrÇn ThÞ Hµ NghÜa</t>
  </si>
  <si>
    <t>Ph¹m ThÞ TuyÕt Thanh</t>
  </si>
  <si>
    <t>Hệ thống điện</t>
  </si>
  <si>
    <t>HD3</t>
  </si>
  <si>
    <t>A5</t>
  </si>
  <si>
    <t>Tổng 
Kỳ I</t>
  </si>
  <si>
    <t>Tổng 
Kỳ II</t>
  </si>
  <si>
    <t>Đàm Văn</t>
  </si>
  <si>
    <t>Phải</t>
  </si>
  <si>
    <t>Đào Công</t>
  </si>
  <si>
    <t>Duẩn</t>
  </si>
  <si>
    <t>MTI08</t>
  </si>
  <si>
    <t>MTI04</t>
  </si>
  <si>
    <t>MTI07</t>
  </si>
  <si>
    <t>MTI14</t>
  </si>
  <si>
    <t>MTI15</t>
  </si>
  <si>
    <t>TOT01</t>
  </si>
  <si>
    <t>TOT07</t>
  </si>
  <si>
    <t>TDH11</t>
  </si>
  <si>
    <t>K_PBTĐ</t>
  </si>
  <si>
    <t>K_PCTCĐ</t>
  </si>
  <si>
    <t>Phan Quang</t>
  </si>
  <si>
    <t>SHDV1</t>
  </si>
  <si>
    <t>CNVS1</t>
  </si>
  <si>
    <t>GDTC1</t>
  </si>
  <si>
    <t>CATH1</t>
  </si>
  <si>
    <t>CATH2</t>
  </si>
  <si>
    <t>Cộng I</t>
  </si>
  <si>
    <t>TVA08</t>
  </si>
  <si>
    <t>TVA10</t>
  </si>
  <si>
    <t>CNK14</t>
  </si>
  <si>
    <t>CNK06</t>
  </si>
  <si>
    <t>CNK09</t>
  </si>
  <si>
    <t>CNK17</t>
  </si>
  <si>
    <t>CNK19</t>
  </si>
  <si>
    <t>CNK13</t>
  </si>
  <si>
    <t>CNK12</t>
  </si>
  <si>
    <t>CNK16</t>
  </si>
  <si>
    <t>CNK02</t>
  </si>
  <si>
    <t>CNK10</t>
  </si>
  <si>
    <t>CNK18</t>
  </si>
  <si>
    <t>CNK11</t>
  </si>
  <si>
    <t>DTG04</t>
  </si>
  <si>
    <t>DTG10</t>
  </si>
  <si>
    <t>DTG05</t>
  </si>
  <si>
    <t>DTG07</t>
  </si>
  <si>
    <t>DTG09</t>
  </si>
  <si>
    <t>DTG08</t>
  </si>
  <si>
    <t>DTG06</t>
  </si>
  <si>
    <t>SHD07</t>
  </si>
  <si>
    <t>SHD06</t>
  </si>
  <si>
    <t>SHD05</t>
  </si>
  <si>
    <t>SHD08</t>
  </si>
  <si>
    <t>DTA07</t>
  </si>
  <si>
    <t>DTA03</t>
  </si>
  <si>
    <t>DTA08</t>
  </si>
  <si>
    <t>DTA01</t>
  </si>
  <si>
    <t>DTA06</t>
  </si>
  <si>
    <t>DTA05</t>
  </si>
  <si>
    <t>HSD01</t>
  </si>
  <si>
    <t>HSD04</t>
  </si>
  <si>
    <t>HSD03</t>
  </si>
  <si>
    <t>SLD04</t>
  </si>
  <si>
    <t>SLD05</t>
  </si>
  <si>
    <t>SLD07</t>
  </si>
  <si>
    <t>SLD06</t>
  </si>
  <si>
    <t>SLD11</t>
  </si>
  <si>
    <t>CTCĐ bộ phận (15%)</t>
  </si>
  <si>
    <t>Bí thư liên chi (40%) đến 12/2018
NCS 2018-20221</t>
  </si>
  <si>
    <t>Bí thư liên chi (40%) từ 05/2019</t>
  </si>
  <si>
    <t>Bí thư liên chi (40%) từ 10/2018</t>
  </si>
  <si>
    <t>Bí thư liên chi (40%) từ 02/2019</t>
  </si>
  <si>
    <t>Giám đốc HV (85%), 
Bí thư Đảng ủy (30%)
Trưởng phòng TN (15%)</t>
  </si>
  <si>
    <t>Hết tập sự 02/2019</t>
  </si>
  <si>
    <t>Đi NN từ 06/2017</t>
  </si>
  <si>
    <t>Nguyễn Tuyết</t>
  </si>
  <si>
    <t>Ngô Thế</t>
  </si>
  <si>
    <t>GDT22</t>
  </si>
  <si>
    <t>GDT21</t>
  </si>
  <si>
    <t>GDT23</t>
  </si>
  <si>
    <t>GDT24</t>
  </si>
  <si>
    <t>dh_cv</t>
  </si>
  <si>
    <t>Cố vấn</t>
  </si>
  <si>
    <t>Gio_chua_quy_doi_Ky_I</t>
  </si>
  <si>
    <t>Cố 
vấn</t>
  </si>
  <si>
    <t>Tiền hướng dẫn kỳ I đã nhận (đồng)</t>
  </si>
  <si>
    <t>24=17-14</t>
  </si>
  <si>
    <t>A2</t>
  </si>
  <si>
    <t>A3</t>
  </si>
  <si>
    <t>3. Số đã nhận:</t>
  </si>
  <si>
    <t>5. Số chi thừa đã trừ</t>
  </si>
  <si>
    <t>Phó Khoa (25%), 
Trưởng Bộ môn (20%)</t>
  </si>
  <si>
    <t>Phó Bộ môn (15%)
NCS (05/2016-05/2019)
Phó Bí thư Chi bộ (10%)</t>
  </si>
  <si>
    <t>Trưởng Khoa (30%) 
Trưởng Bộ môn (20%)
Bí thư Chi bộ (15%)</t>
  </si>
  <si>
    <t>Trưởng Bộ môn (20%)</t>
  </si>
  <si>
    <t xml:space="preserve">Trưởng Bộ môn (20%)
Phó Trưởng Khoa (25%), </t>
  </si>
  <si>
    <t>Phó Ban (70%), 
Phó Bộ môn (15%)</t>
  </si>
  <si>
    <t>Phó GĐHV (80%) từ 11/2014, 
Phó BT ĐU (20%) 
GĐTT thuộc Khoa (15%)</t>
  </si>
  <si>
    <t>Phó Bộ môn (15%)
Phó CTCĐ bộ phận (10%)</t>
  </si>
  <si>
    <t>Phó Bộ môn (15%)
NCS 2015 - 2018</t>
  </si>
  <si>
    <t>Trưởng Bộ môn (20%)
CTCĐ bộ phận (15%)</t>
  </si>
  <si>
    <t>Phó Ban (70%)
Trưởng Bộ môn (20%)</t>
  </si>
  <si>
    <t>Xưởng trưởng (15%)
Con nhỏ 02/2018 (20%)</t>
  </si>
  <si>
    <t>Con nhỏ 08/2017 (20%)</t>
  </si>
  <si>
    <t>Con nhỏ 12/2017 (20%)</t>
  </si>
  <si>
    <t>Đà</t>
  </si>
  <si>
    <t>Tuyển dụng 05/2018</t>
  </si>
  <si>
    <t>004.090.02461</t>
  </si>
  <si>
    <t>004.008.00395</t>
  </si>
  <si>
    <t>004.008.00394</t>
  </si>
  <si>
    <t>004.008.00862</t>
  </si>
  <si>
    <t>004.090.02096</t>
  </si>
  <si>
    <t>004.090.02097</t>
  </si>
  <si>
    <t>004.008.01496</t>
  </si>
  <si>
    <t>004.008.01278</t>
  </si>
  <si>
    <t>004.090.00967</t>
  </si>
  <si>
    <t>004.008.00835</t>
  </si>
  <si>
    <t>004.090.01707</t>
  </si>
  <si>
    <t>004.090.01072</t>
  </si>
  <si>
    <t>004.090.01908</t>
  </si>
  <si>
    <t>004.010.01511</t>
  </si>
  <si>
    <t>004.090.01245</t>
  </si>
  <si>
    <t>Con nhỏ 02/2018 (20%)</t>
  </si>
  <si>
    <t>Về từ 02/2019</t>
  </si>
  <si>
    <t>NCS (05/2017-05/2020) 
Bí thư Chi bộ (15%)</t>
  </si>
  <si>
    <t>Tong so</t>
  </si>
  <si>
    <t>So hoan thanh NCKH</t>
  </si>
  <si>
    <t>004.090.02139</t>
  </si>
  <si>
    <t>004.001.01470</t>
  </si>
  <si>
    <t>004.001.01109</t>
  </si>
  <si>
    <t>004.001.01055</t>
  </si>
  <si>
    <t>004.090.01778</t>
  </si>
  <si>
    <t>004.090.01854</t>
  </si>
  <si>
    <t>004.090.02016</t>
  </si>
  <si>
    <t>004.001.00067</t>
  </si>
  <si>
    <t>Hµ ViÕt C­êng</t>
  </si>
  <si>
    <t>Ninh ThÞ PhÝp</t>
  </si>
  <si>
    <t>Hå ThÞ Thu Giang</t>
  </si>
  <si>
    <t>DNA</t>
  </si>
  <si>
    <t>DNB</t>
  </si>
  <si>
    <t>Dam nhan</t>
  </si>
  <si>
    <t>Lê Thị Tuyết</t>
  </si>
  <si>
    <t>Châm</t>
  </si>
  <si>
    <t>Trần Thiện</t>
  </si>
  <si>
    <t>Nguyễn Thanh</t>
  </si>
  <si>
    <t>Tuấn</t>
  </si>
  <si>
    <t>Lư</t>
  </si>
  <si>
    <t>Trưởng khoa &gt;=40GV</t>
  </si>
  <si>
    <t>Oanh</t>
  </si>
  <si>
    <t>Anh</t>
  </si>
  <si>
    <t>Dung</t>
  </si>
  <si>
    <t>Giang</t>
  </si>
  <si>
    <t>Minh</t>
  </si>
  <si>
    <t>004.006.01292</t>
  </si>
  <si>
    <t>004.006.01027</t>
  </si>
  <si>
    <t>004.090.01013</t>
  </si>
  <si>
    <t>004.090.01645</t>
  </si>
  <si>
    <t>004.090.01711</t>
  </si>
  <si>
    <t>DTC02</t>
  </si>
  <si>
    <t>DTC13</t>
  </si>
  <si>
    <t>DTC14</t>
  </si>
  <si>
    <t>DTC10</t>
  </si>
  <si>
    <t>DTC08</t>
  </si>
  <si>
    <t>DTC05</t>
  </si>
  <si>
    <t>DTC03</t>
  </si>
  <si>
    <t>DTC07</t>
  </si>
  <si>
    <t>RAQ14</t>
  </si>
  <si>
    <t>RAQ06</t>
  </si>
  <si>
    <t>RAQ03</t>
  </si>
  <si>
    <t>RAQ08</t>
  </si>
  <si>
    <t>RAQ07</t>
  </si>
  <si>
    <t>RAQ10</t>
  </si>
  <si>
    <t>RAQ11</t>
  </si>
  <si>
    <t>RAQ13</t>
  </si>
  <si>
    <t>SLY07</t>
  </si>
  <si>
    <t>SLY06</t>
  </si>
  <si>
    <t>SLY04</t>
  </si>
  <si>
    <t>SLY08</t>
  </si>
  <si>
    <t>SLY01</t>
  </si>
  <si>
    <t>SLY09</t>
  </si>
  <si>
    <t>TVA06</t>
  </si>
  <si>
    <t>TVA07</t>
  </si>
  <si>
    <t>TVA09</t>
  </si>
  <si>
    <t>E1</t>
  </si>
  <si>
    <t>E2</t>
  </si>
  <si>
    <t>K_KN</t>
  </si>
  <si>
    <t>TC</t>
  </si>
  <si>
    <t>004.002.00110</t>
  </si>
  <si>
    <t>004.002.01419</t>
  </si>
  <si>
    <t>004.002.00116</t>
  </si>
  <si>
    <t>004.090.01716</t>
  </si>
  <si>
    <t>004.090.01751</t>
  </si>
  <si>
    <t>004.002.00118</t>
  </si>
  <si>
    <t>004.090.01717</t>
  </si>
  <si>
    <t>004.016.00539</t>
  </si>
  <si>
    <t>004.001.01367</t>
  </si>
  <si>
    <t>004.002.01368</t>
  </si>
  <si>
    <t>004.002.01260</t>
  </si>
  <si>
    <t>004.002.00811</t>
  </si>
  <si>
    <t>004.002.00126</t>
  </si>
  <si>
    <t>004.090.01752</t>
  </si>
  <si>
    <t>004.001.01475</t>
  </si>
  <si>
    <t>004.002.00824</t>
  </si>
  <si>
    <t>004.002.01261</t>
  </si>
  <si>
    <t>MKT05</t>
  </si>
  <si>
    <t>MKT11</t>
  </si>
  <si>
    <t>MKT10</t>
  </si>
  <si>
    <t>HOA02</t>
  </si>
  <si>
    <t>HOA17</t>
  </si>
  <si>
    <t>HOA07</t>
  </si>
  <si>
    <t>HOA24</t>
  </si>
  <si>
    <t>HOA25</t>
  </si>
  <si>
    <t>HOA18</t>
  </si>
  <si>
    <t>HOA26</t>
  </si>
  <si>
    <t>HOA27</t>
  </si>
  <si>
    <t>HOA28</t>
  </si>
  <si>
    <t>VSV05</t>
  </si>
  <si>
    <t>VSV04</t>
  </si>
  <si>
    <t>VSV09</t>
  </si>
  <si>
    <t>VSV07</t>
  </si>
  <si>
    <t>VSV10</t>
  </si>
  <si>
    <t>VSV03</t>
  </si>
  <si>
    <t>VSV02</t>
  </si>
  <si>
    <t>STN11</t>
  </si>
  <si>
    <t>STN13</t>
  </si>
  <si>
    <t>STN03</t>
  </si>
  <si>
    <t>STN07</t>
  </si>
  <si>
    <t>STN08</t>
  </si>
  <si>
    <t>STN02</t>
  </si>
  <si>
    <t>STN10</t>
  </si>
  <si>
    <t>STN15</t>
  </si>
  <si>
    <t>STN17</t>
  </si>
  <si>
    <t>STN01</t>
  </si>
  <si>
    <t>STV12</t>
  </si>
  <si>
    <t>SDV03</t>
  </si>
  <si>
    <t>SDV01</t>
  </si>
  <si>
    <t>SDV02</t>
  </si>
  <si>
    <t>SDV04</t>
  </si>
  <si>
    <t>CVS09</t>
  </si>
  <si>
    <t>CVS10</t>
  </si>
  <si>
    <t>CVS02</t>
  </si>
  <si>
    <t>CVS03</t>
  </si>
  <si>
    <t>CVS06</t>
  </si>
  <si>
    <t>CVS05</t>
  </si>
  <si>
    <t>CVS12</t>
  </si>
  <si>
    <t>SH004</t>
  </si>
  <si>
    <t>Đi NN từ 07/2016</t>
  </si>
  <si>
    <t>Đào Thị Thùy</t>
  </si>
  <si>
    <t>Quế</t>
  </si>
  <si>
    <t>Đặng Tiến</t>
  </si>
  <si>
    <t>Hoà</t>
  </si>
  <si>
    <t>Hàn Trung</t>
  </si>
  <si>
    <t>Bùi Việt</t>
  </si>
  <si>
    <t>Nguyễn Trọng</t>
  </si>
  <si>
    <t>&lt;10000000</t>
  </si>
  <si>
    <t>&gt;=10000000</t>
  </si>
  <si>
    <t>M5_1</t>
  </si>
  <si>
    <t>M5_2</t>
  </si>
  <si>
    <t>M5_3</t>
  </si>
  <si>
    <t>M5_4</t>
  </si>
  <si>
    <t>M5_6</t>
  </si>
  <si>
    <t>Bùi Thị Khánh</t>
  </si>
  <si>
    <t>Trần Thị Thu</t>
  </si>
  <si>
    <t>Diệp</t>
  </si>
  <si>
    <t>Nguyễn Mậu</t>
  </si>
  <si>
    <t>Lê Phương</t>
  </si>
  <si>
    <t>Giáp</t>
  </si>
  <si>
    <t xml:space="preserve">Hồ Ngọc </t>
  </si>
  <si>
    <t>Quyền Đình</t>
  </si>
  <si>
    <t>Cúc</t>
  </si>
  <si>
    <t>Nhài</t>
  </si>
  <si>
    <t>Đỗ Thị Thanh</t>
  </si>
  <si>
    <t>Nguyễn Thị Minh</t>
  </si>
  <si>
    <t>Trần Mạnh</t>
  </si>
  <si>
    <t>Bạch Văn</t>
  </si>
  <si>
    <t>Đỗ Kim</t>
  </si>
  <si>
    <t>Lê Thị Thanh</t>
  </si>
  <si>
    <t>Nguyễn Phượng</t>
  </si>
  <si>
    <t>Phạm Thị Thanh</t>
  </si>
  <si>
    <t>Phạm Bảo</t>
  </si>
  <si>
    <t>Huỳnh Thị Mỹ</t>
  </si>
  <si>
    <t>HSSL2</t>
  </si>
  <si>
    <t>TT2</t>
  </si>
  <si>
    <t>TT3</t>
  </si>
  <si>
    <t>TT1</t>
  </si>
  <si>
    <t>Kế hoạch và Đầu tư</t>
  </si>
  <si>
    <t>QS005</t>
  </si>
  <si>
    <t>QS51</t>
  </si>
  <si>
    <t>QS003</t>
  </si>
  <si>
    <t>QS004</t>
  </si>
  <si>
    <t>QS007</t>
  </si>
  <si>
    <t>QS006</t>
  </si>
  <si>
    <t>CTH02</t>
  </si>
  <si>
    <t>CTH04</t>
  </si>
  <si>
    <t>CTH03</t>
  </si>
  <si>
    <t>CTH07</t>
  </si>
  <si>
    <t>CTH08</t>
  </si>
  <si>
    <t>CTH10</t>
  </si>
  <si>
    <t>CTH09</t>
  </si>
  <si>
    <t>CTH11</t>
  </si>
  <si>
    <t>BCY08</t>
  </si>
  <si>
    <t>BCY12</t>
  </si>
  <si>
    <t>BCY02</t>
  </si>
  <si>
    <t>BCY11</t>
  </si>
  <si>
    <t>BCY03</t>
  </si>
  <si>
    <t>BCY13</t>
  </si>
  <si>
    <t>BCY01</t>
  </si>
  <si>
    <t>CCN02</t>
  </si>
  <si>
    <t>CCN01</t>
  </si>
  <si>
    <t>CCN03</t>
  </si>
  <si>
    <t>CCN04</t>
  </si>
  <si>
    <t>CCN11</t>
  </si>
  <si>
    <t>CCN10</t>
  </si>
  <si>
    <t>CLT04</t>
  </si>
  <si>
    <t>CLT11</t>
  </si>
  <si>
    <t>CLT09</t>
  </si>
  <si>
    <t>CLT05</t>
  </si>
  <si>
    <t>CLT02</t>
  </si>
  <si>
    <t>CLT08</t>
  </si>
  <si>
    <t>CLT12</t>
  </si>
  <si>
    <t>CTU09</t>
  </si>
  <si>
    <t>CTU10</t>
  </si>
  <si>
    <t>CTU03</t>
  </si>
  <si>
    <t>CTU08</t>
  </si>
  <si>
    <t>CTU11</t>
  </si>
  <si>
    <t>CTU06</t>
  </si>
  <si>
    <t>CTU13</t>
  </si>
  <si>
    <t>Phó GĐ Trung tâm (70%)</t>
  </si>
  <si>
    <t>Về từ 09/2014
Trưởng BM (40%)</t>
  </si>
  <si>
    <t>Chủ tịch HĐ trường</t>
  </si>
  <si>
    <t>Phó Chủ tịch HĐ trường</t>
  </si>
  <si>
    <t>K_TKHĐ</t>
  </si>
  <si>
    <t>Thư ký HĐ Trường</t>
  </si>
  <si>
    <t>NguyÔn TiÕn HiÓn</t>
  </si>
  <si>
    <t>§Æng Xu©n Hµ</t>
  </si>
  <si>
    <t>Số năm trước chuyển sang</t>
  </si>
  <si>
    <t>SH002</t>
  </si>
  <si>
    <t>SH001</t>
  </si>
  <si>
    <t>SH003</t>
  </si>
  <si>
    <t>SH006</t>
  </si>
  <si>
    <t>HOA21</t>
  </si>
  <si>
    <t>HOA01</t>
  </si>
  <si>
    <t>HOA12</t>
  </si>
  <si>
    <t>TrÇn NguyÔn Hµ</t>
  </si>
  <si>
    <t>- Trî lý Sau §¹i häc</t>
  </si>
  <si>
    <t>NguyÔn ThÞ DiÔn</t>
  </si>
  <si>
    <t xml:space="preserve"> - Trî lý: TC, §µo t¹o vµ S§H,VT</t>
  </si>
  <si>
    <t>- Trî lý QL khoa häc vµ HT quèc tÕ</t>
  </si>
  <si>
    <t>§Æng ThÞ V©n</t>
  </si>
  <si>
    <t>NguyÔn C«ng ¦íc</t>
  </si>
  <si>
    <t>Hoµng Minh S¬n</t>
  </si>
  <si>
    <t>D­¬ng V¨n NhiÖm</t>
  </si>
  <si>
    <t>Tr­¬ng Hµ Th¸i</t>
  </si>
  <si>
    <t>NguyÔn ThÞ Hiªn</t>
  </si>
  <si>
    <t>Phó Giám đốc TT thể thao - VH</t>
  </si>
  <si>
    <t>Trừ số chi thừa năm trước</t>
  </si>
  <si>
    <t>Tường</t>
  </si>
  <si>
    <t>Nguyễn Thị Mai</t>
  </si>
  <si>
    <t>Thơ</t>
  </si>
  <si>
    <t xml:space="preserve">Nguyễn Công </t>
  </si>
  <si>
    <t>Toản</t>
  </si>
  <si>
    <t>Lành</t>
  </si>
  <si>
    <t>Nguyễn Hoài</t>
  </si>
  <si>
    <t>Sử Thanh</t>
  </si>
  <si>
    <t>Thâu</t>
  </si>
  <si>
    <t>Vũ Đức</t>
  </si>
  <si>
    <t>Tiếp</t>
  </si>
  <si>
    <t>Lại Thị Lan</t>
  </si>
  <si>
    <t>Trần Thị Đức</t>
  </si>
  <si>
    <t>Thực 
hành</t>
  </si>
  <si>
    <t>Đại học (tiết)</t>
  </si>
  <si>
    <t>NCS</t>
  </si>
  <si>
    <t>Lý thuyết 
Cao học</t>
  </si>
  <si>
    <t>Chấm bài 
Cao học</t>
  </si>
  <si>
    <t>Cộng_I</t>
  </si>
  <si>
    <t>Chấm bài GK
Cao học</t>
  </si>
  <si>
    <t>Đi dạy địa 
phương CH</t>
  </si>
  <si>
    <t>Cộng_II</t>
  </si>
  <si>
    <t>Chấm bài</t>
  </si>
  <si>
    <t>Số năm trước
 chuyển sang</t>
  </si>
  <si>
    <t>NCS (12/2016 - 12/2019)</t>
  </si>
  <si>
    <t>004.001.00021</t>
  </si>
  <si>
    <t>004.001.00030</t>
  </si>
  <si>
    <t>004.090.01428</t>
  </si>
  <si>
    <t>004.001.01257</t>
  </si>
  <si>
    <t>004.001.00914</t>
  </si>
  <si>
    <t>004.001.00032</t>
  </si>
  <si>
    <t>Hết tập sự 04/2019</t>
  </si>
  <si>
    <t>Phó Bộ môn (15%) 06/2019</t>
  </si>
  <si>
    <t>Thay V©n</t>
  </si>
  <si>
    <t>Nguyễn Duy</t>
  </si>
  <si>
    <t>Đại</t>
  </si>
  <si>
    <t>Ngô Thanh</t>
  </si>
  <si>
    <t>Că năm</t>
  </si>
  <si>
    <t>MT</t>
  </si>
  <si>
    <t>Miễn kiêm nhiệm 40%</t>
  </si>
  <si>
    <t>Phó Trưởng phòng</t>
  </si>
  <si>
    <t>Phó hiệu trưởng</t>
  </si>
  <si>
    <t>Kiêm nhiệm chú Mai</t>
  </si>
  <si>
    <t>Giám đốc Trung tâm, Viện, Công ty</t>
  </si>
  <si>
    <t>Phó Giám đốc Trung tâm, Viện, Công ty</t>
  </si>
  <si>
    <t>BTS01</t>
  </si>
  <si>
    <t>Con nhỏ 01/2017 (20%)</t>
  </si>
  <si>
    <t>Giữa 
kỳ</t>
  </si>
  <si>
    <t>Giáo 
trình</t>
  </si>
  <si>
    <t>Lý thuyết
 quân sự</t>
  </si>
  <si>
    <t>Lý 
thuyết</t>
  </si>
  <si>
    <t>004.001.00018</t>
  </si>
  <si>
    <t>004.001.01361</t>
  </si>
  <si>
    <t>004.001.01255</t>
  </si>
  <si>
    <t>004.001.01074</t>
  </si>
  <si>
    <t>004.090.01902</t>
  </si>
  <si>
    <t>NSC (2018-2021)</t>
  </si>
  <si>
    <t>Đi NN từ 04/2019</t>
  </si>
  <si>
    <t>KLS12</t>
  </si>
  <si>
    <t>KLS07</t>
  </si>
  <si>
    <t>KLS09</t>
  </si>
  <si>
    <t>KLS11</t>
  </si>
  <si>
    <t>Định mức cho tập sự</t>
  </si>
  <si>
    <t>NguyÔn ThÞ Thanh Thuû</t>
  </si>
  <si>
    <t>Ng« C«ng Th¾ng</t>
  </si>
  <si>
    <t>Ph¹m Quang Dòng</t>
  </si>
  <si>
    <t>Hä vµ tªn</t>
  </si>
  <si>
    <t>NguyÔn ThÞ Lan</t>
  </si>
  <si>
    <t>Phi</t>
  </si>
  <si>
    <t>GV C¬ b¶n</t>
  </si>
  <si>
    <t>Khối lượng hoàn thành 
(Chỉ tính giờ dạy)</t>
  </si>
  <si>
    <t>Trần Trọng</t>
  </si>
  <si>
    <t>Thuận</t>
  </si>
  <si>
    <t>Phạm Quý</t>
  </si>
  <si>
    <t>Công</t>
  </si>
  <si>
    <t>004.090.01735</t>
  </si>
  <si>
    <t>004.090.02306</t>
  </si>
  <si>
    <t>004.001.00007</t>
  </si>
  <si>
    <t>004.090.01551</t>
  </si>
  <si>
    <t>004.001.00801</t>
  </si>
  <si>
    <t>004.001.01360</t>
  </si>
  <si>
    <t>Trưởng Ban (75%)
Chủ tịch Công đoàn (30%)
Bí thư Chi bộ (15%)</t>
  </si>
  <si>
    <t>Trưởng Bộ môn (20%)
Trưởng Ban (75%)
NCS (08/2017-08/2020)
Bí thư Chi bộ (15%)</t>
  </si>
  <si>
    <t xml:space="preserve">Phó Bộ môn (15%)
Con nhỏ 08/2018 (20%). </t>
  </si>
  <si>
    <t xml:space="preserve">Con nhỏ 09/2018 (20%). </t>
  </si>
  <si>
    <t>Con nhỏ 05/2017 (20%)
Đi NN từ 02/2019</t>
  </si>
  <si>
    <t>Con nhỏ 05/2018 (20%).</t>
  </si>
  <si>
    <t>Con nhỏ 10/2018 (20%)
Phó CTCĐ bộ phận (10%)</t>
  </si>
  <si>
    <t>Trưởng Khoa (30%)
Phó Bí thư Chi bộ (10%)
Trưởng phòng TN (15%)</t>
  </si>
  <si>
    <t xml:space="preserve">Con nhỏ 02/2018 (20%). </t>
  </si>
  <si>
    <t>Hưu trí 01/2020. Tính 03 tháng</t>
  </si>
  <si>
    <t>Trươgr BM (20%))
CTCĐ bộ phận (15%)
Phó Bí thư Chi bộ (10%)</t>
  </si>
  <si>
    <t xml:space="preserve">Phó Bộ môn (15%) </t>
  </si>
  <si>
    <t>Phó khoa (25%) 
Con nhỏ 06/2018 (20%)</t>
  </si>
  <si>
    <t>Phó Bộ môn (15%)
Con nhỏ (03/2019) (20%)</t>
  </si>
  <si>
    <t>Con nhỏ 06/2018 (20%)</t>
  </si>
  <si>
    <t>Phó Khoa phụ trách (30%)
Trưởng Bộ môn (20%)</t>
  </si>
  <si>
    <t>Con nhỏ 07/2018 (20%)</t>
  </si>
  <si>
    <t>Phó Khoa PT (30%), 
GĐTT (20%), 
Bí thư Chi bộ (15%)</t>
  </si>
  <si>
    <t>Đi NN từ 01/2020</t>
  </si>
  <si>
    <t>NCS 2018-2021
Con nhỏ 02/2019 (20%)</t>
  </si>
  <si>
    <t>Phó Bộ môn phụ trách (20%)
NCS 2018-2021</t>
  </si>
  <si>
    <t>Chánh VPHV (75%)
Bí thư Chi bộ (15%)</t>
  </si>
  <si>
    <t>Con nhỏ 08/2018 (20%)</t>
  </si>
  <si>
    <t>NCS (05/2018 -12/2021)
Con nhỏ 04/2019 (20%)</t>
  </si>
  <si>
    <t>Về từ 08/2018
Con nhỏ 09/2018 (20%)</t>
  </si>
  <si>
    <t>Trưởng Bộ môn (20%)
Con nhỏ 03/2017 (20%).
Phó Bí thư Chi bộ (10%)</t>
  </si>
  <si>
    <t>Con nhỏ 11/2018 (20%)</t>
  </si>
  <si>
    <t>Nguyễn Đăng</t>
  </si>
  <si>
    <t>đồng./.</t>
  </si>
  <si>
    <t>DD-TA</t>
  </si>
  <si>
    <t>Grand Total</t>
  </si>
  <si>
    <t>Đăng</t>
  </si>
  <si>
    <t>Nguyễn Thị Hồng</t>
  </si>
  <si>
    <t>Số 
hiện 
có</t>
  </si>
  <si>
    <t>Bổ 
sung</t>
  </si>
  <si>
    <t>RHQ4</t>
  </si>
  <si>
    <t>QLMT</t>
  </si>
  <si>
    <t>MANN1</t>
  </si>
  <si>
    <t>DOLU1</t>
  </si>
  <si>
    <t>TBBQ1</t>
  </si>
  <si>
    <t>CCSD1</t>
  </si>
  <si>
    <t>KITE1</t>
  </si>
  <si>
    <t>KTMT1</t>
  </si>
  <si>
    <t>PTNT1</t>
  </si>
  <si>
    <t>NNCS1</t>
  </si>
  <si>
    <t>PTDL1</t>
  </si>
  <si>
    <t>HSCN1</t>
  </si>
  <si>
    <t>CNCB1</t>
  </si>
  <si>
    <t>CNST1</t>
  </si>
  <si>
    <t>TPDD1</t>
  </si>
  <si>
    <t>KSTU1</t>
  </si>
  <si>
    <t>TYCD1</t>
  </si>
  <si>
    <t>NCDL1</t>
  </si>
  <si>
    <t>NGSA1</t>
  </si>
  <si>
    <t>VSTN1</t>
  </si>
  <si>
    <t>BLTY1</t>
  </si>
  <si>
    <t>BVTY1</t>
  </si>
  <si>
    <t>Phan Thị</t>
  </si>
  <si>
    <t>2 Total</t>
  </si>
  <si>
    <t>3 Total</t>
  </si>
  <si>
    <t>§Õn hÕt 06/2008</t>
  </si>
  <si>
    <t>Ty le_cu</t>
  </si>
  <si>
    <t>GVCC GDTC</t>
  </si>
  <si>
    <t>TT4</t>
  </si>
  <si>
    <t>QS4</t>
  </si>
  <si>
    <t>M1_1</t>
  </si>
  <si>
    <t>GDTC</t>
  </si>
  <si>
    <t>SLTV1</t>
  </si>
  <si>
    <t>THVA1</t>
  </si>
  <si>
    <t>Sinh thái nông nghiệp</t>
  </si>
  <si>
    <t>Công nghệ môi trường</t>
  </si>
  <si>
    <t>Nông hóa</t>
  </si>
  <si>
    <t>Trịnh Đình</t>
  </si>
  <si>
    <t>Khuyến</t>
  </si>
  <si>
    <t>Trần Thị Nắng</t>
  </si>
  <si>
    <t>Nguyễn Công</t>
  </si>
  <si>
    <t>Thiết</t>
  </si>
  <si>
    <t>Kim Văn</t>
  </si>
  <si>
    <t>Vạn</t>
  </si>
  <si>
    <t>Phạm Thị Lam</t>
  </si>
  <si>
    <t>Trương Đình</t>
  </si>
  <si>
    <t>Hoài</t>
  </si>
  <si>
    <t>Trịnh Thị</t>
  </si>
  <si>
    <t>Hậu</t>
  </si>
  <si>
    <t>Nguyễn Bá</t>
  </si>
  <si>
    <t>Mùi</t>
  </si>
  <si>
    <t>Đi NN từ 01/2016</t>
  </si>
  <si>
    <t>Đi NN từ 04/2017</t>
  </si>
  <si>
    <t>Phó Giám đốc Công ty: Nguyễn Văn Quân</t>
  </si>
  <si>
    <t>Trần Thị Hải</t>
  </si>
  <si>
    <t>Tuynh</t>
  </si>
  <si>
    <t>Phạm Quốc</t>
  </si>
  <si>
    <t>26=24+25</t>
  </si>
  <si>
    <t>Số tiết trừ cho CB 
bị thiếu tiết
(tiết)</t>
  </si>
  <si>
    <t>Quân sự chung</t>
  </si>
  <si>
    <t>QSC</t>
  </si>
  <si>
    <t>Công tác QP-AN</t>
  </si>
  <si>
    <t>QP-AN</t>
  </si>
  <si>
    <t>Cộng
giờ giảng và giờ HĐ</t>
  </si>
  <si>
    <t>Số tiết 
hướng 
dẫn 
chuyển
 sang 
(tiết)</t>
  </si>
  <si>
    <t>Số 
tiết
vượt 
lần 1
(tiết)</t>
  </si>
  <si>
    <t>Số 
tiết
vượt 
lần 2
(tiết)</t>
  </si>
  <si>
    <t>28=26-27</t>
  </si>
  <si>
    <t>31=29*30</t>
  </si>
  <si>
    <t>32=28-29</t>
  </si>
  <si>
    <t>33=32*ĐG</t>
  </si>
  <si>
    <t>34=31+33</t>
  </si>
  <si>
    <t>Giờ giảng</t>
  </si>
  <si>
    <t>SL</t>
  </si>
  <si>
    <t>Kh«ng söa 
dßng trªn</t>
  </si>
  <si>
    <t>Thao</t>
  </si>
  <si>
    <t>§ç ThÞ T¸m</t>
  </si>
  <si>
    <t>§oµn C«ng Quú</t>
  </si>
  <si>
    <t>NCDL0</t>
  </si>
  <si>
    <t>VSTN2</t>
  </si>
  <si>
    <t>004.090.01006</t>
  </si>
  <si>
    <t>004.003.00277</t>
  </si>
  <si>
    <t>004.090.01766</t>
  </si>
  <si>
    <t>004.090.01808</t>
  </si>
  <si>
    <t>004.003.01268</t>
  </si>
  <si>
    <t>004.003.00250</t>
  </si>
  <si>
    <t>004.003.00251</t>
  </si>
  <si>
    <t>004.003.00248</t>
  </si>
  <si>
    <t>004.090.01701</t>
  </si>
  <si>
    <t>004.090.02089</t>
  </si>
  <si>
    <t>004.003.01487</t>
  </si>
  <si>
    <t>004.003.01375</t>
  </si>
  <si>
    <t>004.003.01059</t>
  </si>
  <si>
    <t>004.090.01635</t>
  </si>
  <si>
    <t>004.004.00288</t>
  </si>
  <si>
    <t>004.004.01380</t>
  </si>
  <si>
    <t>004.004.00293</t>
  </si>
  <si>
    <t>004.090.02090</t>
  </si>
  <si>
    <t>004.004.00287</t>
  </si>
  <si>
    <t>004.090.01710</t>
  </si>
  <si>
    <t>004.004.00301</t>
  </si>
  <si>
    <t>004.004.01381</t>
  </si>
  <si>
    <t>004.090.02181</t>
  </si>
  <si>
    <t>004.090.01568</t>
  </si>
  <si>
    <t>004.090.01567</t>
  </si>
  <si>
    <t>004.004.00300</t>
  </si>
  <si>
    <t>004.004.00828</t>
  </si>
  <si>
    <t>004.090.01777</t>
  </si>
  <si>
    <t>004.004.00888</t>
  </si>
  <si>
    <t>004.090.01760</t>
  </si>
  <si>
    <t>004.090.02180</t>
  </si>
  <si>
    <t>CNCK3</t>
  </si>
  <si>
    <t>TBBQ2</t>
  </si>
  <si>
    <t>Lª V¨n Mu«n</t>
  </si>
  <si>
    <t>Cï ThÞ Thiªn Thu</t>
  </si>
  <si>
    <t>TrÞnh §×nh KhuyÕn</t>
  </si>
  <si>
    <t>GĐTT thuộc Khoa (15%)</t>
  </si>
  <si>
    <t>Trưởng Khoa (30%) 
Bí thư Chi bộ (15%)
PT TT thuộc Khoa (15%)</t>
  </si>
  <si>
    <t>Trưởng Bộ môn (20%)
Phó GĐTT thuộc Khoa (10%)</t>
  </si>
  <si>
    <t>Giám đốc Trung tâm (20%)</t>
  </si>
  <si>
    <t>Trưởng Khoa (30%), 
GĐ Trung tâm (20%) , 
Bí thư Chi bộ (15%)</t>
  </si>
  <si>
    <t>Phó GĐ Trugn tâm (15%)</t>
  </si>
  <si>
    <t>Giám đốc Viện (20%)</t>
  </si>
  <si>
    <t>Giám đốc Viện (20%)
Trưởng Bộ môn (20%)
Bí thư Chi bộ (15%)</t>
  </si>
  <si>
    <t>004.090.02544</t>
  </si>
  <si>
    <t>Trần Công</t>
  </si>
  <si>
    <t>Tuyển dụng 04/2019</t>
  </si>
  <si>
    <t>Về từ 04/2019</t>
  </si>
  <si>
    <t>p</t>
  </si>
  <si>
    <t>Toãn hoàn HĐLV 04/2019
Đi NN từ 10/2014</t>
  </si>
  <si>
    <t>Về từ 03/2019</t>
  </si>
  <si>
    <t>Đi NN từ 11/2013
Tạm hoãn HĐLV từ 06/2019</t>
  </si>
  <si>
    <t>Về từ 11/2018. Tạm hoãn HĐLV từ 05/2019-10/2019)</t>
  </si>
  <si>
    <t>Đi NN từ 07/2017
Con nhỏ 06/2018 (20%)</t>
  </si>
  <si>
    <t>Khong hoan thanh</t>
  </si>
  <si>
    <t>Tổng</t>
  </si>
  <si>
    <t>Không hoàn thành</t>
  </si>
  <si>
    <t>CHKT8</t>
  </si>
  <si>
    <t>CSKT1</t>
  </si>
  <si>
    <t>CSKT2</t>
  </si>
  <si>
    <t>TDDH1</t>
  </si>
  <si>
    <t>TDDH2</t>
  </si>
  <si>
    <t>TDDH3</t>
  </si>
  <si>
    <t>MANN2</t>
  </si>
  <si>
    <t>MANN3</t>
  </si>
  <si>
    <t>MANN4</t>
  </si>
  <si>
    <t>CNCK5</t>
  </si>
  <si>
    <t>CNCK6</t>
  </si>
  <si>
    <t>CNST2</t>
  </si>
  <si>
    <t>KTQT2</t>
  </si>
  <si>
    <t>CACN2</t>
  </si>
  <si>
    <t>PPTN1</t>
  </si>
  <si>
    <t>PPTN3</t>
  </si>
  <si>
    <t>PPTN4</t>
  </si>
  <si>
    <t>K_TRT</t>
  </si>
  <si>
    <t>K_M40</t>
  </si>
  <si>
    <t>NGS15</t>
  </si>
  <si>
    <t>CVS11</t>
  </si>
  <si>
    <t>004.090.02162</t>
  </si>
  <si>
    <t>Nghiễn</t>
  </si>
  <si>
    <t>Con nhỏ (05/2017) (20%)</t>
  </si>
  <si>
    <t>TOT03</t>
  </si>
  <si>
    <t>TOT05</t>
  </si>
  <si>
    <t>TOT08</t>
  </si>
  <si>
    <t>TOT10</t>
  </si>
  <si>
    <t>TOT09</t>
  </si>
  <si>
    <t>TOT11</t>
  </si>
  <si>
    <t>BKT08</t>
  </si>
  <si>
    <t>BKT01</t>
  </si>
  <si>
    <t>BKT03</t>
  </si>
  <si>
    <t>BKT09</t>
  </si>
  <si>
    <t>BKT02</t>
  </si>
  <si>
    <t>BKT07</t>
  </si>
  <si>
    <t>BKT21</t>
  </si>
  <si>
    <t>BKT19</t>
  </si>
  <si>
    <t>BKT12</t>
  </si>
  <si>
    <t>BKT20</t>
  </si>
  <si>
    <t>PHL02</t>
  </si>
  <si>
    <t>PHL10</t>
  </si>
  <si>
    <t>PHL11</t>
  </si>
  <si>
    <t>XHH05</t>
  </si>
  <si>
    <t>XHH04</t>
  </si>
  <si>
    <t>004.002.00929</t>
  </si>
  <si>
    <t>004.090.01708</t>
  </si>
  <si>
    <t>004.002.01369</t>
  </si>
  <si>
    <t>004.002.01263</t>
  </si>
  <si>
    <t>004.002.00167</t>
  </si>
  <si>
    <t>004.090.01804</t>
  </si>
  <si>
    <t>004.002.00176</t>
  </si>
  <si>
    <t>004.002.01476</t>
  </si>
  <si>
    <t>004.001.01477</t>
  </si>
  <si>
    <t>004.002.01051</t>
  </si>
  <si>
    <t>004.002.00810</t>
  </si>
  <si>
    <t>004.002.00177</t>
  </si>
  <si>
    <t>004.002.00166</t>
  </si>
  <si>
    <t>004.001.01480</t>
  </si>
  <si>
    <t>004.002.01226</t>
  </si>
  <si>
    <t>004.002.00165</t>
  </si>
  <si>
    <t>004.002.01223</t>
  </si>
  <si>
    <t>004.090.01002</t>
  </si>
  <si>
    <t>004.002.00168</t>
  </si>
  <si>
    <t>004.090.01915</t>
  </si>
  <si>
    <t>004.003.00243</t>
  </si>
  <si>
    <t>004.003.00240</t>
  </si>
  <si>
    <t>004.003.01374</t>
  </si>
  <si>
    <t>004.003.00826</t>
  </si>
  <si>
    <t>004.003.00827</t>
  </si>
  <si>
    <t>004.090.01995</t>
  </si>
  <si>
    <t>004.090.01420</t>
  </si>
  <si>
    <t>004.003.00257</t>
  </si>
  <si>
    <t>004.003.01376</t>
  </si>
  <si>
    <t>004.090.01101</t>
  </si>
  <si>
    <t>004.003.01060</t>
  </si>
  <si>
    <t>004.090.01737</t>
  </si>
  <si>
    <t>004.003.00266</t>
  </si>
  <si>
    <t>004.090.01700</t>
  </si>
  <si>
    <t>004.003.00263</t>
  </si>
  <si>
    <t>004.090.01714</t>
  </si>
  <si>
    <t>004.003.01187</t>
  </si>
  <si>
    <t>004.003.00913</t>
  </si>
  <si>
    <t>004.003.00265</t>
  </si>
  <si>
    <t>004.090.02178</t>
  </si>
  <si>
    <t>004.003.00274</t>
  </si>
  <si>
    <t>Con nhỏ 12/2017 (20%)
Cao học 06/2018-06/2020</t>
  </si>
  <si>
    <t>004.018.00400</t>
  </si>
  <si>
    <t>004.005.00887</t>
  </si>
  <si>
    <t>004.005.01272</t>
  </si>
  <si>
    <t>004.005.00919</t>
  </si>
  <si>
    <t>004.005.00406</t>
  </si>
  <si>
    <t>004.090.02182</t>
  </si>
  <si>
    <t>004.005.01389</t>
  </si>
  <si>
    <t>Trần Nguyễn Thị</t>
  </si>
  <si>
    <t>Đi NN từ 10/2018
Con nhỏ 04/2019 (20%)</t>
  </si>
  <si>
    <t>Con nhỏ 10/2019 (20%)
Nghỉ 6 tháng thai sản</t>
  </si>
  <si>
    <t xml:space="preserve">Con nhỏ 11/2019 (20%)
Nghỉ 6 tháng thai sản </t>
  </si>
  <si>
    <t>Đi NN từ 01/2018
Con nhỏ 03/2019 (20%)</t>
  </si>
  <si>
    <t>Con nhỏ 10/2019 (20%). 
Nghỉ 6 tháng thai sản</t>
  </si>
  <si>
    <t>Con nhỏ 07/2019 (20%)
Nghỉ 6 tháng thai sản</t>
  </si>
  <si>
    <t>Con nhỏ 09/2019 (20%)
Nghỉ 6 tháng thai sản</t>
  </si>
  <si>
    <t>NCS 2019-2022</t>
  </si>
  <si>
    <t>Phó Bộ môn (15%)
CTCĐ bộ phận (15%) từ 10/2019</t>
  </si>
  <si>
    <t>Trưởng khoa (75%)
Bí thư Chi bộ (15%)
Về từ 03/2015</t>
  </si>
  <si>
    <t>Trưởng Ban (75%)
Trưởng Bộ môn (20%)
Bí thư Chi bộ (15%)</t>
  </si>
  <si>
    <t>Về từ 12/2019</t>
  </si>
  <si>
    <t>Về từ 11/2019</t>
  </si>
  <si>
    <t>Về từ 10/2019</t>
  </si>
  <si>
    <t>NCS (6/2015-6/2019)
Vè 09/2019; Đi NN 5 tháng (01/10/2019--29/02/2020)</t>
  </si>
  <si>
    <t>NCS 2015-2019; Về từ 08/2019. 
Đi NN từ 11/2019-08/2020)</t>
  </si>
  <si>
    <t>Về từ 09/2019</t>
  </si>
  <si>
    <t>Về từ 08/2019</t>
  </si>
  <si>
    <t>Về từ 07/2019</t>
  </si>
  <si>
    <t>Đi NN từ 08/2019</t>
  </si>
  <si>
    <t>Đi NN từ 09/2019</t>
  </si>
  <si>
    <t>Phó Bộ môn (15%)
Đi NN từ 09/2019</t>
  </si>
  <si>
    <t>Con nhỏ 01/2019 (20%)
Đi NN từ 10/2019</t>
  </si>
  <si>
    <t>Đi NN từ 10/2019</t>
  </si>
  <si>
    <t>Đi 3 tháng NN</t>
  </si>
  <si>
    <t>Phó Bộ môn (15%) từ 12/2019</t>
  </si>
  <si>
    <t>Trưởng Bộ môn (20%)
Phó Khoa (25%)
Đi 2 tháng NN</t>
  </si>
  <si>
    <t>Đi 1 tháng NN</t>
  </si>
  <si>
    <t>Đi NN từ 12/2019</t>
  </si>
  <si>
    <t>Về từ 09/2015
Trưởng BM (40%)
CTCĐ bộ phận (15%)
Hưu 12/2019</t>
  </si>
  <si>
    <t>Về từ 10/2019
NCS (2012-2019)</t>
  </si>
  <si>
    <t>Phó Ban (70%)
Bí thư Chi bộ (15%)</t>
  </si>
  <si>
    <t>Phó Bộ môn (15%)
Con nhỏ 04/2017 (20%)
Đi 3 tháng NN (09-11/2019)</t>
  </si>
  <si>
    <t>Phó Bộ môn phụ trách (20%)
Đi 3 tháng NN</t>
  </si>
  <si>
    <t>Phó Bộ môn phụ trách (20%)
NCS (2015)</t>
  </si>
  <si>
    <t>Phó Bộ môn (15%)
Con nhỏ 06/2017 (20%)</t>
  </si>
  <si>
    <t>Phó Bộ môn phụ trách (20%)</t>
  </si>
  <si>
    <t>NCS 2015-2018</t>
  </si>
  <si>
    <t>Phó BT Đoàn HV (60%)
Bí thư Chi bộ (15%)</t>
  </si>
  <si>
    <t>BT đoàn (70%)
Phó GĐ Trung tâm (70%)</t>
  </si>
  <si>
    <t>Phong</t>
  </si>
  <si>
    <t>Nhom360</t>
  </si>
  <si>
    <t>Nhom400</t>
  </si>
  <si>
    <t>Số tiền thah toán</t>
  </si>
  <si>
    <t>GD1</t>
  </si>
  <si>
    <t>Giờ KH chuyen</t>
  </si>
  <si>
    <t>CNC05</t>
  </si>
  <si>
    <t>CNC11</t>
  </si>
  <si>
    <t>CNC12</t>
  </si>
  <si>
    <t>CNC13</t>
  </si>
  <si>
    <t>CNS06</t>
  </si>
  <si>
    <t>CNS03</t>
  </si>
  <si>
    <t>CNS08</t>
  </si>
  <si>
    <t>CNS04</t>
  </si>
  <si>
    <t>CNS02</t>
  </si>
  <si>
    <t>CNS07</t>
  </si>
  <si>
    <t>TPD01</t>
  </si>
  <si>
    <t>TPD06</t>
  </si>
  <si>
    <t>TPD02</t>
  </si>
  <si>
    <t>QTP03</t>
  </si>
  <si>
    <t>QTP04</t>
  </si>
  <si>
    <t>QTP02</t>
  </si>
  <si>
    <t>QTP01</t>
  </si>
  <si>
    <t>QTP05</t>
  </si>
  <si>
    <t>KST02</t>
  </si>
  <si>
    <t>KST12</t>
  </si>
  <si>
    <t>KST11</t>
  </si>
  <si>
    <t>KST03</t>
  </si>
  <si>
    <t>KST08</t>
  </si>
  <si>
    <t>KST07</t>
  </si>
  <si>
    <t>KST14</t>
  </si>
  <si>
    <t>COD02</t>
  </si>
  <si>
    <t>COD03</t>
  </si>
  <si>
    <t>COD06</t>
  </si>
  <si>
    <t>COD05</t>
  </si>
  <si>
    <t>COD01</t>
  </si>
  <si>
    <t>COD08</t>
  </si>
  <si>
    <t>COD07</t>
  </si>
  <si>
    <t>COD09</t>
  </si>
  <si>
    <t>NCH04</t>
  </si>
  <si>
    <t>NCH05</t>
  </si>
  <si>
    <t>NCH06</t>
  </si>
  <si>
    <t>NCH02</t>
  </si>
  <si>
    <t>NCH13</t>
  </si>
  <si>
    <t>NCH03</t>
  </si>
  <si>
    <t>NCH10</t>
  </si>
  <si>
    <t>NCH01</t>
  </si>
  <si>
    <t>NCH09</t>
  </si>
  <si>
    <t>NCH07</t>
  </si>
  <si>
    <t>NGS07</t>
  </si>
  <si>
    <t>NGS12</t>
  </si>
  <si>
    <t>NGS09</t>
  </si>
  <si>
    <t>NGS11</t>
  </si>
  <si>
    <t>NGS04</t>
  </si>
  <si>
    <t>NGS02</t>
  </si>
  <si>
    <t>NGS10</t>
  </si>
  <si>
    <t>NGS13</t>
  </si>
  <si>
    <t>GTC08</t>
  </si>
  <si>
    <t>GTC10</t>
  </si>
  <si>
    <t>GTC12</t>
  </si>
  <si>
    <t>GTC02</t>
  </si>
  <si>
    <t>GTC09</t>
  </si>
  <si>
    <t>GTC03</t>
  </si>
  <si>
    <t>GTC06</t>
  </si>
  <si>
    <t>GTC11</t>
  </si>
  <si>
    <t>GTC01</t>
  </si>
  <si>
    <t>GTC13</t>
  </si>
  <si>
    <t>VTN07</t>
  </si>
  <si>
    <t>VTN17</t>
  </si>
  <si>
    <t>VTN13</t>
  </si>
  <si>
    <t>VTN02</t>
  </si>
  <si>
    <t>Đi NN từ 09/2013</t>
  </si>
  <si>
    <t>Mức thanh toán tiết 1 đến 2000</t>
  </si>
  <si>
    <t>Số người</t>
  </si>
  <si>
    <t>Binh quan</t>
  </si>
  <si>
    <t>Khoi luong</t>
  </si>
  <si>
    <t>M3_4</t>
  </si>
  <si>
    <t>M3_6</t>
  </si>
  <si>
    <t>M3_7</t>
  </si>
  <si>
    <t>M3_8</t>
  </si>
  <si>
    <t>M3_9</t>
  </si>
  <si>
    <t>Dinh</t>
  </si>
  <si>
    <t>BECA1</t>
  </si>
  <si>
    <t>BECA2</t>
  </si>
  <si>
    <t>Học vị</t>
  </si>
  <si>
    <t>Mã_Hoc vi</t>
  </si>
  <si>
    <t>Tiến sĩ</t>
  </si>
  <si>
    <t>Thạc sĩ</t>
  </si>
  <si>
    <t>Đại học</t>
  </si>
  <si>
    <t>Cao đẳng</t>
  </si>
  <si>
    <t>Trung cấp</t>
  </si>
  <si>
    <t>Khác</t>
  </si>
  <si>
    <t>DLQS</t>
  </si>
  <si>
    <t>Họ đệm</t>
  </si>
  <si>
    <t>Tên</t>
  </si>
  <si>
    <t>ĐV</t>
  </si>
  <si>
    <t>Đ</t>
  </si>
  <si>
    <t>Miễn giảm hoặc Số tháng đảm nhận</t>
  </si>
  <si>
    <t>KL còn đảm nhận
khi trừ miễn giảm</t>
  </si>
  <si>
    <t>Vũ Thị Kim</t>
  </si>
  <si>
    <t>Thăng</t>
  </si>
  <si>
    <t>Trần Thị Lan</t>
  </si>
  <si>
    <t>Nguyễn Thị Hoàng</t>
  </si>
  <si>
    <t>Đào</t>
  </si>
  <si>
    <t>Thiện</t>
  </si>
  <si>
    <t>Chiên</t>
  </si>
  <si>
    <t>Hoàng Minh</t>
  </si>
  <si>
    <t>Đồng Văn</t>
  </si>
  <si>
    <t>Dương Văn</t>
  </si>
  <si>
    <t>Nhiệm</t>
  </si>
  <si>
    <t>Nguyễn Thị Hương</t>
  </si>
  <si>
    <t>Chu Đức</t>
  </si>
  <si>
    <t>Phạm Ngọc</t>
  </si>
  <si>
    <t>Thạch</t>
  </si>
  <si>
    <t>B1_4</t>
  </si>
  <si>
    <t>B1_5</t>
  </si>
  <si>
    <t>B1_6</t>
  </si>
  <si>
    <t>B1_7</t>
  </si>
  <si>
    <t>B1_8</t>
  </si>
  <si>
    <t>B2_1</t>
  </si>
  <si>
    <t>B2_2</t>
  </si>
  <si>
    <t>B2_3</t>
  </si>
  <si>
    <t>B2_4</t>
  </si>
  <si>
    <t>B2_5</t>
  </si>
  <si>
    <t>B2_6</t>
  </si>
  <si>
    <t>B2_7</t>
  </si>
  <si>
    <t>B2_8</t>
  </si>
  <si>
    <t>Lệ</t>
  </si>
  <si>
    <t>Tùng</t>
  </si>
  <si>
    <t>Lê Ngọc</t>
  </si>
  <si>
    <t>Hồ Thị Thu</t>
  </si>
  <si>
    <t>Nguyễn Hồng</t>
  </si>
  <si>
    <t>Nguyễn Thị Ngọc</t>
  </si>
  <si>
    <t>Ngọc</t>
  </si>
  <si>
    <t>Nghĩa</t>
  </si>
  <si>
    <t>Phạm Tiến</t>
  </si>
  <si>
    <t>Đỗ Thị</t>
  </si>
  <si>
    <t>Hường</t>
  </si>
  <si>
    <t>Thủy</t>
  </si>
  <si>
    <t>Vũ Văn</t>
  </si>
  <si>
    <t>Liết</t>
  </si>
  <si>
    <t>Nguyễn Tuấn</t>
  </si>
  <si>
    <t>Vũ Thị Thuý</t>
  </si>
  <si>
    <t>Vũ Thị Thu</t>
  </si>
  <si>
    <t>&lt;25000000</t>
  </si>
  <si>
    <t>&gt;=25000000</t>
  </si>
  <si>
    <t>&lt;30000000</t>
  </si>
  <si>
    <t>Phan Thị Thanh</t>
  </si>
  <si>
    <t>Phạm Phương</t>
  </si>
  <si>
    <t>PPTN và TKSH</t>
  </si>
  <si>
    <t>Di truyền giống</t>
  </si>
  <si>
    <t>Nguyễn Quang</t>
  </si>
  <si>
    <t>Học</t>
  </si>
  <si>
    <t>Nguyễn Khắc Việt</t>
  </si>
  <si>
    <t>Quyền Thị Lan</t>
  </si>
  <si>
    <t>Đỗ Văn</t>
  </si>
  <si>
    <t>Nhạ</t>
  </si>
  <si>
    <t>4. Số chi thừa năm trước</t>
  </si>
  <si>
    <t>Đi NN từ 01/2015</t>
  </si>
  <si>
    <t>Hướng dẫn thiếu của từng thành phần</t>
  </si>
  <si>
    <t>dh_bt</t>
  </si>
  <si>
    <t>dh_cb</t>
  </si>
  <si>
    <t>dh_cd</t>
  </si>
  <si>
    <t>dh_gk</t>
  </si>
  <si>
    <t>dh_gt</t>
  </si>
  <si>
    <t>SH phân tử và CNSH ứng dụng</t>
  </si>
  <si>
    <t>CNSH học thực vật</t>
  </si>
  <si>
    <t>CNSH động vật</t>
  </si>
  <si>
    <t xml:space="preserve">Công nghệ vi sinh </t>
  </si>
  <si>
    <t>Đường lối quân sự</t>
  </si>
  <si>
    <t>Hà Thị Thanh</t>
  </si>
  <si>
    <t>Bình</t>
  </si>
  <si>
    <t>Nguyễn Tất</t>
  </si>
  <si>
    <t>Cảnh</t>
  </si>
  <si>
    <t>Tân</t>
  </si>
  <si>
    <t>Nguyễn Xuân</t>
  </si>
  <si>
    <t>Trần Thị</t>
  </si>
  <si>
    <t>Thiêm</t>
  </si>
  <si>
    <t>Tiệp</t>
  </si>
  <si>
    <t>Thiều Thị Phong</t>
  </si>
  <si>
    <t>Nguyễn Mai</t>
  </si>
  <si>
    <t>004.007.00511</t>
  </si>
  <si>
    <t>004.090.01975</t>
  </si>
  <si>
    <t>004.090.02006</t>
  </si>
  <si>
    <t>004.007.01067</t>
  </si>
  <si>
    <t>004.090.01574</t>
  </si>
  <si>
    <t>004.007.00509</t>
  </si>
  <si>
    <t>004.007.00510</t>
  </si>
  <si>
    <t>004.090.02274</t>
  </si>
  <si>
    <t>004.007.01286</t>
  </si>
  <si>
    <t>004.007.01141</t>
  </si>
  <si>
    <t xml:space="preserve">Con nhỏ 04/2018 (20%). </t>
  </si>
  <si>
    <t>GD Cu</t>
  </si>
  <si>
    <t>NCKH_cu</t>
  </si>
  <si>
    <t>Co so_TËp sù TiÕn sÜ</t>
  </si>
  <si>
    <t>Đoàn</t>
  </si>
  <si>
    <t>Trạch</t>
  </si>
  <si>
    <t>Tôn</t>
  </si>
  <si>
    <t>Mai Thị</t>
  </si>
  <si>
    <t>Tú</t>
  </si>
  <si>
    <t>Lê Hữu</t>
  </si>
  <si>
    <t>Nguyễn Thị Dương</t>
  </si>
  <si>
    <t>Huyền</t>
  </si>
  <si>
    <t>Hán Quang</t>
  </si>
  <si>
    <t>Hoàng Anh</t>
  </si>
  <si>
    <t>Trần</t>
  </si>
  <si>
    <t>Hiệp</t>
  </si>
  <si>
    <t>Du</t>
  </si>
  <si>
    <t>Năm 2013-2014</t>
  </si>
  <si>
    <t>Môi trường</t>
  </si>
  <si>
    <t>Thơm</t>
  </si>
  <si>
    <t>Vũ Duy</t>
  </si>
  <si>
    <t>Hoàng</t>
  </si>
  <si>
    <t>Thuỷ</t>
  </si>
  <si>
    <t>Nguyễn Văn</t>
  </si>
  <si>
    <t>Viên</t>
  </si>
  <si>
    <t>Nguyễn Thị Thanh</t>
  </si>
  <si>
    <t>Hồng</t>
  </si>
  <si>
    <t>Ngô Thị</t>
  </si>
  <si>
    <t>Đỗ Tấn</t>
  </si>
  <si>
    <t>Dũng</t>
  </si>
  <si>
    <t>Hảo</t>
  </si>
  <si>
    <t>Đỗ Trung</t>
  </si>
  <si>
    <t>Hiển</t>
  </si>
  <si>
    <t>Bùi Thị Thu</t>
  </si>
  <si>
    <t>Đoàn Thị Thuý</t>
  </si>
  <si>
    <t>Trần Thanh</t>
  </si>
  <si>
    <t>Lê Thị Thu</t>
  </si>
  <si>
    <t>Nguyên Xuân</t>
  </si>
  <si>
    <t>Hoàng Văn</t>
  </si>
  <si>
    <t>Trà</t>
  </si>
  <si>
    <t>Nguyễn Thị Thu</t>
  </si>
  <si>
    <t>Bùi Lê</t>
  </si>
  <si>
    <t>Đỗ Thị Đức</t>
  </si>
  <si>
    <t>Quân</t>
  </si>
  <si>
    <t>Bùi Nguyên</t>
  </si>
  <si>
    <t>MNN01</t>
  </si>
  <si>
    <t>MNN10</t>
  </si>
  <si>
    <t>MNN02</t>
  </si>
  <si>
    <t>MNN07</t>
  </si>
  <si>
    <t>MNN11</t>
  </si>
  <si>
    <t>DLU05</t>
  </si>
  <si>
    <t>DLU07</t>
  </si>
  <si>
    <t>DLU02</t>
  </si>
  <si>
    <t>DLU08</t>
  </si>
  <si>
    <t>DLU15</t>
  </si>
  <si>
    <t>DLU12</t>
  </si>
  <si>
    <t>DLU11</t>
  </si>
  <si>
    <t>DLU16</t>
  </si>
  <si>
    <t>TBI01</t>
  </si>
  <si>
    <t>13 Total</t>
  </si>
  <si>
    <t>TTH05</t>
  </si>
  <si>
    <t>TTH06</t>
  </si>
  <si>
    <t>TTH04</t>
  </si>
  <si>
    <t>TTH02</t>
  </si>
  <si>
    <t>TTH07</t>
  </si>
  <si>
    <t>PHL01</t>
  </si>
  <si>
    <t>PHL09</t>
  </si>
  <si>
    <t>PHL03</t>
  </si>
  <si>
    <t>PHL05</t>
  </si>
  <si>
    <t>PHL06</t>
  </si>
  <si>
    <t>ch_gkch</t>
  </si>
  <si>
    <t>ch_klch</t>
  </si>
  <si>
    <t>ncs_ncs</t>
  </si>
  <si>
    <t>Lý thuyết 
thể dục</t>
  </si>
  <si>
    <t>dh_tncd</t>
  </si>
  <si>
    <t>Chuyên 
đề TN</t>
  </si>
  <si>
    <t>Khóa luận CĐ</t>
  </si>
  <si>
    <t>Khóa luận ĐH</t>
  </si>
  <si>
    <t>Đi NN từ 07/2015</t>
  </si>
  <si>
    <t>Sinh lý - Tập tính động vật</t>
  </si>
  <si>
    <t>Hệ thống thông tin đất đai</t>
  </si>
  <si>
    <t>Trắc địa bản đồ</t>
  </si>
  <si>
    <t>NguyÔn V¨n ThÓ</t>
  </si>
  <si>
    <t>Doan</t>
  </si>
  <si>
    <t>Ho_dem</t>
  </si>
  <si>
    <t>Ten</t>
  </si>
  <si>
    <t>DV</t>
  </si>
  <si>
    <t>Giang Trung</t>
  </si>
  <si>
    <t>Khoa</t>
  </si>
  <si>
    <t>K_NN</t>
  </si>
  <si>
    <t>Trưởng Ban Thanh tra: giáo dục, nhân dân</t>
  </si>
  <si>
    <t>Chủ tịch CĐ trường</t>
  </si>
  <si>
    <t>Phó Chủ tịch CĐ trường</t>
  </si>
  <si>
    <t xml:space="preserve">Bí thư đoàn trường </t>
  </si>
  <si>
    <t>Miễn kiêm nhiệm 60%</t>
  </si>
  <si>
    <t>Miễn kiêm nhiệm 65%</t>
  </si>
  <si>
    <t>Miễn kiêm nhiệm 30%</t>
  </si>
  <si>
    <t>SLDV</t>
  </si>
  <si>
    <t>QLCL</t>
  </si>
  <si>
    <t>Phạm Quang</t>
  </si>
  <si>
    <t>Ngô Tuấn</t>
  </si>
  <si>
    <t>Lưu</t>
  </si>
  <si>
    <t>Đoàn Thị Thu</t>
  </si>
  <si>
    <t>Kương</t>
  </si>
  <si>
    <t>Ngọc Minh</t>
  </si>
  <si>
    <t>Nguyễn Thị Thúy</t>
  </si>
  <si>
    <t>Phí Thị Diễm</t>
  </si>
  <si>
    <t>Quản lý môi trường</t>
  </si>
  <si>
    <t>Phó Bộ môn (15%)
CTCĐ bộ phận (15%)</t>
  </si>
  <si>
    <t>Phó khoa (25%), 
Trưởng Bộ môn (20%)</t>
  </si>
  <si>
    <t>Trưởng Bộ môn (20%)
GĐ Trung tâm (20%)</t>
  </si>
  <si>
    <t>Phó Khoa (25%)
Trưởng Bộ môn (20%)</t>
  </si>
  <si>
    <t>Trưởng Bộ môn (20%)
Bí thư Chi bộ (15%)</t>
  </si>
  <si>
    <t>Ái</t>
  </si>
  <si>
    <t>Đi NN từ 09/2015</t>
  </si>
  <si>
    <t>Đi NN từ 10/2015</t>
  </si>
  <si>
    <t>Đi NN từ 08/2015</t>
  </si>
  <si>
    <t>Đi NN từ 12/2015</t>
  </si>
  <si>
    <t>Đặng Hữu</t>
  </si>
  <si>
    <t>Trần Thị Hương</t>
  </si>
  <si>
    <t>Chu Thị Thanh</t>
  </si>
  <si>
    <t>41 = 34+35+40-37-38-39-40</t>
  </si>
  <si>
    <t>QS008</t>
  </si>
  <si>
    <t>QS009</t>
  </si>
  <si>
    <t>Đặng Thái</t>
  </si>
  <si>
    <t>Bùi Huy</t>
  </si>
  <si>
    <t>Thuỳ</t>
  </si>
  <si>
    <t>Cù Thị Thiên</t>
  </si>
  <si>
    <t>Phạm Kim</t>
  </si>
  <si>
    <t>Số giờ 
Vượt
BQ/GV</t>
  </si>
  <si>
    <t>Trưởng Ban (75%), 
Trưởng Bộ môn (20%)
Bí thư Chi bộ (15%)</t>
  </si>
  <si>
    <t>Trưởng Bộ môn (20%)
Phó Khoa (25%) từ 06/2018</t>
  </si>
  <si>
    <t>Phó Bộ môn (15%)
NCS (06/2016-06/2020)</t>
  </si>
  <si>
    <t>GĐ Công ty (20%)
Phó Bộ môn (15%)</t>
  </si>
  <si>
    <t>Trưởng Bộ môn (20%) từ 12/2018</t>
  </si>
  <si>
    <t>K_TBNC</t>
  </si>
  <si>
    <t>H­íng dÉn thùc hµnh TD GV</t>
  </si>
  <si>
    <t>Thi</t>
  </si>
  <si>
    <t>Nhom260</t>
  </si>
  <si>
    <t>Nhom280</t>
  </si>
  <si>
    <t>Nhom300</t>
  </si>
  <si>
    <t>Nhom320</t>
  </si>
  <si>
    <t>TT</t>
  </si>
  <si>
    <t>- Trî lý Khoa häc vµ HTQT</t>
  </si>
  <si>
    <t>- Trî lý ThiÕt bÞ vËt t­</t>
  </si>
  <si>
    <t>Thay H»ng</t>
  </si>
  <si>
    <t>Thay C­êng</t>
  </si>
  <si>
    <t>HD50</t>
  </si>
  <si>
    <t>HD51</t>
  </si>
  <si>
    <t>Vinh</t>
  </si>
  <si>
    <t>Long</t>
  </si>
  <si>
    <t>&gt;=30000000</t>
  </si>
  <si>
    <t>&lt;35000000</t>
  </si>
  <si>
    <t>K_M60</t>
  </si>
  <si>
    <t>Trương Hà</t>
  </si>
  <si>
    <t>Bùi Thị Tố</t>
  </si>
  <si>
    <t>Bùi Trần Anh</t>
  </si>
  <si>
    <t>Trần Minh</t>
  </si>
  <si>
    <t>Đinh Phương</t>
  </si>
  <si>
    <t>Nên</t>
  </si>
  <si>
    <t>Nguyễn Thuỷ</t>
  </si>
  <si>
    <t>Nguyễn Hà</t>
  </si>
  <si>
    <t>Huệ</t>
  </si>
  <si>
    <t>Trần Trung</t>
  </si>
  <si>
    <t>Lê Thị Diệu</t>
  </si>
  <si>
    <t>Thùy</t>
  </si>
  <si>
    <t>Thân Ngọc</t>
  </si>
  <si>
    <t>Đào Thu</t>
  </si>
  <si>
    <t>Đông</t>
  </si>
  <si>
    <t>Đào Hải</t>
  </si>
  <si>
    <t>Nguyễn Hải</t>
  </si>
  <si>
    <t>Núi</t>
  </si>
  <si>
    <t>Phạm Thị Hương</t>
  </si>
  <si>
    <t>Dịu</t>
  </si>
  <si>
    <t>Đào Hồng</t>
  </si>
  <si>
    <t>Trần Thị Thanh</t>
  </si>
  <si>
    <t>Đoàn Thị Ngọc</t>
  </si>
  <si>
    <t>Phan Hữu</t>
  </si>
  <si>
    <t>Bách</t>
  </si>
  <si>
    <t>Trịnh Thị Thu</t>
  </si>
  <si>
    <t>Đặng Thị Thanh</t>
  </si>
  <si>
    <t>Duy</t>
  </si>
  <si>
    <t>Phan</t>
  </si>
  <si>
    <t>Trưởng khoa &gt;=41 &lt; 81 GV; Trợ lý đào tạo &gt;=40GV, Phó khoa &gt; 81</t>
  </si>
  <si>
    <t>Trưởng khoa &gt; 81 40GV; Trưởng khoa &lt; 40GV</t>
  </si>
  <si>
    <t>Phó khoa &gt;=40GV; Trưởng khoa &lt; 40GV</t>
  </si>
  <si>
    <t>Chưa có mức này</t>
  </si>
  <si>
    <t>THCM1</t>
  </si>
  <si>
    <t>NLCB1</t>
  </si>
  <si>
    <t>NLCB2</t>
  </si>
  <si>
    <t>PALU1</t>
  </si>
  <si>
    <t>XAHH1</t>
  </si>
  <si>
    <t>BS</t>
  </si>
  <si>
    <t>Lý</t>
  </si>
  <si>
    <t>Tuyen</t>
  </si>
  <si>
    <t>A6</t>
  </si>
  <si>
    <t>Đã nhận
(đồng)</t>
  </si>
  <si>
    <t>K_CTCĐ</t>
  </si>
  <si>
    <t>Canh tác học</t>
  </si>
  <si>
    <t>Giảng viên chính</t>
  </si>
  <si>
    <t>Giảng viên</t>
  </si>
  <si>
    <t>Bệnh cây</t>
  </si>
  <si>
    <t>Cây công nghiệp</t>
  </si>
  <si>
    <t>Cây lương thực</t>
  </si>
  <si>
    <t>Côn trùng</t>
  </si>
  <si>
    <t>Lê Thị Minh</t>
  </si>
  <si>
    <t>Ngô Công</t>
  </si>
  <si>
    <t>Lý do</t>
  </si>
  <si>
    <t>Ninh</t>
  </si>
  <si>
    <t>Học phần tiến sĩ</t>
  </si>
  <si>
    <t>ncs_hpts</t>
  </si>
  <si>
    <t>Hóa sinh động vật</t>
  </si>
  <si>
    <t>Sinh học</t>
  </si>
  <si>
    <t>Hoa</t>
  </si>
  <si>
    <t>Mai</t>
  </si>
  <si>
    <t>Tạm hoãn HĐLV từ 07/2017</t>
  </si>
  <si>
    <t>M0</t>
  </si>
  <si>
    <t>M1</t>
  </si>
  <si>
    <t>M2</t>
  </si>
  <si>
    <t>M3</t>
  </si>
  <si>
    <t>M4</t>
  </si>
  <si>
    <t>M5</t>
  </si>
  <si>
    <t>M6</t>
  </si>
  <si>
    <t>M7</t>
  </si>
  <si>
    <t>Số tiền</t>
  </si>
  <si>
    <t>&lt;5000000</t>
  </si>
  <si>
    <t>&gt;=5000000</t>
  </si>
  <si>
    <t>4 Total</t>
  </si>
  <si>
    <t>5 Total</t>
  </si>
  <si>
    <t>6 Total</t>
  </si>
  <si>
    <t>7 Total</t>
  </si>
  <si>
    <t>8 Total</t>
  </si>
  <si>
    <t>9 Total</t>
  </si>
  <si>
    <t>&lt;15000000</t>
  </si>
  <si>
    <t>&gt;=15000000</t>
  </si>
  <si>
    <t>&lt;20000000</t>
  </si>
  <si>
    <t>&gt;=20000000</t>
  </si>
  <si>
    <t>Số chi thừa kỳ I đã trừ
(đồng)</t>
  </si>
  <si>
    <t>6. Số truy thu lại</t>
  </si>
  <si>
    <t>7. Số chi đợt này:</t>
  </si>
  <si>
    <t>Đỗ Thị Tuyết</t>
  </si>
  <si>
    <t>Viện</t>
  </si>
  <si>
    <t>Đi NN từ 02/2015</t>
  </si>
  <si>
    <t>Đồng Đạo</t>
  </si>
  <si>
    <t>Ma_GV</t>
  </si>
  <si>
    <t>Hoàng Thị Minh</t>
  </si>
  <si>
    <t>Nhiên</t>
  </si>
  <si>
    <t>Dạy - Rèn nghề</t>
  </si>
  <si>
    <t>DARN1</t>
  </si>
  <si>
    <t>004.090.01679</t>
  </si>
  <si>
    <t>QS011</t>
  </si>
  <si>
    <t>Phạm Quyết</t>
  </si>
  <si>
    <t>Về từ 09/2018</t>
  </si>
  <si>
    <t>QS010</t>
  </si>
  <si>
    <t>Trịnh Hùng</t>
  </si>
  <si>
    <t>004.090.02319</t>
  </si>
  <si>
    <t>HĐ từ 03/2018</t>
  </si>
  <si>
    <t>004.090.02322</t>
  </si>
  <si>
    <t>Đỗ Thành</t>
  </si>
  <si>
    <t>Về từ 10/2018</t>
  </si>
  <si>
    <t>Đi NN từ 10/2018</t>
  </si>
  <si>
    <t>Đi NN từ 09/2018</t>
  </si>
  <si>
    <t>Đi NN từ 08/2018</t>
  </si>
  <si>
    <t>Về từ 12/2018</t>
  </si>
  <si>
    <t>Về từ 11/2018</t>
  </si>
  <si>
    <t>Về từ 08/2018</t>
  </si>
  <si>
    <t>004.003.01377</t>
  </si>
  <si>
    <t>004.090.01042</t>
  </si>
  <si>
    <t>004.003.00276</t>
  </si>
  <si>
    <t>004.003.00275</t>
  </si>
  <si>
    <t>004.090.01565</t>
  </si>
  <si>
    <t>004.090.01728</t>
  </si>
  <si>
    <t>004.090.01787</t>
  </si>
  <si>
    <t>004.004.00908</t>
  </si>
  <si>
    <t>004.090.02011</t>
  </si>
  <si>
    <t>004.003.01482</t>
  </si>
  <si>
    <t>004.003.01483</t>
  </si>
  <si>
    <t>004.003.01125</t>
  </si>
  <si>
    <t>Lê Việt</t>
  </si>
  <si>
    <t>Định</t>
  </si>
  <si>
    <t>Đặng Thuý</t>
  </si>
  <si>
    <t>Nguyễn Thị Tuyết</t>
  </si>
  <si>
    <t>Lê</t>
  </si>
  <si>
    <t>Tuyết</t>
  </si>
  <si>
    <t>Lê Thị Hoàng</t>
  </si>
  <si>
    <t>Hán Thị Phương</t>
  </si>
  <si>
    <t>Doanh</t>
  </si>
  <si>
    <t>TAIC1</t>
  </si>
  <si>
    <t>Phó BT Đoàn HV (60%) dến 12/2019</t>
  </si>
  <si>
    <t>Trưởng Bộ môn (20%)
Phó GĐ BV Cây trồng (15%)</t>
  </si>
  <si>
    <t>Trưởng Bộ môn (20%) đén 07/2019</t>
  </si>
  <si>
    <t>Phó Bộ môn PT (20%) từ 08/2019</t>
  </si>
  <si>
    <t>Phó Bộ môn (15%) đến 07/2019</t>
  </si>
  <si>
    <t>Phó GĐ BV Cây trồng (15%)</t>
  </si>
  <si>
    <t>Trưởng Bộ môn (20%) dến 08/2019</t>
  </si>
  <si>
    <t>Phó Bộ môn (15%) đến 07/2019
Phó BM phụ trách</t>
  </si>
  <si>
    <t>Phó BM phụ trách (20%) từ 08/2019.  Đi 3 tháng NN</t>
  </si>
  <si>
    <t>Trưởng phòng TN (15%)
CTCĐ bộ phận (15%)
Phó Khoa (25%)</t>
  </si>
  <si>
    <t>Phó Bộ môn (15%)
Bí thư Chi bộ (15%)
Phó GĐTT 09/2019 (15%)</t>
  </si>
  <si>
    <t>Phó Bộ môn (15%)
Phó GĐ PT Trung tâm (20%)</t>
  </si>
  <si>
    <t>Chủ tịch Hội sinh viên (60%)</t>
  </si>
  <si>
    <t>Hưu 02/2020. Tính 4 tháng</t>
  </si>
  <si>
    <t>Hưu trí 12/2019. Tính 2 tháng</t>
  </si>
  <si>
    <t>Trưởng ban 75%
Trưởng Bộ môn (20%)
Phó Bí thư Chi bộ (10%)</t>
  </si>
  <si>
    <t>Hưu 06/2020. Tính 8 tháng</t>
  </si>
  <si>
    <t>Đi NN từ 02/2017</t>
  </si>
  <si>
    <t>Trưởng Khoa (30%)
Con nhỏ 09/2017 (20%)
Phó Bí thư Chi bộ (10%)</t>
  </si>
  <si>
    <t>Phó Bộ môn (15%) đến 11/2019</t>
  </si>
  <si>
    <t>Phụ trách BM (20%) từ 12/2019</t>
  </si>
  <si>
    <t>Trưởng Bộ môn (20%) đến 12/2019</t>
  </si>
  <si>
    <t>Đi NN từ 09/2017</t>
  </si>
  <si>
    <t xml:space="preserve">Phó Bộ môn (15%)
Phó Khoa 25% </t>
  </si>
  <si>
    <t xml:space="preserve">NCS 2015-2019. </t>
  </si>
  <si>
    <t>Trưởng Khoa (30%)
Phó Bí thư Chi bộ (10%)</t>
  </si>
  <si>
    <t>Hưu 03/2020. Tính 5 tháng</t>
  </si>
  <si>
    <t>Con nhỏ 01/2020 (20%)
CTCĐ bộ phận (15%)
Nghỉ 6 tháng thai sản</t>
  </si>
  <si>
    <t>Hết tập sự 09/2019</t>
  </si>
  <si>
    <t>Đi NN từ 04/2016</t>
  </si>
  <si>
    <t>Đi NN từ 06/2016</t>
  </si>
  <si>
    <t>Đi NN từ 02/2016</t>
  </si>
  <si>
    <t>Lê Minh</t>
  </si>
  <si>
    <t>Nguyễn Chung</t>
  </si>
  <si>
    <t>Thông</t>
  </si>
  <si>
    <t>Lương Văn</t>
  </si>
  <si>
    <t>Vượt</t>
  </si>
  <si>
    <t>Dương Thành</t>
  </si>
  <si>
    <t>Huân</t>
  </si>
  <si>
    <t>Ngô Trí</t>
  </si>
  <si>
    <t>Dương</t>
  </si>
  <si>
    <t>Nguyễn Thái</t>
  </si>
  <si>
    <t>Nguyễn Kim</t>
  </si>
  <si>
    <t>Đặng Thị Thúy</t>
  </si>
  <si>
    <t>Đạt</t>
  </si>
  <si>
    <t>Hiên</t>
  </si>
</sst>
</file>

<file path=xl/styles.xml><?xml version="1.0" encoding="utf-8"?>
<styleSheet xmlns="http://schemas.openxmlformats.org/spreadsheetml/2006/main">
  <numFmts count="6">
    <numFmt numFmtId="171" formatCode="_(* #,##0.00_);_(* \(#,##0.00\);_(* &quot;-&quot;??_);_(@_)"/>
    <numFmt numFmtId="184" formatCode="0.0"/>
    <numFmt numFmtId="185" formatCode="#,##0.0"/>
    <numFmt numFmtId="188" formatCode="_(* #,##0.0_);_(* \(#,##0.0\);_(* &quot;-&quot;??_);_(@_)"/>
    <numFmt numFmtId="189" formatCode="_(* #,##0_);_(* \(#,##0\);_(* &quot;-&quot;??_);_(@_)"/>
    <numFmt numFmtId="221" formatCode="_-* #,##0_-;\-* #,##0_-;_-* &quot;-&quot;??_-;_-@_-"/>
  </numFmts>
  <fonts count="49">
    <font>
      <sz val="12"/>
      <name val=".VnTime"/>
    </font>
    <font>
      <sz val="12"/>
      <name val=".VnArial Narrow"/>
      <family val="2"/>
    </font>
    <font>
      <sz val="12"/>
      <color indexed="10"/>
      <name val=".VnTime"/>
      <family val="2"/>
    </font>
    <font>
      <sz val="12"/>
      <name val=".VnTime"/>
      <family val="2"/>
    </font>
    <font>
      <b/>
      <sz val="12"/>
      <name val=".VnTime"/>
      <family val="2"/>
    </font>
    <font>
      <b/>
      <sz val="11"/>
      <name val=".VnArial Narrow"/>
      <family val="2"/>
    </font>
    <font>
      <sz val="11"/>
      <name val=".VnArial Narrow"/>
      <family val="2"/>
    </font>
    <font>
      <sz val="10"/>
      <name val="Arial"/>
      <family val="2"/>
    </font>
    <font>
      <sz val="10"/>
      <name val="VNI-Times"/>
    </font>
    <font>
      <sz val="10"/>
      <name val=".VnArial"/>
      <family val="2"/>
    </font>
    <font>
      <b/>
      <sz val="12"/>
      <name val=".VnArial Narrow"/>
      <family val="2"/>
    </font>
    <font>
      <sz val="13"/>
      <name val="Times New Roman"/>
      <family val="1"/>
    </font>
    <font>
      <sz val="12"/>
      <name val="Times New Roman"/>
      <family val="1"/>
    </font>
    <font>
      <b/>
      <sz val="15"/>
      <name val=".VnTimeH"/>
      <family val="2"/>
    </font>
    <font>
      <b/>
      <sz val="8"/>
      <color indexed="81"/>
      <name val="Tahoma"/>
      <family val="2"/>
    </font>
    <font>
      <sz val="8"/>
      <name val=".VnTime"/>
      <family val="2"/>
    </font>
    <font>
      <sz val="10"/>
      <name val="Times New Roman"/>
      <family val="1"/>
    </font>
    <font>
      <b/>
      <sz val="12"/>
      <name val="Times New Roman"/>
      <family val="1"/>
    </font>
    <font>
      <sz val="11"/>
      <name val="Times New Roman"/>
      <family val="1"/>
    </font>
    <font>
      <sz val="16"/>
      <name val="Times New Roman"/>
      <family val="1"/>
      <charset val="163"/>
    </font>
    <font>
      <sz val="14"/>
      <name val="Times New Roman"/>
      <family val="1"/>
      <charset val="163"/>
    </font>
    <font>
      <b/>
      <sz val="14"/>
      <name val="Times New Roman"/>
      <family val="1"/>
      <charset val="163"/>
    </font>
    <font>
      <b/>
      <sz val="11"/>
      <name val="Times New Roman"/>
      <family val="1"/>
      <charset val="163"/>
    </font>
    <font>
      <sz val="11"/>
      <name val="Times New Roman"/>
      <family val="1"/>
      <charset val="163"/>
    </font>
    <font>
      <sz val="10"/>
      <name val="Times New Roman"/>
      <family val="1"/>
      <charset val="163"/>
    </font>
    <font>
      <b/>
      <sz val="15"/>
      <name val="Times New Roman"/>
      <family val="1"/>
      <charset val="163"/>
    </font>
    <font>
      <b/>
      <sz val="13"/>
      <name val="Times New Roman"/>
      <family val="1"/>
      <charset val="163"/>
    </font>
    <font>
      <sz val="13"/>
      <name val="Times New Roman"/>
      <family val="1"/>
      <charset val="163"/>
    </font>
    <font>
      <sz val="12"/>
      <name val="Times New Roman"/>
      <family val="1"/>
      <charset val="163"/>
    </font>
    <font>
      <b/>
      <sz val="12"/>
      <name val="Times New Roman"/>
      <family val="1"/>
      <charset val="163"/>
    </font>
    <font>
      <sz val="11"/>
      <color indexed="81"/>
      <name val="Times New Roman"/>
      <family val="1"/>
      <charset val="163"/>
    </font>
    <font>
      <b/>
      <sz val="16"/>
      <name val="Times New Roman"/>
      <family val="1"/>
      <charset val="163"/>
    </font>
    <font>
      <b/>
      <sz val="16"/>
      <name val="Times New Roman"/>
      <family val="1"/>
    </font>
    <font>
      <b/>
      <sz val="11"/>
      <name val="Times New Roman"/>
      <family val="1"/>
    </font>
    <font>
      <sz val="12"/>
      <name val="Times New Roman"/>
      <family val="1"/>
    </font>
    <font>
      <sz val="13"/>
      <color indexed="10"/>
      <name val="Times New Roman"/>
      <family val="1"/>
    </font>
    <font>
      <b/>
      <sz val="11"/>
      <color indexed="12"/>
      <name val="Times New Roman"/>
      <family val="1"/>
    </font>
    <font>
      <sz val="11"/>
      <color indexed="12"/>
      <name val="Times New Roman"/>
      <family val="1"/>
    </font>
    <font>
      <i/>
      <sz val="13"/>
      <name val="Times New Roman"/>
      <family val="1"/>
    </font>
    <font>
      <b/>
      <sz val="10"/>
      <color indexed="81"/>
      <name val="Tahoma"/>
      <family val="2"/>
      <charset val="163"/>
    </font>
    <font>
      <sz val="10"/>
      <color indexed="81"/>
      <name val="Tahoma"/>
      <family val="2"/>
      <charset val="163"/>
    </font>
    <font>
      <b/>
      <u/>
      <sz val="13"/>
      <name val="Times New Roman"/>
      <family val="1"/>
      <charset val="163"/>
    </font>
    <font>
      <sz val="10"/>
      <color indexed="81"/>
      <name val="Arial"/>
      <family val="2"/>
    </font>
    <font>
      <sz val="10"/>
      <color indexed="81"/>
      <name val="Arial"/>
      <family val="2"/>
      <charset val="163"/>
    </font>
    <font>
      <sz val="9"/>
      <color indexed="81"/>
      <name val="Tahoma"/>
      <family val="2"/>
    </font>
    <font>
      <b/>
      <sz val="9"/>
      <color indexed="81"/>
      <name val="Tahoma"/>
      <family val="2"/>
    </font>
    <font>
      <sz val="9"/>
      <color indexed="81"/>
      <name val="Tahoma"/>
      <charset val="1"/>
    </font>
    <font>
      <b/>
      <sz val="9"/>
      <color indexed="81"/>
      <name val="Tahoma"/>
      <charset val="1"/>
    </font>
    <font>
      <b/>
      <i/>
      <sz val="13"/>
      <color indexed="12"/>
      <name val="Times New Roman"/>
      <family val="1"/>
    </font>
  </fonts>
  <fills count="5">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4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s>
  <cellStyleXfs count="7">
    <xf numFmtId="0" fontId="0" fillId="0" borderId="0"/>
    <xf numFmtId="171" fontId="7" fillId="0" borderId="0" applyFont="0" applyFill="0" applyBorder="0" applyAlignment="0" applyProtection="0"/>
    <xf numFmtId="0" fontId="12" fillId="0" borderId="0"/>
    <xf numFmtId="0" fontId="9" fillId="0" borderId="0"/>
    <xf numFmtId="0" fontId="8" fillId="0" borderId="0"/>
    <xf numFmtId="0" fontId="34" fillId="0" borderId="0"/>
    <xf numFmtId="9" fontId="7" fillId="0" borderId="0" applyFont="0" applyFill="0" applyBorder="0" applyAlignment="0" applyProtection="0"/>
  </cellStyleXfs>
  <cellXfs count="347">
    <xf numFmtId="0" fontId="0" fillId="0" borderId="0" xfId="0"/>
    <xf numFmtId="0" fontId="2" fillId="2" borderId="0" xfId="0" applyFont="1" applyFill="1" applyAlignment="1">
      <alignment horizontal="center"/>
    </xf>
    <xf numFmtId="0" fontId="2" fillId="2" borderId="0" xfId="0" applyFont="1" applyFill="1" applyAlignment="1">
      <alignment horizontal="center" wrapText="1"/>
    </xf>
    <xf numFmtId="0" fontId="3" fillId="0" borderId="0" xfId="0" applyFont="1"/>
    <xf numFmtId="0" fontId="3" fillId="0" borderId="0" xfId="0" applyFont="1" applyAlignment="1">
      <alignment horizontal="center"/>
    </xf>
    <xf numFmtId="3" fontId="3" fillId="3" borderId="0" xfId="0" applyNumberFormat="1" applyFont="1" applyFill="1"/>
    <xf numFmtId="3" fontId="3" fillId="3" borderId="0" xfId="0" applyNumberFormat="1" applyFont="1" applyFill="1" applyAlignment="1">
      <alignment horizontal="center"/>
    </xf>
    <xf numFmtId="3" fontId="3" fillId="0" borderId="0" xfId="0" applyNumberFormat="1" applyFont="1"/>
    <xf numFmtId="3" fontId="3" fillId="0" borderId="0" xfId="0" applyNumberFormat="1" applyFont="1" applyAlignment="1">
      <alignment horizontal="center"/>
    </xf>
    <xf numFmtId="3" fontId="0" fillId="0" borderId="0" xfId="0" applyNumberFormat="1"/>
    <xf numFmtId="3" fontId="4" fillId="0" borderId="0" xfId="0" applyNumberFormat="1" applyFont="1"/>
    <xf numFmtId="0" fontId="6"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vertical="center"/>
    </xf>
    <xf numFmtId="3" fontId="6" fillId="0" borderId="0" xfId="0" applyNumberFormat="1" applyFont="1" applyFill="1" applyAlignment="1">
      <alignment vertical="center"/>
    </xf>
    <xf numFmtId="189" fontId="0" fillId="0" borderId="0" xfId="1" applyNumberFormat="1" applyFont="1"/>
    <xf numFmtId="0" fontId="0" fillId="0" borderId="0" xfId="0" applyFill="1"/>
    <xf numFmtId="2" fontId="0" fillId="0" borderId="0" xfId="0" applyNumberFormat="1" applyFill="1"/>
    <xf numFmtId="0" fontId="10" fillId="0" borderId="0" xfId="0" applyFont="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0" xfId="0" applyFont="1" applyAlignment="1">
      <alignment vertical="center"/>
    </xf>
    <xf numFmtId="0" fontId="1"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4" xfId="0" applyFont="1" applyBorder="1" applyAlignment="1">
      <alignment horizontal="center" vertical="center"/>
    </xf>
    <xf numFmtId="0" fontId="1" fillId="0" borderId="4" xfId="0" applyFont="1" applyBorder="1" applyAlignment="1">
      <alignment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0" borderId="5" xfId="0" applyFont="1" applyBorder="1" applyAlignment="1">
      <alignment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1" fillId="0" borderId="0" xfId="0" applyFont="1"/>
    <xf numFmtId="0" fontId="12" fillId="0" borderId="0" xfId="0" applyFont="1"/>
    <xf numFmtId="0" fontId="2" fillId="0" borderId="0" xfId="0" applyFont="1" applyAlignment="1">
      <alignment horizontal="center"/>
    </xf>
    <xf numFmtId="0" fontId="2" fillId="0" borderId="0" xfId="0" applyFont="1"/>
    <xf numFmtId="3" fontId="2" fillId="3" borderId="0" xfId="0" applyNumberFormat="1" applyFont="1" applyFill="1"/>
    <xf numFmtId="1" fontId="12" fillId="0" borderId="0" xfId="0" applyNumberFormat="1" applyFont="1"/>
    <xf numFmtId="189" fontId="12" fillId="0" borderId="0" xfId="1" applyNumberFormat="1" applyFont="1"/>
    <xf numFmtId="189" fontId="12" fillId="0" borderId="0" xfId="0" applyNumberFormat="1" applyFont="1"/>
    <xf numFmtId="3" fontId="5" fillId="0" borderId="1" xfId="0" applyNumberFormat="1" applyFont="1" applyFill="1" applyBorder="1" applyAlignment="1">
      <alignment horizontal="center" vertical="center"/>
    </xf>
    <xf numFmtId="3" fontId="5" fillId="0" borderId="1" xfId="0" applyNumberFormat="1" applyFont="1" applyFill="1" applyBorder="1" applyAlignment="1">
      <alignment vertical="center"/>
    </xf>
    <xf numFmtId="3" fontId="5" fillId="0" borderId="1" xfId="1" applyNumberFormat="1" applyFont="1" applyFill="1" applyBorder="1" applyAlignment="1">
      <alignment vertical="center"/>
    </xf>
    <xf numFmtId="1" fontId="5" fillId="0" borderId="1" xfId="0" applyNumberFormat="1" applyFont="1" applyFill="1" applyBorder="1" applyAlignment="1">
      <alignment horizontal="center" vertical="center"/>
    </xf>
    <xf numFmtId="3" fontId="6" fillId="0" borderId="2" xfId="0" applyNumberFormat="1" applyFont="1" applyFill="1" applyBorder="1" applyAlignment="1">
      <alignment vertical="center"/>
    </xf>
    <xf numFmtId="3" fontId="6" fillId="0" borderId="2" xfId="1" applyNumberFormat="1" applyFont="1" applyFill="1" applyBorder="1" applyAlignment="1">
      <alignment vertical="center"/>
    </xf>
    <xf numFmtId="0" fontId="12" fillId="0" borderId="0" xfId="0" applyNumberFormat="1" applyFont="1"/>
    <xf numFmtId="171" fontId="12" fillId="0" borderId="0" xfId="0" applyNumberFormat="1" applyFont="1"/>
    <xf numFmtId="9" fontId="0" fillId="0" borderId="0" xfId="0" applyNumberFormat="1"/>
    <xf numFmtId="0" fontId="0" fillId="0" borderId="0" xfId="0" applyNumberFormat="1"/>
    <xf numFmtId="0" fontId="0" fillId="0" borderId="0" xfId="1" applyNumberFormat="1" applyFont="1"/>
    <xf numFmtId="2" fontId="17" fillId="0" borderId="1" xfId="0" applyNumberFormat="1" applyFont="1" applyFill="1" applyBorder="1" applyAlignment="1">
      <alignment horizontal="center"/>
    </xf>
    <xf numFmtId="2" fontId="17" fillId="4" borderId="1" xfId="0" applyNumberFormat="1" applyFont="1" applyFill="1" applyBorder="1" applyAlignment="1">
      <alignment horizontal="center"/>
    </xf>
    <xf numFmtId="2" fontId="17" fillId="0" borderId="2" xfId="0" applyNumberFormat="1" applyFont="1" applyFill="1" applyBorder="1" applyAlignment="1">
      <alignment horizontal="center"/>
    </xf>
    <xf numFmtId="189" fontId="0" fillId="0" borderId="0" xfId="1" applyNumberFormat="1" applyFont="1" applyAlignment="1">
      <alignment horizontal="left" indent="2"/>
    </xf>
    <xf numFmtId="0" fontId="12" fillId="0" borderId="0" xfId="0" applyFont="1" applyAlignment="1">
      <alignment horizontal="center"/>
    </xf>
    <xf numFmtId="0" fontId="12" fillId="0" borderId="1" xfId="0" applyFont="1" applyBorder="1"/>
    <xf numFmtId="189" fontId="0" fillId="0" borderId="1" xfId="1" applyNumberFormat="1" applyFont="1" applyBorder="1" applyAlignment="1">
      <alignment horizontal="left" indent="2"/>
    </xf>
    <xf numFmtId="189" fontId="17" fillId="0" borderId="0" xfId="0" applyNumberFormat="1" applyFont="1"/>
    <xf numFmtId="0" fontId="17" fillId="0" borderId="0" xfId="0" applyFont="1"/>
    <xf numFmtId="189" fontId="0" fillId="2" borderId="0" xfId="1" applyNumberFormat="1" applyFont="1" applyFill="1"/>
    <xf numFmtId="189" fontId="0" fillId="0" borderId="0" xfId="0" applyNumberFormat="1"/>
    <xf numFmtId="189" fontId="0" fillId="2" borderId="0" xfId="0" applyNumberFormat="1" applyFill="1"/>
    <xf numFmtId="189" fontId="2" fillId="2" borderId="0" xfId="1" applyNumberFormat="1" applyFont="1" applyFill="1"/>
    <xf numFmtId="189" fontId="2" fillId="2" borderId="0" xfId="0" applyNumberFormat="1" applyFont="1" applyFill="1"/>
    <xf numFmtId="0" fontId="2" fillId="2" borderId="0" xfId="0" applyFont="1" applyFill="1"/>
    <xf numFmtId="3" fontId="2" fillId="2" borderId="0" xfId="0" applyNumberFormat="1" applyFont="1" applyFill="1"/>
    <xf numFmtId="3" fontId="2" fillId="2" borderId="0" xfId="0" applyNumberFormat="1" applyFont="1" applyFill="1" applyAlignment="1">
      <alignment horizontal="center"/>
    </xf>
    <xf numFmtId="0" fontId="3" fillId="2" borderId="0" xfId="0" applyFont="1" applyFill="1" applyAlignment="1">
      <alignment horizontal="center"/>
    </xf>
    <xf numFmtId="0" fontId="3" fillId="2" borderId="0" xfId="0" applyFont="1" applyFill="1"/>
    <xf numFmtId="3" fontId="3" fillId="2" borderId="0" xfId="0" applyNumberFormat="1" applyFont="1" applyFill="1"/>
    <xf numFmtId="0" fontId="0" fillId="2" borderId="0" xfId="0" applyFill="1"/>
    <xf numFmtId="0" fontId="20" fillId="0" borderId="0" xfId="0" applyNumberFormat="1" applyFont="1" applyFill="1" applyBorder="1" applyAlignment="1" applyProtection="1">
      <alignment vertical="center"/>
      <protection hidden="1"/>
    </xf>
    <xf numFmtId="0" fontId="22" fillId="0" borderId="1" xfId="0" applyFont="1" applyFill="1" applyBorder="1" applyAlignment="1">
      <alignment horizontal="center" vertical="center"/>
    </xf>
    <xf numFmtId="0" fontId="22" fillId="0" borderId="1" xfId="0" applyNumberFormat="1" applyFont="1" applyFill="1" applyBorder="1" applyAlignment="1">
      <alignment horizontal="center" vertical="center" wrapText="1"/>
    </xf>
    <xf numFmtId="0" fontId="22" fillId="0" borderId="1" xfId="0" applyNumberFormat="1" applyFont="1" applyFill="1" applyBorder="1" applyAlignment="1" applyProtection="1">
      <alignment horizontal="center" vertical="center" wrapText="1"/>
      <protection hidden="1"/>
    </xf>
    <xf numFmtId="0" fontId="22" fillId="0" borderId="1" xfId="0" applyNumberFormat="1" applyFont="1" applyFill="1" applyBorder="1" applyAlignment="1">
      <alignment horizontal="center" vertical="center"/>
    </xf>
    <xf numFmtId="0" fontId="22" fillId="0" borderId="2"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2" xfId="0" applyFont="1" applyFill="1" applyBorder="1" applyAlignment="1">
      <alignment horizontal="center" vertical="center" wrapText="1"/>
    </xf>
    <xf numFmtId="3" fontId="23" fillId="0" borderId="4" xfId="0" applyNumberFormat="1" applyFont="1" applyFill="1" applyBorder="1" applyAlignment="1">
      <alignment horizontal="center" vertical="center"/>
    </xf>
    <xf numFmtId="0" fontId="23" fillId="0" borderId="4" xfId="0" applyFont="1" applyFill="1" applyBorder="1" applyAlignment="1">
      <alignment horizontal="center" vertical="center"/>
    </xf>
    <xf numFmtId="0" fontId="23" fillId="0" borderId="6" xfId="0" applyNumberFormat="1" applyFont="1" applyFill="1" applyBorder="1" applyAlignment="1">
      <alignment vertical="center"/>
    </xf>
    <xf numFmtId="0" fontId="23" fillId="0" borderId="4" xfId="0" applyNumberFormat="1" applyFont="1" applyFill="1" applyBorder="1" applyAlignment="1">
      <alignment vertical="center"/>
    </xf>
    <xf numFmtId="0" fontId="23" fillId="0" borderId="4" xfId="0" applyFont="1" applyFill="1" applyBorder="1" applyAlignment="1">
      <alignment vertical="center"/>
    </xf>
    <xf numFmtId="3" fontId="22" fillId="0" borderId="1" xfId="0" applyNumberFormat="1" applyFont="1" applyFill="1" applyBorder="1" applyAlignment="1">
      <alignment horizontal="center" vertical="center" wrapText="1"/>
    </xf>
    <xf numFmtId="0" fontId="22" fillId="0" borderId="7" xfId="0" applyFont="1" applyFill="1" applyBorder="1" applyAlignment="1">
      <alignment horizontal="center" vertical="center"/>
    </xf>
    <xf numFmtId="0" fontId="22" fillId="0" borderId="7" xfId="0" applyFont="1" applyFill="1" applyBorder="1" applyAlignment="1">
      <alignment horizontal="center" vertical="center" wrapText="1"/>
    </xf>
    <xf numFmtId="0" fontId="23" fillId="0" borderId="3" xfId="0" applyNumberFormat="1" applyFont="1" applyFill="1" applyBorder="1" applyAlignment="1">
      <alignment vertical="center"/>
    </xf>
    <xf numFmtId="3" fontId="22" fillId="0" borderId="4" xfId="0" applyNumberFormat="1" applyFont="1" applyFill="1" applyBorder="1" applyAlignment="1">
      <alignment horizontal="center" vertical="center"/>
    </xf>
    <xf numFmtId="0" fontId="22" fillId="0" borderId="4" xfId="0" applyFont="1" applyFill="1" applyBorder="1" applyAlignment="1">
      <alignment horizontal="center" vertical="center"/>
    </xf>
    <xf numFmtId="0" fontId="22" fillId="2" borderId="1" xfId="0" applyFont="1" applyFill="1" applyBorder="1" applyAlignment="1">
      <alignment horizontal="center" vertical="center"/>
    </xf>
    <xf numFmtId="0" fontId="28" fillId="0" borderId="0" xfId="0" applyFont="1" applyFill="1"/>
    <xf numFmtId="0" fontId="28" fillId="0" borderId="0" xfId="0" applyNumberFormat="1" applyFont="1" applyFill="1"/>
    <xf numFmtId="0" fontId="22" fillId="0" borderId="2" xfId="0" applyFont="1" applyFill="1" applyBorder="1" applyAlignment="1" applyProtection="1">
      <alignment horizontal="center" vertical="center" wrapText="1"/>
      <protection hidden="1"/>
    </xf>
    <xf numFmtId="3" fontId="22" fillId="0" borderId="2"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0" fontId="22" fillId="0" borderId="7" xfId="0" applyFont="1" applyFill="1" applyBorder="1" applyAlignment="1" applyProtection="1">
      <alignment horizontal="center" vertical="center" wrapText="1"/>
      <protection hidden="1"/>
    </xf>
    <xf numFmtId="0" fontId="23" fillId="0" borderId="3" xfId="0" applyFont="1" applyFill="1" applyBorder="1" applyAlignment="1">
      <alignment horizontal="center" vertical="center"/>
    </xf>
    <xf numFmtId="3" fontId="23" fillId="0" borderId="3" xfId="0" applyNumberFormat="1" applyFont="1" applyFill="1" applyBorder="1" applyAlignment="1">
      <alignment vertical="center"/>
    </xf>
    <xf numFmtId="3" fontId="23" fillId="0" borderId="4" xfId="0" applyNumberFormat="1" applyFont="1" applyFill="1" applyBorder="1" applyAlignment="1">
      <alignment vertical="center"/>
    </xf>
    <xf numFmtId="3" fontId="23" fillId="0" borderId="4" xfId="1" applyNumberFormat="1" applyFont="1" applyFill="1" applyBorder="1" applyAlignment="1">
      <alignment vertical="center"/>
    </xf>
    <xf numFmtId="3" fontId="23" fillId="0" borderId="3" xfId="1" applyNumberFormat="1" applyFont="1" applyFill="1" applyBorder="1" applyAlignment="1">
      <alignment vertical="center"/>
    </xf>
    <xf numFmtId="1" fontId="23" fillId="0" borderId="4" xfId="0" applyNumberFormat="1" applyFont="1" applyFill="1" applyBorder="1" applyAlignment="1">
      <alignment horizontal="center" vertical="center"/>
    </xf>
    <xf numFmtId="0" fontId="22" fillId="0" borderId="4" xfId="0" applyFont="1" applyFill="1" applyBorder="1" applyAlignment="1">
      <alignment vertical="center"/>
    </xf>
    <xf numFmtId="3" fontId="22" fillId="0" borderId="4" xfId="0" applyNumberFormat="1" applyFont="1" applyFill="1" applyBorder="1" applyAlignment="1">
      <alignment vertical="center"/>
    </xf>
    <xf numFmtId="3" fontId="22" fillId="0" borderId="4" xfId="1" applyNumberFormat="1" applyFont="1" applyFill="1" applyBorder="1" applyAlignment="1">
      <alignment vertical="center"/>
    </xf>
    <xf numFmtId="1" fontId="22" fillId="0" borderId="4" xfId="0" applyNumberFormat="1" applyFont="1" applyFill="1" applyBorder="1" applyAlignment="1">
      <alignment horizontal="center" vertical="center"/>
    </xf>
    <xf numFmtId="3" fontId="22" fillId="0" borderId="4" xfId="1" applyNumberFormat="1" applyFont="1" applyFill="1" applyBorder="1" applyAlignment="1">
      <alignment horizontal="center" vertical="center"/>
    </xf>
    <xf numFmtId="0" fontId="22" fillId="2" borderId="1" xfId="0" applyFont="1" applyFill="1" applyBorder="1" applyAlignment="1">
      <alignment vertical="center"/>
    </xf>
    <xf numFmtId="3" fontId="22" fillId="2" borderId="1" xfId="0" applyNumberFormat="1" applyFont="1" applyFill="1" applyBorder="1" applyAlignment="1">
      <alignment horizontal="center" vertical="center"/>
    </xf>
    <xf numFmtId="3" fontId="22" fillId="2" borderId="1" xfId="0" applyNumberFormat="1" applyFont="1" applyFill="1" applyBorder="1" applyAlignment="1">
      <alignment vertical="center"/>
    </xf>
    <xf numFmtId="3" fontId="22" fillId="2" borderId="1" xfId="1" applyNumberFormat="1" applyFont="1" applyFill="1" applyBorder="1" applyAlignment="1">
      <alignment vertical="center"/>
    </xf>
    <xf numFmtId="1" fontId="22" fillId="2" borderId="1" xfId="0" applyNumberFormat="1" applyFont="1" applyFill="1" applyBorder="1" applyAlignment="1">
      <alignment horizontal="center" vertical="center"/>
    </xf>
    <xf numFmtId="3" fontId="22" fillId="2" borderId="1" xfId="1" applyNumberFormat="1" applyFont="1" applyFill="1" applyBorder="1" applyAlignment="1">
      <alignment horizontal="center" vertical="center"/>
    </xf>
    <xf numFmtId="3" fontId="22" fillId="0" borderId="7" xfId="0" applyNumberFormat="1" applyFont="1" applyFill="1" applyBorder="1" applyAlignment="1" applyProtection="1">
      <alignment horizontal="center" vertical="center" wrapText="1"/>
      <protection hidden="1"/>
    </xf>
    <xf numFmtId="3" fontId="22" fillId="0" borderId="1" xfId="0" applyNumberFormat="1" applyFont="1" applyFill="1" applyBorder="1" applyAlignment="1" applyProtection="1">
      <alignment horizontal="center" vertical="center" wrapText="1"/>
      <protection hidden="1"/>
    </xf>
    <xf numFmtId="3" fontId="22" fillId="0" borderId="2" xfId="0" applyNumberFormat="1" applyFont="1" applyFill="1" applyBorder="1" applyAlignment="1" applyProtection="1">
      <alignment horizontal="center" vertical="center" wrapText="1"/>
      <protection hidden="1"/>
    </xf>
    <xf numFmtId="0" fontId="23"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19" fillId="0" borderId="0" xfId="0" applyFont="1" applyFill="1" applyBorder="1" applyAlignment="1">
      <alignment vertical="center"/>
    </xf>
    <xf numFmtId="189" fontId="23" fillId="0" borderId="0" xfId="0" applyNumberFormat="1" applyFont="1" applyFill="1" applyBorder="1" applyAlignment="1">
      <alignment vertical="center"/>
    </xf>
    <xf numFmtId="0" fontId="19" fillId="0" borderId="0" xfId="0" applyFont="1" applyFill="1" applyBorder="1" applyAlignment="1">
      <alignment horizontal="center" vertical="center"/>
    </xf>
    <xf numFmtId="0" fontId="31" fillId="0" borderId="0" xfId="0" applyFont="1" applyFill="1" applyBorder="1" applyAlignment="1">
      <alignment vertical="center"/>
    </xf>
    <xf numFmtId="0" fontId="20" fillId="0" borderId="0" xfId="0" applyFont="1" applyFill="1" applyBorder="1" applyAlignment="1">
      <alignment vertical="center"/>
    </xf>
    <xf numFmtId="2" fontId="23" fillId="0" borderId="0" xfId="0" applyNumberFormat="1" applyFont="1" applyFill="1" applyBorder="1" applyAlignment="1">
      <alignment horizontal="center" vertical="center"/>
    </xf>
    <xf numFmtId="0" fontId="23" fillId="0" borderId="0" xfId="0" applyFont="1" applyFill="1" applyBorder="1" applyAlignment="1">
      <alignment vertical="center"/>
    </xf>
    <xf numFmtId="0" fontId="22" fillId="0" borderId="0" xfId="0" applyFont="1" applyFill="1" applyBorder="1" applyAlignment="1">
      <alignment vertical="center"/>
    </xf>
    <xf numFmtId="0" fontId="23" fillId="0" borderId="0" xfId="0" applyFont="1" applyFill="1" applyBorder="1" applyAlignment="1">
      <alignment horizontal="right" vertical="center"/>
    </xf>
    <xf numFmtId="2" fontId="23" fillId="0" borderId="0" xfId="0" applyNumberFormat="1" applyFont="1" applyFill="1" applyBorder="1" applyAlignment="1">
      <alignment vertical="center"/>
    </xf>
    <xf numFmtId="3" fontId="22" fillId="0" borderId="0" xfId="0" applyNumberFormat="1" applyFont="1" applyFill="1" applyBorder="1" applyAlignment="1">
      <alignment horizontal="right" vertical="center"/>
    </xf>
    <xf numFmtId="3" fontId="23" fillId="0" borderId="0" xfId="0" applyNumberFormat="1" applyFont="1" applyFill="1" applyBorder="1" applyAlignment="1">
      <alignment horizontal="right" vertical="center"/>
    </xf>
    <xf numFmtId="2" fontId="22" fillId="0" borderId="0" xfId="0" applyNumberFormat="1" applyFont="1" applyFill="1" applyBorder="1" applyAlignment="1">
      <alignment horizontal="center" vertical="center"/>
    </xf>
    <xf numFmtId="189" fontId="22" fillId="0" borderId="0" xfId="0" applyNumberFormat="1"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Fill="1" applyBorder="1" applyAlignment="1">
      <alignment vertical="center"/>
    </xf>
    <xf numFmtId="2" fontId="23" fillId="0" borderId="0" xfId="0" applyNumberFormat="1" applyFont="1" applyFill="1" applyBorder="1" applyAlignment="1" applyProtection="1">
      <alignment horizontal="center" vertical="center"/>
      <protection locked="0"/>
    </xf>
    <xf numFmtId="3" fontId="23" fillId="0" borderId="0" xfId="0" applyNumberFormat="1" applyFont="1" applyFill="1" applyBorder="1" applyAlignment="1">
      <alignment horizontal="center" vertical="center"/>
    </xf>
    <xf numFmtId="4" fontId="22" fillId="0" borderId="0" xfId="0" applyNumberFormat="1" applyFont="1" applyFill="1" applyBorder="1" applyAlignment="1">
      <alignment vertical="center"/>
    </xf>
    <xf numFmtId="0" fontId="24" fillId="0" borderId="0" xfId="0" applyFont="1" applyFill="1" applyBorder="1"/>
    <xf numFmtId="185" fontId="22" fillId="0" borderId="0" xfId="0" applyNumberFormat="1" applyFont="1" applyFill="1" applyBorder="1" applyAlignment="1">
      <alignment vertical="center"/>
    </xf>
    <xf numFmtId="184" fontId="22" fillId="0" borderId="0" xfId="0" applyNumberFormat="1" applyFont="1" applyFill="1" applyBorder="1" applyAlignment="1">
      <alignment horizontal="center" vertical="center"/>
    </xf>
    <xf numFmtId="3" fontId="22" fillId="0" borderId="0" xfId="0" applyNumberFormat="1" applyFont="1" applyFill="1" applyBorder="1" applyAlignment="1">
      <alignment horizontal="center" vertical="center"/>
    </xf>
    <xf numFmtId="189" fontId="22" fillId="0" borderId="0" xfId="1" applyNumberFormat="1" applyFont="1" applyFill="1" applyBorder="1" applyAlignment="1">
      <alignment horizontal="right" vertical="center"/>
    </xf>
    <xf numFmtId="221" fontId="12" fillId="0" borderId="0" xfId="0" applyNumberFormat="1" applyFont="1"/>
    <xf numFmtId="0" fontId="28" fillId="0" borderId="0" xfId="0" applyNumberFormat="1" applyFont="1"/>
    <xf numFmtId="0" fontId="12" fillId="0" borderId="0" xfId="5" applyFont="1"/>
    <xf numFmtId="189" fontId="35" fillId="0" borderId="0" xfId="1" applyNumberFormat="1" applyFont="1" applyFill="1" applyAlignment="1" applyProtection="1">
      <alignment vertical="center"/>
      <protection hidden="1"/>
    </xf>
    <xf numFmtId="0" fontId="36" fillId="0" borderId="0" xfId="4" applyFont="1" applyFill="1" applyAlignment="1" applyProtection="1">
      <alignment horizontal="center"/>
      <protection hidden="1"/>
    </xf>
    <xf numFmtId="0" fontId="33" fillId="0" borderId="0" xfId="4" applyFont="1" applyFill="1" applyAlignment="1" applyProtection="1">
      <alignment horizontal="center"/>
      <protection hidden="1"/>
    </xf>
    <xf numFmtId="0" fontId="16" fillId="0" borderId="0" xfId="5" applyFont="1" applyFill="1" applyAlignment="1" applyProtection="1">
      <alignment horizontal="center" vertical="center" wrapText="1"/>
      <protection hidden="1"/>
    </xf>
    <xf numFmtId="0" fontId="18" fillId="0" borderId="0" xfId="4" applyFont="1" applyFill="1" applyProtection="1">
      <protection hidden="1"/>
    </xf>
    <xf numFmtId="0" fontId="37" fillId="0" borderId="0" xfId="4" applyFont="1" applyFill="1" applyProtection="1">
      <protection hidden="1"/>
    </xf>
    <xf numFmtId="0" fontId="11" fillId="0" borderId="0" xfId="5" applyFont="1" applyFill="1" applyAlignment="1" applyProtection="1">
      <alignment vertical="center"/>
      <protection hidden="1"/>
    </xf>
    <xf numFmtId="0" fontId="38" fillId="0" borderId="0" xfId="5" applyFont="1" applyFill="1" applyAlignment="1" applyProtection="1">
      <alignment horizontal="center" vertical="center"/>
      <protection hidden="1"/>
    </xf>
    <xf numFmtId="0" fontId="37" fillId="0" borderId="0" xfId="3" applyFont="1" applyFill="1" applyAlignment="1" applyProtection="1">
      <alignment horizontal="center"/>
      <protection hidden="1"/>
    </xf>
    <xf numFmtId="0" fontId="37" fillId="0" borderId="0" xfId="4" applyFont="1" applyFill="1" applyAlignment="1" applyProtection="1">
      <alignment horizontal="center"/>
      <protection hidden="1"/>
    </xf>
    <xf numFmtId="0" fontId="18" fillId="0" borderId="0" xfId="0" applyFont="1" applyFill="1" applyAlignment="1">
      <alignment horizontal="center" vertical="center"/>
    </xf>
    <xf numFmtId="0" fontId="18" fillId="0" borderId="0" xfId="0" applyFont="1" applyFill="1" applyAlignment="1">
      <alignment vertical="center"/>
    </xf>
    <xf numFmtId="0" fontId="18" fillId="0" borderId="0" xfId="0" applyFont="1" applyFill="1" applyAlignment="1">
      <alignment vertical="center" wrapText="1"/>
    </xf>
    <xf numFmtId="1" fontId="18" fillId="0" borderId="0" xfId="0" applyNumberFormat="1" applyFont="1" applyFill="1" applyAlignment="1">
      <alignment vertical="center"/>
    </xf>
    <xf numFmtId="0" fontId="18" fillId="0" borderId="0" xfId="0" applyFont="1" applyFill="1" applyAlignment="1">
      <alignment horizontal="left" vertical="center"/>
    </xf>
    <xf numFmtId="2" fontId="18" fillId="0" borderId="0" xfId="0" applyNumberFormat="1" applyFont="1" applyFill="1" applyAlignment="1">
      <alignment horizontal="center" vertical="center"/>
    </xf>
    <xf numFmtId="185" fontId="22" fillId="0" borderId="0" xfId="0" applyNumberFormat="1" applyFont="1" applyFill="1" applyBorder="1" applyAlignment="1">
      <alignment horizontal="center" vertical="center"/>
    </xf>
    <xf numFmtId="0" fontId="32" fillId="0" borderId="0" xfId="0" applyNumberFormat="1" applyFont="1" applyFill="1" applyBorder="1" applyAlignment="1" applyProtection="1">
      <alignment vertical="center"/>
      <protection hidden="1"/>
    </xf>
    <xf numFmtId="0" fontId="32" fillId="0" borderId="0" xfId="0" applyNumberFormat="1" applyFont="1" applyFill="1" applyBorder="1" applyAlignment="1">
      <alignment vertical="center"/>
    </xf>
    <xf numFmtId="4" fontId="22" fillId="0" borderId="0" xfId="0" applyNumberFormat="1" applyFont="1" applyFill="1" applyBorder="1" applyAlignment="1">
      <alignment horizontal="center" vertical="center"/>
    </xf>
    <xf numFmtId="185" fontId="19" fillId="0" borderId="0" xfId="0" applyNumberFormat="1" applyFont="1" applyFill="1" applyBorder="1" applyAlignment="1">
      <alignment horizontal="center" vertical="center"/>
    </xf>
    <xf numFmtId="3" fontId="12" fillId="0" borderId="0" xfId="0" applyNumberFormat="1" applyFont="1"/>
    <xf numFmtId="188" fontId="22" fillId="0" borderId="0" xfId="0" applyNumberFormat="1" applyFont="1" applyFill="1" applyBorder="1" applyAlignment="1">
      <alignment horizontal="center" vertical="center"/>
    </xf>
    <xf numFmtId="0" fontId="12" fillId="0" borderId="0" xfId="0" applyFont="1" applyAlignment="1">
      <alignment horizontal="center" vertical="center" textRotation="90"/>
    </xf>
    <xf numFmtId="4" fontId="23" fillId="0" borderId="0" xfId="0" applyNumberFormat="1" applyFont="1" applyFill="1" applyBorder="1" applyAlignment="1">
      <alignment vertical="center"/>
    </xf>
    <xf numFmtId="9" fontId="6" fillId="0" borderId="0" xfId="6" applyFont="1" applyFill="1" applyAlignment="1">
      <alignment horizontal="center" vertical="center"/>
    </xf>
    <xf numFmtId="0" fontId="22" fillId="0" borderId="0" xfId="0" applyNumberFormat="1" applyFont="1" applyFill="1" applyBorder="1" applyAlignment="1">
      <alignment horizontal="center" vertical="center" wrapText="1"/>
    </xf>
    <xf numFmtId="0" fontId="22" fillId="0" borderId="0" xfId="0" applyFont="1" applyFill="1" applyBorder="1" applyAlignment="1">
      <alignment horizontal="center" vertical="center" wrapText="1"/>
    </xf>
    <xf numFmtId="2" fontId="22"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xf>
    <xf numFmtId="3" fontId="23" fillId="0" borderId="0" xfId="0" applyNumberFormat="1" applyFont="1" applyFill="1" applyBorder="1" applyAlignment="1" applyProtection="1">
      <alignment horizontal="right" vertical="center"/>
      <protection hidden="1"/>
    </xf>
    <xf numFmtId="0" fontId="23" fillId="0" borderId="0" xfId="0" applyFont="1" applyFill="1" applyBorder="1" applyAlignment="1">
      <alignment vertical="center" wrapText="1"/>
    </xf>
    <xf numFmtId="0" fontId="23" fillId="0" borderId="0" xfId="0" applyNumberFormat="1" applyFont="1" applyFill="1" applyBorder="1" applyAlignment="1">
      <alignment vertical="center"/>
    </xf>
    <xf numFmtId="185" fontId="22" fillId="0" borderId="0" xfId="0" applyNumberFormat="1" applyFont="1" applyFill="1" applyBorder="1" applyAlignment="1">
      <alignment horizontal="center" vertical="center" wrapText="1"/>
    </xf>
    <xf numFmtId="185" fontId="23" fillId="0" borderId="0" xfId="0" applyNumberFormat="1" applyFont="1" applyFill="1" applyBorder="1" applyAlignment="1">
      <alignment horizontal="center" vertical="center"/>
    </xf>
    <xf numFmtId="4" fontId="23" fillId="0" borderId="0" xfId="0" applyNumberFormat="1" applyFont="1" applyFill="1" applyBorder="1" applyAlignment="1">
      <alignment horizontal="center" vertical="center"/>
    </xf>
    <xf numFmtId="0" fontId="23" fillId="0" borderId="0" xfId="0" applyNumberFormat="1" applyFont="1" applyFill="1" applyBorder="1" applyAlignment="1" applyProtection="1">
      <alignment horizontal="left" vertical="center" wrapText="1"/>
      <protection hidden="1"/>
    </xf>
    <xf numFmtId="3" fontId="22" fillId="0" borderId="0" xfId="0" applyNumberFormat="1" applyFont="1" applyFill="1" applyBorder="1" applyAlignment="1">
      <alignment vertical="center"/>
    </xf>
    <xf numFmtId="3" fontId="23" fillId="0" borderId="0" xfId="0" applyNumberFormat="1" applyFont="1" applyFill="1" applyBorder="1" applyAlignment="1">
      <alignment vertical="center" wrapText="1"/>
    </xf>
    <xf numFmtId="0" fontId="26" fillId="0" borderId="0" xfId="0" applyNumberFormat="1" applyFont="1" applyFill="1" applyBorder="1" applyAlignment="1" applyProtection="1">
      <alignment vertical="center"/>
      <protection locked="0"/>
    </xf>
    <xf numFmtId="0" fontId="26" fillId="0" borderId="0" xfId="0" applyFont="1" applyFill="1" applyBorder="1" applyAlignment="1" applyProtection="1">
      <alignment vertical="center"/>
      <protection locked="0"/>
    </xf>
    <xf numFmtId="0" fontId="26" fillId="0" borderId="0" xfId="0" applyNumberFormat="1" applyFont="1" applyFill="1" applyBorder="1" applyAlignment="1">
      <alignment vertical="center"/>
    </xf>
    <xf numFmtId="3" fontId="26" fillId="0" borderId="0" xfId="0" applyNumberFormat="1" applyFont="1" applyFill="1" applyBorder="1" applyAlignment="1">
      <alignment vertical="center"/>
    </xf>
    <xf numFmtId="0" fontId="26" fillId="0" borderId="0" xfId="0" applyNumberFormat="1" applyFont="1" applyFill="1" applyBorder="1" applyAlignment="1" applyProtection="1">
      <alignment vertical="center"/>
      <protection hidden="1"/>
    </xf>
    <xf numFmtId="0" fontId="27" fillId="0" borderId="0" xfId="0" applyFont="1" applyFill="1" applyBorder="1" applyAlignment="1">
      <alignment vertical="center"/>
    </xf>
    <xf numFmtId="3" fontId="26" fillId="0" borderId="0" xfId="0" applyNumberFormat="1" applyFont="1" applyFill="1" applyBorder="1" applyAlignment="1">
      <alignment vertical="center" wrapText="1"/>
    </xf>
    <xf numFmtId="0" fontId="18" fillId="0" borderId="0" xfId="0" applyFont="1" applyFill="1" applyBorder="1" applyAlignment="1">
      <alignment vertical="center"/>
    </xf>
    <xf numFmtId="2" fontId="18" fillId="0" borderId="0" xfId="0" applyNumberFormat="1" applyFont="1" applyFill="1" applyBorder="1" applyAlignment="1">
      <alignment vertical="center"/>
    </xf>
    <xf numFmtId="185" fontId="18" fillId="0" borderId="0" xfId="0" applyNumberFormat="1" applyFont="1" applyFill="1" applyBorder="1" applyAlignment="1">
      <alignment horizontal="center" vertical="center"/>
    </xf>
    <xf numFmtId="0" fontId="22" fillId="0" borderId="0" xfId="1" applyNumberFormat="1" applyFont="1" applyFill="1" applyBorder="1" applyAlignment="1">
      <alignment horizontal="center" vertical="center"/>
    </xf>
    <xf numFmtId="0" fontId="19" fillId="0" borderId="0" xfId="0" applyNumberFormat="1" applyFont="1" applyFill="1" applyBorder="1" applyAlignment="1">
      <alignment horizontal="center" vertical="center"/>
    </xf>
    <xf numFmtId="0" fontId="20" fillId="0" borderId="0" xfId="0" applyNumberFormat="1" applyFont="1" applyFill="1" applyBorder="1" applyAlignment="1">
      <alignment horizontal="center" vertical="center"/>
    </xf>
    <xf numFmtId="0" fontId="41" fillId="0" borderId="0" xfId="0" applyNumberFormat="1" applyFont="1" applyFill="1" applyBorder="1" applyAlignment="1">
      <alignment horizontal="center" vertical="center"/>
    </xf>
    <xf numFmtId="1" fontId="33" fillId="0" borderId="4" xfId="0" applyNumberFormat="1" applyFont="1" applyFill="1" applyBorder="1" applyAlignment="1">
      <alignment horizontal="center" vertical="center"/>
    </xf>
    <xf numFmtId="0" fontId="16" fillId="0" borderId="0" xfId="0" applyFont="1" applyFill="1"/>
    <xf numFmtId="0" fontId="22" fillId="0" borderId="1" xfId="0" applyFont="1" applyFill="1" applyBorder="1" applyAlignment="1">
      <alignment horizontal="center" vertical="center" wrapText="1"/>
    </xf>
    <xf numFmtId="0" fontId="22" fillId="0" borderId="1" xfId="0" applyFont="1" applyFill="1" applyBorder="1" applyAlignment="1" applyProtection="1">
      <alignment horizontal="center" vertical="center"/>
      <protection hidden="1"/>
    </xf>
    <xf numFmtId="0" fontId="22" fillId="0" borderId="1" xfId="0" applyFont="1" applyFill="1" applyBorder="1" applyAlignment="1" applyProtection="1">
      <alignment horizontal="center" vertical="center" wrapText="1"/>
      <protection hidden="1"/>
    </xf>
    <xf numFmtId="171" fontId="23" fillId="0" borderId="0" xfId="0" applyNumberFormat="1" applyFont="1" applyFill="1" applyBorder="1" applyAlignment="1">
      <alignment horizontal="center" vertical="center"/>
    </xf>
    <xf numFmtId="0" fontId="23" fillId="0" borderId="4" xfId="0" applyNumberFormat="1" applyFont="1" applyFill="1" applyBorder="1" applyAlignment="1">
      <alignment horizontal="center" vertical="center" wrapText="1"/>
    </xf>
    <xf numFmtId="0" fontId="23" fillId="0" borderId="4" xfId="0" applyNumberFormat="1" applyFont="1" applyFill="1" applyBorder="1" applyAlignment="1">
      <alignment horizontal="center" vertical="center"/>
    </xf>
    <xf numFmtId="0" fontId="23" fillId="0" borderId="4" xfId="0" applyFont="1" applyFill="1" applyBorder="1" applyAlignment="1" applyProtection="1">
      <alignment horizontal="center" vertical="center"/>
      <protection hidden="1"/>
    </xf>
    <xf numFmtId="2" fontId="22" fillId="0" borderId="4" xfId="0" applyNumberFormat="1" applyFont="1" applyFill="1" applyBorder="1" applyAlignment="1">
      <alignment horizontal="center" vertical="center"/>
    </xf>
    <xf numFmtId="0" fontId="22" fillId="0" borderId="4" xfId="0" applyFont="1" applyFill="1" applyBorder="1" applyAlignment="1" applyProtection="1">
      <alignment horizontal="center" vertical="center"/>
      <protection hidden="1"/>
    </xf>
    <xf numFmtId="0" fontId="23" fillId="0" borderId="4" xfId="0" applyNumberFormat="1" applyFont="1" applyFill="1" applyBorder="1" applyAlignment="1" applyProtection="1">
      <alignment horizontal="left" vertical="center" wrapText="1"/>
      <protection locked="0"/>
    </xf>
    <xf numFmtId="0" fontId="23" fillId="0" borderId="4" xfId="0" applyFont="1" applyFill="1" applyBorder="1" applyAlignment="1" applyProtection="1">
      <alignment horizontal="center" vertical="center"/>
      <protection locked="0"/>
    </xf>
    <xf numFmtId="2" fontId="23" fillId="0" borderId="4" xfId="0" applyNumberFormat="1" applyFont="1" applyFill="1" applyBorder="1" applyAlignment="1">
      <alignment horizontal="center" vertical="center"/>
    </xf>
    <xf numFmtId="2" fontId="33" fillId="0" borderId="4" xfId="0" applyNumberFormat="1" applyFont="1" applyFill="1" applyBorder="1" applyAlignment="1">
      <alignment horizontal="center" vertical="center"/>
    </xf>
    <xf numFmtId="2" fontId="18" fillId="0" borderId="4" xfId="0" applyNumberFormat="1" applyFont="1" applyFill="1" applyBorder="1" applyAlignment="1">
      <alignment horizontal="center" vertical="center"/>
    </xf>
    <xf numFmtId="2" fontId="23" fillId="0" borderId="4" xfId="0" applyNumberFormat="1" applyFont="1" applyFill="1" applyBorder="1" applyAlignment="1" applyProtection="1">
      <alignment horizontal="center" vertical="center"/>
      <protection locked="0"/>
    </xf>
    <xf numFmtId="3" fontId="23" fillId="0" borderId="4" xfId="0" applyNumberFormat="1" applyFont="1" applyFill="1" applyBorder="1" applyAlignment="1">
      <alignment horizontal="right" vertical="center"/>
    </xf>
    <xf numFmtId="3" fontId="23" fillId="0" borderId="4" xfId="0" applyNumberFormat="1" applyFont="1" applyFill="1" applyBorder="1" applyAlignment="1" applyProtection="1">
      <alignment horizontal="right" vertical="center"/>
      <protection hidden="1"/>
    </xf>
    <xf numFmtId="185" fontId="23" fillId="0" borderId="4" xfId="0" applyNumberFormat="1" applyFont="1" applyFill="1" applyBorder="1" applyAlignment="1">
      <alignment horizontal="right" vertical="center"/>
    </xf>
    <xf numFmtId="3" fontId="23" fillId="0" borderId="4" xfId="0" applyNumberFormat="1" applyFont="1" applyFill="1" applyBorder="1" applyAlignment="1">
      <alignment horizontal="left" vertical="center"/>
    </xf>
    <xf numFmtId="4" fontId="22" fillId="0" borderId="4" xfId="0" applyNumberFormat="1" applyFont="1" applyFill="1" applyBorder="1" applyAlignment="1">
      <alignment horizontal="center" vertical="center"/>
    </xf>
    <xf numFmtId="4" fontId="23" fillId="0" borderId="4" xfId="0" applyNumberFormat="1" applyFont="1" applyFill="1" applyBorder="1" applyAlignment="1">
      <alignment horizontal="center" vertical="center"/>
    </xf>
    <xf numFmtId="0" fontId="23" fillId="0" borderId="4" xfId="0" applyNumberFormat="1" applyFont="1" applyFill="1" applyBorder="1" applyAlignment="1">
      <alignment vertical="center" wrapText="1"/>
    </xf>
    <xf numFmtId="0" fontId="23" fillId="0" borderId="4" xfId="0" applyNumberFormat="1" applyFont="1" applyFill="1" applyBorder="1" applyAlignment="1" applyProtection="1">
      <alignment horizontal="left" vertical="center" wrapText="1"/>
      <protection hidden="1"/>
    </xf>
    <xf numFmtId="0" fontId="23" fillId="0" borderId="4" xfId="0" applyFont="1" applyFill="1" applyBorder="1" applyAlignment="1" applyProtection="1">
      <alignment horizontal="left" vertical="center" wrapText="1"/>
      <protection hidden="1"/>
    </xf>
    <xf numFmtId="0" fontId="23" fillId="0" borderId="4" xfId="0" applyFont="1" applyFill="1" applyBorder="1" applyAlignment="1" applyProtection="1">
      <alignment horizontal="left" vertical="center" wrapText="1"/>
      <protection locked="0"/>
    </xf>
    <xf numFmtId="0" fontId="23" fillId="0" borderId="4" xfId="0" applyFont="1" applyFill="1" applyBorder="1" applyAlignment="1">
      <alignment vertical="center" wrapText="1"/>
    </xf>
    <xf numFmtId="0" fontId="23" fillId="0" borderId="4" xfId="0" applyNumberFormat="1" applyFont="1" applyFill="1" applyBorder="1" applyAlignment="1" applyProtection="1">
      <alignment horizontal="center" vertical="center"/>
      <protection locked="0"/>
    </xf>
    <xf numFmtId="0" fontId="23" fillId="0" borderId="4" xfId="0" applyNumberFormat="1" applyFont="1" applyFill="1" applyBorder="1" applyAlignment="1" applyProtection="1">
      <alignment horizontal="center" vertical="center"/>
      <protection hidden="1"/>
    </xf>
    <xf numFmtId="0" fontId="18" fillId="0" borderId="4" xfId="2" applyNumberFormat="1" applyFont="1" applyFill="1" applyBorder="1" applyAlignment="1">
      <alignment vertical="center"/>
    </xf>
    <xf numFmtId="2" fontId="23" fillId="0" borderId="4" xfId="0" applyNumberFormat="1" applyFont="1" applyFill="1" applyBorder="1" applyAlignment="1">
      <alignment horizontal="left" vertical="center" wrapText="1"/>
    </xf>
    <xf numFmtId="3" fontId="22" fillId="0" borderId="5" xfId="0" applyNumberFormat="1" applyFont="1" applyFill="1" applyBorder="1" applyAlignment="1">
      <alignment horizontal="right" vertical="center"/>
    </xf>
    <xf numFmtId="4" fontId="22" fillId="0" borderId="5" xfId="0" applyNumberFormat="1" applyFont="1" applyFill="1" applyBorder="1" applyAlignment="1">
      <alignment horizontal="center" vertical="center"/>
    </xf>
    <xf numFmtId="0" fontId="23" fillId="0" borderId="3" xfId="0" applyNumberFormat="1" applyFont="1" applyFill="1" applyBorder="1" applyAlignment="1">
      <alignment horizontal="center" vertical="center" wrapText="1"/>
    </xf>
    <xf numFmtId="2" fontId="22" fillId="0" borderId="3" xfId="0" applyNumberFormat="1" applyFont="1" applyFill="1" applyBorder="1" applyAlignment="1">
      <alignment horizontal="center" vertical="center"/>
    </xf>
    <xf numFmtId="0" fontId="23" fillId="0" borderId="3" xfId="0" applyNumberFormat="1" applyFont="1" applyFill="1" applyBorder="1" applyAlignment="1" applyProtection="1">
      <alignment horizontal="left" vertical="center" wrapText="1"/>
      <protection locked="0"/>
    </xf>
    <xf numFmtId="0" fontId="23" fillId="0" borderId="3" xfId="0" applyFont="1" applyFill="1" applyBorder="1" applyAlignment="1" applyProtection="1">
      <alignment horizontal="center" vertical="center"/>
      <protection locked="0"/>
    </xf>
    <xf numFmtId="2" fontId="23" fillId="0" borderId="3" xfId="0" applyNumberFormat="1" applyFont="1" applyFill="1" applyBorder="1" applyAlignment="1">
      <alignment horizontal="center" vertical="center"/>
    </xf>
    <xf numFmtId="2" fontId="33" fillId="0" borderId="3" xfId="0" applyNumberFormat="1" applyFont="1" applyFill="1" applyBorder="1" applyAlignment="1">
      <alignment horizontal="center" vertical="center"/>
    </xf>
    <xf numFmtId="2" fontId="18" fillId="0" borderId="3" xfId="0" applyNumberFormat="1" applyFont="1" applyFill="1" applyBorder="1" applyAlignment="1">
      <alignment horizontal="center" vertical="center"/>
    </xf>
    <xf numFmtId="2" fontId="23" fillId="0" borderId="3" xfId="0" applyNumberFormat="1" applyFont="1" applyFill="1" applyBorder="1" applyAlignment="1" applyProtection="1">
      <alignment horizontal="center" vertical="center"/>
      <protection locked="0"/>
    </xf>
    <xf numFmtId="3" fontId="23" fillId="0" borderId="3" xfId="0" applyNumberFormat="1" applyFont="1" applyFill="1" applyBorder="1" applyAlignment="1">
      <alignment horizontal="center" vertical="center"/>
    </xf>
    <xf numFmtId="3" fontId="23" fillId="0" borderId="3" xfId="0" applyNumberFormat="1" applyFont="1" applyFill="1" applyBorder="1" applyAlignment="1">
      <alignment horizontal="right" vertical="center"/>
    </xf>
    <xf numFmtId="3" fontId="23" fillId="0" borderId="3" xfId="0" applyNumberFormat="1" applyFont="1" applyFill="1" applyBorder="1" applyAlignment="1" applyProtection="1">
      <alignment horizontal="right" vertical="center"/>
      <protection hidden="1"/>
    </xf>
    <xf numFmtId="185" fontId="23" fillId="0" borderId="3" xfId="0" applyNumberFormat="1" applyFont="1" applyFill="1" applyBorder="1" applyAlignment="1">
      <alignment horizontal="right" vertical="center"/>
    </xf>
    <xf numFmtId="3" fontId="23" fillId="0" borderId="3" xfId="0" applyNumberFormat="1" applyFont="1" applyFill="1" applyBorder="1" applyAlignment="1">
      <alignment horizontal="left" vertical="center"/>
    </xf>
    <xf numFmtId="4" fontId="22" fillId="0" borderId="3" xfId="0" applyNumberFormat="1" applyFont="1" applyFill="1" applyBorder="1" applyAlignment="1">
      <alignment horizontal="center" vertical="center"/>
    </xf>
    <xf numFmtId="4" fontId="23" fillId="0" borderId="3" xfId="0" applyNumberFormat="1" applyFont="1" applyFill="1" applyBorder="1" applyAlignment="1">
      <alignment horizontal="center" vertical="center"/>
    </xf>
    <xf numFmtId="0" fontId="33"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2" fontId="22" fillId="0" borderId="1" xfId="0" applyNumberFormat="1" applyFont="1" applyFill="1" applyBorder="1" applyAlignment="1">
      <alignment horizontal="center" vertical="center" wrapText="1"/>
    </xf>
    <xf numFmtId="1" fontId="22" fillId="0" borderId="1" xfId="0" applyNumberFormat="1" applyFont="1" applyFill="1" applyBorder="1" applyAlignment="1">
      <alignment horizontal="center" vertical="center" wrapText="1"/>
    </xf>
    <xf numFmtId="185" fontId="22" fillId="0" borderId="1" xfId="0" applyNumberFormat="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NumberFormat="1" applyFont="1" applyFill="1" applyBorder="1" applyAlignment="1">
      <alignment horizontal="center" vertical="center"/>
    </xf>
    <xf numFmtId="0" fontId="23" fillId="0" borderId="2" xfId="0" applyFont="1" applyFill="1" applyBorder="1" applyAlignment="1" applyProtection="1">
      <alignment horizontal="center" vertical="center" wrapText="1"/>
      <protection hidden="1"/>
    </xf>
    <xf numFmtId="0" fontId="23" fillId="0" borderId="2" xfId="0" applyFont="1" applyFill="1" applyBorder="1" applyAlignment="1" applyProtection="1">
      <alignment horizontal="center" vertical="center"/>
      <protection hidden="1"/>
    </xf>
    <xf numFmtId="0" fontId="22" fillId="0" borderId="2" xfId="0" applyFont="1" applyFill="1" applyBorder="1" applyAlignment="1">
      <alignment vertical="center" wrapText="1"/>
    </xf>
    <xf numFmtId="0" fontId="18" fillId="0" borderId="2" xfId="0" applyFont="1" applyFill="1" applyBorder="1" applyAlignment="1" applyProtection="1">
      <alignment horizontal="center" vertical="center" wrapText="1"/>
      <protection hidden="1"/>
    </xf>
    <xf numFmtId="0" fontId="6" fillId="0" borderId="2" xfId="0" applyFont="1" applyFill="1" applyBorder="1" applyAlignment="1" applyProtection="1">
      <alignment horizontal="center" vertical="center" wrapText="1"/>
      <protection hidden="1"/>
    </xf>
    <xf numFmtId="0" fontId="22" fillId="0" borderId="2" xfId="0" applyFont="1" applyFill="1" applyBorder="1" applyAlignment="1" applyProtection="1">
      <alignment horizontal="right" vertical="center" wrapText="1"/>
      <protection hidden="1"/>
    </xf>
    <xf numFmtId="2" fontId="22" fillId="0" borderId="2" xfId="0" applyNumberFormat="1" applyFont="1" applyFill="1" applyBorder="1" applyAlignment="1" applyProtection="1">
      <alignment horizontal="center" vertical="center" wrapText="1"/>
      <protection hidden="1"/>
    </xf>
    <xf numFmtId="0" fontId="23" fillId="0" borderId="2" xfId="0" applyFont="1" applyFill="1" applyBorder="1" applyAlignment="1" applyProtection="1">
      <alignment horizontal="right" vertical="center" wrapText="1"/>
      <protection hidden="1"/>
    </xf>
    <xf numFmtId="185" fontId="23" fillId="0" borderId="2" xfId="0" applyNumberFormat="1" applyFont="1" applyFill="1" applyBorder="1" applyAlignment="1">
      <alignment horizontal="center" vertical="center"/>
    </xf>
    <xf numFmtId="2" fontId="22" fillId="0" borderId="2" xfId="0" applyNumberFormat="1" applyFont="1" applyFill="1" applyBorder="1" applyAlignment="1">
      <alignment horizontal="center" vertical="center"/>
    </xf>
    <xf numFmtId="0" fontId="33"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33" fillId="0" borderId="0" xfId="0" applyFont="1" applyFill="1" applyBorder="1" applyAlignment="1">
      <alignment vertical="center"/>
    </xf>
    <xf numFmtId="184" fontId="22" fillId="0" borderId="0" xfId="0" applyNumberFormat="1" applyFont="1" applyFill="1" applyBorder="1" applyAlignment="1">
      <alignment vertical="center"/>
    </xf>
    <xf numFmtId="0" fontId="33" fillId="0" borderId="2" xfId="0" applyFont="1" applyFill="1" applyBorder="1" applyAlignment="1" applyProtection="1">
      <alignment horizontal="center" vertical="center" wrapText="1"/>
      <protection hidden="1"/>
    </xf>
    <xf numFmtId="0" fontId="23" fillId="0" borderId="4" xfId="0" applyFont="1" applyFill="1" applyBorder="1" applyAlignment="1" applyProtection="1">
      <alignment vertical="center"/>
      <protection hidden="1"/>
    </xf>
    <xf numFmtId="2" fontId="23" fillId="0" borderId="4" xfId="0" applyNumberFormat="1" applyFont="1" applyFill="1" applyBorder="1" applyAlignment="1">
      <alignment horizontal="right" vertical="center"/>
    </xf>
    <xf numFmtId="0" fontId="22" fillId="0" borderId="5" xfId="0" applyFont="1" applyFill="1" applyBorder="1" applyAlignment="1">
      <alignment horizontal="center" vertical="center"/>
    </xf>
    <xf numFmtId="0" fontId="22" fillId="0" borderId="5" xfId="0" applyNumberFormat="1" applyFont="1" applyFill="1" applyBorder="1" applyAlignment="1">
      <alignment horizontal="center" vertical="center"/>
    </xf>
    <xf numFmtId="0" fontId="22" fillId="0" borderId="5" xfId="0" applyFont="1" applyFill="1" applyBorder="1" applyAlignment="1">
      <alignment vertical="center"/>
    </xf>
    <xf numFmtId="3" fontId="22" fillId="0" borderId="5" xfId="0" applyNumberFormat="1" applyFont="1" applyFill="1" applyBorder="1" applyAlignment="1">
      <alignment horizontal="center" vertical="center"/>
    </xf>
    <xf numFmtId="0" fontId="22" fillId="0" borderId="5" xfId="0" applyFont="1" applyFill="1" applyBorder="1" applyAlignment="1">
      <alignment horizontal="center" vertical="center" wrapText="1"/>
    </xf>
    <xf numFmtId="185" fontId="22" fillId="0" borderId="5" xfId="0" applyNumberFormat="1" applyFont="1" applyFill="1" applyBorder="1" applyAlignment="1">
      <alignment horizontal="center" vertical="center"/>
    </xf>
    <xf numFmtId="185" fontId="33" fillId="0" borderId="5" xfId="0" applyNumberFormat="1" applyFont="1" applyFill="1" applyBorder="1" applyAlignment="1">
      <alignment horizontal="center" vertical="center"/>
    </xf>
    <xf numFmtId="4" fontId="33" fillId="0" borderId="5" xfId="0" applyNumberFormat="1" applyFont="1" applyFill="1" applyBorder="1" applyAlignment="1">
      <alignment horizontal="center" vertical="center"/>
    </xf>
    <xf numFmtId="185" fontId="23" fillId="0" borderId="5" xfId="0" applyNumberFormat="1" applyFont="1" applyFill="1" applyBorder="1" applyAlignment="1">
      <alignment horizontal="center" vertical="center"/>
    </xf>
    <xf numFmtId="185" fontId="23" fillId="0" borderId="5" xfId="0" applyNumberFormat="1" applyFont="1" applyFill="1" applyBorder="1" applyAlignment="1">
      <alignment horizontal="right" vertical="center"/>
    </xf>
    <xf numFmtId="0" fontId="22" fillId="0" borderId="5" xfId="0" applyFont="1" applyFill="1" applyBorder="1" applyAlignment="1">
      <alignment horizontal="left" vertical="center"/>
    </xf>
    <xf numFmtId="185" fontId="33" fillId="0" borderId="0" xfId="0" applyNumberFormat="1" applyFont="1" applyFill="1" applyBorder="1" applyAlignment="1">
      <alignment horizontal="center" vertical="center"/>
    </xf>
    <xf numFmtId="4" fontId="33" fillId="0" borderId="0" xfId="0" applyNumberFormat="1" applyFont="1" applyFill="1" applyBorder="1" applyAlignment="1">
      <alignment vertical="center"/>
    </xf>
    <xf numFmtId="0" fontId="18" fillId="0" borderId="4" xfId="0" applyNumberFormat="1" applyFont="1" applyFill="1" applyBorder="1" applyAlignment="1" applyProtection="1">
      <alignment horizontal="left" vertical="center" wrapText="1"/>
      <protection locked="0"/>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3" fillId="0" borderId="11" xfId="0" applyFont="1" applyFill="1" applyBorder="1" applyAlignment="1">
      <alignment vertical="center"/>
    </xf>
    <xf numFmtId="0" fontId="23" fillId="0" borderId="12" xfId="0" applyFont="1" applyFill="1" applyBorder="1" applyAlignment="1">
      <alignment vertical="center"/>
    </xf>
    <xf numFmtId="0" fontId="23" fillId="0" borderId="13" xfId="0" applyNumberFormat="1" applyFont="1" applyFill="1" applyBorder="1" applyAlignment="1">
      <alignment vertical="center"/>
    </xf>
    <xf numFmtId="0" fontId="23" fillId="0" borderId="14" xfId="0" applyNumberFormat="1" applyFont="1" applyFill="1" applyBorder="1" applyAlignment="1">
      <alignment vertical="center"/>
    </xf>
    <xf numFmtId="0" fontId="23" fillId="0" borderId="15" xfId="0" applyNumberFormat="1" applyFont="1" applyFill="1" applyBorder="1" applyAlignment="1">
      <alignment vertical="center"/>
    </xf>
    <xf numFmtId="0" fontId="23" fillId="0" borderId="15" xfId="0" applyFont="1" applyFill="1" applyBorder="1" applyAlignment="1">
      <alignment vertical="center"/>
    </xf>
    <xf numFmtId="0" fontId="23" fillId="0" borderId="6" xfId="0" applyFont="1" applyFill="1" applyBorder="1" applyAlignment="1">
      <alignment vertical="center"/>
    </xf>
    <xf numFmtId="0" fontId="23" fillId="0" borderId="15" xfId="0" applyNumberFormat="1" applyFont="1" applyFill="1" applyBorder="1" applyAlignment="1" applyProtection="1">
      <alignment vertical="center"/>
      <protection hidden="1"/>
    </xf>
    <xf numFmtId="0" fontId="23" fillId="0" borderId="6" xfId="0" applyNumberFormat="1" applyFont="1" applyFill="1" applyBorder="1" applyAlignment="1" applyProtection="1">
      <alignment vertical="center"/>
      <protection hidden="1"/>
    </xf>
    <xf numFmtId="0" fontId="23" fillId="0" borderId="15" xfId="0" applyFont="1" applyFill="1" applyBorder="1" applyAlignment="1" applyProtection="1">
      <alignment vertical="center"/>
      <protection hidden="1"/>
    </xf>
    <xf numFmtId="0" fontId="23" fillId="0" borderId="6" xfId="0" applyFont="1" applyFill="1" applyBorder="1" applyAlignment="1" applyProtection="1">
      <alignment vertical="center"/>
      <protection hidden="1"/>
    </xf>
    <xf numFmtId="3" fontId="23" fillId="0" borderId="0" xfId="0" applyNumberFormat="1" applyFont="1" applyFill="1" applyBorder="1" applyAlignment="1">
      <alignment vertical="center"/>
    </xf>
    <xf numFmtId="3" fontId="48" fillId="0" borderId="0" xfId="0" applyNumberFormat="1" applyFont="1" applyFill="1" applyBorder="1" applyAlignment="1">
      <alignment vertical="center"/>
    </xf>
    <xf numFmtId="0" fontId="12" fillId="0" borderId="0" xfId="0" applyFont="1" applyAlignment="1">
      <alignment horizontal="center"/>
    </xf>
    <xf numFmtId="0" fontId="12" fillId="0" borderId="0" xfId="0" applyFont="1" applyAlignment="1">
      <alignment horizontal="center" vertical="center" textRotation="90"/>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3" fontId="26" fillId="0" borderId="0" xfId="0" applyNumberFormat="1" applyFont="1" applyFill="1" applyBorder="1" applyAlignment="1">
      <alignment horizontal="right" vertical="center"/>
    </xf>
    <xf numFmtId="0" fontId="26" fillId="0" borderId="0" xfId="0" applyNumberFormat="1" applyFont="1" applyFill="1" applyBorder="1" applyAlignment="1">
      <alignment horizontal="right" vertical="center"/>
    </xf>
    <xf numFmtId="3" fontId="26" fillId="2" borderId="0" xfId="0" applyNumberFormat="1" applyFont="1" applyFill="1" applyBorder="1" applyAlignment="1">
      <alignment horizontal="right" vertical="center"/>
    </xf>
    <xf numFmtId="0" fontId="26" fillId="2" borderId="0" xfId="0" applyNumberFormat="1" applyFont="1" applyFill="1" applyBorder="1" applyAlignment="1">
      <alignment horizontal="right" vertical="center"/>
    </xf>
    <xf numFmtId="0" fontId="22" fillId="0" borderId="1" xfId="0" applyFont="1" applyFill="1" applyBorder="1" applyAlignment="1">
      <alignment horizontal="center" vertical="center"/>
    </xf>
    <xf numFmtId="0" fontId="22" fillId="0" borderId="1" xfId="0" applyNumberFormat="1"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0" fontId="22" fillId="0" borderId="1" xfId="0" applyNumberFormat="1" applyFont="1" applyFill="1" applyBorder="1" applyAlignment="1">
      <alignment horizontal="center" vertical="center"/>
    </xf>
    <xf numFmtId="0" fontId="22" fillId="0" borderId="5" xfId="0" applyNumberFormat="1"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applyAlignment="1" applyProtection="1">
      <alignment horizontal="center" vertical="center"/>
      <protection hidden="1"/>
    </xf>
    <xf numFmtId="0"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2" fontId="22" fillId="0" borderId="1" xfId="0" applyNumberFormat="1" applyFont="1" applyFill="1" applyBorder="1" applyAlignment="1">
      <alignment horizontal="center" vertical="center" wrapText="1"/>
    </xf>
    <xf numFmtId="2" fontId="22" fillId="0" borderId="1" xfId="0" applyNumberFormat="1" applyFont="1" applyFill="1" applyBorder="1" applyAlignment="1">
      <alignment horizontal="center" vertical="center"/>
    </xf>
    <xf numFmtId="0" fontId="22" fillId="0" borderId="9" xfId="0" applyNumberFormat="1"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NumberFormat="1" applyFont="1" applyFill="1" applyBorder="1" applyAlignment="1">
      <alignment horizontal="center" vertical="center"/>
    </xf>
    <xf numFmtId="0" fontId="22" fillId="0" borderId="10" xfId="0" applyFont="1" applyFill="1" applyBorder="1" applyAlignment="1">
      <alignment horizontal="center" vertical="center"/>
    </xf>
    <xf numFmtId="3" fontId="19" fillId="0" borderId="0" xfId="0" applyNumberFormat="1" applyFont="1" applyFill="1" applyBorder="1" applyAlignment="1">
      <alignment horizontal="center" vertical="center"/>
    </xf>
    <xf numFmtId="0" fontId="28" fillId="0" borderId="1" xfId="0" applyFont="1" applyFill="1" applyBorder="1"/>
    <xf numFmtId="0" fontId="25" fillId="0" borderId="0" xfId="0" applyNumberFormat="1" applyFont="1" applyFill="1" applyAlignment="1">
      <alignment horizontal="center" vertical="center"/>
    </xf>
    <xf numFmtId="0" fontId="13" fillId="0" borderId="0" xfId="0" applyFont="1" applyFill="1" applyAlignment="1">
      <alignment horizontal="center" vertical="center"/>
    </xf>
    <xf numFmtId="3" fontId="22" fillId="0" borderId="1" xfId="0" applyNumberFormat="1" applyFont="1" applyFill="1" applyBorder="1" applyAlignment="1">
      <alignment horizontal="center" vertical="center" wrapText="1"/>
    </xf>
    <xf numFmtId="3" fontId="22" fillId="0" borderId="8" xfId="0" applyNumberFormat="1" applyFont="1" applyFill="1" applyBorder="1" applyAlignment="1">
      <alignment horizontal="center" vertical="center" wrapText="1"/>
    </xf>
    <xf numFmtId="3" fontId="22" fillId="0" borderId="2" xfId="0" applyNumberFormat="1" applyFont="1" applyFill="1" applyBorder="1" applyAlignment="1">
      <alignment horizontal="center" vertical="center" wrapText="1"/>
    </xf>
    <xf numFmtId="3" fontId="22" fillId="0" borderId="7" xfId="0" applyNumberFormat="1" applyFont="1" applyFill="1" applyBorder="1" applyAlignment="1">
      <alignment horizontal="center" vertical="center" wrapText="1"/>
    </xf>
    <xf numFmtId="0" fontId="0" fillId="0" borderId="0" xfId="0" applyAlignment="1">
      <alignment horizontal="center"/>
    </xf>
    <xf numFmtId="0" fontId="29" fillId="0" borderId="0" xfId="0" applyNumberFormat="1" applyFont="1" applyFill="1" applyAlignment="1">
      <alignment horizontal="center"/>
    </xf>
    <xf numFmtId="0" fontId="4" fillId="0" borderId="0" xfId="0" applyFont="1" applyFill="1" applyAlignment="1">
      <alignment horizontal="center"/>
    </xf>
  </cellXfs>
  <cellStyles count="7">
    <cellStyle name="Comma" xfId="1" builtinId="3"/>
    <cellStyle name="Normal" xfId="0" builtinId="0"/>
    <cellStyle name="Normal 3" xfId="2"/>
    <cellStyle name="Normal_Dichso" xfId="3"/>
    <cellStyle name="Normal_DocSoUnicode" xfId="4"/>
    <cellStyle name="Normal_Lenh_chi_VietinBank" xfId="5"/>
    <cellStyle name="Percent" xfId="6"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hanh_Toan_Luong/Vuot%20gio/2018_2019/Hoc%20ky%20I/Co%20huu/gio_day_2018_201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io_day_2018_2019"/>
    </sheetNames>
    <sheetDataSet>
      <sheetData sheetId="0">
        <row r="4">
          <cell r="A4" t="str">
            <v>f_manv</v>
          </cell>
          <cell r="B4" t="str">
            <v>f_holotvn</v>
          </cell>
          <cell r="C4" t="str">
            <v>f_tenvn</v>
          </cell>
          <cell r="D4" t="str">
            <v>f_solgtg</v>
          </cell>
          <cell r="E4" t="str">
            <v>f_sotiet</v>
          </cell>
          <cell r="F4" t="str">
            <v>sotiet_chuaquydoi</v>
          </cell>
          <cell r="G4" t="str">
            <v>sotiet</v>
          </cell>
          <cell r="H4" t="str">
            <v>dh_bt</v>
          </cell>
          <cell r="I4" t="str">
            <v>dh_cb</v>
          </cell>
          <cell r="J4" t="str">
            <v>dh_gk</v>
          </cell>
          <cell r="K4" t="str">
            <v>dh_gt</v>
          </cell>
          <cell r="L4" t="str">
            <v>dh_lqs</v>
          </cell>
          <cell r="M4" t="str">
            <v>dh_lt</v>
          </cell>
          <cell r="N4" t="str">
            <v>dh_ltd</v>
          </cell>
          <cell r="O4" t="str">
            <v>dh_th</v>
          </cell>
          <cell r="P4" t="str">
            <v>dh_cv</v>
          </cell>
          <cell r="Q4" t="str">
            <v>dh_cdtc</v>
          </cell>
          <cell r="R4" t="str">
            <v>dh_tncd</v>
          </cell>
          <cell r="S4" t="str">
            <v>dh_tn</v>
          </cell>
          <cell r="T4" t="str">
            <v>ch_ltch</v>
          </cell>
          <cell r="U4" t="str">
            <v>ch_cbch</v>
          </cell>
          <cell r="V4" t="str">
            <v>ch_di</v>
          </cell>
          <cell r="W4" t="str">
            <v>ch_gkch</v>
          </cell>
          <cell r="X4" t="str">
            <v>ch_klch</v>
          </cell>
          <cell r="Y4" t="str">
            <v>ncs_hpts</v>
          </cell>
          <cell r="Z4" t="str">
            <v>ncs_ncs</v>
          </cell>
        </row>
        <row r="5">
          <cell r="A5" t="str">
            <v>BCY01</v>
          </cell>
          <cell r="B5" t="str">
            <v>Hà Viết</v>
          </cell>
          <cell r="C5" t="str">
            <v>Cường</v>
          </cell>
          <cell r="D5">
            <v>40</v>
          </cell>
          <cell r="E5">
            <v>40</v>
          </cell>
          <cell r="F5">
            <v>584.6</v>
          </cell>
          <cell r="G5">
            <v>710.6</v>
          </cell>
          <cell r="H5">
            <v>0</v>
          </cell>
          <cell r="I5">
            <v>20.8</v>
          </cell>
          <cell r="J5">
            <v>8.3000000000000007</v>
          </cell>
          <cell r="K5">
            <v>45.6</v>
          </cell>
          <cell r="L5">
            <v>0</v>
          </cell>
          <cell r="M5">
            <v>130.5</v>
          </cell>
          <cell r="N5">
            <v>0</v>
          </cell>
          <cell r="O5">
            <v>100</v>
          </cell>
          <cell r="P5">
            <v>0</v>
          </cell>
          <cell r="Q5">
            <v>0</v>
          </cell>
          <cell r="R5">
            <v>0</v>
          </cell>
          <cell r="S5">
            <v>260</v>
          </cell>
          <cell r="T5">
            <v>63</v>
          </cell>
          <cell r="U5">
            <v>1.7</v>
          </cell>
          <cell r="V5">
            <v>0</v>
          </cell>
          <cell r="W5">
            <v>0.7</v>
          </cell>
          <cell r="X5">
            <v>80</v>
          </cell>
          <cell r="Y5">
            <v>0</v>
          </cell>
          <cell r="Z5">
            <v>0</v>
          </cell>
        </row>
        <row r="6">
          <cell r="A6" t="str">
            <v>BCY02</v>
          </cell>
          <cell r="B6" t="str">
            <v>Đỗ Tấn</v>
          </cell>
          <cell r="C6" t="str">
            <v>Dũng</v>
          </cell>
          <cell r="D6">
            <v>40</v>
          </cell>
          <cell r="E6">
            <v>40</v>
          </cell>
          <cell r="F6">
            <v>615.70000000000005</v>
          </cell>
          <cell r="G6">
            <v>747.6</v>
          </cell>
          <cell r="H6">
            <v>0</v>
          </cell>
          <cell r="I6">
            <v>43.6</v>
          </cell>
          <cell r="J6">
            <v>17.5</v>
          </cell>
          <cell r="K6">
            <v>0</v>
          </cell>
          <cell r="L6">
            <v>0</v>
          </cell>
          <cell r="M6">
            <v>161.6</v>
          </cell>
          <cell r="N6">
            <v>0</v>
          </cell>
          <cell r="O6">
            <v>114.7</v>
          </cell>
          <cell r="P6">
            <v>0</v>
          </cell>
          <cell r="Q6">
            <v>0</v>
          </cell>
          <cell r="R6">
            <v>0</v>
          </cell>
          <cell r="S6">
            <v>180</v>
          </cell>
          <cell r="T6">
            <v>144</v>
          </cell>
          <cell r="U6">
            <v>4.4000000000000004</v>
          </cell>
          <cell r="V6">
            <v>0</v>
          </cell>
          <cell r="W6">
            <v>1.8</v>
          </cell>
          <cell r="X6">
            <v>80</v>
          </cell>
          <cell r="Y6">
            <v>0</v>
          </cell>
          <cell r="Z6">
            <v>0</v>
          </cell>
        </row>
        <row r="7">
          <cell r="A7" t="str">
            <v>BCY03</v>
          </cell>
          <cell r="B7" t="str">
            <v>Nguyễn Đức</v>
          </cell>
          <cell r="C7" t="str">
            <v>Huy</v>
          </cell>
          <cell r="D7">
            <v>40</v>
          </cell>
          <cell r="E7">
            <v>40</v>
          </cell>
          <cell r="F7">
            <v>642.1</v>
          </cell>
          <cell r="G7">
            <v>794.3</v>
          </cell>
          <cell r="H7">
            <v>0</v>
          </cell>
          <cell r="I7">
            <v>45.4</v>
          </cell>
          <cell r="J7">
            <v>18.3</v>
          </cell>
          <cell r="K7">
            <v>0</v>
          </cell>
          <cell r="L7">
            <v>0</v>
          </cell>
          <cell r="M7">
            <v>137</v>
          </cell>
          <cell r="N7">
            <v>0</v>
          </cell>
          <cell r="O7">
            <v>144.1</v>
          </cell>
          <cell r="P7">
            <v>0</v>
          </cell>
          <cell r="Q7">
            <v>0</v>
          </cell>
          <cell r="R7">
            <v>0</v>
          </cell>
          <cell r="S7">
            <v>220</v>
          </cell>
          <cell r="T7">
            <v>171</v>
          </cell>
          <cell r="U7">
            <v>4.5</v>
          </cell>
          <cell r="V7">
            <v>0</v>
          </cell>
          <cell r="W7">
            <v>2</v>
          </cell>
          <cell r="X7">
            <v>52</v>
          </cell>
          <cell r="Y7">
            <v>0</v>
          </cell>
          <cell r="Z7">
            <v>0</v>
          </cell>
        </row>
        <row r="8">
          <cell r="A8" t="str">
            <v>BCY08</v>
          </cell>
          <cell r="B8" t="str">
            <v>Nguyễn Văn</v>
          </cell>
          <cell r="C8" t="str">
            <v>Viên</v>
          </cell>
          <cell r="D8">
            <v>10</v>
          </cell>
          <cell r="E8">
            <v>10</v>
          </cell>
          <cell r="F8">
            <v>446</v>
          </cell>
          <cell r="G8">
            <v>573.9</v>
          </cell>
          <cell r="H8">
            <v>0</v>
          </cell>
          <cell r="I8">
            <v>40.9</v>
          </cell>
          <cell r="J8">
            <v>16.399999999999999</v>
          </cell>
          <cell r="K8">
            <v>0</v>
          </cell>
          <cell r="L8">
            <v>0</v>
          </cell>
          <cell r="M8">
            <v>140.1</v>
          </cell>
          <cell r="N8">
            <v>0</v>
          </cell>
          <cell r="O8">
            <v>116</v>
          </cell>
          <cell r="P8">
            <v>0</v>
          </cell>
          <cell r="Q8">
            <v>0</v>
          </cell>
          <cell r="R8">
            <v>0</v>
          </cell>
          <cell r="S8">
            <v>140</v>
          </cell>
          <cell r="T8">
            <v>108</v>
          </cell>
          <cell r="U8">
            <v>1.8</v>
          </cell>
          <cell r="V8">
            <v>0</v>
          </cell>
          <cell r="W8">
            <v>0.7</v>
          </cell>
          <cell r="X8">
            <v>0</v>
          </cell>
          <cell r="Y8">
            <v>0</v>
          </cell>
          <cell r="Z8">
            <v>10</v>
          </cell>
        </row>
        <row r="9">
          <cell r="A9" t="str">
            <v>BCY11</v>
          </cell>
          <cell r="B9" t="str">
            <v>Đỗ Trung</v>
          </cell>
          <cell r="C9" t="str">
            <v>Kiên</v>
          </cell>
          <cell r="D9">
            <v>1</v>
          </cell>
          <cell r="E9">
            <v>0.3</v>
          </cell>
          <cell r="F9">
            <v>325.3</v>
          </cell>
          <cell r="G9">
            <v>385.5</v>
          </cell>
          <cell r="H9">
            <v>0</v>
          </cell>
          <cell r="I9">
            <v>14.9</v>
          </cell>
          <cell r="J9">
            <v>6</v>
          </cell>
          <cell r="K9">
            <v>45.6</v>
          </cell>
          <cell r="L9">
            <v>0</v>
          </cell>
          <cell r="M9">
            <v>102.5</v>
          </cell>
          <cell r="N9">
            <v>0</v>
          </cell>
          <cell r="O9">
            <v>136.1</v>
          </cell>
          <cell r="P9">
            <v>0</v>
          </cell>
          <cell r="Q9">
            <v>0</v>
          </cell>
          <cell r="R9">
            <v>0</v>
          </cell>
          <cell r="S9">
            <v>80</v>
          </cell>
          <cell r="T9">
            <v>0</v>
          </cell>
          <cell r="U9">
            <v>0.3</v>
          </cell>
          <cell r="V9">
            <v>0</v>
          </cell>
          <cell r="W9">
            <v>0.1</v>
          </cell>
          <cell r="X9">
            <v>0</v>
          </cell>
          <cell r="Y9">
            <v>0</v>
          </cell>
          <cell r="Z9">
            <v>0</v>
          </cell>
        </row>
        <row r="10">
          <cell r="A10" t="str">
            <v>BCY13</v>
          </cell>
          <cell r="B10" t="str">
            <v>Trần Nguyễn</v>
          </cell>
          <cell r="C10" t="str">
            <v>Hà</v>
          </cell>
          <cell r="D10">
            <v>40</v>
          </cell>
          <cell r="E10">
            <v>40</v>
          </cell>
          <cell r="F10">
            <v>382</v>
          </cell>
          <cell r="G10">
            <v>430.1</v>
          </cell>
          <cell r="H10">
            <v>0</v>
          </cell>
          <cell r="I10">
            <v>23.1</v>
          </cell>
          <cell r="J10">
            <v>9.3000000000000007</v>
          </cell>
          <cell r="K10">
            <v>0</v>
          </cell>
          <cell r="L10">
            <v>0</v>
          </cell>
          <cell r="M10">
            <v>111.5</v>
          </cell>
          <cell r="N10">
            <v>0</v>
          </cell>
          <cell r="O10">
            <v>36</v>
          </cell>
          <cell r="P10">
            <v>0</v>
          </cell>
          <cell r="Q10">
            <v>0</v>
          </cell>
          <cell r="R10">
            <v>0</v>
          </cell>
          <cell r="S10">
            <v>160</v>
          </cell>
          <cell r="T10">
            <v>36</v>
          </cell>
          <cell r="U10">
            <v>1.5</v>
          </cell>
          <cell r="V10">
            <v>0</v>
          </cell>
          <cell r="W10">
            <v>0.7</v>
          </cell>
          <cell r="X10">
            <v>52</v>
          </cell>
          <cell r="Y10">
            <v>0</v>
          </cell>
          <cell r="Z10">
            <v>0</v>
          </cell>
        </row>
        <row r="11">
          <cell r="A11" t="str">
            <v>BKT01</v>
          </cell>
          <cell r="B11" t="str">
            <v>Phí Thị Diễm</v>
          </cell>
          <cell r="C11" t="str">
            <v>Hồng</v>
          </cell>
          <cell r="D11">
            <v>1</v>
          </cell>
          <cell r="E11">
            <v>2.5</v>
          </cell>
          <cell r="F11">
            <v>503.2</v>
          </cell>
          <cell r="G11">
            <v>701.4</v>
          </cell>
          <cell r="H11">
            <v>0</v>
          </cell>
          <cell r="I11">
            <v>36.299999999999997</v>
          </cell>
          <cell r="J11">
            <v>14.6</v>
          </cell>
          <cell r="K11">
            <v>40.200000000000003</v>
          </cell>
          <cell r="L11">
            <v>0</v>
          </cell>
          <cell r="M11">
            <v>223.3</v>
          </cell>
          <cell r="N11">
            <v>0</v>
          </cell>
          <cell r="O11">
            <v>0</v>
          </cell>
          <cell r="P11">
            <v>0</v>
          </cell>
          <cell r="Q11">
            <v>0</v>
          </cell>
          <cell r="R11">
            <v>0</v>
          </cell>
          <cell r="S11">
            <v>160</v>
          </cell>
          <cell r="T11">
            <v>216</v>
          </cell>
          <cell r="U11">
            <v>7.8</v>
          </cell>
          <cell r="V11">
            <v>0</v>
          </cell>
          <cell r="W11">
            <v>3.2</v>
          </cell>
          <cell r="X11">
            <v>0</v>
          </cell>
          <cell r="Y11">
            <v>0</v>
          </cell>
          <cell r="Z11">
            <v>0</v>
          </cell>
        </row>
        <row r="12">
          <cell r="A12" t="str">
            <v>BKT02</v>
          </cell>
          <cell r="B12" t="str">
            <v>Nguyễn Đăng</v>
          </cell>
          <cell r="C12" t="str">
            <v>Học</v>
          </cell>
          <cell r="D12">
            <v>29</v>
          </cell>
          <cell r="E12">
            <v>29</v>
          </cell>
          <cell r="F12">
            <v>536</v>
          </cell>
          <cell r="G12">
            <v>659.4</v>
          </cell>
          <cell r="H12">
            <v>0</v>
          </cell>
          <cell r="I12">
            <v>65.400000000000006</v>
          </cell>
          <cell r="J12">
            <v>24.3</v>
          </cell>
          <cell r="K12">
            <v>29</v>
          </cell>
          <cell r="L12">
            <v>0</v>
          </cell>
          <cell r="M12">
            <v>395.7</v>
          </cell>
          <cell r="N12">
            <v>0</v>
          </cell>
          <cell r="O12">
            <v>45</v>
          </cell>
          <cell r="P12">
            <v>0</v>
          </cell>
          <cell r="Q12">
            <v>0</v>
          </cell>
          <cell r="R12">
            <v>0</v>
          </cell>
          <cell r="S12">
            <v>100</v>
          </cell>
          <cell r="T12">
            <v>0</v>
          </cell>
          <cell r="U12">
            <v>0</v>
          </cell>
          <cell r="V12">
            <v>0</v>
          </cell>
          <cell r="W12">
            <v>0</v>
          </cell>
          <cell r="X12">
            <v>0</v>
          </cell>
          <cell r="Y12">
            <v>0</v>
          </cell>
          <cell r="Z12">
            <v>0</v>
          </cell>
        </row>
        <row r="13">
          <cell r="A13" t="str">
            <v>BKT03</v>
          </cell>
          <cell r="B13" t="str">
            <v>Trần Nguyễn Thị</v>
          </cell>
          <cell r="C13" t="str">
            <v>Yến</v>
          </cell>
          <cell r="D13">
            <v>20</v>
          </cell>
          <cell r="E13">
            <v>20</v>
          </cell>
          <cell r="F13">
            <v>174</v>
          </cell>
          <cell r="G13">
            <v>189.3</v>
          </cell>
          <cell r="H13">
            <v>0</v>
          </cell>
          <cell r="I13">
            <v>13.8</v>
          </cell>
          <cell r="J13">
            <v>5.5</v>
          </cell>
          <cell r="K13">
            <v>0</v>
          </cell>
          <cell r="L13">
            <v>0</v>
          </cell>
          <cell r="M13">
            <v>90</v>
          </cell>
          <cell r="N13">
            <v>0</v>
          </cell>
          <cell r="O13">
            <v>0</v>
          </cell>
          <cell r="P13">
            <v>0</v>
          </cell>
          <cell r="Q13">
            <v>0</v>
          </cell>
          <cell r="R13">
            <v>0</v>
          </cell>
          <cell r="S13">
            <v>80</v>
          </cell>
          <cell r="T13">
            <v>0</v>
          </cell>
          <cell r="U13">
            <v>0</v>
          </cell>
          <cell r="V13">
            <v>0</v>
          </cell>
          <cell r="W13">
            <v>0</v>
          </cell>
          <cell r="X13">
            <v>0</v>
          </cell>
          <cell r="Y13">
            <v>0</v>
          </cell>
          <cell r="Z13">
            <v>0</v>
          </cell>
        </row>
        <row r="14">
          <cell r="A14" t="str">
            <v>BKT07</v>
          </cell>
          <cell r="B14" t="str">
            <v>Vũ Ngọc</v>
          </cell>
          <cell r="C14" t="str">
            <v>Huyên</v>
          </cell>
          <cell r="D14">
            <v>20</v>
          </cell>
          <cell r="E14">
            <v>20</v>
          </cell>
          <cell r="F14">
            <v>107</v>
          </cell>
          <cell r="G14">
            <v>111.9</v>
          </cell>
          <cell r="H14">
            <v>0</v>
          </cell>
          <cell r="I14">
            <v>4.9000000000000004</v>
          </cell>
          <cell r="J14">
            <v>2</v>
          </cell>
          <cell r="K14">
            <v>0</v>
          </cell>
          <cell r="L14">
            <v>0</v>
          </cell>
          <cell r="M14">
            <v>45</v>
          </cell>
          <cell r="N14">
            <v>0</v>
          </cell>
          <cell r="O14">
            <v>0</v>
          </cell>
          <cell r="P14">
            <v>0</v>
          </cell>
          <cell r="Q14">
            <v>0</v>
          </cell>
          <cell r="R14">
            <v>0</v>
          </cell>
          <cell r="S14">
            <v>60</v>
          </cell>
          <cell r="T14">
            <v>0</v>
          </cell>
          <cell r="U14">
            <v>0</v>
          </cell>
          <cell r="V14">
            <v>0</v>
          </cell>
          <cell r="W14">
            <v>0</v>
          </cell>
          <cell r="X14">
            <v>0</v>
          </cell>
          <cell r="Y14">
            <v>0</v>
          </cell>
          <cell r="Z14">
            <v>0</v>
          </cell>
        </row>
        <row r="15">
          <cell r="A15" t="str">
            <v>BKT08</v>
          </cell>
          <cell r="B15" t="str">
            <v>Nguyễn Thị</v>
          </cell>
          <cell r="C15" t="str">
            <v>Thủy</v>
          </cell>
          <cell r="D15">
            <v>10</v>
          </cell>
          <cell r="E15">
            <v>10</v>
          </cell>
          <cell r="F15">
            <v>797.7</v>
          </cell>
          <cell r="G15">
            <v>949</v>
          </cell>
          <cell r="H15">
            <v>0</v>
          </cell>
          <cell r="I15">
            <v>25.8</v>
          </cell>
          <cell r="J15">
            <v>10.4</v>
          </cell>
          <cell r="K15">
            <v>18.7</v>
          </cell>
          <cell r="L15">
            <v>0</v>
          </cell>
          <cell r="M15">
            <v>156.19999999999999</v>
          </cell>
          <cell r="N15">
            <v>0</v>
          </cell>
          <cell r="O15">
            <v>0</v>
          </cell>
          <cell r="P15">
            <v>0</v>
          </cell>
          <cell r="Q15">
            <v>0</v>
          </cell>
          <cell r="R15">
            <v>0</v>
          </cell>
          <cell r="S15">
            <v>140</v>
          </cell>
          <cell r="T15">
            <v>216</v>
          </cell>
          <cell r="U15">
            <v>8.5</v>
          </cell>
          <cell r="V15">
            <v>0</v>
          </cell>
          <cell r="W15">
            <v>3.4</v>
          </cell>
          <cell r="X15">
            <v>360</v>
          </cell>
          <cell r="Y15">
            <v>0</v>
          </cell>
          <cell r="Z15">
            <v>10</v>
          </cell>
        </row>
        <row r="16">
          <cell r="A16" t="str">
            <v>BKT09</v>
          </cell>
          <cell r="B16" t="str">
            <v>Lê Minh</v>
          </cell>
          <cell r="C16" t="str">
            <v>Châu</v>
          </cell>
          <cell r="D16">
            <v>40</v>
          </cell>
          <cell r="E16">
            <v>40</v>
          </cell>
          <cell r="F16">
            <v>793</v>
          </cell>
          <cell r="G16">
            <v>998.9</v>
          </cell>
          <cell r="H16">
            <v>0</v>
          </cell>
          <cell r="I16">
            <v>26.7</v>
          </cell>
          <cell r="J16">
            <v>10.7</v>
          </cell>
          <cell r="K16">
            <v>0</v>
          </cell>
          <cell r="L16">
            <v>0</v>
          </cell>
          <cell r="M16">
            <v>160</v>
          </cell>
          <cell r="N16">
            <v>0</v>
          </cell>
          <cell r="O16">
            <v>0</v>
          </cell>
          <cell r="P16">
            <v>0</v>
          </cell>
          <cell r="Q16">
            <v>0</v>
          </cell>
          <cell r="R16">
            <v>0</v>
          </cell>
          <cell r="S16">
            <v>140</v>
          </cell>
          <cell r="T16">
            <v>324</v>
          </cell>
          <cell r="U16">
            <v>12.4</v>
          </cell>
          <cell r="V16">
            <v>0</v>
          </cell>
          <cell r="W16">
            <v>5.0999999999999996</v>
          </cell>
          <cell r="X16">
            <v>320</v>
          </cell>
          <cell r="Y16">
            <v>0</v>
          </cell>
          <cell r="Z16">
            <v>0</v>
          </cell>
        </row>
        <row r="17">
          <cell r="A17" t="str">
            <v>BKT10</v>
          </cell>
          <cell r="B17" t="str">
            <v>Nguyễn Thị Hải</v>
          </cell>
          <cell r="C17" t="str">
            <v>Bình</v>
          </cell>
          <cell r="D17">
            <v>20</v>
          </cell>
          <cell r="E17">
            <v>20</v>
          </cell>
          <cell r="F17">
            <v>228</v>
          </cell>
          <cell r="G17">
            <v>243</v>
          </cell>
          <cell r="H17">
            <v>0</v>
          </cell>
          <cell r="I17">
            <v>16.399999999999999</v>
          </cell>
          <cell r="J17">
            <v>6.6</v>
          </cell>
          <cell r="K17">
            <v>0</v>
          </cell>
          <cell r="L17">
            <v>0</v>
          </cell>
          <cell r="M17">
            <v>120</v>
          </cell>
          <cell r="N17">
            <v>0</v>
          </cell>
          <cell r="O17">
            <v>0</v>
          </cell>
          <cell r="P17">
            <v>0</v>
          </cell>
          <cell r="Q17">
            <v>0</v>
          </cell>
          <cell r="R17">
            <v>0</v>
          </cell>
          <cell r="S17">
            <v>100</v>
          </cell>
          <cell r="T17">
            <v>0</v>
          </cell>
          <cell r="U17">
            <v>0</v>
          </cell>
          <cell r="V17">
            <v>0</v>
          </cell>
          <cell r="W17">
            <v>0</v>
          </cell>
          <cell r="X17">
            <v>0</v>
          </cell>
          <cell r="Y17">
            <v>0</v>
          </cell>
          <cell r="Z17">
            <v>0</v>
          </cell>
        </row>
        <row r="18">
          <cell r="A18" t="str">
            <v>BKT20</v>
          </cell>
          <cell r="B18" t="str">
            <v>Hoàng Thị Mai</v>
          </cell>
          <cell r="C18" t="str">
            <v>Anh</v>
          </cell>
          <cell r="D18">
            <v>5.0999999999999996</v>
          </cell>
          <cell r="E18">
            <v>5.0999999999999996</v>
          </cell>
          <cell r="F18">
            <v>350.9</v>
          </cell>
          <cell r="G18">
            <v>377.1</v>
          </cell>
          <cell r="H18">
            <v>0</v>
          </cell>
          <cell r="I18">
            <v>25.8</v>
          </cell>
          <cell r="J18">
            <v>9.4</v>
          </cell>
          <cell r="K18">
            <v>16.899999999999999</v>
          </cell>
          <cell r="L18">
            <v>0</v>
          </cell>
          <cell r="M18">
            <v>180</v>
          </cell>
          <cell r="N18">
            <v>0</v>
          </cell>
          <cell r="O18">
            <v>45</v>
          </cell>
          <cell r="P18">
            <v>0</v>
          </cell>
          <cell r="Q18">
            <v>0</v>
          </cell>
          <cell r="R18">
            <v>0</v>
          </cell>
          <cell r="S18">
            <v>100</v>
          </cell>
          <cell r="T18">
            <v>0</v>
          </cell>
          <cell r="U18">
            <v>0</v>
          </cell>
          <cell r="V18">
            <v>0</v>
          </cell>
          <cell r="W18">
            <v>0</v>
          </cell>
          <cell r="X18">
            <v>0</v>
          </cell>
          <cell r="Y18">
            <v>0</v>
          </cell>
          <cell r="Z18">
            <v>0</v>
          </cell>
        </row>
        <row r="19">
          <cell r="A19" t="str">
            <v>BKT21</v>
          </cell>
          <cell r="B19" t="str">
            <v>Phan Lê</v>
          </cell>
          <cell r="C19" t="str">
            <v>Trang</v>
          </cell>
          <cell r="D19">
            <v>20</v>
          </cell>
          <cell r="E19">
            <v>20</v>
          </cell>
          <cell r="F19">
            <v>315</v>
          </cell>
          <cell r="G19">
            <v>361.9</v>
          </cell>
          <cell r="H19">
            <v>0</v>
          </cell>
          <cell r="I19">
            <v>31.4</v>
          </cell>
          <cell r="J19">
            <v>12.6</v>
          </cell>
          <cell r="K19">
            <v>0</v>
          </cell>
          <cell r="L19">
            <v>0</v>
          </cell>
          <cell r="M19">
            <v>237.9</v>
          </cell>
          <cell r="N19">
            <v>0</v>
          </cell>
          <cell r="O19">
            <v>0</v>
          </cell>
          <cell r="P19">
            <v>0</v>
          </cell>
          <cell r="Q19">
            <v>0</v>
          </cell>
          <cell r="R19">
            <v>0</v>
          </cell>
          <cell r="S19">
            <v>80</v>
          </cell>
          <cell r="T19">
            <v>0</v>
          </cell>
          <cell r="U19">
            <v>0</v>
          </cell>
          <cell r="V19">
            <v>0</v>
          </cell>
          <cell r="W19">
            <v>0</v>
          </cell>
          <cell r="X19">
            <v>0</v>
          </cell>
          <cell r="Y19">
            <v>0</v>
          </cell>
          <cell r="Z19">
            <v>0</v>
          </cell>
        </row>
        <row r="20">
          <cell r="A20" t="str">
            <v>BLY01</v>
          </cell>
          <cell r="B20" t="str">
            <v>Nguyễn Thị</v>
          </cell>
          <cell r="C20" t="str">
            <v>Lan</v>
          </cell>
          <cell r="D20">
            <v>40</v>
          </cell>
          <cell r="E20">
            <v>40</v>
          </cell>
          <cell r="F20">
            <v>318</v>
          </cell>
          <cell r="G20">
            <v>338.2</v>
          </cell>
          <cell r="H20">
            <v>0</v>
          </cell>
          <cell r="I20">
            <v>10</v>
          </cell>
          <cell r="J20">
            <v>4</v>
          </cell>
          <cell r="K20">
            <v>0</v>
          </cell>
          <cell r="L20">
            <v>0</v>
          </cell>
          <cell r="M20">
            <v>42.3</v>
          </cell>
          <cell r="N20">
            <v>0</v>
          </cell>
          <cell r="O20">
            <v>0</v>
          </cell>
          <cell r="P20">
            <v>0</v>
          </cell>
          <cell r="Q20">
            <v>0</v>
          </cell>
          <cell r="R20">
            <v>0</v>
          </cell>
          <cell r="S20">
            <v>180</v>
          </cell>
          <cell r="T20">
            <v>9</v>
          </cell>
          <cell r="U20">
            <v>0.6</v>
          </cell>
          <cell r="V20">
            <v>0</v>
          </cell>
          <cell r="W20">
            <v>0.3</v>
          </cell>
          <cell r="X20">
            <v>92</v>
          </cell>
          <cell r="Y20">
            <v>0</v>
          </cell>
          <cell r="Z20">
            <v>0</v>
          </cell>
        </row>
        <row r="21">
          <cell r="A21" t="str">
            <v>BLY02</v>
          </cell>
          <cell r="B21" t="str">
            <v>Nguyễn Hữu</v>
          </cell>
          <cell r="C21" t="str">
            <v>Nam</v>
          </cell>
          <cell r="D21">
            <v>40</v>
          </cell>
          <cell r="E21">
            <v>40</v>
          </cell>
          <cell r="F21">
            <v>582</v>
          </cell>
          <cell r="G21">
            <v>686.9</v>
          </cell>
          <cell r="H21">
            <v>0</v>
          </cell>
          <cell r="I21">
            <v>31.2</v>
          </cell>
          <cell r="J21">
            <v>12.6</v>
          </cell>
          <cell r="K21">
            <v>0</v>
          </cell>
          <cell r="L21">
            <v>0</v>
          </cell>
          <cell r="M21">
            <v>132.19999999999999</v>
          </cell>
          <cell r="N21">
            <v>0</v>
          </cell>
          <cell r="O21">
            <v>16</v>
          </cell>
          <cell r="P21">
            <v>0</v>
          </cell>
          <cell r="Q21">
            <v>24</v>
          </cell>
          <cell r="R21">
            <v>0</v>
          </cell>
          <cell r="S21">
            <v>320</v>
          </cell>
          <cell r="T21">
            <v>18</v>
          </cell>
          <cell r="U21">
            <v>0.6</v>
          </cell>
          <cell r="V21">
            <v>0</v>
          </cell>
          <cell r="W21">
            <v>0.3</v>
          </cell>
          <cell r="X21">
            <v>132</v>
          </cell>
          <cell r="Y21">
            <v>0</v>
          </cell>
          <cell r="Z21">
            <v>0</v>
          </cell>
        </row>
        <row r="22">
          <cell r="A22" t="str">
            <v>BLY03</v>
          </cell>
          <cell r="B22" t="str">
            <v>Bùi Trần Anh</v>
          </cell>
          <cell r="C22" t="str">
            <v>Đào</v>
          </cell>
          <cell r="D22">
            <v>20</v>
          </cell>
          <cell r="E22">
            <v>20</v>
          </cell>
          <cell r="F22">
            <v>524</v>
          </cell>
          <cell r="G22">
            <v>627.29999999999995</v>
          </cell>
          <cell r="H22">
            <v>0</v>
          </cell>
          <cell r="I22">
            <v>27.9</v>
          </cell>
          <cell r="J22">
            <v>11.2</v>
          </cell>
          <cell r="K22">
            <v>0</v>
          </cell>
          <cell r="L22">
            <v>0</v>
          </cell>
          <cell r="M22">
            <v>117.9</v>
          </cell>
          <cell r="N22">
            <v>0</v>
          </cell>
          <cell r="O22">
            <v>0</v>
          </cell>
          <cell r="P22">
            <v>0</v>
          </cell>
          <cell r="Q22">
            <v>0</v>
          </cell>
          <cell r="R22">
            <v>0</v>
          </cell>
          <cell r="S22">
            <v>300</v>
          </cell>
          <cell r="T22">
            <v>54</v>
          </cell>
          <cell r="U22">
            <v>3</v>
          </cell>
          <cell r="V22">
            <v>0</v>
          </cell>
          <cell r="W22">
            <v>1.3</v>
          </cell>
          <cell r="X22">
            <v>92</v>
          </cell>
          <cell r="Y22">
            <v>0</v>
          </cell>
          <cell r="Z22">
            <v>20</v>
          </cell>
        </row>
        <row r="23">
          <cell r="A23" t="str">
            <v>BLY04</v>
          </cell>
          <cell r="B23" t="str">
            <v>Bùi Thị Tố</v>
          </cell>
          <cell r="C23" t="str">
            <v>Nga</v>
          </cell>
          <cell r="D23">
            <v>28</v>
          </cell>
          <cell r="E23">
            <v>28</v>
          </cell>
          <cell r="F23">
            <v>536</v>
          </cell>
          <cell r="G23">
            <v>548.4</v>
          </cell>
          <cell r="H23">
            <v>0</v>
          </cell>
          <cell r="I23">
            <v>6.9</v>
          </cell>
          <cell r="J23">
            <v>2.8</v>
          </cell>
          <cell r="K23">
            <v>0</v>
          </cell>
          <cell r="L23">
            <v>0</v>
          </cell>
          <cell r="M23">
            <v>74</v>
          </cell>
          <cell r="N23">
            <v>0</v>
          </cell>
          <cell r="O23">
            <v>84</v>
          </cell>
          <cell r="P23">
            <v>0</v>
          </cell>
          <cell r="Q23">
            <v>0</v>
          </cell>
          <cell r="R23">
            <v>15</v>
          </cell>
          <cell r="S23">
            <v>300</v>
          </cell>
          <cell r="T23">
            <v>9</v>
          </cell>
          <cell r="U23">
            <v>0.5</v>
          </cell>
          <cell r="V23">
            <v>0</v>
          </cell>
          <cell r="W23">
            <v>0.2</v>
          </cell>
          <cell r="X23">
            <v>56</v>
          </cell>
          <cell r="Y23">
            <v>0</v>
          </cell>
          <cell r="Z23">
            <v>0</v>
          </cell>
        </row>
        <row r="24">
          <cell r="A24" t="str">
            <v>BLY05</v>
          </cell>
          <cell r="B24" t="str">
            <v>Trần Minh</v>
          </cell>
          <cell r="C24" t="str">
            <v>Hải</v>
          </cell>
          <cell r="D24">
            <v>133</v>
          </cell>
          <cell r="E24">
            <v>133</v>
          </cell>
          <cell r="F24">
            <v>615.5</v>
          </cell>
          <cell r="G24">
            <v>632</v>
          </cell>
          <cell r="H24">
            <v>0</v>
          </cell>
          <cell r="I24">
            <v>4.5999999999999996</v>
          </cell>
          <cell r="J24">
            <v>1.9</v>
          </cell>
          <cell r="K24">
            <v>200.5</v>
          </cell>
          <cell r="L24">
            <v>0</v>
          </cell>
          <cell r="M24">
            <v>37</v>
          </cell>
          <cell r="N24">
            <v>0</v>
          </cell>
          <cell r="O24">
            <v>148</v>
          </cell>
          <cell r="P24">
            <v>0</v>
          </cell>
          <cell r="Q24">
            <v>0</v>
          </cell>
          <cell r="R24">
            <v>60</v>
          </cell>
          <cell r="S24">
            <v>180</v>
          </cell>
          <cell r="T24">
            <v>0</v>
          </cell>
          <cell r="U24">
            <v>0</v>
          </cell>
          <cell r="V24">
            <v>0</v>
          </cell>
          <cell r="W24">
            <v>0</v>
          </cell>
          <cell r="X24">
            <v>0</v>
          </cell>
          <cell r="Y24">
            <v>0</v>
          </cell>
          <cell r="Z24">
            <v>0</v>
          </cell>
        </row>
        <row r="25">
          <cell r="A25" t="str">
            <v>BTS01</v>
          </cell>
          <cell r="B25" t="str">
            <v>Lê Việt</v>
          </cell>
          <cell r="C25" t="str">
            <v>Dũng</v>
          </cell>
          <cell r="D25">
            <v>12</v>
          </cell>
          <cell r="E25">
            <v>12</v>
          </cell>
          <cell r="F25">
            <v>44</v>
          </cell>
          <cell r="G25">
            <v>44</v>
          </cell>
          <cell r="H25">
            <v>0</v>
          </cell>
          <cell r="I25">
            <v>0</v>
          </cell>
          <cell r="J25">
            <v>0</v>
          </cell>
          <cell r="K25">
            <v>0</v>
          </cell>
          <cell r="L25">
            <v>0</v>
          </cell>
          <cell r="M25">
            <v>0</v>
          </cell>
          <cell r="N25">
            <v>0</v>
          </cell>
          <cell r="O25">
            <v>0</v>
          </cell>
          <cell r="P25">
            <v>0</v>
          </cell>
          <cell r="Q25">
            <v>0</v>
          </cell>
          <cell r="R25">
            <v>0</v>
          </cell>
          <cell r="S25">
            <v>20</v>
          </cell>
          <cell r="T25">
            <v>0</v>
          </cell>
          <cell r="U25">
            <v>0</v>
          </cell>
          <cell r="V25">
            <v>0</v>
          </cell>
          <cell r="W25">
            <v>0</v>
          </cell>
          <cell r="X25">
            <v>24</v>
          </cell>
          <cell r="Y25">
            <v>0</v>
          </cell>
          <cell r="Z25">
            <v>0</v>
          </cell>
        </row>
        <row r="26">
          <cell r="A26" t="str">
            <v>BTY01</v>
          </cell>
          <cell r="B26" t="str">
            <v>Nguyễn Văn</v>
          </cell>
          <cell r="C26" t="str">
            <v>Hải</v>
          </cell>
          <cell r="D26">
            <v>133</v>
          </cell>
          <cell r="E26">
            <v>133</v>
          </cell>
          <cell r="F26">
            <v>432.7</v>
          </cell>
          <cell r="G26">
            <v>432.7</v>
          </cell>
          <cell r="H26">
            <v>0</v>
          </cell>
          <cell r="I26">
            <v>0</v>
          </cell>
          <cell r="J26">
            <v>0</v>
          </cell>
          <cell r="K26">
            <v>432.7</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row>
        <row r="27">
          <cell r="A27" t="str">
            <v>BTY02</v>
          </cell>
          <cell r="B27" t="str">
            <v>Trần Văn</v>
          </cell>
          <cell r="C27" t="str">
            <v>Nên</v>
          </cell>
          <cell r="D27">
            <v>133</v>
          </cell>
          <cell r="E27">
            <v>133</v>
          </cell>
          <cell r="F27">
            <v>432.7</v>
          </cell>
          <cell r="G27">
            <v>432.7</v>
          </cell>
          <cell r="H27">
            <v>0</v>
          </cell>
          <cell r="I27">
            <v>0</v>
          </cell>
          <cell r="J27">
            <v>0</v>
          </cell>
          <cell r="K27">
            <v>432.7</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A28" t="str">
            <v>BTY03</v>
          </cell>
          <cell r="B28" t="str">
            <v>Đinh Phương</v>
          </cell>
          <cell r="C28" t="str">
            <v>Nam</v>
          </cell>
          <cell r="D28">
            <v>133</v>
          </cell>
          <cell r="E28">
            <v>133</v>
          </cell>
          <cell r="F28">
            <v>477.7</v>
          </cell>
          <cell r="G28">
            <v>477.7</v>
          </cell>
          <cell r="H28">
            <v>0</v>
          </cell>
          <cell r="I28">
            <v>0</v>
          </cell>
          <cell r="J28">
            <v>0</v>
          </cell>
          <cell r="K28">
            <v>432.7</v>
          </cell>
          <cell r="L28">
            <v>0</v>
          </cell>
          <cell r="M28">
            <v>0</v>
          </cell>
          <cell r="N28">
            <v>0</v>
          </cell>
          <cell r="O28">
            <v>45</v>
          </cell>
          <cell r="P28">
            <v>0</v>
          </cell>
          <cell r="Q28">
            <v>0</v>
          </cell>
          <cell r="R28">
            <v>0</v>
          </cell>
          <cell r="S28">
            <v>0</v>
          </cell>
          <cell r="T28">
            <v>0</v>
          </cell>
          <cell r="U28">
            <v>0</v>
          </cell>
          <cell r="V28">
            <v>0</v>
          </cell>
          <cell r="W28">
            <v>0</v>
          </cell>
          <cell r="X28">
            <v>0</v>
          </cell>
          <cell r="Y28">
            <v>0</v>
          </cell>
          <cell r="Z28">
            <v>0</v>
          </cell>
        </row>
        <row r="29">
          <cell r="A29" t="str">
            <v>CCN02</v>
          </cell>
          <cell r="B29" t="str">
            <v>Vũ Đình</v>
          </cell>
          <cell r="C29" t="str">
            <v>Chính</v>
          </cell>
          <cell r="D29">
            <v>40</v>
          </cell>
          <cell r="E29">
            <v>40</v>
          </cell>
          <cell r="F29">
            <v>313</v>
          </cell>
          <cell r="G29">
            <v>373.9</v>
          </cell>
          <cell r="H29">
            <v>0</v>
          </cell>
          <cell r="I29">
            <v>22.7</v>
          </cell>
          <cell r="J29">
            <v>9.1</v>
          </cell>
          <cell r="K29">
            <v>0</v>
          </cell>
          <cell r="L29">
            <v>0</v>
          </cell>
          <cell r="M29">
            <v>80.5</v>
          </cell>
          <cell r="N29">
            <v>0</v>
          </cell>
          <cell r="O29">
            <v>72</v>
          </cell>
          <cell r="P29">
            <v>0</v>
          </cell>
          <cell r="Q29">
            <v>0</v>
          </cell>
          <cell r="R29">
            <v>0</v>
          </cell>
          <cell r="S29">
            <v>60</v>
          </cell>
          <cell r="T29">
            <v>45</v>
          </cell>
          <cell r="U29">
            <v>3.2</v>
          </cell>
          <cell r="V29">
            <v>0</v>
          </cell>
          <cell r="W29">
            <v>1.4</v>
          </cell>
          <cell r="X29">
            <v>80</v>
          </cell>
          <cell r="Y29">
            <v>0</v>
          </cell>
          <cell r="Z29">
            <v>0</v>
          </cell>
        </row>
        <row r="30">
          <cell r="A30" t="str">
            <v>CCN03</v>
          </cell>
          <cell r="B30" t="str">
            <v>Nguyễn Thị Thanh</v>
          </cell>
          <cell r="C30" t="str">
            <v>Hải</v>
          </cell>
          <cell r="D30">
            <v>20</v>
          </cell>
          <cell r="E30">
            <v>20</v>
          </cell>
          <cell r="F30">
            <v>120</v>
          </cell>
          <cell r="G30">
            <v>125.2</v>
          </cell>
          <cell r="H30">
            <v>0</v>
          </cell>
          <cell r="I30">
            <v>5.0999999999999996</v>
          </cell>
          <cell r="J30">
            <v>2.1</v>
          </cell>
          <cell r="K30">
            <v>0</v>
          </cell>
          <cell r="L30">
            <v>0</v>
          </cell>
          <cell r="M30">
            <v>22</v>
          </cell>
          <cell r="N30">
            <v>0</v>
          </cell>
          <cell r="O30">
            <v>16</v>
          </cell>
          <cell r="P30">
            <v>0</v>
          </cell>
          <cell r="Q30">
            <v>0</v>
          </cell>
          <cell r="R30">
            <v>0</v>
          </cell>
          <cell r="S30">
            <v>80</v>
          </cell>
          <cell r="T30">
            <v>0</v>
          </cell>
          <cell r="U30">
            <v>0</v>
          </cell>
          <cell r="V30">
            <v>0</v>
          </cell>
          <cell r="W30">
            <v>0</v>
          </cell>
          <cell r="X30">
            <v>0</v>
          </cell>
          <cell r="Y30">
            <v>0</v>
          </cell>
          <cell r="Z30">
            <v>0</v>
          </cell>
        </row>
        <row r="31">
          <cell r="A31" t="str">
            <v>CCN04</v>
          </cell>
          <cell r="B31" t="str">
            <v>Vũ Ngọc</v>
          </cell>
          <cell r="C31" t="str">
            <v>Thắng</v>
          </cell>
          <cell r="D31">
            <v>40</v>
          </cell>
          <cell r="E31">
            <v>40</v>
          </cell>
          <cell r="F31">
            <v>312</v>
          </cell>
          <cell r="G31">
            <v>376.1</v>
          </cell>
          <cell r="H31">
            <v>0</v>
          </cell>
          <cell r="I31">
            <v>26.3</v>
          </cell>
          <cell r="J31">
            <v>10.5</v>
          </cell>
          <cell r="K31">
            <v>0</v>
          </cell>
          <cell r="L31">
            <v>0</v>
          </cell>
          <cell r="M31">
            <v>83</v>
          </cell>
          <cell r="N31">
            <v>0</v>
          </cell>
          <cell r="O31">
            <v>96</v>
          </cell>
          <cell r="P31">
            <v>0</v>
          </cell>
          <cell r="Q31">
            <v>0</v>
          </cell>
          <cell r="R31">
            <v>0</v>
          </cell>
          <cell r="S31">
            <v>100</v>
          </cell>
          <cell r="T31">
            <v>18</v>
          </cell>
          <cell r="U31">
            <v>1.6</v>
          </cell>
          <cell r="V31">
            <v>0</v>
          </cell>
          <cell r="W31">
            <v>0.7</v>
          </cell>
          <cell r="X31">
            <v>40</v>
          </cell>
          <cell r="Y31">
            <v>0</v>
          </cell>
          <cell r="Z31">
            <v>0</v>
          </cell>
        </row>
        <row r="32">
          <cell r="A32" t="str">
            <v>CCN10</v>
          </cell>
          <cell r="B32" t="str">
            <v>Ninh Thị</v>
          </cell>
          <cell r="C32" t="str">
            <v>Phíp</v>
          </cell>
          <cell r="D32">
            <v>20</v>
          </cell>
          <cell r="E32">
            <v>20</v>
          </cell>
          <cell r="F32">
            <v>530</v>
          </cell>
          <cell r="G32">
            <v>600.20000000000005</v>
          </cell>
          <cell r="H32">
            <v>0</v>
          </cell>
          <cell r="I32">
            <v>24.8</v>
          </cell>
          <cell r="J32">
            <v>10</v>
          </cell>
          <cell r="K32">
            <v>0</v>
          </cell>
          <cell r="L32">
            <v>0</v>
          </cell>
          <cell r="M32">
            <v>98.5</v>
          </cell>
          <cell r="N32">
            <v>0</v>
          </cell>
          <cell r="O32">
            <v>76</v>
          </cell>
          <cell r="P32">
            <v>0</v>
          </cell>
          <cell r="Q32">
            <v>0</v>
          </cell>
          <cell r="R32">
            <v>0</v>
          </cell>
          <cell r="S32">
            <v>180</v>
          </cell>
          <cell r="T32">
            <v>54</v>
          </cell>
          <cell r="U32">
            <v>4.9000000000000004</v>
          </cell>
          <cell r="V32">
            <v>0</v>
          </cell>
          <cell r="W32">
            <v>2</v>
          </cell>
          <cell r="X32">
            <v>80</v>
          </cell>
          <cell r="Y32">
            <v>0</v>
          </cell>
          <cell r="Z32">
            <v>70</v>
          </cell>
        </row>
        <row r="33">
          <cell r="A33" t="str">
            <v>CCN11</v>
          </cell>
          <cell r="B33" t="str">
            <v>Bùi Thế</v>
          </cell>
          <cell r="C33" t="str">
            <v>Khuynh</v>
          </cell>
          <cell r="D33">
            <v>40</v>
          </cell>
          <cell r="E33">
            <v>40</v>
          </cell>
          <cell r="F33">
            <v>176</v>
          </cell>
          <cell r="G33">
            <v>193.8</v>
          </cell>
          <cell r="H33">
            <v>0</v>
          </cell>
          <cell r="I33">
            <v>14.4</v>
          </cell>
          <cell r="J33">
            <v>5.8</v>
          </cell>
          <cell r="K33">
            <v>0</v>
          </cell>
          <cell r="L33">
            <v>0</v>
          </cell>
          <cell r="M33">
            <v>61.6</v>
          </cell>
          <cell r="N33">
            <v>0</v>
          </cell>
          <cell r="O33">
            <v>32</v>
          </cell>
          <cell r="P33">
            <v>0</v>
          </cell>
          <cell r="Q33">
            <v>0</v>
          </cell>
          <cell r="R33">
            <v>0</v>
          </cell>
          <cell r="S33">
            <v>80</v>
          </cell>
          <cell r="T33">
            <v>0</v>
          </cell>
          <cell r="U33">
            <v>0</v>
          </cell>
          <cell r="V33">
            <v>0</v>
          </cell>
          <cell r="W33">
            <v>0</v>
          </cell>
          <cell r="X33">
            <v>0</v>
          </cell>
          <cell r="Y33">
            <v>0</v>
          </cell>
          <cell r="Z33">
            <v>0</v>
          </cell>
        </row>
        <row r="34">
          <cell r="A34" t="str">
            <v>CHO02</v>
          </cell>
          <cell r="B34" t="str">
            <v>Nguyễn Chung</v>
          </cell>
          <cell r="C34" t="str">
            <v>Thông</v>
          </cell>
          <cell r="D34">
            <v>1</v>
          </cell>
          <cell r="E34">
            <v>2.8</v>
          </cell>
          <cell r="F34">
            <v>129</v>
          </cell>
          <cell r="G34">
            <v>138.80000000000001</v>
          </cell>
          <cell r="H34">
            <v>0</v>
          </cell>
          <cell r="I34">
            <v>14.1</v>
          </cell>
          <cell r="J34">
            <v>4.7</v>
          </cell>
          <cell r="K34">
            <v>0</v>
          </cell>
          <cell r="L34">
            <v>0</v>
          </cell>
          <cell r="M34">
            <v>105</v>
          </cell>
          <cell r="N34">
            <v>0</v>
          </cell>
          <cell r="O34">
            <v>15</v>
          </cell>
          <cell r="P34">
            <v>0</v>
          </cell>
          <cell r="Q34">
            <v>0</v>
          </cell>
          <cell r="R34">
            <v>0</v>
          </cell>
          <cell r="S34">
            <v>0</v>
          </cell>
          <cell r="T34">
            <v>0</v>
          </cell>
          <cell r="U34">
            <v>0</v>
          </cell>
          <cell r="V34">
            <v>0</v>
          </cell>
          <cell r="W34">
            <v>0</v>
          </cell>
          <cell r="X34">
            <v>0</v>
          </cell>
          <cell r="Y34">
            <v>0</v>
          </cell>
          <cell r="Z34">
            <v>0</v>
          </cell>
        </row>
        <row r="35">
          <cell r="A35" t="str">
            <v>CHO03</v>
          </cell>
          <cell r="B35" t="str">
            <v>Lương Văn</v>
          </cell>
          <cell r="C35" t="str">
            <v>Vượt</v>
          </cell>
          <cell r="D35">
            <v>1</v>
          </cell>
          <cell r="E35">
            <v>3.6</v>
          </cell>
          <cell r="F35">
            <v>175</v>
          </cell>
          <cell r="G35">
            <v>185.4</v>
          </cell>
          <cell r="H35">
            <v>0</v>
          </cell>
          <cell r="I35">
            <v>14.5</v>
          </cell>
          <cell r="J35">
            <v>5.9</v>
          </cell>
          <cell r="K35">
            <v>0</v>
          </cell>
          <cell r="L35">
            <v>0</v>
          </cell>
          <cell r="M35">
            <v>165</v>
          </cell>
          <cell r="N35">
            <v>0</v>
          </cell>
          <cell r="O35">
            <v>0</v>
          </cell>
          <cell r="P35">
            <v>0</v>
          </cell>
          <cell r="Q35">
            <v>0</v>
          </cell>
          <cell r="R35">
            <v>0</v>
          </cell>
          <cell r="S35">
            <v>0</v>
          </cell>
          <cell r="T35">
            <v>0</v>
          </cell>
          <cell r="U35">
            <v>0</v>
          </cell>
          <cell r="V35">
            <v>0</v>
          </cell>
          <cell r="W35">
            <v>0</v>
          </cell>
          <cell r="X35">
            <v>0</v>
          </cell>
          <cell r="Y35">
            <v>0</v>
          </cell>
          <cell r="Z35">
            <v>0</v>
          </cell>
        </row>
        <row r="36">
          <cell r="A36" t="str">
            <v>CHO04</v>
          </cell>
          <cell r="B36" t="str">
            <v>Dương Thành</v>
          </cell>
          <cell r="C36" t="str">
            <v>Huân</v>
          </cell>
          <cell r="D36">
            <v>45</v>
          </cell>
          <cell r="E36">
            <v>45</v>
          </cell>
          <cell r="F36">
            <v>205</v>
          </cell>
          <cell r="G36">
            <v>221.3</v>
          </cell>
          <cell r="H36">
            <v>0</v>
          </cell>
          <cell r="I36">
            <v>9.1</v>
          </cell>
          <cell r="J36">
            <v>3.7</v>
          </cell>
          <cell r="K36">
            <v>45</v>
          </cell>
          <cell r="L36">
            <v>0</v>
          </cell>
          <cell r="M36">
            <v>163.5</v>
          </cell>
          <cell r="N36">
            <v>0</v>
          </cell>
          <cell r="O36">
            <v>0</v>
          </cell>
          <cell r="P36">
            <v>0</v>
          </cell>
          <cell r="Q36">
            <v>0</v>
          </cell>
          <cell r="R36">
            <v>0</v>
          </cell>
          <cell r="S36">
            <v>0</v>
          </cell>
          <cell r="T36">
            <v>0</v>
          </cell>
          <cell r="U36">
            <v>0</v>
          </cell>
          <cell r="V36">
            <v>0</v>
          </cell>
          <cell r="W36">
            <v>0</v>
          </cell>
          <cell r="X36">
            <v>0</v>
          </cell>
          <cell r="Y36">
            <v>0</v>
          </cell>
          <cell r="Z36">
            <v>0</v>
          </cell>
        </row>
        <row r="37">
          <cell r="A37" t="str">
            <v>CHO08</v>
          </cell>
          <cell r="B37" t="str">
            <v>Lê Minh</v>
          </cell>
          <cell r="C37" t="str">
            <v>Lư</v>
          </cell>
          <cell r="D37">
            <v>10</v>
          </cell>
          <cell r="E37">
            <v>10</v>
          </cell>
          <cell r="F37">
            <v>252</v>
          </cell>
          <cell r="G37">
            <v>280.39999999999998</v>
          </cell>
          <cell r="H37">
            <v>0</v>
          </cell>
          <cell r="I37">
            <v>15.8</v>
          </cell>
          <cell r="J37">
            <v>6.6</v>
          </cell>
          <cell r="K37">
            <v>0</v>
          </cell>
          <cell r="L37">
            <v>0</v>
          </cell>
          <cell r="M37">
            <v>228</v>
          </cell>
          <cell r="N37">
            <v>0</v>
          </cell>
          <cell r="O37">
            <v>0</v>
          </cell>
          <cell r="P37">
            <v>0</v>
          </cell>
          <cell r="Q37">
            <v>0</v>
          </cell>
          <cell r="R37">
            <v>0</v>
          </cell>
          <cell r="S37">
            <v>0</v>
          </cell>
          <cell r="T37">
            <v>0</v>
          </cell>
          <cell r="U37">
            <v>0</v>
          </cell>
          <cell r="V37">
            <v>0</v>
          </cell>
          <cell r="W37">
            <v>0</v>
          </cell>
          <cell r="X37">
            <v>0</v>
          </cell>
          <cell r="Y37">
            <v>0</v>
          </cell>
          <cell r="Z37">
            <v>30</v>
          </cell>
        </row>
        <row r="38">
          <cell r="A38" t="str">
            <v>CHO14</v>
          </cell>
          <cell r="B38" t="str">
            <v>Nguyễn Xuân</v>
          </cell>
          <cell r="C38" t="str">
            <v>Thiết</v>
          </cell>
          <cell r="D38">
            <v>10</v>
          </cell>
          <cell r="E38">
            <v>10</v>
          </cell>
          <cell r="F38">
            <v>215</v>
          </cell>
          <cell r="G38">
            <v>221.5</v>
          </cell>
          <cell r="H38">
            <v>0</v>
          </cell>
          <cell r="I38">
            <v>11.7</v>
          </cell>
          <cell r="J38">
            <v>4.8</v>
          </cell>
          <cell r="K38">
            <v>0</v>
          </cell>
          <cell r="L38">
            <v>0</v>
          </cell>
          <cell r="M38">
            <v>195</v>
          </cell>
          <cell r="N38">
            <v>0</v>
          </cell>
          <cell r="O38">
            <v>0</v>
          </cell>
          <cell r="P38">
            <v>0</v>
          </cell>
          <cell r="Q38">
            <v>0</v>
          </cell>
          <cell r="R38">
            <v>0</v>
          </cell>
          <cell r="S38">
            <v>0</v>
          </cell>
          <cell r="T38">
            <v>0</v>
          </cell>
          <cell r="U38">
            <v>0</v>
          </cell>
          <cell r="V38">
            <v>0</v>
          </cell>
          <cell r="W38">
            <v>0</v>
          </cell>
          <cell r="X38">
            <v>0</v>
          </cell>
          <cell r="Y38">
            <v>0</v>
          </cell>
          <cell r="Z38">
            <v>10</v>
          </cell>
        </row>
        <row r="39">
          <cell r="A39" t="str">
            <v>CHO16</v>
          </cell>
          <cell r="B39" t="str">
            <v>Nguyễn Thị Hạnh</v>
          </cell>
          <cell r="C39" t="str">
            <v>Nguyên</v>
          </cell>
          <cell r="D39">
            <v>1</v>
          </cell>
          <cell r="E39">
            <v>12</v>
          </cell>
          <cell r="F39">
            <v>190</v>
          </cell>
          <cell r="G39">
            <v>306.10000000000002</v>
          </cell>
          <cell r="H39">
            <v>0</v>
          </cell>
          <cell r="I39">
            <v>50.1</v>
          </cell>
          <cell r="J39">
            <v>20.100000000000001</v>
          </cell>
          <cell r="K39">
            <v>0</v>
          </cell>
          <cell r="L39">
            <v>0</v>
          </cell>
          <cell r="M39">
            <v>220.9</v>
          </cell>
          <cell r="N39">
            <v>0</v>
          </cell>
          <cell r="O39">
            <v>15</v>
          </cell>
          <cell r="P39">
            <v>0</v>
          </cell>
          <cell r="Q39">
            <v>0</v>
          </cell>
          <cell r="R39">
            <v>0</v>
          </cell>
          <cell r="S39">
            <v>0</v>
          </cell>
          <cell r="T39">
            <v>0</v>
          </cell>
          <cell r="U39">
            <v>0</v>
          </cell>
          <cell r="V39">
            <v>0</v>
          </cell>
          <cell r="W39">
            <v>0</v>
          </cell>
          <cell r="X39">
            <v>0</v>
          </cell>
          <cell r="Y39">
            <v>0</v>
          </cell>
          <cell r="Z39">
            <v>0</v>
          </cell>
        </row>
        <row r="40">
          <cell r="A40" t="str">
            <v>CLT02</v>
          </cell>
          <cell r="B40" t="str">
            <v>Tăng Thị</v>
          </cell>
          <cell r="C40" t="str">
            <v>Hạnh</v>
          </cell>
          <cell r="D40">
            <v>40</v>
          </cell>
          <cell r="E40">
            <v>40</v>
          </cell>
          <cell r="F40">
            <v>284</v>
          </cell>
          <cell r="G40">
            <v>358.9</v>
          </cell>
          <cell r="H40">
            <v>0</v>
          </cell>
          <cell r="I40">
            <v>22.5</v>
          </cell>
          <cell r="J40">
            <v>9</v>
          </cell>
          <cell r="K40">
            <v>0</v>
          </cell>
          <cell r="L40">
            <v>0</v>
          </cell>
          <cell r="M40">
            <v>87.3</v>
          </cell>
          <cell r="N40">
            <v>0</v>
          </cell>
          <cell r="O40">
            <v>16</v>
          </cell>
          <cell r="P40">
            <v>0</v>
          </cell>
          <cell r="Q40">
            <v>0</v>
          </cell>
          <cell r="R40">
            <v>0</v>
          </cell>
          <cell r="S40">
            <v>134</v>
          </cell>
          <cell r="T40">
            <v>45</v>
          </cell>
          <cell r="U40">
            <v>3.6</v>
          </cell>
          <cell r="V40">
            <v>0</v>
          </cell>
          <cell r="W40">
            <v>1.5</v>
          </cell>
          <cell r="X40">
            <v>40</v>
          </cell>
          <cell r="Y40">
            <v>0</v>
          </cell>
          <cell r="Z40">
            <v>0</v>
          </cell>
        </row>
        <row r="41">
          <cell r="A41" t="str">
            <v>CLT04</v>
          </cell>
          <cell r="B41" t="str">
            <v>Nguyễn Thế</v>
          </cell>
          <cell r="C41" t="str">
            <v>Hùng</v>
          </cell>
          <cell r="D41">
            <v>40</v>
          </cell>
          <cell r="E41">
            <v>40</v>
          </cell>
          <cell r="F41">
            <v>333</v>
          </cell>
          <cell r="G41">
            <v>398.3</v>
          </cell>
          <cell r="H41">
            <v>0</v>
          </cell>
          <cell r="I41">
            <v>18.7</v>
          </cell>
          <cell r="J41">
            <v>7.6</v>
          </cell>
          <cell r="K41">
            <v>0</v>
          </cell>
          <cell r="L41">
            <v>0</v>
          </cell>
          <cell r="M41">
            <v>76.3</v>
          </cell>
          <cell r="N41">
            <v>0</v>
          </cell>
          <cell r="O41">
            <v>62</v>
          </cell>
          <cell r="P41">
            <v>0</v>
          </cell>
          <cell r="Q41">
            <v>0</v>
          </cell>
          <cell r="R41">
            <v>0</v>
          </cell>
          <cell r="S41">
            <v>134</v>
          </cell>
          <cell r="T41">
            <v>54</v>
          </cell>
          <cell r="U41">
            <v>4</v>
          </cell>
          <cell r="V41">
            <v>0</v>
          </cell>
          <cell r="W41">
            <v>1.7</v>
          </cell>
          <cell r="X41">
            <v>40</v>
          </cell>
          <cell r="Y41">
            <v>0</v>
          </cell>
          <cell r="Z41">
            <v>0</v>
          </cell>
        </row>
        <row r="42">
          <cell r="A42" t="str">
            <v>CLT05</v>
          </cell>
          <cell r="B42" t="str">
            <v>Nguyễn Việt</v>
          </cell>
          <cell r="C42" t="str">
            <v>Long</v>
          </cell>
          <cell r="D42">
            <v>40</v>
          </cell>
          <cell r="E42">
            <v>40</v>
          </cell>
          <cell r="F42">
            <v>268</v>
          </cell>
          <cell r="G42">
            <v>331.1</v>
          </cell>
          <cell r="H42">
            <v>0</v>
          </cell>
          <cell r="I42">
            <v>17.3</v>
          </cell>
          <cell r="J42">
            <v>6.9</v>
          </cell>
          <cell r="K42">
            <v>0</v>
          </cell>
          <cell r="L42">
            <v>0</v>
          </cell>
          <cell r="M42">
            <v>95.6</v>
          </cell>
          <cell r="N42">
            <v>0</v>
          </cell>
          <cell r="O42">
            <v>8</v>
          </cell>
          <cell r="P42">
            <v>0</v>
          </cell>
          <cell r="Q42">
            <v>0</v>
          </cell>
          <cell r="R42">
            <v>0</v>
          </cell>
          <cell r="S42">
            <v>140</v>
          </cell>
          <cell r="T42">
            <v>9</v>
          </cell>
          <cell r="U42">
            <v>1.6</v>
          </cell>
          <cell r="V42">
            <v>0</v>
          </cell>
          <cell r="W42">
            <v>0.7</v>
          </cell>
          <cell r="X42">
            <v>52</v>
          </cell>
          <cell r="Y42">
            <v>0</v>
          </cell>
          <cell r="Z42">
            <v>0</v>
          </cell>
        </row>
        <row r="43">
          <cell r="A43" t="str">
            <v>CLT08</v>
          </cell>
          <cell r="B43" t="str">
            <v>Phạm Văn</v>
          </cell>
          <cell r="C43" t="str">
            <v>Cường</v>
          </cell>
          <cell r="D43">
            <v>20</v>
          </cell>
          <cell r="E43">
            <v>20</v>
          </cell>
          <cell r="F43">
            <v>243</v>
          </cell>
          <cell r="G43">
            <v>261.2</v>
          </cell>
          <cell r="H43">
            <v>0</v>
          </cell>
          <cell r="I43">
            <v>6.3</v>
          </cell>
          <cell r="J43">
            <v>2.5</v>
          </cell>
          <cell r="K43">
            <v>0</v>
          </cell>
          <cell r="L43">
            <v>0</v>
          </cell>
          <cell r="M43">
            <v>22</v>
          </cell>
          <cell r="N43">
            <v>0</v>
          </cell>
          <cell r="O43">
            <v>0</v>
          </cell>
          <cell r="P43">
            <v>0</v>
          </cell>
          <cell r="Q43">
            <v>0</v>
          </cell>
          <cell r="R43">
            <v>0</v>
          </cell>
          <cell r="S43">
            <v>114</v>
          </cell>
          <cell r="T43">
            <v>27</v>
          </cell>
          <cell r="U43">
            <v>1</v>
          </cell>
          <cell r="V43">
            <v>0</v>
          </cell>
          <cell r="W43">
            <v>0.4</v>
          </cell>
          <cell r="X43">
            <v>68</v>
          </cell>
          <cell r="Y43">
            <v>0</v>
          </cell>
          <cell r="Z43">
            <v>20</v>
          </cell>
        </row>
        <row r="44">
          <cell r="A44" t="str">
            <v>CLT11</v>
          </cell>
          <cell r="B44" t="str">
            <v>Nguyễn Văn</v>
          </cell>
          <cell r="C44" t="str">
            <v>Lộc</v>
          </cell>
          <cell r="D44">
            <v>60</v>
          </cell>
          <cell r="E44">
            <v>60</v>
          </cell>
          <cell r="F44">
            <v>279</v>
          </cell>
          <cell r="G44">
            <v>352.6</v>
          </cell>
          <cell r="H44">
            <v>0</v>
          </cell>
          <cell r="I44">
            <v>27.8</v>
          </cell>
          <cell r="J44">
            <v>11.2</v>
          </cell>
          <cell r="K44">
            <v>60</v>
          </cell>
          <cell r="L44">
            <v>0</v>
          </cell>
          <cell r="M44">
            <v>103.6</v>
          </cell>
          <cell r="N44">
            <v>0</v>
          </cell>
          <cell r="O44">
            <v>56</v>
          </cell>
          <cell r="P44">
            <v>0</v>
          </cell>
          <cell r="Q44">
            <v>0</v>
          </cell>
          <cell r="R44">
            <v>0</v>
          </cell>
          <cell r="S44">
            <v>94</v>
          </cell>
          <cell r="T44">
            <v>0</v>
          </cell>
          <cell r="U44">
            <v>0</v>
          </cell>
          <cell r="V44">
            <v>0</v>
          </cell>
          <cell r="W44">
            <v>0</v>
          </cell>
          <cell r="X44">
            <v>0</v>
          </cell>
          <cell r="Y44">
            <v>0</v>
          </cell>
          <cell r="Z44">
            <v>0</v>
          </cell>
        </row>
        <row r="45">
          <cell r="A45" t="str">
            <v>CLT12</v>
          </cell>
          <cell r="B45" t="str">
            <v>Phan Thị Hồng</v>
          </cell>
          <cell r="C45" t="str">
            <v>Nhung</v>
          </cell>
          <cell r="D45">
            <v>14</v>
          </cell>
          <cell r="E45">
            <v>14</v>
          </cell>
          <cell r="F45">
            <v>14</v>
          </cell>
          <cell r="G45">
            <v>14</v>
          </cell>
          <cell r="H45">
            <v>0</v>
          </cell>
          <cell r="I45">
            <v>0</v>
          </cell>
          <cell r="J45">
            <v>0</v>
          </cell>
          <cell r="K45">
            <v>0</v>
          </cell>
          <cell r="L45">
            <v>0</v>
          </cell>
          <cell r="M45">
            <v>0</v>
          </cell>
          <cell r="N45">
            <v>0</v>
          </cell>
          <cell r="O45">
            <v>0</v>
          </cell>
          <cell r="P45">
            <v>0</v>
          </cell>
          <cell r="Q45">
            <v>0</v>
          </cell>
          <cell r="R45">
            <v>0</v>
          </cell>
          <cell r="S45">
            <v>14</v>
          </cell>
          <cell r="T45">
            <v>0</v>
          </cell>
          <cell r="U45">
            <v>0</v>
          </cell>
          <cell r="V45">
            <v>0</v>
          </cell>
          <cell r="W45">
            <v>0</v>
          </cell>
          <cell r="X45">
            <v>0</v>
          </cell>
          <cell r="Y45">
            <v>0</v>
          </cell>
          <cell r="Z45">
            <v>0</v>
          </cell>
        </row>
        <row r="46">
          <cell r="A46" t="str">
            <v>CMT05</v>
          </cell>
          <cell r="B46" t="str">
            <v>Trịnh Quang</v>
          </cell>
          <cell r="C46" t="str">
            <v>Huy</v>
          </cell>
          <cell r="D46">
            <v>40</v>
          </cell>
          <cell r="E46">
            <v>40</v>
          </cell>
          <cell r="F46">
            <v>481</v>
          </cell>
          <cell r="G46">
            <v>642.5</v>
          </cell>
          <cell r="H46">
            <v>0</v>
          </cell>
          <cell r="I46">
            <v>21.2</v>
          </cell>
          <cell r="J46">
            <v>0</v>
          </cell>
          <cell r="K46">
            <v>0</v>
          </cell>
          <cell r="L46">
            <v>0</v>
          </cell>
          <cell r="M46">
            <v>0</v>
          </cell>
          <cell r="N46">
            <v>0</v>
          </cell>
          <cell r="O46">
            <v>105</v>
          </cell>
          <cell r="P46">
            <v>0</v>
          </cell>
          <cell r="Q46">
            <v>0</v>
          </cell>
          <cell r="R46">
            <v>0</v>
          </cell>
          <cell r="S46">
            <v>60</v>
          </cell>
          <cell r="T46">
            <v>324</v>
          </cell>
          <cell r="U46">
            <v>9.4</v>
          </cell>
          <cell r="V46">
            <v>0</v>
          </cell>
          <cell r="W46">
            <v>2.9</v>
          </cell>
          <cell r="X46">
            <v>120</v>
          </cell>
          <cell r="Y46">
            <v>0</v>
          </cell>
          <cell r="Z46">
            <v>0</v>
          </cell>
        </row>
        <row r="47">
          <cell r="A47" t="str">
            <v>CMT06</v>
          </cell>
          <cell r="B47" t="str">
            <v>Lý Thị Thu</v>
          </cell>
          <cell r="C47" t="str">
            <v>Hà</v>
          </cell>
          <cell r="D47">
            <v>26.4</v>
          </cell>
          <cell r="E47">
            <v>26.4</v>
          </cell>
          <cell r="F47">
            <v>210.4</v>
          </cell>
          <cell r="G47">
            <v>244.4</v>
          </cell>
          <cell r="H47">
            <v>0</v>
          </cell>
          <cell r="I47">
            <v>29.5</v>
          </cell>
          <cell r="J47">
            <v>6</v>
          </cell>
          <cell r="K47">
            <v>26.4</v>
          </cell>
          <cell r="L47">
            <v>0</v>
          </cell>
          <cell r="M47">
            <v>60</v>
          </cell>
          <cell r="N47">
            <v>0</v>
          </cell>
          <cell r="O47">
            <v>82.5</v>
          </cell>
          <cell r="P47">
            <v>0</v>
          </cell>
          <cell r="Q47">
            <v>0</v>
          </cell>
          <cell r="R47">
            <v>0</v>
          </cell>
          <cell r="S47">
            <v>40</v>
          </cell>
          <cell r="T47">
            <v>0</v>
          </cell>
          <cell r="U47">
            <v>0</v>
          </cell>
          <cell r="V47">
            <v>0</v>
          </cell>
          <cell r="W47">
            <v>0</v>
          </cell>
          <cell r="X47">
            <v>0</v>
          </cell>
          <cell r="Y47">
            <v>0</v>
          </cell>
          <cell r="Z47">
            <v>0</v>
          </cell>
        </row>
        <row r="48">
          <cell r="A48" t="str">
            <v>CMT07</v>
          </cell>
          <cell r="B48" t="str">
            <v>Phạm Châu</v>
          </cell>
          <cell r="C48" t="str">
            <v>Thùy</v>
          </cell>
          <cell r="D48">
            <v>26.4</v>
          </cell>
          <cell r="E48">
            <v>26.4</v>
          </cell>
          <cell r="F48">
            <v>270.39999999999998</v>
          </cell>
          <cell r="G48">
            <v>291.8</v>
          </cell>
          <cell r="H48">
            <v>0</v>
          </cell>
          <cell r="I48">
            <v>25.4</v>
          </cell>
          <cell r="J48">
            <v>0</v>
          </cell>
          <cell r="K48">
            <v>26.4</v>
          </cell>
          <cell r="L48">
            <v>0</v>
          </cell>
          <cell r="M48">
            <v>0</v>
          </cell>
          <cell r="N48">
            <v>0</v>
          </cell>
          <cell r="O48">
            <v>140</v>
          </cell>
          <cell r="P48">
            <v>0</v>
          </cell>
          <cell r="Q48">
            <v>0</v>
          </cell>
          <cell r="R48">
            <v>0</v>
          </cell>
          <cell r="S48">
            <v>100</v>
          </cell>
          <cell r="T48">
            <v>0</v>
          </cell>
          <cell r="U48">
            <v>0</v>
          </cell>
          <cell r="V48">
            <v>0</v>
          </cell>
          <cell r="W48">
            <v>0</v>
          </cell>
          <cell r="X48">
            <v>0</v>
          </cell>
          <cell r="Y48">
            <v>0</v>
          </cell>
          <cell r="Z48">
            <v>0</v>
          </cell>
        </row>
        <row r="49">
          <cell r="A49" t="str">
            <v>CMT08</v>
          </cell>
          <cell r="B49" t="str">
            <v>Đào Thị Thùy</v>
          </cell>
          <cell r="C49" t="str">
            <v>Linh</v>
          </cell>
          <cell r="D49">
            <v>26.4</v>
          </cell>
          <cell r="E49">
            <v>26.4</v>
          </cell>
          <cell r="F49">
            <v>122.4</v>
          </cell>
          <cell r="G49">
            <v>123.8</v>
          </cell>
          <cell r="H49">
            <v>0</v>
          </cell>
          <cell r="I49">
            <v>2.4</v>
          </cell>
          <cell r="J49">
            <v>0</v>
          </cell>
          <cell r="K49">
            <v>26.4</v>
          </cell>
          <cell r="L49">
            <v>0</v>
          </cell>
          <cell r="M49">
            <v>0</v>
          </cell>
          <cell r="N49">
            <v>0</v>
          </cell>
          <cell r="O49">
            <v>15</v>
          </cell>
          <cell r="P49">
            <v>0</v>
          </cell>
          <cell r="Q49">
            <v>0</v>
          </cell>
          <cell r="R49">
            <v>0</v>
          </cell>
          <cell r="S49">
            <v>80</v>
          </cell>
          <cell r="T49">
            <v>0</v>
          </cell>
          <cell r="U49">
            <v>0</v>
          </cell>
          <cell r="V49">
            <v>0</v>
          </cell>
          <cell r="W49">
            <v>0</v>
          </cell>
          <cell r="X49">
            <v>0</v>
          </cell>
          <cell r="Y49">
            <v>0</v>
          </cell>
          <cell r="Z49">
            <v>0</v>
          </cell>
        </row>
        <row r="50">
          <cell r="A50" t="str">
            <v>CMT10</v>
          </cell>
          <cell r="B50" t="str">
            <v>Nguyễn Thị Thu</v>
          </cell>
          <cell r="C50" t="str">
            <v>Hà B</v>
          </cell>
          <cell r="D50">
            <v>20</v>
          </cell>
          <cell r="E50">
            <v>20</v>
          </cell>
          <cell r="F50">
            <v>252</v>
          </cell>
          <cell r="G50">
            <v>265.2</v>
          </cell>
          <cell r="H50">
            <v>0</v>
          </cell>
          <cell r="I50">
            <v>20.2</v>
          </cell>
          <cell r="J50">
            <v>0</v>
          </cell>
          <cell r="K50">
            <v>0</v>
          </cell>
          <cell r="L50">
            <v>0</v>
          </cell>
          <cell r="M50">
            <v>0</v>
          </cell>
          <cell r="N50">
            <v>0</v>
          </cell>
          <cell r="O50">
            <v>105</v>
          </cell>
          <cell r="P50">
            <v>0</v>
          </cell>
          <cell r="Q50">
            <v>0</v>
          </cell>
          <cell r="R50">
            <v>0</v>
          </cell>
          <cell r="S50">
            <v>140</v>
          </cell>
          <cell r="T50">
            <v>0</v>
          </cell>
          <cell r="U50">
            <v>0</v>
          </cell>
          <cell r="V50">
            <v>0</v>
          </cell>
          <cell r="W50">
            <v>0</v>
          </cell>
          <cell r="X50">
            <v>0</v>
          </cell>
          <cell r="Y50">
            <v>0</v>
          </cell>
          <cell r="Z50">
            <v>0</v>
          </cell>
        </row>
        <row r="51">
          <cell r="A51" t="str">
            <v>CMT11</v>
          </cell>
          <cell r="B51" t="str">
            <v>Hồ Thị Thúy</v>
          </cell>
          <cell r="C51" t="str">
            <v>Hằng</v>
          </cell>
          <cell r="D51">
            <v>20</v>
          </cell>
          <cell r="E51">
            <v>20</v>
          </cell>
          <cell r="F51">
            <v>316</v>
          </cell>
          <cell r="G51">
            <v>363.9</v>
          </cell>
          <cell r="H51">
            <v>0</v>
          </cell>
          <cell r="I51">
            <v>35.6</v>
          </cell>
          <cell r="J51">
            <v>4</v>
          </cell>
          <cell r="K51">
            <v>0</v>
          </cell>
          <cell r="L51">
            <v>0</v>
          </cell>
          <cell r="M51">
            <v>34.299999999999997</v>
          </cell>
          <cell r="N51">
            <v>0</v>
          </cell>
          <cell r="O51">
            <v>150</v>
          </cell>
          <cell r="P51">
            <v>0</v>
          </cell>
          <cell r="Q51">
            <v>0</v>
          </cell>
          <cell r="R51">
            <v>0</v>
          </cell>
          <cell r="S51">
            <v>140</v>
          </cell>
          <cell r="T51">
            <v>0</v>
          </cell>
          <cell r="U51">
            <v>0</v>
          </cell>
          <cell r="V51">
            <v>0</v>
          </cell>
          <cell r="W51">
            <v>0</v>
          </cell>
          <cell r="X51">
            <v>0</v>
          </cell>
          <cell r="Y51">
            <v>0</v>
          </cell>
          <cell r="Z51">
            <v>0</v>
          </cell>
        </row>
        <row r="52">
          <cell r="A52" t="str">
            <v>CNC05</v>
          </cell>
          <cell r="B52" t="str">
            <v>Giang Trung</v>
          </cell>
          <cell r="C52" t="str">
            <v>Khoa</v>
          </cell>
          <cell r="D52">
            <v>20</v>
          </cell>
          <cell r="E52">
            <v>20</v>
          </cell>
          <cell r="F52">
            <v>432</v>
          </cell>
          <cell r="G52">
            <v>545.5</v>
          </cell>
          <cell r="H52">
            <v>0</v>
          </cell>
          <cell r="I52">
            <v>70.5</v>
          </cell>
          <cell r="J52">
            <v>28.3</v>
          </cell>
          <cell r="K52">
            <v>0</v>
          </cell>
          <cell r="L52">
            <v>0</v>
          </cell>
          <cell r="M52">
            <v>228.2</v>
          </cell>
          <cell r="N52">
            <v>0</v>
          </cell>
          <cell r="O52">
            <v>98.5</v>
          </cell>
          <cell r="P52">
            <v>0</v>
          </cell>
          <cell r="Q52">
            <v>0</v>
          </cell>
          <cell r="R52">
            <v>0</v>
          </cell>
          <cell r="S52">
            <v>120</v>
          </cell>
          <cell r="T52">
            <v>0</v>
          </cell>
          <cell r="U52">
            <v>0</v>
          </cell>
          <cell r="V52">
            <v>0</v>
          </cell>
          <cell r="W52">
            <v>0</v>
          </cell>
          <cell r="X52">
            <v>0</v>
          </cell>
          <cell r="Y52">
            <v>0</v>
          </cell>
          <cell r="Z52">
            <v>0</v>
          </cell>
        </row>
        <row r="53">
          <cell r="A53" t="str">
            <v>CNC06</v>
          </cell>
          <cell r="B53" t="str">
            <v>Nguyễn Đức</v>
          </cell>
          <cell r="C53" t="str">
            <v>Doan</v>
          </cell>
          <cell r="D53">
            <v>40</v>
          </cell>
          <cell r="E53">
            <v>40</v>
          </cell>
          <cell r="F53">
            <v>364</v>
          </cell>
          <cell r="G53">
            <v>405.1</v>
          </cell>
          <cell r="H53">
            <v>0</v>
          </cell>
          <cell r="I53">
            <v>9.5</v>
          </cell>
          <cell r="J53">
            <v>3.8</v>
          </cell>
          <cell r="K53">
            <v>0</v>
          </cell>
          <cell r="L53">
            <v>0</v>
          </cell>
          <cell r="M53">
            <v>48.9</v>
          </cell>
          <cell r="N53">
            <v>0</v>
          </cell>
          <cell r="O53">
            <v>79.5</v>
          </cell>
          <cell r="P53">
            <v>0</v>
          </cell>
          <cell r="Q53">
            <v>0</v>
          </cell>
          <cell r="R53">
            <v>0</v>
          </cell>
          <cell r="S53">
            <v>140</v>
          </cell>
          <cell r="T53">
            <v>54</v>
          </cell>
          <cell r="U53">
            <v>1</v>
          </cell>
          <cell r="V53">
            <v>0</v>
          </cell>
          <cell r="W53">
            <v>0.4</v>
          </cell>
          <cell r="X53">
            <v>68</v>
          </cell>
          <cell r="Y53">
            <v>0</v>
          </cell>
          <cell r="Z53">
            <v>0</v>
          </cell>
        </row>
        <row r="54">
          <cell r="A54" t="str">
            <v>CNC09</v>
          </cell>
          <cell r="B54" t="str">
            <v>Trần Thị</v>
          </cell>
          <cell r="C54" t="str">
            <v>Định</v>
          </cell>
          <cell r="D54">
            <v>40</v>
          </cell>
          <cell r="E54">
            <v>40</v>
          </cell>
          <cell r="F54">
            <v>571</v>
          </cell>
          <cell r="G54">
            <v>687.4</v>
          </cell>
          <cell r="H54">
            <v>0</v>
          </cell>
          <cell r="I54">
            <v>41.3</v>
          </cell>
          <cell r="J54">
            <v>16.600000000000001</v>
          </cell>
          <cell r="K54">
            <v>0</v>
          </cell>
          <cell r="L54">
            <v>0</v>
          </cell>
          <cell r="M54">
            <v>169.3</v>
          </cell>
          <cell r="N54">
            <v>0</v>
          </cell>
          <cell r="O54">
            <v>0</v>
          </cell>
          <cell r="P54">
            <v>0</v>
          </cell>
          <cell r="Q54">
            <v>0</v>
          </cell>
          <cell r="R54">
            <v>0</v>
          </cell>
          <cell r="S54">
            <v>260</v>
          </cell>
          <cell r="T54">
            <v>117</v>
          </cell>
          <cell r="U54">
            <v>2.2999999999999998</v>
          </cell>
          <cell r="V54">
            <v>0</v>
          </cell>
          <cell r="W54">
            <v>0.9</v>
          </cell>
          <cell r="X54">
            <v>80</v>
          </cell>
          <cell r="Y54">
            <v>0</v>
          </cell>
          <cell r="Z54">
            <v>0</v>
          </cell>
        </row>
        <row r="55">
          <cell r="A55" t="str">
            <v>CNC10</v>
          </cell>
          <cell r="B55" t="str">
            <v>Trần Thị Thu</v>
          </cell>
          <cell r="C55" t="str">
            <v>Hằng</v>
          </cell>
          <cell r="D55">
            <v>40</v>
          </cell>
          <cell r="E55">
            <v>40</v>
          </cell>
          <cell r="F55">
            <v>352</v>
          </cell>
          <cell r="G55">
            <v>375</v>
          </cell>
          <cell r="H55">
            <v>0</v>
          </cell>
          <cell r="I55">
            <v>34</v>
          </cell>
          <cell r="J55">
            <v>0</v>
          </cell>
          <cell r="K55">
            <v>0</v>
          </cell>
          <cell r="L55">
            <v>0</v>
          </cell>
          <cell r="M55">
            <v>0</v>
          </cell>
          <cell r="N55">
            <v>0</v>
          </cell>
          <cell r="O55">
            <v>181</v>
          </cell>
          <cell r="P55">
            <v>0</v>
          </cell>
          <cell r="Q55">
            <v>0</v>
          </cell>
          <cell r="R55">
            <v>0</v>
          </cell>
          <cell r="S55">
            <v>120</v>
          </cell>
          <cell r="T55">
            <v>0</v>
          </cell>
          <cell r="U55">
            <v>0</v>
          </cell>
          <cell r="V55">
            <v>0</v>
          </cell>
          <cell r="W55">
            <v>0</v>
          </cell>
          <cell r="X55">
            <v>40</v>
          </cell>
          <cell r="Y55">
            <v>0</v>
          </cell>
          <cell r="Z55">
            <v>0</v>
          </cell>
        </row>
        <row r="56">
          <cell r="A56" t="str">
            <v>CNC11</v>
          </cell>
          <cell r="B56" t="str">
            <v>Vũ Quỳnh</v>
          </cell>
          <cell r="C56" t="str">
            <v>Hương</v>
          </cell>
          <cell r="D56">
            <v>20</v>
          </cell>
          <cell r="E56">
            <v>20</v>
          </cell>
          <cell r="F56">
            <v>258</v>
          </cell>
          <cell r="G56">
            <v>267.3</v>
          </cell>
          <cell r="H56">
            <v>0</v>
          </cell>
          <cell r="I56">
            <v>7.7</v>
          </cell>
          <cell r="J56">
            <v>3.1</v>
          </cell>
          <cell r="K56">
            <v>0</v>
          </cell>
          <cell r="L56">
            <v>0</v>
          </cell>
          <cell r="M56">
            <v>30</v>
          </cell>
          <cell r="N56">
            <v>0</v>
          </cell>
          <cell r="O56">
            <v>146.5</v>
          </cell>
          <cell r="P56">
            <v>0</v>
          </cell>
          <cell r="Q56">
            <v>0</v>
          </cell>
          <cell r="R56">
            <v>0</v>
          </cell>
          <cell r="S56">
            <v>80</v>
          </cell>
          <cell r="T56">
            <v>0</v>
          </cell>
          <cell r="U56">
            <v>0</v>
          </cell>
          <cell r="V56">
            <v>0</v>
          </cell>
          <cell r="W56">
            <v>0</v>
          </cell>
          <cell r="X56">
            <v>0</v>
          </cell>
          <cell r="Y56">
            <v>0</v>
          </cell>
          <cell r="Z56">
            <v>0</v>
          </cell>
        </row>
        <row r="57">
          <cell r="A57" t="str">
            <v>CNC12</v>
          </cell>
          <cell r="B57" t="str">
            <v>Đinh Thị</v>
          </cell>
          <cell r="C57" t="str">
            <v>Hiền</v>
          </cell>
          <cell r="D57">
            <v>28</v>
          </cell>
          <cell r="E57">
            <v>28</v>
          </cell>
          <cell r="F57">
            <v>493</v>
          </cell>
          <cell r="G57">
            <v>588.20000000000005</v>
          </cell>
          <cell r="H57">
            <v>0</v>
          </cell>
          <cell r="I57">
            <v>44.7</v>
          </cell>
          <cell r="J57">
            <v>18</v>
          </cell>
          <cell r="K57">
            <v>0</v>
          </cell>
          <cell r="L57">
            <v>0</v>
          </cell>
          <cell r="M57">
            <v>162.6</v>
          </cell>
          <cell r="N57">
            <v>0</v>
          </cell>
          <cell r="O57">
            <v>136.5</v>
          </cell>
          <cell r="P57">
            <v>0</v>
          </cell>
          <cell r="Q57">
            <v>0</v>
          </cell>
          <cell r="R57">
            <v>0</v>
          </cell>
          <cell r="S57">
            <v>170</v>
          </cell>
          <cell r="T57">
            <v>27</v>
          </cell>
          <cell r="U57">
            <v>1</v>
          </cell>
          <cell r="V57">
            <v>0</v>
          </cell>
          <cell r="W57">
            <v>0.4</v>
          </cell>
          <cell r="X57">
            <v>28</v>
          </cell>
          <cell r="Y57">
            <v>0</v>
          </cell>
          <cell r="Z57">
            <v>0</v>
          </cell>
        </row>
        <row r="58">
          <cell r="A58" t="str">
            <v>CNC13</v>
          </cell>
          <cell r="B58" t="str">
            <v>Nguyễn Thị</v>
          </cell>
          <cell r="C58" t="str">
            <v>Quyên</v>
          </cell>
          <cell r="D58">
            <v>20</v>
          </cell>
          <cell r="E58">
            <v>20</v>
          </cell>
          <cell r="F58">
            <v>245.4</v>
          </cell>
          <cell r="G58">
            <v>293.2</v>
          </cell>
          <cell r="H58">
            <v>0</v>
          </cell>
          <cell r="I58">
            <v>26.4</v>
          </cell>
          <cell r="J58">
            <v>7.3</v>
          </cell>
          <cell r="K58">
            <v>50.4</v>
          </cell>
          <cell r="L58">
            <v>0</v>
          </cell>
          <cell r="M58">
            <v>68.599999999999994</v>
          </cell>
          <cell r="N58">
            <v>0</v>
          </cell>
          <cell r="O58">
            <v>80.5</v>
          </cell>
          <cell r="P58">
            <v>0</v>
          </cell>
          <cell r="Q58">
            <v>0</v>
          </cell>
          <cell r="R58">
            <v>0</v>
          </cell>
          <cell r="S58">
            <v>60</v>
          </cell>
          <cell r="T58">
            <v>0</v>
          </cell>
          <cell r="U58">
            <v>0</v>
          </cell>
          <cell r="V58">
            <v>0</v>
          </cell>
          <cell r="W58">
            <v>0</v>
          </cell>
          <cell r="X58">
            <v>0</v>
          </cell>
          <cell r="Y58">
            <v>0</v>
          </cell>
          <cell r="Z58">
            <v>0</v>
          </cell>
        </row>
        <row r="59">
          <cell r="A59" t="str">
            <v>CNK06</v>
          </cell>
          <cell r="B59" t="str">
            <v>Hoàng Anh</v>
          </cell>
          <cell r="C59" t="str">
            <v>Tuấn</v>
          </cell>
          <cell r="D59">
            <v>38.299999999999997</v>
          </cell>
          <cell r="E59">
            <v>38.299999999999997</v>
          </cell>
          <cell r="F59">
            <v>568</v>
          </cell>
          <cell r="G59">
            <v>641.4</v>
          </cell>
          <cell r="H59">
            <v>0</v>
          </cell>
          <cell r="I59">
            <v>27</v>
          </cell>
          <cell r="J59">
            <v>10.9</v>
          </cell>
          <cell r="K59">
            <v>226</v>
          </cell>
          <cell r="L59">
            <v>0</v>
          </cell>
          <cell r="M59">
            <v>116.5</v>
          </cell>
          <cell r="N59">
            <v>0</v>
          </cell>
          <cell r="O59">
            <v>181</v>
          </cell>
          <cell r="P59">
            <v>0</v>
          </cell>
          <cell r="Q59">
            <v>0</v>
          </cell>
          <cell r="R59">
            <v>0</v>
          </cell>
          <cell r="S59">
            <v>80</v>
          </cell>
          <cell r="T59">
            <v>0</v>
          </cell>
          <cell r="U59">
            <v>0</v>
          </cell>
          <cell r="V59">
            <v>0</v>
          </cell>
          <cell r="W59">
            <v>0</v>
          </cell>
          <cell r="X59">
            <v>0</v>
          </cell>
          <cell r="Y59">
            <v>0</v>
          </cell>
          <cell r="Z59">
            <v>0</v>
          </cell>
        </row>
        <row r="60">
          <cell r="A60" t="str">
            <v>CNK09</v>
          </cell>
          <cell r="B60" t="str">
            <v>Nguyễn Văn</v>
          </cell>
          <cell r="C60" t="str">
            <v>Thắng</v>
          </cell>
          <cell r="D60">
            <v>38.299999999999997</v>
          </cell>
          <cell r="E60">
            <v>38.299999999999997</v>
          </cell>
          <cell r="F60">
            <v>551</v>
          </cell>
          <cell r="G60">
            <v>611.5</v>
          </cell>
          <cell r="H60">
            <v>0</v>
          </cell>
          <cell r="I60">
            <v>24.2</v>
          </cell>
          <cell r="J60">
            <v>6.7</v>
          </cell>
          <cell r="K60">
            <v>226</v>
          </cell>
          <cell r="L60">
            <v>0</v>
          </cell>
          <cell r="M60">
            <v>55.6</v>
          </cell>
          <cell r="N60">
            <v>0</v>
          </cell>
          <cell r="O60">
            <v>199</v>
          </cell>
          <cell r="P60">
            <v>0</v>
          </cell>
          <cell r="Q60">
            <v>0</v>
          </cell>
          <cell r="R60">
            <v>0</v>
          </cell>
          <cell r="S60">
            <v>100</v>
          </cell>
          <cell r="T60">
            <v>0</v>
          </cell>
          <cell r="U60">
            <v>0</v>
          </cell>
          <cell r="V60">
            <v>0</v>
          </cell>
          <cell r="W60">
            <v>0</v>
          </cell>
          <cell r="X60">
            <v>0</v>
          </cell>
          <cell r="Y60">
            <v>0</v>
          </cell>
          <cell r="Z60">
            <v>0</v>
          </cell>
        </row>
        <row r="61">
          <cell r="A61" t="str">
            <v>CNK11</v>
          </cell>
          <cell r="B61" t="str">
            <v>Trần</v>
          </cell>
          <cell r="C61" t="str">
            <v>Hiệp</v>
          </cell>
          <cell r="D61">
            <v>18</v>
          </cell>
          <cell r="E61">
            <v>18</v>
          </cell>
          <cell r="F61">
            <v>561</v>
          </cell>
          <cell r="G61">
            <v>628.1</v>
          </cell>
          <cell r="H61">
            <v>0</v>
          </cell>
          <cell r="I61">
            <v>20.2</v>
          </cell>
          <cell r="J61">
            <v>8.1</v>
          </cell>
          <cell r="K61">
            <v>226</v>
          </cell>
          <cell r="L61">
            <v>0</v>
          </cell>
          <cell r="M61">
            <v>83.3</v>
          </cell>
          <cell r="N61">
            <v>0</v>
          </cell>
          <cell r="O61">
            <v>200.5</v>
          </cell>
          <cell r="P61">
            <v>0</v>
          </cell>
          <cell r="Q61">
            <v>0</v>
          </cell>
          <cell r="R61">
            <v>0</v>
          </cell>
          <cell r="S61">
            <v>60</v>
          </cell>
          <cell r="T61">
            <v>0</v>
          </cell>
          <cell r="U61">
            <v>0</v>
          </cell>
          <cell r="V61">
            <v>0</v>
          </cell>
          <cell r="W61">
            <v>0</v>
          </cell>
          <cell r="X61">
            <v>12</v>
          </cell>
          <cell r="Y61">
            <v>18</v>
          </cell>
          <cell r="Z61">
            <v>0</v>
          </cell>
        </row>
        <row r="62">
          <cell r="A62" t="str">
            <v>CNK13</v>
          </cell>
          <cell r="B62" t="str">
            <v>Nguyễn Xuân</v>
          </cell>
          <cell r="C62" t="str">
            <v>Trạch</v>
          </cell>
          <cell r="D62">
            <v>18</v>
          </cell>
          <cell r="E62">
            <v>18</v>
          </cell>
          <cell r="F62">
            <v>518</v>
          </cell>
          <cell r="G62">
            <v>652.70000000000005</v>
          </cell>
          <cell r="H62">
            <v>0</v>
          </cell>
          <cell r="I62">
            <v>32.1</v>
          </cell>
          <cell r="J62">
            <v>13</v>
          </cell>
          <cell r="K62">
            <v>226</v>
          </cell>
          <cell r="L62">
            <v>0</v>
          </cell>
          <cell r="M62">
            <v>140.80000000000001</v>
          </cell>
          <cell r="N62">
            <v>0</v>
          </cell>
          <cell r="O62">
            <v>53.5</v>
          </cell>
          <cell r="P62">
            <v>0</v>
          </cell>
          <cell r="Q62">
            <v>0</v>
          </cell>
          <cell r="R62">
            <v>0</v>
          </cell>
          <cell r="S62">
            <v>68</v>
          </cell>
          <cell r="T62">
            <v>72</v>
          </cell>
          <cell r="U62">
            <v>0.9</v>
          </cell>
          <cell r="V62">
            <v>0</v>
          </cell>
          <cell r="W62">
            <v>0.4</v>
          </cell>
          <cell r="X62">
            <v>28</v>
          </cell>
          <cell r="Y62">
            <v>18</v>
          </cell>
          <cell r="Z62">
            <v>0</v>
          </cell>
        </row>
        <row r="63">
          <cell r="A63" t="str">
            <v>CNK14</v>
          </cell>
          <cell r="B63" t="str">
            <v>Bùi Văn</v>
          </cell>
          <cell r="C63" t="str">
            <v>Đoàn</v>
          </cell>
          <cell r="D63">
            <v>45</v>
          </cell>
          <cell r="E63">
            <v>45</v>
          </cell>
          <cell r="F63">
            <v>683</v>
          </cell>
          <cell r="G63">
            <v>766.6</v>
          </cell>
          <cell r="H63">
            <v>0</v>
          </cell>
          <cell r="I63">
            <v>40.799999999999997</v>
          </cell>
          <cell r="J63">
            <v>16.5</v>
          </cell>
          <cell r="K63">
            <v>226</v>
          </cell>
          <cell r="L63">
            <v>0</v>
          </cell>
          <cell r="M63">
            <v>156.69999999999999</v>
          </cell>
          <cell r="N63">
            <v>0</v>
          </cell>
          <cell r="O63">
            <v>75</v>
          </cell>
          <cell r="P63">
            <v>0</v>
          </cell>
          <cell r="Q63">
            <v>0</v>
          </cell>
          <cell r="R63">
            <v>0</v>
          </cell>
          <cell r="S63">
            <v>120</v>
          </cell>
          <cell r="T63">
            <v>63</v>
          </cell>
          <cell r="U63">
            <v>2.6</v>
          </cell>
          <cell r="V63">
            <v>0</v>
          </cell>
          <cell r="W63">
            <v>1</v>
          </cell>
          <cell r="X63">
            <v>0</v>
          </cell>
          <cell r="Y63">
            <v>45</v>
          </cell>
          <cell r="Z63">
            <v>20</v>
          </cell>
        </row>
        <row r="64">
          <cell r="A64" t="str">
            <v>CNK16</v>
          </cell>
          <cell r="B64" t="str">
            <v>Vũ Đình</v>
          </cell>
          <cell r="C64" t="str">
            <v>Tôn</v>
          </cell>
          <cell r="D64">
            <v>9</v>
          </cell>
          <cell r="E64">
            <v>9</v>
          </cell>
          <cell r="F64">
            <v>563.5</v>
          </cell>
          <cell r="G64">
            <v>619</v>
          </cell>
          <cell r="H64">
            <v>0</v>
          </cell>
          <cell r="I64">
            <v>24</v>
          </cell>
          <cell r="J64">
            <v>9.6999999999999993</v>
          </cell>
          <cell r="K64">
            <v>222.5</v>
          </cell>
          <cell r="L64">
            <v>0</v>
          </cell>
          <cell r="M64">
            <v>87.2</v>
          </cell>
          <cell r="N64">
            <v>0</v>
          </cell>
          <cell r="O64">
            <v>118</v>
          </cell>
          <cell r="P64">
            <v>0</v>
          </cell>
          <cell r="Q64">
            <v>0</v>
          </cell>
          <cell r="R64">
            <v>0</v>
          </cell>
          <cell r="S64">
            <v>80</v>
          </cell>
          <cell r="T64">
            <v>27</v>
          </cell>
          <cell r="U64">
            <v>1.1000000000000001</v>
          </cell>
          <cell r="V64">
            <v>0</v>
          </cell>
          <cell r="W64">
            <v>0.5</v>
          </cell>
          <cell r="X64">
            <v>0</v>
          </cell>
          <cell r="Y64">
            <v>9</v>
          </cell>
          <cell r="Z64">
            <v>40</v>
          </cell>
        </row>
        <row r="65">
          <cell r="A65" t="str">
            <v>CNK17</v>
          </cell>
          <cell r="B65" t="str">
            <v>Nguyễn Thị</v>
          </cell>
          <cell r="C65" t="str">
            <v>Xuân</v>
          </cell>
          <cell r="D65">
            <v>1</v>
          </cell>
          <cell r="E65">
            <v>3.1</v>
          </cell>
          <cell r="F65">
            <v>108</v>
          </cell>
          <cell r="G65">
            <v>133.1</v>
          </cell>
          <cell r="H65">
            <v>0</v>
          </cell>
          <cell r="I65">
            <v>0</v>
          </cell>
          <cell r="J65">
            <v>3.1</v>
          </cell>
          <cell r="K65">
            <v>0</v>
          </cell>
          <cell r="L65">
            <v>0</v>
          </cell>
          <cell r="M65">
            <v>22</v>
          </cell>
          <cell r="N65">
            <v>0</v>
          </cell>
          <cell r="O65">
            <v>108</v>
          </cell>
          <cell r="P65">
            <v>0</v>
          </cell>
          <cell r="Q65">
            <v>0</v>
          </cell>
          <cell r="R65">
            <v>0</v>
          </cell>
          <cell r="S65">
            <v>0</v>
          </cell>
          <cell r="T65">
            <v>0</v>
          </cell>
          <cell r="U65">
            <v>0</v>
          </cell>
          <cell r="V65">
            <v>0</v>
          </cell>
          <cell r="W65">
            <v>0</v>
          </cell>
          <cell r="X65">
            <v>0</v>
          </cell>
          <cell r="Y65">
            <v>0</v>
          </cell>
          <cell r="Z65">
            <v>0</v>
          </cell>
        </row>
        <row r="66">
          <cell r="A66" t="str">
            <v>CNK18</v>
          </cell>
          <cell r="B66" t="str">
            <v>Hán Quang</v>
          </cell>
          <cell r="C66" t="str">
            <v>Hạnh</v>
          </cell>
          <cell r="D66">
            <v>28</v>
          </cell>
          <cell r="E66">
            <v>28</v>
          </cell>
          <cell r="F66">
            <v>559</v>
          </cell>
          <cell r="G66">
            <v>705.5</v>
          </cell>
          <cell r="H66">
            <v>0</v>
          </cell>
          <cell r="I66">
            <v>60</v>
          </cell>
          <cell r="J66">
            <v>24.1</v>
          </cell>
          <cell r="K66">
            <v>226</v>
          </cell>
          <cell r="L66">
            <v>0</v>
          </cell>
          <cell r="M66">
            <v>144.4</v>
          </cell>
          <cell r="N66">
            <v>0</v>
          </cell>
          <cell r="O66">
            <v>155</v>
          </cell>
          <cell r="P66">
            <v>0</v>
          </cell>
          <cell r="Q66">
            <v>0</v>
          </cell>
          <cell r="R66">
            <v>0</v>
          </cell>
          <cell r="S66">
            <v>40</v>
          </cell>
          <cell r="T66">
            <v>0</v>
          </cell>
          <cell r="U66">
            <v>0</v>
          </cell>
          <cell r="V66">
            <v>0</v>
          </cell>
          <cell r="W66">
            <v>0</v>
          </cell>
          <cell r="X66">
            <v>56</v>
          </cell>
          <cell r="Y66">
            <v>0</v>
          </cell>
          <cell r="Z66">
            <v>0</v>
          </cell>
        </row>
        <row r="67">
          <cell r="A67" t="str">
            <v>CNK21</v>
          </cell>
          <cell r="B67" t="str">
            <v>Nguyễn Hùng</v>
          </cell>
          <cell r="C67" t="str">
            <v>Sơn</v>
          </cell>
          <cell r="D67">
            <v>38.299999999999997</v>
          </cell>
          <cell r="E67">
            <v>38.299999999999997</v>
          </cell>
          <cell r="F67">
            <v>564</v>
          </cell>
          <cell r="G67">
            <v>643.4</v>
          </cell>
          <cell r="H67">
            <v>0</v>
          </cell>
          <cell r="I67">
            <v>20.6</v>
          </cell>
          <cell r="J67">
            <v>8.3000000000000007</v>
          </cell>
          <cell r="K67">
            <v>226</v>
          </cell>
          <cell r="L67">
            <v>0</v>
          </cell>
          <cell r="M67">
            <v>128</v>
          </cell>
          <cell r="N67">
            <v>0</v>
          </cell>
          <cell r="O67">
            <v>168.5</v>
          </cell>
          <cell r="P67">
            <v>0</v>
          </cell>
          <cell r="Q67">
            <v>0</v>
          </cell>
          <cell r="R67">
            <v>0</v>
          </cell>
          <cell r="S67">
            <v>92</v>
          </cell>
          <cell r="T67">
            <v>0</v>
          </cell>
          <cell r="U67">
            <v>0</v>
          </cell>
          <cell r="V67">
            <v>0</v>
          </cell>
          <cell r="W67">
            <v>0</v>
          </cell>
          <cell r="X67">
            <v>0</v>
          </cell>
          <cell r="Y67">
            <v>0</v>
          </cell>
          <cell r="Z67">
            <v>0</v>
          </cell>
        </row>
        <row r="68">
          <cell r="A68" t="str">
            <v>CNP02</v>
          </cell>
          <cell r="B68" t="str">
            <v>Ngô Công</v>
          </cell>
          <cell r="C68" t="str">
            <v>Thắng</v>
          </cell>
          <cell r="D68">
            <v>15</v>
          </cell>
          <cell r="E68">
            <v>15</v>
          </cell>
          <cell r="F68">
            <v>547.20000000000005</v>
          </cell>
          <cell r="G68">
            <v>709.4</v>
          </cell>
          <cell r="H68">
            <v>0</v>
          </cell>
          <cell r="I68">
            <v>75</v>
          </cell>
          <cell r="J68">
            <v>28.9</v>
          </cell>
          <cell r="K68">
            <v>7.2</v>
          </cell>
          <cell r="L68">
            <v>0</v>
          </cell>
          <cell r="M68">
            <v>348.3</v>
          </cell>
          <cell r="N68">
            <v>0</v>
          </cell>
          <cell r="O68">
            <v>210</v>
          </cell>
          <cell r="P68">
            <v>0</v>
          </cell>
          <cell r="Q68">
            <v>0</v>
          </cell>
          <cell r="R68">
            <v>0</v>
          </cell>
          <cell r="S68">
            <v>40</v>
          </cell>
          <cell r="T68">
            <v>0</v>
          </cell>
          <cell r="U68">
            <v>0</v>
          </cell>
          <cell r="V68">
            <v>0</v>
          </cell>
          <cell r="W68">
            <v>0</v>
          </cell>
          <cell r="X68">
            <v>0</v>
          </cell>
          <cell r="Y68">
            <v>0</v>
          </cell>
          <cell r="Z68">
            <v>0</v>
          </cell>
        </row>
        <row r="69">
          <cell r="A69" t="str">
            <v>CNP05</v>
          </cell>
          <cell r="B69" t="str">
            <v>Phan Trọng</v>
          </cell>
          <cell r="C69" t="str">
            <v>Tiến</v>
          </cell>
          <cell r="D69">
            <v>7.2</v>
          </cell>
          <cell r="E69">
            <v>7.2</v>
          </cell>
          <cell r="F69">
            <v>413.2</v>
          </cell>
          <cell r="G69">
            <v>589.29999999999995</v>
          </cell>
          <cell r="H69">
            <v>0</v>
          </cell>
          <cell r="I69">
            <v>78.400000000000006</v>
          </cell>
          <cell r="J69">
            <v>31.5</v>
          </cell>
          <cell r="K69">
            <v>7.2</v>
          </cell>
          <cell r="L69">
            <v>0</v>
          </cell>
          <cell r="M69">
            <v>245.2</v>
          </cell>
          <cell r="N69">
            <v>0</v>
          </cell>
          <cell r="O69">
            <v>207</v>
          </cell>
          <cell r="P69">
            <v>0</v>
          </cell>
          <cell r="Q69">
            <v>0</v>
          </cell>
          <cell r="R69">
            <v>0</v>
          </cell>
          <cell r="S69">
            <v>20</v>
          </cell>
          <cell r="T69">
            <v>0</v>
          </cell>
          <cell r="U69">
            <v>0</v>
          </cell>
          <cell r="V69">
            <v>0</v>
          </cell>
          <cell r="W69">
            <v>0</v>
          </cell>
          <cell r="X69">
            <v>0</v>
          </cell>
          <cell r="Y69">
            <v>0</v>
          </cell>
          <cell r="Z69">
            <v>0</v>
          </cell>
        </row>
        <row r="70">
          <cell r="A70" t="str">
            <v>CNP07</v>
          </cell>
          <cell r="B70" t="str">
            <v>Hoàng Thị</v>
          </cell>
          <cell r="C70" t="str">
            <v>Hà</v>
          </cell>
          <cell r="D70">
            <v>21.6</v>
          </cell>
          <cell r="E70">
            <v>21.6</v>
          </cell>
          <cell r="F70">
            <v>405.6</v>
          </cell>
          <cell r="G70">
            <v>522.4</v>
          </cell>
          <cell r="H70">
            <v>0</v>
          </cell>
          <cell r="I70">
            <v>46.9</v>
          </cell>
          <cell r="J70">
            <v>18.899999999999999</v>
          </cell>
          <cell r="K70">
            <v>21.6</v>
          </cell>
          <cell r="L70">
            <v>0</v>
          </cell>
          <cell r="M70">
            <v>306.5</v>
          </cell>
          <cell r="N70">
            <v>0</v>
          </cell>
          <cell r="O70">
            <v>108.5</v>
          </cell>
          <cell r="P70">
            <v>0</v>
          </cell>
          <cell r="Q70">
            <v>0</v>
          </cell>
          <cell r="R70">
            <v>0</v>
          </cell>
          <cell r="S70">
            <v>20</v>
          </cell>
          <cell r="T70">
            <v>0</v>
          </cell>
          <cell r="U70">
            <v>0</v>
          </cell>
          <cell r="V70">
            <v>0</v>
          </cell>
          <cell r="W70">
            <v>0</v>
          </cell>
          <cell r="X70">
            <v>0</v>
          </cell>
          <cell r="Y70">
            <v>0</v>
          </cell>
          <cell r="Z70">
            <v>0</v>
          </cell>
        </row>
        <row r="71">
          <cell r="A71" t="str">
            <v>CNP09</v>
          </cell>
          <cell r="B71" t="str">
            <v>Trần Trung</v>
          </cell>
          <cell r="C71" t="str">
            <v>Hiếu</v>
          </cell>
          <cell r="D71">
            <v>3.6</v>
          </cell>
          <cell r="E71">
            <v>3.6</v>
          </cell>
          <cell r="F71">
            <v>463.6</v>
          </cell>
          <cell r="G71">
            <v>570.6</v>
          </cell>
          <cell r="H71">
            <v>0</v>
          </cell>
          <cell r="I71">
            <v>59.6</v>
          </cell>
          <cell r="J71">
            <v>24</v>
          </cell>
          <cell r="K71">
            <v>3.6</v>
          </cell>
          <cell r="L71">
            <v>0</v>
          </cell>
          <cell r="M71">
            <v>256.39999999999998</v>
          </cell>
          <cell r="N71">
            <v>0</v>
          </cell>
          <cell r="O71">
            <v>147</v>
          </cell>
          <cell r="P71">
            <v>0</v>
          </cell>
          <cell r="Q71">
            <v>0</v>
          </cell>
          <cell r="R71">
            <v>0</v>
          </cell>
          <cell r="S71">
            <v>80</v>
          </cell>
          <cell r="T71">
            <v>0</v>
          </cell>
          <cell r="U71">
            <v>0</v>
          </cell>
          <cell r="V71">
            <v>0</v>
          </cell>
          <cell r="W71">
            <v>0</v>
          </cell>
          <cell r="X71">
            <v>0</v>
          </cell>
          <cell r="Y71">
            <v>0</v>
          </cell>
          <cell r="Z71">
            <v>0</v>
          </cell>
        </row>
        <row r="72">
          <cell r="A72" t="str">
            <v>CNP11</v>
          </cell>
          <cell r="B72" t="str">
            <v>Lê Thị Minh</v>
          </cell>
          <cell r="C72" t="str">
            <v>Thùy</v>
          </cell>
          <cell r="D72">
            <v>28.8</v>
          </cell>
          <cell r="E72">
            <v>28.8</v>
          </cell>
          <cell r="F72">
            <v>454.8</v>
          </cell>
          <cell r="G72">
            <v>644.1</v>
          </cell>
          <cell r="H72">
            <v>0</v>
          </cell>
          <cell r="I72">
            <v>81.7</v>
          </cell>
          <cell r="J72">
            <v>32.9</v>
          </cell>
          <cell r="K72">
            <v>28.8</v>
          </cell>
          <cell r="L72">
            <v>0</v>
          </cell>
          <cell r="M72">
            <v>305.2</v>
          </cell>
          <cell r="N72">
            <v>0</v>
          </cell>
          <cell r="O72">
            <v>135.5</v>
          </cell>
          <cell r="P72">
            <v>0</v>
          </cell>
          <cell r="Q72">
            <v>0</v>
          </cell>
          <cell r="R72">
            <v>0</v>
          </cell>
          <cell r="S72">
            <v>60</v>
          </cell>
          <cell r="T72">
            <v>0</v>
          </cell>
          <cell r="U72">
            <v>0</v>
          </cell>
          <cell r="V72">
            <v>0</v>
          </cell>
          <cell r="W72">
            <v>0</v>
          </cell>
          <cell r="X72">
            <v>0</v>
          </cell>
          <cell r="Y72">
            <v>0</v>
          </cell>
          <cell r="Z72">
            <v>0</v>
          </cell>
        </row>
        <row r="73">
          <cell r="A73" t="str">
            <v>CNP12</v>
          </cell>
          <cell r="B73" t="str">
            <v>Lê Thị</v>
          </cell>
          <cell r="C73" t="str">
            <v>Nhung</v>
          </cell>
          <cell r="D73">
            <v>32.4</v>
          </cell>
          <cell r="E73">
            <v>32.4</v>
          </cell>
          <cell r="F73">
            <v>455.4</v>
          </cell>
          <cell r="G73">
            <v>689.4</v>
          </cell>
          <cell r="H73">
            <v>0</v>
          </cell>
          <cell r="I73">
            <v>88.2</v>
          </cell>
          <cell r="J73">
            <v>35.4</v>
          </cell>
          <cell r="K73">
            <v>32.4</v>
          </cell>
          <cell r="L73">
            <v>0</v>
          </cell>
          <cell r="M73">
            <v>327.39999999999998</v>
          </cell>
          <cell r="N73">
            <v>0</v>
          </cell>
          <cell r="O73">
            <v>166</v>
          </cell>
          <cell r="P73">
            <v>0</v>
          </cell>
          <cell r="Q73">
            <v>0</v>
          </cell>
          <cell r="R73">
            <v>0</v>
          </cell>
          <cell r="S73">
            <v>40</v>
          </cell>
          <cell r="T73">
            <v>0</v>
          </cell>
          <cell r="U73">
            <v>0</v>
          </cell>
          <cell r="V73">
            <v>0</v>
          </cell>
          <cell r="W73">
            <v>0</v>
          </cell>
          <cell r="X73">
            <v>0</v>
          </cell>
          <cell r="Y73">
            <v>0</v>
          </cell>
          <cell r="Z73">
            <v>0</v>
          </cell>
        </row>
        <row r="74">
          <cell r="A74" t="str">
            <v>CNS02</v>
          </cell>
          <cell r="B74" t="str">
            <v>Vũ Thị Kim</v>
          </cell>
          <cell r="C74" t="str">
            <v>Oanh</v>
          </cell>
          <cell r="D74">
            <v>40</v>
          </cell>
          <cell r="E74">
            <v>40</v>
          </cell>
          <cell r="F74">
            <v>308.8</v>
          </cell>
          <cell r="G74">
            <v>317.3</v>
          </cell>
          <cell r="H74">
            <v>0</v>
          </cell>
          <cell r="I74">
            <v>6</v>
          </cell>
          <cell r="J74">
            <v>2.5</v>
          </cell>
          <cell r="K74">
            <v>16.8</v>
          </cell>
          <cell r="L74">
            <v>0</v>
          </cell>
          <cell r="M74">
            <v>44</v>
          </cell>
          <cell r="N74">
            <v>0</v>
          </cell>
          <cell r="O74">
            <v>68</v>
          </cell>
          <cell r="P74">
            <v>0</v>
          </cell>
          <cell r="Q74">
            <v>0</v>
          </cell>
          <cell r="R74">
            <v>0</v>
          </cell>
          <cell r="S74">
            <v>140</v>
          </cell>
          <cell r="T74">
            <v>0</v>
          </cell>
          <cell r="U74">
            <v>0</v>
          </cell>
          <cell r="V74">
            <v>0</v>
          </cell>
          <cell r="W74">
            <v>0</v>
          </cell>
          <cell r="X74">
            <v>40</v>
          </cell>
          <cell r="Y74">
            <v>0</v>
          </cell>
          <cell r="Z74">
            <v>0</v>
          </cell>
        </row>
        <row r="75">
          <cell r="A75" t="str">
            <v>CNS03</v>
          </cell>
          <cell r="B75" t="str">
            <v>Nguyễn Thị Bích</v>
          </cell>
          <cell r="C75" t="str">
            <v>Thủy</v>
          </cell>
          <cell r="D75">
            <v>40</v>
          </cell>
          <cell r="E75">
            <v>40</v>
          </cell>
          <cell r="F75">
            <v>447</v>
          </cell>
          <cell r="G75">
            <v>532.9</v>
          </cell>
          <cell r="H75">
            <v>0</v>
          </cell>
          <cell r="I75">
            <v>34.9</v>
          </cell>
          <cell r="J75">
            <v>14.1</v>
          </cell>
          <cell r="K75">
            <v>0</v>
          </cell>
          <cell r="L75">
            <v>0</v>
          </cell>
          <cell r="M75">
            <v>153.1</v>
          </cell>
          <cell r="N75">
            <v>0</v>
          </cell>
          <cell r="O75">
            <v>0</v>
          </cell>
          <cell r="P75">
            <v>0</v>
          </cell>
          <cell r="Q75">
            <v>0</v>
          </cell>
          <cell r="R75">
            <v>0</v>
          </cell>
          <cell r="S75">
            <v>180</v>
          </cell>
          <cell r="T75">
            <v>81</v>
          </cell>
          <cell r="U75">
            <v>1.3</v>
          </cell>
          <cell r="V75">
            <v>0</v>
          </cell>
          <cell r="W75">
            <v>0.5</v>
          </cell>
          <cell r="X75">
            <v>68</v>
          </cell>
          <cell r="Y75">
            <v>0</v>
          </cell>
          <cell r="Z75">
            <v>0</v>
          </cell>
        </row>
        <row r="76">
          <cell r="A76" t="str">
            <v>CNS06</v>
          </cell>
          <cell r="B76" t="str">
            <v>Nguyễn Thị Thu</v>
          </cell>
          <cell r="C76" t="str">
            <v>Nga</v>
          </cell>
          <cell r="D76">
            <v>20</v>
          </cell>
          <cell r="E76">
            <v>20</v>
          </cell>
          <cell r="F76">
            <v>312.8</v>
          </cell>
          <cell r="G76">
            <v>346.1</v>
          </cell>
          <cell r="H76">
            <v>0</v>
          </cell>
          <cell r="I76">
            <v>24</v>
          </cell>
          <cell r="J76">
            <v>9.6999999999999993</v>
          </cell>
          <cell r="K76">
            <v>16.8</v>
          </cell>
          <cell r="L76">
            <v>0</v>
          </cell>
          <cell r="M76">
            <v>69.099999999999994</v>
          </cell>
          <cell r="N76">
            <v>0</v>
          </cell>
          <cell r="O76">
            <v>66.5</v>
          </cell>
          <cell r="P76">
            <v>0</v>
          </cell>
          <cell r="Q76">
            <v>0</v>
          </cell>
          <cell r="R76">
            <v>0</v>
          </cell>
          <cell r="S76">
            <v>160</v>
          </cell>
          <cell r="T76">
            <v>0</v>
          </cell>
          <cell r="U76">
            <v>0</v>
          </cell>
          <cell r="V76">
            <v>0</v>
          </cell>
          <cell r="W76">
            <v>0</v>
          </cell>
          <cell r="X76">
            <v>0</v>
          </cell>
          <cell r="Y76">
            <v>0</v>
          </cell>
          <cell r="Z76">
            <v>0</v>
          </cell>
        </row>
        <row r="77">
          <cell r="A77" t="str">
            <v>CNS07</v>
          </cell>
          <cell r="B77" t="str">
            <v>Nguyễn Trọng</v>
          </cell>
          <cell r="C77" t="str">
            <v>Thăng</v>
          </cell>
          <cell r="D77">
            <v>20</v>
          </cell>
          <cell r="E77">
            <v>20</v>
          </cell>
          <cell r="F77">
            <v>60</v>
          </cell>
          <cell r="G77">
            <v>60</v>
          </cell>
          <cell r="H77">
            <v>0</v>
          </cell>
          <cell r="I77">
            <v>0</v>
          </cell>
          <cell r="J77">
            <v>0</v>
          </cell>
          <cell r="K77">
            <v>0</v>
          </cell>
          <cell r="L77">
            <v>0</v>
          </cell>
          <cell r="M77">
            <v>0</v>
          </cell>
          <cell r="N77">
            <v>0</v>
          </cell>
          <cell r="O77">
            <v>0</v>
          </cell>
          <cell r="P77">
            <v>0</v>
          </cell>
          <cell r="Q77">
            <v>0</v>
          </cell>
          <cell r="R77">
            <v>0</v>
          </cell>
          <cell r="S77">
            <v>60</v>
          </cell>
          <cell r="T77">
            <v>0</v>
          </cell>
          <cell r="U77">
            <v>0</v>
          </cell>
          <cell r="V77">
            <v>0</v>
          </cell>
          <cell r="W77">
            <v>0</v>
          </cell>
          <cell r="X77">
            <v>0</v>
          </cell>
          <cell r="Y77">
            <v>0</v>
          </cell>
          <cell r="Z77">
            <v>0</v>
          </cell>
        </row>
        <row r="78">
          <cell r="A78" t="str">
            <v>CNS08</v>
          </cell>
          <cell r="B78" t="str">
            <v>Hoàng Thị Minh</v>
          </cell>
          <cell r="C78" t="str">
            <v>Nguyệt</v>
          </cell>
          <cell r="D78">
            <v>12</v>
          </cell>
          <cell r="E78">
            <v>12</v>
          </cell>
          <cell r="F78">
            <v>341.8</v>
          </cell>
          <cell r="G78">
            <v>349.8</v>
          </cell>
          <cell r="H78">
            <v>0</v>
          </cell>
          <cell r="I78">
            <v>7.1</v>
          </cell>
          <cell r="J78">
            <v>2.9</v>
          </cell>
          <cell r="K78">
            <v>16.8</v>
          </cell>
          <cell r="L78">
            <v>0</v>
          </cell>
          <cell r="M78">
            <v>37</v>
          </cell>
          <cell r="N78">
            <v>0</v>
          </cell>
          <cell r="O78">
            <v>104</v>
          </cell>
          <cell r="P78">
            <v>0</v>
          </cell>
          <cell r="Q78">
            <v>0</v>
          </cell>
          <cell r="R78">
            <v>0</v>
          </cell>
          <cell r="S78">
            <v>170</v>
          </cell>
          <cell r="T78">
            <v>0</v>
          </cell>
          <cell r="U78">
            <v>0</v>
          </cell>
          <cell r="V78">
            <v>0</v>
          </cell>
          <cell r="W78">
            <v>0</v>
          </cell>
          <cell r="X78">
            <v>12</v>
          </cell>
          <cell r="Y78">
            <v>0</v>
          </cell>
          <cell r="Z78">
            <v>0</v>
          </cell>
        </row>
        <row r="79">
          <cell r="A79" t="str">
            <v>COD02</v>
          </cell>
          <cell r="B79" t="str">
            <v>Phạm Hồng</v>
          </cell>
          <cell r="C79" t="str">
            <v>Ngân</v>
          </cell>
          <cell r="D79">
            <v>40</v>
          </cell>
          <cell r="E79">
            <v>40</v>
          </cell>
          <cell r="F79">
            <v>915.1</v>
          </cell>
          <cell r="G79">
            <v>1122.0999999999999</v>
          </cell>
          <cell r="H79">
            <v>0</v>
          </cell>
          <cell r="I79">
            <v>47.2</v>
          </cell>
          <cell r="J79">
            <v>25.2</v>
          </cell>
          <cell r="K79">
            <v>37.1</v>
          </cell>
          <cell r="L79">
            <v>0</v>
          </cell>
          <cell r="M79">
            <v>265.39999999999998</v>
          </cell>
          <cell r="N79">
            <v>0</v>
          </cell>
          <cell r="O79">
            <v>112</v>
          </cell>
          <cell r="P79">
            <v>0</v>
          </cell>
          <cell r="Q79">
            <v>0</v>
          </cell>
          <cell r="R79">
            <v>0</v>
          </cell>
          <cell r="S79">
            <v>460</v>
          </cell>
          <cell r="T79">
            <v>63</v>
          </cell>
          <cell r="U79">
            <v>2.9</v>
          </cell>
          <cell r="V79">
            <v>0</v>
          </cell>
          <cell r="W79">
            <v>1.3</v>
          </cell>
          <cell r="X79">
            <v>108</v>
          </cell>
          <cell r="Y79">
            <v>0</v>
          </cell>
          <cell r="Z79">
            <v>0</v>
          </cell>
        </row>
        <row r="80">
          <cell r="A80" t="str">
            <v>COD05</v>
          </cell>
          <cell r="B80" t="str">
            <v>Nguyễn Thị</v>
          </cell>
          <cell r="C80" t="str">
            <v>Trang</v>
          </cell>
          <cell r="D80">
            <v>12</v>
          </cell>
          <cell r="E80">
            <v>12</v>
          </cell>
          <cell r="F80">
            <v>678.1</v>
          </cell>
          <cell r="G80">
            <v>780.6</v>
          </cell>
          <cell r="H80">
            <v>0</v>
          </cell>
          <cell r="I80">
            <v>41.6</v>
          </cell>
          <cell r="J80">
            <v>16.8</v>
          </cell>
          <cell r="K80">
            <v>37.1</v>
          </cell>
          <cell r="L80">
            <v>0</v>
          </cell>
          <cell r="M80">
            <v>130.6</v>
          </cell>
          <cell r="N80">
            <v>0</v>
          </cell>
          <cell r="O80">
            <v>168</v>
          </cell>
          <cell r="P80">
            <v>0</v>
          </cell>
          <cell r="Q80">
            <v>24</v>
          </cell>
          <cell r="R80">
            <v>30</v>
          </cell>
          <cell r="S80">
            <v>280</v>
          </cell>
          <cell r="T80">
            <v>27</v>
          </cell>
          <cell r="U80">
            <v>1</v>
          </cell>
          <cell r="V80">
            <v>0</v>
          </cell>
          <cell r="W80">
            <v>0.5</v>
          </cell>
          <cell r="X80">
            <v>24</v>
          </cell>
          <cell r="Y80">
            <v>0</v>
          </cell>
          <cell r="Z80">
            <v>0</v>
          </cell>
        </row>
        <row r="81">
          <cell r="A81" t="str">
            <v>COD07</v>
          </cell>
          <cell r="B81" t="str">
            <v>Nguyễn Thị Hương</v>
          </cell>
          <cell r="C81" t="str">
            <v>Giang</v>
          </cell>
          <cell r="D81">
            <v>37.1</v>
          </cell>
          <cell r="E81">
            <v>37.1</v>
          </cell>
          <cell r="F81">
            <v>528.1</v>
          </cell>
          <cell r="G81">
            <v>683.4</v>
          </cell>
          <cell r="H81">
            <v>0</v>
          </cell>
          <cell r="I81">
            <v>62.4</v>
          </cell>
          <cell r="J81">
            <v>18.899999999999999</v>
          </cell>
          <cell r="K81">
            <v>37.1</v>
          </cell>
          <cell r="L81">
            <v>0</v>
          </cell>
          <cell r="M81">
            <v>215</v>
          </cell>
          <cell r="N81">
            <v>0</v>
          </cell>
          <cell r="O81">
            <v>168</v>
          </cell>
          <cell r="P81">
            <v>0</v>
          </cell>
          <cell r="Q81">
            <v>12</v>
          </cell>
          <cell r="R81">
            <v>30</v>
          </cell>
          <cell r="S81">
            <v>140</v>
          </cell>
          <cell r="T81">
            <v>0</v>
          </cell>
          <cell r="U81">
            <v>0</v>
          </cell>
          <cell r="V81">
            <v>0</v>
          </cell>
          <cell r="W81">
            <v>0</v>
          </cell>
          <cell r="X81">
            <v>0</v>
          </cell>
          <cell r="Y81">
            <v>0</v>
          </cell>
          <cell r="Z81">
            <v>0</v>
          </cell>
        </row>
        <row r="82">
          <cell r="A82" t="str">
            <v>COD08</v>
          </cell>
          <cell r="B82" t="str">
            <v>Dương Văn</v>
          </cell>
          <cell r="C82" t="str">
            <v>Nhiệm</v>
          </cell>
          <cell r="D82">
            <v>40</v>
          </cell>
          <cell r="E82">
            <v>40</v>
          </cell>
          <cell r="F82">
            <v>643.1</v>
          </cell>
          <cell r="G82">
            <v>692</v>
          </cell>
          <cell r="H82">
            <v>0</v>
          </cell>
          <cell r="I82">
            <v>27.8</v>
          </cell>
          <cell r="J82">
            <v>11.3</v>
          </cell>
          <cell r="K82">
            <v>37.1</v>
          </cell>
          <cell r="L82">
            <v>0</v>
          </cell>
          <cell r="M82">
            <v>186.1</v>
          </cell>
          <cell r="N82">
            <v>0</v>
          </cell>
          <cell r="O82">
            <v>8</v>
          </cell>
          <cell r="P82">
            <v>0</v>
          </cell>
          <cell r="Q82">
            <v>0</v>
          </cell>
          <cell r="R82">
            <v>0</v>
          </cell>
          <cell r="S82">
            <v>300</v>
          </cell>
          <cell r="T82">
            <v>45</v>
          </cell>
          <cell r="U82">
            <v>0.5</v>
          </cell>
          <cell r="V82">
            <v>0</v>
          </cell>
          <cell r="W82">
            <v>0.2</v>
          </cell>
          <cell r="X82">
            <v>76</v>
          </cell>
          <cell r="Y82">
            <v>0</v>
          </cell>
          <cell r="Z82">
            <v>0</v>
          </cell>
        </row>
        <row r="83">
          <cell r="A83" t="str">
            <v>COD09</v>
          </cell>
          <cell r="B83" t="str">
            <v>Cam Thị Thu</v>
          </cell>
          <cell r="C83" t="str">
            <v>Hà</v>
          </cell>
          <cell r="D83">
            <v>37.1</v>
          </cell>
          <cell r="E83">
            <v>37.1</v>
          </cell>
          <cell r="F83">
            <v>576.1</v>
          </cell>
          <cell r="G83">
            <v>666.1</v>
          </cell>
          <cell r="H83">
            <v>0</v>
          </cell>
          <cell r="I83">
            <v>47.5</v>
          </cell>
          <cell r="J83">
            <v>19.100000000000001</v>
          </cell>
          <cell r="K83">
            <v>37.1</v>
          </cell>
          <cell r="L83">
            <v>0</v>
          </cell>
          <cell r="M83">
            <v>119.4</v>
          </cell>
          <cell r="N83">
            <v>0</v>
          </cell>
          <cell r="O83">
            <v>168</v>
          </cell>
          <cell r="P83">
            <v>0</v>
          </cell>
          <cell r="Q83">
            <v>0</v>
          </cell>
          <cell r="R83">
            <v>15</v>
          </cell>
          <cell r="S83">
            <v>260</v>
          </cell>
          <cell r="T83">
            <v>0</v>
          </cell>
          <cell r="U83">
            <v>0</v>
          </cell>
          <cell r="V83">
            <v>0</v>
          </cell>
          <cell r="W83">
            <v>0</v>
          </cell>
          <cell r="X83">
            <v>0</v>
          </cell>
          <cell r="Y83">
            <v>0</v>
          </cell>
          <cell r="Z83">
            <v>0</v>
          </cell>
        </row>
        <row r="84">
          <cell r="A84" t="str">
            <v>CTH02</v>
          </cell>
          <cell r="B84" t="str">
            <v>Nguyễn Tất</v>
          </cell>
          <cell r="C84" t="str">
            <v>Cảnh</v>
          </cell>
          <cell r="D84">
            <v>22.5</v>
          </cell>
          <cell r="E84">
            <v>22.5</v>
          </cell>
          <cell r="F84">
            <v>154.5</v>
          </cell>
          <cell r="G84">
            <v>177.1</v>
          </cell>
          <cell r="H84">
            <v>0</v>
          </cell>
          <cell r="I84">
            <v>0</v>
          </cell>
          <cell r="J84">
            <v>0</v>
          </cell>
          <cell r="K84">
            <v>0</v>
          </cell>
          <cell r="L84">
            <v>0</v>
          </cell>
          <cell r="M84">
            <v>0</v>
          </cell>
          <cell r="N84">
            <v>0</v>
          </cell>
          <cell r="O84">
            <v>0</v>
          </cell>
          <cell r="P84">
            <v>0</v>
          </cell>
          <cell r="Q84">
            <v>0</v>
          </cell>
          <cell r="R84">
            <v>0</v>
          </cell>
          <cell r="S84">
            <v>80</v>
          </cell>
          <cell r="T84">
            <v>54</v>
          </cell>
          <cell r="U84">
            <v>0.4</v>
          </cell>
          <cell r="V84">
            <v>0</v>
          </cell>
          <cell r="W84">
            <v>0.2</v>
          </cell>
          <cell r="X84">
            <v>0</v>
          </cell>
          <cell r="Y84">
            <v>22.5</v>
          </cell>
          <cell r="Z84">
            <v>20</v>
          </cell>
        </row>
        <row r="85">
          <cell r="A85" t="str">
            <v>CTH03</v>
          </cell>
          <cell r="B85" t="str">
            <v>Trần Thị</v>
          </cell>
          <cell r="C85" t="str">
            <v>Thiêm</v>
          </cell>
          <cell r="D85">
            <v>40</v>
          </cell>
          <cell r="E85">
            <v>40</v>
          </cell>
          <cell r="F85">
            <v>356</v>
          </cell>
          <cell r="G85">
            <v>389.6</v>
          </cell>
          <cell r="H85">
            <v>0</v>
          </cell>
          <cell r="I85">
            <v>26.1</v>
          </cell>
          <cell r="J85">
            <v>8.3000000000000007</v>
          </cell>
          <cell r="K85">
            <v>18</v>
          </cell>
          <cell r="L85">
            <v>0</v>
          </cell>
          <cell r="M85">
            <v>95.2</v>
          </cell>
          <cell r="N85">
            <v>0</v>
          </cell>
          <cell r="O85">
            <v>84</v>
          </cell>
          <cell r="P85">
            <v>0</v>
          </cell>
          <cell r="Q85">
            <v>0</v>
          </cell>
          <cell r="R85">
            <v>0</v>
          </cell>
          <cell r="S85">
            <v>106</v>
          </cell>
          <cell r="T85">
            <v>0</v>
          </cell>
          <cell r="U85">
            <v>0</v>
          </cell>
          <cell r="V85">
            <v>0</v>
          </cell>
          <cell r="W85">
            <v>0</v>
          </cell>
          <cell r="X85">
            <v>52</v>
          </cell>
          <cell r="Y85">
            <v>0</v>
          </cell>
          <cell r="Z85">
            <v>0</v>
          </cell>
        </row>
        <row r="86">
          <cell r="A86" t="str">
            <v>CTH04</v>
          </cell>
          <cell r="B86" t="str">
            <v>Nguyễn ích</v>
          </cell>
          <cell r="C86" t="str">
            <v>Tân</v>
          </cell>
          <cell r="D86">
            <v>22.5</v>
          </cell>
          <cell r="E86">
            <v>22.5</v>
          </cell>
          <cell r="F86">
            <v>441.5</v>
          </cell>
          <cell r="G86">
            <v>487.8</v>
          </cell>
          <cell r="H86">
            <v>0</v>
          </cell>
          <cell r="I86">
            <v>17.8</v>
          </cell>
          <cell r="J86">
            <v>7.2</v>
          </cell>
          <cell r="K86">
            <v>18</v>
          </cell>
          <cell r="L86">
            <v>0</v>
          </cell>
          <cell r="M86">
            <v>92.4</v>
          </cell>
          <cell r="N86">
            <v>0</v>
          </cell>
          <cell r="O86">
            <v>45.5</v>
          </cell>
          <cell r="P86">
            <v>0</v>
          </cell>
          <cell r="Q86">
            <v>0</v>
          </cell>
          <cell r="R86">
            <v>0</v>
          </cell>
          <cell r="S86">
            <v>122</v>
          </cell>
          <cell r="T86">
            <v>10</v>
          </cell>
          <cell r="U86">
            <v>3.1</v>
          </cell>
          <cell r="V86">
            <v>0</v>
          </cell>
          <cell r="W86">
            <v>1.3</v>
          </cell>
          <cell r="X86">
            <v>148</v>
          </cell>
          <cell r="Y86">
            <v>22.5</v>
          </cell>
          <cell r="Z86">
            <v>0</v>
          </cell>
        </row>
        <row r="87">
          <cell r="A87" t="str">
            <v>CTH07</v>
          </cell>
          <cell r="B87" t="str">
            <v>Chu Anh</v>
          </cell>
          <cell r="C87" t="str">
            <v>Tiệp</v>
          </cell>
          <cell r="D87">
            <v>40</v>
          </cell>
          <cell r="E87">
            <v>40</v>
          </cell>
          <cell r="F87">
            <v>259</v>
          </cell>
          <cell r="G87">
            <v>269.3</v>
          </cell>
          <cell r="H87">
            <v>0</v>
          </cell>
          <cell r="I87">
            <v>10.199999999999999</v>
          </cell>
          <cell r="J87">
            <v>4.0999999999999996</v>
          </cell>
          <cell r="K87">
            <v>21</v>
          </cell>
          <cell r="L87">
            <v>0</v>
          </cell>
          <cell r="M87">
            <v>80</v>
          </cell>
          <cell r="N87">
            <v>0</v>
          </cell>
          <cell r="O87">
            <v>24</v>
          </cell>
          <cell r="P87">
            <v>0</v>
          </cell>
          <cell r="Q87">
            <v>0</v>
          </cell>
          <cell r="R87">
            <v>0</v>
          </cell>
          <cell r="S87">
            <v>66</v>
          </cell>
          <cell r="T87">
            <v>0</v>
          </cell>
          <cell r="U87">
            <v>0</v>
          </cell>
          <cell r="V87">
            <v>0</v>
          </cell>
          <cell r="W87">
            <v>0</v>
          </cell>
          <cell r="X87">
            <v>64</v>
          </cell>
          <cell r="Y87">
            <v>0</v>
          </cell>
          <cell r="Z87">
            <v>0</v>
          </cell>
        </row>
        <row r="88">
          <cell r="A88" t="str">
            <v>CTH10</v>
          </cell>
          <cell r="B88" t="str">
            <v>Nguyễn Mai</v>
          </cell>
          <cell r="C88" t="str">
            <v>Thơm</v>
          </cell>
          <cell r="D88">
            <v>40</v>
          </cell>
          <cell r="E88">
            <v>40</v>
          </cell>
          <cell r="F88">
            <v>293</v>
          </cell>
          <cell r="G88">
            <v>325.8</v>
          </cell>
          <cell r="H88">
            <v>0</v>
          </cell>
          <cell r="I88">
            <v>13.5</v>
          </cell>
          <cell r="J88">
            <v>5.4</v>
          </cell>
          <cell r="K88">
            <v>0</v>
          </cell>
          <cell r="L88">
            <v>0</v>
          </cell>
          <cell r="M88">
            <v>88.9</v>
          </cell>
          <cell r="N88">
            <v>0</v>
          </cell>
          <cell r="O88">
            <v>16</v>
          </cell>
          <cell r="P88">
            <v>0</v>
          </cell>
          <cell r="Q88">
            <v>0</v>
          </cell>
          <cell r="R88">
            <v>0</v>
          </cell>
          <cell r="S88">
            <v>162</v>
          </cell>
          <cell r="T88">
            <v>0</v>
          </cell>
          <cell r="U88">
            <v>0</v>
          </cell>
          <cell r="V88">
            <v>0</v>
          </cell>
          <cell r="W88">
            <v>0</v>
          </cell>
          <cell r="X88">
            <v>40</v>
          </cell>
          <cell r="Y88">
            <v>0</v>
          </cell>
          <cell r="Z88">
            <v>0</v>
          </cell>
        </row>
        <row r="89">
          <cell r="A89" t="str">
            <v>CTH11</v>
          </cell>
          <cell r="B89" t="str">
            <v>Nguyễn Thị</v>
          </cell>
          <cell r="C89" t="str">
            <v>Loan</v>
          </cell>
          <cell r="D89">
            <v>1</v>
          </cell>
          <cell r="E89">
            <v>6.3</v>
          </cell>
          <cell r="F89">
            <v>64</v>
          </cell>
          <cell r="G89">
            <v>78.8</v>
          </cell>
          <cell r="H89">
            <v>0</v>
          </cell>
          <cell r="I89">
            <v>6.3</v>
          </cell>
          <cell r="J89">
            <v>2.5</v>
          </cell>
          <cell r="K89">
            <v>0</v>
          </cell>
          <cell r="L89">
            <v>0</v>
          </cell>
          <cell r="M89">
            <v>22</v>
          </cell>
          <cell r="N89">
            <v>0</v>
          </cell>
          <cell r="O89">
            <v>48</v>
          </cell>
          <cell r="P89">
            <v>0</v>
          </cell>
          <cell r="Q89">
            <v>0</v>
          </cell>
          <cell r="R89">
            <v>0</v>
          </cell>
          <cell r="S89">
            <v>0</v>
          </cell>
          <cell r="T89">
            <v>0</v>
          </cell>
          <cell r="U89">
            <v>0</v>
          </cell>
          <cell r="V89">
            <v>0</v>
          </cell>
          <cell r="W89">
            <v>0</v>
          </cell>
          <cell r="X89">
            <v>0</v>
          </cell>
          <cell r="Y89">
            <v>0</v>
          </cell>
          <cell r="Z89">
            <v>0</v>
          </cell>
        </row>
        <row r="90">
          <cell r="A90" t="str">
            <v>CTU03</v>
          </cell>
          <cell r="B90" t="str">
            <v>Nguyễn Đức</v>
          </cell>
          <cell r="C90" t="str">
            <v>Khánh</v>
          </cell>
          <cell r="D90">
            <v>20</v>
          </cell>
          <cell r="E90">
            <v>20</v>
          </cell>
          <cell r="F90">
            <v>367.3</v>
          </cell>
          <cell r="G90">
            <v>428.9</v>
          </cell>
          <cell r="H90">
            <v>0</v>
          </cell>
          <cell r="I90">
            <v>30.6</v>
          </cell>
          <cell r="J90">
            <v>12.4</v>
          </cell>
          <cell r="K90">
            <v>0</v>
          </cell>
          <cell r="L90">
            <v>0</v>
          </cell>
          <cell r="M90">
            <v>111.6</v>
          </cell>
          <cell r="N90">
            <v>0</v>
          </cell>
          <cell r="O90">
            <v>174.3</v>
          </cell>
          <cell r="P90">
            <v>0</v>
          </cell>
          <cell r="Q90">
            <v>0</v>
          </cell>
          <cell r="R90">
            <v>0</v>
          </cell>
          <cell r="S90">
            <v>100</v>
          </cell>
          <cell r="T90">
            <v>0</v>
          </cell>
          <cell r="U90">
            <v>0</v>
          </cell>
          <cell r="V90">
            <v>0</v>
          </cell>
          <cell r="W90">
            <v>0</v>
          </cell>
          <cell r="X90">
            <v>0</v>
          </cell>
          <cell r="Y90">
            <v>0</v>
          </cell>
          <cell r="Z90">
            <v>0</v>
          </cell>
        </row>
        <row r="91">
          <cell r="A91" t="str">
            <v>CTU06</v>
          </cell>
          <cell r="B91" t="str">
            <v>Hồ Thu</v>
          </cell>
          <cell r="C91" t="str">
            <v>Giang</v>
          </cell>
          <cell r="D91">
            <v>15</v>
          </cell>
          <cell r="E91">
            <v>15</v>
          </cell>
          <cell r="F91">
            <v>493.3</v>
          </cell>
          <cell r="G91">
            <v>601.4</v>
          </cell>
          <cell r="H91">
            <v>0</v>
          </cell>
          <cell r="I91">
            <v>14.3</v>
          </cell>
          <cell r="J91">
            <v>5.8</v>
          </cell>
          <cell r="K91">
            <v>0</v>
          </cell>
          <cell r="L91">
            <v>0</v>
          </cell>
          <cell r="M91">
            <v>79.599999999999994</v>
          </cell>
          <cell r="N91">
            <v>0</v>
          </cell>
          <cell r="O91">
            <v>106</v>
          </cell>
          <cell r="P91">
            <v>0</v>
          </cell>
          <cell r="Q91">
            <v>0</v>
          </cell>
          <cell r="R91">
            <v>0</v>
          </cell>
          <cell r="S91">
            <v>180</v>
          </cell>
          <cell r="T91">
            <v>144</v>
          </cell>
          <cell r="U91">
            <v>3.3</v>
          </cell>
          <cell r="V91">
            <v>0</v>
          </cell>
          <cell r="W91">
            <v>1.4</v>
          </cell>
          <cell r="X91">
            <v>52</v>
          </cell>
          <cell r="Y91">
            <v>0</v>
          </cell>
          <cell r="Z91">
            <v>15</v>
          </cell>
        </row>
        <row r="92">
          <cell r="A92" t="str">
            <v>CTU08</v>
          </cell>
          <cell r="B92" t="str">
            <v>Nguyễn Đức</v>
          </cell>
          <cell r="C92" t="str">
            <v>Tùng</v>
          </cell>
          <cell r="D92">
            <v>40</v>
          </cell>
          <cell r="E92">
            <v>40</v>
          </cell>
          <cell r="F92">
            <v>514.6</v>
          </cell>
          <cell r="G92">
            <v>604.1</v>
          </cell>
          <cell r="H92">
            <v>0</v>
          </cell>
          <cell r="I92">
            <v>31.9</v>
          </cell>
          <cell r="J92">
            <v>12.9</v>
          </cell>
          <cell r="K92">
            <v>45.6</v>
          </cell>
          <cell r="L92">
            <v>0</v>
          </cell>
          <cell r="M92">
            <v>93.6</v>
          </cell>
          <cell r="N92">
            <v>0</v>
          </cell>
          <cell r="O92">
            <v>93</v>
          </cell>
          <cell r="P92">
            <v>0</v>
          </cell>
          <cell r="Q92">
            <v>0</v>
          </cell>
          <cell r="R92">
            <v>0</v>
          </cell>
          <cell r="S92">
            <v>180</v>
          </cell>
          <cell r="T92">
            <v>54</v>
          </cell>
          <cell r="U92">
            <v>0.8</v>
          </cell>
          <cell r="V92">
            <v>0</v>
          </cell>
          <cell r="W92">
            <v>0.3</v>
          </cell>
          <cell r="X92">
            <v>92</v>
          </cell>
          <cell r="Y92">
            <v>0</v>
          </cell>
          <cell r="Z92">
            <v>0</v>
          </cell>
        </row>
        <row r="93">
          <cell r="A93" t="str">
            <v>CTU09</v>
          </cell>
          <cell r="B93" t="str">
            <v>Phạm Hồng</v>
          </cell>
          <cell r="C93" t="str">
            <v>Thái</v>
          </cell>
          <cell r="D93">
            <v>12</v>
          </cell>
          <cell r="E93">
            <v>12</v>
          </cell>
          <cell r="F93">
            <v>352.3</v>
          </cell>
          <cell r="G93">
            <v>477.8</v>
          </cell>
          <cell r="H93">
            <v>0</v>
          </cell>
          <cell r="I93">
            <v>54.6</v>
          </cell>
          <cell r="J93">
            <v>22.1</v>
          </cell>
          <cell r="K93">
            <v>0</v>
          </cell>
          <cell r="L93">
            <v>0</v>
          </cell>
          <cell r="M93">
            <v>183.8</v>
          </cell>
          <cell r="N93">
            <v>0</v>
          </cell>
          <cell r="O93">
            <v>85.3</v>
          </cell>
          <cell r="P93">
            <v>0</v>
          </cell>
          <cell r="Q93">
            <v>0</v>
          </cell>
          <cell r="R93">
            <v>0</v>
          </cell>
          <cell r="S93">
            <v>120</v>
          </cell>
          <cell r="T93">
            <v>0</v>
          </cell>
          <cell r="U93">
            <v>0</v>
          </cell>
          <cell r="V93">
            <v>0</v>
          </cell>
          <cell r="W93">
            <v>0</v>
          </cell>
          <cell r="X93">
            <v>12</v>
          </cell>
          <cell r="Y93">
            <v>0</v>
          </cell>
          <cell r="Z93">
            <v>0</v>
          </cell>
        </row>
        <row r="94">
          <cell r="A94" t="str">
            <v>CTU11</v>
          </cell>
          <cell r="B94" t="str">
            <v>Lê Ngọc</v>
          </cell>
          <cell r="C94" t="str">
            <v>Anh</v>
          </cell>
          <cell r="D94">
            <v>40</v>
          </cell>
          <cell r="E94">
            <v>40</v>
          </cell>
          <cell r="F94">
            <v>335.6</v>
          </cell>
          <cell r="G94">
            <v>404.3</v>
          </cell>
          <cell r="H94">
            <v>0</v>
          </cell>
          <cell r="I94">
            <v>22.2</v>
          </cell>
          <cell r="J94">
            <v>9.1</v>
          </cell>
          <cell r="K94">
            <v>0</v>
          </cell>
          <cell r="L94">
            <v>0</v>
          </cell>
          <cell r="M94">
            <v>136</v>
          </cell>
          <cell r="N94">
            <v>0</v>
          </cell>
          <cell r="O94">
            <v>65.599999999999994</v>
          </cell>
          <cell r="P94">
            <v>0</v>
          </cell>
          <cell r="Q94">
            <v>0</v>
          </cell>
          <cell r="R94">
            <v>0</v>
          </cell>
          <cell r="S94">
            <v>100</v>
          </cell>
          <cell r="T94">
            <v>18</v>
          </cell>
          <cell r="U94">
            <v>1</v>
          </cell>
          <cell r="V94">
            <v>0</v>
          </cell>
          <cell r="W94">
            <v>0.4</v>
          </cell>
          <cell r="X94">
            <v>52</v>
          </cell>
          <cell r="Y94">
            <v>0</v>
          </cell>
          <cell r="Z94">
            <v>0</v>
          </cell>
        </row>
        <row r="95">
          <cell r="A95" t="str">
            <v>CTU15</v>
          </cell>
          <cell r="B95" t="str">
            <v>Trần Thị Thu</v>
          </cell>
          <cell r="C95" t="str">
            <v>Phương</v>
          </cell>
          <cell r="D95">
            <v>45.6</v>
          </cell>
          <cell r="E95">
            <v>45.6</v>
          </cell>
          <cell r="F95">
            <v>45.6</v>
          </cell>
          <cell r="G95">
            <v>45.6</v>
          </cell>
          <cell r="H95">
            <v>0</v>
          </cell>
          <cell r="I95">
            <v>0</v>
          </cell>
          <cell r="J95">
            <v>0</v>
          </cell>
          <cell r="K95">
            <v>45.6</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t="str">
            <v>CVS02</v>
          </cell>
          <cell r="B96" t="str">
            <v>Nguyễn Văn</v>
          </cell>
          <cell r="C96" t="str">
            <v>Giang</v>
          </cell>
          <cell r="D96">
            <v>12</v>
          </cell>
          <cell r="E96">
            <v>12</v>
          </cell>
          <cell r="F96">
            <v>439</v>
          </cell>
          <cell r="G96">
            <v>490.3</v>
          </cell>
          <cell r="H96">
            <v>0</v>
          </cell>
          <cell r="I96">
            <v>37.6</v>
          </cell>
          <cell r="J96">
            <v>11.9</v>
          </cell>
          <cell r="K96">
            <v>30</v>
          </cell>
          <cell r="L96">
            <v>0</v>
          </cell>
          <cell r="M96">
            <v>168.8</v>
          </cell>
          <cell r="N96">
            <v>0</v>
          </cell>
          <cell r="O96">
            <v>30</v>
          </cell>
          <cell r="P96">
            <v>0</v>
          </cell>
          <cell r="Q96">
            <v>0</v>
          </cell>
          <cell r="R96">
            <v>0</v>
          </cell>
          <cell r="S96">
            <v>200</v>
          </cell>
          <cell r="T96">
            <v>0</v>
          </cell>
          <cell r="U96">
            <v>0</v>
          </cell>
          <cell r="V96">
            <v>0</v>
          </cell>
          <cell r="W96">
            <v>0</v>
          </cell>
          <cell r="X96">
            <v>12</v>
          </cell>
          <cell r="Y96">
            <v>0</v>
          </cell>
          <cell r="Z96">
            <v>0</v>
          </cell>
        </row>
        <row r="97">
          <cell r="A97" t="str">
            <v>CVS03</v>
          </cell>
          <cell r="B97" t="str">
            <v>Nguyễn Thanh</v>
          </cell>
          <cell r="C97" t="str">
            <v>Huyền</v>
          </cell>
          <cell r="D97">
            <v>6</v>
          </cell>
          <cell r="E97">
            <v>6</v>
          </cell>
          <cell r="F97">
            <v>163</v>
          </cell>
          <cell r="G97">
            <v>215.4</v>
          </cell>
          <cell r="H97">
            <v>0</v>
          </cell>
          <cell r="I97">
            <v>16.600000000000001</v>
          </cell>
          <cell r="J97">
            <v>0</v>
          </cell>
          <cell r="K97">
            <v>0</v>
          </cell>
          <cell r="L97">
            <v>0</v>
          </cell>
          <cell r="M97">
            <v>15.3</v>
          </cell>
          <cell r="N97">
            <v>0</v>
          </cell>
          <cell r="O97">
            <v>159.5</v>
          </cell>
          <cell r="P97">
            <v>0</v>
          </cell>
          <cell r="Q97">
            <v>0</v>
          </cell>
          <cell r="R97">
            <v>0</v>
          </cell>
          <cell r="S97">
            <v>24</v>
          </cell>
          <cell r="T97">
            <v>0</v>
          </cell>
          <cell r="U97">
            <v>0</v>
          </cell>
          <cell r="V97">
            <v>0</v>
          </cell>
          <cell r="W97">
            <v>0</v>
          </cell>
          <cell r="X97">
            <v>0</v>
          </cell>
          <cell r="Y97">
            <v>0</v>
          </cell>
          <cell r="Z97">
            <v>0</v>
          </cell>
        </row>
        <row r="98">
          <cell r="A98" t="str">
            <v>CVS05</v>
          </cell>
          <cell r="B98" t="str">
            <v>Trần Đông</v>
          </cell>
          <cell r="C98" t="str">
            <v>Anh</v>
          </cell>
          <cell r="D98">
            <v>30</v>
          </cell>
          <cell r="E98">
            <v>30</v>
          </cell>
          <cell r="F98">
            <v>168</v>
          </cell>
          <cell r="G98">
            <v>180.5</v>
          </cell>
          <cell r="H98">
            <v>0</v>
          </cell>
          <cell r="I98">
            <v>6.2</v>
          </cell>
          <cell r="J98">
            <v>1.8</v>
          </cell>
          <cell r="K98">
            <v>30</v>
          </cell>
          <cell r="L98">
            <v>0</v>
          </cell>
          <cell r="M98">
            <v>37.5</v>
          </cell>
          <cell r="N98">
            <v>0</v>
          </cell>
          <cell r="O98">
            <v>45</v>
          </cell>
          <cell r="P98">
            <v>0</v>
          </cell>
          <cell r="Q98">
            <v>0</v>
          </cell>
          <cell r="R98">
            <v>0</v>
          </cell>
          <cell r="S98">
            <v>60</v>
          </cell>
          <cell r="T98">
            <v>0</v>
          </cell>
          <cell r="U98">
            <v>0</v>
          </cell>
          <cell r="V98">
            <v>0</v>
          </cell>
          <cell r="W98">
            <v>0</v>
          </cell>
          <cell r="X98">
            <v>0</v>
          </cell>
          <cell r="Y98">
            <v>0</v>
          </cell>
          <cell r="Z98">
            <v>0</v>
          </cell>
        </row>
        <row r="99">
          <cell r="A99" t="str">
            <v>CVS06</v>
          </cell>
          <cell r="B99" t="str">
            <v>Nguyễn Xuân</v>
          </cell>
          <cell r="C99" t="str">
            <v>Cảnh</v>
          </cell>
          <cell r="D99">
            <v>12</v>
          </cell>
          <cell r="E99">
            <v>12</v>
          </cell>
          <cell r="F99">
            <v>703</v>
          </cell>
          <cell r="G99">
            <v>815.6</v>
          </cell>
          <cell r="H99">
            <v>0</v>
          </cell>
          <cell r="I99">
            <v>61.7</v>
          </cell>
          <cell r="J99">
            <v>24.8</v>
          </cell>
          <cell r="K99">
            <v>30</v>
          </cell>
          <cell r="L99">
            <v>0</v>
          </cell>
          <cell r="M99">
            <v>319.10000000000002</v>
          </cell>
          <cell r="N99">
            <v>0</v>
          </cell>
          <cell r="O99">
            <v>0</v>
          </cell>
          <cell r="P99">
            <v>0</v>
          </cell>
          <cell r="Q99">
            <v>0</v>
          </cell>
          <cell r="R99">
            <v>0</v>
          </cell>
          <cell r="S99">
            <v>368</v>
          </cell>
          <cell r="T99">
            <v>0</v>
          </cell>
          <cell r="U99">
            <v>0</v>
          </cell>
          <cell r="V99">
            <v>0</v>
          </cell>
          <cell r="W99">
            <v>0</v>
          </cell>
          <cell r="X99">
            <v>12</v>
          </cell>
          <cell r="Y99">
            <v>0</v>
          </cell>
          <cell r="Z99">
            <v>0</v>
          </cell>
        </row>
        <row r="100">
          <cell r="A100" t="str">
            <v>CVS09</v>
          </cell>
          <cell r="B100" t="str">
            <v>Trần Thị Hồng</v>
          </cell>
          <cell r="C100" t="str">
            <v>Hạnh</v>
          </cell>
          <cell r="D100">
            <v>20</v>
          </cell>
          <cell r="E100">
            <v>20</v>
          </cell>
          <cell r="F100">
            <v>179</v>
          </cell>
          <cell r="G100">
            <v>188.2</v>
          </cell>
          <cell r="H100">
            <v>0</v>
          </cell>
          <cell r="I100">
            <v>11.7</v>
          </cell>
          <cell r="J100">
            <v>0</v>
          </cell>
          <cell r="K100">
            <v>0</v>
          </cell>
          <cell r="L100">
            <v>0</v>
          </cell>
          <cell r="M100">
            <v>0</v>
          </cell>
          <cell r="N100">
            <v>0</v>
          </cell>
          <cell r="O100">
            <v>92.5</v>
          </cell>
          <cell r="P100">
            <v>0</v>
          </cell>
          <cell r="Q100">
            <v>0</v>
          </cell>
          <cell r="R100">
            <v>0</v>
          </cell>
          <cell r="S100">
            <v>84</v>
          </cell>
          <cell r="T100">
            <v>0</v>
          </cell>
          <cell r="U100">
            <v>0</v>
          </cell>
          <cell r="V100">
            <v>0</v>
          </cell>
          <cell r="W100">
            <v>0</v>
          </cell>
          <cell r="X100">
            <v>0</v>
          </cell>
          <cell r="Y100">
            <v>0</v>
          </cell>
          <cell r="Z100">
            <v>0</v>
          </cell>
        </row>
        <row r="101">
          <cell r="A101" t="str">
            <v>CVS11</v>
          </cell>
          <cell r="B101" t="str">
            <v>Ngô Xuân</v>
          </cell>
          <cell r="C101" t="str">
            <v>Nghiễn</v>
          </cell>
          <cell r="D101">
            <v>30</v>
          </cell>
          <cell r="E101">
            <v>30</v>
          </cell>
          <cell r="F101">
            <v>138</v>
          </cell>
          <cell r="G101">
            <v>140.19999999999999</v>
          </cell>
          <cell r="H101">
            <v>0</v>
          </cell>
          <cell r="I101">
            <v>5.2</v>
          </cell>
          <cell r="J101">
            <v>0</v>
          </cell>
          <cell r="K101">
            <v>30</v>
          </cell>
          <cell r="L101">
            <v>0</v>
          </cell>
          <cell r="M101">
            <v>0</v>
          </cell>
          <cell r="N101">
            <v>0</v>
          </cell>
          <cell r="O101">
            <v>105</v>
          </cell>
          <cell r="P101">
            <v>0</v>
          </cell>
          <cell r="Q101">
            <v>0</v>
          </cell>
          <cell r="R101">
            <v>0</v>
          </cell>
          <cell r="S101">
            <v>0</v>
          </cell>
          <cell r="T101">
            <v>0</v>
          </cell>
          <cell r="U101">
            <v>0</v>
          </cell>
          <cell r="V101">
            <v>0</v>
          </cell>
          <cell r="W101">
            <v>0</v>
          </cell>
          <cell r="X101">
            <v>0</v>
          </cell>
          <cell r="Y101">
            <v>0</v>
          </cell>
          <cell r="Z101">
            <v>0</v>
          </cell>
        </row>
        <row r="102">
          <cell r="A102" t="str">
            <v>CVS12</v>
          </cell>
          <cell r="B102" t="str">
            <v>Nguyễn Thị Bích</v>
          </cell>
          <cell r="C102" t="str">
            <v>Thùy</v>
          </cell>
          <cell r="D102">
            <v>30</v>
          </cell>
          <cell r="E102">
            <v>30</v>
          </cell>
          <cell r="F102">
            <v>269</v>
          </cell>
          <cell r="G102">
            <v>291.7</v>
          </cell>
          <cell r="H102">
            <v>0</v>
          </cell>
          <cell r="I102">
            <v>23</v>
          </cell>
          <cell r="J102">
            <v>8.6999999999999993</v>
          </cell>
          <cell r="K102">
            <v>30</v>
          </cell>
          <cell r="L102">
            <v>0</v>
          </cell>
          <cell r="M102">
            <v>105</v>
          </cell>
          <cell r="N102">
            <v>0</v>
          </cell>
          <cell r="O102">
            <v>45</v>
          </cell>
          <cell r="P102">
            <v>0</v>
          </cell>
          <cell r="Q102">
            <v>0</v>
          </cell>
          <cell r="R102">
            <v>0</v>
          </cell>
          <cell r="S102">
            <v>80</v>
          </cell>
          <cell r="T102">
            <v>0</v>
          </cell>
          <cell r="U102">
            <v>0</v>
          </cell>
          <cell r="V102">
            <v>0</v>
          </cell>
          <cell r="W102">
            <v>0</v>
          </cell>
          <cell r="X102">
            <v>0</v>
          </cell>
          <cell r="Y102">
            <v>0</v>
          </cell>
          <cell r="Z102">
            <v>0</v>
          </cell>
        </row>
        <row r="103">
          <cell r="A103" t="str">
            <v>DCM02</v>
          </cell>
          <cell r="B103" t="str">
            <v>Tạ Quang</v>
          </cell>
          <cell r="C103" t="str">
            <v>Giảng</v>
          </cell>
          <cell r="D103">
            <v>1</v>
          </cell>
          <cell r="E103">
            <v>9.8000000000000007</v>
          </cell>
          <cell r="F103">
            <v>94</v>
          </cell>
          <cell r="G103">
            <v>143.19999999999999</v>
          </cell>
          <cell r="H103">
            <v>0</v>
          </cell>
          <cell r="I103">
            <v>21.9</v>
          </cell>
          <cell r="J103">
            <v>8.8000000000000007</v>
          </cell>
          <cell r="K103">
            <v>0</v>
          </cell>
          <cell r="L103">
            <v>0</v>
          </cell>
          <cell r="M103">
            <v>112.5</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A104" t="str">
            <v>DCM03</v>
          </cell>
          <cell r="B104" t="str">
            <v>Trần Khánh</v>
          </cell>
          <cell r="C104" t="str">
            <v>Dư</v>
          </cell>
          <cell r="D104">
            <v>1</v>
          </cell>
          <cell r="E104">
            <v>4.5</v>
          </cell>
          <cell r="F104">
            <v>188</v>
          </cell>
          <cell r="G104">
            <v>281.10000000000002</v>
          </cell>
          <cell r="H104">
            <v>0</v>
          </cell>
          <cell r="I104">
            <v>36.6</v>
          </cell>
          <cell r="J104">
            <v>14.7</v>
          </cell>
          <cell r="K104">
            <v>0</v>
          </cell>
          <cell r="L104">
            <v>0</v>
          </cell>
          <cell r="M104">
            <v>229.8</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t="str">
            <v>DCM04</v>
          </cell>
          <cell r="B105" t="str">
            <v>Vũ Thị Thu</v>
          </cell>
          <cell r="C105" t="str">
            <v>Hà</v>
          </cell>
          <cell r="D105">
            <v>1</v>
          </cell>
          <cell r="E105">
            <v>3.8</v>
          </cell>
          <cell r="F105">
            <v>141</v>
          </cell>
          <cell r="G105">
            <v>154.4</v>
          </cell>
          <cell r="H105">
            <v>0</v>
          </cell>
          <cell r="I105">
            <v>13.8</v>
          </cell>
          <cell r="J105">
            <v>5.6</v>
          </cell>
          <cell r="K105">
            <v>0</v>
          </cell>
          <cell r="L105">
            <v>0</v>
          </cell>
          <cell r="M105">
            <v>135</v>
          </cell>
          <cell r="N105">
            <v>0</v>
          </cell>
          <cell r="O105">
            <v>0</v>
          </cell>
          <cell r="P105">
            <v>0</v>
          </cell>
          <cell r="Q105">
            <v>0</v>
          </cell>
          <cell r="R105">
            <v>0</v>
          </cell>
          <cell r="S105">
            <v>0</v>
          </cell>
          <cell r="T105">
            <v>0</v>
          </cell>
          <cell r="U105">
            <v>0</v>
          </cell>
          <cell r="V105">
            <v>0</v>
          </cell>
          <cell r="W105">
            <v>0</v>
          </cell>
          <cell r="X105">
            <v>0</v>
          </cell>
          <cell r="Y105">
            <v>0</v>
          </cell>
          <cell r="Z105">
            <v>0</v>
          </cell>
        </row>
        <row r="106">
          <cell r="A106" t="str">
            <v>DCM05</v>
          </cell>
          <cell r="B106" t="str">
            <v>Vũ Hải</v>
          </cell>
          <cell r="C106" t="str">
            <v>Hà</v>
          </cell>
          <cell r="D106">
            <v>20</v>
          </cell>
          <cell r="E106">
            <v>20</v>
          </cell>
          <cell r="F106">
            <v>307</v>
          </cell>
          <cell r="G106">
            <v>370.2</v>
          </cell>
          <cell r="H106">
            <v>0</v>
          </cell>
          <cell r="I106">
            <v>39.799999999999997</v>
          </cell>
          <cell r="J106">
            <v>16.100000000000001</v>
          </cell>
          <cell r="K106">
            <v>0</v>
          </cell>
          <cell r="L106">
            <v>0</v>
          </cell>
          <cell r="M106">
            <v>274.3</v>
          </cell>
          <cell r="N106">
            <v>0</v>
          </cell>
          <cell r="O106">
            <v>0</v>
          </cell>
          <cell r="P106">
            <v>0</v>
          </cell>
          <cell r="Q106">
            <v>0</v>
          </cell>
          <cell r="R106">
            <v>0</v>
          </cell>
          <cell r="S106">
            <v>40</v>
          </cell>
          <cell r="T106">
            <v>0</v>
          </cell>
          <cell r="U106">
            <v>0</v>
          </cell>
          <cell r="V106">
            <v>0</v>
          </cell>
          <cell r="W106">
            <v>0</v>
          </cell>
          <cell r="X106">
            <v>0</v>
          </cell>
          <cell r="Y106">
            <v>0</v>
          </cell>
          <cell r="Z106">
            <v>0</v>
          </cell>
        </row>
        <row r="107">
          <cell r="A107" t="str">
            <v>DCM06</v>
          </cell>
          <cell r="B107" t="str">
            <v>Hà Thị Hồng</v>
          </cell>
          <cell r="C107" t="str">
            <v>Yến</v>
          </cell>
          <cell r="D107">
            <v>1</v>
          </cell>
          <cell r="E107">
            <v>9.5</v>
          </cell>
          <cell r="F107">
            <v>235</v>
          </cell>
          <cell r="G107">
            <v>283.10000000000002</v>
          </cell>
          <cell r="H107">
            <v>0</v>
          </cell>
          <cell r="I107">
            <v>38.700000000000003</v>
          </cell>
          <cell r="J107">
            <v>15.5</v>
          </cell>
          <cell r="K107">
            <v>0</v>
          </cell>
          <cell r="L107">
            <v>0</v>
          </cell>
          <cell r="M107">
            <v>228.9</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A108" t="str">
            <v>DCM07</v>
          </cell>
          <cell r="B108" t="str">
            <v>Lê Thị</v>
          </cell>
          <cell r="C108" t="str">
            <v>Dung</v>
          </cell>
          <cell r="D108">
            <v>1</v>
          </cell>
          <cell r="E108">
            <v>6.3</v>
          </cell>
          <cell r="F108">
            <v>188</v>
          </cell>
          <cell r="G108">
            <v>257.89999999999998</v>
          </cell>
          <cell r="H108">
            <v>0</v>
          </cell>
          <cell r="I108">
            <v>32.700000000000003</v>
          </cell>
          <cell r="J108">
            <v>13.1</v>
          </cell>
          <cell r="K108">
            <v>0</v>
          </cell>
          <cell r="L108">
            <v>0</v>
          </cell>
          <cell r="M108">
            <v>212.1</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A109" t="str">
            <v>DIE07</v>
          </cell>
          <cell r="B109" t="str">
            <v>Nguyễn Văn</v>
          </cell>
          <cell r="C109" t="str">
            <v>Đạt</v>
          </cell>
          <cell r="D109">
            <v>1</v>
          </cell>
          <cell r="E109">
            <v>9</v>
          </cell>
          <cell r="F109">
            <v>280</v>
          </cell>
          <cell r="G109">
            <v>374.6</v>
          </cell>
          <cell r="H109">
            <v>0</v>
          </cell>
          <cell r="I109">
            <v>50</v>
          </cell>
          <cell r="J109">
            <v>20.100000000000001</v>
          </cell>
          <cell r="K109">
            <v>0</v>
          </cell>
          <cell r="L109">
            <v>0</v>
          </cell>
          <cell r="M109">
            <v>184.5</v>
          </cell>
          <cell r="N109">
            <v>0</v>
          </cell>
          <cell r="O109">
            <v>120</v>
          </cell>
          <cell r="P109">
            <v>0</v>
          </cell>
          <cell r="Q109">
            <v>0</v>
          </cell>
          <cell r="R109">
            <v>0</v>
          </cell>
          <cell r="S109">
            <v>0</v>
          </cell>
          <cell r="T109">
            <v>0</v>
          </cell>
          <cell r="U109">
            <v>0</v>
          </cell>
          <cell r="V109">
            <v>0</v>
          </cell>
          <cell r="W109">
            <v>0</v>
          </cell>
          <cell r="X109">
            <v>0</v>
          </cell>
          <cell r="Y109">
            <v>0</v>
          </cell>
          <cell r="Z109">
            <v>0</v>
          </cell>
        </row>
        <row r="110">
          <cell r="A110" t="str">
            <v>DIE08</v>
          </cell>
          <cell r="B110" t="str">
            <v>Nguyễn Thị</v>
          </cell>
          <cell r="C110" t="str">
            <v>Hiên</v>
          </cell>
          <cell r="D110">
            <v>1</v>
          </cell>
          <cell r="E110">
            <v>6.4</v>
          </cell>
          <cell r="F110">
            <v>188</v>
          </cell>
          <cell r="G110">
            <v>232.2</v>
          </cell>
          <cell r="H110">
            <v>0</v>
          </cell>
          <cell r="I110">
            <v>32.700000000000003</v>
          </cell>
          <cell r="J110">
            <v>13.1</v>
          </cell>
          <cell r="K110">
            <v>0</v>
          </cell>
          <cell r="L110">
            <v>0</v>
          </cell>
          <cell r="M110">
            <v>156.4</v>
          </cell>
          <cell r="N110">
            <v>0</v>
          </cell>
          <cell r="O110">
            <v>30</v>
          </cell>
          <cell r="P110">
            <v>0</v>
          </cell>
          <cell r="Q110">
            <v>0</v>
          </cell>
          <cell r="R110">
            <v>0</v>
          </cell>
          <cell r="S110">
            <v>0</v>
          </cell>
          <cell r="T110">
            <v>0</v>
          </cell>
          <cell r="U110">
            <v>0</v>
          </cell>
          <cell r="V110">
            <v>0</v>
          </cell>
          <cell r="W110">
            <v>0</v>
          </cell>
          <cell r="X110">
            <v>0</v>
          </cell>
          <cell r="Y110">
            <v>0</v>
          </cell>
          <cell r="Z110">
            <v>0</v>
          </cell>
        </row>
        <row r="111">
          <cell r="A111" t="str">
            <v>DIE09</v>
          </cell>
          <cell r="B111" t="str">
            <v>Phạm Việt</v>
          </cell>
          <cell r="C111" t="str">
            <v>Sơn</v>
          </cell>
          <cell r="D111">
            <v>1</v>
          </cell>
          <cell r="E111">
            <v>5</v>
          </cell>
          <cell r="F111">
            <v>55</v>
          </cell>
          <cell r="G111">
            <v>60</v>
          </cell>
          <cell r="H111">
            <v>0</v>
          </cell>
          <cell r="I111">
            <v>5</v>
          </cell>
          <cell r="J111">
            <v>2</v>
          </cell>
          <cell r="K111">
            <v>0</v>
          </cell>
          <cell r="L111">
            <v>0</v>
          </cell>
          <cell r="M111">
            <v>22</v>
          </cell>
          <cell r="N111">
            <v>0</v>
          </cell>
          <cell r="O111">
            <v>31</v>
          </cell>
          <cell r="P111">
            <v>0</v>
          </cell>
          <cell r="Q111">
            <v>0</v>
          </cell>
          <cell r="R111">
            <v>0</v>
          </cell>
          <cell r="S111">
            <v>0</v>
          </cell>
          <cell r="T111">
            <v>0</v>
          </cell>
          <cell r="U111">
            <v>0</v>
          </cell>
          <cell r="V111">
            <v>0</v>
          </cell>
          <cell r="W111">
            <v>0</v>
          </cell>
          <cell r="X111">
            <v>0</v>
          </cell>
          <cell r="Y111">
            <v>0</v>
          </cell>
          <cell r="Z111">
            <v>0</v>
          </cell>
        </row>
        <row r="112">
          <cell r="A112" t="str">
            <v>DIE13</v>
          </cell>
          <cell r="B112" t="str">
            <v>Mai Thị Thanh</v>
          </cell>
          <cell r="C112" t="str">
            <v>Thủy</v>
          </cell>
          <cell r="D112">
            <v>1</v>
          </cell>
          <cell r="E112">
            <v>9</v>
          </cell>
          <cell r="F112">
            <v>235</v>
          </cell>
          <cell r="G112">
            <v>327.10000000000002</v>
          </cell>
          <cell r="H112">
            <v>0</v>
          </cell>
          <cell r="I112">
            <v>51.3</v>
          </cell>
          <cell r="J112">
            <v>20.7</v>
          </cell>
          <cell r="K112">
            <v>0</v>
          </cell>
          <cell r="L112">
            <v>0</v>
          </cell>
          <cell r="M112">
            <v>180.1</v>
          </cell>
          <cell r="N112">
            <v>0</v>
          </cell>
          <cell r="O112">
            <v>75</v>
          </cell>
          <cell r="P112">
            <v>0</v>
          </cell>
          <cell r="Q112">
            <v>0</v>
          </cell>
          <cell r="R112">
            <v>0</v>
          </cell>
          <cell r="S112">
            <v>0</v>
          </cell>
          <cell r="T112">
            <v>0</v>
          </cell>
          <cell r="U112">
            <v>0</v>
          </cell>
          <cell r="V112">
            <v>0</v>
          </cell>
          <cell r="W112">
            <v>0</v>
          </cell>
          <cell r="X112">
            <v>0</v>
          </cell>
          <cell r="Y112">
            <v>0</v>
          </cell>
          <cell r="Z112">
            <v>0</v>
          </cell>
        </row>
        <row r="113">
          <cell r="A113" t="str">
            <v>DIE14</v>
          </cell>
          <cell r="B113" t="str">
            <v>Nguyễn Thị Tuyết</v>
          </cell>
          <cell r="C113" t="str">
            <v>Nhung</v>
          </cell>
          <cell r="D113">
            <v>1</v>
          </cell>
          <cell r="E113">
            <v>5.6</v>
          </cell>
          <cell r="F113">
            <v>115</v>
          </cell>
          <cell r="G113">
            <v>128.4</v>
          </cell>
          <cell r="H113">
            <v>0</v>
          </cell>
          <cell r="I113">
            <v>5.6</v>
          </cell>
          <cell r="J113">
            <v>2.2999999999999998</v>
          </cell>
          <cell r="K113">
            <v>0</v>
          </cell>
          <cell r="L113">
            <v>0</v>
          </cell>
          <cell r="M113">
            <v>22</v>
          </cell>
          <cell r="N113">
            <v>0</v>
          </cell>
          <cell r="O113">
            <v>98.5</v>
          </cell>
          <cell r="P113">
            <v>0</v>
          </cell>
          <cell r="Q113">
            <v>0</v>
          </cell>
          <cell r="R113">
            <v>0</v>
          </cell>
          <cell r="S113">
            <v>0</v>
          </cell>
          <cell r="T113">
            <v>0</v>
          </cell>
          <cell r="U113">
            <v>0</v>
          </cell>
          <cell r="V113">
            <v>0</v>
          </cell>
          <cell r="W113">
            <v>0</v>
          </cell>
          <cell r="X113">
            <v>0</v>
          </cell>
          <cell r="Y113">
            <v>0</v>
          </cell>
          <cell r="Z113">
            <v>0</v>
          </cell>
        </row>
        <row r="114">
          <cell r="A114" t="str">
            <v>DLU02</v>
          </cell>
          <cell r="B114" t="str">
            <v>Hàn Trung</v>
          </cell>
          <cell r="C114" t="str">
            <v>Dũng</v>
          </cell>
          <cell r="D114">
            <v>20</v>
          </cell>
          <cell r="E114">
            <v>20</v>
          </cell>
          <cell r="F114">
            <v>186</v>
          </cell>
          <cell r="G114">
            <v>193.2</v>
          </cell>
          <cell r="H114">
            <v>0</v>
          </cell>
          <cell r="I114">
            <v>9.3000000000000007</v>
          </cell>
          <cell r="J114">
            <v>3.9</v>
          </cell>
          <cell r="K114">
            <v>15</v>
          </cell>
          <cell r="L114">
            <v>0</v>
          </cell>
          <cell r="M114">
            <v>81</v>
          </cell>
          <cell r="N114">
            <v>0</v>
          </cell>
          <cell r="O114">
            <v>24</v>
          </cell>
          <cell r="P114">
            <v>0</v>
          </cell>
          <cell r="Q114">
            <v>0</v>
          </cell>
          <cell r="R114">
            <v>0</v>
          </cell>
          <cell r="S114">
            <v>60</v>
          </cell>
          <cell r="T114">
            <v>0</v>
          </cell>
          <cell r="U114">
            <v>0</v>
          </cell>
          <cell r="V114">
            <v>0</v>
          </cell>
          <cell r="W114">
            <v>0</v>
          </cell>
          <cell r="X114">
            <v>0</v>
          </cell>
          <cell r="Y114">
            <v>0</v>
          </cell>
          <cell r="Z114">
            <v>0</v>
          </cell>
        </row>
        <row r="115">
          <cell r="A115" t="str">
            <v>DLU05</v>
          </cell>
          <cell r="B115" t="str">
            <v>Nguyễn Ngọc</v>
          </cell>
          <cell r="C115" t="str">
            <v>Quế</v>
          </cell>
          <cell r="D115">
            <v>10</v>
          </cell>
          <cell r="E115">
            <v>10</v>
          </cell>
          <cell r="F115">
            <v>192</v>
          </cell>
          <cell r="G115">
            <v>192.7</v>
          </cell>
          <cell r="H115">
            <v>0</v>
          </cell>
          <cell r="I115">
            <v>1.9</v>
          </cell>
          <cell r="J115">
            <v>0.8</v>
          </cell>
          <cell r="K115">
            <v>15</v>
          </cell>
          <cell r="L115">
            <v>0</v>
          </cell>
          <cell r="M115">
            <v>30</v>
          </cell>
          <cell r="N115">
            <v>0</v>
          </cell>
          <cell r="O115">
            <v>15</v>
          </cell>
          <cell r="P115">
            <v>0</v>
          </cell>
          <cell r="Q115">
            <v>0</v>
          </cell>
          <cell r="R115">
            <v>0</v>
          </cell>
          <cell r="S115">
            <v>120</v>
          </cell>
          <cell r="T115">
            <v>0</v>
          </cell>
          <cell r="U115">
            <v>0</v>
          </cell>
          <cell r="V115">
            <v>0</v>
          </cell>
          <cell r="W115">
            <v>0</v>
          </cell>
          <cell r="X115">
            <v>0</v>
          </cell>
          <cell r="Y115">
            <v>0</v>
          </cell>
          <cell r="Z115">
            <v>10</v>
          </cell>
        </row>
        <row r="116">
          <cell r="A116" t="str">
            <v>DLU07</v>
          </cell>
          <cell r="B116" t="str">
            <v>Đặng Tiến</v>
          </cell>
          <cell r="C116" t="str">
            <v>Hòa</v>
          </cell>
          <cell r="D116">
            <v>10</v>
          </cell>
          <cell r="E116">
            <v>10</v>
          </cell>
          <cell r="F116">
            <v>181</v>
          </cell>
          <cell r="G116">
            <v>199.3</v>
          </cell>
          <cell r="H116">
            <v>0</v>
          </cell>
          <cell r="I116">
            <v>7.6</v>
          </cell>
          <cell r="J116">
            <v>3.2</v>
          </cell>
          <cell r="K116">
            <v>0</v>
          </cell>
          <cell r="L116">
            <v>0</v>
          </cell>
          <cell r="M116">
            <v>110.5</v>
          </cell>
          <cell r="N116">
            <v>0</v>
          </cell>
          <cell r="O116">
            <v>8</v>
          </cell>
          <cell r="P116">
            <v>0</v>
          </cell>
          <cell r="Q116">
            <v>0</v>
          </cell>
          <cell r="R116">
            <v>0</v>
          </cell>
          <cell r="S116">
            <v>60</v>
          </cell>
          <cell r="T116">
            <v>0</v>
          </cell>
          <cell r="U116">
            <v>0</v>
          </cell>
          <cell r="V116">
            <v>0</v>
          </cell>
          <cell r="W116">
            <v>0</v>
          </cell>
          <cell r="X116">
            <v>0</v>
          </cell>
          <cell r="Y116">
            <v>0</v>
          </cell>
          <cell r="Z116">
            <v>10</v>
          </cell>
        </row>
        <row r="117">
          <cell r="A117" t="str">
            <v>DLU08</v>
          </cell>
          <cell r="B117" t="str">
            <v>Bùi Việt</v>
          </cell>
          <cell r="C117" t="str">
            <v>Đức</v>
          </cell>
          <cell r="D117">
            <v>20</v>
          </cell>
          <cell r="E117">
            <v>20</v>
          </cell>
          <cell r="F117">
            <v>229</v>
          </cell>
          <cell r="G117">
            <v>235.2</v>
          </cell>
          <cell r="H117">
            <v>0</v>
          </cell>
          <cell r="I117">
            <v>7.2</v>
          </cell>
          <cell r="J117">
            <v>3</v>
          </cell>
          <cell r="K117">
            <v>0</v>
          </cell>
          <cell r="L117">
            <v>0</v>
          </cell>
          <cell r="M117">
            <v>60</v>
          </cell>
          <cell r="N117">
            <v>0</v>
          </cell>
          <cell r="O117">
            <v>45</v>
          </cell>
          <cell r="P117">
            <v>0</v>
          </cell>
          <cell r="Q117">
            <v>0</v>
          </cell>
          <cell r="R117">
            <v>0</v>
          </cell>
          <cell r="S117">
            <v>80</v>
          </cell>
          <cell r="T117">
            <v>0</v>
          </cell>
          <cell r="U117">
            <v>0</v>
          </cell>
          <cell r="V117">
            <v>0</v>
          </cell>
          <cell r="W117">
            <v>0</v>
          </cell>
          <cell r="X117">
            <v>0</v>
          </cell>
          <cell r="Y117">
            <v>0</v>
          </cell>
          <cell r="Z117">
            <v>40</v>
          </cell>
        </row>
        <row r="118">
          <cell r="A118" t="str">
            <v>DLU16</v>
          </cell>
          <cell r="B118" t="str">
            <v>Đỗ Trung</v>
          </cell>
          <cell r="C118" t="str">
            <v>Thực</v>
          </cell>
          <cell r="D118">
            <v>20</v>
          </cell>
          <cell r="E118">
            <v>20</v>
          </cell>
          <cell r="F118">
            <v>145</v>
          </cell>
          <cell r="G118">
            <v>147.5</v>
          </cell>
          <cell r="H118">
            <v>0</v>
          </cell>
          <cell r="I118">
            <v>4.5999999999999996</v>
          </cell>
          <cell r="J118">
            <v>1.9</v>
          </cell>
          <cell r="K118">
            <v>15</v>
          </cell>
          <cell r="L118">
            <v>0</v>
          </cell>
          <cell r="M118">
            <v>67</v>
          </cell>
          <cell r="N118">
            <v>0</v>
          </cell>
          <cell r="O118">
            <v>39</v>
          </cell>
          <cell r="P118">
            <v>0</v>
          </cell>
          <cell r="Q118">
            <v>0</v>
          </cell>
          <cell r="R118">
            <v>0</v>
          </cell>
          <cell r="S118">
            <v>20</v>
          </cell>
          <cell r="T118">
            <v>0</v>
          </cell>
          <cell r="U118">
            <v>0</v>
          </cell>
          <cell r="V118">
            <v>0</v>
          </cell>
          <cell r="W118">
            <v>0</v>
          </cell>
          <cell r="X118">
            <v>0</v>
          </cell>
          <cell r="Y118">
            <v>0</v>
          </cell>
          <cell r="Z118">
            <v>0</v>
          </cell>
        </row>
        <row r="119">
          <cell r="A119" t="str">
            <v>DRN03</v>
          </cell>
          <cell r="B119" t="str">
            <v>Nguyễn Thu</v>
          </cell>
          <cell r="C119" t="str">
            <v>Thủy</v>
          </cell>
          <cell r="D119">
            <v>6</v>
          </cell>
          <cell r="E119">
            <v>6</v>
          </cell>
          <cell r="F119">
            <v>6</v>
          </cell>
          <cell r="G119">
            <v>6</v>
          </cell>
          <cell r="H119">
            <v>0</v>
          </cell>
          <cell r="I119">
            <v>0</v>
          </cell>
          <cell r="J119">
            <v>0</v>
          </cell>
          <cell r="K119">
            <v>0</v>
          </cell>
          <cell r="L119">
            <v>0</v>
          </cell>
          <cell r="M119">
            <v>0</v>
          </cell>
          <cell r="N119">
            <v>0</v>
          </cell>
          <cell r="O119">
            <v>0</v>
          </cell>
          <cell r="P119">
            <v>0</v>
          </cell>
          <cell r="Q119">
            <v>0</v>
          </cell>
          <cell r="R119">
            <v>0</v>
          </cell>
          <cell r="S119">
            <v>6</v>
          </cell>
          <cell r="T119">
            <v>0</v>
          </cell>
          <cell r="U119">
            <v>0</v>
          </cell>
          <cell r="V119">
            <v>0</v>
          </cell>
          <cell r="W119">
            <v>0</v>
          </cell>
          <cell r="X119">
            <v>0</v>
          </cell>
          <cell r="Y119">
            <v>0</v>
          </cell>
          <cell r="Z119">
            <v>0</v>
          </cell>
        </row>
        <row r="120">
          <cell r="A120" t="str">
            <v>DTA01</v>
          </cell>
          <cell r="B120" t="str">
            <v>Bùi Văn</v>
          </cell>
          <cell r="C120" t="str">
            <v>Định</v>
          </cell>
          <cell r="D120">
            <v>20</v>
          </cell>
          <cell r="E120">
            <v>20</v>
          </cell>
          <cell r="F120">
            <v>320</v>
          </cell>
          <cell r="G120">
            <v>365.4</v>
          </cell>
          <cell r="H120">
            <v>0</v>
          </cell>
          <cell r="I120">
            <v>28.3</v>
          </cell>
          <cell r="J120">
            <v>11.3</v>
          </cell>
          <cell r="K120">
            <v>16</v>
          </cell>
          <cell r="L120">
            <v>0</v>
          </cell>
          <cell r="M120">
            <v>101.8</v>
          </cell>
          <cell r="N120">
            <v>0</v>
          </cell>
          <cell r="O120">
            <v>88</v>
          </cell>
          <cell r="P120">
            <v>0</v>
          </cell>
          <cell r="Q120">
            <v>0</v>
          </cell>
          <cell r="R120">
            <v>0</v>
          </cell>
          <cell r="S120">
            <v>120</v>
          </cell>
          <cell r="T120">
            <v>0</v>
          </cell>
          <cell r="U120">
            <v>0</v>
          </cell>
          <cell r="V120">
            <v>0</v>
          </cell>
          <cell r="W120">
            <v>0</v>
          </cell>
          <cell r="X120">
            <v>0</v>
          </cell>
          <cell r="Y120">
            <v>0</v>
          </cell>
          <cell r="Z120">
            <v>0</v>
          </cell>
        </row>
        <row r="121">
          <cell r="A121" t="str">
            <v>DTA03</v>
          </cell>
          <cell r="B121" t="str">
            <v>Lê Việt</v>
          </cell>
          <cell r="C121" t="str">
            <v>Phương</v>
          </cell>
          <cell r="D121">
            <v>40</v>
          </cell>
          <cell r="E121">
            <v>40</v>
          </cell>
          <cell r="F121">
            <v>410</v>
          </cell>
          <cell r="G121">
            <v>567.70000000000005</v>
          </cell>
          <cell r="H121">
            <v>0</v>
          </cell>
          <cell r="I121">
            <v>46.8</v>
          </cell>
          <cell r="J121">
            <v>18.899999999999999</v>
          </cell>
          <cell r="K121">
            <v>16</v>
          </cell>
          <cell r="L121">
            <v>0</v>
          </cell>
          <cell r="M121">
            <v>198.3</v>
          </cell>
          <cell r="N121">
            <v>0</v>
          </cell>
          <cell r="O121">
            <v>120</v>
          </cell>
          <cell r="P121">
            <v>0</v>
          </cell>
          <cell r="Q121">
            <v>0</v>
          </cell>
          <cell r="R121">
            <v>0</v>
          </cell>
          <cell r="S121">
            <v>100</v>
          </cell>
          <cell r="T121">
            <v>27</v>
          </cell>
          <cell r="U121">
            <v>0.5</v>
          </cell>
          <cell r="V121">
            <v>0</v>
          </cell>
          <cell r="W121">
            <v>0.2</v>
          </cell>
          <cell r="X121">
            <v>40</v>
          </cell>
          <cell r="Y121">
            <v>0</v>
          </cell>
          <cell r="Z121">
            <v>0</v>
          </cell>
        </row>
        <row r="122">
          <cell r="A122" t="str">
            <v>DTA05</v>
          </cell>
          <cell r="B122" t="str">
            <v>Nguyễn T Tuyết</v>
          </cell>
          <cell r="C122" t="str">
            <v>Lê</v>
          </cell>
          <cell r="D122">
            <v>1</v>
          </cell>
          <cell r="E122">
            <v>1.1000000000000001</v>
          </cell>
          <cell r="F122">
            <v>303</v>
          </cell>
          <cell r="G122">
            <v>375.8</v>
          </cell>
          <cell r="H122">
            <v>0</v>
          </cell>
          <cell r="I122">
            <v>25.4</v>
          </cell>
          <cell r="J122">
            <v>10.199999999999999</v>
          </cell>
          <cell r="K122">
            <v>16</v>
          </cell>
          <cell r="L122">
            <v>0</v>
          </cell>
          <cell r="M122">
            <v>65.3</v>
          </cell>
          <cell r="N122">
            <v>0</v>
          </cell>
          <cell r="O122">
            <v>110.5</v>
          </cell>
          <cell r="P122">
            <v>0</v>
          </cell>
          <cell r="Q122">
            <v>0</v>
          </cell>
          <cell r="R122">
            <v>0</v>
          </cell>
          <cell r="S122">
            <v>100</v>
          </cell>
          <cell r="T122">
            <v>45</v>
          </cell>
          <cell r="U122">
            <v>2.4</v>
          </cell>
          <cell r="V122">
            <v>0</v>
          </cell>
          <cell r="W122">
            <v>1</v>
          </cell>
          <cell r="X122">
            <v>0</v>
          </cell>
          <cell r="Y122">
            <v>0</v>
          </cell>
          <cell r="Z122">
            <v>0</v>
          </cell>
        </row>
        <row r="123">
          <cell r="A123" t="str">
            <v>DTA06</v>
          </cell>
          <cell r="B123" t="str">
            <v>Đặng Thúy</v>
          </cell>
          <cell r="C123" t="str">
            <v>Nhung</v>
          </cell>
          <cell r="D123">
            <v>42</v>
          </cell>
          <cell r="E123">
            <v>42</v>
          </cell>
          <cell r="F123">
            <v>361</v>
          </cell>
          <cell r="G123">
            <v>434.5</v>
          </cell>
          <cell r="H123">
            <v>0</v>
          </cell>
          <cell r="I123">
            <v>25.1</v>
          </cell>
          <cell r="J123">
            <v>10</v>
          </cell>
          <cell r="K123">
            <v>16</v>
          </cell>
          <cell r="L123">
            <v>0</v>
          </cell>
          <cell r="M123">
            <v>105.7</v>
          </cell>
          <cell r="N123">
            <v>0</v>
          </cell>
          <cell r="O123">
            <v>64</v>
          </cell>
          <cell r="P123">
            <v>0</v>
          </cell>
          <cell r="Q123">
            <v>0</v>
          </cell>
          <cell r="R123">
            <v>0</v>
          </cell>
          <cell r="S123">
            <v>120</v>
          </cell>
          <cell r="T123">
            <v>27</v>
          </cell>
          <cell r="U123">
            <v>0.5</v>
          </cell>
          <cell r="V123">
            <v>0</v>
          </cell>
          <cell r="W123">
            <v>0.2</v>
          </cell>
          <cell r="X123">
            <v>66</v>
          </cell>
          <cell r="Y123">
            <v>0</v>
          </cell>
          <cell r="Z123">
            <v>0</v>
          </cell>
        </row>
        <row r="124">
          <cell r="A124" t="str">
            <v>DTA07</v>
          </cell>
          <cell r="B124" t="str">
            <v>Bùi Quang</v>
          </cell>
          <cell r="C124" t="str">
            <v>Tuấn</v>
          </cell>
          <cell r="D124">
            <v>1</v>
          </cell>
          <cell r="E124">
            <v>1.3</v>
          </cell>
          <cell r="F124">
            <v>435</v>
          </cell>
          <cell r="G124">
            <v>568.29999999999995</v>
          </cell>
          <cell r="H124">
            <v>0</v>
          </cell>
          <cell r="I124">
            <v>47.6</v>
          </cell>
          <cell r="J124">
            <v>19.100000000000001</v>
          </cell>
          <cell r="K124">
            <v>16</v>
          </cell>
          <cell r="L124">
            <v>0</v>
          </cell>
          <cell r="M124">
            <v>164.8</v>
          </cell>
          <cell r="N124">
            <v>0</v>
          </cell>
          <cell r="O124">
            <v>181</v>
          </cell>
          <cell r="P124">
            <v>0</v>
          </cell>
          <cell r="Q124">
            <v>0</v>
          </cell>
          <cell r="R124">
            <v>0</v>
          </cell>
          <cell r="S124">
            <v>120</v>
          </cell>
          <cell r="T124">
            <v>18</v>
          </cell>
          <cell r="U124">
            <v>1.3</v>
          </cell>
          <cell r="V124">
            <v>0</v>
          </cell>
          <cell r="W124">
            <v>0.5</v>
          </cell>
          <cell r="X124">
            <v>0</v>
          </cell>
          <cell r="Y124">
            <v>0</v>
          </cell>
          <cell r="Z124">
            <v>0</v>
          </cell>
        </row>
        <row r="125">
          <cell r="A125" t="str">
            <v>DTC01</v>
          </cell>
          <cell r="B125" t="str">
            <v>Vũ Văn</v>
          </cell>
          <cell r="C125" t="str">
            <v>Liết</v>
          </cell>
          <cell r="D125">
            <v>20</v>
          </cell>
          <cell r="E125">
            <v>20</v>
          </cell>
          <cell r="F125">
            <v>399</v>
          </cell>
          <cell r="G125">
            <v>411</v>
          </cell>
          <cell r="H125">
            <v>0</v>
          </cell>
          <cell r="I125">
            <v>0</v>
          </cell>
          <cell r="J125">
            <v>0</v>
          </cell>
          <cell r="K125">
            <v>0</v>
          </cell>
          <cell r="L125">
            <v>0</v>
          </cell>
          <cell r="M125">
            <v>0</v>
          </cell>
          <cell r="N125">
            <v>0</v>
          </cell>
          <cell r="O125">
            <v>0</v>
          </cell>
          <cell r="P125">
            <v>0</v>
          </cell>
          <cell r="Q125">
            <v>0</v>
          </cell>
          <cell r="R125">
            <v>0</v>
          </cell>
          <cell r="S125">
            <v>134</v>
          </cell>
          <cell r="T125">
            <v>27</v>
          </cell>
          <cell r="U125">
            <v>0</v>
          </cell>
          <cell r="V125">
            <v>0</v>
          </cell>
          <cell r="W125">
            <v>0</v>
          </cell>
          <cell r="X125">
            <v>200</v>
          </cell>
          <cell r="Y125">
            <v>0</v>
          </cell>
          <cell r="Z125">
            <v>50</v>
          </cell>
        </row>
        <row r="126">
          <cell r="A126" t="str">
            <v>DTC02</v>
          </cell>
          <cell r="B126" t="str">
            <v>Vũ Thị Thu</v>
          </cell>
          <cell r="C126" t="str">
            <v>Hiền</v>
          </cell>
          <cell r="D126">
            <v>22.5</v>
          </cell>
          <cell r="E126">
            <v>22.5</v>
          </cell>
          <cell r="F126">
            <v>344.5</v>
          </cell>
          <cell r="G126">
            <v>451</v>
          </cell>
          <cell r="H126">
            <v>0</v>
          </cell>
          <cell r="I126">
            <v>15.1</v>
          </cell>
          <cell r="J126">
            <v>6</v>
          </cell>
          <cell r="K126">
            <v>0</v>
          </cell>
          <cell r="L126">
            <v>0</v>
          </cell>
          <cell r="M126">
            <v>82</v>
          </cell>
          <cell r="N126">
            <v>0</v>
          </cell>
          <cell r="O126">
            <v>88</v>
          </cell>
          <cell r="P126">
            <v>0</v>
          </cell>
          <cell r="Q126">
            <v>0</v>
          </cell>
          <cell r="R126">
            <v>0</v>
          </cell>
          <cell r="S126">
            <v>100</v>
          </cell>
          <cell r="T126">
            <v>54</v>
          </cell>
          <cell r="U126">
            <v>2.4</v>
          </cell>
          <cell r="V126">
            <v>0</v>
          </cell>
          <cell r="W126">
            <v>1</v>
          </cell>
          <cell r="X126">
            <v>80</v>
          </cell>
          <cell r="Y126">
            <v>22.5</v>
          </cell>
          <cell r="Z126">
            <v>0</v>
          </cell>
        </row>
        <row r="127">
          <cell r="A127" t="str">
            <v>DTC03</v>
          </cell>
          <cell r="B127" t="str">
            <v>Trần Thiện</v>
          </cell>
          <cell r="C127" t="str">
            <v>Long</v>
          </cell>
          <cell r="D127">
            <v>40</v>
          </cell>
          <cell r="E127">
            <v>40</v>
          </cell>
          <cell r="F127">
            <v>154</v>
          </cell>
          <cell r="G127">
            <v>158.1</v>
          </cell>
          <cell r="H127">
            <v>0</v>
          </cell>
          <cell r="I127">
            <v>5.7</v>
          </cell>
          <cell r="J127">
            <v>2.4</v>
          </cell>
          <cell r="K127">
            <v>0</v>
          </cell>
          <cell r="L127">
            <v>0</v>
          </cell>
          <cell r="M127">
            <v>59</v>
          </cell>
          <cell r="N127">
            <v>0</v>
          </cell>
          <cell r="O127">
            <v>31</v>
          </cell>
          <cell r="P127">
            <v>0</v>
          </cell>
          <cell r="Q127">
            <v>0</v>
          </cell>
          <cell r="R127">
            <v>0</v>
          </cell>
          <cell r="S127">
            <v>60</v>
          </cell>
          <cell r="T127">
            <v>0</v>
          </cell>
          <cell r="U127">
            <v>0</v>
          </cell>
          <cell r="V127">
            <v>0</v>
          </cell>
          <cell r="W127">
            <v>0</v>
          </cell>
          <cell r="X127">
            <v>0</v>
          </cell>
          <cell r="Y127">
            <v>0</v>
          </cell>
          <cell r="Z127">
            <v>0</v>
          </cell>
        </row>
        <row r="128">
          <cell r="A128" t="str">
            <v>DTC04</v>
          </cell>
          <cell r="B128" t="str">
            <v>Nguyễn Hồng</v>
          </cell>
          <cell r="C128" t="str">
            <v>Minh</v>
          </cell>
          <cell r="D128">
            <v>40</v>
          </cell>
          <cell r="E128">
            <v>40</v>
          </cell>
          <cell r="F128">
            <v>200</v>
          </cell>
          <cell r="G128">
            <v>200</v>
          </cell>
          <cell r="H128">
            <v>0</v>
          </cell>
          <cell r="I128">
            <v>0</v>
          </cell>
          <cell r="J128">
            <v>0</v>
          </cell>
          <cell r="K128">
            <v>0</v>
          </cell>
          <cell r="L128">
            <v>0</v>
          </cell>
          <cell r="M128">
            <v>0</v>
          </cell>
          <cell r="N128">
            <v>0</v>
          </cell>
          <cell r="O128">
            <v>0</v>
          </cell>
          <cell r="P128">
            <v>0</v>
          </cell>
          <cell r="Q128">
            <v>0</v>
          </cell>
          <cell r="R128">
            <v>0</v>
          </cell>
          <cell r="S128">
            <v>120</v>
          </cell>
          <cell r="T128">
            <v>0</v>
          </cell>
          <cell r="U128">
            <v>0</v>
          </cell>
          <cell r="V128">
            <v>0</v>
          </cell>
          <cell r="W128">
            <v>0</v>
          </cell>
          <cell r="X128">
            <v>80</v>
          </cell>
          <cell r="Y128">
            <v>0</v>
          </cell>
          <cell r="Z128">
            <v>0</v>
          </cell>
        </row>
        <row r="129">
          <cell r="A129" t="str">
            <v>DTC05</v>
          </cell>
          <cell r="B129" t="str">
            <v>Lê Thị Tuyết</v>
          </cell>
          <cell r="C129" t="str">
            <v>Châm</v>
          </cell>
          <cell r="D129">
            <v>20</v>
          </cell>
          <cell r="E129">
            <v>20</v>
          </cell>
          <cell r="F129">
            <v>163</v>
          </cell>
          <cell r="G129">
            <v>190</v>
          </cell>
          <cell r="H129">
            <v>0</v>
          </cell>
          <cell r="I129">
            <v>10.7</v>
          </cell>
          <cell r="J129">
            <v>4.3</v>
          </cell>
          <cell r="K129">
            <v>0</v>
          </cell>
          <cell r="L129">
            <v>0</v>
          </cell>
          <cell r="M129">
            <v>59</v>
          </cell>
          <cell r="N129">
            <v>0</v>
          </cell>
          <cell r="O129">
            <v>48</v>
          </cell>
          <cell r="P129">
            <v>0</v>
          </cell>
          <cell r="Q129">
            <v>0</v>
          </cell>
          <cell r="R129">
            <v>0</v>
          </cell>
          <cell r="S129">
            <v>68</v>
          </cell>
          <cell r="T129">
            <v>0</v>
          </cell>
          <cell r="U129">
            <v>0</v>
          </cell>
          <cell r="V129">
            <v>0</v>
          </cell>
          <cell r="W129">
            <v>0</v>
          </cell>
          <cell r="X129">
            <v>0</v>
          </cell>
          <cell r="Y129">
            <v>0</v>
          </cell>
          <cell r="Z129">
            <v>0</v>
          </cell>
        </row>
        <row r="130">
          <cell r="A130" t="str">
            <v>DTC06</v>
          </cell>
          <cell r="B130" t="str">
            <v>Vũ Đình</v>
          </cell>
          <cell r="C130" t="str">
            <v>Hòa</v>
          </cell>
          <cell r="D130">
            <v>10</v>
          </cell>
          <cell r="E130">
            <v>10</v>
          </cell>
          <cell r="F130">
            <v>124</v>
          </cell>
          <cell r="G130">
            <v>193.8</v>
          </cell>
          <cell r="H130">
            <v>0</v>
          </cell>
          <cell r="I130">
            <v>7</v>
          </cell>
          <cell r="J130">
            <v>2.8</v>
          </cell>
          <cell r="K130">
            <v>0</v>
          </cell>
          <cell r="L130">
            <v>0</v>
          </cell>
          <cell r="M130">
            <v>114</v>
          </cell>
          <cell r="N130">
            <v>0</v>
          </cell>
          <cell r="O130">
            <v>0</v>
          </cell>
          <cell r="P130">
            <v>0</v>
          </cell>
          <cell r="Q130">
            <v>0</v>
          </cell>
          <cell r="R130">
            <v>0</v>
          </cell>
          <cell r="S130">
            <v>60</v>
          </cell>
          <cell r="T130">
            <v>0</v>
          </cell>
          <cell r="U130">
            <v>0</v>
          </cell>
          <cell r="V130">
            <v>0</v>
          </cell>
          <cell r="W130">
            <v>0</v>
          </cell>
          <cell r="X130">
            <v>0</v>
          </cell>
          <cell r="Y130">
            <v>0</v>
          </cell>
          <cell r="Z130">
            <v>10</v>
          </cell>
        </row>
        <row r="131">
          <cell r="A131" t="str">
            <v>DTC07</v>
          </cell>
          <cell r="B131" t="str">
            <v>Nguyễn Thanh</v>
          </cell>
          <cell r="C131" t="str">
            <v>Tuấn</v>
          </cell>
          <cell r="D131">
            <v>40</v>
          </cell>
          <cell r="E131">
            <v>40</v>
          </cell>
          <cell r="F131">
            <v>254</v>
          </cell>
          <cell r="G131">
            <v>262.5</v>
          </cell>
          <cell r="H131">
            <v>0</v>
          </cell>
          <cell r="I131">
            <v>8.9</v>
          </cell>
          <cell r="J131">
            <v>3.6</v>
          </cell>
          <cell r="K131">
            <v>0</v>
          </cell>
          <cell r="L131">
            <v>0</v>
          </cell>
          <cell r="M131">
            <v>45</v>
          </cell>
          <cell r="N131">
            <v>0</v>
          </cell>
          <cell r="O131">
            <v>30</v>
          </cell>
          <cell r="P131">
            <v>0</v>
          </cell>
          <cell r="Q131">
            <v>0</v>
          </cell>
          <cell r="R131">
            <v>15</v>
          </cell>
          <cell r="S131">
            <v>120</v>
          </cell>
          <cell r="T131">
            <v>0</v>
          </cell>
          <cell r="U131">
            <v>0</v>
          </cell>
          <cell r="V131">
            <v>0</v>
          </cell>
          <cell r="W131">
            <v>0</v>
          </cell>
          <cell r="X131">
            <v>40</v>
          </cell>
          <cell r="Y131">
            <v>0</v>
          </cell>
          <cell r="Z131">
            <v>0</v>
          </cell>
        </row>
        <row r="132">
          <cell r="A132" t="str">
            <v>DTC08</v>
          </cell>
          <cell r="B132" t="str">
            <v>Ngô Thị Hồng</v>
          </cell>
          <cell r="C132" t="str">
            <v>Tươi</v>
          </cell>
          <cell r="D132">
            <v>20</v>
          </cell>
          <cell r="E132">
            <v>20</v>
          </cell>
          <cell r="F132">
            <v>222</v>
          </cell>
          <cell r="G132">
            <v>258.10000000000002</v>
          </cell>
          <cell r="H132">
            <v>0</v>
          </cell>
          <cell r="I132">
            <v>19.100000000000001</v>
          </cell>
          <cell r="J132">
            <v>7.7</v>
          </cell>
          <cell r="K132">
            <v>0</v>
          </cell>
          <cell r="L132">
            <v>0</v>
          </cell>
          <cell r="M132">
            <v>73.3</v>
          </cell>
          <cell r="N132">
            <v>0</v>
          </cell>
          <cell r="O132">
            <v>90</v>
          </cell>
          <cell r="P132">
            <v>0</v>
          </cell>
          <cell r="Q132">
            <v>0</v>
          </cell>
          <cell r="R132">
            <v>0</v>
          </cell>
          <cell r="S132">
            <v>68</v>
          </cell>
          <cell r="T132">
            <v>0</v>
          </cell>
          <cell r="U132">
            <v>0</v>
          </cell>
          <cell r="V132">
            <v>0</v>
          </cell>
          <cell r="W132">
            <v>0</v>
          </cell>
          <cell r="X132">
            <v>0</v>
          </cell>
          <cell r="Y132">
            <v>0</v>
          </cell>
          <cell r="Z132">
            <v>0</v>
          </cell>
        </row>
        <row r="133">
          <cell r="A133" t="str">
            <v>DTC09</v>
          </cell>
          <cell r="B133" t="str">
            <v>Vũ Thị Thúy</v>
          </cell>
          <cell r="C133" t="str">
            <v>Hằng</v>
          </cell>
          <cell r="D133">
            <v>40</v>
          </cell>
          <cell r="E133">
            <v>40</v>
          </cell>
          <cell r="F133">
            <v>80</v>
          </cell>
          <cell r="G133">
            <v>80</v>
          </cell>
          <cell r="H133">
            <v>0</v>
          </cell>
          <cell r="I133">
            <v>0</v>
          </cell>
          <cell r="J133">
            <v>0</v>
          </cell>
          <cell r="K133">
            <v>0</v>
          </cell>
          <cell r="L133">
            <v>0</v>
          </cell>
          <cell r="M133">
            <v>0</v>
          </cell>
          <cell r="N133">
            <v>0</v>
          </cell>
          <cell r="O133">
            <v>0</v>
          </cell>
          <cell r="P133">
            <v>0</v>
          </cell>
          <cell r="Q133">
            <v>0</v>
          </cell>
          <cell r="R133">
            <v>0</v>
          </cell>
          <cell r="S133">
            <v>80</v>
          </cell>
          <cell r="T133">
            <v>0</v>
          </cell>
          <cell r="U133">
            <v>0</v>
          </cell>
          <cell r="V133">
            <v>0</v>
          </cell>
          <cell r="W133">
            <v>0</v>
          </cell>
          <cell r="X133">
            <v>0</v>
          </cell>
          <cell r="Y133">
            <v>0</v>
          </cell>
          <cell r="Z133">
            <v>0</v>
          </cell>
        </row>
        <row r="134">
          <cell r="A134" t="str">
            <v>DTC10</v>
          </cell>
          <cell r="B134" t="str">
            <v>Phạm Thị</v>
          </cell>
          <cell r="C134" t="str">
            <v>Ngọc</v>
          </cell>
          <cell r="D134">
            <v>20</v>
          </cell>
          <cell r="E134">
            <v>20</v>
          </cell>
          <cell r="F134">
            <v>200</v>
          </cell>
          <cell r="G134">
            <v>246</v>
          </cell>
          <cell r="H134">
            <v>0</v>
          </cell>
          <cell r="I134">
            <v>18.600000000000001</v>
          </cell>
          <cell r="J134">
            <v>7.4</v>
          </cell>
          <cell r="K134">
            <v>0</v>
          </cell>
          <cell r="L134">
            <v>0</v>
          </cell>
          <cell r="M134">
            <v>76</v>
          </cell>
          <cell r="N134">
            <v>0</v>
          </cell>
          <cell r="O134">
            <v>84</v>
          </cell>
          <cell r="P134">
            <v>0</v>
          </cell>
          <cell r="Q134">
            <v>0</v>
          </cell>
          <cell r="R134">
            <v>0</v>
          </cell>
          <cell r="S134">
            <v>60</v>
          </cell>
          <cell r="T134">
            <v>0</v>
          </cell>
          <cell r="U134">
            <v>0</v>
          </cell>
          <cell r="V134">
            <v>0</v>
          </cell>
          <cell r="W134">
            <v>0</v>
          </cell>
          <cell r="X134">
            <v>0</v>
          </cell>
          <cell r="Y134">
            <v>0</v>
          </cell>
          <cell r="Z134">
            <v>0</v>
          </cell>
        </row>
        <row r="135">
          <cell r="A135" t="str">
            <v>DTC11</v>
          </cell>
          <cell r="B135" t="str">
            <v>Nguyễn Văn</v>
          </cell>
          <cell r="C135" t="str">
            <v>Cương</v>
          </cell>
          <cell r="D135">
            <v>40</v>
          </cell>
          <cell r="E135">
            <v>40</v>
          </cell>
          <cell r="F135">
            <v>310</v>
          </cell>
          <cell r="G135">
            <v>332.8</v>
          </cell>
          <cell r="H135">
            <v>0</v>
          </cell>
          <cell r="I135">
            <v>10.5</v>
          </cell>
          <cell r="J135">
            <v>4.3</v>
          </cell>
          <cell r="K135">
            <v>0</v>
          </cell>
          <cell r="L135">
            <v>0</v>
          </cell>
          <cell r="M135">
            <v>44</v>
          </cell>
          <cell r="N135">
            <v>0</v>
          </cell>
          <cell r="O135">
            <v>44</v>
          </cell>
          <cell r="P135">
            <v>0</v>
          </cell>
          <cell r="Q135">
            <v>0</v>
          </cell>
          <cell r="R135">
            <v>0</v>
          </cell>
          <cell r="S135">
            <v>162</v>
          </cell>
          <cell r="T135">
            <v>0</v>
          </cell>
          <cell r="U135">
            <v>0</v>
          </cell>
          <cell r="V135">
            <v>0</v>
          </cell>
          <cell r="W135">
            <v>0</v>
          </cell>
          <cell r="X135">
            <v>68</v>
          </cell>
          <cell r="Y135">
            <v>0</v>
          </cell>
          <cell r="Z135">
            <v>0</v>
          </cell>
        </row>
        <row r="136">
          <cell r="A136" t="str">
            <v>DTC12</v>
          </cell>
          <cell r="B136" t="str">
            <v>Nguyễn Tuấn</v>
          </cell>
          <cell r="C136" t="str">
            <v>Anh</v>
          </cell>
          <cell r="D136">
            <v>1</v>
          </cell>
          <cell r="E136">
            <v>6.6</v>
          </cell>
          <cell r="F136">
            <v>40</v>
          </cell>
          <cell r="G136">
            <v>47.3</v>
          </cell>
          <cell r="H136">
            <v>0</v>
          </cell>
          <cell r="I136">
            <v>6.6</v>
          </cell>
          <cell r="J136">
            <v>2.7</v>
          </cell>
          <cell r="K136">
            <v>0</v>
          </cell>
          <cell r="L136">
            <v>0</v>
          </cell>
          <cell r="M136">
            <v>22</v>
          </cell>
          <cell r="N136">
            <v>0</v>
          </cell>
          <cell r="O136">
            <v>16</v>
          </cell>
          <cell r="P136">
            <v>0</v>
          </cell>
          <cell r="Q136">
            <v>0</v>
          </cell>
          <cell r="R136">
            <v>0</v>
          </cell>
          <cell r="S136">
            <v>0</v>
          </cell>
          <cell r="T136">
            <v>0</v>
          </cell>
          <cell r="U136">
            <v>0</v>
          </cell>
          <cell r="V136">
            <v>0</v>
          </cell>
          <cell r="W136">
            <v>0</v>
          </cell>
          <cell r="X136">
            <v>0</v>
          </cell>
          <cell r="Y136">
            <v>0</v>
          </cell>
          <cell r="Z136">
            <v>0</v>
          </cell>
        </row>
        <row r="137">
          <cell r="A137" t="str">
            <v>DTC13</v>
          </cell>
          <cell r="B137" t="str">
            <v>Trần Văn</v>
          </cell>
          <cell r="C137" t="str">
            <v>Quang</v>
          </cell>
          <cell r="D137">
            <v>22.5</v>
          </cell>
          <cell r="E137">
            <v>22.5</v>
          </cell>
          <cell r="F137">
            <v>319.5</v>
          </cell>
          <cell r="G137">
            <v>351</v>
          </cell>
          <cell r="H137">
            <v>0</v>
          </cell>
          <cell r="I137">
            <v>11.5</v>
          </cell>
          <cell r="J137">
            <v>4.5999999999999996</v>
          </cell>
          <cell r="K137">
            <v>0</v>
          </cell>
          <cell r="L137">
            <v>0</v>
          </cell>
          <cell r="M137">
            <v>39.4</v>
          </cell>
          <cell r="N137">
            <v>0</v>
          </cell>
          <cell r="O137">
            <v>0</v>
          </cell>
          <cell r="P137">
            <v>0</v>
          </cell>
          <cell r="Q137">
            <v>0</v>
          </cell>
          <cell r="R137">
            <v>15</v>
          </cell>
          <cell r="S137">
            <v>100</v>
          </cell>
          <cell r="T137">
            <v>0</v>
          </cell>
          <cell r="U137">
            <v>0</v>
          </cell>
          <cell r="V137">
            <v>0</v>
          </cell>
          <cell r="W137">
            <v>0</v>
          </cell>
          <cell r="X137">
            <v>108</v>
          </cell>
          <cell r="Y137">
            <v>22.5</v>
          </cell>
          <cell r="Z137">
            <v>50</v>
          </cell>
        </row>
        <row r="138">
          <cell r="A138" t="str">
            <v>DTC14</v>
          </cell>
          <cell r="B138" t="str">
            <v>Đoàn Thu</v>
          </cell>
          <cell r="C138" t="str">
            <v>Thủy</v>
          </cell>
          <cell r="D138">
            <v>40</v>
          </cell>
          <cell r="E138">
            <v>40</v>
          </cell>
          <cell r="F138">
            <v>212</v>
          </cell>
          <cell r="G138">
            <v>226.1</v>
          </cell>
          <cell r="H138">
            <v>0</v>
          </cell>
          <cell r="I138">
            <v>12.2</v>
          </cell>
          <cell r="J138">
            <v>5</v>
          </cell>
          <cell r="K138">
            <v>0</v>
          </cell>
          <cell r="L138">
            <v>0</v>
          </cell>
          <cell r="M138">
            <v>44.9</v>
          </cell>
          <cell r="N138">
            <v>0</v>
          </cell>
          <cell r="O138">
            <v>64</v>
          </cell>
          <cell r="P138">
            <v>0</v>
          </cell>
          <cell r="Q138">
            <v>0</v>
          </cell>
          <cell r="R138">
            <v>0</v>
          </cell>
          <cell r="S138">
            <v>60</v>
          </cell>
          <cell r="T138">
            <v>0</v>
          </cell>
          <cell r="U138">
            <v>0</v>
          </cell>
          <cell r="V138">
            <v>0</v>
          </cell>
          <cell r="W138">
            <v>0</v>
          </cell>
          <cell r="X138">
            <v>40</v>
          </cell>
          <cell r="Y138">
            <v>0</v>
          </cell>
          <cell r="Z138">
            <v>0</v>
          </cell>
        </row>
        <row r="139">
          <cell r="A139" t="str">
            <v>DTG02</v>
          </cell>
          <cell r="B139" t="str">
            <v>Đinh Văn</v>
          </cell>
          <cell r="C139" t="str">
            <v>Chỉnh</v>
          </cell>
          <cell r="D139">
            <v>18</v>
          </cell>
          <cell r="E139">
            <v>18</v>
          </cell>
          <cell r="F139">
            <v>18</v>
          </cell>
          <cell r="G139">
            <v>18</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18</v>
          </cell>
          <cell r="Y139">
            <v>0</v>
          </cell>
          <cell r="Z139">
            <v>0</v>
          </cell>
        </row>
        <row r="140">
          <cell r="A140" t="str">
            <v>DTG04</v>
          </cell>
          <cell r="B140" t="str">
            <v>Phan Xuân</v>
          </cell>
          <cell r="C140" t="str">
            <v>Hảo</v>
          </cell>
          <cell r="D140">
            <v>10</v>
          </cell>
          <cell r="E140">
            <v>10</v>
          </cell>
          <cell r="F140">
            <v>189</v>
          </cell>
          <cell r="G140">
            <v>232.4</v>
          </cell>
          <cell r="H140">
            <v>0</v>
          </cell>
          <cell r="I140">
            <v>0.8</v>
          </cell>
          <cell r="J140">
            <v>0.3</v>
          </cell>
          <cell r="K140">
            <v>0</v>
          </cell>
          <cell r="L140">
            <v>0</v>
          </cell>
          <cell r="M140">
            <v>43.5</v>
          </cell>
          <cell r="N140">
            <v>0</v>
          </cell>
          <cell r="O140">
            <v>22.5</v>
          </cell>
          <cell r="P140">
            <v>0</v>
          </cell>
          <cell r="Q140">
            <v>0</v>
          </cell>
          <cell r="R140">
            <v>0</v>
          </cell>
          <cell r="S140">
            <v>60</v>
          </cell>
          <cell r="T140">
            <v>54</v>
          </cell>
          <cell r="U140">
            <v>0.9</v>
          </cell>
          <cell r="V140">
            <v>0</v>
          </cell>
          <cell r="W140">
            <v>0.4</v>
          </cell>
          <cell r="X140">
            <v>40</v>
          </cell>
          <cell r="Y140">
            <v>0</v>
          </cell>
          <cell r="Z140">
            <v>10</v>
          </cell>
        </row>
        <row r="141">
          <cell r="A141" t="str">
            <v>DTG05</v>
          </cell>
          <cell r="B141" t="str">
            <v>Hà Xuân</v>
          </cell>
          <cell r="C141" t="str">
            <v>Bộ</v>
          </cell>
          <cell r="D141">
            <v>60</v>
          </cell>
          <cell r="E141">
            <v>60</v>
          </cell>
          <cell r="F141">
            <v>466</v>
          </cell>
          <cell r="G141">
            <v>557.9</v>
          </cell>
          <cell r="H141">
            <v>0</v>
          </cell>
          <cell r="I141">
            <v>64.099999999999994</v>
          </cell>
          <cell r="J141">
            <v>25.8</v>
          </cell>
          <cell r="K141">
            <v>0</v>
          </cell>
          <cell r="L141">
            <v>0</v>
          </cell>
          <cell r="M141">
            <v>88</v>
          </cell>
          <cell r="N141">
            <v>0</v>
          </cell>
          <cell r="O141">
            <v>112</v>
          </cell>
          <cell r="P141">
            <v>0</v>
          </cell>
          <cell r="Q141">
            <v>0</v>
          </cell>
          <cell r="R141">
            <v>0</v>
          </cell>
          <cell r="S141">
            <v>106</v>
          </cell>
          <cell r="T141">
            <v>0</v>
          </cell>
          <cell r="U141">
            <v>0</v>
          </cell>
          <cell r="V141">
            <v>0</v>
          </cell>
          <cell r="W141">
            <v>0</v>
          </cell>
          <cell r="X141">
            <v>162</v>
          </cell>
          <cell r="Y141">
            <v>0</v>
          </cell>
          <cell r="Z141">
            <v>0</v>
          </cell>
        </row>
        <row r="142">
          <cell r="A142" t="str">
            <v>DTG07</v>
          </cell>
          <cell r="B142" t="str">
            <v>Đỗ Đức</v>
          </cell>
          <cell r="C142" t="str">
            <v>Lực</v>
          </cell>
          <cell r="D142">
            <v>10</v>
          </cell>
          <cell r="E142">
            <v>10</v>
          </cell>
          <cell r="F142">
            <v>336</v>
          </cell>
          <cell r="G142">
            <v>379</v>
          </cell>
          <cell r="H142">
            <v>0</v>
          </cell>
          <cell r="I142">
            <v>0</v>
          </cell>
          <cell r="J142">
            <v>0</v>
          </cell>
          <cell r="K142">
            <v>0</v>
          </cell>
          <cell r="L142">
            <v>0</v>
          </cell>
          <cell r="M142">
            <v>105</v>
          </cell>
          <cell r="N142">
            <v>0</v>
          </cell>
          <cell r="O142">
            <v>92</v>
          </cell>
          <cell r="P142">
            <v>0</v>
          </cell>
          <cell r="Q142">
            <v>0</v>
          </cell>
          <cell r="R142">
            <v>0</v>
          </cell>
          <cell r="S142">
            <v>94</v>
          </cell>
          <cell r="T142">
            <v>0</v>
          </cell>
          <cell r="U142">
            <v>0</v>
          </cell>
          <cell r="V142">
            <v>0</v>
          </cell>
          <cell r="W142">
            <v>0</v>
          </cell>
          <cell r="X142">
            <v>78</v>
          </cell>
          <cell r="Y142">
            <v>0</v>
          </cell>
          <cell r="Z142">
            <v>10</v>
          </cell>
        </row>
        <row r="143">
          <cell r="A143" t="str">
            <v>DTG08</v>
          </cell>
          <cell r="B143" t="str">
            <v>Nguyễn Chí</v>
          </cell>
          <cell r="C143" t="str">
            <v>Thành</v>
          </cell>
          <cell r="D143">
            <v>20</v>
          </cell>
          <cell r="E143">
            <v>20</v>
          </cell>
          <cell r="F143">
            <v>226</v>
          </cell>
          <cell r="G143">
            <v>265.8</v>
          </cell>
          <cell r="H143">
            <v>0</v>
          </cell>
          <cell r="I143">
            <v>14.6</v>
          </cell>
          <cell r="J143">
            <v>5.8</v>
          </cell>
          <cell r="K143">
            <v>0</v>
          </cell>
          <cell r="L143">
            <v>0</v>
          </cell>
          <cell r="M143">
            <v>37.9</v>
          </cell>
          <cell r="N143">
            <v>0</v>
          </cell>
          <cell r="O143">
            <v>107.5</v>
          </cell>
          <cell r="P143">
            <v>0</v>
          </cell>
          <cell r="Q143">
            <v>0</v>
          </cell>
          <cell r="R143">
            <v>0</v>
          </cell>
          <cell r="S143">
            <v>100</v>
          </cell>
          <cell r="T143">
            <v>0</v>
          </cell>
          <cell r="U143">
            <v>0</v>
          </cell>
          <cell r="V143">
            <v>0</v>
          </cell>
          <cell r="W143">
            <v>0</v>
          </cell>
          <cell r="X143">
            <v>0</v>
          </cell>
          <cell r="Y143">
            <v>0</v>
          </cell>
          <cell r="Z143">
            <v>0</v>
          </cell>
        </row>
        <row r="144">
          <cell r="A144" t="str">
            <v>DTG09</v>
          </cell>
          <cell r="B144" t="str">
            <v>Nguyễn Hoàng</v>
          </cell>
          <cell r="C144" t="str">
            <v>Thịnh</v>
          </cell>
          <cell r="D144">
            <v>10</v>
          </cell>
          <cell r="E144">
            <v>10</v>
          </cell>
          <cell r="F144">
            <v>280</v>
          </cell>
          <cell r="G144">
            <v>304.10000000000002</v>
          </cell>
          <cell r="H144">
            <v>0</v>
          </cell>
          <cell r="I144">
            <v>13.3</v>
          </cell>
          <cell r="J144">
            <v>5.4</v>
          </cell>
          <cell r="K144">
            <v>0</v>
          </cell>
          <cell r="L144">
            <v>0</v>
          </cell>
          <cell r="M144">
            <v>45.6</v>
          </cell>
          <cell r="N144">
            <v>0</v>
          </cell>
          <cell r="O144">
            <v>24</v>
          </cell>
          <cell r="P144">
            <v>0</v>
          </cell>
          <cell r="Q144">
            <v>0</v>
          </cell>
          <cell r="R144">
            <v>0</v>
          </cell>
          <cell r="S144">
            <v>100</v>
          </cell>
          <cell r="T144">
            <v>18</v>
          </cell>
          <cell r="U144">
            <v>1.3</v>
          </cell>
          <cell r="V144">
            <v>0</v>
          </cell>
          <cell r="W144">
            <v>0.5</v>
          </cell>
          <cell r="X144">
            <v>86</v>
          </cell>
          <cell r="Y144">
            <v>0</v>
          </cell>
          <cell r="Z144">
            <v>10</v>
          </cell>
        </row>
        <row r="145">
          <cell r="A145" t="str">
            <v>DTS02</v>
          </cell>
          <cell r="B145" t="str">
            <v>Trần Thị Nắng</v>
          </cell>
          <cell r="C145" t="str">
            <v>Thu</v>
          </cell>
          <cell r="D145">
            <v>40</v>
          </cell>
          <cell r="E145">
            <v>40</v>
          </cell>
          <cell r="F145">
            <v>483</v>
          </cell>
          <cell r="G145">
            <v>552.6</v>
          </cell>
          <cell r="H145">
            <v>0</v>
          </cell>
          <cell r="I145">
            <v>13.3</v>
          </cell>
          <cell r="J145">
            <v>6.7</v>
          </cell>
          <cell r="K145">
            <v>0</v>
          </cell>
          <cell r="L145">
            <v>0</v>
          </cell>
          <cell r="M145">
            <v>122.1</v>
          </cell>
          <cell r="N145">
            <v>0</v>
          </cell>
          <cell r="O145">
            <v>67.5</v>
          </cell>
          <cell r="P145">
            <v>0</v>
          </cell>
          <cell r="Q145">
            <v>0</v>
          </cell>
          <cell r="R145">
            <v>0</v>
          </cell>
          <cell r="S145">
            <v>60</v>
          </cell>
          <cell r="T145">
            <v>108</v>
          </cell>
          <cell r="U145">
            <v>2.1</v>
          </cell>
          <cell r="V145">
            <v>0</v>
          </cell>
          <cell r="W145">
            <v>0.9</v>
          </cell>
          <cell r="X145">
            <v>172</v>
          </cell>
          <cell r="Y145">
            <v>0</v>
          </cell>
          <cell r="Z145">
            <v>0</v>
          </cell>
        </row>
        <row r="146">
          <cell r="A146" t="str">
            <v>DTS03</v>
          </cell>
          <cell r="B146" t="str">
            <v>Phạm T Lam</v>
          </cell>
          <cell r="C146" t="str">
            <v>Hồng</v>
          </cell>
          <cell r="D146">
            <v>20</v>
          </cell>
          <cell r="E146">
            <v>20</v>
          </cell>
          <cell r="F146">
            <v>75</v>
          </cell>
          <cell r="G146">
            <v>79.900000000000006</v>
          </cell>
          <cell r="H146">
            <v>0</v>
          </cell>
          <cell r="I146">
            <v>4.9000000000000004</v>
          </cell>
          <cell r="J146">
            <v>2</v>
          </cell>
          <cell r="K146">
            <v>0</v>
          </cell>
          <cell r="L146">
            <v>0</v>
          </cell>
          <cell r="M146">
            <v>22</v>
          </cell>
          <cell r="N146">
            <v>0</v>
          </cell>
          <cell r="O146">
            <v>31</v>
          </cell>
          <cell r="P146">
            <v>0</v>
          </cell>
          <cell r="Q146">
            <v>0</v>
          </cell>
          <cell r="R146">
            <v>0</v>
          </cell>
          <cell r="S146">
            <v>20</v>
          </cell>
          <cell r="T146">
            <v>0</v>
          </cell>
          <cell r="U146">
            <v>0</v>
          </cell>
          <cell r="V146">
            <v>0</v>
          </cell>
          <cell r="W146">
            <v>0</v>
          </cell>
          <cell r="X146">
            <v>0</v>
          </cell>
          <cell r="Y146">
            <v>0</v>
          </cell>
          <cell r="Z146">
            <v>0</v>
          </cell>
        </row>
        <row r="147">
          <cell r="A147" t="str">
            <v>GDT01</v>
          </cell>
          <cell r="B147" t="str">
            <v>Nguyễn Văn</v>
          </cell>
          <cell r="C147" t="str">
            <v>Quảng</v>
          </cell>
          <cell r="D147">
            <v>1</v>
          </cell>
          <cell r="E147">
            <v>6.4</v>
          </cell>
          <cell r="F147">
            <v>512</v>
          </cell>
          <cell r="G147">
            <v>738.2</v>
          </cell>
          <cell r="H147">
            <v>0</v>
          </cell>
          <cell r="I147">
            <v>98.9</v>
          </cell>
          <cell r="J147">
            <v>39.799999999999997</v>
          </cell>
          <cell r="K147">
            <v>0</v>
          </cell>
          <cell r="L147">
            <v>0</v>
          </cell>
          <cell r="M147">
            <v>599.5</v>
          </cell>
          <cell r="N147">
            <v>0</v>
          </cell>
          <cell r="O147">
            <v>0</v>
          </cell>
          <cell r="P147">
            <v>0</v>
          </cell>
          <cell r="Q147">
            <v>0</v>
          </cell>
          <cell r="R147">
            <v>0</v>
          </cell>
          <cell r="S147">
            <v>0</v>
          </cell>
          <cell r="T147">
            <v>0</v>
          </cell>
          <cell r="U147">
            <v>0</v>
          </cell>
          <cell r="V147">
            <v>0</v>
          </cell>
          <cell r="W147">
            <v>0</v>
          </cell>
          <cell r="X147">
            <v>0</v>
          </cell>
          <cell r="Y147">
            <v>0</v>
          </cell>
          <cell r="Z147">
            <v>0</v>
          </cell>
        </row>
        <row r="148">
          <cell r="A148" t="str">
            <v>GDT03</v>
          </cell>
          <cell r="B148" t="str">
            <v>Đặng Đức</v>
          </cell>
          <cell r="C148" t="str">
            <v>Hoàn</v>
          </cell>
          <cell r="D148">
            <v>1</v>
          </cell>
          <cell r="E148">
            <v>6.3</v>
          </cell>
          <cell r="F148">
            <v>512</v>
          </cell>
          <cell r="G148">
            <v>735.4</v>
          </cell>
          <cell r="H148">
            <v>0</v>
          </cell>
          <cell r="I148">
            <v>96</v>
          </cell>
          <cell r="J148">
            <v>38.5</v>
          </cell>
          <cell r="K148">
            <v>0</v>
          </cell>
          <cell r="L148">
            <v>0</v>
          </cell>
          <cell r="M148">
            <v>600.9</v>
          </cell>
          <cell r="N148">
            <v>0</v>
          </cell>
          <cell r="O148">
            <v>0</v>
          </cell>
          <cell r="P148">
            <v>0</v>
          </cell>
          <cell r="Q148">
            <v>0</v>
          </cell>
          <cell r="R148">
            <v>0</v>
          </cell>
          <cell r="S148">
            <v>0</v>
          </cell>
          <cell r="T148">
            <v>0</v>
          </cell>
          <cell r="U148">
            <v>0</v>
          </cell>
          <cell r="V148">
            <v>0</v>
          </cell>
          <cell r="W148">
            <v>0</v>
          </cell>
          <cell r="X148">
            <v>0</v>
          </cell>
          <cell r="Y148">
            <v>0</v>
          </cell>
          <cell r="Z148">
            <v>0</v>
          </cell>
        </row>
        <row r="149">
          <cell r="A149" t="str">
            <v>GDT07</v>
          </cell>
          <cell r="B149" t="str">
            <v>Nguyễn Đăng</v>
          </cell>
          <cell r="C149" t="str">
            <v>Thiện</v>
          </cell>
          <cell r="D149">
            <v>1</v>
          </cell>
          <cell r="E149">
            <v>6.3</v>
          </cell>
          <cell r="F149">
            <v>256</v>
          </cell>
          <cell r="G149">
            <v>390</v>
          </cell>
          <cell r="H149">
            <v>0</v>
          </cell>
          <cell r="I149">
            <v>52.9</v>
          </cell>
          <cell r="J149">
            <v>21.2</v>
          </cell>
          <cell r="K149">
            <v>0</v>
          </cell>
          <cell r="L149">
            <v>0</v>
          </cell>
          <cell r="M149">
            <v>315.89999999999998</v>
          </cell>
          <cell r="N149">
            <v>0</v>
          </cell>
          <cell r="O149">
            <v>0</v>
          </cell>
          <cell r="P149">
            <v>0</v>
          </cell>
          <cell r="Q149">
            <v>0</v>
          </cell>
          <cell r="R149">
            <v>0</v>
          </cell>
          <cell r="S149">
            <v>0</v>
          </cell>
          <cell r="T149">
            <v>0</v>
          </cell>
          <cell r="U149">
            <v>0</v>
          </cell>
          <cell r="V149">
            <v>0</v>
          </cell>
          <cell r="W149">
            <v>0</v>
          </cell>
          <cell r="X149">
            <v>0</v>
          </cell>
          <cell r="Y149">
            <v>0</v>
          </cell>
          <cell r="Z149">
            <v>0</v>
          </cell>
        </row>
        <row r="150">
          <cell r="A150" t="str">
            <v>GDT08</v>
          </cell>
          <cell r="B150" t="str">
            <v>Nguyễn Xuân</v>
          </cell>
          <cell r="C150" t="str">
            <v>Cừ</v>
          </cell>
          <cell r="D150">
            <v>1</v>
          </cell>
          <cell r="E150">
            <v>6.3</v>
          </cell>
          <cell r="F150">
            <v>224</v>
          </cell>
          <cell r="G150">
            <v>327.9</v>
          </cell>
          <cell r="H150">
            <v>0</v>
          </cell>
          <cell r="I150">
            <v>44.5</v>
          </cell>
          <cell r="J150">
            <v>17.8</v>
          </cell>
          <cell r="K150">
            <v>0</v>
          </cell>
          <cell r="L150">
            <v>0</v>
          </cell>
          <cell r="M150">
            <v>265.60000000000002</v>
          </cell>
          <cell r="N150">
            <v>0</v>
          </cell>
          <cell r="O150">
            <v>0</v>
          </cell>
          <cell r="P150">
            <v>0</v>
          </cell>
          <cell r="Q150">
            <v>0</v>
          </cell>
          <cell r="R150">
            <v>0</v>
          </cell>
          <cell r="S150">
            <v>0</v>
          </cell>
          <cell r="T150">
            <v>0</v>
          </cell>
          <cell r="U150">
            <v>0</v>
          </cell>
          <cell r="V150">
            <v>0</v>
          </cell>
          <cell r="W150">
            <v>0</v>
          </cell>
          <cell r="X150">
            <v>0</v>
          </cell>
          <cell r="Y150">
            <v>0</v>
          </cell>
          <cell r="Z150">
            <v>0</v>
          </cell>
        </row>
        <row r="151">
          <cell r="A151" t="str">
            <v>GDT09</v>
          </cell>
          <cell r="B151" t="str">
            <v>Trần Văn</v>
          </cell>
          <cell r="C151" t="str">
            <v>Tác</v>
          </cell>
          <cell r="D151">
            <v>1</v>
          </cell>
          <cell r="E151">
            <v>6.4</v>
          </cell>
          <cell r="F151">
            <v>512</v>
          </cell>
          <cell r="G151">
            <v>765.2</v>
          </cell>
          <cell r="H151">
            <v>0</v>
          </cell>
          <cell r="I151">
            <v>102.6</v>
          </cell>
          <cell r="J151">
            <v>41.3</v>
          </cell>
          <cell r="K151">
            <v>0</v>
          </cell>
          <cell r="L151">
            <v>0</v>
          </cell>
          <cell r="M151">
            <v>621.29999999999995</v>
          </cell>
          <cell r="N151">
            <v>0</v>
          </cell>
          <cell r="O151">
            <v>0</v>
          </cell>
          <cell r="P151">
            <v>0</v>
          </cell>
          <cell r="Q151">
            <v>0</v>
          </cell>
          <cell r="R151">
            <v>0</v>
          </cell>
          <cell r="S151">
            <v>0</v>
          </cell>
          <cell r="T151">
            <v>0</v>
          </cell>
          <cell r="U151">
            <v>0</v>
          </cell>
          <cell r="V151">
            <v>0</v>
          </cell>
          <cell r="W151">
            <v>0</v>
          </cell>
          <cell r="X151">
            <v>0</v>
          </cell>
          <cell r="Y151">
            <v>0</v>
          </cell>
          <cell r="Z151">
            <v>0</v>
          </cell>
        </row>
        <row r="152">
          <cell r="A152" t="str">
            <v>GDT10</v>
          </cell>
          <cell r="B152" t="str">
            <v>Phan Thị</v>
          </cell>
          <cell r="C152" t="str">
            <v>Điều</v>
          </cell>
          <cell r="D152">
            <v>1</v>
          </cell>
          <cell r="E152">
            <v>6.4</v>
          </cell>
          <cell r="F152">
            <v>448</v>
          </cell>
          <cell r="G152">
            <v>689.2</v>
          </cell>
          <cell r="H152">
            <v>0</v>
          </cell>
          <cell r="I152">
            <v>93.4</v>
          </cell>
          <cell r="J152">
            <v>37.5</v>
          </cell>
          <cell r="K152">
            <v>0</v>
          </cell>
          <cell r="L152">
            <v>0</v>
          </cell>
          <cell r="M152">
            <v>558.29999999999995</v>
          </cell>
          <cell r="N152">
            <v>0</v>
          </cell>
          <cell r="O152">
            <v>0</v>
          </cell>
          <cell r="P152">
            <v>0</v>
          </cell>
          <cell r="Q152">
            <v>0</v>
          </cell>
          <cell r="R152">
            <v>0</v>
          </cell>
          <cell r="S152">
            <v>0</v>
          </cell>
          <cell r="T152">
            <v>0</v>
          </cell>
          <cell r="U152">
            <v>0</v>
          </cell>
          <cell r="V152">
            <v>0</v>
          </cell>
          <cell r="W152">
            <v>0</v>
          </cell>
          <cell r="X152">
            <v>0</v>
          </cell>
          <cell r="Y152">
            <v>0</v>
          </cell>
          <cell r="Z152">
            <v>0</v>
          </cell>
        </row>
        <row r="153">
          <cell r="A153" t="str">
            <v>GDT11</v>
          </cell>
          <cell r="B153" t="str">
            <v>Cao Hùng</v>
          </cell>
          <cell r="C153" t="str">
            <v>Dũng</v>
          </cell>
          <cell r="D153">
            <v>1</v>
          </cell>
          <cell r="E153">
            <v>6.3</v>
          </cell>
          <cell r="F153">
            <v>480</v>
          </cell>
          <cell r="G153">
            <v>704.8</v>
          </cell>
          <cell r="H153">
            <v>0</v>
          </cell>
          <cell r="I153">
            <v>95.7</v>
          </cell>
          <cell r="J153">
            <v>38.200000000000003</v>
          </cell>
          <cell r="K153">
            <v>0</v>
          </cell>
          <cell r="L153">
            <v>0</v>
          </cell>
          <cell r="M153">
            <v>570.9</v>
          </cell>
          <cell r="N153">
            <v>0</v>
          </cell>
          <cell r="O153">
            <v>0</v>
          </cell>
          <cell r="P153">
            <v>0</v>
          </cell>
          <cell r="Q153">
            <v>0</v>
          </cell>
          <cell r="R153">
            <v>0</v>
          </cell>
          <cell r="S153">
            <v>0</v>
          </cell>
          <cell r="T153">
            <v>0</v>
          </cell>
          <cell r="U153">
            <v>0</v>
          </cell>
          <cell r="V153">
            <v>0</v>
          </cell>
          <cell r="W153">
            <v>0</v>
          </cell>
          <cell r="X153">
            <v>0</v>
          </cell>
          <cell r="Y153">
            <v>0</v>
          </cell>
          <cell r="Z153">
            <v>0</v>
          </cell>
        </row>
        <row r="154">
          <cell r="A154" t="str">
            <v>GDT12</v>
          </cell>
          <cell r="B154" t="str">
            <v>Lê Thị Kim</v>
          </cell>
          <cell r="C154" t="str">
            <v>Lan</v>
          </cell>
          <cell r="D154">
            <v>1</v>
          </cell>
          <cell r="E154">
            <v>6.3</v>
          </cell>
          <cell r="F154">
            <v>320</v>
          </cell>
          <cell r="G154">
            <v>465.8</v>
          </cell>
          <cell r="H154">
            <v>0</v>
          </cell>
          <cell r="I154">
            <v>63.3</v>
          </cell>
          <cell r="J154">
            <v>25.2</v>
          </cell>
          <cell r="K154">
            <v>0</v>
          </cell>
          <cell r="L154">
            <v>0</v>
          </cell>
          <cell r="M154">
            <v>377.3</v>
          </cell>
          <cell r="N154">
            <v>0</v>
          </cell>
          <cell r="O154">
            <v>0</v>
          </cell>
          <cell r="P154">
            <v>0</v>
          </cell>
          <cell r="Q154">
            <v>0</v>
          </cell>
          <cell r="R154">
            <v>0</v>
          </cell>
          <cell r="S154">
            <v>0</v>
          </cell>
          <cell r="T154">
            <v>0</v>
          </cell>
          <cell r="U154">
            <v>0</v>
          </cell>
          <cell r="V154">
            <v>0</v>
          </cell>
          <cell r="W154">
            <v>0</v>
          </cell>
          <cell r="X154">
            <v>0</v>
          </cell>
          <cell r="Y154">
            <v>0</v>
          </cell>
          <cell r="Z154">
            <v>0</v>
          </cell>
        </row>
        <row r="155">
          <cell r="A155" t="str">
            <v>GDT13</v>
          </cell>
          <cell r="B155" t="str">
            <v>Trần Văn</v>
          </cell>
          <cell r="C155" t="str">
            <v>Hậu</v>
          </cell>
          <cell r="D155">
            <v>1</v>
          </cell>
          <cell r="E155">
            <v>6.3</v>
          </cell>
          <cell r="F155">
            <v>352</v>
          </cell>
          <cell r="G155">
            <v>508.3</v>
          </cell>
          <cell r="H155">
            <v>0</v>
          </cell>
          <cell r="I155">
            <v>67.900000000000006</v>
          </cell>
          <cell r="J155">
            <v>27.1</v>
          </cell>
          <cell r="K155">
            <v>0</v>
          </cell>
          <cell r="L155">
            <v>0</v>
          </cell>
          <cell r="M155">
            <v>413.3</v>
          </cell>
          <cell r="N155">
            <v>0</v>
          </cell>
          <cell r="O155">
            <v>0</v>
          </cell>
          <cell r="P155">
            <v>0</v>
          </cell>
          <cell r="Q155">
            <v>0</v>
          </cell>
          <cell r="R155">
            <v>0</v>
          </cell>
          <cell r="S155">
            <v>0</v>
          </cell>
          <cell r="T155">
            <v>0</v>
          </cell>
          <cell r="U155">
            <v>0</v>
          </cell>
          <cell r="V155">
            <v>0</v>
          </cell>
          <cell r="W155">
            <v>0</v>
          </cell>
          <cell r="X155">
            <v>0</v>
          </cell>
          <cell r="Y155">
            <v>0</v>
          </cell>
          <cell r="Z155">
            <v>0</v>
          </cell>
        </row>
        <row r="156">
          <cell r="A156" t="str">
            <v>GDT14</v>
          </cell>
          <cell r="B156" t="str">
            <v>Nguyễn Văn</v>
          </cell>
          <cell r="C156" t="str">
            <v>Toản</v>
          </cell>
          <cell r="D156">
            <v>1</v>
          </cell>
          <cell r="E156">
            <v>6.3</v>
          </cell>
          <cell r="F156">
            <v>384</v>
          </cell>
          <cell r="G156">
            <v>570.70000000000005</v>
          </cell>
          <cell r="H156">
            <v>0</v>
          </cell>
          <cell r="I156">
            <v>77.3</v>
          </cell>
          <cell r="J156">
            <v>31.1</v>
          </cell>
          <cell r="K156">
            <v>0</v>
          </cell>
          <cell r="L156">
            <v>0</v>
          </cell>
          <cell r="M156">
            <v>462.3</v>
          </cell>
          <cell r="N156">
            <v>0</v>
          </cell>
          <cell r="O156">
            <v>0</v>
          </cell>
          <cell r="P156">
            <v>0</v>
          </cell>
          <cell r="Q156">
            <v>0</v>
          </cell>
          <cell r="R156">
            <v>0</v>
          </cell>
          <cell r="S156">
            <v>0</v>
          </cell>
          <cell r="T156">
            <v>0</v>
          </cell>
          <cell r="U156">
            <v>0</v>
          </cell>
          <cell r="V156">
            <v>0</v>
          </cell>
          <cell r="W156">
            <v>0</v>
          </cell>
          <cell r="X156">
            <v>0</v>
          </cell>
          <cell r="Y156">
            <v>0</v>
          </cell>
          <cell r="Z156">
            <v>0</v>
          </cell>
        </row>
        <row r="157">
          <cell r="A157" t="str">
            <v>GDT15</v>
          </cell>
          <cell r="B157" t="str">
            <v>Lương Thanh</v>
          </cell>
          <cell r="C157" t="str">
            <v>Hoa</v>
          </cell>
          <cell r="D157">
            <v>1</v>
          </cell>
          <cell r="E157">
            <v>6.3</v>
          </cell>
          <cell r="F157">
            <v>512</v>
          </cell>
          <cell r="G157">
            <v>725.3</v>
          </cell>
          <cell r="H157">
            <v>0</v>
          </cell>
          <cell r="I157">
            <v>96.2</v>
          </cell>
          <cell r="J157">
            <v>38.700000000000003</v>
          </cell>
          <cell r="K157">
            <v>0</v>
          </cell>
          <cell r="L157">
            <v>0</v>
          </cell>
          <cell r="M157">
            <v>590.4</v>
          </cell>
          <cell r="N157">
            <v>0</v>
          </cell>
          <cell r="O157">
            <v>0</v>
          </cell>
          <cell r="P157">
            <v>0</v>
          </cell>
          <cell r="Q157">
            <v>0</v>
          </cell>
          <cell r="R157">
            <v>0</v>
          </cell>
          <cell r="S157">
            <v>0</v>
          </cell>
          <cell r="T157">
            <v>0</v>
          </cell>
          <cell r="U157">
            <v>0</v>
          </cell>
          <cell r="V157">
            <v>0</v>
          </cell>
          <cell r="W157">
            <v>0</v>
          </cell>
          <cell r="X157">
            <v>0</v>
          </cell>
          <cell r="Y157">
            <v>0</v>
          </cell>
          <cell r="Z157">
            <v>0</v>
          </cell>
        </row>
        <row r="158">
          <cell r="A158" t="str">
            <v>GDT17</v>
          </cell>
          <cell r="B158" t="str">
            <v>Đỗ Thành</v>
          </cell>
          <cell r="C158" t="str">
            <v>Trung</v>
          </cell>
          <cell r="D158">
            <v>1</v>
          </cell>
          <cell r="E158">
            <v>6.3</v>
          </cell>
          <cell r="F158">
            <v>192</v>
          </cell>
          <cell r="G158">
            <v>279.8</v>
          </cell>
          <cell r="H158">
            <v>0</v>
          </cell>
          <cell r="I158">
            <v>38</v>
          </cell>
          <cell r="J158">
            <v>15.2</v>
          </cell>
          <cell r="K158">
            <v>0</v>
          </cell>
          <cell r="L158">
            <v>0</v>
          </cell>
          <cell r="M158">
            <v>226.6</v>
          </cell>
          <cell r="N158">
            <v>0</v>
          </cell>
          <cell r="O158">
            <v>0</v>
          </cell>
          <cell r="P158">
            <v>0</v>
          </cell>
          <cell r="Q158">
            <v>0</v>
          </cell>
          <cell r="R158">
            <v>0</v>
          </cell>
          <cell r="S158">
            <v>0</v>
          </cell>
          <cell r="T158">
            <v>0</v>
          </cell>
          <cell r="U158">
            <v>0</v>
          </cell>
          <cell r="V158">
            <v>0</v>
          </cell>
          <cell r="W158">
            <v>0</v>
          </cell>
          <cell r="X158">
            <v>0</v>
          </cell>
          <cell r="Y158">
            <v>0</v>
          </cell>
          <cell r="Z158">
            <v>0</v>
          </cell>
        </row>
        <row r="159">
          <cell r="A159" t="str">
            <v>GDT18</v>
          </cell>
          <cell r="B159" t="str">
            <v>Nguyễn Thế</v>
          </cell>
          <cell r="C159" t="str">
            <v>Hãnh</v>
          </cell>
          <cell r="D159">
            <v>1</v>
          </cell>
          <cell r="E159">
            <v>6.3</v>
          </cell>
          <cell r="F159">
            <v>448</v>
          </cell>
          <cell r="G159">
            <v>608.1</v>
          </cell>
          <cell r="H159">
            <v>0</v>
          </cell>
          <cell r="I159">
            <v>79.599999999999994</v>
          </cell>
          <cell r="J159">
            <v>31.9</v>
          </cell>
          <cell r="K159">
            <v>0</v>
          </cell>
          <cell r="L159">
            <v>0</v>
          </cell>
          <cell r="M159">
            <v>496.6</v>
          </cell>
          <cell r="N159">
            <v>0</v>
          </cell>
          <cell r="O159">
            <v>0</v>
          </cell>
          <cell r="P159">
            <v>0</v>
          </cell>
          <cell r="Q159">
            <v>0</v>
          </cell>
          <cell r="R159">
            <v>0</v>
          </cell>
          <cell r="S159">
            <v>0</v>
          </cell>
          <cell r="T159">
            <v>0</v>
          </cell>
          <cell r="U159">
            <v>0</v>
          </cell>
          <cell r="V159">
            <v>0</v>
          </cell>
          <cell r="W159">
            <v>0</v>
          </cell>
          <cell r="X159">
            <v>0</v>
          </cell>
          <cell r="Y159">
            <v>0</v>
          </cell>
          <cell r="Z159">
            <v>0</v>
          </cell>
        </row>
        <row r="160">
          <cell r="A160" t="str">
            <v>GDT20</v>
          </cell>
          <cell r="B160" t="str">
            <v>Cao Trường</v>
          </cell>
          <cell r="C160" t="str">
            <v>Giang</v>
          </cell>
          <cell r="D160">
            <v>1</v>
          </cell>
          <cell r="E160">
            <v>6.3</v>
          </cell>
          <cell r="F160">
            <v>448</v>
          </cell>
          <cell r="G160">
            <v>599.6</v>
          </cell>
          <cell r="H160">
            <v>0</v>
          </cell>
          <cell r="I160">
            <v>79.3</v>
          </cell>
          <cell r="J160">
            <v>31.9</v>
          </cell>
          <cell r="K160">
            <v>0</v>
          </cell>
          <cell r="L160">
            <v>0</v>
          </cell>
          <cell r="M160">
            <v>488.4</v>
          </cell>
          <cell r="N160">
            <v>0</v>
          </cell>
          <cell r="O160">
            <v>0</v>
          </cell>
          <cell r="P160">
            <v>0</v>
          </cell>
          <cell r="Q160">
            <v>0</v>
          </cell>
          <cell r="R160">
            <v>0</v>
          </cell>
          <cell r="S160">
            <v>0</v>
          </cell>
          <cell r="T160">
            <v>0</v>
          </cell>
          <cell r="U160">
            <v>0</v>
          </cell>
          <cell r="V160">
            <v>0</v>
          </cell>
          <cell r="W160">
            <v>0</v>
          </cell>
          <cell r="X160">
            <v>0</v>
          </cell>
          <cell r="Y160">
            <v>0</v>
          </cell>
          <cell r="Z160">
            <v>0</v>
          </cell>
        </row>
        <row r="161">
          <cell r="A161" t="str">
            <v>GDT21</v>
          </cell>
          <cell r="B161" t="str">
            <v>Nguyễn Anh</v>
          </cell>
          <cell r="C161" t="str">
            <v>Tuấn</v>
          </cell>
          <cell r="D161">
            <v>4</v>
          </cell>
          <cell r="E161">
            <v>4</v>
          </cell>
          <cell r="F161">
            <v>388</v>
          </cell>
          <cell r="G161">
            <v>573.79999999999995</v>
          </cell>
          <cell r="H161">
            <v>0</v>
          </cell>
          <cell r="I161">
            <v>76.400000000000006</v>
          </cell>
          <cell r="J161">
            <v>30.6</v>
          </cell>
          <cell r="K161">
            <v>0</v>
          </cell>
          <cell r="L161">
            <v>0</v>
          </cell>
          <cell r="M161">
            <v>466.8</v>
          </cell>
          <cell r="N161">
            <v>0</v>
          </cell>
          <cell r="O161">
            <v>0</v>
          </cell>
          <cell r="P161">
            <v>0</v>
          </cell>
          <cell r="Q161">
            <v>0</v>
          </cell>
          <cell r="R161">
            <v>0</v>
          </cell>
          <cell r="S161">
            <v>0</v>
          </cell>
          <cell r="T161">
            <v>0</v>
          </cell>
          <cell r="U161">
            <v>0</v>
          </cell>
          <cell r="V161">
            <v>0</v>
          </cell>
          <cell r="W161">
            <v>0</v>
          </cell>
          <cell r="X161">
            <v>0</v>
          </cell>
          <cell r="Y161">
            <v>0</v>
          </cell>
          <cell r="Z161">
            <v>0</v>
          </cell>
        </row>
        <row r="162">
          <cell r="A162" t="str">
            <v>GDT22</v>
          </cell>
          <cell r="B162" t="str">
            <v>Phạm Quốc</v>
          </cell>
          <cell r="C162" t="str">
            <v>Đạt</v>
          </cell>
          <cell r="D162">
            <v>1</v>
          </cell>
          <cell r="E162">
            <v>6.3</v>
          </cell>
          <cell r="F162">
            <v>416</v>
          </cell>
          <cell r="G162">
            <v>604.70000000000005</v>
          </cell>
          <cell r="H162">
            <v>0</v>
          </cell>
          <cell r="I162">
            <v>81.3</v>
          </cell>
          <cell r="J162">
            <v>32.700000000000003</v>
          </cell>
          <cell r="K162">
            <v>0</v>
          </cell>
          <cell r="L162">
            <v>0</v>
          </cell>
          <cell r="M162">
            <v>490.7</v>
          </cell>
          <cell r="N162">
            <v>0</v>
          </cell>
          <cell r="O162">
            <v>0</v>
          </cell>
          <cell r="P162">
            <v>0</v>
          </cell>
          <cell r="Q162">
            <v>0</v>
          </cell>
          <cell r="R162">
            <v>0</v>
          </cell>
          <cell r="S162">
            <v>0</v>
          </cell>
          <cell r="T162">
            <v>0</v>
          </cell>
          <cell r="U162">
            <v>0</v>
          </cell>
          <cell r="V162">
            <v>0</v>
          </cell>
          <cell r="W162">
            <v>0</v>
          </cell>
          <cell r="X162">
            <v>0</v>
          </cell>
          <cell r="Y162">
            <v>0</v>
          </cell>
          <cell r="Z162">
            <v>0</v>
          </cell>
        </row>
        <row r="163">
          <cell r="A163" t="str">
            <v>GDT23</v>
          </cell>
          <cell r="B163" t="str">
            <v>Lê Trọng</v>
          </cell>
          <cell r="C163" t="str">
            <v>Động</v>
          </cell>
          <cell r="D163">
            <v>1</v>
          </cell>
          <cell r="E163">
            <v>6.3</v>
          </cell>
          <cell r="F163">
            <v>192</v>
          </cell>
          <cell r="G163">
            <v>277.8</v>
          </cell>
          <cell r="H163">
            <v>0</v>
          </cell>
          <cell r="I163">
            <v>37.799999999999997</v>
          </cell>
          <cell r="J163">
            <v>15</v>
          </cell>
          <cell r="K163">
            <v>0</v>
          </cell>
          <cell r="L163">
            <v>0</v>
          </cell>
          <cell r="M163">
            <v>225</v>
          </cell>
          <cell r="N163">
            <v>0</v>
          </cell>
          <cell r="O163">
            <v>0</v>
          </cell>
          <cell r="P163">
            <v>0</v>
          </cell>
          <cell r="Q163">
            <v>0</v>
          </cell>
          <cell r="R163">
            <v>0</v>
          </cell>
          <cell r="S163">
            <v>0</v>
          </cell>
          <cell r="T163">
            <v>0</v>
          </cell>
          <cell r="U163">
            <v>0</v>
          </cell>
          <cell r="V163">
            <v>0</v>
          </cell>
          <cell r="W163">
            <v>0</v>
          </cell>
          <cell r="X163">
            <v>0</v>
          </cell>
          <cell r="Y163">
            <v>0</v>
          </cell>
          <cell r="Z163">
            <v>0</v>
          </cell>
        </row>
        <row r="164">
          <cell r="A164" t="str">
            <v>GDT24</v>
          </cell>
          <cell r="B164" t="str">
            <v>Nguyễn Tiến</v>
          </cell>
          <cell r="C164" t="str">
            <v>Tuân</v>
          </cell>
          <cell r="D164">
            <v>1</v>
          </cell>
          <cell r="E164">
            <v>6.3</v>
          </cell>
          <cell r="F164">
            <v>384</v>
          </cell>
          <cell r="G164">
            <v>558.6</v>
          </cell>
          <cell r="H164">
            <v>0</v>
          </cell>
          <cell r="I164">
            <v>75.900000000000006</v>
          </cell>
          <cell r="J164">
            <v>30.3</v>
          </cell>
          <cell r="K164">
            <v>0</v>
          </cell>
          <cell r="L164">
            <v>0</v>
          </cell>
          <cell r="M164">
            <v>452.4</v>
          </cell>
          <cell r="N164">
            <v>0</v>
          </cell>
          <cell r="O164">
            <v>0</v>
          </cell>
          <cell r="P164">
            <v>0</v>
          </cell>
          <cell r="Q164">
            <v>0</v>
          </cell>
          <cell r="R164">
            <v>0</v>
          </cell>
          <cell r="S164">
            <v>0</v>
          </cell>
          <cell r="T164">
            <v>0</v>
          </cell>
          <cell r="U164">
            <v>0</v>
          </cell>
          <cell r="V164">
            <v>0</v>
          </cell>
          <cell r="W164">
            <v>0</v>
          </cell>
          <cell r="X164">
            <v>0</v>
          </cell>
          <cell r="Y164">
            <v>0</v>
          </cell>
          <cell r="Z164">
            <v>0</v>
          </cell>
        </row>
        <row r="165">
          <cell r="A165" t="str">
            <v>GTC01</v>
          </cell>
          <cell r="B165" t="str">
            <v>Trần Thị Đức</v>
          </cell>
          <cell r="C165" t="str">
            <v>Tám</v>
          </cell>
          <cell r="D165">
            <v>40</v>
          </cell>
          <cell r="E165">
            <v>40</v>
          </cell>
          <cell r="F165">
            <v>764</v>
          </cell>
          <cell r="G165">
            <v>915.7</v>
          </cell>
          <cell r="H165">
            <v>0</v>
          </cell>
          <cell r="I165">
            <v>74.400000000000006</v>
          </cell>
          <cell r="J165">
            <v>29.8</v>
          </cell>
          <cell r="K165">
            <v>0</v>
          </cell>
          <cell r="L165">
            <v>0</v>
          </cell>
          <cell r="M165">
            <v>185.5</v>
          </cell>
          <cell r="N165">
            <v>0</v>
          </cell>
          <cell r="O165">
            <v>208</v>
          </cell>
          <cell r="P165">
            <v>0</v>
          </cell>
          <cell r="Q165">
            <v>0</v>
          </cell>
          <cell r="R165">
            <v>30</v>
          </cell>
          <cell r="S165">
            <v>320</v>
          </cell>
          <cell r="T165">
            <v>0</v>
          </cell>
          <cell r="U165">
            <v>0</v>
          </cell>
          <cell r="V165">
            <v>0</v>
          </cell>
          <cell r="W165">
            <v>0</v>
          </cell>
          <cell r="X165">
            <v>68</v>
          </cell>
          <cell r="Y165">
            <v>0</v>
          </cell>
          <cell r="Z165">
            <v>0</v>
          </cell>
        </row>
        <row r="166">
          <cell r="A166" t="str">
            <v>GTC02</v>
          </cell>
          <cell r="B166" t="str">
            <v>Nguyễn Bá</v>
          </cell>
          <cell r="C166" t="str">
            <v>Tiếp</v>
          </cell>
          <cell r="D166">
            <v>40</v>
          </cell>
          <cell r="E166">
            <v>40</v>
          </cell>
          <cell r="F166">
            <v>848</v>
          </cell>
          <cell r="G166">
            <v>1056.7</v>
          </cell>
          <cell r="H166">
            <v>0</v>
          </cell>
          <cell r="I166">
            <v>101.9</v>
          </cell>
          <cell r="J166">
            <v>40.799999999999997</v>
          </cell>
          <cell r="K166">
            <v>0</v>
          </cell>
          <cell r="L166">
            <v>0</v>
          </cell>
          <cell r="M166">
            <v>327.8</v>
          </cell>
          <cell r="N166">
            <v>0</v>
          </cell>
          <cell r="O166">
            <v>0</v>
          </cell>
          <cell r="P166">
            <v>0</v>
          </cell>
          <cell r="Q166">
            <v>0</v>
          </cell>
          <cell r="R166">
            <v>0</v>
          </cell>
          <cell r="S166">
            <v>420</v>
          </cell>
          <cell r="T166">
            <v>54</v>
          </cell>
          <cell r="U166">
            <v>3</v>
          </cell>
          <cell r="V166">
            <v>0</v>
          </cell>
          <cell r="W166">
            <v>1.2</v>
          </cell>
          <cell r="X166">
            <v>108</v>
          </cell>
          <cell r="Y166">
            <v>0</v>
          </cell>
          <cell r="Z166">
            <v>0</v>
          </cell>
        </row>
        <row r="167">
          <cell r="A167" t="str">
            <v>GTC03</v>
          </cell>
          <cell r="B167" t="str">
            <v>Hoàng Minh</v>
          </cell>
          <cell r="C167" t="str">
            <v>Sơn</v>
          </cell>
          <cell r="D167">
            <v>133</v>
          </cell>
          <cell r="E167">
            <v>133</v>
          </cell>
          <cell r="F167">
            <v>862.1</v>
          </cell>
          <cell r="G167">
            <v>1023.4</v>
          </cell>
          <cell r="H167">
            <v>0</v>
          </cell>
          <cell r="I167">
            <v>65.7</v>
          </cell>
          <cell r="J167">
            <v>26.4</v>
          </cell>
          <cell r="K167">
            <v>252.1</v>
          </cell>
          <cell r="L167">
            <v>0</v>
          </cell>
          <cell r="M167">
            <v>165.2</v>
          </cell>
          <cell r="N167">
            <v>0</v>
          </cell>
          <cell r="O167">
            <v>152</v>
          </cell>
          <cell r="P167">
            <v>0</v>
          </cell>
          <cell r="Q167">
            <v>12</v>
          </cell>
          <cell r="R167">
            <v>30</v>
          </cell>
          <cell r="S167">
            <v>320</v>
          </cell>
          <cell r="T167">
            <v>0</v>
          </cell>
          <cell r="U167">
            <v>0</v>
          </cell>
          <cell r="V167">
            <v>0</v>
          </cell>
          <cell r="W167">
            <v>0</v>
          </cell>
          <cell r="X167">
            <v>0</v>
          </cell>
          <cell r="Y167">
            <v>0</v>
          </cell>
          <cell r="Z167">
            <v>0</v>
          </cell>
        </row>
        <row r="168">
          <cell r="A168" t="str">
            <v>GTC08</v>
          </cell>
          <cell r="B168" t="str">
            <v>Trịnh Đình</v>
          </cell>
          <cell r="C168" t="str">
            <v>Thâu</v>
          </cell>
          <cell r="D168">
            <v>12</v>
          </cell>
          <cell r="E168">
            <v>12</v>
          </cell>
          <cell r="F168">
            <v>504</v>
          </cell>
          <cell r="G168">
            <v>548.70000000000005</v>
          </cell>
          <cell r="H168">
            <v>0</v>
          </cell>
          <cell r="I168">
            <v>18.8</v>
          </cell>
          <cell r="J168">
            <v>7.5</v>
          </cell>
          <cell r="K168">
            <v>0</v>
          </cell>
          <cell r="L168">
            <v>0</v>
          </cell>
          <cell r="M168">
            <v>72.900000000000006</v>
          </cell>
          <cell r="N168">
            <v>0</v>
          </cell>
          <cell r="O168">
            <v>8</v>
          </cell>
          <cell r="P168">
            <v>0</v>
          </cell>
          <cell r="Q168">
            <v>0</v>
          </cell>
          <cell r="R168">
            <v>0</v>
          </cell>
          <cell r="S168">
            <v>380</v>
          </cell>
          <cell r="T168">
            <v>18</v>
          </cell>
          <cell r="U168">
            <v>2.5</v>
          </cell>
          <cell r="V168">
            <v>0</v>
          </cell>
          <cell r="W168">
            <v>1</v>
          </cell>
          <cell r="X168">
            <v>40</v>
          </cell>
          <cell r="Y168">
            <v>0</v>
          </cell>
          <cell r="Z168">
            <v>0</v>
          </cell>
        </row>
        <row r="169">
          <cell r="A169" t="str">
            <v>GTC09</v>
          </cell>
          <cell r="B169" t="str">
            <v>Lại Thị Lan</v>
          </cell>
          <cell r="C169" t="str">
            <v>Hương</v>
          </cell>
          <cell r="D169">
            <v>12</v>
          </cell>
          <cell r="E169">
            <v>12</v>
          </cell>
          <cell r="F169">
            <v>169</v>
          </cell>
          <cell r="G169">
            <v>188.1</v>
          </cell>
          <cell r="H169">
            <v>0</v>
          </cell>
          <cell r="I169">
            <v>0</v>
          </cell>
          <cell r="J169">
            <v>0</v>
          </cell>
          <cell r="K169">
            <v>0</v>
          </cell>
          <cell r="L169">
            <v>0</v>
          </cell>
          <cell r="M169">
            <v>0</v>
          </cell>
          <cell r="N169">
            <v>0</v>
          </cell>
          <cell r="O169">
            <v>105</v>
          </cell>
          <cell r="P169">
            <v>0</v>
          </cell>
          <cell r="Q169">
            <v>0</v>
          </cell>
          <cell r="R169">
            <v>0</v>
          </cell>
          <cell r="S169">
            <v>20</v>
          </cell>
          <cell r="T169">
            <v>9</v>
          </cell>
          <cell r="U169">
            <v>1.5</v>
          </cell>
          <cell r="V169">
            <v>0</v>
          </cell>
          <cell r="W169">
            <v>0.6</v>
          </cell>
          <cell r="X169">
            <v>52</v>
          </cell>
          <cell r="Y169">
            <v>0</v>
          </cell>
          <cell r="Z169">
            <v>0</v>
          </cell>
        </row>
        <row r="170">
          <cell r="A170" t="str">
            <v>GTC10</v>
          </cell>
          <cell r="B170" t="str">
            <v>Lê Ngọc</v>
          </cell>
          <cell r="C170" t="str">
            <v>Ninh</v>
          </cell>
          <cell r="D170">
            <v>12</v>
          </cell>
          <cell r="E170">
            <v>12</v>
          </cell>
          <cell r="F170">
            <v>745</v>
          </cell>
          <cell r="G170">
            <v>926.2</v>
          </cell>
          <cell r="H170">
            <v>0</v>
          </cell>
          <cell r="I170">
            <v>53.1</v>
          </cell>
          <cell r="J170">
            <v>21.3</v>
          </cell>
          <cell r="K170">
            <v>0</v>
          </cell>
          <cell r="L170">
            <v>0</v>
          </cell>
          <cell r="M170">
            <v>182.3</v>
          </cell>
          <cell r="N170">
            <v>0</v>
          </cell>
          <cell r="O170">
            <v>382.5</v>
          </cell>
          <cell r="P170">
            <v>0</v>
          </cell>
          <cell r="Q170">
            <v>12</v>
          </cell>
          <cell r="R170">
            <v>15</v>
          </cell>
          <cell r="S170">
            <v>260</v>
          </cell>
          <cell r="T170">
            <v>0</v>
          </cell>
          <cell r="U170">
            <v>0</v>
          </cell>
          <cell r="V170">
            <v>0</v>
          </cell>
          <cell r="W170">
            <v>0</v>
          </cell>
          <cell r="X170">
            <v>0</v>
          </cell>
          <cell r="Y170">
            <v>0</v>
          </cell>
          <cell r="Z170">
            <v>0</v>
          </cell>
        </row>
        <row r="171">
          <cell r="A171" t="str">
            <v>GTC12</v>
          </cell>
          <cell r="B171" t="str">
            <v>Vũ Đức</v>
          </cell>
          <cell r="C171" t="str">
            <v>Hạnh</v>
          </cell>
          <cell r="D171">
            <v>12</v>
          </cell>
          <cell r="E171">
            <v>12</v>
          </cell>
          <cell r="F171">
            <v>618</v>
          </cell>
          <cell r="G171">
            <v>764.5</v>
          </cell>
          <cell r="H171">
            <v>0</v>
          </cell>
          <cell r="I171">
            <v>40.9</v>
          </cell>
          <cell r="J171">
            <v>16.399999999999999</v>
          </cell>
          <cell r="K171">
            <v>0</v>
          </cell>
          <cell r="L171">
            <v>0</v>
          </cell>
          <cell r="M171">
            <v>140.19999999999999</v>
          </cell>
          <cell r="N171">
            <v>0</v>
          </cell>
          <cell r="O171">
            <v>345</v>
          </cell>
          <cell r="P171">
            <v>0</v>
          </cell>
          <cell r="Q171">
            <v>12</v>
          </cell>
          <cell r="R171">
            <v>30</v>
          </cell>
          <cell r="S171">
            <v>180</v>
          </cell>
          <cell r="T171">
            <v>0</v>
          </cell>
          <cell r="U171">
            <v>0</v>
          </cell>
          <cell r="V171">
            <v>0</v>
          </cell>
          <cell r="W171">
            <v>0</v>
          </cell>
          <cell r="X171">
            <v>0</v>
          </cell>
          <cell r="Y171">
            <v>0</v>
          </cell>
          <cell r="Z171">
            <v>0</v>
          </cell>
        </row>
        <row r="172">
          <cell r="A172" t="str">
            <v>HOA01</v>
          </cell>
          <cell r="B172" t="str">
            <v>Đoàn Thị Thúy</v>
          </cell>
          <cell r="C172" t="str">
            <v>ái</v>
          </cell>
          <cell r="D172">
            <v>6</v>
          </cell>
          <cell r="E172">
            <v>6</v>
          </cell>
          <cell r="F172">
            <v>277</v>
          </cell>
          <cell r="G172">
            <v>428.8</v>
          </cell>
          <cell r="H172">
            <v>0</v>
          </cell>
          <cell r="I172">
            <v>56.5</v>
          </cell>
          <cell r="J172">
            <v>22.7</v>
          </cell>
          <cell r="K172">
            <v>0</v>
          </cell>
          <cell r="L172">
            <v>0</v>
          </cell>
          <cell r="M172">
            <v>191.1</v>
          </cell>
          <cell r="N172">
            <v>0</v>
          </cell>
          <cell r="O172">
            <v>152.5</v>
          </cell>
          <cell r="P172">
            <v>0</v>
          </cell>
          <cell r="Q172">
            <v>0</v>
          </cell>
          <cell r="R172">
            <v>0</v>
          </cell>
          <cell r="S172">
            <v>6</v>
          </cell>
          <cell r="T172">
            <v>0</v>
          </cell>
          <cell r="U172">
            <v>0</v>
          </cell>
          <cell r="V172">
            <v>0</v>
          </cell>
          <cell r="W172">
            <v>0</v>
          </cell>
          <cell r="X172">
            <v>0</v>
          </cell>
          <cell r="Y172">
            <v>0</v>
          </cell>
          <cell r="Z172">
            <v>0</v>
          </cell>
        </row>
        <row r="173">
          <cell r="A173" t="str">
            <v>HOA02</v>
          </cell>
          <cell r="B173" t="str">
            <v>Nguyễn Thị Hồng</v>
          </cell>
          <cell r="C173" t="str">
            <v>Hạnh</v>
          </cell>
          <cell r="D173">
            <v>40</v>
          </cell>
          <cell r="E173">
            <v>40</v>
          </cell>
          <cell r="F173">
            <v>340</v>
          </cell>
          <cell r="G173">
            <v>518.29999999999995</v>
          </cell>
          <cell r="H173">
            <v>0</v>
          </cell>
          <cell r="I173">
            <v>56</v>
          </cell>
          <cell r="J173">
            <v>22.5</v>
          </cell>
          <cell r="K173">
            <v>0</v>
          </cell>
          <cell r="L173">
            <v>0</v>
          </cell>
          <cell r="M173">
            <v>145.80000000000001</v>
          </cell>
          <cell r="N173">
            <v>0</v>
          </cell>
          <cell r="O173">
            <v>56</v>
          </cell>
          <cell r="P173">
            <v>0</v>
          </cell>
          <cell r="Q173">
            <v>0</v>
          </cell>
          <cell r="R173">
            <v>0</v>
          </cell>
          <cell r="S173">
            <v>0</v>
          </cell>
          <cell r="T173">
            <v>162</v>
          </cell>
          <cell r="U173">
            <v>5.6</v>
          </cell>
          <cell r="V173">
            <v>0</v>
          </cell>
          <cell r="W173">
            <v>2.4</v>
          </cell>
          <cell r="X173">
            <v>68</v>
          </cell>
          <cell r="Y173">
            <v>0</v>
          </cell>
          <cell r="Z173">
            <v>0</v>
          </cell>
        </row>
        <row r="174">
          <cell r="A174" t="str">
            <v>HOA07</v>
          </cell>
          <cell r="B174" t="str">
            <v>Lê Thị Thu</v>
          </cell>
          <cell r="C174" t="str">
            <v>Hương</v>
          </cell>
          <cell r="D174">
            <v>1</v>
          </cell>
          <cell r="E174">
            <v>12</v>
          </cell>
          <cell r="F174">
            <v>168</v>
          </cell>
          <cell r="G174">
            <v>241.6</v>
          </cell>
          <cell r="H174">
            <v>0</v>
          </cell>
          <cell r="I174">
            <v>18.3</v>
          </cell>
          <cell r="J174">
            <v>7.3</v>
          </cell>
          <cell r="K174">
            <v>0</v>
          </cell>
          <cell r="L174">
            <v>0</v>
          </cell>
          <cell r="M174">
            <v>73.5</v>
          </cell>
          <cell r="N174">
            <v>0</v>
          </cell>
          <cell r="O174">
            <v>142.5</v>
          </cell>
          <cell r="P174">
            <v>0</v>
          </cell>
          <cell r="Q174">
            <v>0</v>
          </cell>
          <cell r="R174">
            <v>0</v>
          </cell>
          <cell r="S174">
            <v>0</v>
          </cell>
          <cell r="T174">
            <v>0</v>
          </cell>
          <cell r="U174">
            <v>0</v>
          </cell>
          <cell r="V174">
            <v>0</v>
          </cell>
          <cell r="W174">
            <v>0</v>
          </cell>
          <cell r="X174">
            <v>0</v>
          </cell>
          <cell r="Y174">
            <v>0</v>
          </cell>
          <cell r="Z174">
            <v>0</v>
          </cell>
        </row>
        <row r="175">
          <cell r="A175" t="str">
            <v>HOA12</v>
          </cell>
          <cell r="B175" t="str">
            <v>Nguyễn Ngọc</v>
          </cell>
          <cell r="C175" t="str">
            <v>Kiên</v>
          </cell>
          <cell r="D175">
            <v>1</v>
          </cell>
          <cell r="E175">
            <v>12.6</v>
          </cell>
          <cell r="F175">
            <v>176</v>
          </cell>
          <cell r="G175">
            <v>206.4</v>
          </cell>
          <cell r="H175">
            <v>0</v>
          </cell>
          <cell r="I175">
            <v>12.6</v>
          </cell>
          <cell r="J175">
            <v>5.0999999999999996</v>
          </cell>
          <cell r="K175">
            <v>0</v>
          </cell>
          <cell r="L175">
            <v>0</v>
          </cell>
          <cell r="M175">
            <v>31.7</v>
          </cell>
          <cell r="N175">
            <v>0</v>
          </cell>
          <cell r="O175">
            <v>157</v>
          </cell>
          <cell r="P175">
            <v>0</v>
          </cell>
          <cell r="Q175">
            <v>0</v>
          </cell>
          <cell r="R175">
            <v>0</v>
          </cell>
          <cell r="S175">
            <v>0</v>
          </cell>
          <cell r="T175">
            <v>0</v>
          </cell>
          <cell r="U175">
            <v>0</v>
          </cell>
          <cell r="V175">
            <v>0</v>
          </cell>
          <cell r="W175">
            <v>0</v>
          </cell>
          <cell r="X175">
            <v>0</v>
          </cell>
          <cell r="Y175">
            <v>0</v>
          </cell>
          <cell r="Z175">
            <v>0</v>
          </cell>
        </row>
        <row r="176">
          <cell r="A176" t="str">
            <v>HOA17</v>
          </cell>
          <cell r="B176" t="str">
            <v>Trần Thanh</v>
          </cell>
          <cell r="C176" t="str">
            <v>Hải</v>
          </cell>
          <cell r="D176">
            <v>26.4</v>
          </cell>
          <cell r="E176">
            <v>26.4</v>
          </cell>
          <cell r="F176">
            <v>268.39999999999998</v>
          </cell>
          <cell r="G176">
            <v>324.7</v>
          </cell>
          <cell r="H176">
            <v>0</v>
          </cell>
          <cell r="I176">
            <v>23.4</v>
          </cell>
          <cell r="J176">
            <v>9.4</v>
          </cell>
          <cell r="K176">
            <v>26.4</v>
          </cell>
          <cell r="L176">
            <v>0</v>
          </cell>
          <cell r="M176">
            <v>85</v>
          </cell>
          <cell r="N176">
            <v>0</v>
          </cell>
          <cell r="O176">
            <v>146.5</v>
          </cell>
          <cell r="P176">
            <v>0</v>
          </cell>
          <cell r="Q176">
            <v>0</v>
          </cell>
          <cell r="R176">
            <v>0</v>
          </cell>
          <cell r="S176">
            <v>34</v>
          </cell>
          <cell r="T176">
            <v>0</v>
          </cell>
          <cell r="U176">
            <v>0</v>
          </cell>
          <cell r="V176">
            <v>0</v>
          </cell>
          <cell r="W176">
            <v>0</v>
          </cell>
          <cell r="X176">
            <v>0</v>
          </cell>
          <cell r="Y176">
            <v>0</v>
          </cell>
          <cell r="Z176">
            <v>0</v>
          </cell>
        </row>
        <row r="177">
          <cell r="A177" t="str">
            <v>HOA18</v>
          </cell>
          <cell r="B177" t="str">
            <v>Hán Thị Phương</v>
          </cell>
          <cell r="C177" t="str">
            <v>Nga</v>
          </cell>
          <cell r="D177">
            <v>1</v>
          </cell>
          <cell r="E177">
            <v>4.3</v>
          </cell>
          <cell r="F177">
            <v>176</v>
          </cell>
          <cell r="G177">
            <v>236.2</v>
          </cell>
          <cell r="H177">
            <v>0</v>
          </cell>
          <cell r="I177">
            <v>18.399999999999999</v>
          </cell>
          <cell r="J177">
            <v>7.3</v>
          </cell>
          <cell r="K177">
            <v>0</v>
          </cell>
          <cell r="L177">
            <v>0</v>
          </cell>
          <cell r="M177">
            <v>104</v>
          </cell>
          <cell r="N177">
            <v>0</v>
          </cell>
          <cell r="O177">
            <v>106.5</v>
          </cell>
          <cell r="P177">
            <v>0</v>
          </cell>
          <cell r="Q177">
            <v>0</v>
          </cell>
          <cell r="R177">
            <v>0</v>
          </cell>
          <cell r="S177">
            <v>0</v>
          </cell>
          <cell r="T177">
            <v>0</v>
          </cell>
          <cell r="U177">
            <v>0</v>
          </cell>
          <cell r="V177">
            <v>0</v>
          </cell>
          <cell r="W177">
            <v>0</v>
          </cell>
          <cell r="X177">
            <v>0</v>
          </cell>
          <cell r="Y177">
            <v>0</v>
          </cell>
          <cell r="Z177">
            <v>0</v>
          </cell>
        </row>
        <row r="178">
          <cell r="A178" t="str">
            <v>HOA21</v>
          </cell>
          <cell r="B178" t="str">
            <v>Nguyễn Thị</v>
          </cell>
          <cell r="C178" t="str">
            <v>Hiển</v>
          </cell>
          <cell r="D178">
            <v>1</v>
          </cell>
          <cell r="E178">
            <v>12.5</v>
          </cell>
          <cell r="F178">
            <v>208</v>
          </cell>
          <cell r="G178">
            <v>331.2</v>
          </cell>
          <cell r="H178">
            <v>0</v>
          </cell>
          <cell r="I178">
            <v>36.9</v>
          </cell>
          <cell r="J178">
            <v>14.8</v>
          </cell>
          <cell r="K178">
            <v>0</v>
          </cell>
          <cell r="L178">
            <v>0</v>
          </cell>
          <cell r="M178">
            <v>165.5</v>
          </cell>
          <cell r="N178">
            <v>0</v>
          </cell>
          <cell r="O178">
            <v>114</v>
          </cell>
          <cell r="P178">
            <v>0</v>
          </cell>
          <cell r="Q178">
            <v>0</v>
          </cell>
          <cell r="R178">
            <v>0</v>
          </cell>
          <cell r="S178">
            <v>0</v>
          </cell>
          <cell r="T178">
            <v>0</v>
          </cell>
          <cell r="U178">
            <v>0</v>
          </cell>
          <cell r="V178">
            <v>0</v>
          </cell>
          <cell r="W178">
            <v>0</v>
          </cell>
          <cell r="X178">
            <v>0</v>
          </cell>
          <cell r="Y178">
            <v>0</v>
          </cell>
          <cell r="Z178">
            <v>0</v>
          </cell>
        </row>
        <row r="179">
          <cell r="A179" t="str">
            <v>HOA24</v>
          </cell>
          <cell r="B179" t="str">
            <v>Hoàng</v>
          </cell>
          <cell r="C179" t="str">
            <v>Hiệp</v>
          </cell>
          <cell r="D179">
            <v>1</v>
          </cell>
          <cell r="E179">
            <v>2.6</v>
          </cell>
          <cell r="F179">
            <v>232</v>
          </cell>
          <cell r="G179">
            <v>405.9</v>
          </cell>
          <cell r="H179">
            <v>0</v>
          </cell>
          <cell r="I179">
            <v>64.8</v>
          </cell>
          <cell r="J179">
            <v>26</v>
          </cell>
          <cell r="K179">
            <v>0</v>
          </cell>
          <cell r="L179">
            <v>0</v>
          </cell>
          <cell r="M179">
            <v>187.9</v>
          </cell>
          <cell r="N179">
            <v>0</v>
          </cell>
          <cell r="O179">
            <v>69.5</v>
          </cell>
          <cell r="P179">
            <v>0</v>
          </cell>
          <cell r="Q179">
            <v>0</v>
          </cell>
          <cell r="R179">
            <v>0</v>
          </cell>
          <cell r="S179">
            <v>0</v>
          </cell>
          <cell r="T179">
            <v>54</v>
          </cell>
          <cell r="U179">
            <v>2.6</v>
          </cell>
          <cell r="V179">
            <v>0</v>
          </cell>
          <cell r="W179">
            <v>1.1000000000000001</v>
          </cell>
          <cell r="X179">
            <v>0</v>
          </cell>
          <cell r="Y179">
            <v>0</v>
          </cell>
          <cell r="Z179">
            <v>0</v>
          </cell>
        </row>
        <row r="180">
          <cell r="A180" t="str">
            <v>HOA25</v>
          </cell>
          <cell r="B180" t="str">
            <v>Vũ Thị</v>
          </cell>
          <cell r="C180" t="str">
            <v>Huyền</v>
          </cell>
          <cell r="D180">
            <v>1</v>
          </cell>
          <cell r="E180">
            <v>2.4</v>
          </cell>
          <cell r="F180">
            <v>296</v>
          </cell>
          <cell r="G180">
            <v>531.79999999999995</v>
          </cell>
          <cell r="H180">
            <v>0</v>
          </cell>
          <cell r="I180">
            <v>97.8</v>
          </cell>
          <cell r="J180">
            <v>39.299999999999997</v>
          </cell>
          <cell r="K180">
            <v>0</v>
          </cell>
          <cell r="L180">
            <v>0</v>
          </cell>
          <cell r="M180">
            <v>245.8</v>
          </cell>
          <cell r="N180">
            <v>0</v>
          </cell>
          <cell r="O180">
            <v>91.5</v>
          </cell>
          <cell r="P180">
            <v>0</v>
          </cell>
          <cell r="Q180">
            <v>0</v>
          </cell>
          <cell r="R180">
            <v>0</v>
          </cell>
          <cell r="S180">
            <v>0</v>
          </cell>
          <cell r="T180">
            <v>54</v>
          </cell>
          <cell r="U180">
            <v>2.4</v>
          </cell>
          <cell r="V180">
            <v>0</v>
          </cell>
          <cell r="W180">
            <v>1</v>
          </cell>
          <cell r="X180">
            <v>0</v>
          </cell>
          <cell r="Y180">
            <v>0</v>
          </cell>
          <cell r="Z180">
            <v>0</v>
          </cell>
        </row>
        <row r="181">
          <cell r="A181" t="str">
            <v>HOA26</v>
          </cell>
          <cell r="B181" t="str">
            <v>Ngô Thị</v>
          </cell>
          <cell r="C181" t="str">
            <v>Thương</v>
          </cell>
          <cell r="D181">
            <v>1</v>
          </cell>
          <cell r="E181">
            <v>10.4</v>
          </cell>
          <cell r="F181">
            <v>271</v>
          </cell>
          <cell r="G181">
            <v>376.4</v>
          </cell>
          <cell r="H181">
            <v>0</v>
          </cell>
          <cell r="I181">
            <v>32.299999999999997</v>
          </cell>
          <cell r="J181">
            <v>13</v>
          </cell>
          <cell r="K181">
            <v>0</v>
          </cell>
          <cell r="L181">
            <v>0</v>
          </cell>
          <cell r="M181">
            <v>92.1</v>
          </cell>
          <cell r="N181">
            <v>0</v>
          </cell>
          <cell r="O181">
            <v>239</v>
          </cell>
          <cell r="P181">
            <v>0</v>
          </cell>
          <cell r="Q181">
            <v>0</v>
          </cell>
          <cell r="R181">
            <v>0</v>
          </cell>
          <cell r="S181">
            <v>0</v>
          </cell>
          <cell r="T181">
            <v>0</v>
          </cell>
          <cell r="U181">
            <v>0</v>
          </cell>
          <cell r="V181">
            <v>0</v>
          </cell>
          <cell r="W181">
            <v>0</v>
          </cell>
          <cell r="X181">
            <v>0</v>
          </cell>
          <cell r="Y181">
            <v>0</v>
          </cell>
          <cell r="Z181">
            <v>0</v>
          </cell>
        </row>
        <row r="182">
          <cell r="A182" t="str">
            <v>HOA27</v>
          </cell>
          <cell r="B182" t="str">
            <v>Chu Thị</v>
          </cell>
          <cell r="C182" t="str">
            <v>Thanh</v>
          </cell>
          <cell r="D182">
            <v>26.4</v>
          </cell>
          <cell r="E182">
            <v>26.4</v>
          </cell>
          <cell r="F182">
            <v>294.39999999999998</v>
          </cell>
          <cell r="G182">
            <v>395.1</v>
          </cell>
          <cell r="H182">
            <v>0</v>
          </cell>
          <cell r="I182">
            <v>47.4</v>
          </cell>
          <cell r="J182">
            <v>19.100000000000001</v>
          </cell>
          <cell r="K182">
            <v>26.4</v>
          </cell>
          <cell r="L182">
            <v>0</v>
          </cell>
          <cell r="M182">
            <v>131.69999999999999</v>
          </cell>
          <cell r="N182">
            <v>0</v>
          </cell>
          <cell r="O182">
            <v>158.5</v>
          </cell>
          <cell r="P182">
            <v>0</v>
          </cell>
          <cell r="Q182">
            <v>0</v>
          </cell>
          <cell r="R182">
            <v>0</v>
          </cell>
          <cell r="S182">
            <v>12</v>
          </cell>
          <cell r="T182">
            <v>0</v>
          </cell>
          <cell r="U182">
            <v>0</v>
          </cell>
          <cell r="V182">
            <v>0</v>
          </cell>
          <cell r="W182">
            <v>0</v>
          </cell>
          <cell r="X182">
            <v>0</v>
          </cell>
          <cell r="Y182">
            <v>0</v>
          </cell>
          <cell r="Z182">
            <v>0</v>
          </cell>
        </row>
        <row r="183">
          <cell r="A183" t="str">
            <v>HOA28</v>
          </cell>
          <cell r="B183" t="str">
            <v>Lê Thị Mai</v>
          </cell>
          <cell r="C183" t="str">
            <v>Linh</v>
          </cell>
          <cell r="D183">
            <v>1</v>
          </cell>
          <cell r="E183">
            <v>12.3</v>
          </cell>
          <cell r="F183">
            <v>320</v>
          </cell>
          <cell r="G183">
            <v>459.4</v>
          </cell>
          <cell r="H183">
            <v>0</v>
          </cell>
          <cell r="I183">
            <v>69.2</v>
          </cell>
          <cell r="J183">
            <v>27.8</v>
          </cell>
          <cell r="K183">
            <v>0</v>
          </cell>
          <cell r="L183">
            <v>0</v>
          </cell>
          <cell r="M183">
            <v>227.9</v>
          </cell>
          <cell r="N183">
            <v>0</v>
          </cell>
          <cell r="O183">
            <v>134.5</v>
          </cell>
          <cell r="P183">
            <v>0</v>
          </cell>
          <cell r="Q183">
            <v>0</v>
          </cell>
          <cell r="R183">
            <v>0</v>
          </cell>
          <cell r="S183">
            <v>0</v>
          </cell>
          <cell r="T183">
            <v>0</v>
          </cell>
          <cell r="U183">
            <v>0</v>
          </cell>
          <cell r="V183">
            <v>0</v>
          </cell>
          <cell r="W183">
            <v>0</v>
          </cell>
          <cell r="X183">
            <v>0</v>
          </cell>
          <cell r="Y183">
            <v>0</v>
          </cell>
          <cell r="Z183">
            <v>0</v>
          </cell>
        </row>
        <row r="184">
          <cell r="A184" t="str">
            <v>HSC01</v>
          </cell>
          <cell r="B184" t="str">
            <v>Nguyễn Văn</v>
          </cell>
          <cell r="C184" t="str">
            <v>Lâm</v>
          </cell>
          <cell r="D184">
            <v>30</v>
          </cell>
          <cell r="E184">
            <v>30</v>
          </cell>
          <cell r="F184">
            <v>290</v>
          </cell>
          <cell r="G184">
            <v>403.9</v>
          </cell>
          <cell r="H184">
            <v>0</v>
          </cell>
          <cell r="I184">
            <v>39</v>
          </cell>
          <cell r="J184">
            <v>15.6</v>
          </cell>
          <cell r="K184">
            <v>0</v>
          </cell>
          <cell r="L184">
            <v>0</v>
          </cell>
          <cell r="M184">
            <v>136.80000000000001</v>
          </cell>
          <cell r="N184">
            <v>0</v>
          </cell>
          <cell r="O184">
            <v>82.5</v>
          </cell>
          <cell r="P184">
            <v>0</v>
          </cell>
          <cell r="Q184">
            <v>0</v>
          </cell>
          <cell r="R184">
            <v>0</v>
          </cell>
          <cell r="S184">
            <v>130</v>
          </cell>
          <cell r="T184">
            <v>0</v>
          </cell>
          <cell r="U184">
            <v>0</v>
          </cell>
          <cell r="V184">
            <v>0</v>
          </cell>
          <cell r="W184">
            <v>0</v>
          </cell>
          <cell r="X184">
            <v>0</v>
          </cell>
          <cell r="Y184">
            <v>0</v>
          </cell>
          <cell r="Z184">
            <v>0</v>
          </cell>
        </row>
        <row r="185">
          <cell r="A185" t="str">
            <v>HSC04</v>
          </cell>
          <cell r="B185" t="str">
            <v>Nguyễn Thị Lâm</v>
          </cell>
          <cell r="C185" t="str">
            <v>Đoàn</v>
          </cell>
          <cell r="D185">
            <v>40</v>
          </cell>
          <cell r="E185">
            <v>40</v>
          </cell>
          <cell r="F185">
            <v>252.4</v>
          </cell>
          <cell r="G185">
            <v>262.8</v>
          </cell>
          <cell r="H185">
            <v>0</v>
          </cell>
          <cell r="I185">
            <v>10.3</v>
          </cell>
          <cell r="J185">
            <v>4.0999999999999996</v>
          </cell>
          <cell r="K185">
            <v>50.4</v>
          </cell>
          <cell r="L185">
            <v>0</v>
          </cell>
          <cell r="M185">
            <v>44</v>
          </cell>
          <cell r="N185">
            <v>0</v>
          </cell>
          <cell r="O185">
            <v>0</v>
          </cell>
          <cell r="P185">
            <v>0</v>
          </cell>
          <cell r="Q185">
            <v>0</v>
          </cell>
          <cell r="R185">
            <v>0</v>
          </cell>
          <cell r="S185">
            <v>86</v>
          </cell>
          <cell r="T185">
            <v>0</v>
          </cell>
          <cell r="U185">
            <v>0</v>
          </cell>
          <cell r="V185">
            <v>0</v>
          </cell>
          <cell r="W185">
            <v>0</v>
          </cell>
          <cell r="X185">
            <v>68</v>
          </cell>
          <cell r="Y185">
            <v>0</v>
          </cell>
          <cell r="Z185">
            <v>0</v>
          </cell>
        </row>
        <row r="186">
          <cell r="A186" t="str">
            <v>HSC05</v>
          </cell>
          <cell r="B186" t="str">
            <v>Nguyễn Hoàng</v>
          </cell>
          <cell r="C186" t="str">
            <v>Anh</v>
          </cell>
          <cell r="D186">
            <v>12</v>
          </cell>
          <cell r="E186">
            <v>12</v>
          </cell>
          <cell r="F186">
            <v>220</v>
          </cell>
          <cell r="G186">
            <v>247.1</v>
          </cell>
          <cell r="H186">
            <v>0</v>
          </cell>
          <cell r="I186">
            <v>4.0999999999999996</v>
          </cell>
          <cell r="J186">
            <v>1.7</v>
          </cell>
          <cell r="K186">
            <v>0</v>
          </cell>
          <cell r="L186">
            <v>0</v>
          </cell>
          <cell r="M186">
            <v>22</v>
          </cell>
          <cell r="N186">
            <v>0</v>
          </cell>
          <cell r="O186">
            <v>0</v>
          </cell>
          <cell r="P186">
            <v>0</v>
          </cell>
          <cell r="Q186">
            <v>0</v>
          </cell>
          <cell r="R186">
            <v>0</v>
          </cell>
          <cell r="S186">
            <v>140</v>
          </cell>
          <cell r="T186">
            <v>54</v>
          </cell>
          <cell r="U186">
            <v>0.9</v>
          </cell>
          <cell r="V186">
            <v>0</v>
          </cell>
          <cell r="W186">
            <v>0.4</v>
          </cell>
          <cell r="X186">
            <v>24</v>
          </cell>
          <cell r="Y186">
            <v>0</v>
          </cell>
          <cell r="Z186">
            <v>0</v>
          </cell>
        </row>
        <row r="187">
          <cell r="A187" t="str">
            <v>HSC06</v>
          </cell>
          <cell r="B187" t="str">
            <v>Lại Thị Ngọc</v>
          </cell>
          <cell r="C187" t="str">
            <v>Hà</v>
          </cell>
          <cell r="D187">
            <v>28</v>
          </cell>
          <cell r="E187">
            <v>28</v>
          </cell>
          <cell r="F187">
            <v>288</v>
          </cell>
          <cell r="G187">
            <v>311.3</v>
          </cell>
          <cell r="H187">
            <v>0</v>
          </cell>
          <cell r="I187">
            <v>17.600000000000001</v>
          </cell>
          <cell r="J187">
            <v>7.1</v>
          </cell>
          <cell r="K187">
            <v>0</v>
          </cell>
          <cell r="L187">
            <v>0</v>
          </cell>
          <cell r="M187">
            <v>62.6</v>
          </cell>
          <cell r="N187">
            <v>0</v>
          </cell>
          <cell r="O187">
            <v>0</v>
          </cell>
          <cell r="P187">
            <v>0</v>
          </cell>
          <cell r="Q187">
            <v>0</v>
          </cell>
          <cell r="R187">
            <v>0</v>
          </cell>
          <cell r="S187">
            <v>168</v>
          </cell>
          <cell r="T187">
            <v>0</v>
          </cell>
          <cell r="U187">
            <v>0</v>
          </cell>
          <cell r="V187">
            <v>0</v>
          </cell>
          <cell r="W187">
            <v>0</v>
          </cell>
          <cell r="X187">
            <v>56</v>
          </cell>
          <cell r="Y187">
            <v>0</v>
          </cell>
          <cell r="Z187">
            <v>0</v>
          </cell>
        </row>
        <row r="188">
          <cell r="A188" t="str">
            <v>HSC09</v>
          </cell>
          <cell r="B188" t="str">
            <v>Trần Thị</v>
          </cell>
          <cell r="C188" t="str">
            <v>Hoài</v>
          </cell>
          <cell r="D188">
            <v>6</v>
          </cell>
          <cell r="E188">
            <v>6</v>
          </cell>
          <cell r="F188">
            <v>161</v>
          </cell>
          <cell r="G188">
            <v>180</v>
          </cell>
          <cell r="H188">
            <v>0</v>
          </cell>
          <cell r="I188">
            <v>0</v>
          </cell>
          <cell r="J188">
            <v>0</v>
          </cell>
          <cell r="K188">
            <v>0</v>
          </cell>
          <cell r="L188">
            <v>0</v>
          </cell>
          <cell r="M188">
            <v>0</v>
          </cell>
          <cell r="N188">
            <v>0</v>
          </cell>
          <cell r="O188">
            <v>168</v>
          </cell>
          <cell r="P188">
            <v>0</v>
          </cell>
          <cell r="Q188">
            <v>0</v>
          </cell>
          <cell r="R188">
            <v>0</v>
          </cell>
          <cell r="S188">
            <v>12</v>
          </cell>
          <cell r="T188">
            <v>0</v>
          </cell>
          <cell r="U188">
            <v>0</v>
          </cell>
          <cell r="V188">
            <v>0</v>
          </cell>
          <cell r="W188">
            <v>0</v>
          </cell>
          <cell r="X188">
            <v>0</v>
          </cell>
          <cell r="Y188">
            <v>0</v>
          </cell>
          <cell r="Z188">
            <v>0</v>
          </cell>
        </row>
        <row r="189">
          <cell r="A189" t="str">
            <v>HSC11</v>
          </cell>
          <cell r="B189" t="str">
            <v>Hoàng Hải</v>
          </cell>
          <cell r="C189" t="str">
            <v>Hà</v>
          </cell>
          <cell r="D189">
            <v>40</v>
          </cell>
          <cell r="E189">
            <v>40</v>
          </cell>
          <cell r="F189">
            <v>252</v>
          </cell>
          <cell r="G189">
            <v>275.39999999999998</v>
          </cell>
          <cell r="H189">
            <v>0</v>
          </cell>
          <cell r="I189">
            <v>12.9</v>
          </cell>
          <cell r="J189">
            <v>5.2</v>
          </cell>
          <cell r="K189">
            <v>0</v>
          </cell>
          <cell r="L189">
            <v>0</v>
          </cell>
          <cell r="M189">
            <v>57.3</v>
          </cell>
          <cell r="N189">
            <v>0</v>
          </cell>
          <cell r="O189">
            <v>28</v>
          </cell>
          <cell r="P189">
            <v>0</v>
          </cell>
          <cell r="Q189">
            <v>0</v>
          </cell>
          <cell r="R189">
            <v>0</v>
          </cell>
          <cell r="S189">
            <v>120</v>
          </cell>
          <cell r="T189">
            <v>0</v>
          </cell>
          <cell r="U189">
            <v>0</v>
          </cell>
          <cell r="V189">
            <v>0</v>
          </cell>
          <cell r="W189">
            <v>0</v>
          </cell>
          <cell r="X189">
            <v>52</v>
          </cell>
          <cell r="Y189">
            <v>0</v>
          </cell>
          <cell r="Z189">
            <v>0</v>
          </cell>
        </row>
        <row r="190">
          <cell r="A190" t="str">
            <v>HSD01</v>
          </cell>
          <cell r="B190" t="str">
            <v>Đặng Thái</v>
          </cell>
          <cell r="C190" t="str">
            <v>Hải</v>
          </cell>
          <cell r="D190">
            <v>40</v>
          </cell>
          <cell r="E190">
            <v>40</v>
          </cell>
          <cell r="F190">
            <v>580</v>
          </cell>
          <cell r="G190">
            <v>925.2</v>
          </cell>
          <cell r="H190">
            <v>0</v>
          </cell>
          <cell r="I190">
            <v>160.30000000000001</v>
          </cell>
          <cell r="J190">
            <v>64.400000000000006</v>
          </cell>
          <cell r="K190">
            <v>0</v>
          </cell>
          <cell r="L190">
            <v>0</v>
          </cell>
          <cell r="M190">
            <v>409.1</v>
          </cell>
          <cell r="N190">
            <v>0</v>
          </cell>
          <cell r="O190">
            <v>56</v>
          </cell>
          <cell r="P190">
            <v>0</v>
          </cell>
          <cell r="Q190">
            <v>0</v>
          </cell>
          <cell r="R190">
            <v>0</v>
          </cell>
          <cell r="S190">
            <v>140</v>
          </cell>
          <cell r="T190">
            <v>54</v>
          </cell>
          <cell r="U190">
            <v>1</v>
          </cell>
          <cell r="V190">
            <v>0</v>
          </cell>
          <cell r="W190">
            <v>0.4</v>
          </cell>
          <cell r="X190">
            <v>40</v>
          </cell>
          <cell r="Y190">
            <v>0</v>
          </cell>
          <cell r="Z190">
            <v>0</v>
          </cell>
        </row>
        <row r="191">
          <cell r="A191" t="str">
            <v>HSD06</v>
          </cell>
          <cell r="B191" t="str">
            <v>Đinh Thị</v>
          </cell>
          <cell r="C191" t="str">
            <v>Yên</v>
          </cell>
          <cell r="D191">
            <v>6</v>
          </cell>
          <cell r="E191">
            <v>6</v>
          </cell>
          <cell r="F191">
            <v>428</v>
          </cell>
          <cell r="G191">
            <v>428</v>
          </cell>
          <cell r="H191">
            <v>0</v>
          </cell>
          <cell r="I191">
            <v>0</v>
          </cell>
          <cell r="J191">
            <v>0</v>
          </cell>
          <cell r="K191">
            <v>0</v>
          </cell>
          <cell r="L191">
            <v>0</v>
          </cell>
          <cell r="M191">
            <v>0</v>
          </cell>
          <cell r="N191">
            <v>0</v>
          </cell>
          <cell r="O191">
            <v>368</v>
          </cell>
          <cell r="P191">
            <v>0</v>
          </cell>
          <cell r="Q191">
            <v>0</v>
          </cell>
          <cell r="R191">
            <v>0</v>
          </cell>
          <cell r="S191">
            <v>60</v>
          </cell>
          <cell r="T191">
            <v>0</v>
          </cell>
          <cell r="U191">
            <v>0</v>
          </cell>
          <cell r="V191">
            <v>0</v>
          </cell>
          <cell r="W191">
            <v>0</v>
          </cell>
          <cell r="X191">
            <v>0</v>
          </cell>
          <cell r="Y191">
            <v>0</v>
          </cell>
          <cell r="Z191">
            <v>0</v>
          </cell>
        </row>
        <row r="192">
          <cell r="A192" t="str">
            <v>HTD01</v>
          </cell>
          <cell r="B192" t="str">
            <v>Nguyễn Thị Huyền</v>
          </cell>
          <cell r="C192" t="str">
            <v>Thanh</v>
          </cell>
          <cell r="D192">
            <v>6</v>
          </cell>
          <cell r="E192">
            <v>6</v>
          </cell>
          <cell r="F192">
            <v>92</v>
          </cell>
          <cell r="G192">
            <v>93.4</v>
          </cell>
          <cell r="H192">
            <v>0</v>
          </cell>
          <cell r="I192">
            <v>2.4</v>
          </cell>
          <cell r="J192">
            <v>1</v>
          </cell>
          <cell r="K192">
            <v>0</v>
          </cell>
          <cell r="L192">
            <v>0</v>
          </cell>
          <cell r="M192">
            <v>22</v>
          </cell>
          <cell r="N192">
            <v>0</v>
          </cell>
          <cell r="O192">
            <v>8</v>
          </cell>
          <cell r="P192">
            <v>0</v>
          </cell>
          <cell r="Q192">
            <v>0</v>
          </cell>
          <cell r="R192">
            <v>0</v>
          </cell>
          <cell r="S192">
            <v>60</v>
          </cell>
          <cell r="T192">
            <v>0</v>
          </cell>
          <cell r="U192">
            <v>0</v>
          </cell>
          <cell r="V192">
            <v>0</v>
          </cell>
          <cell r="W192">
            <v>0</v>
          </cell>
          <cell r="X192">
            <v>0</v>
          </cell>
          <cell r="Y192">
            <v>0</v>
          </cell>
          <cell r="Z192">
            <v>0</v>
          </cell>
        </row>
        <row r="193">
          <cell r="A193" t="str">
            <v>HTD02</v>
          </cell>
          <cell r="B193" t="str">
            <v>Phạm Thị Lan</v>
          </cell>
          <cell r="C193" t="str">
            <v>Hương</v>
          </cell>
          <cell r="D193">
            <v>6</v>
          </cell>
          <cell r="E193">
            <v>6</v>
          </cell>
          <cell r="F193">
            <v>279</v>
          </cell>
          <cell r="G193">
            <v>324.3</v>
          </cell>
          <cell r="H193">
            <v>0</v>
          </cell>
          <cell r="I193">
            <v>26.2</v>
          </cell>
          <cell r="J193">
            <v>10.7</v>
          </cell>
          <cell r="K193">
            <v>45</v>
          </cell>
          <cell r="L193">
            <v>0</v>
          </cell>
          <cell r="M193">
            <v>142.4</v>
          </cell>
          <cell r="N193">
            <v>0</v>
          </cell>
          <cell r="O193">
            <v>40</v>
          </cell>
          <cell r="P193">
            <v>0</v>
          </cell>
          <cell r="Q193">
            <v>0</v>
          </cell>
          <cell r="R193">
            <v>0</v>
          </cell>
          <cell r="S193">
            <v>60</v>
          </cell>
          <cell r="T193">
            <v>0</v>
          </cell>
          <cell r="U193">
            <v>0</v>
          </cell>
          <cell r="V193">
            <v>0</v>
          </cell>
          <cell r="W193">
            <v>0</v>
          </cell>
          <cell r="X193">
            <v>0</v>
          </cell>
          <cell r="Y193">
            <v>0</v>
          </cell>
          <cell r="Z193">
            <v>0</v>
          </cell>
        </row>
        <row r="194">
          <cell r="A194" t="str">
            <v>HTD08</v>
          </cell>
          <cell r="B194" t="str">
            <v>Nguyễn Thị</v>
          </cell>
          <cell r="C194" t="str">
            <v>Duyên</v>
          </cell>
          <cell r="D194">
            <v>20</v>
          </cell>
          <cell r="E194">
            <v>20</v>
          </cell>
          <cell r="F194">
            <v>257.2</v>
          </cell>
          <cell r="G194">
            <v>272.5</v>
          </cell>
          <cell r="H194">
            <v>0</v>
          </cell>
          <cell r="I194">
            <v>13.8</v>
          </cell>
          <cell r="J194">
            <v>5.5</v>
          </cell>
          <cell r="K194">
            <v>38.200000000000003</v>
          </cell>
          <cell r="L194">
            <v>0</v>
          </cell>
          <cell r="M194">
            <v>75</v>
          </cell>
          <cell r="N194">
            <v>0</v>
          </cell>
          <cell r="O194">
            <v>0</v>
          </cell>
          <cell r="P194">
            <v>0</v>
          </cell>
          <cell r="Q194">
            <v>0</v>
          </cell>
          <cell r="R194">
            <v>0</v>
          </cell>
          <cell r="S194">
            <v>140</v>
          </cell>
          <cell r="T194">
            <v>0</v>
          </cell>
          <cell r="U194">
            <v>0</v>
          </cell>
          <cell r="V194">
            <v>0</v>
          </cell>
          <cell r="W194">
            <v>0</v>
          </cell>
          <cell r="X194">
            <v>0</v>
          </cell>
          <cell r="Y194">
            <v>0</v>
          </cell>
          <cell r="Z194">
            <v>0</v>
          </cell>
        </row>
        <row r="195">
          <cell r="A195" t="str">
            <v>HTD09</v>
          </cell>
          <cell r="B195" t="str">
            <v>Nguyễn Xuân</v>
          </cell>
          <cell r="C195" t="str">
            <v>Trường</v>
          </cell>
          <cell r="D195">
            <v>20</v>
          </cell>
          <cell r="E195">
            <v>20</v>
          </cell>
          <cell r="F195">
            <v>272.2</v>
          </cell>
          <cell r="G195">
            <v>309.3</v>
          </cell>
          <cell r="H195">
            <v>0</v>
          </cell>
          <cell r="I195">
            <v>15.1</v>
          </cell>
          <cell r="J195">
            <v>6.1</v>
          </cell>
          <cell r="K195">
            <v>38.200000000000003</v>
          </cell>
          <cell r="L195">
            <v>0</v>
          </cell>
          <cell r="M195">
            <v>109.9</v>
          </cell>
          <cell r="N195">
            <v>0</v>
          </cell>
          <cell r="O195">
            <v>0</v>
          </cell>
          <cell r="P195">
            <v>0</v>
          </cell>
          <cell r="Q195">
            <v>0</v>
          </cell>
          <cell r="R195">
            <v>0</v>
          </cell>
          <cell r="S195">
            <v>140</v>
          </cell>
          <cell r="T195">
            <v>0</v>
          </cell>
          <cell r="U195">
            <v>0</v>
          </cell>
          <cell r="V195">
            <v>0</v>
          </cell>
          <cell r="W195">
            <v>0</v>
          </cell>
          <cell r="X195">
            <v>0</v>
          </cell>
          <cell r="Y195">
            <v>0</v>
          </cell>
          <cell r="Z195">
            <v>0</v>
          </cell>
        </row>
        <row r="196">
          <cell r="A196" t="str">
            <v>HTD10</v>
          </cell>
          <cell r="B196" t="str">
            <v>Đào Xuân</v>
          </cell>
          <cell r="C196" t="str">
            <v>Tiến</v>
          </cell>
          <cell r="D196">
            <v>6</v>
          </cell>
          <cell r="E196">
            <v>6</v>
          </cell>
          <cell r="F196">
            <v>369.2</v>
          </cell>
          <cell r="G196">
            <v>402.6</v>
          </cell>
          <cell r="H196">
            <v>0</v>
          </cell>
          <cell r="I196">
            <v>30.9</v>
          </cell>
          <cell r="J196">
            <v>12.5</v>
          </cell>
          <cell r="K196">
            <v>38.200000000000003</v>
          </cell>
          <cell r="L196">
            <v>0</v>
          </cell>
          <cell r="M196">
            <v>202</v>
          </cell>
          <cell r="N196">
            <v>0</v>
          </cell>
          <cell r="O196">
            <v>24</v>
          </cell>
          <cell r="P196">
            <v>0</v>
          </cell>
          <cell r="Q196">
            <v>0</v>
          </cell>
          <cell r="R196">
            <v>15</v>
          </cell>
          <cell r="S196">
            <v>80</v>
          </cell>
          <cell r="T196">
            <v>0</v>
          </cell>
          <cell r="U196">
            <v>0</v>
          </cell>
          <cell r="V196">
            <v>0</v>
          </cell>
          <cell r="W196">
            <v>0</v>
          </cell>
          <cell r="X196">
            <v>0</v>
          </cell>
          <cell r="Y196">
            <v>0</v>
          </cell>
          <cell r="Z196">
            <v>0</v>
          </cell>
        </row>
        <row r="197">
          <cell r="A197" t="str">
            <v>HTD12</v>
          </cell>
          <cell r="B197" t="str">
            <v>Ngô Quang</v>
          </cell>
          <cell r="C197" t="str">
            <v>Ước</v>
          </cell>
          <cell r="D197">
            <v>6</v>
          </cell>
          <cell r="E197">
            <v>6</v>
          </cell>
          <cell r="F197">
            <v>211.2</v>
          </cell>
          <cell r="G197">
            <v>234.8</v>
          </cell>
          <cell r="H197">
            <v>0</v>
          </cell>
          <cell r="I197">
            <v>15.7</v>
          </cell>
          <cell r="J197">
            <v>6.3</v>
          </cell>
          <cell r="K197">
            <v>38.200000000000003</v>
          </cell>
          <cell r="L197">
            <v>0</v>
          </cell>
          <cell r="M197">
            <v>60.6</v>
          </cell>
          <cell r="N197">
            <v>0</v>
          </cell>
          <cell r="O197">
            <v>44</v>
          </cell>
          <cell r="P197">
            <v>0</v>
          </cell>
          <cell r="Q197">
            <v>0</v>
          </cell>
          <cell r="R197">
            <v>30</v>
          </cell>
          <cell r="S197">
            <v>40</v>
          </cell>
          <cell r="T197">
            <v>0</v>
          </cell>
          <cell r="U197">
            <v>0</v>
          </cell>
          <cell r="V197">
            <v>0</v>
          </cell>
          <cell r="W197">
            <v>0</v>
          </cell>
          <cell r="X197">
            <v>0</v>
          </cell>
          <cell r="Y197">
            <v>0</v>
          </cell>
          <cell r="Z197">
            <v>0</v>
          </cell>
        </row>
        <row r="198">
          <cell r="A198" t="str">
            <v>HTN02</v>
          </cell>
          <cell r="B198" t="str">
            <v>Nguyễn Thị ái</v>
          </cell>
          <cell r="C198" t="str">
            <v>Nghĩa</v>
          </cell>
          <cell r="D198">
            <v>7.5</v>
          </cell>
          <cell r="E198">
            <v>7.5</v>
          </cell>
          <cell r="F198">
            <v>301.5</v>
          </cell>
          <cell r="G198">
            <v>335.8</v>
          </cell>
          <cell r="H198">
            <v>0</v>
          </cell>
          <cell r="I198">
            <v>13.6</v>
          </cell>
          <cell r="J198">
            <v>4.7</v>
          </cell>
          <cell r="K198">
            <v>0</v>
          </cell>
          <cell r="L198">
            <v>0</v>
          </cell>
          <cell r="M198">
            <v>114</v>
          </cell>
          <cell r="N198">
            <v>0</v>
          </cell>
          <cell r="O198">
            <v>56</v>
          </cell>
          <cell r="P198">
            <v>0</v>
          </cell>
          <cell r="Q198">
            <v>0</v>
          </cell>
          <cell r="R198">
            <v>0</v>
          </cell>
          <cell r="S198">
            <v>100</v>
          </cell>
          <cell r="T198">
            <v>0</v>
          </cell>
          <cell r="U198">
            <v>0</v>
          </cell>
          <cell r="V198">
            <v>0</v>
          </cell>
          <cell r="W198">
            <v>0</v>
          </cell>
          <cell r="X198">
            <v>40</v>
          </cell>
          <cell r="Y198">
            <v>7.5</v>
          </cell>
          <cell r="Z198">
            <v>0</v>
          </cell>
        </row>
        <row r="199">
          <cell r="A199" t="str">
            <v>HTN07</v>
          </cell>
          <cell r="B199" t="str">
            <v>Phạm Tiến</v>
          </cell>
          <cell r="C199" t="str">
            <v>Dũng</v>
          </cell>
          <cell r="D199">
            <v>37.5</v>
          </cell>
          <cell r="E199">
            <v>37.5</v>
          </cell>
          <cell r="F199">
            <v>357.5</v>
          </cell>
          <cell r="G199">
            <v>415</v>
          </cell>
          <cell r="H199">
            <v>0</v>
          </cell>
          <cell r="I199">
            <v>26.1</v>
          </cell>
          <cell r="J199">
            <v>10.6</v>
          </cell>
          <cell r="K199">
            <v>0</v>
          </cell>
          <cell r="L199">
            <v>0</v>
          </cell>
          <cell r="M199">
            <v>106.4</v>
          </cell>
          <cell r="N199">
            <v>0</v>
          </cell>
          <cell r="O199">
            <v>56</v>
          </cell>
          <cell r="P199">
            <v>0</v>
          </cell>
          <cell r="Q199">
            <v>0</v>
          </cell>
          <cell r="R199">
            <v>0</v>
          </cell>
          <cell r="S199">
            <v>80</v>
          </cell>
          <cell r="T199">
            <v>27</v>
          </cell>
          <cell r="U199">
            <v>1</v>
          </cell>
          <cell r="V199">
            <v>0</v>
          </cell>
          <cell r="W199">
            <v>0.4</v>
          </cell>
          <cell r="X199">
            <v>40</v>
          </cell>
          <cell r="Y199">
            <v>37.5</v>
          </cell>
          <cell r="Z199">
            <v>30</v>
          </cell>
        </row>
        <row r="200">
          <cell r="A200" t="str">
            <v>HTN08</v>
          </cell>
          <cell r="B200" t="str">
            <v>Đỗ Thị</v>
          </cell>
          <cell r="C200" t="str">
            <v>Hường</v>
          </cell>
          <cell r="D200">
            <v>20</v>
          </cell>
          <cell r="E200">
            <v>20</v>
          </cell>
          <cell r="F200">
            <v>249</v>
          </cell>
          <cell r="G200">
            <v>304</v>
          </cell>
          <cell r="H200">
            <v>0</v>
          </cell>
          <cell r="I200">
            <v>28.2</v>
          </cell>
          <cell r="J200">
            <v>11.3</v>
          </cell>
          <cell r="K200">
            <v>0</v>
          </cell>
          <cell r="L200">
            <v>0</v>
          </cell>
          <cell r="M200">
            <v>86</v>
          </cell>
          <cell r="N200">
            <v>0</v>
          </cell>
          <cell r="O200">
            <v>98.5</v>
          </cell>
          <cell r="P200">
            <v>0</v>
          </cell>
          <cell r="Q200">
            <v>0</v>
          </cell>
          <cell r="R200">
            <v>0</v>
          </cell>
          <cell r="S200">
            <v>80</v>
          </cell>
          <cell r="T200">
            <v>0</v>
          </cell>
          <cell r="U200">
            <v>0</v>
          </cell>
          <cell r="V200">
            <v>0</v>
          </cell>
          <cell r="W200">
            <v>0</v>
          </cell>
          <cell r="X200">
            <v>0</v>
          </cell>
          <cell r="Y200">
            <v>0</v>
          </cell>
          <cell r="Z200">
            <v>0</v>
          </cell>
        </row>
        <row r="201">
          <cell r="A201" t="str">
            <v>HTN09</v>
          </cell>
          <cell r="B201" t="str">
            <v>Nguyễn Hồng</v>
          </cell>
          <cell r="C201" t="str">
            <v>Hạnh</v>
          </cell>
          <cell r="D201">
            <v>20</v>
          </cell>
          <cell r="E201">
            <v>20</v>
          </cell>
          <cell r="F201">
            <v>89</v>
          </cell>
          <cell r="G201">
            <v>99</v>
          </cell>
          <cell r="H201">
            <v>0</v>
          </cell>
          <cell r="I201">
            <v>0</v>
          </cell>
          <cell r="J201">
            <v>0</v>
          </cell>
          <cell r="K201">
            <v>0</v>
          </cell>
          <cell r="L201">
            <v>0</v>
          </cell>
          <cell r="M201">
            <v>15</v>
          </cell>
          <cell r="N201">
            <v>0</v>
          </cell>
          <cell r="O201">
            <v>44</v>
          </cell>
          <cell r="P201">
            <v>0</v>
          </cell>
          <cell r="Q201">
            <v>0</v>
          </cell>
          <cell r="R201">
            <v>0</v>
          </cell>
          <cell r="S201">
            <v>40</v>
          </cell>
          <cell r="T201">
            <v>0</v>
          </cell>
          <cell r="U201">
            <v>0</v>
          </cell>
          <cell r="V201">
            <v>0</v>
          </cell>
          <cell r="W201">
            <v>0</v>
          </cell>
          <cell r="X201">
            <v>0</v>
          </cell>
          <cell r="Y201">
            <v>0</v>
          </cell>
          <cell r="Z201">
            <v>0</v>
          </cell>
        </row>
        <row r="202">
          <cell r="A202" t="str">
            <v>HTN10</v>
          </cell>
          <cell r="B202" t="str">
            <v>Nguyễn Thị Ngọc</v>
          </cell>
          <cell r="C202" t="str">
            <v>Dinh</v>
          </cell>
          <cell r="D202">
            <v>36</v>
          </cell>
          <cell r="E202">
            <v>36</v>
          </cell>
          <cell r="F202">
            <v>178</v>
          </cell>
          <cell r="G202">
            <v>230.7</v>
          </cell>
          <cell r="H202">
            <v>0</v>
          </cell>
          <cell r="I202">
            <v>28</v>
          </cell>
          <cell r="J202">
            <v>11.3</v>
          </cell>
          <cell r="K202">
            <v>36</v>
          </cell>
          <cell r="L202">
            <v>0</v>
          </cell>
          <cell r="M202">
            <v>97.4</v>
          </cell>
          <cell r="N202">
            <v>0</v>
          </cell>
          <cell r="O202">
            <v>32</v>
          </cell>
          <cell r="P202">
            <v>0</v>
          </cell>
          <cell r="Q202">
            <v>0</v>
          </cell>
          <cell r="R202">
            <v>0</v>
          </cell>
          <cell r="S202">
            <v>26</v>
          </cell>
          <cell r="T202">
            <v>0</v>
          </cell>
          <cell r="U202">
            <v>0</v>
          </cell>
          <cell r="V202">
            <v>0</v>
          </cell>
          <cell r="W202">
            <v>0</v>
          </cell>
          <cell r="X202">
            <v>0</v>
          </cell>
          <cell r="Y202">
            <v>0</v>
          </cell>
          <cell r="Z202">
            <v>0</v>
          </cell>
        </row>
        <row r="203">
          <cell r="A203" t="str">
            <v>KDT01</v>
          </cell>
          <cell r="B203" t="str">
            <v>Trần Đình</v>
          </cell>
          <cell r="C203" t="str">
            <v>Thao</v>
          </cell>
          <cell r="D203">
            <v>20</v>
          </cell>
          <cell r="E203">
            <v>20</v>
          </cell>
          <cell r="F203">
            <v>1058</v>
          </cell>
          <cell r="G203">
            <v>1364.6</v>
          </cell>
          <cell r="H203">
            <v>0</v>
          </cell>
          <cell r="I203">
            <v>2</v>
          </cell>
          <cell r="J203">
            <v>0.8</v>
          </cell>
          <cell r="K203">
            <v>0</v>
          </cell>
          <cell r="L203">
            <v>0</v>
          </cell>
          <cell r="M203">
            <v>30</v>
          </cell>
          <cell r="N203">
            <v>0</v>
          </cell>
          <cell r="O203">
            <v>0</v>
          </cell>
          <cell r="P203">
            <v>0</v>
          </cell>
          <cell r="Q203">
            <v>0</v>
          </cell>
          <cell r="R203">
            <v>0</v>
          </cell>
          <cell r="S203">
            <v>80</v>
          </cell>
          <cell r="T203">
            <v>583.5</v>
          </cell>
          <cell r="U203">
            <v>47.1</v>
          </cell>
          <cell r="V203">
            <v>0</v>
          </cell>
          <cell r="W203">
            <v>11.2</v>
          </cell>
          <cell r="X203">
            <v>560</v>
          </cell>
          <cell r="Y203">
            <v>0</v>
          </cell>
          <cell r="Z203">
            <v>50</v>
          </cell>
        </row>
        <row r="204">
          <cell r="A204" t="str">
            <v>KDT02</v>
          </cell>
          <cell r="B204" t="str">
            <v>Nguyễn Hữu</v>
          </cell>
          <cell r="C204" t="str">
            <v>Ngoan</v>
          </cell>
          <cell r="D204">
            <v>10</v>
          </cell>
          <cell r="E204">
            <v>10</v>
          </cell>
          <cell r="F204">
            <v>949</v>
          </cell>
          <cell r="G204">
            <v>1155.9000000000001</v>
          </cell>
          <cell r="H204">
            <v>0</v>
          </cell>
          <cell r="I204">
            <v>15.2</v>
          </cell>
          <cell r="J204">
            <v>6.1</v>
          </cell>
          <cell r="K204">
            <v>0</v>
          </cell>
          <cell r="L204">
            <v>0</v>
          </cell>
          <cell r="M204">
            <v>110.6</v>
          </cell>
          <cell r="N204">
            <v>0</v>
          </cell>
          <cell r="O204">
            <v>0</v>
          </cell>
          <cell r="P204">
            <v>0</v>
          </cell>
          <cell r="Q204">
            <v>0</v>
          </cell>
          <cell r="R204">
            <v>0</v>
          </cell>
          <cell r="S204">
            <v>80</v>
          </cell>
          <cell r="T204">
            <v>355.5</v>
          </cell>
          <cell r="U204">
            <v>13.1</v>
          </cell>
          <cell r="V204">
            <v>0</v>
          </cell>
          <cell r="W204">
            <v>5.4</v>
          </cell>
          <cell r="X204">
            <v>440</v>
          </cell>
          <cell r="Y204">
            <v>0</v>
          </cell>
          <cell r="Z204">
            <v>130</v>
          </cell>
        </row>
        <row r="205">
          <cell r="A205" t="str">
            <v>KDT03</v>
          </cell>
          <cell r="B205" t="str">
            <v>Đỗ Trường</v>
          </cell>
          <cell r="C205" t="str">
            <v>Lâm</v>
          </cell>
          <cell r="D205">
            <v>24</v>
          </cell>
          <cell r="E205">
            <v>24</v>
          </cell>
          <cell r="F205">
            <v>24</v>
          </cell>
          <cell r="G205">
            <v>24</v>
          </cell>
          <cell r="H205">
            <v>0</v>
          </cell>
          <cell r="I205">
            <v>0</v>
          </cell>
          <cell r="J205">
            <v>0</v>
          </cell>
          <cell r="K205">
            <v>24</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row>
        <row r="206">
          <cell r="A206" t="str">
            <v>KDT04</v>
          </cell>
          <cell r="B206" t="str">
            <v>Tô Thế</v>
          </cell>
          <cell r="C206" t="str">
            <v>Nguyên</v>
          </cell>
          <cell r="D206">
            <v>1</v>
          </cell>
          <cell r="E206">
            <v>3.1</v>
          </cell>
          <cell r="F206">
            <v>156</v>
          </cell>
          <cell r="G206">
            <v>182.4</v>
          </cell>
          <cell r="H206">
            <v>0</v>
          </cell>
          <cell r="I206">
            <v>0</v>
          </cell>
          <cell r="J206">
            <v>0</v>
          </cell>
          <cell r="K206">
            <v>24</v>
          </cell>
          <cell r="L206">
            <v>0</v>
          </cell>
          <cell r="M206">
            <v>0</v>
          </cell>
          <cell r="N206">
            <v>0</v>
          </cell>
          <cell r="O206">
            <v>0</v>
          </cell>
          <cell r="P206">
            <v>0</v>
          </cell>
          <cell r="Q206">
            <v>0</v>
          </cell>
          <cell r="R206">
            <v>0</v>
          </cell>
          <cell r="S206">
            <v>100</v>
          </cell>
          <cell r="T206">
            <v>54</v>
          </cell>
          <cell r="U206">
            <v>3.1</v>
          </cell>
          <cell r="V206">
            <v>0</v>
          </cell>
          <cell r="W206">
            <v>1.3</v>
          </cell>
          <cell r="X206">
            <v>0</v>
          </cell>
          <cell r="Y206">
            <v>0</v>
          </cell>
          <cell r="Z206">
            <v>0</v>
          </cell>
        </row>
        <row r="207">
          <cell r="A207" t="str">
            <v>KDT05</v>
          </cell>
          <cell r="B207" t="str">
            <v>Hồ Ngọc</v>
          </cell>
          <cell r="C207" t="str">
            <v>Ninh</v>
          </cell>
          <cell r="D207">
            <v>10</v>
          </cell>
          <cell r="E207">
            <v>10</v>
          </cell>
          <cell r="F207">
            <v>678</v>
          </cell>
          <cell r="G207">
            <v>889.8</v>
          </cell>
          <cell r="H207">
            <v>0</v>
          </cell>
          <cell r="I207">
            <v>23.1</v>
          </cell>
          <cell r="J207">
            <v>9.3000000000000007</v>
          </cell>
          <cell r="K207">
            <v>0</v>
          </cell>
          <cell r="L207">
            <v>0</v>
          </cell>
          <cell r="M207">
            <v>100.7</v>
          </cell>
          <cell r="N207">
            <v>0</v>
          </cell>
          <cell r="O207">
            <v>0</v>
          </cell>
          <cell r="P207">
            <v>0</v>
          </cell>
          <cell r="Q207">
            <v>0</v>
          </cell>
          <cell r="R207">
            <v>0</v>
          </cell>
          <cell r="S207">
            <v>80</v>
          </cell>
          <cell r="T207">
            <v>336</v>
          </cell>
          <cell r="U207">
            <v>21.8</v>
          </cell>
          <cell r="V207">
            <v>0</v>
          </cell>
          <cell r="W207">
            <v>8.9</v>
          </cell>
          <cell r="X207">
            <v>280</v>
          </cell>
          <cell r="Y207">
            <v>0</v>
          </cell>
          <cell r="Z207">
            <v>30</v>
          </cell>
        </row>
        <row r="208">
          <cell r="A208" t="str">
            <v>KDT06</v>
          </cell>
          <cell r="B208" t="str">
            <v>Trần Hương</v>
          </cell>
          <cell r="C208" t="str">
            <v>Giang</v>
          </cell>
          <cell r="D208">
            <v>20</v>
          </cell>
          <cell r="E208">
            <v>20</v>
          </cell>
          <cell r="F208">
            <v>331</v>
          </cell>
          <cell r="G208">
            <v>390.8</v>
          </cell>
          <cell r="H208">
            <v>0</v>
          </cell>
          <cell r="I208">
            <v>23.2</v>
          </cell>
          <cell r="J208">
            <v>9.3000000000000007</v>
          </cell>
          <cell r="K208">
            <v>0</v>
          </cell>
          <cell r="L208">
            <v>0</v>
          </cell>
          <cell r="M208">
            <v>138.30000000000001</v>
          </cell>
          <cell r="N208">
            <v>0</v>
          </cell>
          <cell r="O208">
            <v>0</v>
          </cell>
          <cell r="P208">
            <v>0</v>
          </cell>
          <cell r="Q208">
            <v>0</v>
          </cell>
          <cell r="R208">
            <v>0</v>
          </cell>
          <cell r="S208">
            <v>220</v>
          </cell>
          <cell r="T208">
            <v>0</v>
          </cell>
          <cell r="U208">
            <v>0</v>
          </cell>
          <cell r="V208">
            <v>0</v>
          </cell>
          <cell r="W208">
            <v>0</v>
          </cell>
          <cell r="X208">
            <v>0</v>
          </cell>
          <cell r="Y208">
            <v>0</v>
          </cell>
          <cell r="Z208">
            <v>0</v>
          </cell>
        </row>
        <row r="209">
          <cell r="A209" t="str">
            <v>KDT07</v>
          </cell>
          <cell r="B209" t="str">
            <v>Nguyễn Thị Minh</v>
          </cell>
          <cell r="C209" t="str">
            <v>Thu</v>
          </cell>
          <cell r="D209">
            <v>20</v>
          </cell>
          <cell r="E209">
            <v>20</v>
          </cell>
          <cell r="F209">
            <v>363</v>
          </cell>
          <cell r="G209">
            <v>397.6</v>
          </cell>
          <cell r="H209">
            <v>0</v>
          </cell>
          <cell r="I209">
            <v>21.8</v>
          </cell>
          <cell r="J209">
            <v>8.8000000000000007</v>
          </cell>
          <cell r="K209">
            <v>0</v>
          </cell>
          <cell r="L209">
            <v>0</v>
          </cell>
          <cell r="M209">
            <v>147</v>
          </cell>
          <cell r="N209">
            <v>0</v>
          </cell>
          <cell r="O209">
            <v>0</v>
          </cell>
          <cell r="P209">
            <v>0</v>
          </cell>
          <cell r="Q209">
            <v>0</v>
          </cell>
          <cell r="R209">
            <v>0</v>
          </cell>
          <cell r="S209">
            <v>220</v>
          </cell>
          <cell r="T209">
            <v>0</v>
          </cell>
          <cell r="U209">
            <v>0</v>
          </cell>
          <cell r="V209">
            <v>0</v>
          </cell>
          <cell r="W209">
            <v>0</v>
          </cell>
          <cell r="X209">
            <v>0</v>
          </cell>
          <cell r="Y209">
            <v>0</v>
          </cell>
          <cell r="Z209">
            <v>0</v>
          </cell>
        </row>
        <row r="210">
          <cell r="A210" t="str">
            <v>KDT08</v>
          </cell>
          <cell r="B210" t="str">
            <v>Nguyễn Tuấn</v>
          </cell>
          <cell r="C210" t="str">
            <v>Sơn</v>
          </cell>
          <cell r="D210">
            <v>40</v>
          </cell>
          <cell r="E210">
            <v>40</v>
          </cell>
          <cell r="F210">
            <v>917</v>
          </cell>
          <cell r="G210">
            <v>1102.2</v>
          </cell>
          <cell r="H210">
            <v>0</v>
          </cell>
          <cell r="I210">
            <v>3.5</v>
          </cell>
          <cell r="J210">
            <v>1.4</v>
          </cell>
          <cell r="K210">
            <v>0</v>
          </cell>
          <cell r="L210">
            <v>0</v>
          </cell>
          <cell r="M210">
            <v>45</v>
          </cell>
          <cell r="N210">
            <v>0</v>
          </cell>
          <cell r="O210">
            <v>0</v>
          </cell>
          <cell r="P210">
            <v>0</v>
          </cell>
          <cell r="Q210">
            <v>0</v>
          </cell>
          <cell r="R210">
            <v>0</v>
          </cell>
          <cell r="S210">
            <v>80</v>
          </cell>
          <cell r="T210">
            <v>342</v>
          </cell>
          <cell r="U210">
            <v>23.4</v>
          </cell>
          <cell r="V210">
            <v>0</v>
          </cell>
          <cell r="W210">
            <v>6.9</v>
          </cell>
          <cell r="X210">
            <v>600</v>
          </cell>
          <cell r="Y210">
            <v>0</v>
          </cell>
          <cell r="Z210">
            <v>0</v>
          </cell>
        </row>
        <row r="211">
          <cell r="A211" t="str">
            <v>KEQ01</v>
          </cell>
          <cell r="B211" t="str">
            <v>Bùi Thị Mai</v>
          </cell>
          <cell r="C211" t="str">
            <v>Linh</v>
          </cell>
          <cell r="D211">
            <v>10.5</v>
          </cell>
          <cell r="E211">
            <v>10.5</v>
          </cell>
          <cell r="F211">
            <v>382.1</v>
          </cell>
          <cell r="G211">
            <v>463.4</v>
          </cell>
          <cell r="H211">
            <v>0</v>
          </cell>
          <cell r="I211">
            <v>33</v>
          </cell>
          <cell r="J211">
            <v>13.3</v>
          </cell>
          <cell r="K211">
            <v>47.1</v>
          </cell>
          <cell r="L211">
            <v>0</v>
          </cell>
          <cell r="M211">
            <v>270</v>
          </cell>
          <cell r="N211">
            <v>0</v>
          </cell>
          <cell r="O211">
            <v>0</v>
          </cell>
          <cell r="P211">
            <v>0</v>
          </cell>
          <cell r="Q211">
            <v>0</v>
          </cell>
          <cell r="R211">
            <v>0</v>
          </cell>
          <cell r="S211">
            <v>100</v>
          </cell>
          <cell r="T211">
            <v>0</v>
          </cell>
          <cell r="U211">
            <v>0</v>
          </cell>
          <cell r="V211">
            <v>0</v>
          </cell>
          <cell r="W211">
            <v>0</v>
          </cell>
          <cell r="X211">
            <v>0</v>
          </cell>
          <cell r="Y211">
            <v>0</v>
          </cell>
          <cell r="Z211">
            <v>0</v>
          </cell>
        </row>
        <row r="212">
          <cell r="A212" t="str">
            <v>KEQ02</v>
          </cell>
          <cell r="B212" t="str">
            <v>Lê Thanh</v>
          </cell>
          <cell r="C212" t="str">
            <v>Hà</v>
          </cell>
          <cell r="D212">
            <v>20</v>
          </cell>
          <cell r="E212">
            <v>20</v>
          </cell>
          <cell r="F212">
            <v>194</v>
          </cell>
          <cell r="G212">
            <v>210.4</v>
          </cell>
          <cell r="H212">
            <v>0</v>
          </cell>
          <cell r="I212">
            <v>14.5</v>
          </cell>
          <cell r="J212">
            <v>5.9</v>
          </cell>
          <cell r="K212">
            <v>0</v>
          </cell>
          <cell r="L212">
            <v>0</v>
          </cell>
          <cell r="M212">
            <v>90</v>
          </cell>
          <cell r="N212">
            <v>0</v>
          </cell>
          <cell r="O212">
            <v>0</v>
          </cell>
          <cell r="P212">
            <v>0</v>
          </cell>
          <cell r="Q212">
            <v>0</v>
          </cell>
          <cell r="R212">
            <v>0</v>
          </cell>
          <cell r="S212">
            <v>100</v>
          </cell>
          <cell r="T212">
            <v>0</v>
          </cell>
          <cell r="U212">
            <v>0</v>
          </cell>
          <cell r="V212">
            <v>0</v>
          </cell>
          <cell r="W212">
            <v>0</v>
          </cell>
          <cell r="X212">
            <v>0</v>
          </cell>
          <cell r="Y212">
            <v>0</v>
          </cell>
          <cell r="Z212">
            <v>0</v>
          </cell>
        </row>
        <row r="213">
          <cell r="A213" t="str">
            <v>KEQ03</v>
          </cell>
          <cell r="B213" t="str">
            <v>Nguyễn Thị Thùy</v>
          </cell>
          <cell r="C213" t="str">
            <v>Dung</v>
          </cell>
          <cell r="D213">
            <v>10.5</v>
          </cell>
          <cell r="E213">
            <v>10.5</v>
          </cell>
          <cell r="F213">
            <v>365.2</v>
          </cell>
          <cell r="G213">
            <v>398.7</v>
          </cell>
          <cell r="H213">
            <v>0</v>
          </cell>
          <cell r="I213">
            <v>30.1</v>
          </cell>
          <cell r="J213">
            <v>12.1</v>
          </cell>
          <cell r="K213">
            <v>30.2</v>
          </cell>
          <cell r="L213">
            <v>0</v>
          </cell>
          <cell r="M213">
            <v>226.3</v>
          </cell>
          <cell r="N213">
            <v>0</v>
          </cell>
          <cell r="O213">
            <v>0</v>
          </cell>
          <cell r="P213">
            <v>0</v>
          </cell>
          <cell r="Q213">
            <v>0</v>
          </cell>
          <cell r="R213">
            <v>0</v>
          </cell>
          <cell r="S213">
            <v>100</v>
          </cell>
          <cell r="T213">
            <v>0</v>
          </cell>
          <cell r="U213">
            <v>0</v>
          </cell>
          <cell r="V213">
            <v>0</v>
          </cell>
          <cell r="W213">
            <v>0</v>
          </cell>
          <cell r="X213">
            <v>0</v>
          </cell>
          <cell r="Y213">
            <v>0</v>
          </cell>
          <cell r="Z213">
            <v>0</v>
          </cell>
        </row>
        <row r="214">
          <cell r="A214" t="str">
            <v>KEQ05</v>
          </cell>
          <cell r="B214" t="str">
            <v>Ngô Thu</v>
          </cell>
          <cell r="C214" t="str">
            <v>Hằng</v>
          </cell>
          <cell r="D214">
            <v>20</v>
          </cell>
          <cell r="E214">
            <v>20</v>
          </cell>
          <cell r="F214">
            <v>214</v>
          </cell>
          <cell r="G214">
            <v>222.5</v>
          </cell>
          <cell r="H214">
            <v>0</v>
          </cell>
          <cell r="I214">
            <v>8.9</v>
          </cell>
          <cell r="J214">
            <v>3.6</v>
          </cell>
          <cell r="K214">
            <v>0</v>
          </cell>
          <cell r="L214">
            <v>0</v>
          </cell>
          <cell r="M214">
            <v>90</v>
          </cell>
          <cell r="N214">
            <v>0</v>
          </cell>
          <cell r="O214">
            <v>0</v>
          </cell>
          <cell r="P214">
            <v>0</v>
          </cell>
          <cell r="Q214">
            <v>0</v>
          </cell>
          <cell r="R214">
            <v>0</v>
          </cell>
          <cell r="S214">
            <v>120</v>
          </cell>
          <cell r="T214">
            <v>0</v>
          </cell>
          <cell r="U214">
            <v>0</v>
          </cell>
          <cell r="V214">
            <v>0</v>
          </cell>
          <cell r="W214">
            <v>0</v>
          </cell>
          <cell r="X214">
            <v>0</v>
          </cell>
          <cell r="Y214">
            <v>0</v>
          </cell>
          <cell r="Z214">
            <v>0</v>
          </cell>
        </row>
        <row r="215">
          <cell r="A215" t="str">
            <v>KEQ06</v>
          </cell>
          <cell r="B215" t="str">
            <v>Lại Phương</v>
          </cell>
          <cell r="C215" t="str">
            <v>Thảo</v>
          </cell>
          <cell r="D215">
            <v>29</v>
          </cell>
          <cell r="E215">
            <v>29</v>
          </cell>
          <cell r="F215">
            <v>255</v>
          </cell>
          <cell r="G215">
            <v>303.89999999999998</v>
          </cell>
          <cell r="H215">
            <v>0</v>
          </cell>
          <cell r="I215">
            <v>19</v>
          </cell>
          <cell r="J215">
            <v>7.6</v>
          </cell>
          <cell r="K215">
            <v>29</v>
          </cell>
          <cell r="L215">
            <v>0</v>
          </cell>
          <cell r="M215">
            <v>148.30000000000001</v>
          </cell>
          <cell r="N215">
            <v>0</v>
          </cell>
          <cell r="O215">
            <v>0</v>
          </cell>
          <cell r="P215">
            <v>0</v>
          </cell>
          <cell r="Q215">
            <v>0</v>
          </cell>
          <cell r="R215">
            <v>0</v>
          </cell>
          <cell r="S215">
            <v>100</v>
          </cell>
          <cell r="T215">
            <v>0</v>
          </cell>
          <cell r="U215">
            <v>0</v>
          </cell>
          <cell r="V215">
            <v>0</v>
          </cell>
          <cell r="W215">
            <v>0</v>
          </cell>
          <cell r="X215">
            <v>0</v>
          </cell>
          <cell r="Y215">
            <v>0</v>
          </cell>
          <cell r="Z215">
            <v>0</v>
          </cell>
        </row>
        <row r="216">
          <cell r="A216" t="str">
            <v>KEQ07</v>
          </cell>
          <cell r="B216" t="str">
            <v>Đỗ Quang</v>
          </cell>
          <cell r="C216" t="str">
            <v>Giám</v>
          </cell>
          <cell r="D216">
            <v>40</v>
          </cell>
          <cell r="E216">
            <v>40</v>
          </cell>
          <cell r="F216">
            <v>970</v>
          </cell>
          <cell r="G216">
            <v>1210.3</v>
          </cell>
          <cell r="H216">
            <v>0</v>
          </cell>
          <cell r="I216">
            <v>19</v>
          </cell>
          <cell r="J216">
            <v>7.7</v>
          </cell>
          <cell r="K216">
            <v>0</v>
          </cell>
          <cell r="L216">
            <v>0</v>
          </cell>
          <cell r="M216">
            <v>104.8</v>
          </cell>
          <cell r="N216">
            <v>0</v>
          </cell>
          <cell r="O216">
            <v>0</v>
          </cell>
          <cell r="P216">
            <v>0</v>
          </cell>
          <cell r="Q216">
            <v>0</v>
          </cell>
          <cell r="R216">
            <v>0</v>
          </cell>
          <cell r="S216">
            <v>100</v>
          </cell>
          <cell r="T216">
            <v>432</v>
          </cell>
          <cell r="U216">
            <v>19.100000000000001</v>
          </cell>
          <cell r="V216">
            <v>0</v>
          </cell>
          <cell r="W216">
            <v>7.7</v>
          </cell>
          <cell r="X216">
            <v>520</v>
          </cell>
          <cell r="Y216">
            <v>0</v>
          </cell>
          <cell r="Z216">
            <v>0</v>
          </cell>
        </row>
        <row r="217">
          <cell r="A217" t="str">
            <v>KEQ08</v>
          </cell>
          <cell r="B217" t="str">
            <v>Trần Quang</v>
          </cell>
          <cell r="C217" t="str">
            <v>Trung</v>
          </cell>
          <cell r="D217">
            <v>40</v>
          </cell>
          <cell r="E217">
            <v>40</v>
          </cell>
          <cell r="F217">
            <v>814</v>
          </cell>
          <cell r="G217">
            <v>948.5</v>
          </cell>
          <cell r="H217">
            <v>0</v>
          </cell>
          <cell r="I217">
            <v>9.6999999999999993</v>
          </cell>
          <cell r="J217">
            <v>3.9</v>
          </cell>
          <cell r="K217">
            <v>0</v>
          </cell>
          <cell r="L217">
            <v>0</v>
          </cell>
          <cell r="M217">
            <v>90</v>
          </cell>
          <cell r="N217">
            <v>0</v>
          </cell>
          <cell r="O217">
            <v>0</v>
          </cell>
          <cell r="P217">
            <v>0</v>
          </cell>
          <cell r="Q217">
            <v>0</v>
          </cell>
          <cell r="R217">
            <v>0</v>
          </cell>
          <cell r="S217">
            <v>80</v>
          </cell>
          <cell r="T217">
            <v>270</v>
          </cell>
          <cell r="U217">
            <v>10.6</v>
          </cell>
          <cell r="V217">
            <v>0</v>
          </cell>
          <cell r="W217">
            <v>4.3</v>
          </cell>
          <cell r="X217">
            <v>480</v>
          </cell>
          <cell r="Y217">
            <v>0</v>
          </cell>
          <cell r="Z217">
            <v>0</v>
          </cell>
        </row>
        <row r="218">
          <cell r="A218" t="str">
            <v>KEQ10</v>
          </cell>
          <cell r="B218" t="str">
            <v>Vũ Thị</v>
          </cell>
          <cell r="C218" t="str">
            <v>Hải</v>
          </cell>
          <cell r="D218">
            <v>12.8</v>
          </cell>
          <cell r="E218">
            <v>12.8</v>
          </cell>
          <cell r="F218">
            <v>299.60000000000002</v>
          </cell>
          <cell r="G218">
            <v>329.7</v>
          </cell>
          <cell r="H218">
            <v>0</v>
          </cell>
          <cell r="I218">
            <v>25.8</v>
          </cell>
          <cell r="J218">
            <v>10.4</v>
          </cell>
          <cell r="K218">
            <v>36.6</v>
          </cell>
          <cell r="L218">
            <v>0</v>
          </cell>
          <cell r="M218">
            <v>136.9</v>
          </cell>
          <cell r="N218">
            <v>0</v>
          </cell>
          <cell r="O218">
            <v>0</v>
          </cell>
          <cell r="P218">
            <v>0</v>
          </cell>
          <cell r="Q218">
            <v>0</v>
          </cell>
          <cell r="R218">
            <v>0</v>
          </cell>
          <cell r="S218">
            <v>120</v>
          </cell>
          <cell r="T218">
            <v>0</v>
          </cell>
          <cell r="U218">
            <v>0</v>
          </cell>
          <cell r="V218">
            <v>0</v>
          </cell>
          <cell r="W218">
            <v>0</v>
          </cell>
          <cell r="X218">
            <v>0</v>
          </cell>
          <cell r="Y218">
            <v>0</v>
          </cell>
          <cell r="Z218">
            <v>0</v>
          </cell>
        </row>
        <row r="219">
          <cell r="A219" t="str">
            <v>KHD02</v>
          </cell>
          <cell r="B219" t="str">
            <v>Đỗ Nguyên</v>
          </cell>
          <cell r="C219" t="str">
            <v>Hải</v>
          </cell>
          <cell r="D219">
            <v>40</v>
          </cell>
          <cell r="E219">
            <v>40</v>
          </cell>
          <cell r="F219">
            <v>407</v>
          </cell>
          <cell r="G219">
            <v>421.2</v>
          </cell>
          <cell r="H219">
            <v>0</v>
          </cell>
          <cell r="I219">
            <v>9.6</v>
          </cell>
          <cell r="J219">
            <v>3.9</v>
          </cell>
          <cell r="K219">
            <v>0</v>
          </cell>
          <cell r="L219">
            <v>0</v>
          </cell>
          <cell r="M219">
            <v>52</v>
          </cell>
          <cell r="N219">
            <v>0</v>
          </cell>
          <cell r="O219">
            <v>24</v>
          </cell>
          <cell r="P219">
            <v>0</v>
          </cell>
          <cell r="Q219">
            <v>0</v>
          </cell>
          <cell r="R219">
            <v>0</v>
          </cell>
          <cell r="S219">
            <v>0</v>
          </cell>
          <cell r="T219">
            <v>9</v>
          </cell>
          <cell r="U219">
            <v>1.9</v>
          </cell>
          <cell r="V219">
            <v>0</v>
          </cell>
          <cell r="W219">
            <v>0.8</v>
          </cell>
          <cell r="X219">
            <v>320</v>
          </cell>
          <cell r="Y219">
            <v>0</v>
          </cell>
          <cell r="Z219">
            <v>0</v>
          </cell>
        </row>
        <row r="220">
          <cell r="A220" t="str">
            <v>KHD03</v>
          </cell>
          <cell r="B220" t="str">
            <v>Luyện Hữu</v>
          </cell>
          <cell r="C220" t="str">
            <v>Cử</v>
          </cell>
          <cell r="D220">
            <v>40</v>
          </cell>
          <cell r="E220">
            <v>40</v>
          </cell>
          <cell r="F220">
            <v>174</v>
          </cell>
          <cell r="G220">
            <v>180.6</v>
          </cell>
          <cell r="H220">
            <v>0</v>
          </cell>
          <cell r="I220">
            <v>7.6</v>
          </cell>
          <cell r="J220">
            <v>3</v>
          </cell>
          <cell r="K220">
            <v>30</v>
          </cell>
          <cell r="L220">
            <v>0</v>
          </cell>
          <cell r="M220">
            <v>60</v>
          </cell>
          <cell r="N220">
            <v>0</v>
          </cell>
          <cell r="O220">
            <v>0</v>
          </cell>
          <cell r="P220">
            <v>0</v>
          </cell>
          <cell r="Q220">
            <v>0</v>
          </cell>
          <cell r="R220">
            <v>0</v>
          </cell>
          <cell r="S220">
            <v>40</v>
          </cell>
          <cell r="T220">
            <v>0</v>
          </cell>
          <cell r="U220">
            <v>0</v>
          </cell>
          <cell r="V220">
            <v>0</v>
          </cell>
          <cell r="W220">
            <v>0</v>
          </cell>
          <cell r="X220">
            <v>40</v>
          </cell>
          <cell r="Y220">
            <v>0</v>
          </cell>
          <cell r="Z220">
            <v>0</v>
          </cell>
        </row>
        <row r="221">
          <cell r="A221" t="str">
            <v>KHD05</v>
          </cell>
          <cell r="B221" t="str">
            <v>Cao Việt</v>
          </cell>
          <cell r="C221" t="str">
            <v>Hà</v>
          </cell>
          <cell r="D221">
            <v>10</v>
          </cell>
          <cell r="E221">
            <v>10</v>
          </cell>
          <cell r="F221">
            <v>494</v>
          </cell>
          <cell r="G221">
            <v>527.29999999999995</v>
          </cell>
          <cell r="H221">
            <v>0</v>
          </cell>
          <cell r="I221">
            <v>7.4</v>
          </cell>
          <cell r="J221">
            <v>3</v>
          </cell>
          <cell r="K221">
            <v>0</v>
          </cell>
          <cell r="L221">
            <v>0</v>
          </cell>
          <cell r="M221">
            <v>52</v>
          </cell>
          <cell r="N221">
            <v>0</v>
          </cell>
          <cell r="O221">
            <v>20</v>
          </cell>
          <cell r="P221">
            <v>0</v>
          </cell>
          <cell r="Q221">
            <v>0</v>
          </cell>
          <cell r="R221">
            <v>0</v>
          </cell>
          <cell r="S221">
            <v>0</v>
          </cell>
          <cell r="T221">
            <v>54</v>
          </cell>
          <cell r="U221">
            <v>0.6</v>
          </cell>
          <cell r="V221">
            <v>0</v>
          </cell>
          <cell r="W221">
            <v>0.3</v>
          </cell>
          <cell r="X221">
            <v>360</v>
          </cell>
          <cell r="Y221">
            <v>0</v>
          </cell>
          <cell r="Z221">
            <v>30</v>
          </cell>
        </row>
        <row r="222">
          <cell r="A222" t="str">
            <v>KHD06</v>
          </cell>
          <cell r="B222" t="str">
            <v>Nguyễn Hữu</v>
          </cell>
          <cell r="C222" t="str">
            <v>Thành</v>
          </cell>
          <cell r="D222">
            <v>30</v>
          </cell>
          <cell r="E222">
            <v>30</v>
          </cell>
          <cell r="F222">
            <v>476</v>
          </cell>
          <cell r="G222">
            <v>511.4</v>
          </cell>
          <cell r="H222">
            <v>0</v>
          </cell>
          <cell r="I222">
            <v>3.2</v>
          </cell>
          <cell r="J222">
            <v>1.3</v>
          </cell>
          <cell r="K222">
            <v>0</v>
          </cell>
          <cell r="L222">
            <v>0</v>
          </cell>
          <cell r="M222">
            <v>45</v>
          </cell>
          <cell r="N222">
            <v>0</v>
          </cell>
          <cell r="O222">
            <v>30</v>
          </cell>
          <cell r="P222">
            <v>0</v>
          </cell>
          <cell r="Q222">
            <v>0</v>
          </cell>
          <cell r="R222">
            <v>0</v>
          </cell>
          <cell r="S222">
            <v>0</v>
          </cell>
          <cell r="T222">
            <v>81</v>
          </cell>
          <cell r="U222">
            <v>0.6</v>
          </cell>
          <cell r="V222">
            <v>0</v>
          </cell>
          <cell r="W222">
            <v>0.3</v>
          </cell>
          <cell r="X222">
            <v>320</v>
          </cell>
          <cell r="Y222">
            <v>0</v>
          </cell>
          <cell r="Z222">
            <v>30</v>
          </cell>
        </row>
        <row r="223">
          <cell r="A223" t="str">
            <v>KHD10</v>
          </cell>
          <cell r="B223" t="str">
            <v>Phan Quốc</v>
          </cell>
          <cell r="C223" t="str">
            <v>Hưng</v>
          </cell>
          <cell r="D223">
            <v>22.5</v>
          </cell>
          <cell r="E223">
            <v>22.5</v>
          </cell>
          <cell r="F223">
            <v>340.5</v>
          </cell>
          <cell r="G223">
            <v>356.2</v>
          </cell>
          <cell r="H223">
            <v>0</v>
          </cell>
          <cell r="I223">
            <v>13.4</v>
          </cell>
          <cell r="J223">
            <v>5.4</v>
          </cell>
          <cell r="K223">
            <v>30</v>
          </cell>
          <cell r="L223">
            <v>0</v>
          </cell>
          <cell r="M223">
            <v>44.9</v>
          </cell>
          <cell r="N223">
            <v>0</v>
          </cell>
          <cell r="O223">
            <v>40</v>
          </cell>
          <cell r="P223">
            <v>0</v>
          </cell>
          <cell r="Q223">
            <v>0</v>
          </cell>
          <cell r="R223">
            <v>0</v>
          </cell>
          <cell r="S223">
            <v>0</v>
          </cell>
          <cell r="T223">
            <v>0</v>
          </cell>
          <cell r="U223">
            <v>0</v>
          </cell>
          <cell r="V223">
            <v>0</v>
          </cell>
          <cell r="W223">
            <v>0</v>
          </cell>
          <cell r="X223">
            <v>200</v>
          </cell>
          <cell r="Y223">
            <v>22.5</v>
          </cell>
          <cell r="Z223">
            <v>0</v>
          </cell>
        </row>
        <row r="224">
          <cell r="A224" t="str">
            <v>KHD11</v>
          </cell>
          <cell r="B224" t="str">
            <v>Hoàng Quốc</v>
          </cell>
          <cell r="C224" t="str">
            <v>Việt</v>
          </cell>
          <cell r="D224">
            <v>20</v>
          </cell>
          <cell r="E224">
            <v>20</v>
          </cell>
          <cell r="F224">
            <v>76</v>
          </cell>
          <cell r="G224">
            <v>109.4</v>
          </cell>
          <cell r="H224">
            <v>0</v>
          </cell>
          <cell r="I224">
            <v>12.6</v>
          </cell>
          <cell r="J224">
            <v>5.0999999999999996</v>
          </cell>
          <cell r="K224">
            <v>0</v>
          </cell>
          <cell r="L224">
            <v>0</v>
          </cell>
          <cell r="M224">
            <v>31.7</v>
          </cell>
          <cell r="N224">
            <v>0</v>
          </cell>
          <cell r="O224">
            <v>40</v>
          </cell>
          <cell r="P224">
            <v>0</v>
          </cell>
          <cell r="Q224">
            <v>0</v>
          </cell>
          <cell r="R224">
            <v>0</v>
          </cell>
          <cell r="S224">
            <v>20</v>
          </cell>
          <cell r="T224">
            <v>0</v>
          </cell>
          <cell r="U224">
            <v>0</v>
          </cell>
          <cell r="V224">
            <v>0</v>
          </cell>
          <cell r="W224">
            <v>0</v>
          </cell>
          <cell r="X224">
            <v>0</v>
          </cell>
          <cell r="Y224">
            <v>0</v>
          </cell>
          <cell r="Z224">
            <v>0</v>
          </cell>
        </row>
        <row r="225">
          <cell r="A225" t="str">
            <v>KLS02</v>
          </cell>
          <cell r="B225" t="str">
            <v>Phạm Thanh</v>
          </cell>
          <cell r="C225" t="str">
            <v>Cường</v>
          </cell>
          <cell r="D225">
            <v>1</v>
          </cell>
          <cell r="E225">
            <v>7.6</v>
          </cell>
          <cell r="F225">
            <v>87</v>
          </cell>
          <cell r="G225">
            <v>97.2</v>
          </cell>
          <cell r="H225">
            <v>0</v>
          </cell>
          <cell r="I225">
            <v>10.1</v>
          </cell>
          <cell r="J225">
            <v>4.0999999999999996</v>
          </cell>
          <cell r="K225">
            <v>0</v>
          </cell>
          <cell r="L225">
            <v>0</v>
          </cell>
          <cell r="M225">
            <v>67</v>
          </cell>
          <cell r="N225">
            <v>0</v>
          </cell>
          <cell r="O225">
            <v>16</v>
          </cell>
          <cell r="P225">
            <v>0</v>
          </cell>
          <cell r="Q225">
            <v>0</v>
          </cell>
          <cell r="R225">
            <v>0</v>
          </cell>
          <cell r="S225">
            <v>0</v>
          </cell>
          <cell r="T225">
            <v>0</v>
          </cell>
          <cell r="U225">
            <v>0</v>
          </cell>
          <cell r="V225">
            <v>0</v>
          </cell>
          <cell r="W225">
            <v>0</v>
          </cell>
          <cell r="X225">
            <v>0</v>
          </cell>
          <cell r="Y225">
            <v>0</v>
          </cell>
          <cell r="Z225">
            <v>0</v>
          </cell>
        </row>
        <row r="226">
          <cell r="A226" t="str">
            <v>KLS03</v>
          </cell>
          <cell r="B226" t="str">
            <v>Phạm Thị</v>
          </cell>
          <cell r="C226" t="str">
            <v>Hằng</v>
          </cell>
          <cell r="D226">
            <v>1</v>
          </cell>
          <cell r="E226">
            <v>2.8</v>
          </cell>
          <cell r="F226">
            <v>200</v>
          </cell>
          <cell r="G226">
            <v>237</v>
          </cell>
          <cell r="H226">
            <v>0</v>
          </cell>
          <cell r="I226">
            <v>21.2</v>
          </cell>
          <cell r="J226">
            <v>5.3</v>
          </cell>
          <cell r="K226">
            <v>0</v>
          </cell>
          <cell r="L226">
            <v>0</v>
          </cell>
          <cell r="M226">
            <v>76.5</v>
          </cell>
          <cell r="N226">
            <v>0</v>
          </cell>
          <cell r="O226">
            <v>134</v>
          </cell>
          <cell r="P226">
            <v>0</v>
          </cell>
          <cell r="Q226">
            <v>0</v>
          </cell>
          <cell r="R226">
            <v>0</v>
          </cell>
          <cell r="S226">
            <v>0</v>
          </cell>
          <cell r="T226">
            <v>0</v>
          </cell>
          <cell r="U226">
            <v>0</v>
          </cell>
          <cell r="V226">
            <v>0</v>
          </cell>
          <cell r="W226">
            <v>0</v>
          </cell>
          <cell r="X226">
            <v>0</v>
          </cell>
          <cell r="Y226">
            <v>0</v>
          </cell>
          <cell r="Z226">
            <v>0</v>
          </cell>
        </row>
        <row r="227">
          <cell r="A227" t="str">
            <v>KLS07</v>
          </cell>
          <cell r="B227" t="str">
            <v>Nguyễn Thị Thu</v>
          </cell>
          <cell r="C227" t="str">
            <v>Trang</v>
          </cell>
          <cell r="D227">
            <v>20</v>
          </cell>
          <cell r="E227">
            <v>20</v>
          </cell>
          <cell r="F227">
            <v>279</v>
          </cell>
          <cell r="G227">
            <v>325.7</v>
          </cell>
          <cell r="H227">
            <v>0</v>
          </cell>
          <cell r="I227">
            <v>27.9</v>
          </cell>
          <cell r="J227">
            <v>8.8000000000000007</v>
          </cell>
          <cell r="K227">
            <v>0</v>
          </cell>
          <cell r="L227">
            <v>0</v>
          </cell>
          <cell r="M227">
            <v>173</v>
          </cell>
          <cell r="N227">
            <v>0</v>
          </cell>
          <cell r="O227">
            <v>36</v>
          </cell>
          <cell r="P227">
            <v>0</v>
          </cell>
          <cell r="Q227">
            <v>0</v>
          </cell>
          <cell r="R227">
            <v>0</v>
          </cell>
          <cell r="S227">
            <v>80</v>
          </cell>
          <cell r="T227">
            <v>0</v>
          </cell>
          <cell r="U227">
            <v>0</v>
          </cell>
          <cell r="V227">
            <v>0</v>
          </cell>
          <cell r="W227">
            <v>0</v>
          </cell>
          <cell r="X227">
            <v>0</v>
          </cell>
          <cell r="Y227">
            <v>0</v>
          </cell>
          <cell r="Z227">
            <v>0</v>
          </cell>
        </row>
        <row r="228">
          <cell r="A228" t="str">
            <v>KLS08</v>
          </cell>
          <cell r="B228" t="str">
            <v>Đào Quang</v>
          </cell>
          <cell r="C228" t="str">
            <v>Kế</v>
          </cell>
          <cell r="D228">
            <v>20</v>
          </cell>
          <cell r="E228">
            <v>20</v>
          </cell>
          <cell r="F228">
            <v>67</v>
          </cell>
          <cell r="G228">
            <v>75.2</v>
          </cell>
          <cell r="H228">
            <v>0</v>
          </cell>
          <cell r="I228">
            <v>1.9</v>
          </cell>
          <cell r="J228">
            <v>0.8</v>
          </cell>
          <cell r="K228">
            <v>0</v>
          </cell>
          <cell r="L228">
            <v>0</v>
          </cell>
          <cell r="M228">
            <v>30</v>
          </cell>
          <cell r="N228">
            <v>0</v>
          </cell>
          <cell r="O228">
            <v>22.5</v>
          </cell>
          <cell r="P228">
            <v>0</v>
          </cell>
          <cell r="Q228">
            <v>0</v>
          </cell>
          <cell r="R228">
            <v>0</v>
          </cell>
          <cell r="S228">
            <v>20</v>
          </cell>
          <cell r="T228">
            <v>0</v>
          </cell>
          <cell r="U228">
            <v>0</v>
          </cell>
          <cell r="V228">
            <v>0</v>
          </cell>
          <cell r="W228">
            <v>0</v>
          </cell>
          <cell r="X228">
            <v>0</v>
          </cell>
          <cell r="Y228">
            <v>0</v>
          </cell>
          <cell r="Z228">
            <v>0</v>
          </cell>
        </row>
        <row r="229">
          <cell r="A229" t="str">
            <v>KLS09</v>
          </cell>
          <cell r="B229" t="str">
            <v>Tống Ngọc</v>
          </cell>
          <cell r="C229" t="str">
            <v>Tuấn</v>
          </cell>
          <cell r="D229">
            <v>6</v>
          </cell>
          <cell r="E229">
            <v>6</v>
          </cell>
          <cell r="F229">
            <v>164</v>
          </cell>
          <cell r="G229">
            <v>173.9</v>
          </cell>
          <cell r="H229">
            <v>0</v>
          </cell>
          <cell r="I229">
            <v>12.8</v>
          </cell>
          <cell r="J229">
            <v>5.0999999999999996</v>
          </cell>
          <cell r="K229">
            <v>0</v>
          </cell>
          <cell r="L229">
            <v>0</v>
          </cell>
          <cell r="M229">
            <v>134</v>
          </cell>
          <cell r="N229">
            <v>0</v>
          </cell>
          <cell r="O229">
            <v>16</v>
          </cell>
          <cell r="P229">
            <v>0</v>
          </cell>
          <cell r="Q229">
            <v>0</v>
          </cell>
          <cell r="R229">
            <v>0</v>
          </cell>
          <cell r="S229">
            <v>6</v>
          </cell>
          <cell r="T229">
            <v>0</v>
          </cell>
          <cell r="U229">
            <v>0</v>
          </cell>
          <cell r="V229">
            <v>0</v>
          </cell>
          <cell r="W229">
            <v>0</v>
          </cell>
          <cell r="X229">
            <v>0</v>
          </cell>
          <cell r="Y229">
            <v>0</v>
          </cell>
          <cell r="Z229">
            <v>0</v>
          </cell>
        </row>
        <row r="230">
          <cell r="A230" t="str">
            <v>KLS11</v>
          </cell>
          <cell r="B230" t="str">
            <v>Nguyễn Hữu</v>
          </cell>
          <cell r="C230" t="str">
            <v>Hưởng</v>
          </cell>
          <cell r="D230">
            <v>20</v>
          </cell>
          <cell r="E230">
            <v>20</v>
          </cell>
          <cell r="F230">
            <v>187.3</v>
          </cell>
          <cell r="G230">
            <v>193</v>
          </cell>
          <cell r="H230">
            <v>0</v>
          </cell>
          <cell r="I230">
            <v>9.6999999999999993</v>
          </cell>
          <cell r="J230">
            <v>0</v>
          </cell>
          <cell r="K230">
            <v>33.299999999999997</v>
          </cell>
          <cell r="L230">
            <v>0</v>
          </cell>
          <cell r="M230">
            <v>60</v>
          </cell>
          <cell r="N230">
            <v>0</v>
          </cell>
          <cell r="O230">
            <v>16</v>
          </cell>
          <cell r="P230">
            <v>0</v>
          </cell>
          <cell r="Q230">
            <v>0</v>
          </cell>
          <cell r="R230">
            <v>0</v>
          </cell>
          <cell r="S230">
            <v>74</v>
          </cell>
          <cell r="T230">
            <v>0</v>
          </cell>
          <cell r="U230">
            <v>0</v>
          </cell>
          <cell r="V230">
            <v>0</v>
          </cell>
          <cell r="W230">
            <v>0</v>
          </cell>
          <cell r="X230">
            <v>0</v>
          </cell>
          <cell r="Y230">
            <v>0</v>
          </cell>
          <cell r="Z230">
            <v>0</v>
          </cell>
        </row>
        <row r="231">
          <cell r="A231" t="str">
            <v>KLS12</v>
          </cell>
          <cell r="B231" t="str">
            <v>Nguyễn Ngọc</v>
          </cell>
          <cell r="C231" t="str">
            <v>Cường</v>
          </cell>
          <cell r="D231">
            <v>33.299999999999997</v>
          </cell>
          <cell r="E231">
            <v>33.299999999999997</v>
          </cell>
          <cell r="F231">
            <v>112.3</v>
          </cell>
          <cell r="G231">
            <v>115.5</v>
          </cell>
          <cell r="H231">
            <v>0</v>
          </cell>
          <cell r="I231">
            <v>5.0999999999999996</v>
          </cell>
          <cell r="J231">
            <v>2.1</v>
          </cell>
          <cell r="K231">
            <v>33.299999999999997</v>
          </cell>
          <cell r="L231">
            <v>0</v>
          </cell>
          <cell r="M231">
            <v>67</v>
          </cell>
          <cell r="N231">
            <v>0</v>
          </cell>
          <cell r="O231">
            <v>8</v>
          </cell>
          <cell r="P231">
            <v>0</v>
          </cell>
          <cell r="Q231">
            <v>0</v>
          </cell>
          <cell r="R231">
            <v>0</v>
          </cell>
          <cell r="S231">
            <v>0</v>
          </cell>
          <cell r="T231">
            <v>0</v>
          </cell>
          <cell r="U231">
            <v>0</v>
          </cell>
          <cell r="V231">
            <v>0</v>
          </cell>
          <cell r="W231">
            <v>0</v>
          </cell>
          <cell r="X231">
            <v>0</v>
          </cell>
          <cell r="Y231">
            <v>0</v>
          </cell>
          <cell r="Z231">
            <v>0</v>
          </cell>
        </row>
        <row r="232">
          <cell r="A232" t="str">
            <v>KNN01</v>
          </cell>
          <cell r="B232" t="str">
            <v>Nguyễn Viết</v>
          </cell>
          <cell r="C232" t="str">
            <v>Đăng</v>
          </cell>
          <cell r="D232">
            <v>20</v>
          </cell>
          <cell r="E232">
            <v>20</v>
          </cell>
          <cell r="F232">
            <v>570</v>
          </cell>
          <cell r="G232">
            <v>727.3</v>
          </cell>
          <cell r="H232">
            <v>0</v>
          </cell>
          <cell r="I232">
            <v>3.5</v>
          </cell>
          <cell r="J232">
            <v>1.4</v>
          </cell>
          <cell r="K232">
            <v>0</v>
          </cell>
          <cell r="L232">
            <v>0</v>
          </cell>
          <cell r="M232">
            <v>90</v>
          </cell>
          <cell r="N232">
            <v>0</v>
          </cell>
          <cell r="O232">
            <v>0</v>
          </cell>
          <cell r="P232">
            <v>0</v>
          </cell>
          <cell r="Q232">
            <v>0</v>
          </cell>
          <cell r="R232">
            <v>0</v>
          </cell>
          <cell r="S232">
            <v>40</v>
          </cell>
          <cell r="T232">
            <v>243</v>
          </cell>
          <cell r="U232">
            <v>6.7</v>
          </cell>
          <cell r="V232">
            <v>0</v>
          </cell>
          <cell r="W232">
            <v>2.7</v>
          </cell>
          <cell r="X232">
            <v>320</v>
          </cell>
          <cell r="Y232">
            <v>0</v>
          </cell>
          <cell r="Z232">
            <v>20</v>
          </cell>
        </row>
        <row r="233">
          <cell r="A233" t="str">
            <v>KNN03</v>
          </cell>
          <cell r="B233" t="str">
            <v>Phạm Thị Thanh</v>
          </cell>
          <cell r="C233" t="str">
            <v>Thúy</v>
          </cell>
          <cell r="D233">
            <v>20</v>
          </cell>
          <cell r="E233">
            <v>20</v>
          </cell>
          <cell r="F233">
            <v>496</v>
          </cell>
          <cell r="G233">
            <v>592</v>
          </cell>
          <cell r="H233">
            <v>0</v>
          </cell>
          <cell r="I233">
            <v>50.6</v>
          </cell>
          <cell r="J233">
            <v>20.5</v>
          </cell>
          <cell r="K233">
            <v>0</v>
          </cell>
          <cell r="L233">
            <v>0</v>
          </cell>
          <cell r="M233">
            <v>340.9</v>
          </cell>
          <cell r="N233">
            <v>0</v>
          </cell>
          <cell r="O233">
            <v>0</v>
          </cell>
          <cell r="P233">
            <v>0</v>
          </cell>
          <cell r="Q233">
            <v>0</v>
          </cell>
          <cell r="R233">
            <v>0</v>
          </cell>
          <cell r="S233">
            <v>180</v>
          </cell>
          <cell r="T233">
            <v>0</v>
          </cell>
          <cell r="U233">
            <v>0</v>
          </cell>
          <cell r="V233">
            <v>0</v>
          </cell>
          <cell r="W233">
            <v>0</v>
          </cell>
          <cell r="X233">
            <v>0</v>
          </cell>
          <cell r="Y233">
            <v>0</v>
          </cell>
          <cell r="Z233">
            <v>0</v>
          </cell>
        </row>
        <row r="234">
          <cell r="A234" t="str">
            <v>KNN04</v>
          </cell>
          <cell r="B234" t="str">
            <v>Nguyễn Thanh</v>
          </cell>
          <cell r="C234" t="str">
            <v>Phong</v>
          </cell>
          <cell r="D234">
            <v>20</v>
          </cell>
          <cell r="E234">
            <v>20</v>
          </cell>
          <cell r="F234">
            <v>547</v>
          </cell>
          <cell r="G234">
            <v>611.4</v>
          </cell>
          <cell r="H234">
            <v>0</v>
          </cell>
          <cell r="I234">
            <v>49.5</v>
          </cell>
          <cell r="J234">
            <v>19.899999999999999</v>
          </cell>
          <cell r="K234">
            <v>24</v>
          </cell>
          <cell r="L234">
            <v>0</v>
          </cell>
          <cell r="M234">
            <v>358</v>
          </cell>
          <cell r="N234">
            <v>0</v>
          </cell>
          <cell r="O234">
            <v>0</v>
          </cell>
          <cell r="P234">
            <v>0</v>
          </cell>
          <cell r="Q234">
            <v>0</v>
          </cell>
          <cell r="R234">
            <v>0</v>
          </cell>
          <cell r="S234">
            <v>160</v>
          </cell>
          <cell r="T234">
            <v>0</v>
          </cell>
          <cell r="U234">
            <v>0</v>
          </cell>
          <cell r="V234">
            <v>0</v>
          </cell>
          <cell r="W234">
            <v>0</v>
          </cell>
          <cell r="X234">
            <v>0</v>
          </cell>
          <cell r="Y234">
            <v>0</v>
          </cell>
          <cell r="Z234">
            <v>0</v>
          </cell>
        </row>
        <row r="235">
          <cell r="A235" t="str">
            <v>KNN05</v>
          </cell>
          <cell r="B235" t="str">
            <v>Phạm Bảo</v>
          </cell>
          <cell r="C235" t="str">
            <v>Dương</v>
          </cell>
          <cell r="D235">
            <v>30</v>
          </cell>
          <cell r="E235">
            <v>30</v>
          </cell>
          <cell r="F235">
            <v>668</v>
          </cell>
          <cell r="G235">
            <v>763</v>
          </cell>
          <cell r="H235">
            <v>0</v>
          </cell>
          <cell r="I235">
            <v>8</v>
          </cell>
          <cell r="J235">
            <v>3.3</v>
          </cell>
          <cell r="K235">
            <v>0</v>
          </cell>
          <cell r="L235">
            <v>0</v>
          </cell>
          <cell r="M235">
            <v>135</v>
          </cell>
          <cell r="N235">
            <v>0</v>
          </cell>
          <cell r="O235">
            <v>0</v>
          </cell>
          <cell r="P235">
            <v>0</v>
          </cell>
          <cell r="Q235">
            <v>0</v>
          </cell>
          <cell r="R235">
            <v>0</v>
          </cell>
          <cell r="S235">
            <v>80</v>
          </cell>
          <cell r="T235">
            <v>168</v>
          </cell>
          <cell r="U235">
            <v>13.9</v>
          </cell>
          <cell r="V235">
            <v>0</v>
          </cell>
          <cell r="W235">
            <v>4.8</v>
          </cell>
          <cell r="X235">
            <v>320</v>
          </cell>
          <cell r="Y235">
            <v>0</v>
          </cell>
          <cell r="Z235">
            <v>30</v>
          </cell>
        </row>
        <row r="236">
          <cell r="A236" t="str">
            <v>KNN08</v>
          </cell>
          <cell r="B236" t="str">
            <v>Đặng Xuân</v>
          </cell>
          <cell r="C236" t="str">
            <v>Phi</v>
          </cell>
          <cell r="D236">
            <v>20</v>
          </cell>
          <cell r="E236">
            <v>20</v>
          </cell>
          <cell r="F236">
            <v>378</v>
          </cell>
          <cell r="G236">
            <v>473.2</v>
          </cell>
          <cell r="H236">
            <v>0</v>
          </cell>
          <cell r="I236">
            <v>45</v>
          </cell>
          <cell r="J236">
            <v>18.2</v>
          </cell>
          <cell r="K236">
            <v>24</v>
          </cell>
          <cell r="L236">
            <v>0</v>
          </cell>
          <cell r="M236">
            <v>286</v>
          </cell>
          <cell r="N236">
            <v>0</v>
          </cell>
          <cell r="O236">
            <v>0</v>
          </cell>
          <cell r="P236">
            <v>0</v>
          </cell>
          <cell r="Q236">
            <v>0</v>
          </cell>
          <cell r="R236">
            <v>0</v>
          </cell>
          <cell r="S236">
            <v>100</v>
          </cell>
          <cell r="T236">
            <v>0</v>
          </cell>
          <cell r="U236">
            <v>0</v>
          </cell>
          <cell r="V236">
            <v>0</v>
          </cell>
          <cell r="W236">
            <v>0</v>
          </cell>
          <cell r="X236">
            <v>0</v>
          </cell>
          <cell r="Y236">
            <v>0</v>
          </cell>
          <cell r="Z236">
            <v>0</v>
          </cell>
        </row>
        <row r="237">
          <cell r="A237" t="str">
            <v>KNN11</v>
          </cell>
          <cell r="B237" t="str">
            <v>Đỗ Kim</v>
          </cell>
          <cell r="C237" t="str">
            <v>Chung</v>
          </cell>
          <cell r="D237">
            <v>20</v>
          </cell>
          <cell r="E237">
            <v>20</v>
          </cell>
          <cell r="F237">
            <v>906</v>
          </cell>
          <cell r="G237">
            <v>1100.3</v>
          </cell>
          <cell r="H237">
            <v>0</v>
          </cell>
          <cell r="I237">
            <v>6.5</v>
          </cell>
          <cell r="J237">
            <v>2.6</v>
          </cell>
          <cell r="K237">
            <v>0</v>
          </cell>
          <cell r="L237">
            <v>0</v>
          </cell>
          <cell r="M237">
            <v>60</v>
          </cell>
          <cell r="N237">
            <v>0</v>
          </cell>
          <cell r="O237">
            <v>0</v>
          </cell>
          <cell r="P237">
            <v>0</v>
          </cell>
          <cell r="Q237">
            <v>0</v>
          </cell>
          <cell r="R237">
            <v>0</v>
          </cell>
          <cell r="S237">
            <v>80</v>
          </cell>
          <cell r="T237">
            <v>264</v>
          </cell>
          <cell r="U237">
            <v>28.4</v>
          </cell>
          <cell r="V237">
            <v>0</v>
          </cell>
          <cell r="W237">
            <v>8.8000000000000007</v>
          </cell>
          <cell r="X237">
            <v>600</v>
          </cell>
          <cell r="Y237">
            <v>0</v>
          </cell>
          <cell r="Z237">
            <v>50</v>
          </cell>
        </row>
        <row r="238">
          <cell r="A238" t="str">
            <v>KNN12</v>
          </cell>
          <cell r="B238" t="str">
            <v>Nguyễn Phượng</v>
          </cell>
          <cell r="C238" t="str">
            <v>Lê</v>
          </cell>
          <cell r="D238">
            <v>45</v>
          </cell>
          <cell r="E238">
            <v>45</v>
          </cell>
          <cell r="F238">
            <v>997</v>
          </cell>
          <cell r="G238">
            <v>1230.0999999999999</v>
          </cell>
          <cell r="H238">
            <v>0</v>
          </cell>
          <cell r="I238">
            <v>18.2</v>
          </cell>
          <cell r="J238">
            <v>7.3</v>
          </cell>
          <cell r="K238">
            <v>0</v>
          </cell>
          <cell r="L238">
            <v>0</v>
          </cell>
          <cell r="M238">
            <v>230.8</v>
          </cell>
          <cell r="N238">
            <v>0</v>
          </cell>
          <cell r="O238">
            <v>60</v>
          </cell>
          <cell r="P238">
            <v>0</v>
          </cell>
          <cell r="Q238">
            <v>0</v>
          </cell>
          <cell r="R238">
            <v>0</v>
          </cell>
          <cell r="S238">
            <v>100</v>
          </cell>
          <cell r="T238">
            <v>189</v>
          </cell>
          <cell r="U238">
            <v>6.9</v>
          </cell>
          <cell r="V238">
            <v>0</v>
          </cell>
          <cell r="W238">
            <v>2.9</v>
          </cell>
          <cell r="X238">
            <v>480</v>
          </cell>
          <cell r="Y238">
            <v>45</v>
          </cell>
          <cell r="Z238">
            <v>90</v>
          </cell>
        </row>
        <row r="239">
          <cell r="A239" t="str">
            <v>KNN14</v>
          </cell>
          <cell r="B239" t="str">
            <v>Lê Thị Thanh</v>
          </cell>
          <cell r="C239" t="str">
            <v>Loan</v>
          </cell>
          <cell r="D239">
            <v>20</v>
          </cell>
          <cell r="E239">
            <v>20</v>
          </cell>
          <cell r="F239">
            <v>444</v>
          </cell>
          <cell r="G239">
            <v>479.7</v>
          </cell>
          <cell r="H239">
            <v>0</v>
          </cell>
          <cell r="I239">
            <v>33</v>
          </cell>
          <cell r="J239">
            <v>13.3</v>
          </cell>
          <cell r="K239">
            <v>0</v>
          </cell>
          <cell r="L239">
            <v>0</v>
          </cell>
          <cell r="M239">
            <v>273.39999999999998</v>
          </cell>
          <cell r="N239">
            <v>0</v>
          </cell>
          <cell r="O239">
            <v>0</v>
          </cell>
          <cell r="P239">
            <v>0</v>
          </cell>
          <cell r="Q239">
            <v>0</v>
          </cell>
          <cell r="R239">
            <v>0</v>
          </cell>
          <cell r="S239">
            <v>160</v>
          </cell>
          <cell r="T239">
            <v>0</v>
          </cell>
          <cell r="U239">
            <v>0</v>
          </cell>
          <cell r="V239">
            <v>0</v>
          </cell>
          <cell r="W239">
            <v>0</v>
          </cell>
          <cell r="X239">
            <v>0</v>
          </cell>
          <cell r="Y239">
            <v>0</v>
          </cell>
          <cell r="Z239">
            <v>0</v>
          </cell>
        </row>
        <row r="240">
          <cell r="A240" t="str">
            <v>KNN15</v>
          </cell>
          <cell r="B240" t="str">
            <v>Nguyễn Thị</v>
          </cell>
          <cell r="C240" t="str">
            <v>Thiêm</v>
          </cell>
          <cell r="D240">
            <v>20</v>
          </cell>
          <cell r="E240">
            <v>20</v>
          </cell>
          <cell r="F240">
            <v>461</v>
          </cell>
          <cell r="G240">
            <v>576</v>
          </cell>
          <cell r="H240">
            <v>0</v>
          </cell>
          <cell r="I240">
            <v>46.7</v>
          </cell>
          <cell r="J240">
            <v>18.8</v>
          </cell>
          <cell r="K240">
            <v>0</v>
          </cell>
          <cell r="L240">
            <v>0</v>
          </cell>
          <cell r="M240">
            <v>350.5</v>
          </cell>
          <cell r="N240">
            <v>0</v>
          </cell>
          <cell r="O240">
            <v>0</v>
          </cell>
          <cell r="P240">
            <v>0</v>
          </cell>
          <cell r="Q240">
            <v>0</v>
          </cell>
          <cell r="R240">
            <v>0</v>
          </cell>
          <cell r="S240">
            <v>160</v>
          </cell>
          <cell r="T240">
            <v>0</v>
          </cell>
          <cell r="U240">
            <v>0</v>
          </cell>
          <cell r="V240">
            <v>0</v>
          </cell>
          <cell r="W240">
            <v>0</v>
          </cell>
          <cell r="X240">
            <v>0</v>
          </cell>
          <cell r="Y240">
            <v>0</v>
          </cell>
          <cell r="Z240">
            <v>0</v>
          </cell>
        </row>
        <row r="241">
          <cell r="A241" t="str">
            <v>KST02</v>
          </cell>
          <cell r="B241" t="str">
            <v>Nguyễn Văn</v>
          </cell>
          <cell r="C241" t="str">
            <v>Thọ</v>
          </cell>
          <cell r="D241">
            <v>20</v>
          </cell>
          <cell r="E241">
            <v>20</v>
          </cell>
          <cell r="F241">
            <v>491</v>
          </cell>
          <cell r="G241">
            <v>520.1</v>
          </cell>
          <cell r="H241">
            <v>0</v>
          </cell>
          <cell r="I241">
            <v>9.4</v>
          </cell>
          <cell r="J241">
            <v>3.8</v>
          </cell>
          <cell r="K241">
            <v>0</v>
          </cell>
          <cell r="L241">
            <v>0</v>
          </cell>
          <cell r="M241">
            <v>39.6</v>
          </cell>
          <cell r="N241">
            <v>0</v>
          </cell>
          <cell r="O241">
            <v>0</v>
          </cell>
          <cell r="P241">
            <v>0</v>
          </cell>
          <cell r="Q241">
            <v>0</v>
          </cell>
          <cell r="R241">
            <v>30</v>
          </cell>
          <cell r="S241">
            <v>260</v>
          </cell>
          <cell r="T241">
            <v>36</v>
          </cell>
          <cell r="U241">
            <v>0.9</v>
          </cell>
          <cell r="V241">
            <v>0</v>
          </cell>
          <cell r="W241">
            <v>0.4</v>
          </cell>
          <cell r="X241">
            <v>120</v>
          </cell>
          <cell r="Y241">
            <v>0</v>
          </cell>
          <cell r="Z241">
            <v>20</v>
          </cell>
        </row>
        <row r="242">
          <cell r="A242" t="str">
            <v>KST03</v>
          </cell>
          <cell r="B242" t="str">
            <v>Nguyễn Văn</v>
          </cell>
          <cell r="C242" t="str">
            <v>Phương</v>
          </cell>
          <cell r="D242">
            <v>133</v>
          </cell>
          <cell r="E242">
            <v>133</v>
          </cell>
          <cell r="F242">
            <v>559.1</v>
          </cell>
          <cell r="G242">
            <v>574.29999999999995</v>
          </cell>
          <cell r="H242">
            <v>0</v>
          </cell>
          <cell r="I242">
            <v>9.6</v>
          </cell>
          <cell r="J242">
            <v>3.9</v>
          </cell>
          <cell r="K242">
            <v>252.1</v>
          </cell>
          <cell r="L242">
            <v>0</v>
          </cell>
          <cell r="M242">
            <v>40.700000000000003</v>
          </cell>
          <cell r="N242">
            <v>0</v>
          </cell>
          <cell r="O242">
            <v>48</v>
          </cell>
          <cell r="P242">
            <v>0</v>
          </cell>
          <cell r="Q242">
            <v>0</v>
          </cell>
          <cell r="R242">
            <v>0</v>
          </cell>
          <cell r="S242">
            <v>220</v>
          </cell>
          <cell r="T242">
            <v>0</v>
          </cell>
          <cell r="U242">
            <v>0</v>
          </cell>
          <cell r="V242">
            <v>0</v>
          </cell>
          <cell r="W242">
            <v>0</v>
          </cell>
          <cell r="X242">
            <v>0</v>
          </cell>
          <cell r="Y242">
            <v>0</v>
          </cell>
          <cell r="Z242">
            <v>0</v>
          </cell>
        </row>
        <row r="243">
          <cell r="A243" t="str">
            <v>KST11</v>
          </cell>
          <cell r="B243" t="str">
            <v>Nguyễn Thị Hoàng</v>
          </cell>
          <cell r="C243" t="str">
            <v>Yến</v>
          </cell>
          <cell r="D243">
            <v>12</v>
          </cell>
          <cell r="E243">
            <v>12</v>
          </cell>
          <cell r="F243">
            <v>412</v>
          </cell>
          <cell r="G243">
            <v>437</v>
          </cell>
          <cell r="H243">
            <v>0</v>
          </cell>
          <cell r="I243">
            <v>16.899999999999999</v>
          </cell>
          <cell r="J243">
            <v>6.8</v>
          </cell>
          <cell r="K243">
            <v>0</v>
          </cell>
          <cell r="L243">
            <v>0</v>
          </cell>
          <cell r="M243">
            <v>79.3</v>
          </cell>
          <cell r="N243">
            <v>0</v>
          </cell>
          <cell r="O243">
            <v>72</v>
          </cell>
          <cell r="P243">
            <v>0</v>
          </cell>
          <cell r="Q243">
            <v>12</v>
          </cell>
          <cell r="R243">
            <v>30</v>
          </cell>
          <cell r="S243">
            <v>220</v>
          </cell>
          <cell r="T243">
            <v>0</v>
          </cell>
          <cell r="U243">
            <v>0</v>
          </cell>
          <cell r="V243">
            <v>0</v>
          </cell>
          <cell r="W243">
            <v>0</v>
          </cell>
          <cell r="X243">
            <v>0</v>
          </cell>
          <cell r="Y243">
            <v>0</v>
          </cell>
          <cell r="Z243">
            <v>0</v>
          </cell>
        </row>
        <row r="244">
          <cell r="A244" t="str">
            <v>KST12</v>
          </cell>
          <cell r="B244" t="str">
            <v>Nguyễn Thị Hồng</v>
          </cell>
          <cell r="C244" t="str">
            <v>Chiên</v>
          </cell>
          <cell r="D244">
            <v>12</v>
          </cell>
          <cell r="E244">
            <v>12</v>
          </cell>
          <cell r="F244">
            <v>374</v>
          </cell>
          <cell r="G244">
            <v>385.5</v>
          </cell>
          <cell r="H244">
            <v>0</v>
          </cell>
          <cell r="I244">
            <v>6.8</v>
          </cell>
          <cell r="J244">
            <v>2.7</v>
          </cell>
          <cell r="K244">
            <v>0</v>
          </cell>
          <cell r="L244">
            <v>0</v>
          </cell>
          <cell r="M244">
            <v>37</v>
          </cell>
          <cell r="N244">
            <v>0</v>
          </cell>
          <cell r="O244">
            <v>92</v>
          </cell>
          <cell r="P244">
            <v>0</v>
          </cell>
          <cell r="Q244">
            <v>12</v>
          </cell>
          <cell r="R244">
            <v>15</v>
          </cell>
          <cell r="S244">
            <v>220</v>
          </cell>
          <cell r="T244">
            <v>0</v>
          </cell>
          <cell r="U244">
            <v>0</v>
          </cell>
          <cell r="V244">
            <v>0</v>
          </cell>
          <cell r="W244">
            <v>0</v>
          </cell>
          <cell r="X244">
            <v>0</v>
          </cell>
          <cell r="Y244">
            <v>0</v>
          </cell>
          <cell r="Z244">
            <v>0</v>
          </cell>
        </row>
        <row r="245">
          <cell r="A245" t="str">
            <v>KST14</v>
          </cell>
          <cell r="B245" t="str">
            <v>Bùi Khánh</v>
          </cell>
          <cell r="C245" t="str">
            <v>Linh</v>
          </cell>
          <cell r="D245">
            <v>40</v>
          </cell>
          <cell r="E245">
            <v>40</v>
          </cell>
          <cell r="F245">
            <v>410</v>
          </cell>
          <cell r="G245">
            <v>497.5</v>
          </cell>
          <cell r="H245">
            <v>0</v>
          </cell>
          <cell r="I245">
            <v>28.1</v>
          </cell>
          <cell r="J245">
            <v>11.3</v>
          </cell>
          <cell r="K245">
            <v>0</v>
          </cell>
          <cell r="L245">
            <v>0</v>
          </cell>
          <cell r="M245">
            <v>119</v>
          </cell>
          <cell r="N245">
            <v>0</v>
          </cell>
          <cell r="O245">
            <v>8</v>
          </cell>
          <cell r="P245">
            <v>0</v>
          </cell>
          <cell r="Q245">
            <v>12</v>
          </cell>
          <cell r="R245">
            <v>0</v>
          </cell>
          <cell r="S245">
            <v>260</v>
          </cell>
          <cell r="T245">
            <v>18</v>
          </cell>
          <cell r="U245">
            <v>0.8</v>
          </cell>
          <cell r="V245">
            <v>0</v>
          </cell>
          <cell r="W245">
            <v>0.3</v>
          </cell>
          <cell r="X245">
            <v>40</v>
          </cell>
          <cell r="Y245">
            <v>0</v>
          </cell>
          <cell r="Z245">
            <v>0</v>
          </cell>
        </row>
        <row r="246">
          <cell r="A246" t="str">
            <v>KT001</v>
          </cell>
          <cell r="B246" t="str">
            <v>Nguyễn Tất</v>
          </cell>
          <cell r="C246" t="str">
            <v>Thắng</v>
          </cell>
          <cell r="D246">
            <v>40</v>
          </cell>
          <cell r="E246">
            <v>40</v>
          </cell>
          <cell r="F246">
            <v>1115</v>
          </cell>
          <cell r="G246">
            <v>1429.2</v>
          </cell>
          <cell r="H246">
            <v>0</v>
          </cell>
          <cell r="I246">
            <v>58.1</v>
          </cell>
          <cell r="J246">
            <v>23.4</v>
          </cell>
          <cell r="K246">
            <v>0</v>
          </cell>
          <cell r="L246">
            <v>0</v>
          </cell>
          <cell r="M246">
            <v>350.6</v>
          </cell>
          <cell r="N246">
            <v>0</v>
          </cell>
          <cell r="O246">
            <v>0</v>
          </cell>
          <cell r="P246">
            <v>0</v>
          </cell>
          <cell r="Q246">
            <v>0</v>
          </cell>
          <cell r="R246">
            <v>0</v>
          </cell>
          <cell r="S246">
            <v>160</v>
          </cell>
          <cell r="T246">
            <v>465</v>
          </cell>
          <cell r="U246">
            <v>22.8</v>
          </cell>
          <cell r="V246">
            <v>0</v>
          </cell>
          <cell r="W246">
            <v>9.3000000000000007</v>
          </cell>
          <cell r="X246">
            <v>280</v>
          </cell>
          <cell r="Y246">
            <v>0</v>
          </cell>
          <cell r="Z246">
            <v>60</v>
          </cell>
        </row>
        <row r="247">
          <cell r="A247" t="str">
            <v>KT005</v>
          </cell>
          <cell r="B247" t="str">
            <v>Nguyễn Thị Huyền</v>
          </cell>
          <cell r="C247" t="str">
            <v>Châm</v>
          </cell>
          <cell r="D247">
            <v>20</v>
          </cell>
          <cell r="E247">
            <v>20</v>
          </cell>
          <cell r="F247">
            <v>537</v>
          </cell>
          <cell r="G247">
            <v>710.7</v>
          </cell>
          <cell r="H247">
            <v>0</v>
          </cell>
          <cell r="I247">
            <v>70.5</v>
          </cell>
          <cell r="J247">
            <v>28.4</v>
          </cell>
          <cell r="K247">
            <v>24</v>
          </cell>
          <cell r="L247">
            <v>0</v>
          </cell>
          <cell r="M247">
            <v>467.8</v>
          </cell>
          <cell r="N247">
            <v>0</v>
          </cell>
          <cell r="O247">
            <v>0</v>
          </cell>
          <cell r="P247">
            <v>0</v>
          </cell>
          <cell r="Q247">
            <v>0</v>
          </cell>
          <cell r="R247">
            <v>0</v>
          </cell>
          <cell r="S247">
            <v>120</v>
          </cell>
          <cell r="T247">
            <v>0</v>
          </cell>
          <cell r="U247">
            <v>0</v>
          </cell>
          <cell r="V247">
            <v>0</v>
          </cell>
          <cell r="W247">
            <v>0</v>
          </cell>
          <cell r="X247">
            <v>0</v>
          </cell>
          <cell r="Y247">
            <v>0</v>
          </cell>
          <cell r="Z247">
            <v>0</v>
          </cell>
        </row>
        <row r="248">
          <cell r="A248" t="str">
            <v>KT006</v>
          </cell>
          <cell r="B248" t="str">
            <v>Đoàn Bích</v>
          </cell>
          <cell r="C248" t="str">
            <v>Hạnh</v>
          </cell>
          <cell r="D248">
            <v>20</v>
          </cell>
          <cell r="E248">
            <v>20</v>
          </cell>
          <cell r="F248">
            <v>375</v>
          </cell>
          <cell r="G248">
            <v>482.2</v>
          </cell>
          <cell r="H248">
            <v>0</v>
          </cell>
          <cell r="I248">
            <v>46.9</v>
          </cell>
          <cell r="J248">
            <v>18.899999999999999</v>
          </cell>
          <cell r="K248">
            <v>0</v>
          </cell>
          <cell r="L248">
            <v>0</v>
          </cell>
          <cell r="M248">
            <v>216.4</v>
          </cell>
          <cell r="N248">
            <v>0</v>
          </cell>
          <cell r="O248">
            <v>0</v>
          </cell>
          <cell r="P248">
            <v>0</v>
          </cell>
          <cell r="Q248">
            <v>0</v>
          </cell>
          <cell r="R248">
            <v>0</v>
          </cell>
          <cell r="S248">
            <v>200</v>
          </cell>
          <cell r="T248">
            <v>0</v>
          </cell>
          <cell r="U248">
            <v>0</v>
          </cell>
          <cell r="V248">
            <v>0</v>
          </cell>
          <cell r="W248">
            <v>0</v>
          </cell>
          <cell r="X248">
            <v>0</v>
          </cell>
          <cell r="Y248">
            <v>0</v>
          </cell>
          <cell r="Z248">
            <v>0</v>
          </cell>
        </row>
        <row r="249">
          <cell r="A249" t="str">
            <v>KT008</v>
          </cell>
          <cell r="B249" t="str">
            <v>Thái Thị</v>
          </cell>
          <cell r="C249" t="str">
            <v>Nhung</v>
          </cell>
          <cell r="D249">
            <v>1</v>
          </cell>
          <cell r="E249">
            <v>9.9</v>
          </cell>
          <cell r="F249">
            <v>329</v>
          </cell>
          <cell r="G249">
            <v>455.5</v>
          </cell>
          <cell r="H249">
            <v>0</v>
          </cell>
          <cell r="I249">
            <v>62.7</v>
          </cell>
          <cell r="J249">
            <v>25.2</v>
          </cell>
          <cell r="K249">
            <v>0</v>
          </cell>
          <cell r="L249">
            <v>0</v>
          </cell>
          <cell r="M249">
            <v>367.6</v>
          </cell>
          <cell r="N249">
            <v>0</v>
          </cell>
          <cell r="O249">
            <v>0</v>
          </cell>
          <cell r="P249">
            <v>0</v>
          </cell>
          <cell r="Q249">
            <v>0</v>
          </cell>
          <cell r="R249">
            <v>0</v>
          </cell>
          <cell r="S249">
            <v>0</v>
          </cell>
          <cell r="T249">
            <v>0</v>
          </cell>
          <cell r="U249">
            <v>0</v>
          </cell>
          <cell r="V249">
            <v>0</v>
          </cell>
          <cell r="W249">
            <v>0</v>
          </cell>
          <cell r="X249">
            <v>0</v>
          </cell>
          <cell r="Y249">
            <v>0</v>
          </cell>
          <cell r="Z249">
            <v>0</v>
          </cell>
        </row>
        <row r="250">
          <cell r="A250" t="str">
            <v>KT009</v>
          </cell>
          <cell r="B250" t="str">
            <v>Nguyễn Thị Thu</v>
          </cell>
          <cell r="C250" t="str">
            <v>Quỳnh</v>
          </cell>
          <cell r="D250">
            <v>20</v>
          </cell>
          <cell r="E250">
            <v>20</v>
          </cell>
          <cell r="F250">
            <v>433</v>
          </cell>
          <cell r="G250">
            <v>566.70000000000005</v>
          </cell>
          <cell r="H250">
            <v>0</v>
          </cell>
          <cell r="I250">
            <v>27.9</v>
          </cell>
          <cell r="J250">
            <v>11.2</v>
          </cell>
          <cell r="K250">
            <v>0</v>
          </cell>
          <cell r="L250">
            <v>0</v>
          </cell>
          <cell r="M250">
            <v>267.60000000000002</v>
          </cell>
          <cell r="N250">
            <v>0</v>
          </cell>
          <cell r="O250">
            <v>0</v>
          </cell>
          <cell r="P250">
            <v>0</v>
          </cell>
          <cell r="Q250">
            <v>0</v>
          </cell>
          <cell r="R250">
            <v>0</v>
          </cell>
          <cell r="S250">
            <v>260</v>
          </cell>
          <cell r="T250">
            <v>0</v>
          </cell>
          <cell r="U250">
            <v>0</v>
          </cell>
          <cell r="V250">
            <v>0</v>
          </cell>
          <cell r="W250">
            <v>0</v>
          </cell>
          <cell r="X250">
            <v>0</v>
          </cell>
          <cell r="Y250">
            <v>0</v>
          </cell>
          <cell r="Z250">
            <v>0</v>
          </cell>
        </row>
        <row r="251">
          <cell r="A251" t="str">
            <v>KT015</v>
          </cell>
          <cell r="B251" t="str">
            <v>Đồng Thanh</v>
          </cell>
          <cell r="C251" t="str">
            <v>Mai</v>
          </cell>
          <cell r="D251">
            <v>20</v>
          </cell>
          <cell r="E251">
            <v>20</v>
          </cell>
          <cell r="F251">
            <v>475</v>
          </cell>
          <cell r="G251">
            <v>634.4</v>
          </cell>
          <cell r="H251">
            <v>0</v>
          </cell>
          <cell r="I251">
            <v>68.099999999999994</v>
          </cell>
          <cell r="J251">
            <v>27.5</v>
          </cell>
          <cell r="K251">
            <v>24</v>
          </cell>
          <cell r="L251">
            <v>0</v>
          </cell>
          <cell r="M251">
            <v>394.8</v>
          </cell>
          <cell r="N251">
            <v>0</v>
          </cell>
          <cell r="O251">
            <v>0</v>
          </cell>
          <cell r="P251">
            <v>0</v>
          </cell>
          <cell r="Q251">
            <v>0</v>
          </cell>
          <cell r="R251">
            <v>0</v>
          </cell>
          <cell r="S251">
            <v>120</v>
          </cell>
          <cell r="T251">
            <v>0</v>
          </cell>
          <cell r="U251">
            <v>0</v>
          </cell>
          <cell r="V251">
            <v>0</v>
          </cell>
          <cell r="W251">
            <v>0</v>
          </cell>
          <cell r="X251">
            <v>0</v>
          </cell>
          <cell r="Y251">
            <v>0</v>
          </cell>
          <cell r="Z251">
            <v>0</v>
          </cell>
        </row>
        <row r="252">
          <cell r="A252" t="str">
            <v>KT017</v>
          </cell>
          <cell r="B252" t="str">
            <v>Bùi Thị Khánh</v>
          </cell>
          <cell r="C252" t="str">
            <v>Hòa</v>
          </cell>
          <cell r="D252">
            <v>30</v>
          </cell>
          <cell r="E252">
            <v>30</v>
          </cell>
          <cell r="F252">
            <v>592</v>
          </cell>
          <cell r="G252">
            <v>831.8</v>
          </cell>
          <cell r="H252">
            <v>0</v>
          </cell>
          <cell r="I252">
            <v>74.400000000000006</v>
          </cell>
          <cell r="J252">
            <v>29.9</v>
          </cell>
          <cell r="K252">
            <v>30</v>
          </cell>
          <cell r="L252">
            <v>0</v>
          </cell>
          <cell r="M252">
            <v>577.5</v>
          </cell>
          <cell r="N252">
            <v>0</v>
          </cell>
          <cell r="O252">
            <v>0</v>
          </cell>
          <cell r="P252">
            <v>0</v>
          </cell>
          <cell r="Q252">
            <v>0</v>
          </cell>
          <cell r="R252">
            <v>0</v>
          </cell>
          <cell r="S252">
            <v>120</v>
          </cell>
          <cell r="T252">
            <v>0</v>
          </cell>
          <cell r="U252">
            <v>0</v>
          </cell>
          <cell r="V252">
            <v>0</v>
          </cell>
          <cell r="W252">
            <v>0</v>
          </cell>
          <cell r="X252">
            <v>0</v>
          </cell>
          <cell r="Y252">
            <v>0</v>
          </cell>
          <cell r="Z252">
            <v>0</v>
          </cell>
        </row>
        <row r="253">
          <cell r="A253" t="str">
            <v>KTL01</v>
          </cell>
          <cell r="B253" t="str">
            <v>Nguyễn Thị Thu</v>
          </cell>
          <cell r="C253" t="str">
            <v>Huyền</v>
          </cell>
          <cell r="D253">
            <v>1</v>
          </cell>
          <cell r="E253">
            <v>2.5</v>
          </cell>
          <cell r="F253">
            <v>424</v>
          </cell>
          <cell r="G253">
            <v>581.29999999999995</v>
          </cell>
          <cell r="H253">
            <v>0</v>
          </cell>
          <cell r="I253">
            <v>26.2</v>
          </cell>
          <cell r="J253">
            <v>10.5</v>
          </cell>
          <cell r="K253">
            <v>0</v>
          </cell>
          <cell r="L253">
            <v>0</v>
          </cell>
          <cell r="M253">
            <v>225</v>
          </cell>
          <cell r="N253">
            <v>0</v>
          </cell>
          <cell r="O253">
            <v>0</v>
          </cell>
          <cell r="P253">
            <v>0</v>
          </cell>
          <cell r="Q253">
            <v>0</v>
          </cell>
          <cell r="R253">
            <v>0</v>
          </cell>
          <cell r="S253">
            <v>140</v>
          </cell>
          <cell r="T253">
            <v>168</v>
          </cell>
          <cell r="U253">
            <v>8.3000000000000007</v>
          </cell>
          <cell r="V253">
            <v>0</v>
          </cell>
          <cell r="W253">
            <v>3.3</v>
          </cell>
          <cell r="X253">
            <v>0</v>
          </cell>
          <cell r="Y253">
            <v>0</v>
          </cell>
          <cell r="Z253">
            <v>0</v>
          </cell>
        </row>
        <row r="254">
          <cell r="A254" t="str">
            <v>KTL03</v>
          </cell>
          <cell r="B254" t="str">
            <v>Lê Long</v>
          </cell>
          <cell r="C254" t="str">
            <v>Vỹ</v>
          </cell>
          <cell r="D254">
            <v>40</v>
          </cell>
          <cell r="E254">
            <v>40</v>
          </cell>
          <cell r="F254">
            <v>677</v>
          </cell>
          <cell r="G254">
            <v>757.2</v>
          </cell>
          <cell r="H254">
            <v>0</v>
          </cell>
          <cell r="I254">
            <v>26.8</v>
          </cell>
          <cell r="J254">
            <v>10.7</v>
          </cell>
          <cell r="K254">
            <v>24</v>
          </cell>
          <cell r="L254">
            <v>0</v>
          </cell>
          <cell r="M254">
            <v>154.30000000000001</v>
          </cell>
          <cell r="N254">
            <v>0</v>
          </cell>
          <cell r="O254">
            <v>0</v>
          </cell>
          <cell r="P254">
            <v>0</v>
          </cell>
          <cell r="Q254">
            <v>0</v>
          </cell>
          <cell r="R254">
            <v>0</v>
          </cell>
          <cell r="S254">
            <v>200</v>
          </cell>
          <cell r="T254">
            <v>54</v>
          </cell>
          <cell r="U254">
            <v>5.3</v>
          </cell>
          <cell r="V254">
            <v>0</v>
          </cell>
          <cell r="W254">
            <v>2.1</v>
          </cell>
          <cell r="X254">
            <v>280</v>
          </cell>
          <cell r="Y254">
            <v>0</v>
          </cell>
          <cell r="Z254">
            <v>0</v>
          </cell>
        </row>
        <row r="255">
          <cell r="A255" t="str">
            <v>KTL06</v>
          </cell>
          <cell r="B255" t="str">
            <v>Giang</v>
          </cell>
          <cell r="C255" t="str">
            <v>Hương</v>
          </cell>
          <cell r="D255">
            <v>20</v>
          </cell>
          <cell r="E255">
            <v>20</v>
          </cell>
          <cell r="F255">
            <v>241</v>
          </cell>
          <cell r="G255">
            <v>341</v>
          </cell>
          <cell r="H255">
            <v>0</v>
          </cell>
          <cell r="I255">
            <v>22.4</v>
          </cell>
          <cell r="J255">
            <v>9</v>
          </cell>
          <cell r="K255">
            <v>0</v>
          </cell>
          <cell r="L255">
            <v>0</v>
          </cell>
          <cell r="M255">
            <v>209.6</v>
          </cell>
          <cell r="N255">
            <v>0</v>
          </cell>
          <cell r="O255">
            <v>0</v>
          </cell>
          <cell r="P255">
            <v>0</v>
          </cell>
          <cell r="Q255">
            <v>0</v>
          </cell>
          <cell r="R255">
            <v>0</v>
          </cell>
          <cell r="S255">
            <v>100</v>
          </cell>
          <cell r="T255">
            <v>0</v>
          </cell>
          <cell r="U255">
            <v>0</v>
          </cell>
          <cell r="V255">
            <v>0</v>
          </cell>
          <cell r="W255">
            <v>0</v>
          </cell>
          <cell r="X255">
            <v>0</v>
          </cell>
          <cell r="Y255">
            <v>0</v>
          </cell>
          <cell r="Z255">
            <v>0</v>
          </cell>
        </row>
        <row r="256">
          <cell r="A256" t="str">
            <v>KTL07</v>
          </cell>
          <cell r="B256" t="str">
            <v>Nguyễn Thị Dương</v>
          </cell>
          <cell r="C256" t="str">
            <v>Nga</v>
          </cell>
          <cell r="D256">
            <v>45</v>
          </cell>
          <cell r="E256">
            <v>45</v>
          </cell>
          <cell r="F256">
            <v>694</v>
          </cell>
          <cell r="G256">
            <v>890.7</v>
          </cell>
          <cell r="H256">
            <v>0</v>
          </cell>
          <cell r="I256">
            <v>19.3</v>
          </cell>
          <cell r="J256">
            <v>7.8</v>
          </cell>
          <cell r="K256">
            <v>0</v>
          </cell>
          <cell r="L256">
            <v>0</v>
          </cell>
          <cell r="M256">
            <v>105</v>
          </cell>
          <cell r="N256">
            <v>0</v>
          </cell>
          <cell r="O256">
            <v>0</v>
          </cell>
          <cell r="P256">
            <v>0</v>
          </cell>
          <cell r="Q256">
            <v>0</v>
          </cell>
          <cell r="R256">
            <v>0</v>
          </cell>
          <cell r="S256">
            <v>40</v>
          </cell>
          <cell r="T256">
            <v>342</v>
          </cell>
          <cell r="U256">
            <v>16.5</v>
          </cell>
          <cell r="V256">
            <v>0</v>
          </cell>
          <cell r="W256">
            <v>5.0999999999999996</v>
          </cell>
          <cell r="X256">
            <v>280</v>
          </cell>
          <cell r="Y256">
            <v>45</v>
          </cell>
          <cell r="Z256">
            <v>30</v>
          </cell>
        </row>
        <row r="257">
          <cell r="A257" t="str">
            <v>KTL08</v>
          </cell>
          <cell r="B257" t="str">
            <v>Lê Khắc</v>
          </cell>
          <cell r="C257" t="str">
            <v>Bộ</v>
          </cell>
          <cell r="D257">
            <v>20</v>
          </cell>
          <cell r="E257">
            <v>20</v>
          </cell>
          <cell r="F257">
            <v>440</v>
          </cell>
          <cell r="G257">
            <v>486.7</v>
          </cell>
          <cell r="H257">
            <v>0</v>
          </cell>
          <cell r="I257">
            <v>35.799999999999997</v>
          </cell>
          <cell r="J257">
            <v>14.5</v>
          </cell>
          <cell r="K257">
            <v>0</v>
          </cell>
          <cell r="L257">
            <v>0</v>
          </cell>
          <cell r="M257">
            <v>216.4</v>
          </cell>
          <cell r="N257">
            <v>0</v>
          </cell>
          <cell r="O257">
            <v>0</v>
          </cell>
          <cell r="P257">
            <v>0</v>
          </cell>
          <cell r="Q257">
            <v>0</v>
          </cell>
          <cell r="R257">
            <v>0</v>
          </cell>
          <cell r="S257">
            <v>220</v>
          </cell>
          <cell r="T257">
            <v>0</v>
          </cell>
          <cell r="U257">
            <v>0</v>
          </cell>
          <cell r="V257">
            <v>0</v>
          </cell>
          <cell r="W257">
            <v>0</v>
          </cell>
          <cell r="X257">
            <v>0</v>
          </cell>
          <cell r="Y257">
            <v>0</v>
          </cell>
          <cell r="Z257">
            <v>0</v>
          </cell>
        </row>
        <row r="258">
          <cell r="A258" t="str">
            <v>KTL09</v>
          </cell>
          <cell r="B258" t="str">
            <v>Phạm Văn</v>
          </cell>
          <cell r="C258" t="str">
            <v>Hùng</v>
          </cell>
          <cell r="D258">
            <v>20</v>
          </cell>
          <cell r="E258">
            <v>20</v>
          </cell>
          <cell r="F258">
            <v>720</v>
          </cell>
          <cell r="G258">
            <v>849.9</v>
          </cell>
          <cell r="H258">
            <v>0</v>
          </cell>
          <cell r="I258">
            <v>15.5</v>
          </cell>
          <cell r="J258">
            <v>6.2</v>
          </cell>
          <cell r="K258">
            <v>0</v>
          </cell>
          <cell r="L258">
            <v>0</v>
          </cell>
          <cell r="M258">
            <v>64.3</v>
          </cell>
          <cell r="N258">
            <v>0</v>
          </cell>
          <cell r="O258">
            <v>0</v>
          </cell>
          <cell r="P258">
            <v>0</v>
          </cell>
          <cell r="Q258">
            <v>0</v>
          </cell>
          <cell r="R258">
            <v>0</v>
          </cell>
          <cell r="S258">
            <v>40</v>
          </cell>
          <cell r="T258">
            <v>180</v>
          </cell>
          <cell r="U258">
            <v>17</v>
          </cell>
          <cell r="V258">
            <v>0</v>
          </cell>
          <cell r="W258">
            <v>6.9</v>
          </cell>
          <cell r="X258">
            <v>440</v>
          </cell>
          <cell r="Y258">
            <v>0</v>
          </cell>
          <cell r="Z258">
            <v>80</v>
          </cell>
        </row>
        <row r="259">
          <cell r="A259" t="str">
            <v>KTL14</v>
          </cell>
          <cell r="B259" t="str">
            <v>Lê Ngọc</v>
          </cell>
          <cell r="C259" t="str">
            <v>Hướng</v>
          </cell>
          <cell r="D259">
            <v>20</v>
          </cell>
          <cell r="E259">
            <v>20</v>
          </cell>
          <cell r="F259">
            <v>692</v>
          </cell>
          <cell r="G259">
            <v>911.9</v>
          </cell>
          <cell r="H259">
            <v>0</v>
          </cell>
          <cell r="I259">
            <v>22.8</v>
          </cell>
          <cell r="J259">
            <v>9.1999999999999993</v>
          </cell>
          <cell r="K259">
            <v>0</v>
          </cell>
          <cell r="L259">
            <v>0</v>
          </cell>
          <cell r="M259">
            <v>120</v>
          </cell>
          <cell r="N259">
            <v>0</v>
          </cell>
          <cell r="O259">
            <v>0</v>
          </cell>
          <cell r="P259">
            <v>0</v>
          </cell>
          <cell r="Q259">
            <v>0</v>
          </cell>
          <cell r="R259">
            <v>0</v>
          </cell>
          <cell r="S259">
            <v>80</v>
          </cell>
          <cell r="T259">
            <v>384</v>
          </cell>
          <cell r="U259">
            <v>25.5</v>
          </cell>
          <cell r="V259">
            <v>0</v>
          </cell>
          <cell r="W259">
            <v>10.4</v>
          </cell>
          <cell r="X259">
            <v>240</v>
          </cell>
          <cell r="Y259">
            <v>0</v>
          </cell>
          <cell r="Z259">
            <v>20</v>
          </cell>
        </row>
        <row r="260">
          <cell r="A260" t="str">
            <v>KTL17</v>
          </cell>
          <cell r="B260" t="str">
            <v>Nguyễn Hữu</v>
          </cell>
          <cell r="C260" t="str">
            <v>Nhuần</v>
          </cell>
          <cell r="D260">
            <v>20</v>
          </cell>
          <cell r="E260">
            <v>20</v>
          </cell>
          <cell r="F260">
            <v>132</v>
          </cell>
          <cell r="G260">
            <v>165.3</v>
          </cell>
          <cell r="H260">
            <v>0</v>
          </cell>
          <cell r="I260">
            <v>3.8</v>
          </cell>
          <cell r="J260">
            <v>1.5</v>
          </cell>
          <cell r="K260">
            <v>0</v>
          </cell>
          <cell r="L260">
            <v>0</v>
          </cell>
          <cell r="M260">
            <v>60</v>
          </cell>
          <cell r="N260">
            <v>0</v>
          </cell>
          <cell r="O260">
            <v>0</v>
          </cell>
          <cell r="P260">
            <v>0</v>
          </cell>
          <cell r="Q260">
            <v>0</v>
          </cell>
          <cell r="R260">
            <v>0</v>
          </cell>
          <cell r="S260">
            <v>100</v>
          </cell>
          <cell r="T260">
            <v>0</v>
          </cell>
          <cell r="U260">
            <v>0</v>
          </cell>
          <cell r="V260">
            <v>0</v>
          </cell>
          <cell r="W260">
            <v>0</v>
          </cell>
          <cell r="X260">
            <v>0</v>
          </cell>
          <cell r="Y260">
            <v>0</v>
          </cell>
          <cell r="Z260">
            <v>0</v>
          </cell>
        </row>
        <row r="261">
          <cell r="A261" t="str">
            <v>KTL19</v>
          </cell>
          <cell r="B261" t="str">
            <v>Nguyễn Thị Huyền</v>
          </cell>
          <cell r="C261" t="str">
            <v>Trang</v>
          </cell>
          <cell r="D261">
            <v>20</v>
          </cell>
          <cell r="E261">
            <v>20</v>
          </cell>
          <cell r="F261">
            <v>308</v>
          </cell>
          <cell r="G261">
            <v>430.6</v>
          </cell>
          <cell r="H261">
            <v>0</v>
          </cell>
          <cell r="I261">
            <v>44</v>
          </cell>
          <cell r="J261">
            <v>17.600000000000001</v>
          </cell>
          <cell r="K261">
            <v>0</v>
          </cell>
          <cell r="L261">
            <v>0</v>
          </cell>
          <cell r="M261">
            <v>249</v>
          </cell>
          <cell r="N261">
            <v>0</v>
          </cell>
          <cell r="O261">
            <v>0</v>
          </cell>
          <cell r="P261">
            <v>0</v>
          </cell>
          <cell r="Q261">
            <v>0</v>
          </cell>
          <cell r="R261">
            <v>0</v>
          </cell>
          <cell r="S261">
            <v>120</v>
          </cell>
          <cell r="T261">
            <v>0</v>
          </cell>
          <cell r="U261">
            <v>0</v>
          </cell>
          <cell r="V261">
            <v>0</v>
          </cell>
          <cell r="W261">
            <v>0</v>
          </cell>
          <cell r="X261">
            <v>0</v>
          </cell>
          <cell r="Y261">
            <v>0</v>
          </cell>
          <cell r="Z261">
            <v>0</v>
          </cell>
        </row>
        <row r="262">
          <cell r="A262" t="str">
            <v>KTL20</v>
          </cell>
          <cell r="B262" t="str">
            <v>Trần Thế</v>
          </cell>
          <cell r="C262" t="str">
            <v>Cường</v>
          </cell>
          <cell r="D262">
            <v>30</v>
          </cell>
          <cell r="E262">
            <v>30</v>
          </cell>
          <cell r="F262">
            <v>343</v>
          </cell>
          <cell r="G262">
            <v>501.1</v>
          </cell>
          <cell r="H262">
            <v>0</v>
          </cell>
          <cell r="I262">
            <v>22.2</v>
          </cell>
          <cell r="J262">
            <v>8.9</v>
          </cell>
          <cell r="K262">
            <v>30</v>
          </cell>
          <cell r="L262">
            <v>0</v>
          </cell>
          <cell r="M262">
            <v>300</v>
          </cell>
          <cell r="N262">
            <v>0</v>
          </cell>
          <cell r="O262">
            <v>0</v>
          </cell>
          <cell r="P262">
            <v>0</v>
          </cell>
          <cell r="Q262">
            <v>0</v>
          </cell>
          <cell r="R262">
            <v>0</v>
          </cell>
          <cell r="S262">
            <v>140</v>
          </cell>
          <cell r="T262">
            <v>0</v>
          </cell>
          <cell r="U262">
            <v>0</v>
          </cell>
          <cell r="V262">
            <v>0</v>
          </cell>
          <cell r="W262">
            <v>0</v>
          </cell>
          <cell r="X262">
            <v>0</v>
          </cell>
          <cell r="Y262">
            <v>0</v>
          </cell>
          <cell r="Z262">
            <v>0</v>
          </cell>
        </row>
        <row r="263">
          <cell r="A263" t="str">
            <v>KTL22</v>
          </cell>
          <cell r="B263" t="str">
            <v>Bùi Văn</v>
          </cell>
          <cell r="C263" t="str">
            <v>Quang</v>
          </cell>
          <cell r="D263">
            <v>20</v>
          </cell>
          <cell r="E263">
            <v>20</v>
          </cell>
          <cell r="F263">
            <v>239</v>
          </cell>
          <cell r="G263">
            <v>265.60000000000002</v>
          </cell>
          <cell r="H263">
            <v>0</v>
          </cell>
          <cell r="I263">
            <v>10.1</v>
          </cell>
          <cell r="J263">
            <v>4</v>
          </cell>
          <cell r="K263">
            <v>0</v>
          </cell>
          <cell r="L263">
            <v>0</v>
          </cell>
          <cell r="M263">
            <v>91.5</v>
          </cell>
          <cell r="N263">
            <v>0</v>
          </cell>
          <cell r="O263">
            <v>0</v>
          </cell>
          <cell r="P263">
            <v>0</v>
          </cell>
          <cell r="Q263">
            <v>0</v>
          </cell>
          <cell r="R263">
            <v>0</v>
          </cell>
          <cell r="S263">
            <v>160</v>
          </cell>
          <cell r="T263">
            <v>0</v>
          </cell>
          <cell r="U263">
            <v>0</v>
          </cell>
          <cell r="V263">
            <v>0</v>
          </cell>
          <cell r="W263">
            <v>0</v>
          </cell>
          <cell r="X263">
            <v>0</v>
          </cell>
          <cell r="Y263">
            <v>0</v>
          </cell>
          <cell r="Z263">
            <v>0</v>
          </cell>
        </row>
        <row r="264">
          <cell r="A264" t="str">
            <v>KTM01</v>
          </cell>
          <cell r="B264" t="str">
            <v>Nguyễn Hữu</v>
          </cell>
          <cell r="C264" t="str">
            <v>Giáp</v>
          </cell>
          <cell r="D264">
            <v>20</v>
          </cell>
          <cell r="E264">
            <v>20</v>
          </cell>
          <cell r="F264">
            <v>332</v>
          </cell>
          <cell r="G264">
            <v>364.1</v>
          </cell>
          <cell r="H264">
            <v>0</v>
          </cell>
          <cell r="I264">
            <v>25.5</v>
          </cell>
          <cell r="J264">
            <v>10.3</v>
          </cell>
          <cell r="K264">
            <v>24</v>
          </cell>
          <cell r="L264">
            <v>0</v>
          </cell>
          <cell r="M264">
            <v>124.3</v>
          </cell>
          <cell r="N264">
            <v>0</v>
          </cell>
          <cell r="O264">
            <v>0</v>
          </cell>
          <cell r="P264">
            <v>0</v>
          </cell>
          <cell r="Q264">
            <v>0</v>
          </cell>
          <cell r="R264">
            <v>0</v>
          </cell>
          <cell r="S264">
            <v>180</v>
          </cell>
          <cell r="T264">
            <v>0</v>
          </cell>
          <cell r="U264">
            <v>0</v>
          </cell>
          <cell r="V264">
            <v>0</v>
          </cell>
          <cell r="W264">
            <v>0</v>
          </cell>
          <cell r="X264">
            <v>0</v>
          </cell>
          <cell r="Y264">
            <v>0</v>
          </cell>
          <cell r="Z264">
            <v>0</v>
          </cell>
        </row>
        <row r="265">
          <cell r="A265" t="str">
            <v>KTM04</v>
          </cell>
          <cell r="B265" t="str">
            <v>Nguyễn Văn</v>
          </cell>
          <cell r="C265" t="str">
            <v>Song</v>
          </cell>
          <cell r="D265">
            <v>30</v>
          </cell>
          <cell r="E265">
            <v>30</v>
          </cell>
          <cell r="F265">
            <v>966</v>
          </cell>
          <cell r="G265">
            <v>1165.4000000000001</v>
          </cell>
          <cell r="H265">
            <v>0</v>
          </cell>
          <cell r="I265">
            <v>14.3</v>
          </cell>
          <cell r="J265">
            <v>5.8</v>
          </cell>
          <cell r="K265">
            <v>0</v>
          </cell>
          <cell r="L265">
            <v>0</v>
          </cell>
          <cell r="M265">
            <v>150</v>
          </cell>
          <cell r="N265">
            <v>0</v>
          </cell>
          <cell r="O265">
            <v>0</v>
          </cell>
          <cell r="P265">
            <v>0</v>
          </cell>
          <cell r="Q265">
            <v>0</v>
          </cell>
          <cell r="R265">
            <v>0</v>
          </cell>
          <cell r="S265">
            <v>60</v>
          </cell>
          <cell r="T265">
            <v>297</v>
          </cell>
          <cell r="U265">
            <v>14.5</v>
          </cell>
          <cell r="V265">
            <v>0</v>
          </cell>
          <cell r="W265">
            <v>3.8</v>
          </cell>
          <cell r="X265">
            <v>560</v>
          </cell>
          <cell r="Y265">
            <v>0</v>
          </cell>
          <cell r="Z265">
            <v>60</v>
          </cell>
        </row>
        <row r="266">
          <cell r="A266" t="str">
            <v>KTM06</v>
          </cell>
          <cell r="B266" t="str">
            <v>Nguyễn Mậu</v>
          </cell>
          <cell r="C266" t="str">
            <v>Dũng</v>
          </cell>
          <cell r="D266">
            <v>30</v>
          </cell>
          <cell r="E266">
            <v>30</v>
          </cell>
          <cell r="F266">
            <v>859</v>
          </cell>
          <cell r="G266">
            <v>1119.9000000000001</v>
          </cell>
          <cell r="H266">
            <v>0</v>
          </cell>
          <cell r="I266">
            <v>9.3000000000000007</v>
          </cell>
          <cell r="J266">
            <v>3.7</v>
          </cell>
          <cell r="K266">
            <v>0</v>
          </cell>
          <cell r="L266">
            <v>0</v>
          </cell>
          <cell r="M266">
            <v>90</v>
          </cell>
          <cell r="N266">
            <v>0</v>
          </cell>
          <cell r="O266">
            <v>0</v>
          </cell>
          <cell r="P266">
            <v>0</v>
          </cell>
          <cell r="Q266">
            <v>0</v>
          </cell>
          <cell r="R266">
            <v>0</v>
          </cell>
          <cell r="S266">
            <v>80</v>
          </cell>
          <cell r="T266">
            <v>393</v>
          </cell>
          <cell r="U266">
            <v>24.1</v>
          </cell>
          <cell r="V266">
            <v>0</v>
          </cell>
          <cell r="W266">
            <v>9.8000000000000007</v>
          </cell>
          <cell r="X266">
            <v>480</v>
          </cell>
          <cell r="Y266">
            <v>0</v>
          </cell>
          <cell r="Z266">
            <v>30</v>
          </cell>
        </row>
        <row r="267">
          <cell r="A267" t="str">
            <v>KTM07</v>
          </cell>
          <cell r="B267" t="str">
            <v>Phạm Thanh</v>
          </cell>
          <cell r="C267" t="str">
            <v>Lan</v>
          </cell>
          <cell r="D267">
            <v>1</v>
          </cell>
          <cell r="E267">
            <v>1.3</v>
          </cell>
          <cell r="F267">
            <v>216</v>
          </cell>
          <cell r="G267">
            <v>296.39999999999998</v>
          </cell>
          <cell r="H267">
            <v>0</v>
          </cell>
          <cell r="I267">
            <v>18.8</v>
          </cell>
          <cell r="J267">
            <v>7.5</v>
          </cell>
          <cell r="K267">
            <v>0</v>
          </cell>
          <cell r="L267">
            <v>0</v>
          </cell>
          <cell r="M267">
            <v>94.3</v>
          </cell>
          <cell r="N267">
            <v>0</v>
          </cell>
          <cell r="O267">
            <v>0</v>
          </cell>
          <cell r="P267">
            <v>0</v>
          </cell>
          <cell r="Q267">
            <v>0</v>
          </cell>
          <cell r="R267">
            <v>0</v>
          </cell>
          <cell r="S267">
            <v>120</v>
          </cell>
          <cell r="T267">
            <v>54</v>
          </cell>
          <cell r="U267">
            <v>1.3</v>
          </cell>
          <cell r="V267">
            <v>0</v>
          </cell>
          <cell r="W267">
            <v>0.5</v>
          </cell>
          <cell r="X267">
            <v>0</v>
          </cell>
          <cell r="Y267">
            <v>0</v>
          </cell>
          <cell r="Z267">
            <v>0</v>
          </cell>
        </row>
        <row r="268">
          <cell r="A268" t="str">
            <v>KTM08</v>
          </cell>
          <cell r="B268" t="str">
            <v>Đỗ Thị</v>
          </cell>
          <cell r="C268" t="str">
            <v>Diệp</v>
          </cell>
          <cell r="D268">
            <v>20</v>
          </cell>
          <cell r="E268">
            <v>20</v>
          </cell>
          <cell r="F268">
            <v>196</v>
          </cell>
          <cell r="G268">
            <v>250.6</v>
          </cell>
          <cell r="H268">
            <v>0</v>
          </cell>
          <cell r="I268">
            <v>21.9</v>
          </cell>
          <cell r="J268">
            <v>8.6999999999999993</v>
          </cell>
          <cell r="K268">
            <v>0</v>
          </cell>
          <cell r="L268">
            <v>0</v>
          </cell>
          <cell r="M268">
            <v>120</v>
          </cell>
          <cell r="N268">
            <v>0</v>
          </cell>
          <cell r="O268">
            <v>0</v>
          </cell>
          <cell r="P268">
            <v>0</v>
          </cell>
          <cell r="Q268">
            <v>0</v>
          </cell>
          <cell r="R268">
            <v>0</v>
          </cell>
          <cell r="S268">
            <v>100</v>
          </cell>
          <cell r="T268">
            <v>0</v>
          </cell>
          <cell r="U268">
            <v>0</v>
          </cell>
          <cell r="V268">
            <v>0</v>
          </cell>
          <cell r="W268">
            <v>0</v>
          </cell>
          <cell r="X268">
            <v>0</v>
          </cell>
          <cell r="Y268">
            <v>0</v>
          </cell>
          <cell r="Z268">
            <v>0</v>
          </cell>
        </row>
        <row r="269">
          <cell r="A269" t="str">
            <v>KTM09</v>
          </cell>
          <cell r="B269" t="str">
            <v>Trần Thị Thu</v>
          </cell>
          <cell r="C269" t="str">
            <v>Trang</v>
          </cell>
          <cell r="D269">
            <v>1</v>
          </cell>
          <cell r="E269">
            <v>2.2999999999999998</v>
          </cell>
          <cell r="F269">
            <v>280</v>
          </cell>
          <cell r="G269">
            <v>361.4</v>
          </cell>
          <cell r="H269">
            <v>0</v>
          </cell>
          <cell r="I269">
            <v>17.3</v>
          </cell>
          <cell r="J269">
            <v>6.9</v>
          </cell>
          <cell r="K269">
            <v>24</v>
          </cell>
          <cell r="L269">
            <v>0</v>
          </cell>
          <cell r="M269">
            <v>96</v>
          </cell>
          <cell r="N269">
            <v>0</v>
          </cell>
          <cell r="O269">
            <v>0</v>
          </cell>
          <cell r="P269">
            <v>0</v>
          </cell>
          <cell r="Q269">
            <v>0</v>
          </cell>
          <cell r="R269">
            <v>0</v>
          </cell>
          <cell r="S269">
            <v>160</v>
          </cell>
          <cell r="T269">
            <v>54</v>
          </cell>
          <cell r="U269">
            <v>2.2999999999999998</v>
          </cell>
          <cell r="V269">
            <v>0</v>
          </cell>
          <cell r="W269">
            <v>0.9</v>
          </cell>
          <cell r="X269">
            <v>0</v>
          </cell>
          <cell r="Y269">
            <v>0</v>
          </cell>
          <cell r="Z269">
            <v>0</v>
          </cell>
        </row>
        <row r="270">
          <cell r="A270" t="str">
            <v>KTM15</v>
          </cell>
          <cell r="B270" t="str">
            <v>Hoàng Thị</v>
          </cell>
          <cell r="C270" t="str">
            <v>Hằng</v>
          </cell>
          <cell r="D270">
            <v>20</v>
          </cell>
          <cell r="E270">
            <v>20</v>
          </cell>
          <cell r="F270">
            <v>451</v>
          </cell>
          <cell r="G270">
            <v>561.4</v>
          </cell>
          <cell r="H270">
            <v>0</v>
          </cell>
          <cell r="I270">
            <v>52.4</v>
          </cell>
          <cell r="J270">
            <v>21</v>
          </cell>
          <cell r="K270">
            <v>0</v>
          </cell>
          <cell r="L270">
            <v>0</v>
          </cell>
          <cell r="M270">
            <v>308</v>
          </cell>
          <cell r="N270">
            <v>0</v>
          </cell>
          <cell r="O270">
            <v>0</v>
          </cell>
          <cell r="P270">
            <v>0</v>
          </cell>
          <cell r="Q270">
            <v>0</v>
          </cell>
          <cell r="R270">
            <v>0</v>
          </cell>
          <cell r="S270">
            <v>180</v>
          </cell>
          <cell r="T270">
            <v>0</v>
          </cell>
          <cell r="U270">
            <v>0</v>
          </cell>
          <cell r="V270">
            <v>0</v>
          </cell>
          <cell r="W270">
            <v>0</v>
          </cell>
          <cell r="X270">
            <v>0</v>
          </cell>
          <cell r="Y270">
            <v>0</v>
          </cell>
          <cell r="Z270">
            <v>0</v>
          </cell>
        </row>
        <row r="271">
          <cell r="A271" t="str">
            <v>KTM17</v>
          </cell>
          <cell r="B271" t="str">
            <v>Ngô Văn</v>
          </cell>
          <cell r="C271" t="str">
            <v>Hoàng</v>
          </cell>
          <cell r="D271">
            <v>1</v>
          </cell>
          <cell r="E271">
            <v>9.8000000000000007</v>
          </cell>
          <cell r="F271">
            <v>128</v>
          </cell>
          <cell r="G271">
            <v>189.3</v>
          </cell>
          <cell r="H271">
            <v>0</v>
          </cell>
          <cell r="I271">
            <v>37.799999999999997</v>
          </cell>
          <cell r="J271">
            <v>15.1</v>
          </cell>
          <cell r="K271">
            <v>0</v>
          </cell>
          <cell r="L271">
            <v>0</v>
          </cell>
          <cell r="M271">
            <v>136.4</v>
          </cell>
          <cell r="N271">
            <v>0</v>
          </cell>
          <cell r="O271">
            <v>0</v>
          </cell>
          <cell r="P271">
            <v>0</v>
          </cell>
          <cell r="Q271">
            <v>0</v>
          </cell>
          <cell r="R271">
            <v>0</v>
          </cell>
          <cell r="S271">
            <v>0</v>
          </cell>
          <cell r="T271">
            <v>0</v>
          </cell>
          <cell r="U271">
            <v>0</v>
          </cell>
          <cell r="V271">
            <v>0</v>
          </cell>
          <cell r="W271">
            <v>0</v>
          </cell>
          <cell r="X271">
            <v>0</v>
          </cell>
          <cell r="Y271">
            <v>0</v>
          </cell>
          <cell r="Z271">
            <v>0</v>
          </cell>
        </row>
        <row r="272">
          <cell r="A272" t="str">
            <v>MKT05</v>
          </cell>
          <cell r="B272" t="str">
            <v>Trần Hữu</v>
          </cell>
          <cell r="C272" t="str">
            <v>Cường</v>
          </cell>
          <cell r="D272">
            <v>20</v>
          </cell>
          <cell r="E272">
            <v>20</v>
          </cell>
          <cell r="F272">
            <v>1349</v>
          </cell>
          <cell r="G272">
            <v>1675.3</v>
          </cell>
          <cell r="H272">
            <v>0</v>
          </cell>
          <cell r="I272">
            <v>29.7</v>
          </cell>
          <cell r="J272">
            <v>12</v>
          </cell>
          <cell r="K272">
            <v>29</v>
          </cell>
          <cell r="L272">
            <v>0</v>
          </cell>
          <cell r="M272">
            <v>225</v>
          </cell>
          <cell r="N272">
            <v>0</v>
          </cell>
          <cell r="O272">
            <v>0</v>
          </cell>
          <cell r="P272">
            <v>0</v>
          </cell>
          <cell r="Q272">
            <v>0</v>
          </cell>
          <cell r="R272">
            <v>0</v>
          </cell>
          <cell r="S272">
            <v>100</v>
          </cell>
          <cell r="T272">
            <v>540</v>
          </cell>
          <cell r="U272">
            <v>21</v>
          </cell>
          <cell r="V272">
            <v>0</v>
          </cell>
          <cell r="W272">
            <v>8.6</v>
          </cell>
          <cell r="X272">
            <v>680</v>
          </cell>
          <cell r="Y272">
            <v>0</v>
          </cell>
          <cell r="Z272">
            <v>30</v>
          </cell>
        </row>
        <row r="273">
          <cell r="A273" t="str">
            <v>MKT06</v>
          </cell>
          <cell r="B273" t="str">
            <v>Trần Thị Thu</v>
          </cell>
          <cell r="C273" t="str">
            <v>Hương</v>
          </cell>
          <cell r="D273">
            <v>10.5</v>
          </cell>
          <cell r="E273">
            <v>10.5</v>
          </cell>
          <cell r="F273">
            <v>382.2</v>
          </cell>
          <cell r="G273">
            <v>438.7</v>
          </cell>
          <cell r="H273">
            <v>0</v>
          </cell>
          <cell r="I273">
            <v>27.4</v>
          </cell>
          <cell r="J273">
            <v>11.1</v>
          </cell>
          <cell r="K273">
            <v>40.200000000000003</v>
          </cell>
          <cell r="L273">
            <v>0</v>
          </cell>
          <cell r="M273">
            <v>240</v>
          </cell>
          <cell r="N273">
            <v>0</v>
          </cell>
          <cell r="O273">
            <v>0</v>
          </cell>
          <cell r="P273">
            <v>0</v>
          </cell>
          <cell r="Q273">
            <v>0</v>
          </cell>
          <cell r="R273">
            <v>0</v>
          </cell>
          <cell r="S273">
            <v>120</v>
          </cell>
          <cell r="T273">
            <v>0</v>
          </cell>
          <cell r="U273">
            <v>0</v>
          </cell>
          <cell r="V273">
            <v>0</v>
          </cell>
          <cell r="W273">
            <v>0</v>
          </cell>
          <cell r="X273">
            <v>0</v>
          </cell>
          <cell r="Y273">
            <v>0</v>
          </cell>
          <cell r="Z273">
            <v>0</v>
          </cell>
        </row>
        <row r="274">
          <cell r="A274" t="str">
            <v>MKT07</v>
          </cell>
          <cell r="B274" t="str">
            <v>Chu Thị Kim</v>
          </cell>
          <cell r="C274" t="str">
            <v>Loan</v>
          </cell>
          <cell r="D274">
            <v>40</v>
          </cell>
          <cell r="E274">
            <v>40</v>
          </cell>
          <cell r="F274">
            <v>851</v>
          </cell>
          <cell r="G274">
            <v>999.5</v>
          </cell>
          <cell r="H274">
            <v>0</v>
          </cell>
          <cell r="I274">
            <v>24.2</v>
          </cell>
          <cell r="J274">
            <v>9.6999999999999993</v>
          </cell>
          <cell r="K274">
            <v>0</v>
          </cell>
          <cell r="L274">
            <v>0</v>
          </cell>
          <cell r="M274">
            <v>216</v>
          </cell>
          <cell r="N274">
            <v>0</v>
          </cell>
          <cell r="O274">
            <v>0</v>
          </cell>
          <cell r="P274">
            <v>0</v>
          </cell>
          <cell r="Q274">
            <v>0</v>
          </cell>
          <cell r="R274">
            <v>0</v>
          </cell>
          <cell r="S274">
            <v>100</v>
          </cell>
          <cell r="T274">
            <v>162</v>
          </cell>
          <cell r="U274">
            <v>5.4</v>
          </cell>
          <cell r="V274">
            <v>0</v>
          </cell>
          <cell r="W274">
            <v>2.2000000000000002</v>
          </cell>
          <cell r="X274">
            <v>480</v>
          </cell>
          <cell r="Y274">
            <v>0</v>
          </cell>
          <cell r="Z274">
            <v>0</v>
          </cell>
        </row>
        <row r="275">
          <cell r="A275" t="str">
            <v>MKT09</v>
          </cell>
          <cell r="B275" t="str">
            <v>Nguyễn Văn</v>
          </cell>
          <cell r="C275" t="str">
            <v>Phương</v>
          </cell>
          <cell r="D275">
            <v>40</v>
          </cell>
          <cell r="E275">
            <v>40</v>
          </cell>
          <cell r="F275">
            <v>495</v>
          </cell>
          <cell r="G275">
            <v>617.29999999999995</v>
          </cell>
          <cell r="H275">
            <v>0</v>
          </cell>
          <cell r="I275">
            <v>46.6</v>
          </cell>
          <cell r="J275">
            <v>18.7</v>
          </cell>
          <cell r="K275">
            <v>29</v>
          </cell>
          <cell r="L275">
            <v>0</v>
          </cell>
          <cell r="M275">
            <v>231.8</v>
          </cell>
          <cell r="N275">
            <v>0</v>
          </cell>
          <cell r="O275">
            <v>0</v>
          </cell>
          <cell r="P275">
            <v>0</v>
          </cell>
          <cell r="Q275">
            <v>0</v>
          </cell>
          <cell r="R275">
            <v>0</v>
          </cell>
          <cell r="S275">
            <v>100</v>
          </cell>
          <cell r="T275">
            <v>108</v>
          </cell>
          <cell r="U275">
            <v>2.2999999999999998</v>
          </cell>
          <cell r="V275">
            <v>0</v>
          </cell>
          <cell r="W275">
            <v>0.9</v>
          </cell>
          <cell r="X275">
            <v>80</v>
          </cell>
          <cell r="Y275">
            <v>0</v>
          </cell>
          <cell r="Z275">
            <v>0</v>
          </cell>
        </row>
        <row r="276">
          <cell r="A276" t="str">
            <v>MKT12</v>
          </cell>
          <cell r="B276" t="str">
            <v>Đặng Thị Kim</v>
          </cell>
          <cell r="C276" t="str">
            <v>Hoa</v>
          </cell>
          <cell r="D276">
            <v>20</v>
          </cell>
          <cell r="E276">
            <v>20</v>
          </cell>
          <cell r="F276">
            <v>275</v>
          </cell>
          <cell r="G276">
            <v>340</v>
          </cell>
          <cell r="H276">
            <v>0</v>
          </cell>
          <cell r="I276">
            <v>21.4</v>
          </cell>
          <cell r="J276">
            <v>8.6</v>
          </cell>
          <cell r="K276">
            <v>0</v>
          </cell>
          <cell r="L276">
            <v>0</v>
          </cell>
          <cell r="M276">
            <v>210</v>
          </cell>
          <cell r="N276">
            <v>0</v>
          </cell>
          <cell r="O276">
            <v>0</v>
          </cell>
          <cell r="P276">
            <v>0</v>
          </cell>
          <cell r="Q276">
            <v>0</v>
          </cell>
          <cell r="R276">
            <v>0</v>
          </cell>
          <cell r="S276">
            <v>100</v>
          </cell>
          <cell r="T276">
            <v>0</v>
          </cell>
          <cell r="U276">
            <v>0</v>
          </cell>
          <cell r="V276">
            <v>0</v>
          </cell>
          <cell r="W276">
            <v>0</v>
          </cell>
          <cell r="X276">
            <v>0</v>
          </cell>
          <cell r="Y276">
            <v>0</v>
          </cell>
          <cell r="Z276">
            <v>0</v>
          </cell>
        </row>
        <row r="277">
          <cell r="A277" t="str">
            <v>MKT13</v>
          </cell>
          <cell r="B277" t="str">
            <v>Bùi Hồng</v>
          </cell>
          <cell r="C277" t="str">
            <v>Quý</v>
          </cell>
          <cell r="D277">
            <v>12.8</v>
          </cell>
          <cell r="E277">
            <v>12.8</v>
          </cell>
          <cell r="F277">
            <v>240.7</v>
          </cell>
          <cell r="G277">
            <v>316.2</v>
          </cell>
          <cell r="H277">
            <v>0</v>
          </cell>
          <cell r="I277">
            <v>22</v>
          </cell>
          <cell r="J277">
            <v>8.9</v>
          </cell>
          <cell r="K277">
            <v>29.7</v>
          </cell>
          <cell r="L277">
            <v>0</v>
          </cell>
          <cell r="M277">
            <v>155.6</v>
          </cell>
          <cell r="N277">
            <v>0</v>
          </cell>
          <cell r="O277">
            <v>0</v>
          </cell>
          <cell r="P277">
            <v>0</v>
          </cell>
          <cell r="Q277">
            <v>0</v>
          </cell>
          <cell r="R277">
            <v>0</v>
          </cell>
          <cell r="S277">
            <v>100</v>
          </cell>
          <cell r="T277">
            <v>0</v>
          </cell>
          <cell r="U277">
            <v>0</v>
          </cell>
          <cell r="V277">
            <v>0</v>
          </cell>
          <cell r="W277">
            <v>0</v>
          </cell>
          <cell r="X277">
            <v>0</v>
          </cell>
          <cell r="Y277">
            <v>0</v>
          </cell>
          <cell r="Z277">
            <v>0</v>
          </cell>
        </row>
        <row r="278">
          <cell r="A278" t="str">
            <v>MKT17</v>
          </cell>
          <cell r="B278" t="str">
            <v>Nguyễn Trọng</v>
          </cell>
          <cell r="C278" t="str">
            <v>Tuynh</v>
          </cell>
          <cell r="D278">
            <v>10.5</v>
          </cell>
          <cell r="E278">
            <v>10.5</v>
          </cell>
          <cell r="F278">
            <v>307.10000000000002</v>
          </cell>
          <cell r="G278">
            <v>361.9</v>
          </cell>
          <cell r="H278">
            <v>0</v>
          </cell>
          <cell r="I278">
            <v>33.9</v>
          </cell>
          <cell r="J278">
            <v>13.6</v>
          </cell>
          <cell r="K278">
            <v>47.1</v>
          </cell>
          <cell r="L278">
            <v>0</v>
          </cell>
          <cell r="M278">
            <v>167.3</v>
          </cell>
          <cell r="N278">
            <v>0</v>
          </cell>
          <cell r="O278">
            <v>0</v>
          </cell>
          <cell r="P278">
            <v>0</v>
          </cell>
          <cell r="Q278">
            <v>0</v>
          </cell>
          <cell r="R278">
            <v>0</v>
          </cell>
          <cell r="S278">
            <v>100</v>
          </cell>
          <cell r="T278">
            <v>0</v>
          </cell>
          <cell r="U278">
            <v>0</v>
          </cell>
          <cell r="V278">
            <v>0</v>
          </cell>
          <cell r="W278">
            <v>0</v>
          </cell>
          <cell r="X278">
            <v>0</v>
          </cell>
          <cell r="Y278">
            <v>0</v>
          </cell>
          <cell r="Z278">
            <v>0</v>
          </cell>
        </row>
        <row r="279">
          <cell r="A279" t="str">
            <v>MKT19</v>
          </cell>
          <cell r="B279" t="str">
            <v>Vũ Thị Hằng</v>
          </cell>
          <cell r="C279" t="str">
            <v>Nga</v>
          </cell>
          <cell r="D279">
            <v>20</v>
          </cell>
          <cell r="E279">
            <v>20</v>
          </cell>
          <cell r="F279">
            <v>354</v>
          </cell>
          <cell r="G279">
            <v>430.6</v>
          </cell>
          <cell r="H279">
            <v>0</v>
          </cell>
          <cell r="I279">
            <v>45.9</v>
          </cell>
          <cell r="J279">
            <v>18.5</v>
          </cell>
          <cell r="K279">
            <v>0</v>
          </cell>
          <cell r="L279">
            <v>0</v>
          </cell>
          <cell r="M279">
            <v>266.2</v>
          </cell>
          <cell r="N279">
            <v>0</v>
          </cell>
          <cell r="O279">
            <v>0</v>
          </cell>
          <cell r="P279">
            <v>0</v>
          </cell>
          <cell r="Q279">
            <v>0</v>
          </cell>
          <cell r="R279">
            <v>0</v>
          </cell>
          <cell r="S279">
            <v>100</v>
          </cell>
          <cell r="T279">
            <v>0</v>
          </cell>
          <cell r="U279">
            <v>0</v>
          </cell>
          <cell r="V279">
            <v>0</v>
          </cell>
          <cell r="W279">
            <v>0</v>
          </cell>
          <cell r="X279">
            <v>0</v>
          </cell>
          <cell r="Y279">
            <v>0</v>
          </cell>
          <cell r="Z279">
            <v>0</v>
          </cell>
        </row>
        <row r="280">
          <cell r="A280" t="str">
            <v>MKT20</v>
          </cell>
          <cell r="B280" t="str">
            <v>Nguyễn Thái</v>
          </cell>
          <cell r="C280" t="str">
            <v>Tùng</v>
          </cell>
          <cell r="D280">
            <v>20</v>
          </cell>
          <cell r="E280">
            <v>20</v>
          </cell>
          <cell r="F280">
            <v>272</v>
          </cell>
          <cell r="G280">
            <v>336.4</v>
          </cell>
          <cell r="H280">
            <v>0</v>
          </cell>
          <cell r="I280">
            <v>45</v>
          </cell>
          <cell r="J280">
            <v>18.100000000000001</v>
          </cell>
          <cell r="K280">
            <v>0</v>
          </cell>
          <cell r="L280">
            <v>0</v>
          </cell>
          <cell r="M280">
            <v>193.3</v>
          </cell>
          <cell r="N280">
            <v>0</v>
          </cell>
          <cell r="O280">
            <v>0</v>
          </cell>
          <cell r="P280">
            <v>0</v>
          </cell>
          <cell r="Q280">
            <v>0</v>
          </cell>
          <cell r="R280">
            <v>0</v>
          </cell>
          <cell r="S280">
            <v>80</v>
          </cell>
          <cell r="T280">
            <v>0</v>
          </cell>
          <cell r="U280">
            <v>0</v>
          </cell>
          <cell r="V280">
            <v>0</v>
          </cell>
          <cell r="W280">
            <v>0</v>
          </cell>
          <cell r="X280">
            <v>0</v>
          </cell>
          <cell r="Y280">
            <v>0</v>
          </cell>
          <cell r="Z280">
            <v>0</v>
          </cell>
        </row>
        <row r="281">
          <cell r="A281" t="str">
            <v>MNN01</v>
          </cell>
          <cell r="B281" t="str">
            <v>Lê Văn</v>
          </cell>
          <cell r="C281" t="str">
            <v>Bích</v>
          </cell>
          <cell r="D281">
            <v>22.5</v>
          </cell>
          <cell r="E281">
            <v>22.5</v>
          </cell>
          <cell r="F281">
            <v>142.5</v>
          </cell>
          <cell r="G281">
            <v>152.9</v>
          </cell>
          <cell r="H281">
            <v>0</v>
          </cell>
          <cell r="I281">
            <v>10.199999999999999</v>
          </cell>
          <cell r="J281">
            <v>4.2</v>
          </cell>
          <cell r="K281">
            <v>22.5</v>
          </cell>
          <cell r="L281">
            <v>0</v>
          </cell>
          <cell r="M281">
            <v>104</v>
          </cell>
          <cell r="N281">
            <v>0</v>
          </cell>
          <cell r="O281">
            <v>12</v>
          </cell>
          <cell r="P281">
            <v>0</v>
          </cell>
          <cell r="Q281">
            <v>0</v>
          </cell>
          <cell r="R281">
            <v>0</v>
          </cell>
          <cell r="S281">
            <v>0</v>
          </cell>
          <cell r="T281">
            <v>0</v>
          </cell>
          <cell r="U281">
            <v>0</v>
          </cell>
          <cell r="V281">
            <v>0</v>
          </cell>
          <cell r="W281">
            <v>0</v>
          </cell>
          <cell r="X281">
            <v>0</v>
          </cell>
          <cell r="Y281">
            <v>0</v>
          </cell>
          <cell r="Z281">
            <v>0</v>
          </cell>
        </row>
        <row r="282">
          <cell r="A282" t="str">
            <v>MNN02</v>
          </cell>
          <cell r="B282" t="str">
            <v>Hoàng Đức</v>
          </cell>
          <cell r="C282" t="str">
            <v>Liên</v>
          </cell>
          <cell r="D282">
            <v>1</v>
          </cell>
          <cell r="E282">
            <v>3.1</v>
          </cell>
          <cell r="F282">
            <v>47</v>
          </cell>
          <cell r="G282">
            <v>49.4</v>
          </cell>
          <cell r="H282">
            <v>0</v>
          </cell>
          <cell r="I282">
            <v>3.1</v>
          </cell>
          <cell r="J282">
            <v>1.3</v>
          </cell>
          <cell r="K282">
            <v>0</v>
          </cell>
          <cell r="L282">
            <v>0</v>
          </cell>
          <cell r="M282">
            <v>30</v>
          </cell>
          <cell r="N282">
            <v>0</v>
          </cell>
          <cell r="O282">
            <v>15</v>
          </cell>
          <cell r="P282">
            <v>0</v>
          </cell>
          <cell r="Q282">
            <v>0</v>
          </cell>
          <cell r="R282">
            <v>0</v>
          </cell>
          <cell r="S282">
            <v>0</v>
          </cell>
          <cell r="T282">
            <v>0</v>
          </cell>
          <cell r="U282">
            <v>0</v>
          </cell>
          <cell r="V282">
            <v>0</v>
          </cell>
          <cell r="W282">
            <v>0</v>
          </cell>
          <cell r="X282">
            <v>0</v>
          </cell>
          <cell r="Y282">
            <v>0</v>
          </cell>
          <cell r="Z282">
            <v>0</v>
          </cell>
        </row>
        <row r="283">
          <cell r="A283" t="str">
            <v>MNN07</v>
          </cell>
          <cell r="B283" t="str">
            <v>Lương Thị Minh</v>
          </cell>
          <cell r="C283" t="str">
            <v>Châu</v>
          </cell>
          <cell r="D283">
            <v>22.5</v>
          </cell>
          <cell r="E283">
            <v>22.5</v>
          </cell>
          <cell r="F283">
            <v>85.5</v>
          </cell>
          <cell r="G283">
            <v>95.4</v>
          </cell>
          <cell r="H283">
            <v>0</v>
          </cell>
          <cell r="I283">
            <v>3.1</v>
          </cell>
          <cell r="J283">
            <v>1.3</v>
          </cell>
          <cell r="K283">
            <v>22.5</v>
          </cell>
          <cell r="L283">
            <v>0</v>
          </cell>
          <cell r="M283">
            <v>30</v>
          </cell>
          <cell r="N283">
            <v>0</v>
          </cell>
          <cell r="O283">
            <v>38.5</v>
          </cell>
          <cell r="P283">
            <v>0</v>
          </cell>
          <cell r="Q283">
            <v>0</v>
          </cell>
          <cell r="R283">
            <v>0</v>
          </cell>
          <cell r="S283">
            <v>0</v>
          </cell>
          <cell r="T283">
            <v>0</v>
          </cell>
          <cell r="U283">
            <v>0</v>
          </cell>
          <cell r="V283">
            <v>0</v>
          </cell>
          <cell r="W283">
            <v>0</v>
          </cell>
          <cell r="X283">
            <v>0</v>
          </cell>
          <cell r="Y283">
            <v>0</v>
          </cell>
          <cell r="Z283">
            <v>0</v>
          </cell>
        </row>
        <row r="284">
          <cell r="A284" t="str">
            <v>MNN10</v>
          </cell>
          <cell r="B284" t="str">
            <v>Lưu Văn</v>
          </cell>
          <cell r="C284" t="str">
            <v>Chiến</v>
          </cell>
          <cell r="D284">
            <v>1</v>
          </cell>
          <cell r="E284">
            <v>1</v>
          </cell>
          <cell r="F284">
            <v>144</v>
          </cell>
          <cell r="G284">
            <v>160.80000000000001</v>
          </cell>
          <cell r="H284">
            <v>0</v>
          </cell>
          <cell r="I284">
            <v>12.3</v>
          </cell>
          <cell r="J284">
            <v>5</v>
          </cell>
          <cell r="K284">
            <v>0</v>
          </cell>
          <cell r="L284">
            <v>0</v>
          </cell>
          <cell r="M284">
            <v>96.5</v>
          </cell>
          <cell r="N284">
            <v>0</v>
          </cell>
          <cell r="O284">
            <v>47</v>
          </cell>
          <cell r="P284">
            <v>0</v>
          </cell>
          <cell r="Q284">
            <v>0</v>
          </cell>
          <cell r="R284">
            <v>0</v>
          </cell>
          <cell r="S284">
            <v>0</v>
          </cell>
          <cell r="T284">
            <v>0</v>
          </cell>
          <cell r="U284">
            <v>0</v>
          </cell>
          <cell r="V284">
            <v>0</v>
          </cell>
          <cell r="W284">
            <v>0</v>
          </cell>
          <cell r="X284">
            <v>0</v>
          </cell>
          <cell r="Y284">
            <v>0</v>
          </cell>
          <cell r="Z284">
            <v>0</v>
          </cell>
        </row>
        <row r="285">
          <cell r="A285" t="str">
            <v>MTI01</v>
          </cell>
          <cell r="B285" t="str">
            <v>Trần Thị Thu</v>
          </cell>
          <cell r="C285" t="str">
            <v>Huyền</v>
          </cell>
          <cell r="D285">
            <v>28.8</v>
          </cell>
          <cell r="E285">
            <v>28.8</v>
          </cell>
          <cell r="F285">
            <v>321.8</v>
          </cell>
          <cell r="G285">
            <v>417.7</v>
          </cell>
          <cell r="H285">
            <v>0</v>
          </cell>
          <cell r="I285">
            <v>45.9</v>
          </cell>
          <cell r="J285">
            <v>9.1999999999999993</v>
          </cell>
          <cell r="K285">
            <v>28.8</v>
          </cell>
          <cell r="L285">
            <v>0</v>
          </cell>
          <cell r="M285">
            <v>258.8</v>
          </cell>
          <cell r="N285">
            <v>0</v>
          </cell>
          <cell r="O285">
            <v>15</v>
          </cell>
          <cell r="P285">
            <v>0</v>
          </cell>
          <cell r="Q285">
            <v>0</v>
          </cell>
          <cell r="R285">
            <v>0</v>
          </cell>
          <cell r="S285">
            <v>60</v>
          </cell>
          <cell r="T285">
            <v>0</v>
          </cell>
          <cell r="U285">
            <v>0</v>
          </cell>
          <cell r="V285">
            <v>0</v>
          </cell>
          <cell r="W285">
            <v>0</v>
          </cell>
          <cell r="X285">
            <v>0</v>
          </cell>
          <cell r="Y285">
            <v>0</v>
          </cell>
          <cell r="Z285">
            <v>0</v>
          </cell>
        </row>
        <row r="286">
          <cell r="A286" t="str">
            <v>MTI02</v>
          </cell>
          <cell r="B286" t="str">
            <v>Nguyễn Thị</v>
          </cell>
          <cell r="C286" t="str">
            <v>Thủy</v>
          </cell>
          <cell r="D286">
            <v>1</v>
          </cell>
          <cell r="E286">
            <v>1.5</v>
          </cell>
          <cell r="F286">
            <v>188</v>
          </cell>
          <cell r="G286">
            <v>227.6</v>
          </cell>
          <cell r="H286">
            <v>0</v>
          </cell>
          <cell r="I286">
            <v>19.2</v>
          </cell>
          <cell r="J286">
            <v>7.8</v>
          </cell>
          <cell r="K286">
            <v>0</v>
          </cell>
          <cell r="L286">
            <v>0</v>
          </cell>
          <cell r="M286">
            <v>140.6</v>
          </cell>
          <cell r="N286">
            <v>0</v>
          </cell>
          <cell r="O286">
            <v>60</v>
          </cell>
          <cell r="P286">
            <v>0</v>
          </cell>
          <cell r="Q286">
            <v>0</v>
          </cell>
          <cell r="R286">
            <v>0</v>
          </cell>
          <cell r="S286">
            <v>0</v>
          </cell>
          <cell r="T286">
            <v>0</v>
          </cell>
          <cell r="U286">
            <v>0</v>
          </cell>
          <cell r="V286">
            <v>0</v>
          </cell>
          <cell r="W286">
            <v>0</v>
          </cell>
          <cell r="X286">
            <v>0</v>
          </cell>
          <cell r="Y286">
            <v>0</v>
          </cell>
          <cell r="Z286">
            <v>0</v>
          </cell>
        </row>
        <row r="287">
          <cell r="A287" t="str">
            <v>MTI03</v>
          </cell>
          <cell r="B287" t="str">
            <v>Ngô Tuấn</v>
          </cell>
          <cell r="C287" t="str">
            <v>Anh</v>
          </cell>
          <cell r="D287">
            <v>1</v>
          </cell>
          <cell r="E287">
            <v>5.0999999999999996</v>
          </cell>
          <cell r="F287">
            <v>141</v>
          </cell>
          <cell r="G287">
            <v>149.30000000000001</v>
          </cell>
          <cell r="H287">
            <v>0</v>
          </cell>
          <cell r="I287">
            <v>10.1</v>
          </cell>
          <cell r="J287">
            <v>4.2</v>
          </cell>
          <cell r="K287">
            <v>0</v>
          </cell>
          <cell r="L287">
            <v>0</v>
          </cell>
          <cell r="M287">
            <v>90</v>
          </cell>
          <cell r="N287">
            <v>0</v>
          </cell>
          <cell r="O287">
            <v>45</v>
          </cell>
          <cell r="P287">
            <v>0</v>
          </cell>
          <cell r="Q287">
            <v>0</v>
          </cell>
          <cell r="R287">
            <v>0</v>
          </cell>
          <cell r="S287">
            <v>0</v>
          </cell>
          <cell r="T287">
            <v>0</v>
          </cell>
          <cell r="U287">
            <v>0</v>
          </cell>
          <cell r="V287">
            <v>0</v>
          </cell>
          <cell r="W287">
            <v>0</v>
          </cell>
          <cell r="X287">
            <v>0</v>
          </cell>
          <cell r="Y287">
            <v>0</v>
          </cell>
          <cell r="Z287">
            <v>0</v>
          </cell>
        </row>
        <row r="288">
          <cell r="A288" t="str">
            <v>MTI05</v>
          </cell>
          <cell r="B288" t="str">
            <v>Phạm Quang</v>
          </cell>
          <cell r="C288" t="str">
            <v>Dũng</v>
          </cell>
          <cell r="D288">
            <v>10.8</v>
          </cell>
          <cell r="E288">
            <v>10.8</v>
          </cell>
          <cell r="F288">
            <v>278.8</v>
          </cell>
          <cell r="G288">
            <v>350.9</v>
          </cell>
          <cell r="H288">
            <v>0</v>
          </cell>
          <cell r="I288">
            <v>39.1</v>
          </cell>
          <cell r="J288">
            <v>3.5</v>
          </cell>
          <cell r="K288">
            <v>10.8</v>
          </cell>
          <cell r="L288">
            <v>0</v>
          </cell>
          <cell r="M288">
            <v>222.5</v>
          </cell>
          <cell r="N288">
            <v>0</v>
          </cell>
          <cell r="O288">
            <v>15</v>
          </cell>
          <cell r="P288">
            <v>0</v>
          </cell>
          <cell r="Q288">
            <v>0</v>
          </cell>
          <cell r="R288">
            <v>0</v>
          </cell>
          <cell r="S288">
            <v>60</v>
          </cell>
          <cell r="T288">
            <v>0</v>
          </cell>
          <cell r="U288">
            <v>0</v>
          </cell>
          <cell r="V288">
            <v>0</v>
          </cell>
          <cell r="W288">
            <v>0</v>
          </cell>
          <cell r="X288">
            <v>0</v>
          </cell>
          <cell r="Y288">
            <v>0</v>
          </cell>
          <cell r="Z288">
            <v>0</v>
          </cell>
        </row>
        <row r="289">
          <cell r="A289" t="str">
            <v>MTI10</v>
          </cell>
          <cell r="B289" t="str">
            <v>Nguyễn Thị</v>
          </cell>
          <cell r="C289" t="str">
            <v>Huyền</v>
          </cell>
          <cell r="D289">
            <v>28.8</v>
          </cell>
          <cell r="E289">
            <v>28.8</v>
          </cell>
          <cell r="F289">
            <v>388.8</v>
          </cell>
          <cell r="G289">
            <v>505.7</v>
          </cell>
          <cell r="H289">
            <v>0</v>
          </cell>
          <cell r="I289">
            <v>75.2</v>
          </cell>
          <cell r="J289">
            <v>0</v>
          </cell>
          <cell r="K289">
            <v>28.8</v>
          </cell>
          <cell r="L289">
            <v>0</v>
          </cell>
          <cell r="M289">
            <v>309.7</v>
          </cell>
          <cell r="N289">
            <v>0</v>
          </cell>
          <cell r="O289">
            <v>72</v>
          </cell>
          <cell r="P289">
            <v>0</v>
          </cell>
          <cell r="Q289">
            <v>0</v>
          </cell>
          <cell r="R289">
            <v>0</v>
          </cell>
          <cell r="S289">
            <v>20</v>
          </cell>
          <cell r="T289">
            <v>0</v>
          </cell>
          <cell r="U289">
            <v>0</v>
          </cell>
          <cell r="V289">
            <v>0</v>
          </cell>
          <cell r="W289">
            <v>0</v>
          </cell>
          <cell r="X289">
            <v>0</v>
          </cell>
          <cell r="Y289">
            <v>0</v>
          </cell>
          <cell r="Z289">
            <v>0</v>
          </cell>
        </row>
        <row r="290">
          <cell r="A290" t="str">
            <v>MTI11</v>
          </cell>
          <cell r="B290" t="str">
            <v>Nguyễn Văn</v>
          </cell>
          <cell r="C290" t="str">
            <v>Hoàng</v>
          </cell>
          <cell r="D290">
            <v>1</v>
          </cell>
          <cell r="E290">
            <v>9.8000000000000007</v>
          </cell>
          <cell r="F290">
            <v>232</v>
          </cell>
          <cell r="G290">
            <v>322.10000000000002</v>
          </cell>
          <cell r="H290">
            <v>0</v>
          </cell>
          <cell r="I290">
            <v>55.9</v>
          </cell>
          <cell r="J290">
            <v>1.8</v>
          </cell>
          <cell r="K290">
            <v>0</v>
          </cell>
          <cell r="L290">
            <v>0</v>
          </cell>
          <cell r="M290">
            <v>234.4</v>
          </cell>
          <cell r="N290">
            <v>0</v>
          </cell>
          <cell r="O290">
            <v>30</v>
          </cell>
          <cell r="P290">
            <v>0</v>
          </cell>
          <cell r="Q290">
            <v>0</v>
          </cell>
          <cell r="R290">
            <v>0</v>
          </cell>
          <cell r="S290">
            <v>0</v>
          </cell>
          <cell r="T290">
            <v>0</v>
          </cell>
          <cell r="U290">
            <v>0</v>
          </cell>
          <cell r="V290">
            <v>0</v>
          </cell>
          <cell r="W290">
            <v>0</v>
          </cell>
          <cell r="X290">
            <v>0</v>
          </cell>
          <cell r="Y290">
            <v>0</v>
          </cell>
          <cell r="Z290">
            <v>0</v>
          </cell>
        </row>
        <row r="291">
          <cell r="A291" t="str">
            <v>MTI12</v>
          </cell>
          <cell r="B291" t="str">
            <v>Vũ Thị</v>
          </cell>
          <cell r="C291" t="str">
            <v>Lưu</v>
          </cell>
          <cell r="D291">
            <v>28.8</v>
          </cell>
          <cell r="E291">
            <v>28.8</v>
          </cell>
          <cell r="F291">
            <v>404.8</v>
          </cell>
          <cell r="G291">
            <v>525</v>
          </cell>
          <cell r="H291">
            <v>0</v>
          </cell>
          <cell r="I291">
            <v>64</v>
          </cell>
          <cell r="J291">
            <v>19.3</v>
          </cell>
          <cell r="K291">
            <v>28.8</v>
          </cell>
          <cell r="L291">
            <v>0</v>
          </cell>
          <cell r="M291">
            <v>248.4</v>
          </cell>
          <cell r="N291">
            <v>0</v>
          </cell>
          <cell r="O291">
            <v>104.5</v>
          </cell>
          <cell r="P291">
            <v>0</v>
          </cell>
          <cell r="Q291">
            <v>0</v>
          </cell>
          <cell r="R291">
            <v>0</v>
          </cell>
          <cell r="S291">
            <v>60</v>
          </cell>
          <cell r="T291">
            <v>0</v>
          </cell>
          <cell r="U291">
            <v>0</v>
          </cell>
          <cell r="V291">
            <v>0</v>
          </cell>
          <cell r="W291">
            <v>0</v>
          </cell>
          <cell r="X291">
            <v>0</v>
          </cell>
          <cell r="Y291">
            <v>0</v>
          </cell>
          <cell r="Z291">
            <v>0</v>
          </cell>
        </row>
        <row r="292">
          <cell r="A292" t="str">
            <v>MTI13</v>
          </cell>
          <cell r="B292" t="str">
            <v>Nguyễn Thị</v>
          </cell>
          <cell r="C292" t="str">
            <v>Thảo</v>
          </cell>
          <cell r="D292">
            <v>39.6</v>
          </cell>
          <cell r="E292">
            <v>39.6</v>
          </cell>
          <cell r="F292">
            <v>343.6</v>
          </cell>
          <cell r="G292">
            <v>500.7</v>
          </cell>
          <cell r="H292">
            <v>0</v>
          </cell>
          <cell r="I292">
            <v>87.2</v>
          </cell>
          <cell r="J292">
            <v>21.7</v>
          </cell>
          <cell r="K292">
            <v>39.6</v>
          </cell>
          <cell r="L292">
            <v>0</v>
          </cell>
          <cell r="M292">
            <v>246.2</v>
          </cell>
          <cell r="N292">
            <v>0</v>
          </cell>
          <cell r="O292">
            <v>86</v>
          </cell>
          <cell r="P292">
            <v>0</v>
          </cell>
          <cell r="Q292">
            <v>0</v>
          </cell>
          <cell r="R292">
            <v>0</v>
          </cell>
          <cell r="S292">
            <v>20</v>
          </cell>
          <cell r="T292">
            <v>0</v>
          </cell>
          <cell r="U292">
            <v>0</v>
          </cell>
          <cell r="V292">
            <v>0</v>
          </cell>
          <cell r="W292">
            <v>0</v>
          </cell>
          <cell r="X292">
            <v>0</v>
          </cell>
          <cell r="Y292">
            <v>0</v>
          </cell>
          <cell r="Z292">
            <v>0</v>
          </cell>
        </row>
        <row r="293">
          <cell r="A293" t="str">
            <v>MTI14</v>
          </cell>
          <cell r="B293" t="str">
            <v>Nguyễn Đức</v>
          </cell>
          <cell r="C293" t="str">
            <v>Thịnh</v>
          </cell>
          <cell r="D293">
            <v>1</v>
          </cell>
          <cell r="E293">
            <v>2.8</v>
          </cell>
          <cell r="F293">
            <v>207</v>
          </cell>
          <cell r="G293">
            <v>255.8</v>
          </cell>
          <cell r="H293">
            <v>0</v>
          </cell>
          <cell r="I293">
            <v>2.8</v>
          </cell>
          <cell r="J293">
            <v>34.5</v>
          </cell>
          <cell r="K293">
            <v>0</v>
          </cell>
          <cell r="L293">
            <v>0</v>
          </cell>
          <cell r="M293">
            <v>22</v>
          </cell>
          <cell r="N293">
            <v>0</v>
          </cell>
          <cell r="O293">
            <v>196.5</v>
          </cell>
          <cell r="P293">
            <v>0</v>
          </cell>
          <cell r="Q293">
            <v>0</v>
          </cell>
          <cell r="R293">
            <v>0</v>
          </cell>
          <cell r="S293">
            <v>0</v>
          </cell>
          <cell r="T293">
            <v>0</v>
          </cell>
          <cell r="U293">
            <v>0</v>
          </cell>
          <cell r="V293">
            <v>0</v>
          </cell>
          <cell r="W293">
            <v>0</v>
          </cell>
          <cell r="X293">
            <v>0</v>
          </cell>
          <cell r="Y293">
            <v>0</v>
          </cell>
          <cell r="Z293">
            <v>0</v>
          </cell>
        </row>
        <row r="294">
          <cell r="A294" t="str">
            <v>MTI15</v>
          </cell>
          <cell r="B294" t="str">
            <v>Phạm Thị Lan</v>
          </cell>
          <cell r="C294" t="str">
            <v>Anh</v>
          </cell>
          <cell r="D294">
            <v>1</v>
          </cell>
          <cell r="E294">
            <v>3.4</v>
          </cell>
          <cell r="F294">
            <v>235</v>
          </cell>
          <cell r="G294">
            <v>326.60000000000002</v>
          </cell>
          <cell r="H294">
            <v>0</v>
          </cell>
          <cell r="I294">
            <v>9</v>
          </cell>
          <cell r="J294">
            <v>62.6</v>
          </cell>
          <cell r="K294">
            <v>0</v>
          </cell>
          <cell r="L294">
            <v>0</v>
          </cell>
          <cell r="M294">
            <v>44</v>
          </cell>
          <cell r="N294">
            <v>0</v>
          </cell>
          <cell r="O294">
            <v>211</v>
          </cell>
          <cell r="P294">
            <v>0</v>
          </cell>
          <cell r="Q294">
            <v>0</v>
          </cell>
          <cell r="R294">
            <v>0</v>
          </cell>
          <cell r="S294">
            <v>0</v>
          </cell>
          <cell r="T294">
            <v>0</v>
          </cell>
          <cell r="U294">
            <v>0</v>
          </cell>
          <cell r="V294">
            <v>0</v>
          </cell>
          <cell r="W294">
            <v>0</v>
          </cell>
          <cell r="X294">
            <v>0</v>
          </cell>
          <cell r="Y294">
            <v>0</v>
          </cell>
          <cell r="Z294">
            <v>0</v>
          </cell>
        </row>
        <row r="295">
          <cell r="A295" t="str">
            <v>NCH02</v>
          </cell>
          <cell r="B295" t="str">
            <v>Đàm Văn</v>
          </cell>
          <cell r="C295" t="str">
            <v>Phải</v>
          </cell>
          <cell r="D295">
            <v>20</v>
          </cell>
          <cell r="E295">
            <v>20</v>
          </cell>
          <cell r="F295">
            <v>474</v>
          </cell>
          <cell r="G295">
            <v>628.6</v>
          </cell>
          <cell r="H295">
            <v>0</v>
          </cell>
          <cell r="I295">
            <v>52.4</v>
          </cell>
          <cell r="J295">
            <v>21</v>
          </cell>
          <cell r="K295">
            <v>0</v>
          </cell>
          <cell r="L295">
            <v>0</v>
          </cell>
          <cell r="M295">
            <v>186.7</v>
          </cell>
          <cell r="N295">
            <v>0</v>
          </cell>
          <cell r="O295">
            <v>113.5</v>
          </cell>
          <cell r="P295">
            <v>0</v>
          </cell>
          <cell r="Q295">
            <v>0</v>
          </cell>
          <cell r="R295">
            <v>15</v>
          </cell>
          <cell r="S295">
            <v>240</v>
          </cell>
          <cell r="T295">
            <v>0</v>
          </cell>
          <cell r="U295">
            <v>0</v>
          </cell>
          <cell r="V295">
            <v>0</v>
          </cell>
          <cell r="W295">
            <v>0</v>
          </cell>
          <cell r="X295">
            <v>0</v>
          </cell>
          <cell r="Y295">
            <v>0</v>
          </cell>
          <cell r="Z295">
            <v>0</v>
          </cell>
        </row>
        <row r="296">
          <cell r="A296" t="str">
            <v>NCH03</v>
          </cell>
          <cell r="B296" t="str">
            <v>Đào Công</v>
          </cell>
          <cell r="C296" t="str">
            <v>Duẩn</v>
          </cell>
          <cell r="D296">
            <v>20</v>
          </cell>
          <cell r="E296">
            <v>20</v>
          </cell>
          <cell r="F296">
            <v>20</v>
          </cell>
          <cell r="G296">
            <v>20</v>
          </cell>
          <cell r="H296">
            <v>0</v>
          </cell>
          <cell r="I296">
            <v>0</v>
          </cell>
          <cell r="J296">
            <v>0</v>
          </cell>
          <cell r="K296">
            <v>0</v>
          </cell>
          <cell r="L296">
            <v>0</v>
          </cell>
          <cell r="M296">
            <v>0</v>
          </cell>
          <cell r="N296">
            <v>0</v>
          </cell>
          <cell r="O296">
            <v>0</v>
          </cell>
          <cell r="P296">
            <v>0</v>
          </cell>
          <cell r="Q296">
            <v>0</v>
          </cell>
          <cell r="R296">
            <v>0</v>
          </cell>
          <cell r="S296">
            <v>20</v>
          </cell>
          <cell r="T296">
            <v>0</v>
          </cell>
          <cell r="U296">
            <v>0</v>
          </cell>
          <cell r="V296">
            <v>0</v>
          </cell>
          <cell r="W296">
            <v>0</v>
          </cell>
          <cell r="X296">
            <v>0</v>
          </cell>
          <cell r="Y296">
            <v>0</v>
          </cell>
          <cell r="Z296">
            <v>0</v>
          </cell>
        </row>
        <row r="297">
          <cell r="A297" t="str">
            <v>NCH04</v>
          </cell>
          <cell r="B297" t="str">
            <v>Chu Đức</v>
          </cell>
          <cell r="C297" t="str">
            <v>Thắng</v>
          </cell>
          <cell r="D297">
            <v>20</v>
          </cell>
          <cell r="E297">
            <v>20</v>
          </cell>
          <cell r="F297">
            <v>847</v>
          </cell>
          <cell r="G297">
            <v>1122.5</v>
          </cell>
          <cell r="H297">
            <v>0</v>
          </cell>
          <cell r="I297">
            <v>105.6</v>
          </cell>
          <cell r="J297">
            <v>42.6</v>
          </cell>
          <cell r="K297">
            <v>0</v>
          </cell>
          <cell r="L297">
            <v>0</v>
          </cell>
          <cell r="M297">
            <v>347.4</v>
          </cell>
          <cell r="N297">
            <v>0</v>
          </cell>
          <cell r="O297">
            <v>52.5</v>
          </cell>
          <cell r="P297">
            <v>0</v>
          </cell>
          <cell r="Q297">
            <v>12</v>
          </cell>
          <cell r="R297">
            <v>15</v>
          </cell>
          <cell r="S297">
            <v>340</v>
          </cell>
          <cell r="T297">
            <v>54</v>
          </cell>
          <cell r="U297">
            <v>2.4</v>
          </cell>
          <cell r="V297">
            <v>0</v>
          </cell>
          <cell r="W297">
            <v>1</v>
          </cell>
          <cell r="X297">
            <v>120</v>
          </cell>
          <cell r="Y297">
            <v>0</v>
          </cell>
          <cell r="Z297">
            <v>30</v>
          </cell>
        </row>
        <row r="298">
          <cell r="A298" t="str">
            <v>NCH05</v>
          </cell>
          <cell r="B298" t="str">
            <v>Phạm Ngọc</v>
          </cell>
          <cell r="C298" t="str">
            <v>Thạch</v>
          </cell>
          <cell r="D298">
            <v>40</v>
          </cell>
          <cell r="E298">
            <v>40</v>
          </cell>
          <cell r="F298">
            <v>732</v>
          </cell>
          <cell r="G298">
            <v>828</v>
          </cell>
          <cell r="H298">
            <v>0</v>
          </cell>
          <cell r="I298">
            <v>35.5</v>
          </cell>
          <cell r="J298">
            <v>14.3</v>
          </cell>
          <cell r="K298">
            <v>0</v>
          </cell>
          <cell r="L298">
            <v>0</v>
          </cell>
          <cell r="M298">
            <v>128.6</v>
          </cell>
          <cell r="N298">
            <v>0</v>
          </cell>
          <cell r="O298">
            <v>37.5</v>
          </cell>
          <cell r="P298">
            <v>0</v>
          </cell>
          <cell r="Q298">
            <v>0</v>
          </cell>
          <cell r="R298">
            <v>15</v>
          </cell>
          <cell r="S298">
            <v>420</v>
          </cell>
          <cell r="T298">
            <v>54</v>
          </cell>
          <cell r="U298">
            <v>2.2000000000000002</v>
          </cell>
          <cell r="V298">
            <v>0</v>
          </cell>
          <cell r="W298">
            <v>0.9</v>
          </cell>
          <cell r="X298">
            <v>120</v>
          </cell>
          <cell r="Y298">
            <v>0</v>
          </cell>
          <cell r="Z298">
            <v>0</v>
          </cell>
        </row>
        <row r="299">
          <cell r="A299" t="str">
            <v>NCH06</v>
          </cell>
          <cell r="B299" t="str">
            <v>Phạm Thị Lan</v>
          </cell>
          <cell r="C299" t="str">
            <v>Hương</v>
          </cell>
          <cell r="D299">
            <v>20</v>
          </cell>
          <cell r="E299">
            <v>20</v>
          </cell>
          <cell r="F299">
            <v>800</v>
          </cell>
          <cell r="G299">
            <v>996.6</v>
          </cell>
          <cell r="H299">
            <v>0</v>
          </cell>
          <cell r="I299">
            <v>62.8</v>
          </cell>
          <cell r="J299">
            <v>25.2</v>
          </cell>
          <cell r="K299">
            <v>0</v>
          </cell>
          <cell r="L299">
            <v>0</v>
          </cell>
          <cell r="M299">
            <v>184.1</v>
          </cell>
          <cell r="N299">
            <v>0</v>
          </cell>
          <cell r="O299">
            <v>509.5</v>
          </cell>
          <cell r="P299">
            <v>0</v>
          </cell>
          <cell r="Q299">
            <v>0</v>
          </cell>
          <cell r="R299">
            <v>15</v>
          </cell>
          <cell r="S299">
            <v>200</v>
          </cell>
          <cell r="T299">
            <v>0</v>
          </cell>
          <cell r="U299">
            <v>0</v>
          </cell>
          <cell r="V299">
            <v>0</v>
          </cell>
          <cell r="W299">
            <v>0</v>
          </cell>
          <cell r="X299">
            <v>0</v>
          </cell>
          <cell r="Y299">
            <v>0</v>
          </cell>
          <cell r="Z299">
            <v>0</v>
          </cell>
        </row>
        <row r="300">
          <cell r="A300" t="str">
            <v>NCH07</v>
          </cell>
          <cell r="B300" t="str">
            <v>Nguyễn Thị Thanh</v>
          </cell>
          <cell r="C300" t="str">
            <v>Hà</v>
          </cell>
          <cell r="D300">
            <v>1</v>
          </cell>
          <cell r="E300">
            <v>1.4</v>
          </cell>
          <cell r="F300">
            <v>637</v>
          </cell>
          <cell r="G300">
            <v>871.9</v>
          </cell>
          <cell r="H300">
            <v>0</v>
          </cell>
          <cell r="I300">
            <v>104.2</v>
          </cell>
          <cell r="J300">
            <v>42.2</v>
          </cell>
          <cell r="K300">
            <v>0</v>
          </cell>
          <cell r="L300">
            <v>0</v>
          </cell>
          <cell r="M300">
            <v>332.5</v>
          </cell>
          <cell r="N300">
            <v>0</v>
          </cell>
          <cell r="O300">
            <v>68</v>
          </cell>
          <cell r="P300">
            <v>0</v>
          </cell>
          <cell r="Q300">
            <v>12</v>
          </cell>
          <cell r="R300">
            <v>15</v>
          </cell>
          <cell r="S300">
            <v>240</v>
          </cell>
          <cell r="T300">
            <v>54</v>
          </cell>
          <cell r="U300">
            <v>2.8</v>
          </cell>
          <cell r="V300">
            <v>0</v>
          </cell>
          <cell r="W300">
            <v>1.2</v>
          </cell>
          <cell r="X300">
            <v>0</v>
          </cell>
          <cell r="Y300">
            <v>0</v>
          </cell>
          <cell r="Z300">
            <v>0</v>
          </cell>
        </row>
        <row r="301">
          <cell r="A301" t="str">
            <v>NCH13</v>
          </cell>
          <cell r="B301" t="str">
            <v>Nguyễn Thị</v>
          </cell>
          <cell r="C301" t="str">
            <v>Bẩy</v>
          </cell>
          <cell r="D301">
            <v>12</v>
          </cell>
          <cell r="E301">
            <v>12</v>
          </cell>
          <cell r="F301">
            <v>608</v>
          </cell>
          <cell r="G301">
            <v>741.3</v>
          </cell>
          <cell r="H301">
            <v>0</v>
          </cell>
          <cell r="I301">
            <v>45.6</v>
          </cell>
          <cell r="J301">
            <v>18.2</v>
          </cell>
          <cell r="K301">
            <v>0</v>
          </cell>
          <cell r="L301">
            <v>0</v>
          </cell>
          <cell r="M301">
            <v>159</v>
          </cell>
          <cell r="N301">
            <v>0</v>
          </cell>
          <cell r="O301">
            <v>411.5</v>
          </cell>
          <cell r="P301">
            <v>0</v>
          </cell>
          <cell r="Q301">
            <v>12</v>
          </cell>
          <cell r="R301">
            <v>15</v>
          </cell>
          <cell r="S301">
            <v>80</v>
          </cell>
          <cell r="T301">
            <v>0</v>
          </cell>
          <cell r="U301">
            <v>0</v>
          </cell>
          <cell r="V301">
            <v>0</v>
          </cell>
          <cell r="W301">
            <v>0</v>
          </cell>
          <cell r="X301">
            <v>0</v>
          </cell>
          <cell r="Y301">
            <v>0</v>
          </cell>
          <cell r="Z301">
            <v>0</v>
          </cell>
        </row>
        <row r="302">
          <cell r="A302" t="str">
            <v>NGS02</v>
          </cell>
          <cell r="B302" t="str">
            <v>Nguyễn Đức</v>
          </cell>
          <cell r="C302" t="str">
            <v>Trường</v>
          </cell>
          <cell r="D302">
            <v>51.6</v>
          </cell>
          <cell r="E302">
            <v>51.6</v>
          </cell>
          <cell r="F302">
            <v>710.6</v>
          </cell>
          <cell r="G302">
            <v>836.3</v>
          </cell>
          <cell r="H302">
            <v>0</v>
          </cell>
          <cell r="I302">
            <v>40.299999999999997</v>
          </cell>
          <cell r="J302">
            <v>16.2</v>
          </cell>
          <cell r="K302">
            <v>51.6</v>
          </cell>
          <cell r="L302">
            <v>0</v>
          </cell>
          <cell r="M302">
            <v>101.2</v>
          </cell>
          <cell r="N302">
            <v>0</v>
          </cell>
          <cell r="O302">
            <v>287</v>
          </cell>
          <cell r="P302">
            <v>0</v>
          </cell>
          <cell r="Q302">
            <v>0</v>
          </cell>
          <cell r="R302">
            <v>0</v>
          </cell>
          <cell r="S302">
            <v>340</v>
          </cell>
          <cell r="T302">
            <v>0</v>
          </cell>
          <cell r="U302">
            <v>0</v>
          </cell>
          <cell r="V302">
            <v>0</v>
          </cell>
          <cell r="W302">
            <v>0</v>
          </cell>
          <cell r="X302">
            <v>0</v>
          </cell>
          <cell r="Y302">
            <v>0</v>
          </cell>
          <cell r="Z302">
            <v>0</v>
          </cell>
        </row>
        <row r="303">
          <cell r="A303" t="str">
            <v>NGS03</v>
          </cell>
          <cell r="B303" t="str">
            <v>Vũ Như</v>
          </cell>
          <cell r="C303" t="str">
            <v>Quán</v>
          </cell>
          <cell r="D303">
            <v>40</v>
          </cell>
          <cell r="E303">
            <v>40</v>
          </cell>
          <cell r="F303">
            <v>324</v>
          </cell>
          <cell r="G303">
            <v>374.3</v>
          </cell>
          <cell r="H303">
            <v>0</v>
          </cell>
          <cell r="I303">
            <v>28.8</v>
          </cell>
          <cell r="J303">
            <v>11.6</v>
          </cell>
          <cell r="K303">
            <v>0</v>
          </cell>
          <cell r="L303">
            <v>0</v>
          </cell>
          <cell r="M303">
            <v>74.5</v>
          </cell>
          <cell r="N303">
            <v>0</v>
          </cell>
          <cell r="O303">
            <v>40</v>
          </cell>
          <cell r="P303">
            <v>0</v>
          </cell>
          <cell r="Q303">
            <v>0</v>
          </cell>
          <cell r="R303">
            <v>0</v>
          </cell>
          <cell r="S303">
            <v>120</v>
          </cell>
          <cell r="T303">
            <v>18</v>
          </cell>
          <cell r="U303">
            <v>1</v>
          </cell>
          <cell r="V303">
            <v>0</v>
          </cell>
          <cell r="W303">
            <v>0.4</v>
          </cell>
          <cell r="X303">
            <v>80</v>
          </cell>
          <cell r="Y303">
            <v>0</v>
          </cell>
          <cell r="Z303">
            <v>0</v>
          </cell>
        </row>
        <row r="304">
          <cell r="A304" t="str">
            <v>NGS04</v>
          </cell>
          <cell r="B304" t="str">
            <v>Nguyễn Hoài</v>
          </cell>
          <cell r="C304" t="str">
            <v>Nam</v>
          </cell>
          <cell r="D304">
            <v>40</v>
          </cell>
          <cell r="E304">
            <v>40</v>
          </cell>
          <cell r="F304">
            <v>625</v>
          </cell>
          <cell r="G304">
            <v>680.4</v>
          </cell>
          <cell r="H304">
            <v>0</v>
          </cell>
          <cell r="I304">
            <v>23.8</v>
          </cell>
          <cell r="J304">
            <v>9.6</v>
          </cell>
          <cell r="K304">
            <v>0</v>
          </cell>
          <cell r="L304">
            <v>0</v>
          </cell>
          <cell r="M304">
            <v>124.7</v>
          </cell>
          <cell r="N304">
            <v>0</v>
          </cell>
          <cell r="O304">
            <v>116</v>
          </cell>
          <cell r="P304">
            <v>0</v>
          </cell>
          <cell r="Q304">
            <v>0</v>
          </cell>
          <cell r="R304">
            <v>15</v>
          </cell>
          <cell r="S304">
            <v>300</v>
          </cell>
          <cell r="T304">
            <v>9</v>
          </cell>
          <cell r="U304">
            <v>1.6</v>
          </cell>
          <cell r="V304">
            <v>0</v>
          </cell>
          <cell r="W304">
            <v>0.7</v>
          </cell>
          <cell r="X304">
            <v>80</v>
          </cell>
          <cell r="Y304">
            <v>0</v>
          </cell>
          <cell r="Z304">
            <v>0</v>
          </cell>
        </row>
        <row r="305">
          <cell r="A305" t="str">
            <v>NGS07</v>
          </cell>
          <cell r="B305" t="str">
            <v>Nguyễn Thị Mai</v>
          </cell>
          <cell r="C305" t="str">
            <v>Thơ</v>
          </cell>
          <cell r="D305">
            <v>12</v>
          </cell>
          <cell r="E305">
            <v>12</v>
          </cell>
          <cell r="F305">
            <v>229</v>
          </cell>
          <cell r="G305">
            <v>292.5</v>
          </cell>
          <cell r="H305">
            <v>0</v>
          </cell>
          <cell r="I305">
            <v>25.1</v>
          </cell>
          <cell r="J305">
            <v>10.1</v>
          </cell>
          <cell r="K305">
            <v>0</v>
          </cell>
          <cell r="L305">
            <v>0</v>
          </cell>
          <cell r="M305">
            <v>106.3</v>
          </cell>
          <cell r="N305">
            <v>0</v>
          </cell>
          <cell r="O305">
            <v>64</v>
          </cell>
          <cell r="P305">
            <v>0</v>
          </cell>
          <cell r="Q305">
            <v>12</v>
          </cell>
          <cell r="R305">
            <v>15</v>
          </cell>
          <cell r="S305">
            <v>60</v>
          </cell>
          <cell r="T305">
            <v>0</v>
          </cell>
          <cell r="U305">
            <v>0</v>
          </cell>
          <cell r="V305">
            <v>0</v>
          </cell>
          <cell r="W305">
            <v>0</v>
          </cell>
          <cell r="X305">
            <v>0</v>
          </cell>
          <cell r="Y305">
            <v>0</v>
          </cell>
          <cell r="Z305">
            <v>0</v>
          </cell>
        </row>
        <row r="306">
          <cell r="A306" t="str">
            <v>NGS09</v>
          </cell>
          <cell r="B306" t="str">
            <v>Nguyễn Văn</v>
          </cell>
          <cell r="C306" t="str">
            <v>Thanh</v>
          </cell>
          <cell r="D306">
            <v>40</v>
          </cell>
          <cell r="E306">
            <v>40</v>
          </cell>
          <cell r="F306">
            <v>925</v>
          </cell>
          <cell r="G306">
            <v>980.8</v>
          </cell>
          <cell r="H306">
            <v>0</v>
          </cell>
          <cell r="I306">
            <v>21.2</v>
          </cell>
          <cell r="J306">
            <v>8.5</v>
          </cell>
          <cell r="K306">
            <v>0</v>
          </cell>
          <cell r="L306">
            <v>0</v>
          </cell>
          <cell r="M306">
            <v>59.4</v>
          </cell>
          <cell r="N306">
            <v>0</v>
          </cell>
          <cell r="O306">
            <v>0</v>
          </cell>
          <cell r="P306">
            <v>0</v>
          </cell>
          <cell r="Q306">
            <v>0</v>
          </cell>
          <cell r="R306">
            <v>15</v>
          </cell>
          <cell r="S306">
            <v>660</v>
          </cell>
          <cell r="T306">
            <v>36</v>
          </cell>
          <cell r="U306">
            <v>0.5</v>
          </cell>
          <cell r="V306">
            <v>0</v>
          </cell>
          <cell r="W306">
            <v>0.2</v>
          </cell>
          <cell r="X306">
            <v>120</v>
          </cell>
          <cell r="Y306">
            <v>0</v>
          </cell>
          <cell r="Z306">
            <v>60</v>
          </cell>
        </row>
        <row r="307">
          <cell r="A307" t="str">
            <v>NGS10</v>
          </cell>
          <cell r="B307" t="str">
            <v>Sử Thanh</v>
          </cell>
          <cell r="C307" t="str">
            <v>Long</v>
          </cell>
          <cell r="D307">
            <v>10</v>
          </cell>
          <cell r="E307">
            <v>10</v>
          </cell>
          <cell r="F307">
            <v>391</v>
          </cell>
          <cell r="G307">
            <v>429.8</v>
          </cell>
          <cell r="H307">
            <v>0</v>
          </cell>
          <cell r="I307">
            <v>19.100000000000001</v>
          </cell>
          <cell r="J307">
            <v>7.7</v>
          </cell>
          <cell r="K307">
            <v>0</v>
          </cell>
          <cell r="L307">
            <v>0</v>
          </cell>
          <cell r="M307">
            <v>111</v>
          </cell>
          <cell r="N307">
            <v>0</v>
          </cell>
          <cell r="O307">
            <v>0</v>
          </cell>
          <cell r="P307">
            <v>0</v>
          </cell>
          <cell r="Q307">
            <v>0</v>
          </cell>
          <cell r="R307">
            <v>15</v>
          </cell>
          <cell r="S307">
            <v>100</v>
          </cell>
          <cell r="T307">
            <v>45</v>
          </cell>
          <cell r="U307">
            <v>1.4</v>
          </cell>
          <cell r="V307">
            <v>0</v>
          </cell>
          <cell r="W307">
            <v>0.6</v>
          </cell>
          <cell r="X307">
            <v>80</v>
          </cell>
          <cell r="Y307">
            <v>0</v>
          </cell>
          <cell r="Z307">
            <v>50</v>
          </cell>
        </row>
        <row r="308">
          <cell r="A308" t="str">
            <v>NGS11</v>
          </cell>
          <cell r="B308" t="str">
            <v>Đỗ Thị Kim</v>
          </cell>
          <cell r="C308" t="str">
            <v>Lành</v>
          </cell>
          <cell r="D308">
            <v>12</v>
          </cell>
          <cell r="E308">
            <v>12</v>
          </cell>
          <cell r="F308">
            <v>495</v>
          </cell>
          <cell r="G308">
            <v>590.4</v>
          </cell>
          <cell r="H308">
            <v>0</v>
          </cell>
          <cell r="I308">
            <v>32</v>
          </cell>
          <cell r="J308">
            <v>12.8</v>
          </cell>
          <cell r="K308">
            <v>0</v>
          </cell>
          <cell r="L308">
            <v>0</v>
          </cell>
          <cell r="M308">
            <v>142.1</v>
          </cell>
          <cell r="N308">
            <v>0</v>
          </cell>
          <cell r="O308">
            <v>201.5</v>
          </cell>
          <cell r="P308">
            <v>0</v>
          </cell>
          <cell r="Q308">
            <v>12</v>
          </cell>
          <cell r="R308">
            <v>30</v>
          </cell>
          <cell r="S308">
            <v>160</v>
          </cell>
          <cell r="T308">
            <v>0</v>
          </cell>
          <cell r="U308">
            <v>0</v>
          </cell>
          <cell r="V308">
            <v>0</v>
          </cell>
          <cell r="W308">
            <v>0</v>
          </cell>
          <cell r="X308">
            <v>0</v>
          </cell>
          <cell r="Y308">
            <v>0</v>
          </cell>
          <cell r="Z308">
            <v>0</v>
          </cell>
        </row>
        <row r="309">
          <cell r="A309" t="str">
            <v>NGS12</v>
          </cell>
          <cell r="B309" t="str">
            <v>Nguyễn Công</v>
          </cell>
          <cell r="C309" t="str">
            <v>Toản</v>
          </cell>
          <cell r="D309">
            <v>51.6</v>
          </cell>
          <cell r="E309">
            <v>51.6</v>
          </cell>
          <cell r="F309">
            <v>475.6</v>
          </cell>
          <cell r="G309">
            <v>569.79999999999995</v>
          </cell>
          <cell r="H309">
            <v>0</v>
          </cell>
          <cell r="I309">
            <v>37.5</v>
          </cell>
          <cell r="J309">
            <v>15.1</v>
          </cell>
          <cell r="K309">
            <v>51.6</v>
          </cell>
          <cell r="L309">
            <v>0</v>
          </cell>
          <cell r="M309">
            <v>158.6</v>
          </cell>
          <cell r="N309">
            <v>0</v>
          </cell>
          <cell r="O309">
            <v>40</v>
          </cell>
          <cell r="P309">
            <v>0</v>
          </cell>
          <cell r="Q309">
            <v>12</v>
          </cell>
          <cell r="R309">
            <v>15</v>
          </cell>
          <cell r="S309">
            <v>240</v>
          </cell>
          <cell r="T309">
            <v>0</v>
          </cell>
          <cell r="U309">
            <v>0</v>
          </cell>
          <cell r="V309">
            <v>0</v>
          </cell>
          <cell r="W309">
            <v>0</v>
          </cell>
          <cell r="X309">
            <v>0</v>
          </cell>
          <cell r="Y309">
            <v>0</v>
          </cell>
          <cell r="Z309">
            <v>0</v>
          </cell>
        </row>
        <row r="310">
          <cell r="A310" t="str">
            <v>NGS15</v>
          </cell>
          <cell r="B310" t="str">
            <v>Ngô Thành</v>
          </cell>
          <cell r="C310" t="str">
            <v>Trung</v>
          </cell>
          <cell r="D310">
            <v>40</v>
          </cell>
          <cell r="E310">
            <v>40</v>
          </cell>
          <cell r="F310">
            <v>306</v>
          </cell>
          <cell r="G310">
            <v>425.9</v>
          </cell>
          <cell r="H310">
            <v>0</v>
          </cell>
          <cell r="I310">
            <v>35.4</v>
          </cell>
          <cell r="J310">
            <v>14.2</v>
          </cell>
          <cell r="K310">
            <v>0</v>
          </cell>
          <cell r="L310">
            <v>0</v>
          </cell>
          <cell r="M310">
            <v>246.3</v>
          </cell>
          <cell r="N310">
            <v>0</v>
          </cell>
          <cell r="O310">
            <v>0</v>
          </cell>
          <cell r="P310">
            <v>0</v>
          </cell>
          <cell r="Q310">
            <v>0</v>
          </cell>
          <cell r="R310">
            <v>0</v>
          </cell>
          <cell r="S310">
            <v>130</v>
          </cell>
          <cell r="T310">
            <v>0</v>
          </cell>
          <cell r="U310">
            <v>0</v>
          </cell>
          <cell r="V310">
            <v>0</v>
          </cell>
          <cell r="W310">
            <v>0</v>
          </cell>
          <cell r="X310">
            <v>0</v>
          </cell>
          <cell r="Y310">
            <v>0</v>
          </cell>
          <cell r="Z310">
            <v>0</v>
          </cell>
        </row>
        <row r="311">
          <cell r="A311" t="str">
            <v>NHO01</v>
          </cell>
          <cell r="B311" t="str">
            <v>Nguyễn Như</v>
          </cell>
          <cell r="C311" t="str">
            <v>Hà</v>
          </cell>
          <cell r="D311">
            <v>40</v>
          </cell>
          <cell r="E311">
            <v>40</v>
          </cell>
          <cell r="F311">
            <v>129</v>
          </cell>
          <cell r="G311">
            <v>142.1</v>
          </cell>
          <cell r="H311">
            <v>0</v>
          </cell>
          <cell r="I311">
            <v>7.2</v>
          </cell>
          <cell r="J311">
            <v>2.9</v>
          </cell>
          <cell r="K311">
            <v>0</v>
          </cell>
          <cell r="L311">
            <v>0</v>
          </cell>
          <cell r="M311">
            <v>52</v>
          </cell>
          <cell r="N311">
            <v>0</v>
          </cell>
          <cell r="O311">
            <v>0</v>
          </cell>
          <cell r="P311">
            <v>0</v>
          </cell>
          <cell r="Q311">
            <v>0</v>
          </cell>
          <cell r="R311">
            <v>0</v>
          </cell>
          <cell r="S311">
            <v>0</v>
          </cell>
          <cell r="T311">
            <v>0</v>
          </cell>
          <cell r="U311">
            <v>0</v>
          </cell>
          <cell r="V311">
            <v>0</v>
          </cell>
          <cell r="W311">
            <v>0</v>
          </cell>
          <cell r="X311">
            <v>80</v>
          </cell>
          <cell r="Y311">
            <v>0</v>
          </cell>
          <cell r="Z311">
            <v>0</v>
          </cell>
        </row>
        <row r="312">
          <cell r="A312" t="str">
            <v>NHO03</v>
          </cell>
          <cell r="B312" t="str">
            <v>Nguyễn Thị Lan</v>
          </cell>
          <cell r="C312" t="str">
            <v>Anh</v>
          </cell>
          <cell r="D312">
            <v>15</v>
          </cell>
          <cell r="E312">
            <v>22.5</v>
          </cell>
          <cell r="F312">
            <v>15</v>
          </cell>
          <cell r="G312">
            <v>22.5</v>
          </cell>
          <cell r="H312">
            <v>0</v>
          </cell>
          <cell r="I312">
            <v>0</v>
          </cell>
          <cell r="J312">
            <v>0</v>
          </cell>
          <cell r="K312">
            <v>0</v>
          </cell>
          <cell r="L312">
            <v>0</v>
          </cell>
          <cell r="M312">
            <v>0</v>
          </cell>
          <cell r="N312">
            <v>0</v>
          </cell>
          <cell r="O312">
            <v>22.5</v>
          </cell>
          <cell r="P312">
            <v>0</v>
          </cell>
          <cell r="Q312">
            <v>0</v>
          </cell>
          <cell r="R312">
            <v>0</v>
          </cell>
          <cell r="S312">
            <v>0</v>
          </cell>
          <cell r="T312">
            <v>0</v>
          </cell>
          <cell r="U312">
            <v>0</v>
          </cell>
          <cell r="V312">
            <v>0</v>
          </cell>
          <cell r="W312">
            <v>0</v>
          </cell>
          <cell r="X312">
            <v>0</v>
          </cell>
          <cell r="Y312">
            <v>0</v>
          </cell>
          <cell r="Z312">
            <v>0</v>
          </cell>
        </row>
        <row r="313">
          <cell r="A313" t="str">
            <v>NHO07</v>
          </cell>
          <cell r="B313" t="str">
            <v>Nguyễn Thu</v>
          </cell>
          <cell r="C313" t="str">
            <v>Hà</v>
          </cell>
          <cell r="D313">
            <v>28</v>
          </cell>
          <cell r="E313">
            <v>28</v>
          </cell>
          <cell r="F313">
            <v>60</v>
          </cell>
          <cell r="G313">
            <v>73.7</v>
          </cell>
          <cell r="H313">
            <v>0</v>
          </cell>
          <cell r="I313">
            <v>0.5</v>
          </cell>
          <cell r="J313">
            <v>0.2</v>
          </cell>
          <cell r="K313">
            <v>0</v>
          </cell>
          <cell r="L313">
            <v>0</v>
          </cell>
          <cell r="M313">
            <v>45</v>
          </cell>
          <cell r="N313">
            <v>0</v>
          </cell>
          <cell r="O313">
            <v>0</v>
          </cell>
          <cell r="P313">
            <v>0</v>
          </cell>
          <cell r="Q313">
            <v>0</v>
          </cell>
          <cell r="R313">
            <v>0</v>
          </cell>
          <cell r="S313">
            <v>0</v>
          </cell>
          <cell r="T313">
            <v>0</v>
          </cell>
          <cell r="U313">
            <v>0</v>
          </cell>
          <cell r="V313">
            <v>0</v>
          </cell>
          <cell r="W313">
            <v>0</v>
          </cell>
          <cell r="X313">
            <v>28</v>
          </cell>
          <cell r="Y313">
            <v>0</v>
          </cell>
          <cell r="Z313">
            <v>0</v>
          </cell>
        </row>
        <row r="314">
          <cell r="A314" t="str">
            <v>NHO08</v>
          </cell>
          <cell r="B314" t="str">
            <v>Nguyễn Văn</v>
          </cell>
          <cell r="C314" t="str">
            <v>Thao</v>
          </cell>
          <cell r="D314">
            <v>20</v>
          </cell>
          <cell r="E314">
            <v>20</v>
          </cell>
          <cell r="F314">
            <v>122</v>
          </cell>
          <cell r="G314">
            <v>130.19999999999999</v>
          </cell>
          <cell r="H314">
            <v>0</v>
          </cell>
          <cell r="I314">
            <v>1.9</v>
          </cell>
          <cell r="J314">
            <v>0.8</v>
          </cell>
          <cell r="K314">
            <v>0</v>
          </cell>
          <cell r="L314">
            <v>0</v>
          </cell>
          <cell r="M314">
            <v>45</v>
          </cell>
          <cell r="N314">
            <v>0</v>
          </cell>
          <cell r="O314">
            <v>22.5</v>
          </cell>
          <cell r="P314">
            <v>0</v>
          </cell>
          <cell r="Q314">
            <v>0</v>
          </cell>
          <cell r="R314">
            <v>0</v>
          </cell>
          <cell r="S314">
            <v>60</v>
          </cell>
          <cell r="T314">
            <v>0</v>
          </cell>
          <cell r="U314">
            <v>0</v>
          </cell>
          <cell r="V314">
            <v>0</v>
          </cell>
          <cell r="W314">
            <v>0</v>
          </cell>
          <cell r="X314">
            <v>0</v>
          </cell>
          <cell r="Y314">
            <v>0</v>
          </cell>
          <cell r="Z314">
            <v>0</v>
          </cell>
        </row>
        <row r="315">
          <cell r="A315" t="str">
            <v>NLM04</v>
          </cell>
          <cell r="B315" t="str">
            <v>Nguyễn Thị Thanh</v>
          </cell>
          <cell r="C315" t="str">
            <v>Minh</v>
          </cell>
          <cell r="D315">
            <v>1</v>
          </cell>
          <cell r="E315">
            <v>2.1</v>
          </cell>
          <cell r="F315">
            <v>384</v>
          </cell>
          <cell r="G315">
            <v>569.20000000000005</v>
          </cell>
          <cell r="H315">
            <v>0</v>
          </cell>
          <cell r="I315">
            <v>98.7</v>
          </cell>
          <cell r="J315">
            <v>39.799999999999997</v>
          </cell>
          <cell r="K315">
            <v>0</v>
          </cell>
          <cell r="L315">
            <v>0</v>
          </cell>
          <cell r="M315">
            <v>430.7</v>
          </cell>
          <cell r="N315">
            <v>0</v>
          </cell>
          <cell r="O315">
            <v>0</v>
          </cell>
          <cell r="P315">
            <v>0</v>
          </cell>
          <cell r="Q315">
            <v>0</v>
          </cell>
          <cell r="R315">
            <v>0</v>
          </cell>
          <cell r="S315">
            <v>0</v>
          </cell>
          <cell r="T315">
            <v>0</v>
          </cell>
          <cell r="U315">
            <v>0</v>
          </cell>
          <cell r="V315">
            <v>0</v>
          </cell>
          <cell r="W315">
            <v>0</v>
          </cell>
          <cell r="X315">
            <v>0</v>
          </cell>
          <cell r="Y315">
            <v>0</v>
          </cell>
          <cell r="Z315">
            <v>0</v>
          </cell>
        </row>
        <row r="316">
          <cell r="A316" t="str">
            <v>NLM05</v>
          </cell>
          <cell r="B316" t="str">
            <v>Nguyễn Thị Thanh</v>
          </cell>
          <cell r="C316" t="str">
            <v>Hòa</v>
          </cell>
          <cell r="D316">
            <v>1</v>
          </cell>
          <cell r="E316">
            <v>5.8</v>
          </cell>
          <cell r="F316">
            <v>320</v>
          </cell>
          <cell r="G316">
            <v>458</v>
          </cell>
          <cell r="H316">
            <v>0</v>
          </cell>
          <cell r="I316">
            <v>84.3</v>
          </cell>
          <cell r="J316">
            <v>33.799999999999997</v>
          </cell>
          <cell r="K316">
            <v>0</v>
          </cell>
          <cell r="L316">
            <v>0</v>
          </cell>
          <cell r="M316">
            <v>339.9</v>
          </cell>
          <cell r="N316">
            <v>0</v>
          </cell>
          <cell r="O316">
            <v>0</v>
          </cell>
          <cell r="P316">
            <v>0</v>
          </cell>
          <cell r="Q316">
            <v>0</v>
          </cell>
          <cell r="R316">
            <v>0</v>
          </cell>
          <cell r="S316">
            <v>0</v>
          </cell>
          <cell r="T316">
            <v>0</v>
          </cell>
          <cell r="U316">
            <v>0</v>
          </cell>
          <cell r="V316">
            <v>0</v>
          </cell>
          <cell r="W316">
            <v>0</v>
          </cell>
          <cell r="X316">
            <v>0</v>
          </cell>
          <cell r="Y316">
            <v>0</v>
          </cell>
          <cell r="Z316">
            <v>0</v>
          </cell>
        </row>
        <row r="317">
          <cell r="A317" t="str">
            <v>NLM07</v>
          </cell>
          <cell r="B317" t="str">
            <v>Đỗ Thị</v>
          </cell>
          <cell r="C317" t="str">
            <v>Hạnh</v>
          </cell>
          <cell r="D317">
            <v>1</v>
          </cell>
          <cell r="E317">
            <v>3.1</v>
          </cell>
          <cell r="F317">
            <v>416</v>
          </cell>
          <cell r="G317">
            <v>672.1</v>
          </cell>
          <cell r="H317">
            <v>0</v>
          </cell>
          <cell r="I317">
            <v>117</v>
          </cell>
          <cell r="J317">
            <v>47.2</v>
          </cell>
          <cell r="K317">
            <v>0</v>
          </cell>
          <cell r="L317">
            <v>0</v>
          </cell>
          <cell r="M317">
            <v>507.9</v>
          </cell>
          <cell r="N317">
            <v>0</v>
          </cell>
          <cell r="O317">
            <v>0</v>
          </cell>
          <cell r="P317">
            <v>0</v>
          </cell>
          <cell r="Q317">
            <v>0</v>
          </cell>
          <cell r="R317">
            <v>0</v>
          </cell>
          <cell r="S317">
            <v>0</v>
          </cell>
          <cell r="T317">
            <v>0</v>
          </cell>
          <cell r="U317">
            <v>0</v>
          </cell>
          <cell r="V317">
            <v>0</v>
          </cell>
          <cell r="W317">
            <v>0</v>
          </cell>
          <cell r="X317">
            <v>0</v>
          </cell>
          <cell r="Y317">
            <v>0</v>
          </cell>
          <cell r="Z317">
            <v>0</v>
          </cell>
        </row>
        <row r="318">
          <cell r="A318" t="str">
            <v>NLM08</v>
          </cell>
          <cell r="B318" t="str">
            <v>Lê Văn</v>
          </cell>
          <cell r="C318" t="str">
            <v>Hùng</v>
          </cell>
          <cell r="D318">
            <v>1</v>
          </cell>
          <cell r="E318">
            <v>2</v>
          </cell>
          <cell r="F318">
            <v>439</v>
          </cell>
          <cell r="G318">
            <v>787.1</v>
          </cell>
          <cell r="H318">
            <v>0</v>
          </cell>
          <cell r="I318">
            <v>32.5</v>
          </cell>
          <cell r="J318">
            <v>13</v>
          </cell>
          <cell r="K318">
            <v>0</v>
          </cell>
          <cell r="L318">
            <v>0</v>
          </cell>
          <cell r="M318">
            <v>111.5</v>
          </cell>
          <cell r="N318">
            <v>0</v>
          </cell>
          <cell r="O318">
            <v>0</v>
          </cell>
          <cell r="P318">
            <v>0</v>
          </cell>
          <cell r="Q318">
            <v>0</v>
          </cell>
          <cell r="R318">
            <v>0</v>
          </cell>
          <cell r="S318">
            <v>0</v>
          </cell>
          <cell r="T318">
            <v>617</v>
          </cell>
          <cell r="U318">
            <v>9.3000000000000007</v>
          </cell>
          <cell r="V318">
            <v>0</v>
          </cell>
          <cell r="W318">
            <v>3.8</v>
          </cell>
          <cell r="X318">
            <v>0</v>
          </cell>
          <cell r="Y318">
            <v>0</v>
          </cell>
          <cell r="Z318">
            <v>0</v>
          </cell>
        </row>
        <row r="319">
          <cell r="A319" t="str">
            <v>NLM09</v>
          </cell>
          <cell r="B319" t="str">
            <v>Lê Thị</v>
          </cell>
          <cell r="C319" t="str">
            <v>Ngân</v>
          </cell>
          <cell r="D319">
            <v>1</v>
          </cell>
          <cell r="E319">
            <v>5.9</v>
          </cell>
          <cell r="F319">
            <v>79</v>
          </cell>
          <cell r="G319">
            <v>89.3</v>
          </cell>
          <cell r="H319">
            <v>0</v>
          </cell>
          <cell r="I319">
            <v>10.199999999999999</v>
          </cell>
          <cell r="J319">
            <v>4.0999999999999996</v>
          </cell>
          <cell r="K319">
            <v>0</v>
          </cell>
          <cell r="L319">
            <v>0</v>
          </cell>
          <cell r="M319">
            <v>75</v>
          </cell>
          <cell r="N319">
            <v>0</v>
          </cell>
          <cell r="O319">
            <v>0</v>
          </cell>
          <cell r="P319">
            <v>0</v>
          </cell>
          <cell r="Q319">
            <v>0</v>
          </cell>
          <cell r="R319">
            <v>0</v>
          </cell>
          <cell r="S319">
            <v>0</v>
          </cell>
          <cell r="T319">
            <v>0</v>
          </cell>
          <cell r="U319">
            <v>0</v>
          </cell>
          <cell r="V319">
            <v>0</v>
          </cell>
          <cell r="W319">
            <v>0</v>
          </cell>
          <cell r="X319">
            <v>0</v>
          </cell>
          <cell r="Y319">
            <v>0</v>
          </cell>
          <cell r="Z319">
            <v>0</v>
          </cell>
        </row>
        <row r="320">
          <cell r="A320" t="str">
            <v>NLM10</v>
          </cell>
          <cell r="B320" t="str">
            <v>Nguyễn Thị</v>
          </cell>
          <cell r="C320" t="str">
            <v>Sơn</v>
          </cell>
          <cell r="D320">
            <v>1</v>
          </cell>
          <cell r="E320">
            <v>4</v>
          </cell>
          <cell r="F320">
            <v>111</v>
          </cell>
          <cell r="G320">
            <v>157.6</v>
          </cell>
          <cell r="H320">
            <v>0</v>
          </cell>
          <cell r="I320">
            <v>19.2</v>
          </cell>
          <cell r="J320">
            <v>7.7</v>
          </cell>
          <cell r="K320">
            <v>0</v>
          </cell>
          <cell r="L320">
            <v>0</v>
          </cell>
          <cell r="M320">
            <v>130.69999999999999</v>
          </cell>
          <cell r="N320">
            <v>0</v>
          </cell>
          <cell r="O320">
            <v>0</v>
          </cell>
          <cell r="P320">
            <v>0</v>
          </cell>
          <cell r="Q320">
            <v>0</v>
          </cell>
          <cell r="R320">
            <v>0</v>
          </cell>
          <cell r="S320">
            <v>0</v>
          </cell>
          <cell r="T320">
            <v>0</v>
          </cell>
          <cell r="U320">
            <v>0</v>
          </cell>
          <cell r="V320">
            <v>0</v>
          </cell>
          <cell r="W320">
            <v>0</v>
          </cell>
          <cell r="X320">
            <v>0</v>
          </cell>
          <cell r="Y320">
            <v>0</v>
          </cell>
          <cell r="Z320">
            <v>0</v>
          </cell>
        </row>
        <row r="321">
          <cell r="A321" t="str">
            <v>NLM16</v>
          </cell>
          <cell r="B321" t="str">
            <v>Lê Thị Kim</v>
          </cell>
          <cell r="C321" t="str">
            <v>Thanh</v>
          </cell>
          <cell r="D321">
            <v>1</v>
          </cell>
          <cell r="E321">
            <v>2.6</v>
          </cell>
          <cell r="F321">
            <v>126</v>
          </cell>
          <cell r="G321">
            <v>158.9</v>
          </cell>
          <cell r="H321">
            <v>0</v>
          </cell>
          <cell r="I321">
            <v>21.7</v>
          </cell>
          <cell r="J321">
            <v>8.8000000000000007</v>
          </cell>
          <cell r="K321">
            <v>0</v>
          </cell>
          <cell r="L321">
            <v>0</v>
          </cell>
          <cell r="M321">
            <v>128.4</v>
          </cell>
          <cell r="N321">
            <v>0</v>
          </cell>
          <cell r="O321">
            <v>0</v>
          </cell>
          <cell r="P321">
            <v>0</v>
          </cell>
          <cell r="Q321">
            <v>0</v>
          </cell>
          <cell r="R321">
            <v>0</v>
          </cell>
          <cell r="S321">
            <v>0</v>
          </cell>
          <cell r="T321">
            <v>0</v>
          </cell>
          <cell r="U321">
            <v>0</v>
          </cell>
          <cell r="V321">
            <v>0</v>
          </cell>
          <cell r="W321">
            <v>0</v>
          </cell>
          <cell r="X321">
            <v>0</v>
          </cell>
          <cell r="Y321">
            <v>0</v>
          </cell>
          <cell r="Z321">
            <v>0</v>
          </cell>
        </row>
        <row r="322">
          <cell r="A322" t="str">
            <v>NLM17</v>
          </cell>
          <cell r="B322" t="str">
            <v>Lê Thị</v>
          </cell>
          <cell r="C322" t="str">
            <v>Xuân</v>
          </cell>
          <cell r="D322">
            <v>1</v>
          </cell>
          <cell r="E322">
            <v>2.6</v>
          </cell>
          <cell r="F322">
            <v>173</v>
          </cell>
          <cell r="G322">
            <v>256</v>
          </cell>
          <cell r="H322">
            <v>0</v>
          </cell>
          <cell r="I322">
            <v>34.700000000000003</v>
          </cell>
          <cell r="J322">
            <v>13.9</v>
          </cell>
          <cell r="K322">
            <v>0</v>
          </cell>
          <cell r="L322">
            <v>0</v>
          </cell>
          <cell r="M322">
            <v>207.4</v>
          </cell>
          <cell r="N322">
            <v>0</v>
          </cell>
          <cell r="O322">
            <v>0</v>
          </cell>
          <cell r="P322">
            <v>0</v>
          </cell>
          <cell r="Q322">
            <v>0</v>
          </cell>
          <cell r="R322">
            <v>0</v>
          </cell>
          <cell r="S322">
            <v>0</v>
          </cell>
          <cell r="T322">
            <v>0</v>
          </cell>
          <cell r="U322">
            <v>0</v>
          </cell>
          <cell r="V322">
            <v>0</v>
          </cell>
          <cell r="W322">
            <v>0</v>
          </cell>
          <cell r="X322">
            <v>0</v>
          </cell>
          <cell r="Y322">
            <v>0</v>
          </cell>
          <cell r="Z322">
            <v>0</v>
          </cell>
        </row>
        <row r="323">
          <cell r="A323" t="str">
            <v>NLM18</v>
          </cell>
          <cell r="B323" t="str">
            <v>Hà Thị</v>
          </cell>
          <cell r="C323" t="str">
            <v>Yến</v>
          </cell>
          <cell r="D323">
            <v>1</v>
          </cell>
          <cell r="E323">
            <v>15.6</v>
          </cell>
          <cell r="F323">
            <v>141</v>
          </cell>
          <cell r="G323">
            <v>211.5</v>
          </cell>
          <cell r="H323">
            <v>0</v>
          </cell>
          <cell r="I323">
            <v>29.4</v>
          </cell>
          <cell r="J323">
            <v>11.8</v>
          </cell>
          <cell r="K323">
            <v>0</v>
          </cell>
          <cell r="L323">
            <v>0</v>
          </cell>
          <cell r="M323">
            <v>170.3</v>
          </cell>
          <cell r="N323">
            <v>0</v>
          </cell>
          <cell r="O323">
            <v>0</v>
          </cell>
          <cell r="P323">
            <v>0</v>
          </cell>
          <cell r="Q323">
            <v>0</v>
          </cell>
          <cell r="R323">
            <v>0</v>
          </cell>
          <cell r="S323">
            <v>0</v>
          </cell>
          <cell r="T323">
            <v>0</v>
          </cell>
          <cell r="U323">
            <v>0</v>
          </cell>
          <cell r="V323">
            <v>0</v>
          </cell>
          <cell r="W323">
            <v>0</v>
          </cell>
          <cell r="X323">
            <v>0</v>
          </cell>
          <cell r="Y323">
            <v>0</v>
          </cell>
          <cell r="Z323">
            <v>0</v>
          </cell>
        </row>
        <row r="324">
          <cell r="A324" t="str">
            <v>NLM19</v>
          </cell>
          <cell r="B324" t="str">
            <v>Nguyễn Thị Minh</v>
          </cell>
          <cell r="C324" t="str">
            <v>Nguyệt</v>
          </cell>
          <cell r="D324">
            <v>1</v>
          </cell>
          <cell r="E324">
            <v>6.8</v>
          </cell>
          <cell r="F324">
            <v>128</v>
          </cell>
          <cell r="G324">
            <v>226</v>
          </cell>
          <cell r="H324">
            <v>0</v>
          </cell>
          <cell r="I324">
            <v>41</v>
          </cell>
          <cell r="J324">
            <v>16.5</v>
          </cell>
          <cell r="K324">
            <v>0</v>
          </cell>
          <cell r="L324">
            <v>0</v>
          </cell>
          <cell r="M324">
            <v>168.5</v>
          </cell>
          <cell r="N324">
            <v>0</v>
          </cell>
          <cell r="O324">
            <v>0</v>
          </cell>
          <cell r="P324">
            <v>0</v>
          </cell>
          <cell r="Q324">
            <v>0</v>
          </cell>
          <cell r="R324">
            <v>0</v>
          </cell>
          <cell r="S324">
            <v>0</v>
          </cell>
          <cell r="T324">
            <v>0</v>
          </cell>
          <cell r="U324">
            <v>0</v>
          </cell>
          <cell r="V324">
            <v>0</v>
          </cell>
          <cell r="W324">
            <v>0</v>
          </cell>
          <cell r="X324">
            <v>0</v>
          </cell>
          <cell r="Y324">
            <v>0</v>
          </cell>
          <cell r="Z324">
            <v>0</v>
          </cell>
        </row>
        <row r="325">
          <cell r="A325" t="str">
            <v>NN001</v>
          </cell>
          <cell r="B325" t="str">
            <v>Ngô Thị Thanh</v>
          </cell>
          <cell r="C325" t="str">
            <v>Tâm</v>
          </cell>
          <cell r="D325">
            <v>1</v>
          </cell>
          <cell r="E325">
            <v>3.1</v>
          </cell>
          <cell r="F325">
            <v>462</v>
          </cell>
          <cell r="G325">
            <v>830.8</v>
          </cell>
          <cell r="H325">
            <v>0</v>
          </cell>
          <cell r="I325">
            <v>0</v>
          </cell>
          <cell r="J325">
            <v>36.700000000000003</v>
          </cell>
          <cell r="K325">
            <v>0</v>
          </cell>
          <cell r="L325">
            <v>0</v>
          </cell>
          <cell r="M325">
            <v>794.1</v>
          </cell>
          <cell r="N325">
            <v>0</v>
          </cell>
          <cell r="O325">
            <v>0</v>
          </cell>
          <cell r="P325">
            <v>0</v>
          </cell>
          <cell r="Q325">
            <v>0</v>
          </cell>
          <cell r="R325">
            <v>0</v>
          </cell>
          <cell r="S325">
            <v>0</v>
          </cell>
          <cell r="T325">
            <v>0</v>
          </cell>
          <cell r="U325">
            <v>0</v>
          </cell>
          <cell r="V325">
            <v>0</v>
          </cell>
          <cell r="W325">
            <v>0</v>
          </cell>
          <cell r="X325">
            <v>0</v>
          </cell>
          <cell r="Y325">
            <v>0</v>
          </cell>
          <cell r="Z325">
            <v>0</v>
          </cell>
        </row>
        <row r="326">
          <cell r="A326" t="str">
            <v>NN003</v>
          </cell>
          <cell r="B326" t="str">
            <v>Hà Thị</v>
          </cell>
          <cell r="C326" t="str">
            <v>Lan</v>
          </cell>
          <cell r="D326">
            <v>1</v>
          </cell>
          <cell r="E326">
            <v>2.6</v>
          </cell>
          <cell r="F326">
            <v>254</v>
          </cell>
          <cell r="G326">
            <v>379.4</v>
          </cell>
          <cell r="H326">
            <v>0</v>
          </cell>
          <cell r="I326">
            <v>11.8</v>
          </cell>
          <cell r="J326">
            <v>4.8</v>
          </cell>
          <cell r="K326">
            <v>0</v>
          </cell>
          <cell r="L326">
            <v>0</v>
          </cell>
          <cell r="M326">
            <v>136</v>
          </cell>
          <cell r="N326">
            <v>0</v>
          </cell>
          <cell r="O326">
            <v>32</v>
          </cell>
          <cell r="P326">
            <v>0</v>
          </cell>
          <cell r="Q326">
            <v>0</v>
          </cell>
          <cell r="R326">
            <v>0</v>
          </cell>
          <cell r="S326">
            <v>0</v>
          </cell>
          <cell r="T326">
            <v>174</v>
          </cell>
          <cell r="U326">
            <v>14.8</v>
          </cell>
          <cell r="V326">
            <v>0</v>
          </cell>
          <cell r="W326">
            <v>6</v>
          </cell>
          <cell r="X326">
            <v>0</v>
          </cell>
          <cell r="Y326">
            <v>0</v>
          </cell>
          <cell r="Z326">
            <v>0</v>
          </cell>
        </row>
        <row r="327">
          <cell r="A327" t="str">
            <v>NN004</v>
          </cell>
          <cell r="B327" t="str">
            <v>Nguyễn Thị Bích</v>
          </cell>
          <cell r="C327" t="str">
            <v>Ngọc</v>
          </cell>
          <cell r="D327">
            <v>1</v>
          </cell>
          <cell r="E327">
            <v>3.3</v>
          </cell>
          <cell r="F327">
            <v>252</v>
          </cell>
          <cell r="G327">
            <v>340.3</v>
          </cell>
          <cell r="H327">
            <v>0</v>
          </cell>
          <cell r="I327">
            <v>21.2</v>
          </cell>
          <cell r="J327">
            <v>8.6</v>
          </cell>
          <cell r="K327">
            <v>0</v>
          </cell>
          <cell r="L327">
            <v>0</v>
          </cell>
          <cell r="M327">
            <v>310.5</v>
          </cell>
          <cell r="N327">
            <v>0</v>
          </cell>
          <cell r="O327">
            <v>0</v>
          </cell>
          <cell r="P327">
            <v>0</v>
          </cell>
          <cell r="Q327">
            <v>0</v>
          </cell>
          <cell r="R327">
            <v>0</v>
          </cell>
          <cell r="S327">
            <v>0</v>
          </cell>
          <cell r="T327">
            <v>0</v>
          </cell>
          <cell r="U327">
            <v>0</v>
          </cell>
          <cell r="V327">
            <v>0</v>
          </cell>
          <cell r="W327">
            <v>0</v>
          </cell>
          <cell r="X327">
            <v>0</v>
          </cell>
          <cell r="Y327">
            <v>0</v>
          </cell>
          <cell r="Z327">
            <v>0</v>
          </cell>
        </row>
        <row r="328">
          <cell r="A328" t="str">
            <v>NN005</v>
          </cell>
          <cell r="B328" t="str">
            <v>Nguyễn T Kim</v>
          </cell>
          <cell r="C328" t="str">
            <v>Quế</v>
          </cell>
          <cell r="D328">
            <v>1</v>
          </cell>
          <cell r="E328">
            <v>2.4</v>
          </cell>
          <cell r="F328">
            <v>269</v>
          </cell>
          <cell r="G328">
            <v>342.1</v>
          </cell>
          <cell r="H328">
            <v>0</v>
          </cell>
          <cell r="I328">
            <v>27.8</v>
          </cell>
          <cell r="J328">
            <v>11.2</v>
          </cell>
          <cell r="K328">
            <v>0</v>
          </cell>
          <cell r="L328">
            <v>0</v>
          </cell>
          <cell r="M328">
            <v>263.10000000000002</v>
          </cell>
          <cell r="N328">
            <v>0</v>
          </cell>
          <cell r="O328">
            <v>40</v>
          </cell>
          <cell r="P328">
            <v>0</v>
          </cell>
          <cell r="Q328">
            <v>0</v>
          </cell>
          <cell r="R328">
            <v>0</v>
          </cell>
          <cell r="S328">
            <v>0</v>
          </cell>
          <cell r="T328">
            <v>0</v>
          </cell>
          <cell r="U328">
            <v>0</v>
          </cell>
          <cell r="V328">
            <v>0</v>
          </cell>
          <cell r="W328">
            <v>0</v>
          </cell>
          <cell r="X328">
            <v>0</v>
          </cell>
          <cell r="Y328">
            <v>0</v>
          </cell>
          <cell r="Z328">
            <v>0</v>
          </cell>
        </row>
        <row r="329">
          <cell r="A329" t="str">
            <v>NN006</v>
          </cell>
          <cell r="B329" t="str">
            <v>Nguyễn T Minh</v>
          </cell>
          <cell r="C329" t="str">
            <v>Tâm</v>
          </cell>
          <cell r="D329">
            <v>1</v>
          </cell>
          <cell r="E329">
            <v>2.1</v>
          </cell>
          <cell r="F329">
            <v>346</v>
          </cell>
          <cell r="G329">
            <v>530.5</v>
          </cell>
          <cell r="H329">
            <v>0</v>
          </cell>
          <cell r="I329">
            <v>46.1</v>
          </cell>
          <cell r="J329">
            <v>18.5</v>
          </cell>
          <cell r="K329">
            <v>0</v>
          </cell>
          <cell r="L329">
            <v>0</v>
          </cell>
          <cell r="M329">
            <v>465.9</v>
          </cell>
          <cell r="N329">
            <v>0</v>
          </cell>
          <cell r="O329">
            <v>0</v>
          </cell>
          <cell r="P329">
            <v>0</v>
          </cell>
          <cell r="Q329">
            <v>0</v>
          </cell>
          <cell r="R329">
            <v>0</v>
          </cell>
          <cell r="S329">
            <v>0</v>
          </cell>
          <cell r="T329">
            <v>0</v>
          </cell>
          <cell r="U329">
            <v>0</v>
          </cell>
          <cell r="V329">
            <v>0</v>
          </cell>
          <cell r="W329">
            <v>0</v>
          </cell>
          <cell r="X329">
            <v>0</v>
          </cell>
          <cell r="Y329">
            <v>0</v>
          </cell>
          <cell r="Z329">
            <v>0</v>
          </cell>
        </row>
        <row r="330">
          <cell r="A330" t="str">
            <v>NN009</v>
          </cell>
          <cell r="B330" t="str">
            <v>Trần Thị Tuyết</v>
          </cell>
          <cell r="C330" t="str">
            <v>Mai</v>
          </cell>
          <cell r="D330">
            <v>1</v>
          </cell>
          <cell r="E330">
            <v>3</v>
          </cell>
          <cell r="F330">
            <v>583</v>
          </cell>
          <cell r="G330">
            <v>905.4</v>
          </cell>
          <cell r="H330">
            <v>0</v>
          </cell>
          <cell r="I330">
            <v>49.6</v>
          </cell>
          <cell r="J330">
            <v>20.100000000000001</v>
          </cell>
          <cell r="K330">
            <v>0</v>
          </cell>
          <cell r="L330">
            <v>0</v>
          </cell>
          <cell r="M330">
            <v>553.79999999999995</v>
          </cell>
          <cell r="N330">
            <v>0</v>
          </cell>
          <cell r="O330">
            <v>28</v>
          </cell>
          <cell r="P330">
            <v>0</v>
          </cell>
          <cell r="Q330">
            <v>0</v>
          </cell>
          <cell r="R330">
            <v>0</v>
          </cell>
          <cell r="S330">
            <v>0</v>
          </cell>
          <cell r="T330">
            <v>228</v>
          </cell>
          <cell r="U330">
            <v>18.399999999999999</v>
          </cell>
          <cell r="V330">
            <v>0</v>
          </cell>
          <cell r="W330">
            <v>7.5</v>
          </cell>
          <cell r="X330">
            <v>0</v>
          </cell>
          <cell r="Y330">
            <v>0</v>
          </cell>
          <cell r="Z330">
            <v>0</v>
          </cell>
        </row>
        <row r="331">
          <cell r="A331" t="str">
            <v>NN010</v>
          </cell>
          <cell r="B331" t="str">
            <v>Trần Thu</v>
          </cell>
          <cell r="C331" t="str">
            <v>Trang</v>
          </cell>
          <cell r="D331">
            <v>1</v>
          </cell>
          <cell r="E331">
            <v>2.9</v>
          </cell>
          <cell r="F331">
            <v>592</v>
          </cell>
          <cell r="G331">
            <v>896.7</v>
          </cell>
          <cell r="H331">
            <v>0</v>
          </cell>
          <cell r="I331">
            <v>67.5</v>
          </cell>
          <cell r="J331">
            <v>27.1</v>
          </cell>
          <cell r="K331">
            <v>0</v>
          </cell>
          <cell r="L331">
            <v>0</v>
          </cell>
          <cell r="M331">
            <v>758.6</v>
          </cell>
          <cell r="N331">
            <v>0</v>
          </cell>
          <cell r="O331">
            <v>43.5</v>
          </cell>
          <cell r="P331">
            <v>0</v>
          </cell>
          <cell r="Q331">
            <v>0</v>
          </cell>
          <cell r="R331">
            <v>0</v>
          </cell>
          <cell r="S331">
            <v>0</v>
          </cell>
          <cell r="T331">
            <v>0</v>
          </cell>
          <cell r="U331">
            <v>0</v>
          </cell>
          <cell r="V331">
            <v>0</v>
          </cell>
          <cell r="W331">
            <v>0</v>
          </cell>
          <cell r="X331">
            <v>0</v>
          </cell>
          <cell r="Y331">
            <v>0</v>
          </cell>
          <cell r="Z331">
            <v>0</v>
          </cell>
        </row>
        <row r="332">
          <cell r="A332" t="str">
            <v>NN011</v>
          </cell>
          <cell r="B332" t="str">
            <v>Nguyễn Thị Thúy</v>
          </cell>
          <cell r="C332" t="str">
            <v>Lan</v>
          </cell>
          <cell r="D332">
            <v>1</v>
          </cell>
          <cell r="E332">
            <v>4.5</v>
          </cell>
          <cell r="F332">
            <v>380</v>
          </cell>
          <cell r="G332">
            <v>581.1</v>
          </cell>
          <cell r="H332">
            <v>0</v>
          </cell>
          <cell r="I332">
            <v>59.5</v>
          </cell>
          <cell r="J332">
            <v>23.9</v>
          </cell>
          <cell r="K332">
            <v>0</v>
          </cell>
          <cell r="L332">
            <v>0</v>
          </cell>
          <cell r="M332">
            <v>497.7</v>
          </cell>
          <cell r="N332">
            <v>0</v>
          </cell>
          <cell r="O332">
            <v>0</v>
          </cell>
          <cell r="P332">
            <v>0</v>
          </cell>
          <cell r="Q332">
            <v>0</v>
          </cell>
          <cell r="R332">
            <v>0</v>
          </cell>
          <cell r="S332">
            <v>0</v>
          </cell>
          <cell r="T332">
            <v>0</v>
          </cell>
          <cell r="U332">
            <v>0</v>
          </cell>
          <cell r="V332">
            <v>0</v>
          </cell>
          <cell r="W332">
            <v>0</v>
          </cell>
          <cell r="X332">
            <v>0</v>
          </cell>
          <cell r="Y332">
            <v>0</v>
          </cell>
          <cell r="Z332">
            <v>0</v>
          </cell>
        </row>
        <row r="333">
          <cell r="A333" t="str">
            <v>NN014</v>
          </cell>
          <cell r="B333" t="str">
            <v>Bùi Thị</v>
          </cell>
          <cell r="C333" t="str">
            <v>Là</v>
          </cell>
          <cell r="D333">
            <v>1</v>
          </cell>
          <cell r="E333">
            <v>1.5</v>
          </cell>
          <cell r="F333">
            <v>549</v>
          </cell>
          <cell r="G333">
            <v>793.6</v>
          </cell>
          <cell r="H333">
            <v>0</v>
          </cell>
          <cell r="I333">
            <v>23.2</v>
          </cell>
          <cell r="J333">
            <v>9.3000000000000007</v>
          </cell>
          <cell r="K333">
            <v>0</v>
          </cell>
          <cell r="L333">
            <v>0</v>
          </cell>
          <cell r="M333">
            <v>345</v>
          </cell>
          <cell r="N333">
            <v>0</v>
          </cell>
          <cell r="O333">
            <v>46</v>
          </cell>
          <cell r="P333">
            <v>0</v>
          </cell>
          <cell r="Q333">
            <v>0</v>
          </cell>
          <cell r="R333">
            <v>0</v>
          </cell>
          <cell r="S333">
            <v>0</v>
          </cell>
          <cell r="T333">
            <v>336</v>
          </cell>
          <cell r="U333">
            <v>24.3</v>
          </cell>
          <cell r="V333">
            <v>0</v>
          </cell>
          <cell r="W333">
            <v>9.8000000000000007</v>
          </cell>
          <cell r="X333">
            <v>0</v>
          </cell>
          <cell r="Y333">
            <v>0</v>
          </cell>
          <cell r="Z333">
            <v>0</v>
          </cell>
        </row>
        <row r="334">
          <cell r="A334" t="str">
            <v>NN015</v>
          </cell>
          <cell r="B334" t="str">
            <v>Phạm Hương</v>
          </cell>
          <cell r="C334" t="str">
            <v>Lan</v>
          </cell>
          <cell r="D334">
            <v>1</v>
          </cell>
          <cell r="E334">
            <v>3.8</v>
          </cell>
          <cell r="F334">
            <v>331</v>
          </cell>
          <cell r="G334">
            <v>516.9</v>
          </cell>
          <cell r="H334">
            <v>0</v>
          </cell>
          <cell r="I334">
            <v>50.1</v>
          </cell>
          <cell r="J334">
            <v>20.100000000000001</v>
          </cell>
          <cell r="K334">
            <v>0</v>
          </cell>
          <cell r="L334">
            <v>0</v>
          </cell>
          <cell r="M334">
            <v>446.7</v>
          </cell>
          <cell r="N334">
            <v>0</v>
          </cell>
          <cell r="O334">
            <v>0</v>
          </cell>
          <cell r="P334">
            <v>0</v>
          </cell>
          <cell r="Q334">
            <v>0</v>
          </cell>
          <cell r="R334">
            <v>0</v>
          </cell>
          <cell r="S334">
            <v>0</v>
          </cell>
          <cell r="T334">
            <v>0</v>
          </cell>
          <cell r="U334">
            <v>0</v>
          </cell>
          <cell r="V334">
            <v>0</v>
          </cell>
          <cell r="W334">
            <v>0</v>
          </cell>
          <cell r="X334">
            <v>0</v>
          </cell>
          <cell r="Y334">
            <v>0</v>
          </cell>
          <cell r="Z334">
            <v>0</v>
          </cell>
        </row>
        <row r="335">
          <cell r="A335" t="str">
            <v>NN018</v>
          </cell>
          <cell r="B335" t="str">
            <v>Nguyễn Thị Lan</v>
          </cell>
          <cell r="C335" t="str">
            <v>Anh</v>
          </cell>
          <cell r="D335">
            <v>1</v>
          </cell>
          <cell r="E335">
            <v>7.5</v>
          </cell>
          <cell r="F335">
            <v>188</v>
          </cell>
          <cell r="G335">
            <v>312</v>
          </cell>
          <cell r="H335">
            <v>0</v>
          </cell>
          <cell r="I335">
            <v>30</v>
          </cell>
          <cell r="J335">
            <v>12</v>
          </cell>
          <cell r="K335">
            <v>0</v>
          </cell>
          <cell r="L335">
            <v>0</v>
          </cell>
          <cell r="M335">
            <v>270</v>
          </cell>
          <cell r="N335">
            <v>0</v>
          </cell>
          <cell r="O335">
            <v>0</v>
          </cell>
          <cell r="P335">
            <v>0</v>
          </cell>
          <cell r="Q335">
            <v>0</v>
          </cell>
          <cell r="R335">
            <v>0</v>
          </cell>
          <cell r="S335">
            <v>0</v>
          </cell>
          <cell r="T335">
            <v>0</v>
          </cell>
          <cell r="U335">
            <v>0</v>
          </cell>
          <cell r="V335">
            <v>0</v>
          </cell>
          <cell r="W335">
            <v>0</v>
          </cell>
          <cell r="X335">
            <v>0</v>
          </cell>
          <cell r="Y335">
            <v>0</v>
          </cell>
          <cell r="Z335">
            <v>0</v>
          </cell>
        </row>
        <row r="336">
          <cell r="A336" t="str">
            <v>NN019</v>
          </cell>
          <cell r="B336" t="str">
            <v>Vũ Thị</v>
          </cell>
          <cell r="C336" t="str">
            <v>Hương</v>
          </cell>
          <cell r="D336">
            <v>1</v>
          </cell>
          <cell r="E336">
            <v>7.5</v>
          </cell>
          <cell r="F336">
            <v>186</v>
          </cell>
          <cell r="G336">
            <v>301.7</v>
          </cell>
          <cell r="H336">
            <v>0</v>
          </cell>
          <cell r="I336">
            <v>16.399999999999999</v>
          </cell>
          <cell r="J336">
            <v>6.6</v>
          </cell>
          <cell r="K336">
            <v>0</v>
          </cell>
          <cell r="L336">
            <v>0</v>
          </cell>
          <cell r="M336">
            <v>278.7</v>
          </cell>
          <cell r="N336">
            <v>0</v>
          </cell>
          <cell r="O336">
            <v>0</v>
          </cell>
          <cell r="P336">
            <v>0</v>
          </cell>
          <cell r="Q336">
            <v>0</v>
          </cell>
          <cell r="R336">
            <v>0</v>
          </cell>
          <cell r="S336">
            <v>0</v>
          </cell>
          <cell r="T336">
            <v>0</v>
          </cell>
          <cell r="U336">
            <v>0</v>
          </cell>
          <cell r="V336">
            <v>0</v>
          </cell>
          <cell r="W336">
            <v>0</v>
          </cell>
          <cell r="X336">
            <v>0</v>
          </cell>
          <cell r="Y336">
            <v>0</v>
          </cell>
          <cell r="Z336">
            <v>0</v>
          </cell>
        </row>
        <row r="337">
          <cell r="A337" t="str">
            <v>NN022</v>
          </cell>
          <cell r="B337" t="str">
            <v>Phạm Thị</v>
          </cell>
          <cell r="C337" t="str">
            <v>Hạnh</v>
          </cell>
          <cell r="D337">
            <v>1</v>
          </cell>
          <cell r="E337">
            <v>2.6</v>
          </cell>
          <cell r="F337">
            <v>410</v>
          </cell>
          <cell r="G337">
            <v>653.79999999999995</v>
          </cell>
          <cell r="H337">
            <v>0</v>
          </cell>
          <cell r="I337">
            <v>66.7</v>
          </cell>
          <cell r="J337">
            <v>26.8</v>
          </cell>
          <cell r="K337">
            <v>0</v>
          </cell>
          <cell r="L337">
            <v>0</v>
          </cell>
          <cell r="M337">
            <v>560.29999999999995</v>
          </cell>
          <cell r="N337">
            <v>0</v>
          </cell>
          <cell r="O337">
            <v>0</v>
          </cell>
          <cell r="P337">
            <v>0</v>
          </cell>
          <cell r="Q337">
            <v>0</v>
          </cell>
          <cell r="R337">
            <v>0</v>
          </cell>
          <cell r="S337">
            <v>0</v>
          </cell>
          <cell r="T337">
            <v>0</v>
          </cell>
          <cell r="U337">
            <v>0</v>
          </cell>
          <cell r="V337">
            <v>0</v>
          </cell>
          <cell r="W337">
            <v>0</v>
          </cell>
          <cell r="X337">
            <v>0</v>
          </cell>
          <cell r="Y337">
            <v>0</v>
          </cell>
          <cell r="Z337">
            <v>0</v>
          </cell>
        </row>
        <row r="338">
          <cell r="A338" t="str">
            <v>NN024</v>
          </cell>
          <cell r="B338" t="str">
            <v>Lê Thị Hồng</v>
          </cell>
          <cell r="C338" t="str">
            <v>Lam</v>
          </cell>
          <cell r="D338">
            <v>1</v>
          </cell>
          <cell r="E338">
            <v>5</v>
          </cell>
          <cell r="F338">
            <v>348</v>
          </cell>
          <cell r="G338">
            <v>419.7</v>
          </cell>
          <cell r="H338">
            <v>0</v>
          </cell>
          <cell r="I338">
            <v>37.1</v>
          </cell>
          <cell r="J338">
            <v>15</v>
          </cell>
          <cell r="K338">
            <v>0</v>
          </cell>
          <cell r="L338">
            <v>0</v>
          </cell>
          <cell r="M338">
            <v>335.6</v>
          </cell>
          <cell r="N338">
            <v>0</v>
          </cell>
          <cell r="O338">
            <v>32</v>
          </cell>
          <cell r="P338">
            <v>0</v>
          </cell>
          <cell r="Q338">
            <v>0</v>
          </cell>
          <cell r="R338">
            <v>0</v>
          </cell>
          <cell r="S338">
            <v>0</v>
          </cell>
          <cell r="T338">
            <v>0</v>
          </cell>
          <cell r="U338">
            <v>0</v>
          </cell>
          <cell r="V338">
            <v>0</v>
          </cell>
          <cell r="W338">
            <v>0</v>
          </cell>
          <cell r="X338">
            <v>0</v>
          </cell>
          <cell r="Y338">
            <v>0</v>
          </cell>
          <cell r="Z338">
            <v>0</v>
          </cell>
        </row>
        <row r="339">
          <cell r="A339" t="str">
            <v>NN025</v>
          </cell>
          <cell r="B339" t="str">
            <v>Trần Thị</v>
          </cell>
          <cell r="C339" t="str">
            <v>Hải</v>
          </cell>
          <cell r="D339">
            <v>1</v>
          </cell>
          <cell r="E339">
            <v>1.5</v>
          </cell>
          <cell r="F339">
            <v>624</v>
          </cell>
          <cell r="G339">
            <v>904.9</v>
          </cell>
          <cell r="H339">
            <v>0</v>
          </cell>
          <cell r="I339">
            <v>41.5</v>
          </cell>
          <cell r="J339">
            <v>16.7</v>
          </cell>
          <cell r="K339">
            <v>0</v>
          </cell>
          <cell r="L339">
            <v>0</v>
          </cell>
          <cell r="M339">
            <v>624</v>
          </cell>
          <cell r="N339">
            <v>0</v>
          </cell>
          <cell r="O339">
            <v>42</v>
          </cell>
          <cell r="P339">
            <v>0</v>
          </cell>
          <cell r="Q339">
            <v>0</v>
          </cell>
          <cell r="R339">
            <v>0</v>
          </cell>
          <cell r="S339">
            <v>0</v>
          </cell>
          <cell r="T339">
            <v>168</v>
          </cell>
          <cell r="U339">
            <v>9.1</v>
          </cell>
          <cell r="V339">
            <v>0</v>
          </cell>
          <cell r="W339">
            <v>3.6</v>
          </cell>
          <cell r="X339">
            <v>0</v>
          </cell>
          <cell r="Y339">
            <v>0</v>
          </cell>
          <cell r="Z339">
            <v>0</v>
          </cell>
        </row>
        <row r="340">
          <cell r="A340" t="str">
            <v>NN026</v>
          </cell>
          <cell r="B340" t="str">
            <v>Nguyễn Thị</v>
          </cell>
          <cell r="C340" t="str">
            <v>Hoài</v>
          </cell>
          <cell r="D340">
            <v>1</v>
          </cell>
          <cell r="E340">
            <v>6.1</v>
          </cell>
          <cell r="F340">
            <v>321</v>
          </cell>
          <cell r="G340">
            <v>397.7</v>
          </cell>
          <cell r="H340">
            <v>0</v>
          </cell>
          <cell r="I340">
            <v>17.7</v>
          </cell>
          <cell r="J340">
            <v>7.2</v>
          </cell>
          <cell r="K340">
            <v>0</v>
          </cell>
          <cell r="L340">
            <v>0</v>
          </cell>
          <cell r="M340">
            <v>346.8</v>
          </cell>
          <cell r="N340">
            <v>0</v>
          </cell>
          <cell r="O340">
            <v>26</v>
          </cell>
          <cell r="P340">
            <v>0</v>
          </cell>
          <cell r="Q340">
            <v>0</v>
          </cell>
          <cell r="R340">
            <v>0</v>
          </cell>
          <cell r="S340">
            <v>0</v>
          </cell>
          <cell r="T340">
            <v>0</v>
          </cell>
          <cell r="U340">
            <v>0</v>
          </cell>
          <cell r="V340">
            <v>0</v>
          </cell>
          <cell r="W340">
            <v>0</v>
          </cell>
          <cell r="X340">
            <v>0</v>
          </cell>
          <cell r="Y340">
            <v>0</v>
          </cell>
          <cell r="Z340">
            <v>0</v>
          </cell>
        </row>
        <row r="341">
          <cell r="A341" t="str">
            <v>NN027</v>
          </cell>
          <cell r="B341" t="str">
            <v>Nguyễn Thị</v>
          </cell>
          <cell r="C341" t="str">
            <v>Hường</v>
          </cell>
          <cell r="D341">
            <v>1</v>
          </cell>
          <cell r="E341">
            <v>1.5</v>
          </cell>
          <cell r="F341">
            <v>487</v>
          </cell>
          <cell r="G341">
            <v>695.9</v>
          </cell>
          <cell r="H341">
            <v>0</v>
          </cell>
          <cell r="I341">
            <v>53.4</v>
          </cell>
          <cell r="J341">
            <v>21.3</v>
          </cell>
          <cell r="K341">
            <v>0</v>
          </cell>
          <cell r="L341">
            <v>0</v>
          </cell>
          <cell r="M341">
            <v>621.20000000000005</v>
          </cell>
          <cell r="N341">
            <v>0</v>
          </cell>
          <cell r="O341">
            <v>0</v>
          </cell>
          <cell r="P341">
            <v>0</v>
          </cell>
          <cell r="Q341">
            <v>0</v>
          </cell>
          <cell r="R341">
            <v>0</v>
          </cell>
          <cell r="S341">
            <v>0</v>
          </cell>
          <cell r="T341">
            <v>0</v>
          </cell>
          <cell r="U341">
            <v>0</v>
          </cell>
          <cell r="V341">
            <v>0</v>
          </cell>
          <cell r="W341">
            <v>0</v>
          </cell>
          <cell r="X341">
            <v>0</v>
          </cell>
          <cell r="Y341">
            <v>0</v>
          </cell>
          <cell r="Z341">
            <v>0</v>
          </cell>
        </row>
        <row r="342">
          <cell r="A342" t="str">
            <v>NN028</v>
          </cell>
          <cell r="B342" t="str">
            <v>Nguyễn Thị Ngọc</v>
          </cell>
          <cell r="C342" t="str">
            <v>Thu</v>
          </cell>
          <cell r="D342">
            <v>1</v>
          </cell>
          <cell r="E342">
            <v>3.3</v>
          </cell>
          <cell r="F342">
            <v>421</v>
          </cell>
          <cell r="G342">
            <v>712.8</v>
          </cell>
          <cell r="H342">
            <v>0</v>
          </cell>
          <cell r="I342">
            <v>46.4</v>
          </cell>
          <cell r="J342">
            <v>18.7</v>
          </cell>
          <cell r="K342">
            <v>0</v>
          </cell>
          <cell r="L342">
            <v>0</v>
          </cell>
          <cell r="M342">
            <v>647.70000000000005</v>
          </cell>
          <cell r="N342">
            <v>0</v>
          </cell>
          <cell r="O342">
            <v>0</v>
          </cell>
          <cell r="P342">
            <v>0</v>
          </cell>
          <cell r="Q342">
            <v>0</v>
          </cell>
          <cell r="R342">
            <v>0</v>
          </cell>
          <cell r="S342">
            <v>0</v>
          </cell>
          <cell r="T342">
            <v>0</v>
          </cell>
          <cell r="U342">
            <v>0</v>
          </cell>
          <cell r="V342">
            <v>0</v>
          </cell>
          <cell r="W342">
            <v>0</v>
          </cell>
          <cell r="X342">
            <v>0</v>
          </cell>
          <cell r="Y342">
            <v>0</v>
          </cell>
          <cell r="Z342">
            <v>0</v>
          </cell>
        </row>
        <row r="343">
          <cell r="A343" t="str">
            <v>NN029</v>
          </cell>
          <cell r="B343" t="str">
            <v>Nguyễn Thị Thu</v>
          </cell>
          <cell r="C343" t="str">
            <v>Thủy</v>
          </cell>
          <cell r="D343">
            <v>1</v>
          </cell>
          <cell r="E343">
            <v>2.1</v>
          </cell>
          <cell r="F343">
            <v>551</v>
          </cell>
          <cell r="G343">
            <v>752.2</v>
          </cell>
          <cell r="H343">
            <v>0</v>
          </cell>
          <cell r="I343">
            <v>41.4</v>
          </cell>
          <cell r="J343">
            <v>16.7</v>
          </cell>
          <cell r="K343">
            <v>0</v>
          </cell>
          <cell r="L343">
            <v>0</v>
          </cell>
          <cell r="M343">
            <v>463.9</v>
          </cell>
          <cell r="N343">
            <v>0</v>
          </cell>
          <cell r="O343">
            <v>0</v>
          </cell>
          <cell r="P343">
            <v>0</v>
          </cell>
          <cell r="Q343">
            <v>0</v>
          </cell>
          <cell r="R343">
            <v>0</v>
          </cell>
          <cell r="S343">
            <v>0</v>
          </cell>
          <cell r="T343">
            <v>216</v>
          </cell>
          <cell r="U343">
            <v>10</v>
          </cell>
          <cell r="V343">
            <v>0</v>
          </cell>
          <cell r="W343">
            <v>4.2</v>
          </cell>
          <cell r="X343">
            <v>0</v>
          </cell>
          <cell r="Y343">
            <v>0</v>
          </cell>
          <cell r="Z343">
            <v>0</v>
          </cell>
        </row>
        <row r="344">
          <cell r="A344" t="str">
            <v>NTS02</v>
          </cell>
          <cell r="B344" t="str">
            <v>Trịnh Đình</v>
          </cell>
          <cell r="C344" t="str">
            <v>Khuyến</v>
          </cell>
          <cell r="D344">
            <v>1</v>
          </cell>
          <cell r="E344">
            <v>2.4</v>
          </cell>
          <cell r="F344">
            <v>103</v>
          </cell>
          <cell r="G344">
            <v>120.3</v>
          </cell>
          <cell r="H344">
            <v>0</v>
          </cell>
          <cell r="I344">
            <v>7.7</v>
          </cell>
          <cell r="J344">
            <v>3.1</v>
          </cell>
          <cell r="K344">
            <v>0</v>
          </cell>
          <cell r="L344">
            <v>0</v>
          </cell>
          <cell r="M344">
            <v>86.5</v>
          </cell>
          <cell r="N344">
            <v>0</v>
          </cell>
          <cell r="O344">
            <v>23</v>
          </cell>
          <cell r="P344">
            <v>0</v>
          </cell>
          <cell r="Q344">
            <v>0</v>
          </cell>
          <cell r="R344">
            <v>0</v>
          </cell>
          <cell r="S344">
            <v>0</v>
          </cell>
          <cell r="T344">
            <v>0</v>
          </cell>
          <cell r="U344">
            <v>0</v>
          </cell>
          <cell r="V344">
            <v>0</v>
          </cell>
          <cell r="W344">
            <v>0</v>
          </cell>
          <cell r="X344">
            <v>0</v>
          </cell>
          <cell r="Y344">
            <v>0</v>
          </cell>
          <cell r="Z344">
            <v>0</v>
          </cell>
        </row>
        <row r="345">
          <cell r="A345" t="str">
            <v>NTS03</v>
          </cell>
          <cell r="B345" t="str">
            <v>Nguyễn Ngọc</v>
          </cell>
          <cell r="C345" t="str">
            <v>Tuấn</v>
          </cell>
          <cell r="D345">
            <v>28</v>
          </cell>
          <cell r="E345">
            <v>28</v>
          </cell>
          <cell r="F345">
            <v>95</v>
          </cell>
          <cell r="G345">
            <v>101.4</v>
          </cell>
          <cell r="H345">
            <v>0</v>
          </cell>
          <cell r="I345">
            <v>6</v>
          </cell>
          <cell r="J345">
            <v>2.4</v>
          </cell>
          <cell r="K345">
            <v>0</v>
          </cell>
          <cell r="L345">
            <v>0</v>
          </cell>
          <cell r="M345">
            <v>37</v>
          </cell>
          <cell r="N345">
            <v>0</v>
          </cell>
          <cell r="O345">
            <v>0</v>
          </cell>
          <cell r="P345">
            <v>0</v>
          </cell>
          <cell r="Q345">
            <v>0</v>
          </cell>
          <cell r="R345">
            <v>0</v>
          </cell>
          <cell r="S345">
            <v>0</v>
          </cell>
          <cell r="T345">
            <v>0</v>
          </cell>
          <cell r="U345">
            <v>0</v>
          </cell>
          <cell r="V345">
            <v>0</v>
          </cell>
          <cell r="W345">
            <v>0</v>
          </cell>
          <cell r="X345">
            <v>56</v>
          </cell>
          <cell r="Y345">
            <v>0</v>
          </cell>
          <cell r="Z345">
            <v>0</v>
          </cell>
        </row>
        <row r="346">
          <cell r="A346" t="str">
            <v>NTS04</v>
          </cell>
          <cell r="B346" t="str">
            <v>Lê Thị Hoàng</v>
          </cell>
          <cell r="C346" t="str">
            <v>Hằng</v>
          </cell>
          <cell r="D346">
            <v>1</v>
          </cell>
          <cell r="E346">
            <v>2.9</v>
          </cell>
          <cell r="F346">
            <v>64</v>
          </cell>
          <cell r="G346">
            <v>69.599999999999994</v>
          </cell>
          <cell r="H346">
            <v>0</v>
          </cell>
          <cell r="I346">
            <v>6.8</v>
          </cell>
          <cell r="J346">
            <v>2.8</v>
          </cell>
          <cell r="K346">
            <v>0</v>
          </cell>
          <cell r="L346">
            <v>0</v>
          </cell>
          <cell r="M346">
            <v>60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NTS05</v>
          </cell>
          <cell r="B347" t="str">
            <v>Kim Văn</v>
          </cell>
          <cell r="C347" t="str">
            <v>Vạn</v>
          </cell>
          <cell r="D347">
            <v>10</v>
          </cell>
          <cell r="E347">
            <v>10</v>
          </cell>
          <cell r="F347">
            <v>354.4</v>
          </cell>
          <cell r="G347">
            <v>392.8</v>
          </cell>
          <cell r="H347">
            <v>0</v>
          </cell>
          <cell r="I347">
            <v>12.2</v>
          </cell>
          <cell r="J347">
            <v>4.9000000000000004</v>
          </cell>
          <cell r="K347">
            <v>26.4</v>
          </cell>
          <cell r="L347">
            <v>0</v>
          </cell>
          <cell r="M347">
            <v>74</v>
          </cell>
          <cell r="N347">
            <v>0</v>
          </cell>
          <cell r="O347">
            <v>66</v>
          </cell>
          <cell r="P347">
            <v>0</v>
          </cell>
          <cell r="Q347">
            <v>0</v>
          </cell>
          <cell r="R347">
            <v>0</v>
          </cell>
          <cell r="S347">
            <v>40</v>
          </cell>
          <cell r="T347">
            <v>54</v>
          </cell>
          <cell r="U347">
            <v>0.9</v>
          </cell>
          <cell r="V347">
            <v>0</v>
          </cell>
          <cell r="W347">
            <v>0.4</v>
          </cell>
          <cell r="X347">
            <v>104</v>
          </cell>
          <cell r="Y347">
            <v>0</v>
          </cell>
          <cell r="Z347">
            <v>10</v>
          </cell>
        </row>
        <row r="348">
          <cell r="A348" t="str">
            <v>NTS12</v>
          </cell>
          <cell r="B348" t="str">
            <v>Trần ánh</v>
          </cell>
          <cell r="C348" t="str">
            <v>Tuyết</v>
          </cell>
          <cell r="D348">
            <v>1</v>
          </cell>
          <cell r="E348">
            <v>5.8</v>
          </cell>
          <cell r="F348">
            <v>99</v>
          </cell>
          <cell r="G348">
            <v>107.5</v>
          </cell>
          <cell r="H348">
            <v>0</v>
          </cell>
          <cell r="I348">
            <v>8.9</v>
          </cell>
          <cell r="J348">
            <v>3.6</v>
          </cell>
          <cell r="K348">
            <v>0</v>
          </cell>
          <cell r="L348">
            <v>0</v>
          </cell>
          <cell r="M348">
            <v>65</v>
          </cell>
          <cell r="N348">
            <v>0</v>
          </cell>
          <cell r="O348">
            <v>30</v>
          </cell>
          <cell r="P348">
            <v>0</v>
          </cell>
          <cell r="Q348">
            <v>0</v>
          </cell>
          <cell r="R348">
            <v>0</v>
          </cell>
          <cell r="S348">
            <v>0</v>
          </cell>
          <cell r="T348">
            <v>0</v>
          </cell>
          <cell r="U348">
            <v>0</v>
          </cell>
          <cell r="V348">
            <v>0</v>
          </cell>
          <cell r="W348">
            <v>0</v>
          </cell>
          <cell r="X348">
            <v>0</v>
          </cell>
          <cell r="Y348">
            <v>0</v>
          </cell>
          <cell r="Z348">
            <v>0</v>
          </cell>
        </row>
        <row r="349">
          <cell r="A349" t="str">
            <v>NTS13</v>
          </cell>
          <cell r="B349" t="str">
            <v>Trương Đình</v>
          </cell>
          <cell r="C349" t="str">
            <v>Hoài</v>
          </cell>
          <cell r="D349">
            <v>1</v>
          </cell>
          <cell r="E349">
            <v>0.9</v>
          </cell>
          <cell r="F349">
            <v>149</v>
          </cell>
          <cell r="G349">
            <v>185</v>
          </cell>
          <cell r="H349">
            <v>0</v>
          </cell>
          <cell r="I349">
            <v>10.6</v>
          </cell>
          <cell r="J349">
            <v>3.1</v>
          </cell>
          <cell r="K349">
            <v>0</v>
          </cell>
          <cell r="L349">
            <v>0</v>
          </cell>
          <cell r="M349">
            <v>44</v>
          </cell>
          <cell r="N349">
            <v>0</v>
          </cell>
          <cell r="O349">
            <v>72</v>
          </cell>
          <cell r="P349">
            <v>0</v>
          </cell>
          <cell r="Q349">
            <v>0</v>
          </cell>
          <cell r="R349">
            <v>0</v>
          </cell>
          <cell r="S349">
            <v>0</v>
          </cell>
          <cell r="T349">
            <v>54</v>
          </cell>
          <cell r="U349">
            <v>0.9</v>
          </cell>
          <cell r="V349">
            <v>0</v>
          </cell>
          <cell r="W349">
            <v>0.4</v>
          </cell>
          <cell r="X349">
            <v>0</v>
          </cell>
          <cell r="Y349">
            <v>0</v>
          </cell>
          <cell r="Z349">
            <v>0</v>
          </cell>
        </row>
        <row r="350">
          <cell r="A350" t="str">
            <v>NTS15</v>
          </cell>
          <cell r="B350" t="str">
            <v>Nguyễn Thị</v>
          </cell>
          <cell r="C350" t="str">
            <v>Mai</v>
          </cell>
          <cell r="D350">
            <v>1</v>
          </cell>
          <cell r="E350">
            <v>2.5</v>
          </cell>
          <cell r="F350">
            <v>32</v>
          </cell>
          <cell r="G350">
            <v>33.5</v>
          </cell>
          <cell r="H350">
            <v>0</v>
          </cell>
          <cell r="I350">
            <v>2.5</v>
          </cell>
          <cell r="J350">
            <v>1</v>
          </cell>
          <cell r="K350">
            <v>0</v>
          </cell>
          <cell r="L350">
            <v>0</v>
          </cell>
          <cell r="M350">
            <v>22</v>
          </cell>
          <cell r="N350">
            <v>0</v>
          </cell>
          <cell r="O350">
            <v>8</v>
          </cell>
          <cell r="P350">
            <v>0</v>
          </cell>
          <cell r="Q350">
            <v>0</v>
          </cell>
          <cell r="R350">
            <v>0</v>
          </cell>
          <cell r="S350">
            <v>0</v>
          </cell>
          <cell r="T350">
            <v>0</v>
          </cell>
          <cell r="U350">
            <v>0</v>
          </cell>
          <cell r="V350">
            <v>0</v>
          </cell>
          <cell r="W350">
            <v>0</v>
          </cell>
          <cell r="X350">
            <v>0</v>
          </cell>
          <cell r="Y350">
            <v>0</v>
          </cell>
          <cell r="Z350">
            <v>0</v>
          </cell>
        </row>
        <row r="351">
          <cell r="A351" t="str">
            <v>NTS19</v>
          </cell>
          <cell r="B351" t="str">
            <v>Nguyễn Công</v>
          </cell>
          <cell r="C351" t="str">
            <v>Thiết</v>
          </cell>
          <cell r="D351">
            <v>1</v>
          </cell>
          <cell r="E351">
            <v>5.3</v>
          </cell>
          <cell r="F351">
            <v>72</v>
          </cell>
          <cell r="G351">
            <v>95.2</v>
          </cell>
          <cell r="H351">
            <v>0</v>
          </cell>
          <cell r="I351">
            <v>11.6</v>
          </cell>
          <cell r="J351">
            <v>4.5999999999999996</v>
          </cell>
          <cell r="K351">
            <v>0</v>
          </cell>
          <cell r="L351">
            <v>0</v>
          </cell>
          <cell r="M351">
            <v>55</v>
          </cell>
          <cell r="N351">
            <v>0</v>
          </cell>
          <cell r="O351">
            <v>24</v>
          </cell>
          <cell r="P351">
            <v>0</v>
          </cell>
          <cell r="Q351">
            <v>0</v>
          </cell>
          <cell r="R351">
            <v>0</v>
          </cell>
          <cell r="S351">
            <v>0</v>
          </cell>
          <cell r="T351">
            <v>0</v>
          </cell>
          <cell r="U351">
            <v>0</v>
          </cell>
          <cell r="V351">
            <v>0</v>
          </cell>
          <cell r="W351">
            <v>0</v>
          </cell>
          <cell r="X351">
            <v>0</v>
          </cell>
          <cell r="Y351">
            <v>0</v>
          </cell>
          <cell r="Z351">
            <v>0</v>
          </cell>
        </row>
        <row r="352">
          <cell r="A352" t="str">
            <v>NTS21</v>
          </cell>
          <cell r="B352" t="str">
            <v>Đoàn Thị</v>
          </cell>
          <cell r="C352" t="str">
            <v>Nhinh</v>
          </cell>
          <cell r="D352">
            <v>20</v>
          </cell>
          <cell r="E352">
            <v>20</v>
          </cell>
          <cell r="F352">
            <v>98</v>
          </cell>
          <cell r="G352">
            <v>111.9</v>
          </cell>
          <cell r="H352">
            <v>0</v>
          </cell>
          <cell r="I352">
            <v>6</v>
          </cell>
          <cell r="J352">
            <v>2.4</v>
          </cell>
          <cell r="K352">
            <v>0</v>
          </cell>
          <cell r="L352">
            <v>0</v>
          </cell>
          <cell r="M352">
            <v>37.5</v>
          </cell>
          <cell r="N352">
            <v>0</v>
          </cell>
          <cell r="O352">
            <v>46</v>
          </cell>
          <cell r="P352">
            <v>0</v>
          </cell>
          <cell r="Q352">
            <v>0</v>
          </cell>
          <cell r="R352">
            <v>0</v>
          </cell>
          <cell r="S352">
            <v>20</v>
          </cell>
          <cell r="T352">
            <v>0</v>
          </cell>
          <cell r="U352">
            <v>0</v>
          </cell>
          <cell r="V352">
            <v>0</v>
          </cell>
          <cell r="W352">
            <v>0</v>
          </cell>
          <cell r="X352">
            <v>0</v>
          </cell>
          <cell r="Y352">
            <v>0</v>
          </cell>
          <cell r="Z352">
            <v>0</v>
          </cell>
        </row>
        <row r="353">
          <cell r="A353" t="str">
            <v>NTS22</v>
          </cell>
          <cell r="B353" t="str">
            <v>Nguyễn Thị</v>
          </cell>
          <cell r="C353" t="str">
            <v>Dung</v>
          </cell>
          <cell r="D353">
            <v>15</v>
          </cell>
          <cell r="E353">
            <v>15</v>
          </cell>
          <cell r="F353">
            <v>62</v>
          </cell>
          <cell r="G353">
            <v>70</v>
          </cell>
          <cell r="H353">
            <v>0</v>
          </cell>
          <cell r="I353">
            <v>0</v>
          </cell>
          <cell r="J353">
            <v>0</v>
          </cell>
          <cell r="K353">
            <v>0</v>
          </cell>
          <cell r="L353">
            <v>0</v>
          </cell>
          <cell r="M353">
            <v>0</v>
          </cell>
          <cell r="N353">
            <v>0</v>
          </cell>
          <cell r="O353">
            <v>70</v>
          </cell>
          <cell r="P353">
            <v>0</v>
          </cell>
          <cell r="Q353">
            <v>0</v>
          </cell>
          <cell r="R353">
            <v>0</v>
          </cell>
          <cell r="S353">
            <v>0</v>
          </cell>
          <cell r="T353">
            <v>0</v>
          </cell>
          <cell r="U353">
            <v>0</v>
          </cell>
          <cell r="V353">
            <v>0</v>
          </cell>
          <cell r="W353">
            <v>0</v>
          </cell>
          <cell r="X353">
            <v>0</v>
          </cell>
          <cell r="Y353">
            <v>0</v>
          </cell>
          <cell r="Z353">
            <v>0</v>
          </cell>
        </row>
        <row r="354">
          <cell r="A354" t="str">
            <v>PHL02</v>
          </cell>
          <cell r="B354" t="str">
            <v>Trịnh Thị Ngọc</v>
          </cell>
          <cell r="C354" t="str">
            <v>Anh</v>
          </cell>
          <cell r="D354">
            <v>1</v>
          </cell>
          <cell r="E354">
            <v>7.4</v>
          </cell>
          <cell r="F354">
            <v>480</v>
          </cell>
          <cell r="G354">
            <v>790.5</v>
          </cell>
          <cell r="H354">
            <v>0</v>
          </cell>
          <cell r="I354">
            <v>146.80000000000001</v>
          </cell>
          <cell r="J354">
            <v>59.1</v>
          </cell>
          <cell r="K354">
            <v>0</v>
          </cell>
          <cell r="L354">
            <v>0</v>
          </cell>
          <cell r="M354">
            <v>584.6</v>
          </cell>
          <cell r="N354">
            <v>0</v>
          </cell>
          <cell r="O354">
            <v>0</v>
          </cell>
          <cell r="P354">
            <v>0</v>
          </cell>
          <cell r="Q354">
            <v>0</v>
          </cell>
          <cell r="R354">
            <v>0</v>
          </cell>
          <cell r="S354">
            <v>0</v>
          </cell>
          <cell r="T354">
            <v>0</v>
          </cell>
          <cell r="U354">
            <v>0</v>
          </cell>
          <cell r="V354">
            <v>0</v>
          </cell>
          <cell r="W354">
            <v>0</v>
          </cell>
          <cell r="X354">
            <v>0</v>
          </cell>
          <cell r="Y354">
            <v>0</v>
          </cell>
          <cell r="Z354">
            <v>0</v>
          </cell>
        </row>
        <row r="355">
          <cell r="A355" t="str">
            <v>PHL03</v>
          </cell>
          <cell r="B355" t="str">
            <v>Lê Thị</v>
          </cell>
          <cell r="C355" t="str">
            <v>Yến</v>
          </cell>
          <cell r="D355">
            <v>1</v>
          </cell>
          <cell r="E355">
            <v>9.8000000000000007</v>
          </cell>
          <cell r="F355">
            <v>192</v>
          </cell>
          <cell r="G355">
            <v>287.5</v>
          </cell>
          <cell r="H355">
            <v>0</v>
          </cell>
          <cell r="I355">
            <v>57.1</v>
          </cell>
          <cell r="J355">
            <v>23</v>
          </cell>
          <cell r="K355">
            <v>0</v>
          </cell>
          <cell r="L355">
            <v>0</v>
          </cell>
          <cell r="M355">
            <v>207.4</v>
          </cell>
          <cell r="N355">
            <v>0</v>
          </cell>
          <cell r="O355">
            <v>0</v>
          </cell>
          <cell r="P355">
            <v>0</v>
          </cell>
          <cell r="Q355">
            <v>0</v>
          </cell>
          <cell r="R355">
            <v>0</v>
          </cell>
          <cell r="S355">
            <v>0</v>
          </cell>
          <cell r="T355">
            <v>0</v>
          </cell>
          <cell r="U355">
            <v>0</v>
          </cell>
          <cell r="V355">
            <v>0</v>
          </cell>
          <cell r="W355">
            <v>0</v>
          </cell>
          <cell r="X355">
            <v>0</v>
          </cell>
          <cell r="Y355">
            <v>0</v>
          </cell>
          <cell r="Z355">
            <v>0</v>
          </cell>
        </row>
        <row r="356">
          <cell r="A356" t="str">
            <v>PHL05</v>
          </cell>
          <cell r="B356" t="str">
            <v>Nguyễn Thị</v>
          </cell>
          <cell r="C356" t="str">
            <v>Ngân</v>
          </cell>
          <cell r="D356">
            <v>1</v>
          </cell>
          <cell r="E356">
            <v>5.9</v>
          </cell>
          <cell r="F356">
            <v>160</v>
          </cell>
          <cell r="G356">
            <v>232.4</v>
          </cell>
          <cell r="H356">
            <v>0</v>
          </cell>
          <cell r="I356">
            <v>43.4</v>
          </cell>
          <cell r="J356">
            <v>17.399999999999999</v>
          </cell>
          <cell r="K356">
            <v>0</v>
          </cell>
          <cell r="L356">
            <v>0</v>
          </cell>
          <cell r="M356">
            <v>171.6</v>
          </cell>
          <cell r="N356">
            <v>0</v>
          </cell>
          <cell r="O356">
            <v>0</v>
          </cell>
          <cell r="P356">
            <v>0</v>
          </cell>
          <cell r="Q356">
            <v>0</v>
          </cell>
          <cell r="R356">
            <v>0</v>
          </cell>
          <cell r="S356">
            <v>0</v>
          </cell>
          <cell r="T356">
            <v>0</v>
          </cell>
          <cell r="U356">
            <v>0</v>
          </cell>
          <cell r="V356">
            <v>0</v>
          </cell>
          <cell r="W356">
            <v>0</v>
          </cell>
          <cell r="X356">
            <v>0</v>
          </cell>
          <cell r="Y356">
            <v>0</v>
          </cell>
          <cell r="Z356">
            <v>0</v>
          </cell>
        </row>
        <row r="357">
          <cell r="A357" t="str">
            <v>PHL06</v>
          </cell>
          <cell r="B357" t="str">
            <v>Vũ Văn</v>
          </cell>
          <cell r="C357" t="str">
            <v>Tuấn</v>
          </cell>
          <cell r="D357">
            <v>1</v>
          </cell>
          <cell r="E357">
            <v>4.8</v>
          </cell>
          <cell r="F357">
            <v>589</v>
          </cell>
          <cell r="G357">
            <v>802.9</v>
          </cell>
          <cell r="H357">
            <v>0</v>
          </cell>
          <cell r="I357">
            <v>109.9</v>
          </cell>
          <cell r="J357">
            <v>44.2</v>
          </cell>
          <cell r="K357">
            <v>0</v>
          </cell>
          <cell r="L357">
            <v>0</v>
          </cell>
          <cell r="M357">
            <v>648.79999999999995</v>
          </cell>
          <cell r="N357">
            <v>0</v>
          </cell>
          <cell r="O357">
            <v>0</v>
          </cell>
          <cell r="P357">
            <v>0</v>
          </cell>
          <cell r="Q357">
            <v>0</v>
          </cell>
          <cell r="R357">
            <v>0</v>
          </cell>
          <cell r="S357">
            <v>0</v>
          </cell>
          <cell r="T357">
            <v>0</v>
          </cell>
          <cell r="U357">
            <v>0</v>
          </cell>
          <cell r="V357">
            <v>0</v>
          </cell>
          <cell r="W357">
            <v>0</v>
          </cell>
          <cell r="X357">
            <v>0</v>
          </cell>
          <cell r="Y357">
            <v>0</v>
          </cell>
          <cell r="Z357">
            <v>0</v>
          </cell>
        </row>
        <row r="358">
          <cell r="A358" t="str">
            <v>PHL09</v>
          </cell>
          <cell r="B358" t="str">
            <v>Đỗ Thị Kim</v>
          </cell>
          <cell r="C358" t="str">
            <v>Hương</v>
          </cell>
          <cell r="D358">
            <v>1</v>
          </cell>
          <cell r="E358">
            <v>12.3</v>
          </cell>
          <cell r="F358">
            <v>288</v>
          </cell>
          <cell r="G358">
            <v>399.9</v>
          </cell>
          <cell r="H358">
            <v>0</v>
          </cell>
          <cell r="I358">
            <v>66.3</v>
          </cell>
          <cell r="J358">
            <v>26.7</v>
          </cell>
          <cell r="K358">
            <v>0</v>
          </cell>
          <cell r="L358">
            <v>0</v>
          </cell>
          <cell r="M358">
            <v>306.89999999999998</v>
          </cell>
          <cell r="N358">
            <v>0</v>
          </cell>
          <cell r="O358">
            <v>0</v>
          </cell>
          <cell r="P358">
            <v>0</v>
          </cell>
          <cell r="Q358">
            <v>0</v>
          </cell>
          <cell r="R358">
            <v>0</v>
          </cell>
          <cell r="S358">
            <v>0</v>
          </cell>
          <cell r="T358">
            <v>0</v>
          </cell>
          <cell r="U358">
            <v>0</v>
          </cell>
          <cell r="V358">
            <v>0</v>
          </cell>
          <cell r="W358">
            <v>0</v>
          </cell>
          <cell r="X358">
            <v>0</v>
          </cell>
          <cell r="Y358">
            <v>0</v>
          </cell>
          <cell r="Z358">
            <v>0</v>
          </cell>
        </row>
        <row r="359">
          <cell r="A359" t="str">
            <v>PHL10</v>
          </cell>
          <cell r="B359" t="str">
            <v>Tô Thái</v>
          </cell>
          <cell r="C359" t="str">
            <v>Hà</v>
          </cell>
          <cell r="D359">
            <v>1</v>
          </cell>
          <cell r="E359">
            <v>3.9</v>
          </cell>
          <cell r="F359">
            <v>480</v>
          </cell>
          <cell r="G359">
            <v>712.5</v>
          </cell>
          <cell r="H359">
            <v>0</v>
          </cell>
          <cell r="I359">
            <v>117.4</v>
          </cell>
          <cell r="J359">
            <v>47.2</v>
          </cell>
          <cell r="K359">
            <v>0</v>
          </cell>
          <cell r="L359">
            <v>0</v>
          </cell>
          <cell r="M359">
            <v>547.9</v>
          </cell>
          <cell r="N359">
            <v>0</v>
          </cell>
          <cell r="O359">
            <v>0</v>
          </cell>
          <cell r="P359">
            <v>0</v>
          </cell>
          <cell r="Q359">
            <v>0</v>
          </cell>
          <cell r="R359">
            <v>0</v>
          </cell>
          <cell r="S359">
            <v>0</v>
          </cell>
          <cell r="T359">
            <v>0</v>
          </cell>
          <cell r="U359">
            <v>0</v>
          </cell>
          <cell r="V359">
            <v>0</v>
          </cell>
          <cell r="W359">
            <v>0</v>
          </cell>
          <cell r="X359">
            <v>0</v>
          </cell>
          <cell r="Y359">
            <v>0</v>
          </cell>
          <cell r="Z359">
            <v>0</v>
          </cell>
        </row>
        <row r="360">
          <cell r="A360" t="str">
            <v>PPG01</v>
          </cell>
          <cell r="B360" t="str">
            <v>Nguyễn Công</v>
          </cell>
          <cell r="C360" t="str">
            <v>Ước</v>
          </cell>
          <cell r="D360">
            <v>20</v>
          </cell>
          <cell r="E360">
            <v>20</v>
          </cell>
          <cell r="F360">
            <v>393</v>
          </cell>
          <cell r="G360">
            <v>408.7</v>
          </cell>
          <cell r="H360">
            <v>0</v>
          </cell>
          <cell r="I360">
            <v>21.2</v>
          </cell>
          <cell r="J360">
            <v>8.5</v>
          </cell>
          <cell r="K360">
            <v>0</v>
          </cell>
          <cell r="L360">
            <v>0</v>
          </cell>
          <cell r="M360">
            <v>210</v>
          </cell>
          <cell r="N360">
            <v>0</v>
          </cell>
          <cell r="O360">
            <v>15</v>
          </cell>
          <cell r="P360">
            <v>0</v>
          </cell>
          <cell r="Q360">
            <v>0</v>
          </cell>
          <cell r="R360">
            <v>0</v>
          </cell>
          <cell r="S360">
            <v>154</v>
          </cell>
          <cell r="T360">
            <v>0</v>
          </cell>
          <cell r="U360">
            <v>0</v>
          </cell>
          <cell r="V360">
            <v>0</v>
          </cell>
          <cell r="W360">
            <v>0</v>
          </cell>
          <cell r="X360">
            <v>0</v>
          </cell>
          <cell r="Y360">
            <v>0</v>
          </cell>
          <cell r="Z360">
            <v>0</v>
          </cell>
        </row>
        <row r="361">
          <cell r="A361" t="str">
            <v>PPG03</v>
          </cell>
          <cell r="B361" t="str">
            <v>Nguyễn Tất</v>
          </cell>
          <cell r="C361" t="str">
            <v>Thắng</v>
          </cell>
          <cell r="D361">
            <v>20</v>
          </cell>
          <cell r="E361">
            <v>20</v>
          </cell>
          <cell r="F361">
            <v>152</v>
          </cell>
          <cell r="G361">
            <v>150.6</v>
          </cell>
          <cell r="H361">
            <v>0</v>
          </cell>
          <cell r="I361">
            <v>0.4</v>
          </cell>
          <cell r="J361">
            <v>0.2</v>
          </cell>
          <cell r="K361">
            <v>0</v>
          </cell>
          <cell r="L361">
            <v>0</v>
          </cell>
          <cell r="M361">
            <v>22</v>
          </cell>
          <cell r="N361">
            <v>0</v>
          </cell>
          <cell r="O361">
            <v>8</v>
          </cell>
          <cell r="P361">
            <v>0</v>
          </cell>
          <cell r="Q361">
            <v>0</v>
          </cell>
          <cell r="R361">
            <v>0</v>
          </cell>
          <cell r="S361">
            <v>120</v>
          </cell>
          <cell r="T361">
            <v>0</v>
          </cell>
          <cell r="U361">
            <v>0</v>
          </cell>
          <cell r="V361">
            <v>0</v>
          </cell>
          <cell r="W361">
            <v>0</v>
          </cell>
          <cell r="X361">
            <v>0</v>
          </cell>
          <cell r="Y361">
            <v>0</v>
          </cell>
          <cell r="Z361">
            <v>0</v>
          </cell>
        </row>
        <row r="362">
          <cell r="A362" t="str">
            <v>PPG05</v>
          </cell>
          <cell r="B362" t="str">
            <v>Bùi Thị Hải</v>
          </cell>
          <cell r="C362" t="str">
            <v>Yến</v>
          </cell>
          <cell r="D362">
            <v>20</v>
          </cell>
          <cell r="E362">
            <v>20</v>
          </cell>
          <cell r="F362">
            <v>243</v>
          </cell>
          <cell r="G362">
            <v>270.10000000000002</v>
          </cell>
          <cell r="H362">
            <v>0</v>
          </cell>
          <cell r="I362">
            <v>14.2</v>
          </cell>
          <cell r="J362">
            <v>5.9</v>
          </cell>
          <cell r="K362">
            <v>0</v>
          </cell>
          <cell r="L362">
            <v>0</v>
          </cell>
          <cell r="M362">
            <v>60</v>
          </cell>
          <cell r="N362">
            <v>0</v>
          </cell>
          <cell r="O362">
            <v>90</v>
          </cell>
          <cell r="P362">
            <v>0</v>
          </cell>
          <cell r="Q362">
            <v>0</v>
          </cell>
          <cell r="R362">
            <v>0</v>
          </cell>
          <cell r="S362">
            <v>100</v>
          </cell>
          <cell r="T362">
            <v>0</v>
          </cell>
          <cell r="U362">
            <v>0</v>
          </cell>
          <cell r="V362">
            <v>0</v>
          </cell>
          <cell r="W362">
            <v>0</v>
          </cell>
          <cell r="X362">
            <v>0</v>
          </cell>
          <cell r="Y362">
            <v>0</v>
          </cell>
          <cell r="Z362">
            <v>0</v>
          </cell>
        </row>
        <row r="363">
          <cell r="A363" t="str">
            <v>PPG06</v>
          </cell>
          <cell r="B363" t="str">
            <v>Lê Thị Kim</v>
          </cell>
          <cell r="C363" t="str">
            <v>Thư</v>
          </cell>
          <cell r="D363">
            <v>20</v>
          </cell>
          <cell r="E363">
            <v>20</v>
          </cell>
          <cell r="F363">
            <v>156</v>
          </cell>
          <cell r="G363">
            <v>179.6</v>
          </cell>
          <cell r="H363">
            <v>0</v>
          </cell>
          <cell r="I363">
            <v>10.7</v>
          </cell>
          <cell r="J363">
            <v>2.9</v>
          </cell>
          <cell r="K363">
            <v>0</v>
          </cell>
          <cell r="L363">
            <v>0</v>
          </cell>
          <cell r="M363">
            <v>30</v>
          </cell>
          <cell r="N363">
            <v>0</v>
          </cell>
          <cell r="O363">
            <v>90</v>
          </cell>
          <cell r="P363">
            <v>0</v>
          </cell>
          <cell r="Q363">
            <v>0</v>
          </cell>
          <cell r="R363">
            <v>0</v>
          </cell>
          <cell r="S363">
            <v>46</v>
          </cell>
          <cell r="T363">
            <v>0</v>
          </cell>
          <cell r="U363">
            <v>0</v>
          </cell>
          <cell r="V363">
            <v>0</v>
          </cell>
          <cell r="W363">
            <v>0</v>
          </cell>
          <cell r="X363">
            <v>0</v>
          </cell>
          <cell r="Y363">
            <v>0</v>
          </cell>
          <cell r="Z363">
            <v>0</v>
          </cell>
        </row>
        <row r="364">
          <cell r="A364" t="str">
            <v>PTN01</v>
          </cell>
          <cell r="B364" t="str">
            <v>Mai Thanh</v>
          </cell>
          <cell r="C364" t="str">
            <v>Cúc</v>
          </cell>
          <cell r="D364">
            <v>15</v>
          </cell>
          <cell r="E364">
            <v>15</v>
          </cell>
          <cell r="F364">
            <v>1099</v>
          </cell>
          <cell r="G364">
            <v>1410.7</v>
          </cell>
          <cell r="H364">
            <v>0</v>
          </cell>
          <cell r="I364">
            <v>18.100000000000001</v>
          </cell>
          <cell r="J364">
            <v>7.3</v>
          </cell>
          <cell r="K364">
            <v>0</v>
          </cell>
          <cell r="L364">
            <v>0</v>
          </cell>
          <cell r="M364">
            <v>180</v>
          </cell>
          <cell r="N364">
            <v>0</v>
          </cell>
          <cell r="O364">
            <v>0</v>
          </cell>
          <cell r="P364">
            <v>0</v>
          </cell>
          <cell r="Q364">
            <v>0</v>
          </cell>
          <cell r="R364">
            <v>0</v>
          </cell>
          <cell r="S364">
            <v>60</v>
          </cell>
          <cell r="T364">
            <v>583.5</v>
          </cell>
          <cell r="U364">
            <v>34.5</v>
          </cell>
          <cell r="V364">
            <v>0</v>
          </cell>
          <cell r="W364">
            <v>12.3</v>
          </cell>
          <cell r="X364">
            <v>440</v>
          </cell>
          <cell r="Y364">
            <v>15</v>
          </cell>
          <cell r="Z364">
            <v>60</v>
          </cell>
        </row>
        <row r="365">
          <cell r="A365" t="str">
            <v>PTN03</v>
          </cell>
          <cell r="B365" t="str">
            <v>Bạch Văn</v>
          </cell>
          <cell r="C365" t="str">
            <v>Thủy</v>
          </cell>
          <cell r="D365">
            <v>20</v>
          </cell>
          <cell r="E365">
            <v>20</v>
          </cell>
          <cell r="F365">
            <v>328</v>
          </cell>
          <cell r="G365">
            <v>361.6</v>
          </cell>
          <cell r="H365">
            <v>0</v>
          </cell>
          <cell r="I365">
            <v>21.1</v>
          </cell>
          <cell r="J365">
            <v>8.5</v>
          </cell>
          <cell r="K365">
            <v>0</v>
          </cell>
          <cell r="L365">
            <v>0</v>
          </cell>
          <cell r="M365">
            <v>192</v>
          </cell>
          <cell r="N365">
            <v>0</v>
          </cell>
          <cell r="O365">
            <v>0</v>
          </cell>
          <cell r="P365">
            <v>0</v>
          </cell>
          <cell r="Q365">
            <v>0</v>
          </cell>
          <cell r="R365">
            <v>0</v>
          </cell>
          <cell r="S365">
            <v>140</v>
          </cell>
          <cell r="T365">
            <v>0</v>
          </cell>
          <cell r="U365">
            <v>0</v>
          </cell>
          <cell r="V365">
            <v>0</v>
          </cell>
          <cell r="W365">
            <v>0</v>
          </cell>
          <cell r="X365">
            <v>0</v>
          </cell>
          <cell r="Y365">
            <v>0</v>
          </cell>
          <cell r="Z365">
            <v>0</v>
          </cell>
        </row>
        <row r="366">
          <cell r="A366" t="str">
            <v>PTN06</v>
          </cell>
          <cell r="B366" t="str">
            <v>Nguyễn Thị Minh</v>
          </cell>
          <cell r="C366" t="str">
            <v>Hiền</v>
          </cell>
          <cell r="D366">
            <v>15</v>
          </cell>
          <cell r="E366">
            <v>15</v>
          </cell>
          <cell r="F366">
            <v>915</v>
          </cell>
          <cell r="G366">
            <v>1067.4000000000001</v>
          </cell>
          <cell r="H366">
            <v>0</v>
          </cell>
          <cell r="I366">
            <v>12.9</v>
          </cell>
          <cell r="J366">
            <v>5.2</v>
          </cell>
          <cell r="K366">
            <v>0</v>
          </cell>
          <cell r="L366">
            <v>0</v>
          </cell>
          <cell r="M366">
            <v>135</v>
          </cell>
          <cell r="N366">
            <v>0</v>
          </cell>
          <cell r="O366">
            <v>0</v>
          </cell>
          <cell r="P366">
            <v>0</v>
          </cell>
          <cell r="Q366">
            <v>0</v>
          </cell>
          <cell r="R366">
            <v>0</v>
          </cell>
          <cell r="S366">
            <v>60</v>
          </cell>
          <cell r="T366">
            <v>171</v>
          </cell>
          <cell r="U366">
            <v>15</v>
          </cell>
          <cell r="V366">
            <v>0</v>
          </cell>
          <cell r="W366">
            <v>3.3</v>
          </cell>
          <cell r="X366">
            <v>440</v>
          </cell>
          <cell r="Y366">
            <v>15</v>
          </cell>
          <cell r="Z366">
            <v>210</v>
          </cell>
        </row>
        <row r="367">
          <cell r="A367" t="str">
            <v>PTN07</v>
          </cell>
          <cell r="B367" t="str">
            <v>Mai Lan</v>
          </cell>
          <cell r="C367" t="str">
            <v>Phương</v>
          </cell>
          <cell r="D367">
            <v>10</v>
          </cell>
          <cell r="E367">
            <v>10</v>
          </cell>
          <cell r="F367">
            <v>695</v>
          </cell>
          <cell r="G367">
            <v>912.4</v>
          </cell>
          <cell r="H367">
            <v>0</v>
          </cell>
          <cell r="I367">
            <v>48.1</v>
          </cell>
          <cell r="J367">
            <v>19.3</v>
          </cell>
          <cell r="K367">
            <v>0</v>
          </cell>
          <cell r="L367">
            <v>0</v>
          </cell>
          <cell r="M367">
            <v>435</v>
          </cell>
          <cell r="N367">
            <v>0</v>
          </cell>
          <cell r="O367">
            <v>0</v>
          </cell>
          <cell r="P367">
            <v>0</v>
          </cell>
          <cell r="Q367">
            <v>0</v>
          </cell>
          <cell r="R367">
            <v>0</v>
          </cell>
          <cell r="S367">
            <v>100</v>
          </cell>
          <cell r="T367">
            <v>135</v>
          </cell>
          <cell r="U367">
            <v>3.5</v>
          </cell>
          <cell r="V367">
            <v>0</v>
          </cell>
          <cell r="W367">
            <v>1.5</v>
          </cell>
          <cell r="X367">
            <v>160</v>
          </cell>
          <cell r="Y367">
            <v>0</v>
          </cell>
          <cell r="Z367">
            <v>10</v>
          </cell>
        </row>
        <row r="368">
          <cell r="A368" t="str">
            <v>PTN08</v>
          </cell>
          <cell r="B368" t="str">
            <v>Đỗ Thị Thanh</v>
          </cell>
          <cell r="C368" t="str">
            <v>Huyền</v>
          </cell>
          <cell r="D368">
            <v>10</v>
          </cell>
          <cell r="E368">
            <v>10</v>
          </cell>
          <cell r="F368">
            <v>274</v>
          </cell>
          <cell r="G368">
            <v>274</v>
          </cell>
          <cell r="H368">
            <v>0</v>
          </cell>
          <cell r="I368">
            <v>0</v>
          </cell>
          <cell r="J368">
            <v>0</v>
          </cell>
          <cell r="K368">
            <v>24</v>
          </cell>
          <cell r="L368">
            <v>0</v>
          </cell>
          <cell r="M368">
            <v>10</v>
          </cell>
          <cell r="N368">
            <v>0</v>
          </cell>
          <cell r="O368">
            <v>0</v>
          </cell>
          <cell r="P368">
            <v>0</v>
          </cell>
          <cell r="Q368">
            <v>0</v>
          </cell>
          <cell r="R368">
            <v>0</v>
          </cell>
          <cell r="S368">
            <v>240</v>
          </cell>
          <cell r="T368">
            <v>0</v>
          </cell>
          <cell r="U368">
            <v>0</v>
          </cell>
          <cell r="V368">
            <v>0</v>
          </cell>
          <cell r="W368">
            <v>0</v>
          </cell>
          <cell r="X368">
            <v>0</v>
          </cell>
          <cell r="Y368">
            <v>0</v>
          </cell>
          <cell r="Z368">
            <v>0</v>
          </cell>
        </row>
        <row r="369">
          <cell r="A369" t="str">
            <v>PTN09</v>
          </cell>
          <cell r="B369" t="str">
            <v>Nguyễn Minh</v>
          </cell>
          <cell r="C369" t="str">
            <v>Đức</v>
          </cell>
          <cell r="D369">
            <v>1</v>
          </cell>
          <cell r="E369">
            <v>0.9</v>
          </cell>
          <cell r="F369">
            <v>245</v>
          </cell>
          <cell r="G369">
            <v>330.4</v>
          </cell>
          <cell r="H369">
            <v>0</v>
          </cell>
          <cell r="I369">
            <v>23.1</v>
          </cell>
          <cell r="J369">
            <v>9.1999999999999993</v>
          </cell>
          <cell r="K369">
            <v>0</v>
          </cell>
          <cell r="L369">
            <v>0</v>
          </cell>
          <cell r="M369">
            <v>147</v>
          </cell>
          <cell r="N369">
            <v>0</v>
          </cell>
          <cell r="O369">
            <v>0</v>
          </cell>
          <cell r="P369">
            <v>0</v>
          </cell>
          <cell r="Q369">
            <v>0</v>
          </cell>
          <cell r="R369">
            <v>0</v>
          </cell>
          <cell r="S369">
            <v>40</v>
          </cell>
          <cell r="T369">
            <v>108</v>
          </cell>
          <cell r="U369">
            <v>2.2000000000000002</v>
          </cell>
          <cell r="V369">
            <v>0</v>
          </cell>
          <cell r="W369">
            <v>0.9</v>
          </cell>
          <cell r="X369">
            <v>0</v>
          </cell>
          <cell r="Y369">
            <v>0</v>
          </cell>
          <cell r="Z369">
            <v>0</v>
          </cell>
        </row>
        <row r="370">
          <cell r="A370" t="str">
            <v>PTN10</v>
          </cell>
          <cell r="B370" t="str">
            <v>Trần Mạnh</v>
          </cell>
          <cell r="C370" t="str">
            <v>Hải</v>
          </cell>
          <cell r="D370">
            <v>20</v>
          </cell>
          <cell r="E370">
            <v>20</v>
          </cell>
          <cell r="F370">
            <v>20</v>
          </cell>
          <cell r="G370">
            <v>20</v>
          </cell>
          <cell r="H370">
            <v>0</v>
          </cell>
          <cell r="I370">
            <v>0</v>
          </cell>
          <cell r="J370">
            <v>0</v>
          </cell>
          <cell r="K370">
            <v>0</v>
          </cell>
          <cell r="L370">
            <v>0</v>
          </cell>
          <cell r="M370">
            <v>0</v>
          </cell>
          <cell r="N370">
            <v>0</v>
          </cell>
          <cell r="O370">
            <v>0</v>
          </cell>
          <cell r="P370">
            <v>0</v>
          </cell>
          <cell r="Q370">
            <v>0</v>
          </cell>
          <cell r="R370">
            <v>0</v>
          </cell>
          <cell r="S370">
            <v>20</v>
          </cell>
          <cell r="T370">
            <v>0</v>
          </cell>
          <cell r="U370">
            <v>0</v>
          </cell>
          <cell r="V370">
            <v>0</v>
          </cell>
          <cell r="W370">
            <v>0</v>
          </cell>
          <cell r="X370">
            <v>0</v>
          </cell>
          <cell r="Y370">
            <v>0</v>
          </cell>
          <cell r="Z370">
            <v>0</v>
          </cell>
        </row>
        <row r="371">
          <cell r="A371" t="str">
            <v>PTN11</v>
          </cell>
          <cell r="B371" t="str">
            <v>Đỗ Thị</v>
          </cell>
          <cell r="C371" t="str">
            <v>Nhài</v>
          </cell>
          <cell r="D371">
            <v>20</v>
          </cell>
          <cell r="E371">
            <v>20</v>
          </cell>
          <cell r="F371">
            <v>192</v>
          </cell>
          <cell r="G371">
            <v>200.7</v>
          </cell>
          <cell r="H371">
            <v>0</v>
          </cell>
          <cell r="I371">
            <v>7.6</v>
          </cell>
          <cell r="J371">
            <v>3.1</v>
          </cell>
          <cell r="K371">
            <v>0</v>
          </cell>
          <cell r="L371">
            <v>0</v>
          </cell>
          <cell r="M371">
            <v>30</v>
          </cell>
          <cell r="N371">
            <v>0</v>
          </cell>
          <cell r="O371">
            <v>0</v>
          </cell>
          <cell r="P371">
            <v>0</v>
          </cell>
          <cell r="Q371">
            <v>0</v>
          </cell>
          <cell r="R371">
            <v>0</v>
          </cell>
          <cell r="S371">
            <v>160</v>
          </cell>
          <cell r="T371">
            <v>0</v>
          </cell>
          <cell r="U371">
            <v>0</v>
          </cell>
          <cell r="V371">
            <v>0</v>
          </cell>
          <cell r="W371">
            <v>0</v>
          </cell>
          <cell r="X371">
            <v>0</v>
          </cell>
          <cell r="Y371">
            <v>0</v>
          </cell>
          <cell r="Z371">
            <v>0</v>
          </cell>
        </row>
        <row r="372">
          <cell r="A372" t="str">
            <v>PTN12</v>
          </cell>
          <cell r="B372" t="str">
            <v>Nguyễn Thị</v>
          </cell>
          <cell r="C372" t="str">
            <v>Phương</v>
          </cell>
          <cell r="D372">
            <v>20</v>
          </cell>
          <cell r="E372">
            <v>20</v>
          </cell>
          <cell r="F372">
            <v>176</v>
          </cell>
          <cell r="G372">
            <v>178.2</v>
          </cell>
          <cell r="H372">
            <v>0</v>
          </cell>
          <cell r="I372">
            <v>3</v>
          </cell>
          <cell r="J372">
            <v>1.2</v>
          </cell>
          <cell r="K372">
            <v>24</v>
          </cell>
          <cell r="L372">
            <v>0</v>
          </cell>
          <cell r="M372">
            <v>30</v>
          </cell>
          <cell r="N372">
            <v>0</v>
          </cell>
          <cell r="O372">
            <v>0</v>
          </cell>
          <cell r="P372">
            <v>0</v>
          </cell>
          <cell r="Q372">
            <v>0</v>
          </cell>
          <cell r="R372">
            <v>0</v>
          </cell>
          <cell r="S372">
            <v>120</v>
          </cell>
          <cell r="T372">
            <v>0</v>
          </cell>
          <cell r="U372">
            <v>0</v>
          </cell>
          <cell r="V372">
            <v>0</v>
          </cell>
          <cell r="W372">
            <v>0</v>
          </cell>
          <cell r="X372">
            <v>0</v>
          </cell>
          <cell r="Y372">
            <v>0</v>
          </cell>
          <cell r="Z372">
            <v>0</v>
          </cell>
        </row>
        <row r="373">
          <cell r="A373" t="str">
            <v>PTN14</v>
          </cell>
          <cell r="B373" t="str">
            <v>Quyền Đình</v>
          </cell>
          <cell r="C373" t="str">
            <v>Hà</v>
          </cell>
          <cell r="D373">
            <v>15</v>
          </cell>
          <cell r="E373">
            <v>15</v>
          </cell>
          <cell r="F373">
            <v>836</v>
          </cell>
          <cell r="G373">
            <v>947.4</v>
          </cell>
          <cell r="H373">
            <v>0</v>
          </cell>
          <cell r="I373">
            <v>19.399999999999999</v>
          </cell>
          <cell r="J373">
            <v>7.8</v>
          </cell>
          <cell r="K373">
            <v>0</v>
          </cell>
          <cell r="L373">
            <v>0</v>
          </cell>
          <cell r="M373">
            <v>195</v>
          </cell>
          <cell r="N373">
            <v>0</v>
          </cell>
          <cell r="O373">
            <v>0</v>
          </cell>
          <cell r="P373">
            <v>0</v>
          </cell>
          <cell r="Q373">
            <v>0</v>
          </cell>
          <cell r="R373">
            <v>0</v>
          </cell>
          <cell r="S373">
            <v>60</v>
          </cell>
          <cell r="T373">
            <v>216</v>
          </cell>
          <cell r="U373">
            <v>2.9</v>
          </cell>
          <cell r="V373">
            <v>0</v>
          </cell>
          <cell r="W373">
            <v>1.3</v>
          </cell>
          <cell r="X373">
            <v>400</v>
          </cell>
          <cell r="Y373">
            <v>15</v>
          </cell>
          <cell r="Z373">
            <v>30</v>
          </cell>
        </row>
        <row r="374">
          <cell r="A374" t="str">
            <v>PTN18</v>
          </cell>
          <cell r="B374" t="str">
            <v>Quyền Đình</v>
          </cell>
          <cell r="C374" t="str">
            <v>Hà B</v>
          </cell>
          <cell r="D374">
            <v>10</v>
          </cell>
          <cell r="E374">
            <v>10</v>
          </cell>
          <cell r="F374">
            <v>523</v>
          </cell>
          <cell r="G374">
            <v>617</v>
          </cell>
          <cell r="H374">
            <v>0</v>
          </cell>
          <cell r="I374">
            <v>13.9</v>
          </cell>
          <cell r="J374">
            <v>5.6</v>
          </cell>
          <cell r="K374">
            <v>0</v>
          </cell>
          <cell r="L374">
            <v>0</v>
          </cell>
          <cell r="M374">
            <v>217.5</v>
          </cell>
          <cell r="N374">
            <v>0</v>
          </cell>
          <cell r="O374">
            <v>0</v>
          </cell>
          <cell r="P374">
            <v>0</v>
          </cell>
          <cell r="Q374">
            <v>0</v>
          </cell>
          <cell r="R374">
            <v>0</v>
          </cell>
          <cell r="S374">
            <v>80</v>
          </cell>
          <cell r="T374">
            <v>0</v>
          </cell>
          <cell r="U374">
            <v>0</v>
          </cell>
          <cell r="V374">
            <v>0</v>
          </cell>
          <cell r="W374">
            <v>0</v>
          </cell>
          <cell r="X374">
            <v>280</v>
          </cell>
          <cell r="Y374">
            <v>0</v>
          </cell>
          <cell r="Z374">
            <v>20</v>
          </cell>
        </row>
        <row r="375">
          <cell r="A375" t="str">
            <v>PTN19</v>
          </cell>
          <cell r="B375" t="str">
            <v>Nguyễn Thị Thu</v>
          </cell>
          <cell r="C375" t="str">
            <v>Phương</v>
          </cell>
          <cell r="D375">
            <v>20</v>
          </cell>
          <cell r="E375">
            <v>20</v>
          </cell>
          <cell r="F375">
            <v>266</v>
          </cell>
          <cell r="G375">
            <v>324.39999999999998</v>
          </cell>
          <cell r="H375">
            <v>0</v>
          </cell>
          <cell r="I375">
            <v>24.5</v>
          </cell>
          <cell r="J375">
            <v>9.9</v>
          </cell>
          <cell r="K375">
            <v>0</v>
          </cell>
          <cell r="L375">
            <v>0</v>
          </cell>
          <cell r="M375">
            <v>150</v>
          </cell>
          <cell r="N375">
            <v>0</v>
          </cell>
          <cell r="O375">
            <v>0</v>
          </cell>
          <cell r="P375">
            <v>0</v>
          </cell>
          <cell r="Q375">
            <v>0</v>
          </cell>
          <cell r="R375">
            <v>0</v>
          </cell>
          <cell r="S375">
            <v>140</v>
          </cell>
          <cell r="T375">
            <v>0</v>
          </cell>
          <cell r="U375">
            <v>0</v>
          </cell>
          <cell r="V375">
            <v>0</v>
          </cell>
          <cell r="W375">
            <v>0</v>
          </cell>
          <cell r="X375">
            <v>0</v>
          </cell>
          <cell r="Y375">
            <v>0</v>
          </cell>
          <cell r="Z375">
            <v>0</v>
          </cell>
        </row>
        <row r="376">
          <cell r="A376" t="str">
            <v>QDD01</v>
          </cell>
          <cell r="B376" t="str">
            <v>Nguyễn Thị Thu</v>
          </cell>
          <cell r="C376" t="str">
            <v>Hương</v>
          </cell>
          <cell r="D376">
            <v>20</v>
          </cell>
          <cell r="E376">
            <v>20</v>
          </cell>
          <cell r="F376">
            <v>176</v>
          </cell>
          <cell r="G376">
            <v>201.2</v>
          </cell>
          <cell r="H376">
            <v>0</v>
          </cell>
          <cell r="I376">
            <v>16.899999999999999</v>
          </cell>
          <cell r="J376">
            <v>6.8</v>
          </cell>
          <cell r="K376">
            <v>0</v>
          </cell>
          <cell r="L376">
            <v>0</v>
          </cell>
          <cell r="M376">
            <v>97.5</v>
          </cell>
          <cell r="N376">
            <v>0</v>
          </cell>
          <cell r="O376">
            <v>0</v>
          </cell>
          <cell r="P376">
            <v>0</v>
          </cell>
          <cell r="Q376">
            <v>0</v>
          </cell>
          <cell r="R376">
            <v>0</v>
          </cell>
          <cell r="S376">
            <v>80</v>
          </cell>
          <cell r="T376">
            <v>0</v>
          </cell>
          <cell r="U376">
            <v>0</v>
          </cell>
          <cell r="V376">
            <v>0</v>
          </cell>
          <cell r="W376">
            <v>0</v>
          </cell>
          <cell r="X376">
            <v>0</v>
          </cell>
          <cell r="Y376">
            <v>0</v>
          </cell>
          <cell r="Z376">
            <v>0</v>
          </cell>
        </row>
        <row r="377">
          <cell r="A377" t="str">
            <v>QDD02</v>
          </cell>
          <cell r="B377" t="str">
            <v>Bùi Nguyên</v>
          </cell>
          <cell r="C377" t="str">
            <v>Hạnh</v>
          </cell>
          <cell r="D377">
            <v>20</v>
          </cell>
          <cell r="E377">
            <v>20</v>
          </cell>
          <cell r="F377">
            <v>209</v>
          </cell>
          <cell r="G377">
            <v>215.6</v>
          </cell>
          <cell r="H377">
            <v>0</v>
          </cell>
          <cell r="I377">
            <v>7.5</v>
          </cell>
          <cell r="J377">
            <v>3.1</v>
          </cell>
          <cell r="K377">
            <v>0</v>
          </cell>
          <cell r="L377">
            <v>0</v>
          </cell>
          <cell r="M377">
            <v>60</v>
          </cell>
          <cell r="N377">
            <v>0</v>
          </cell>
          <cell r="O377">
            <v>45</v>
          </cell>
          <cell r="P377">
            <v>0</v>
          </cell>
          <cell r="Q377">
            <v>0</v>
          </cell>
          <cell r="R377">
            <v>0</v>
          </cell>
          <cell r="S377">
            <v>100</v>
          </cell>
          <cell r="T377">
            <v>0</v>
          </cell>
          <cell r="U377">
            <v>0</v>
          </cell>
          <cell r="V377">
            <v>0</v>
          </cell>
          <cell r="W377">
            <v>0</v>
          </cell>
          <cell r="X377">
            <v>0</v>
          </cell>
          <cell r="Y377">
            <v>0</v>
          </cell>
          <cell r="Z377">
            <v>0</v>
          </cell>
        </row>
        <row r="378">
          <cell r="A378" t="str">
            <v>QDD05</v>
          </cell>
          <cell r="B378" t="str">
            <v>Đỗ Thị Đức</v>
          </cell>
          <cell r="C378" t="str">
            <v>Hạnh</v>
          </cell>
          <cell r="D378">
            <v>10</v>
          </cell>
          <cell r="E378">
            <v>10</v>
          </cell>
          <cell r="F378">
            <v>409.8</v>
          </cell>
          <cell r="G378">
            <v>452.2</v>
          </cell>
          <cell r="H378">
            <v>0</v>
          </cell>
          <cell r="I378">
            <v>1.9</v>
          </cell>
          <cell r="J378">
            <v>0.8</v>
          </cell>
          <cell r="K378">
            <v>36.799999999999997</v>
          </cell>
          <cell r="L378">
            <v>0</v>
          </cell>
          <cell r="M378">
            <v>30</v>
          </cell>
          <cell r="N378">
            <v>0</v>
          </cell>
          <cell r="O378">
            <v>0</v>
          </cell>
          <cell r="P378">
            <v>0</v>
          </cell>
          <cell r="Q378">
            <v>0</v>
          </cell>
          <cell r="R378">
            <v>0</v>
          </cell>
          <cell r="S378">
            <v>0</v>
          </cell>
          <cell r="T378">
            <v>84</v>
          </cell>
          <cell r="U378">
            <v>6.1</v>
          </cell>
          <cell r="V378">
            <v>0</v>
          </cell>
          <cell r="W378">
            <v>2.6</v>
          </cell>
          <cell r="X378">
            <v>280</v>
          </cell>
          <cell r="Y378">
            <v>0</v>
          </cell>
          <cell r="Z378">
            <v>10</v>
          </cell>
        </row>
        <row r="379">
          <cell r="A379" t="str">
            <v>QDD06</v>
          </cell>
          <cell r="B379" t="str">
            <v>Nguyễn Văn</v>
          </cell>
          <cell r="C379" t="str">
            <v>Quân</v>
          </cell>
          <cell r="D379">
            <v>10</v>
          </cell>
          <cell r="E379">
            <v>10</v>
          </cell>
          <cell r="F379">
            <v>654.79999999999995</v>
          </cell>
          <cell r="G379">
            <v>697.7</v>
          </cell>
          <cell r="H379">
            <v>0</v>
          </cell>
          <cell r="I379">
            <v>11.9</v>
          </cell>
          <cell r="J379">
            <v>4.8</v>
          </cell>
          <cell r="K379">
            <v>36.799999999999997</v>
          </cell>
          <cell r="L379">
            <v>0</v>
          </cell>
          <cell r="M379">
            <v>60</v>
          </cell>
          <cell r="N379">
            <v>0</v>
          </cell>
          <cell r="O379">
            <v>30</v>
          </cell>
          <cell r="P379">
            <v>0</v>
          </cell>
          <cell r="Q379">
            <v>0</v>
          </cell>
          <cell r="R379">
            <v>0</v>
          </cell>
          <cell r="S379">
            <v>160</v>
          </cell>
          <cell r="T379">
            <v>57</v>
          </cell>
          <cell r="U379">
            <v>5.0999999999999996</v>
          </cell>
          <cell r="V379">
            <v>0</v>
          </cell>
          <cell r="W379">
            <v>2.1</v>
          </cell>
          <cell r="X379">
            <v>280</v>
          </cell>
          <cell r="Y379">
            <v>0</v>
          </cell>
          <cell r="Z379">
            <v>50</v>
          </cell>
        </row>
        <row r="380">
          <cell r="A380" t="str">
            <v>QDD07</v>
          </cell>
          <cell r="B380" t="str">
            <v>Bùi Lê</v>
          </cell>
          <cell r="C380" t="str">
            <v>Vinh</v>
          </cell>
          <cell r="D380">
            <v>1</v>
          </cell>
          <cell r="E380">
            <v>3.1</v>
          </cell>
          <cell r="F380">
            <v>189.8</v>
          </cell>
          <cell r="G380">
            <v>214</v>
          </cell>
          <cell r="H380">
            <v>0</v>
          </cell>
          <cell r="I380">
            <v>7.7</v>
          </cell>
          <cell r="J380">
            <v>3.1</v>
          </cell>
          <cell r="K380">
            <v>36.799999999999997</v>
          </cell>
          <cell r="L380">
            <v>0</v>
          </cell>
          <cell r="M380">
            <v>52</v>
          </cell>
          <cell r="N380">
            <v>0</v>
          </cell>
          <cell r="O380">
            <v>0</v>
          </cell>
          <cell r="P380">
            <v>0</v>
          </cell>
          <cell r="Q380">
            <v>0</v>
          </cell>
          <cell r="R380">
            <v>0</v>
          </cell>
          <cell r="S380">
            <v>80</v>
          </cell>
          <cell r="T380">
            <v>30</v>
          </cell>
          <cell r="U380">
            <v>3.1</v>
          </cell>
          <cell r="V380">
            <v>0</v>
          </cell>
          <cell r="W380">
            <v>1.3</v>
          </cell>
          <cell r="X380">
            <v>0</v>
          </cell>
          <cell r="Y380">
            <v>0</v>
          </cell>
          <cell r="Z380">
            <v>0</v>
          </cell>
        </row>
        <row r="381">
          <cell r="A381" t="str">
            <v>QDD08</v>
          </cell>
          <cell r="B381" t="str">
            <v>Ngô Thị</v>
          </cell>
          <cell r="C381" t="str">
            <v>Hà</v>
          </cell>
          <cell r="D381">
            <v>20</v>
          </cell>
          <cell r="E381">
            <v>20</v>
          </cell>
          <cell r="F381">
            <v>162</v>
          </cell>
          <cell r="G381">
            <v>168.3</v>
          </cell>
          <cell r="H381">
            <v>0</v>
          </cell>
          <cell r="I381">
            <v>0</v>
          </cell>
          <cell r="J381">
            <v>6.6</v>
          </cell>
          <cell r="K381">
            <v>0</v>
          </cell>
          <cell r="L381">
            <v>0</v>
          </cell>
          <cell r="M381">
            <v>61.7</v>
          </cell>
          <cell r="N381">
            <v>0</v>
          </cell>
          <cell r="O381">
            <v>0</v>
          </cell>
          <cell r="P381">
            <v>0</v>
          </cell>
          <cell r="Q381">
            <v>0</v>
          </cell>
          <cell r="R381">
            <v>0</v>
          </cell>
          <cell r="S381">
            <v>100</v>
          </cell>
          <cell r="T381">
            <v>0</v>
          </cell>
          <cell r="U381">
            <v>0</v>
          </cell>
          <cell r="V381">
            <v>0</v>
          </cell>
          <cell r="W381">
            <v>0</v>
          </cell>
          <cell r="X381">
            <v>0</v>
          </cell>
          <cell r="Y381">
            <v>0</v>
          </cell>
          <cell r="Z381">
            <v>0</v>
          </cell>
        </row>
        <row r="382">
          <cell r="A382" t="str">
            <v>QDD09</v>
          </cell>
          <cell r="B382" t="str">
            <v>Phan Thị Thanh</v>
          </cell>
          <cell r="C382" t="str">
            <v>Huyền</v>
          </cell>
          <cell r="D382">
            <v>10</v>
          </cell>
          <cell r="E382">
            <v>10</v>
          </cell>
          <cell r="F382">
            <v>680.8</v>
          </cell>
          <cell r="G382">
            <v>794.6</v>
          </cell>
          <cell r="H382">
            <v>0</v>
          </cell>
          <cell r="I382">
            <v>23.6</v>
          </cell>
          <cell r="J382">
            <v>9.5</v>
          </cell>
          <cell r="K382">
            <v>36.799999999999997</v>
          </cell>
          <cell r="L382">
            <v>0</v>
          </cell>
          <cell r="M382">
            <v>94.3</v>
          </cell>
          <cell r="N382">
            <v>0</v>
          </cell>
          <cell r="O382">
            <v>0</v>
          </cell>
          <cell r="P382">
            <v>0</v>
          </cell>
          <cell r="Q382">
            <v>0</v>
          </cell>
          <cell r="R382">
            <v>0</v>
          </cell>
          <cell r="S382">
            <v>160</v>
          </cell>
          <cell r="T382">
            <v>165</v>
          </cell>
          <cell r="U382">
            <v>11</v>
          </cell>
          <cell r="V382">
            <v>0</v>
          </cell>
          <cell r="W382">
            <v>4.4000000000000004</v>
          </cell>
          <cell r="X382">
            <v>280</v>
          </cell>
          <cell r="Y382">
            <v>0</v>
          </cell>
          <cell r="Z382">
            <v>10</v>
          </cell>
        </row>
        <row r="383">
          <cell r="A383" t="str">
            <v>QDD10</v>
          </cell>
          <cell r="B383" t="str">
            <v>Phạm Phương</v>
          </cell>
          <cell r="C383" t="str">
            <v>Nam</v>
          </cell>
          <cell r="D383">
            <v>40</v>
          </cell>
          <cell r="E383">
            <v>40</v>
          </cell>
          <cell r="F383">
            <v>448.8</v>
          </cell>
          <cell r="G383">
            <v>508.9</v>
          </cell>
          <cell r="H383">
            <v>0</v>
          </cell>
          <cell r="I383">
            <v>36</v>
          </cell>
          <cell r="J383">
            <v>7.8</v>
          </cell>
          <cell r="K383">
            <v>36.799999999999997</v>
          </cell>
          <cell r="L383">
            <v>0</v>
          </cell>
          <cell r="M383">
            <v>90</v>
          </cell>
          <cell r="N383">
            <v>0</v>
          </cell>
          <cell r="O383">
            <v>0</v>
          </cell>
          <cell r="P383">
            <v>0</v>
          </cell>
          <cell r="Q383">
            <v>0</v>
          </cell>
          <cell r="R383">
            <v>0</v>
          </cell>
          <cell r="S383">
            <v>0</v>
          </cell>
          <cell r="T383">
            <v>54</v>
          </cell>
          <cell r="U383">
            <v>3</v>
          </cell>
          <cell r="V383">
            <v>0</v>
          </cell>
          <cell r="W383">
            <v>1.3</v>
          </cell>
          <cell r="X383">
            <v>280</v>
          </cell>
          <cell r="Y383">
            <v>0</v>
          </cell>
          <cell r="Z383">
            <v>0</v>
          </cell>
        </row>
        <row r="384">
          <cell r="A384" t="str">
            <v>QDD12</v>
          </cell>
          <cell r="B384" t="str">
            <v>Hồ Thị Lam</v>
          </cell>
          <cell r="C384" t="str">
            <v>Trà</v>
          </cell>
          <cell r="D384">
            <v>20</v>
          </cell>
          <cell r="E384">
            <v>20</v>
          </cell>
          <cell r="F384">
            <v>637.79999999999995</v>
          </cell>
          <cell r="G384">
            <v>676.5</v>
          </cell>
          <cell r="H384">
            <v>0</v>
          </cell>
          <cell r="I384">
            <v>4.5</v>
          </cell>
          <cell r="J384">
            <v>1.8</v>
          </cell>
          <cell r="K384">
            <v>36.799999999999997</v>
          </cell>
          <cell r="L384">
            <v>0</v>
          </cell>
          <cell r="M384">
            <v>30</v>
          </cell>
          <cell r="N384">
            <v>0</v>
          </cell>
          <cell r="O384">
            <v>15</v>
          </cell>
          <cell r="P384">
            <v>0</v>
          </cell>
          <cell r="Q384">
            <v>0</v>
          </cell>
          <cell r="R384">
            <v>0</v>
          </cell>
          <cell r="S384">
            <v>100</v>
          </cell>
          <cell r="T384">
            <v>60</v>
          </cell>
          <cell r="U384">
            <v>6</v>
          </cell>
          <cell r="V384">
            <v>0</v>
          </cell>
          <cell r="W384">
            <v>2.4</v>
          </cell>
          <cell r="X384">
            <v>400</v>
          </cell>
          <cell r="Y384">
            <v>0</v>
          </cell>
          <cell r="Z384">
            <v>20</v>
          </cell>
        </row>
        <row r="385">
          <cell r="A385" t="str">
            <v>QHD01</v>
          </cell>
          <cell r="B385" t="str">
            <v>Nguyễn Quang</v>
          </cell>
          <cell r="C385" t="str">
            <v>Học</v>
          </cell>
          <cell r="D385">
            <v>60</v>
          </cell>
          <cell r="E385">
            <v>60</v>
          </cell>
          <cell r="F385">
            <v>668</v>
          </cell>
          <cell r="G385">
            <v>796.8</v>
          </cell>
          <cell r="H385">
            <v>0</v>
          </cell>
          <cell r="I385">
            <v>0</v>
          </cell>
          <cell r="J385">
            <v>0</v>
          </cell>
          <cell r="K385">
            <v>24</v>
          </cell>
          <cell r="L385">
            <v>0</v>
          </cell>
          <cell r="M385">
            <v>0</v>
          </cell>
          <cell r="N385">
            <v>0</v>
          </cell>
          <cell r="O385">
            <v>0</v>
          </cell>
          <cell r="P385">
            <v>0</v>
          </cell>
          <cell r="Q385">
            <v>0</v>
          </cell>
          <cell r="R385">
            <v>0</v>
          </cell>
          <cell r="S385">
            <v>100</v>
          </cell>
          <cell r="T385">
            <v>233</v>
          </cell>
          <cell r="U385">
            <v>21.1</v>
          </cell>
          <cell r="V385">
            <v>0</v>
          </cell>
          <cell r="W385">
            <v>8.6999999999999993</v>
          </cell>
          <cell r="X385">
            <v>320</v>
          </cell>
          <cell r="Y385">
            <v>0</v>
          </cell>
          <cell r="Z385">
            <v>90</v>
          </cell>
        </row>
        <row r="386">
          <cell r="A386" t="str">
            <v>QHD03</v>
          </cell>
          <cell r="B386" t="str">
            <v>Đỗ Văn</v>
          </cell>
          <cell r="C386" t="str">
            <v>Nhạ</v>
          </cell>
          <cell r="D386">
            <v>40</v>
          </cell>
          <cell r="E386">
            <v>40</v>
          </cell>
          <cell r="F386">
            <v>504</v>
          </cell>
          <cell r="G386">
            <v>559</v>
          </cell>
          <cell r="H386">
            <v>0</v>
          </cell>
          <cell r="I386">
            <v>16.100000000000001</v>
          </cell>
          <cell r="J386">
            <v>6.6</v>
          </cell>
          <cell r="K386">
            <v>24</v>
          </cell>
          <cell r="L386">
            <v>0</v>
          </cell>
          <cell r="M386">
            <v>108.9</v>
          </cell>
          <cell r="N386">
            <v>0</v>
          </cell>
          <cell r="O386">
            <v>75</v>
          </cell>
          <cell r="P386">
            <v>0</v>
          </cell>
          <cell r="Q386">
            <v>0</v>
          </cell>
          <cell r="R386">
            <v>0</v>
          </cell>
          <cell r="S386">
            <v>20</v>
          </cell>
          <cell r="T386">
            <v>60</v>
          </cell>
          <cell r="U386">
            <v>6</v>
          </cell>
          <cell r="V386">
            <v>0</v>
          </cell>
          <cell r="W386">
            <v>2.4</v>
          </cell>
          <cell r="X386">
            <v>240</v>
          </cell>
          <cell r="Y386">
            <v>0</v>
          </cell>
          <cell r="Z386">
            <v>0</v>
          </cell>
        </row>
        <row r="387">
          <cell r="A387" t="str">
            <v>QHD04</v>
          </cell>
          <cell r="B387" t="str">
            <v>Đỗ Thị</v>
          </cell>
          <cell r="C387" t="str">
            <v>Tám</v>
          </cell>
          <cell r="D387">
            <v>20</v>
          </cell>
          <cell r="E387">
            <v>20</v>
          </cell>
          <cell r="F387">
            <v>731</v>
          </cell>
          <cell r="G387">
            <v>872.5</v>
          </cell>
          <cell r="H387">
            <v>0</v>
          </cell>
          <cell r="I387">
            <v>29.3</v>
          </cell>
          <cell r="J387">
            <v>11.9</v>
          </cell>
          <cell r="K387">
            <v>24</v>
          </cell>
          <cell r="L387">
            <v>0</v>
          </cell>
          <cell r="M387">
            <v>113.6</v>
          </cell>
          <cell r="N387">
            <v>0</v>
          </cell>
          <cell r="O387">
            <v>0</v>
          </cell>
          <cell r="P387">
            <v>0</v>
          </cell>
          <cell r="Q387">
            <v>0</v>
          </cell>
          <cell r="R387">
            <v>0</v>
          </cell>
          <cell r="S387">
            <v>100</v>
          </cell>
          <cell r="T387">
            <v>159</v>
          </cell>
          <cell r="U387">
            <v>10.4</v>
          </cell>
          <cell r="V387">
            <v>0</v>
          </cell>
          <cell r="W387">
            <v>4.3</v>
          </cell>
          <cell r="X387">
            <v>360</v>
          </cell>
          <cell r="Y387">
            <v>0</v>
          </cell>
          <cell r="Z387">
            <v>60</v>
          </cell>
        </row>
        <row r="388">
          <cell r="A388" t="str">
            <v>QHD05</v>
          </cell>
          <cell r="B388" t="str">
            <v>Nguyễn Tuấn</v>
          </cell>
          <cell r="C388" t="str">
            <v>Anh</v>
          </cell>
          <cell r="D388">
            <v>24</v>
          </cell>
          <cell r="E388">
            <v>24</v>
          </cell>
          <cell r="F388">
            <v>200</v>
          </cell>
          <cell r="G388">
            <v>247.2</v>
          </cell>
          <cell r="H388">
            <v>0</v>
          </cell>
          <cell r="I388">
            <v>36.700000000000003</v>
          </cell>
          <cell r="J388">
            <v>13.8</v>
          </cell>
          <cell r="K388">
            <v>24</v>
          </cell>
          <cell r="L388">
            <v>0</v>
          </cell>
          <cell r="M388">
            <v>172.7</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QHD06</v>
          </cell>
          <cell r="B389" t="str">
            <v>Quyền Thị Lan</v>
          </cell>
          <cell r="C389" t="str">
            <v>Phương</v>
          </cell>
          <cell r="D389">
            <v>24</v>
          </cell>
          <cell r="E389">
            <v>24</v>
          </cell>
          <cell r="F389">
            <v>195</v>
          </cell>
          <cell r="G389">
            <v>251.9</v>
          </cell>
          <cell r="H389">
            <v>0</v>
          </cell>
          <cell r="I389">
            <v>29.9</v>
          </cell>
          <cell r="J389">
            <v>12</v>
          </cell>
          <cell r="K389">
            <v>24</v>
          </cell>
          <cell r="L389">
            <v>0</v>
          </cell>
          <cell r="M389">
            <v>111</v>
          </cell>
          <cell r="N389">
            <v>0</v>
          </cell>
          <cell r="O389">
            <v>75</v>
          </cell>
          <cell r="P389">
            <v>0</v>
          </cell>
          <cell r="Q389">
            <v>0</v>
          </cell>
          <cell r="R389">
            <v>0</v>
          </cell>
          <cell r="S389">
            <v>0</v>
          </cell>
          <cell r="T389">
            <v>0</v>
          </cell>
          <cell r="U389">
            <v>0</v>
          </cell>
          <cell r="V389">
            <v>0</v>
          </cell>
          <cell r="W389">
            <v>0</v>
          </cell>
          <cell r="X389">
            <v>0</v>
          </cell>
          <cell r="Y389">
            <v>0</v>
          </cell>
          <cell r="Z389">
            <v>0</v>
          </cell>
        </row>
        <row r="390">
          <cell r="A390" t="str">
            <v>QHD07</v>
          </cell>
          <cell r="B390" t="str">
            <v>Nguyễn Khắc Việt</v>
          </cell>
          <cell r="C390" t="str">
            <v>Ba</v>
          </cell>
          <cell r="D390">
            <v>24</v>
          </cell>
          <cell r="E390">
            <v>24</v>
          </cell>
          <cell r="F390">
            <v>233</v>
          </cell>
          <cell r="G390">
            <v>244.5</v>
          </cell>
          <cell r="H390">
            <v>0</v>
          </cell>
          <cell r="I390">
            <v>11.1</v>
          </cell>
          <cell r="J390">
            <v>4.4000000000000004</v>
          </cell>
          <cell r="K390">
            <v>24</v>
          </cell>
          <cell r="L390">
            <v>0</v>
          </cell>
          <cell r="M390">
            <v>90</v>
          </cell>
          <cell r="N390">
            <v>0</v>
          </cell>
          <cell r="O390">
            <v>75</v>
          </cell>
          <cell r="P390">
            <v>0</v>
          </cell>
          <cell r="Q390">
            <v>0</v>
          </cell>
          <cell r="R390">
            <v>0</v>
          </cell>
          <cell r="S390">
            <v>40</v>
          </cell>
          <cell r="T390">
            <v>0</v>
          </cell>
          <cell r="U390">
            <v>0</v>
          </cell>
          <cell r="V390">
            <v>0</v>
          </cell>
          <cell r="W390">
            <v>0</v>
          </cell>
          <cell r="X390">
            <v>0</v>
          </cell>
          <cell r="Y390">
            <v>0</v>
          </cell>
          <cell r="Z390">
            <v>0</v>
          </cell>
        </row>
        <row r="391">
          <cell r="A391" t="str">
            <v>QHD08</v>
          </cell>
          <cell r="B391" t="str">
            <v>Vũ Thị</v>
          </cell>
          <cell r="C391" t="str">
            <v>Thu</v>
          </cell>
          <cell r="D391">
            <v>1</v>
          </cell>
          <cell r="E391">
            <v>7.5</v>
          </cell>
          <cell r="F391">
            <v>32</v>
          </cell>
          <cell r="G391">
            <v>40.5</v>
          </cell>
          <cell r="H391">
            <v>0</v>
          </cell>
          <cell r="I391">
            <v>7.5</v>
          </cell>
          <cell r="J391">
            <v>3</v>
          </cell>
          <cell r="K391">
            <v>0</v>
          </cell>
          <cell r="L391">
            <v>0</v>
          </cell>
          <cell r="M391">
            <v>30</v>
          </cell>
          <cell r="N391">
            <v>0</v>
          </cell>
          <cell r="O391">
            <v>0</v>
          </cell>
          <cell r="P391">
            <v>0</v>
          </cell>
          <cell r="Q391">
            <v>0</v>
          </cell>
          <cell r="R391">
            <v>0</v>
          </cell>
          <cell r="S391">
            <v>0</v>
          </cell>
          <cell r="T391">
            <v>0</v>
          </cell>
          <cell r="U391">
            <v>0</v>
          </cell>
          <cell r="V391">
            <v>0</v>
          </cell>
          <cell r="W391">
            <v>0</v>
          </cell>
          <cell r="X391">
            <v>0</v>
          </cell>
          <cell r="Y391">
            <v>0</v>
          </cell>
          <cell r="Z391">
            <v>0</v>
          </cell>
        </row>
        <row r="392">
          <cell r="A392" t="str">
            <v>QHD09</v>
          </cell>
          <cell r="B392" t="str">
            <v>Nguyễn Quang</v>
          </cell>
          <cell r="C392" t="str">
            <v>Huy</v>
          </cell>
          <cell r="D392">
            <v>24</v>
          </cell>
          <cell r="E392">
            <v>24</v>
          </cell>
          <cell r="F392">
            <v>240</v>
          </cell>
          <cell r="G392">
            <v>265.89999999999998</v>
          </cell>
          <cell r="H392">
            <v>0</v>
          </cell>
          <cell r="I392">
            <v>22.8</v>
          </cell>
          <cell r="J392">
            <v>9.1</v>
          </cell>
          <cell r="K392">
            <v>24</v>
          </cell>
          <cell r="L392">
            <v>0</v>
          </cell>
          <cell r="M392">
            <v>135</v>
          </cell>
          <cell r="N392">
            <v>0</v>
          </cell>
          <cell r="O392">
            <v>15</v>
          </cell>
          <cell r="P392">
            <v>0</v>
          </cell>
          <cell r="Q392">
            <v>0</v>
          </cell>
          <cell r="R392">
            <v>0</v>
          </cell>
          <cell r="S392">
            <v>60</v>
          </cell>
          <cell r="T392">
            <v>0</v>
          </cell>
          <cell r="U392">
            <v>0</v>
          </cell>
          <cell r="V392">
            <v>0</v>
          </cell>
          <cell r="W392">
            <v>0</v>
          </cell>
          <cell r="X392">
            <v>0</v>
          </cell>
          <cell r="Y392">
            <v>0</v>
          </cell>
          <cell r="Z392">
            <v>0</v>
          </cell>
        </row>
        <row r="393">
          <cell r="A393" t="str">
            <v>QKT03</v>
          </cell>
          <cell r="B393" t="str">
            <v>Bùi Thị</v>
          </cell>
          <cell r="C393" t="str">
            <v>Nga</v>
          </cell>
          <cell r="D393">
            <v>40</v>
          </cell>
          <cell r="E393">
            <v>40</v>
          </cell>
          <cell r="F393">
            <v>755</v>
          </cell>
          <cell r="G393">
            <v>960.4</v>
          </cell>
          <cell r="H393">
            <v>0</v>
          </cell>
          <cell r="I393">
            <v>54.1</v>
          </cell>
          <cell r="J393">
            <v>21.6</v>
          </cell>
          <cell r="K393">
            <v>0</v>
          </cell>
          <cell r="L393">
            <v>0</v>
          </cell>
          <cell r="M393">
            <v>238.3</v>
          </cell>
          <cell r="N393">
            <v>0</v>
          </cell>
          <cell r="O393">
            <v>0</v>
          </cell>
          <cell r="P393">
            <v>0</v>
          </cell>
          <cell r="Q393">
            <v>0</v>
          </cell>
          <cell r="R393">
            <v>0</v>
          </cell>
          <cell r="S393">
            <v>100</v>
          </cell>
          <cell r="T393">
            <v>216</v>
          </cell>
          <cell r="U393">
            <v>7.3</v>
          </cell>
          <cell r="V393">
            <v>0</v>
          </cell>
          <cell r="W393">
            <v>3.1</v>
          </cell>
          <cell r="X393">
            <v>320</v>
          </cell>
          <cell r="Y393">
            <v>0</v>
          </cell>
          <cell r="Z393">
            <v>0</v>
          </cell>
        </row>
        <row r="394">
          <cell r="A394" t="str">
            <v>QKT04</v>
          </cell>
          <cell r="B394" t="str">
            <v>Nguyễn Quốc</v>
          </cell>
          <cell r="C394" t="str">
            <v>Chỉnh</v>
          </cell>
          <cell r="D394">
            <v>10</v>
          </cell>
          <cell r="E394">
            <v>10</v>
          </cell>
          <cell r="F394">
            <v>990</v>
          </cell>
          <cell r="G394">
            <v>1291.0999999999999</v>
          </cell>
          <cell r="H394">
            <v>0</v>
          </cell>
          <cell r="I394">
            <v>11.8</v>
          </cell>
          <cell r="J394">
            <v>4.7</v>
          </cell>
          <cell r="K394">
            <v>0</v>
          </cell>
          <cell r="L394">
            <v>0</v>
          </cell>
          <cell r="M394">
            <v>180</v>
          </cell>
          <cell r="N394">
            <v>0</v>
          </cell>
          <cell r="O394">
            <v>0</v>
          </cell>
          <cell r="P394">
            <v>0</v>
          </cell>
          <cell r="Q394">
            <v>0</v>
          </cell>
          <cell r="R394">
            <v>0</v>
          </cell>
          <cell r="S394">
            <v>100</v>
          </cell>
          <cell r="T394">
            <v>432</v>
          </cell>
          <cell r="U394">
            <v>16.100000000000001</v>
          </cell>
          <cell r="V394">
            <v>0</v>
          </cell>
          <cell r="W394">
            <v>6.5</v>
          </cell>
          <cell r="X394">
            <v>520</v>
          </cell>
          <cell r="Y394">
            <v>0</v>
          </cell>
          <cell r="Z394">
            <v>20</v>
          </cell>
        </row>
        <row r="395">
          <cell r="A395" t="str">
            <v>QKT06</v>
          </cell>
          <cell r="B395" t="str">
            <v>Đào Hồng</v>
          </cell>
          <cell r="C395" t="str">
            <v>Vân</v>
          </cell>
          <cell r="D395">
            <v>10.5</v>
          </cell>
          <cell r="E395">
            <v>10.5</v>
          </cell>
          <cell r="F395">
            <v>423.3</v>
          </cell>
          <cell r="G395">
            <v>483</v>
          </cell>
          <cell r="H395">
            <v>0</v>
          </cell>
          <cell r="I395">
            <v>49.8</v>
          </cell>
          <cell r="J395">
            <v>20</v>
          </cell>
          <cell r="K395">
            <v>34.299999999999997</v>
          </cell>
          <cell r="L395">
            <v>0</v>
          </cell>
          <cell r="M395">
            <v>258.89999999999998</v>
          </cell>
          <cell r="N395">
            <v>0</v>
          </cell>
          <cell r="O395">
            <v>0</v>
          </cell>
          <cell r="P395">
            <v>0</v>
          </cell>
          <cell r="Q395">
            <v>0</v>
          </cell>
          <cell r="R395">
            <v>0</v>
          </cell>
          <cell r="S395">
            <v>120</v>
          </cell>
          <cell r="T395">
            <v>0</v>
          </cell>
          <cell r="U395">
            <v>0</v>
          </cell>
          <cell r="V395">
            <v>0</v>
          </cell>
          <cell r="W395">
            <v>0</v>
          </cell>
          <cell r="X395">
            <v>0</v>
          </cell>
          <cell r="Y395">
            <v>0</v>
          </cell>
          <cell r="Z395">
            <v>0</v>
          </cell>
        </row>
        <row r="396">
          <cell r="A396" t="str">
            <v>QKT07</v>
          </cell>
          <cell r="B396" t="str">
            <v>Nguyễn Công</v>
          </cell>
          <cell r="C396" t="str">
            <v>Tiệp</v>
          </cell>
          <cell r="D396">
            <v>10</v>
          </cell>
          <cell r="E396">
            <v>10</v>
          </cell>
          <cell r="F396">
            <v>566</v>
          </cell>
          <cell r="G396">
            <v>636.29999999999995</v>
          </cell>
          <cell r="H396">
            <v>0</v>
          </cell>
          <cell r="I396">
            <v>5</v>
          </cell>
          <cell r="J396">
            <v>2</v>
          </cell>
          <cell r="K396">
            <v>0</v>
          </cell>
          <cell r="L396">
            <v>0</v>
          </cell>
          <cell r="M396">
            <v>45</v>
          </cell>
          <cell r="N396">
            <v>0</v>
          </cell>
          <cell r="O396">
            <v>0</v>
          </cell>
          <cell r="P396">
            <v>0</v>
          </cell>
          <cell r="Q396">
            <v>0</v>
          </cell>
          <cell r="R396">
            <v>0</v>
          </cell>
          <cell r="S396">
            <v>40</v>
          </cell>
          <cell r="T396">
            <v>108</v>
          </cell>
          <cell r="U396">
            <v>4.5</v>
          </cell>
          <cell r="V396">
            <v>0</v>
          </cell>
          <cell r="W396">
            <v>1.8</v>
          </cell>
          <cell r="X396">
            <v>400</v>
          </cell>
          <cell r="Y396">
            <v>0</v>
          </cell>
          <cell r="Z396">
            <v>30</v>
          </cell>
        </row>
        <row r="397">
          <cell r="A397" t="str">
            <v>QKT08</v>
          </cell>
          <cell r="B397" t="str">
            <v>Nguyễn Hải</v>
          </cell>
          <cell r="C397" t="str">
            <v>Núi</v>
          </cell>
          <cell r="D397">
            <v>20</v>
          </cell>
          <cell r="E397">
            <v>20</v>
          </cell>
          <cell r="F397">
            <v>362</v>
          </cell>
          <cell r="G397">
            <v>411.1</v>
          </cell>
          <cell r="H397">
            <v>0</v>
          </cell>
          <cell r="I397">
            <v>39.700000000000003</v>
          </cell>
          <cell r="J397">
            <v>16</v>
          </cell>
          <cell r="K397">
            <v>0</v>
          </cell>
          <cell r="L397">
            <v>0</v>
          </cell>
          <cell r="M397">
            <v>215.4</v>
          </cell>
          <cell r="N397">
            <v>0</v>
          </cell>
          <cell r="O397">
            <v>0</v>
          </cell>
          <cell r="P397">
            <v>0</v>
          </cell>
          <cell r="Q397">
            <v>0</v>
          </cell>
          <cell r="R397">
            <v>0</v>
          </cell>
          <cell r="S397">
            <v>140</v>
          </cell>
          <cell r="T397">
            <v>0</v>
          </cell>
          <cell r="U397">
            <v>0</v>
          </cell>
          <cell r="V397">
            <v>0</v>
          </cell>
          <cell r="W397">
            <v>0</v>
          </cell>
          <cell r="X397">
            <v>0</v>
          </cell>
          <cell r="Y397">
            <v>0</v>
          </cell>
          <cell r="Z397">
            <v>0</v>
          </cell>
        </row>
        <row r="398">
          <cell r="A398" t="str">
            <v>QKT11</v>
          </cell>
          <cell r="B398" t="str">
            <v>Đỗ Văn</v>
          </cell>
          <cell r="C398" t="str">
            <v>Viện</v>
          </cell>
          <cell r="D398">
            <v>40</v>
          </cell>
          <cell r="E398">
            <v>40</v>
          </cell>
          <cell r="F398">
            <v>899</v>
          </cell>
          <cell r="G398">
            <v>1040.0999999999999</v>
          </cell>
          <cell r="H398">
            <v>0</v>
          </cell>
          <cell r="I398">
            <v>59.5</v>
          </cell>
          <cell r="J398">
            <v>23.9</v>
          </cell>
          <cell r="K398">
            <v>0</v>
          </cell>
          <cell r="L398">
            <v>0</v>
          </cell>
          <cell r="M398">
            <v>240.6</v>
          </cell>
          <cell r="N398">
            <v>0</v>
          </cell>
          <cell r="O398">
            <v>0</v>
          </cell>
          <cell r="P398">
            <v>0</v>
          </cell>
          <cell r="Q398">
            <v>0</v>
          </cell>
          <cell r="R398">
            <v>0</v>
          </cell>
          <cell r="S398">
            <v>100</v>
          </cell>
          <cell r="T398">
            <v>54</v>
          </cell>
          <cell r="U398">
            <v>1.5</v>
          </cell>
          <cell r="V398">
            <v>0</v>
          </cell>
          <cell r="W398">
            <v>0.6</v>
          </cell>
          <cell r="X398">
            <v>560</v>
          </cell>
          <cell r="Y398">
            <v>0</v>
          </cell>
          <cell r="Z398">
            <v>0</v>
          </cell>
        </row>
        <row r="399">
          <cell r="A399" t="str">
            <v>QKT13</v>
          </cell>
          <cell r="B399" t="str">
            <v>Trần Thị Thanh</v>
          </cell>
          <cell r="C399" t="str">
            <v>Huyền</v>
          </cell>
          <cell r="D399">
            <v>10.5</v>
          </cell>
          <cell r="E399">
            <v>10.5</v>
          </cell>
          <cell r="F399">
            <v>382.2</v>
          </cell>
          <cell r="G399">
            <v>501.6</v>
          </cell>
          <cell r="H399">
            <v>0</v>
          </cell>
          <cell r="I399">
            <v>54.5</v>
          </cell>
          <cell r="J399">
            <v>21.9</v>
          </cell>
          <cell r="K399">
            <v>40.200000000000003</v>
          </cell>
          <cell r="L399">
            <v>0</v>
          </cell>
          <cell r="M399">
            <v>265</v>
          </cell>
          <cell r="N399">
            <v>0</v>
          </cell>
          <cell r="O399">
            <v>0</v>
          </cell>
          <cell r="P399">
            <v>0</v>
          </cell>
          <cell r="Q399">
            <v>0</v>
          </cell>
          <cell r="R399">
            <v>0</v>
          </cell>
          <cell r="S399">
            <v>120</v>
          </cell>
          <cell r="T399">
            <v>0</v>
          </cell>
          <cell r="U399">
            <v>0</v>
          </cell>
          <cell r="V399">
            <v>0</v>
          </cell>
          <cell r="W399">
            <v>0</v>
          </cell>
          <cell r="X399">
            <v>0</v>
          </cell>
          <cell r="Y399">
            <v>0</v>
          </cell>
          <cell r="Z399">
            <v>0</v>
          </cell>
        </row>
        <row r="400">
          <cell r="A400" t="str">
            <v>QKT14</v>
          </cell>
          <cell r="B400" t="str">
            <v>Phạm Hương</v>
          </cell>
          <cell r="C400" t="str">
            <v>Dịu</v>
          </cell>
          <cell r="D400">
            <v>20</v>
          </cell>
          <cell r="E400">
            <v>20</v>
          </cell>
          <cell r="F400">
            <v>743</v>
          </cell>
          <cell r="G400">
            <v>934.6</v>
          </cell>
          <cell r="H400">
            <v>0</v>
          </cell>
          <cell r="I400">
            <v>25.7</v>
          </cell>
          <cell r="J400">
            <v>10.3</v>
          </cell>
          <cell r="K400">
            <v>0</v>
          </cell>
          <cell r="L400">
            <v>0</v>
          </cell>
          <cell r="M400">
            <v>119.8</v>
          </cell>
          <cell r="N400">
            <v>0</v>
          </cell>
          <cell r="O400">
            <v>0</v>
          </cell>
          <cell r="P400">
            <v>0</v>
          </cell>
          <cell r="Q400">
            <v>0</v>
          </cell>
          <cell r="R400">
            <v>0</v>
          </cell>
          <cell r="S400">
            <v>100</v>
          </cell>
          <cell r="T400">
            <v>324</v>
          </cell>
          <cell r="U400">
            <v>10.5</v>
          </cell>
          <cell r="V400">
            <v>0</v>
          </cell>
          <cell r="W400">
            <v>4.3</v>
          </cell>
          <cell r="X400">
            <v>320</v>
          </cell>
          <cell r="Y400">
            <v>0</v>
          </cell>
          <cell r="Z400">
            <v>20</v>
          </cell>
        </row>
        <row r="401">
          <cell r="A401" t="str">
            <v>QKT15</v>
          </cell>
          <cell r="B401" t="str">
            <v>Nguyễn Ngọc</v>
          </cell>
          <cell r="C401" t="str">
            <v>Mai</v>
          </cell>
          <cell r="D401">
            <v>10.5</v>
          </cell>
          <cell r="E401">
            <v>10.5</v>
          </cell>
          <cell r="F401">
            <v>372.1</v>
          </cell>
          <cell r="G401">
            <v>452.9</v>
          </cell>
          <cell r="H401">
            <v>0</v>
          </cell>
          <cell r="I401">
            <v>44.3</v>
          </cell>
          <cell r="J401">
            <v>17.8</v>
          </cell>
          <cell r="K401">
            <v>47.1</v>
          </cell>
          <cell r="L401">
            <v>0</v>
          </cell>
          <cell r="M401">
            <v>223.7</v>
          </cell>
          <cell r="N401">
            <v>0</v>
          </cell>
          <cell r="O401">
            <v>0</v>
          </cell>
          <cell r="P401">
            <v>0</v>
          </cell>
          <cell r="Q401">
            <v>0</v>
          </cell>
          <cell r="R401">
            <v>0</v>
          </cell>
          <cell r="S401">
            <v>120</v>
          </cell>
          <cell r="T401">
            <v>0</v>
          </cell>
          <cell r="U401">
            <v>0</v>
          </cell>
          <cell r="V401">
            <v>0</v>
          </cell>
          <cell r="W401">
            <v>0</v>
          </cell>
          <cell r="X401">
            <v>0</v>
          </cell>
          <cell r="Y401">
            <v>0</v>
          </cell>
          <cell r="Z401">
            <v>0</v>
          </cell>
        </row>
        <row r="402">
          <cell r="A402" t="str">
            <v>QKT16</v>
          </cell>
          <cell r="B402" t="str">
            <v>Lê Thị Kim</v>
          </cell>
          <cell r="C402" t="str">
            <v>Oanh</v>
          </cell>
          <cell r="D402">
            <v>29</v>
          </cell>
          <cell r="E402">
            <v>29</v>
          </cell>
          <cell r="F402">
            <v>369</v>
          </cell>
          <cell r="G402">
            <v>517.29999999999995</v>
          </cell>
          <cell r="H402">
            <v>0</v>
          </cell>
          <cell r="I402">
            <v>54.7</v>
          </cell>
          <cell r="J402">
            <v>22.1</v>
          </cell>
          <cell r="K402">
            <v>29</v>
          </cell>
          <cell r="L402">
            <v>0</v>
          </cell>
          <cell r="M402">
            <v>291.5</v>
          </cell>
          <cell r="N402">
            <v>0</v>
          </cell>
          <cell r="O402">
            <v>0</v>
          </cell>
          <cell r="P402">
            <v>0</v>
          </cell>
          <cell r="Q402">
            <v>0</v>
          </cell>
          <cell r="R402">
            <v>0</v>
          </cell>
          <cell r="S402">
            <v>120</v>
          </cell>
          <cell r="T402">
            <v>0</v>
          </cell>
          <cell r="U402">
            <v>0</v>
          </cell>
          <cell r="V402">
            <v>0</v>
          </cell>
          <cell r="W402">
            <v>0</v>
          </cell>
          <cell r="X402">
            <v>0</v>
          </cell>
          <cell r="Y402">
            <v>0</v>
          </cell>
          <cell r="Z402">
            <v>0</v>
          </cell>
        </row>
        <row r="403">
          <cell r="A403" t="str">
            <v>QKT17</v>
          </cell>
          <cell r="B403" t="str">
            <v>Nguyễn Thị Thu</v>
          </cell>
          <cell r="C403" t="str">
            <v>Trang</v>
          </cell>
          <cell r="D403">
            <v>10.5</v>
          </cell>
          <cell r="E403">
            <v>10.5</v>
          </cell>
          <cell r="F403">
            <v>386.4</v>
          </cell>
          <cell r="G403">
            <v>432.9</v>
          </cell>
          <cell r="H403">
            <v>0</v>
          </cell>
          <cell r="I403">
            <v>40.799999999999997</v>
          </cell>
          <cell r="J403">
            <v>16.3</v>
          </cell>
          <cell r="K403">
            <v>27.4</v>
          </cell>
          <cell r="L403">
            <v>0</v>
          </cell>
          <cell r="M403">
            <v>228.4</v>
          </cell>
          <cell r="N403">
            <v>0</v>
          </cell>
          <cell r="O403">
            <v>0</v>
          </cell>
          <cell r="P403">
            <v>0</v>
          </cell>
          <cell r="Q403">
            <v>0</v>
          </cell>
          <cell r="R403">
            <v>0</v>
          </cell>
          <cell r="S403">
            <v>120</v>
          </cell>
          <cell r="T403">
            <v>0</v>
          </cell>
          <cell r="U403">
            <v>0</v>
          </cell>
          <cell r="V403">
            <v>0</v>
          </cell>
          <cell r="W403">
            <v>0</v>
          </cell>
          <cell r="X403">
            <v>0</v>
          </cell>
          <cell r="Y403">
            <v>0</v>
          </cell>
          <cell r="Z403">
            <v>0</v>
          </cell>
        </row>
        <row r="404">
          <cell r="A404" t="str">
            <v>QMT02</v>
          </cell>
          <cell r="B404" t="str">
            <v>Cao Trường</v>
          </cell>
          <cell r="C404" t="str">
            <v>Sơn</v>
          </cell>
          <cell r="D404">
            <v>26.4</v>
          </cell>
          <cell r="E404">
            <v>26.4</v>
          </cell>
          <cell r="F404">
            <v>286.39999999999998</v>
          </cell>
          <cell r="G404">
            <v>337.1</v>
          </cell>
          <cell r="H404">
            <v>0</v>
          </cell>
          <cell r="I404">
            <v>40.200000000000003</v>
          </cell>
          <cell r="J404">
            <v>16.2</v>
          </cell>
          <cell r="K404">
            <v>26.4</v>
          </cell>
          <cell r="L404">
            <v>0</v>
          </cell>
          <cell r="M404">
            <v>154.30000000000001</v>
          </cell>
          <cell r="N404">
            <v>0</v>
          </cell>
          <cell r="O404">
            <v>0</v>
          </cell>
          <cell r="P404">
            <v>0</v>
          </cell>
          <cell r="Q404">
            <v>0</v>
          </cell>
          <cell r="R404">
            <v>0</v>
          </cell>
          <cell r="S404">
            <v>100</v>
          </cell>
          <cell r="T404">
            <v>0</v>
          </cell>
          <cell r="U404">
            <v>0</v>
          </cell>
          <cell r="V404">
            <v>0</v>
          </cell>
          <cell r="W404">
            <v>0</v>
          </cell>
          <cell r="X404">
            <v>0</v>
          </cell>
          <cell r="Y404">
            <v>0</v>
          </cell>
          <cell r="Z404">
            <v>0</v>
          </cell>
        </row>
        <row r="405">
          <cell r="A405" t="str">
            <v>QMT03</v>
          </cell>
          <cell r="B405" t="str">
            <v>Võ Hữu</v>
          </cell>
          <cell r="C405" t="str">
            <v>Công</v>
          </cell>
          <cell r="D405">
            <v>12</v>
          </cell>
          <cell r="E405">
            <v>12</v>
          </cell>
          <cell r="F405">
            <v>384.4</v>
          </cell>
          <cell r="G405">
            <v>456.2</v>
          </cell>
          <cell r="H405">
            <v>0</v>
          </cell>
          <cell r="I405">
            <v>37.4</v>
          </cell>
          <cell r="J405">
            <v>15</v>
          </cell>
          <cell r="K405">
            <v>26.4</v>
          </cell>
          <cell r="L405">
            <v>0</v>
          </cell>
          <cell r="M405">
            <v>186</v>
          </cell>
          <cell r="N405">
            <v>0</v>
          </cell>
          <cell r="O405">
            <v>30</v>
          </cell>
          <cell r="P405">
            <v>0</v>
          </cell>
          <cell r="Q405">
            <v>0</v>
          </cell>
          <cell r="R405">
            <v>0</v>
          </cell>
          <cell r="S405">
            <v>80</v>
          </cell>
          <cell r="T405">
            <v>54</v>
          </cell>
          <cell r="U405">
            <v>2.4</v>
          </cell>
          <cell r="V405">
            <v>0</v>
          </cell>
          <cell r="W405">
            <v>1</v>
          </cell>
          <cell r="X405">
            <v>24</v>
          </cell>
          <cell r="Y405">
            <v>0</v>
          </cell>
          <cell r="Z405">
            <v>0</v>
          </cell>
        </row>
        <row r="406">
          <cell r="A406" t="str">
            <v>QMT05</v>
          </cell>
          <cell r="B406" t="str">
            <v>Đinh Thị Hải</v>
          </cell>
          <cell r="C406" t="str">
            <v>Vân</v>
          </cell>
          <cell r="D406">
            <v>40</v>
          </cell>
          <cell r="E406">
            <v>40</v>
          </cell>
          <cell r="F406">
            <v>401</v>
          </cell>
          <cell r="G406">
            <v>548</v>
          </cell>
          <cell r="H406">
            <v>0</v>
          </cell>
          <cell r="I406">
            <v>33.299999999999997</v>
          </cell>
          <cell r="J406">
            <v>13.3</v>
          </cell>
          <cell r="K406">
            <v>0</v>
          </cell>
          <cell r="L406">
            <v>0</v>
          </cell>
          <cell r="M406">
            <v>144</v>
          </cell>
          <cell r="N406">
            <v>0</v>
          </cell>
          <cell r="O406">
            <v>0</v>
          </cell>
          <cell r="P406">
            <v>0</v>
          </cell>
          <cell r="Q406">
            <v>0</v>
          </cell>
          <cell r="R406">
            <v>0</v>
          </cell>
          <cell r="S406">
            <v>40</v>
          </cell>
          <cell r="T406">
            <v>189</v>
          </cell>
          <cell r="U406">
            <v>5.9</v>
          </cell>
          <cell r="V406">
            <v>0</v>
          </cell>
          <cell r="W406">
            <v>2.5</v>
          </cell>
          <cell r="X406">
            <v>120</v>
          </cell>
          <cell r="Y406">
            <v>0</v>
          </cell>
          <cell r="Z406">
            <v>0</v>
          </cell>
        </row>
        <row r="407">
          <cell r="A407" t="str">
            <v>QMT06</v>
          </cell>
          <cell r="B407" t="str">
            <v>Nguyễn Thị Bích</v>
          </cell>
          <cell r="C407" t="str">
            <v>Hà</v>
          </cell>
          <cell r="D407">
            <v>26.4</v>
          </cell>
          <cell r="E407">
            <v>26.4</v>
          </cell>
          <cell r="F407">
            <v>226.4</v>
          </cell>
          <cell r="G407">
            <v>283.39999999999998</v>
          </cell>
          <cell r="H407">
            <v>0</v>
          </cell>
          <cell r="I407">
            <v>31.5</v>
          </cell>
          <cell r="J407">
            <v>12.6</v>
          </cell>
          <cell r="K407">
            <v>26.4</v>
          </cell>
          <cell r="L407">
            <v>0</v>
          </cell>
          <cell r="M407">
            <v>172.9</v>
          </cell>
          <cell r="N407">
            <v>0</v>
          </cell>
          <cell r="O407">
            <v>0</v>
          </cell>
          <cell r="P407">
            <v>0</v>
          </cell>
          <cell r="Q407">
            <v>0</v>
          </cell>
          <cell r="R407">
            <v>0</v>
          </cell>
          <cell r="S407">
            <v>40</v>
          </cell>
          <cell r="T407">
            <v>0</v>
          </cell>
          <cell r="U407">
            <v>0</v>
          </cell>
          <cell r="V407">
            <v>0</v>
          </cell>
          <cell r="W407">
            <v>0</v>
          </cell>
          <cell r="X407">
            <v>0</v>
          </cell>
          <cell r="Y407">
            <v>0</v>
          </cell>
          <cell r="Z407">
            <v>0</v>
          </cell>
        </row>
        <row r="408">
          <cell r="A408" t="str">
            <v>QMT08</v>
          </cell>
          <cell r="B408" t="str">
            <v>Nguyễn Thị Hương</v>
          </cell>
          <cell r="C408" t="str">
            <v>Giang</v>
          </cell>
          <cell r="D408">
            <v>26.4</v>
          </cell>
          <cell r="E408">
            <v>26.4</v>
          </cell>
          <cell r="F408">
            <v>362.4</v>
          </cell>
          <cell r="G408">
            <v>452.2</v>
          </cell>
          <cell r="H408">
            <v>0</v>
          </cell>
          <cell r="I408">
            <v>56.3</v>
          </cell>
          <cell r="J408">
            <v>22.7</v>
          </cell>
          <cell r="K408">
            <v>26.4</v>
          </cell>
          <cell r="L408">
            <v>0</v>
          </cell>
          <cell r="M408">
            <v>266.8</v>
          </cell>
          <cell r="N408">
            <v>0</v>
          </cell>
          <cell r="O408">
            <v>0</v>
          </cell>
          <cell r="P408">
            <v>0</v>
          </cell>
          <cell r="Q408">
            <v>0</v>
          </cell>
          <cell r="R408">
            <v>0</v>
          </cell>
          <cell r="S408">
            <v>80</v>
          </cell>
          <cell r="T408">
            <v>0</v>
          </cell>
          <cell r="U408">
            <v>0</v>
          </cell>
          <cell r="V408">
            <v>0</v>
          </cell>
          <cell r="W408">
            <v>0</v>
          </cell>
          <cell r="X408">
            <v>0</v>
          </cell>
          <cell r="Y408">
            <v>0</v>
          </cell>
          <cell r="Z408">
            <v>0</v>
          </cell>
        </row>
        <row r="409">
          <cell r="A409" t="str">
            <v>QMT10</v>
          </cell>
          <cell r="B409" t="str">
            <v>Nguyễn Thanh</v>
          </cell>
          <cell r="C409" t="str">
            <v>Lâm</v>
          </cell>
          <cell r="D409">
            <v>40</v>
          </cell>
          <cell r="E409">
            <v>40</v>
          </cell>
          <cell r="F409">
            <v>509</v>
          </cell>
          <cell r="G409">
            <v>621.5</v>
          </cell>
          <cell r="H409">
            <v>0</v>
          </cell>
          <cell r="I409">
            <v>46.1</v>
          </cell>
          <cell r="J409">
            <v>18.7</v>
          </cell>
          <cell r="K409">
            <v>0</v>
          </cell>
          <cell r="L409">
            <v>0</v>
          </cell>
          <cell r="M409">
            <v>117.4</v>
          </cell>
          <cell r="N409">
            <v>0</v>
          </cell>
          <cell r="O409">
            <v>262.5</v>
          </cell>
          <cell r="P409">
            <v>0</v>
          </cell>
          <cell r="Q409">
            <v>0</v>
          </cell>
          <cell r="R409">
            <v>0</v>
          </cell>
          <cell r="S409">
            <v>40</v>
          </cell>
          <cell r="T409">
            <v>27</v>
          </cell>
          <cell r="U409">
            <v>1.3</v>
          </cell>
          <cell r="V409">
            <v>0</v>
          </cell>
          <cell r="W409">
            <v>0.5</v>
          </cell>
          <cell r="X409">
            <v>108</v>
          </cell>
          <cell r="Y409">
            <v>0</v>
          </cell>
          <cell r="Z409">
            <v>0</v>
          </cell>
        </row>
        <row r="410">
          <cell r="A410" t="str">
            <v>QS002</v>
          </cell>
          <cell r="B410" t="str">
            <v>Dương Xuân</v>
          </cell>
          <cell r="C410" t="str">
            <v>Dũng</v>
          </cell>
          <cell r="D410">
            <v>1</v>
          </cell>
          <cell r="E410">
            <v>17.899999999999999</v>
          </cell>
          <cell r="F410">
            <v>475</v>
          </cell>
          <cell r="G410">
            <v>783.7</v>
          </cell>
          <cell r="H410">
            <v>0</v>
          </cell>
          <cell r="I410">
            <v>82.6</v>
          </cell>
          <cell r="J410">
            <v>33.200000000000003</v>
          </cell>
          <cell r="K410">
            <v>0</v>
          </cell>
          <cell r="L410">
            <v>0</v>
          </cell>
          <cell r="M410">
            <v>367.9</v>
          </cell>
          <cell r="N410">
            <v>0</v>
          </cell>
          <cell r="O410">
            <v>300</v>
          </cell>
          <cell r="P410">
            <v>0</v>
          </cell>
          <cell r="Q410">
            <v>0</v>
          </cell>
          <cell r="R410">
            <v>0</v>
          </cell>
          <cell r="S410">
            <v>0</v>
          </cell>
          <cell r="T410">
            <v>0</v>
          </cell>
          <cell r="U410">
            <v>0</v>
          </cell>
          <cell r="V410">
            <v>0</v>
          </cell>
          <cell r="W410">
            <v>0</v>
          </cell>
          <cell r="X410">
            <v>0</v>
          </cell>
          <cell r="Y410">
            <v>0</v>
          </cell>
          <cell r="Z410">
            <v>0</v>
          </cell>
        </row>
        <row r="411">
          <cell r="A411" t="str">
            <v>QS003</v>
          </cell>
          <cell r="B411" t="str">
            <v>Nguyễn Văn</v>
          </cell>
          <cell r="C411" t="str">
            <v>Tám</v>
          </cell>
          <cell r="D411">
            <v>1</v>
          </cell>
          <cell r="E411">
            <v>10.6</v>
          </cell>
          <cell r="F411">
            <v>361</v>
          </cell>
          <cell r="G411">
            <v>838.3</v>
          </cell>
          <cell r="H411">
            <v>0</v>
          </cell>
          <cell r="I411">
            <v>129.19999999999999</v>
          </cell>
          <cell r="J411">
            <v>52</v>
          </cell>
          <cell r="K411">
            <v>0</v>
          </cell>
          <cell r="L411">
            <v>0</v>
          </cell>
          <cell r="M411">
            <v>657.1</v>
          </cell>
          <cell r="N411">
            <v>0</v>
          </cell>
          <cell r="O411">
            <v>0</v>
          </cell>
          <cell r="P411">
            <v>0</v>
          </cell>
          <cell r="Q411">
            <v>0</v>
          </cell>
          <cell r="R411">
            <v>0</v>
          </cell>
          <cell r="S411">
            <v>0</v>
          </cell>
          <cell r="T411">
            <v>0</v>
          </cell>
          <cell r="U411">
            <v>0</v>
          </cell>
          <cell r="V411">
            <v>0</v>
          </cell>
          <cell r="W411">
            <v>0</v>
          </cell>
          <cell r="X411">
            <v>0</v>
          </cell>
          <cell r="Y411">
            <v>0</v>
          </cell>
          <cell r="Z411">
            <v>0</v>
          </cell>
        </row>
        <row r="412">
          <cell r="A412" t="str">
            <v>QS004</v>
          </cell>
          <cell r="B412" t="str">
            <v>Đào Xuân</v>
          </cell>
          <cell r="C412" t="str">
            <v>Tưởng</v>
          </cell>
          <cell r="D412">
            <v>1</v>
          </cell>
          <cell r="E412">
            <v>5.6</v>
          </cell>
          <cell r="F412">
            <v>487</v>
          </cell>
          <cell r="G412">
            <v>1104.5</v>
          </cell>
          <cell r="H412">
            <v>0</v>
          </cell>
          <cell r="I412">
            <v>163.1</v>
          </cell>
          <cell r="J412">
            <v>65.5</v>
          </cell>
          <cell r="K412">
            <v>0</v>
          </cell>
          <cell r="L412">
            <v>0</v>
          </cell>
          <cell r="M412">
            <v>875.9</v>
          </cell>
          <cell r="N412">
            <v>0</v>
          </cell>
          <cell r="O412">
            <v>0</v>
          </cell>
          <cell r="P412">
            <v>0</v>
          </cell>
          <cell r="Q412">
            <v>0</v>
          </cell>
          <cell r="R412">
            <v>0</v>
          </cell>
          <cell r="S412">
            <v>0</v>
          </cell>
          <cell r="T412">
            <v>0</v>
          </cell>
          <cell r="U412">
            <v>0</v>
          </cell>
          <cell r="V412">
            <v>0</v>
          </cell>
          <cell r="W412">
            <v>0</v>
          </cell>
          <cell r="X412">
            <v>0</v>
          </cell>
          <cell r="Y412">
            <v>0</v>
          </cell>
          <cell r="Z412">
            <v>0</v>
          </cell>
        </row>
        <row r="413">
          <cell r="A413" t="str">
            <v>QS005</v>
          </cell>
          <cell r="B413" t="str">
            <v>Lê Quốc</v>
          </cell>
          <cell r="C413" t="str">
            <v>Bình</v>
          </cell>
          <cell r="D413">
            <v>1</v>
          </cell>
          <cell r="E413">
            <v>19.3</v>
          </cell>
          <cell r="F413">
            <v>616</v>
          </cell>
          <cell r="G413">
            <v>1099.9000000000001</v>
          </cell>
          <cell r="H413">
            <v>0</v>
          </cell>
          <cell r="I413">
            <v>141.4</v>
          </cell>
          <cell r="J413">
            <v>56.7</v>
          </cell>
          <cell r="K413">
            <v>0</v>
          </cell>
          <cell r="L413">
            <v>0</v>
          </cell>
          <cell r="M413">
            <v>484.3</v>
          </cell>
          <cell r="N413">
            <v>0</v>
          </cell>
          <cell r="O413">
            <v>417.5</v>
          </cell>
          <cell r="P413">
            <v>0</v>
          </cell>
          <cell r="Q413">
            <v>0</v>
          </cell>
          <cell r="R413">
            <v>0</v>
          </cell>
          <cell r="S413">
            <v>0</v>
          </cell>
          <cell r="T413">
            <v>0</v>
          </cell>
          <cell r="U413">
            <v>0</v>
          </cell>
          <cell r="V413">
            <v>0</v>
          </cell>
          <cell r="W413">
            <v>0</v>
          </cell>
          <cell r="X413">
            <v>0</v>
          </cell>
          <cell r="Y413">
            <v>0</v>
          </cell>
          <cell r="Z413">
            <v>0</v>
          </cell>
        </row>
        <row r="414">
          <cell r="A414" t="str">
            <v>QS006</v>
          </cell>
          <cell r="B414" t="str">
            <v>Nguyễn Hoàng</v>
          </cell>
          <cell r="C414" t="str">
            <v>Huấn</v>
          </cell>
          <cell r="D414">
            <v>1</v>
          </cell>
          <cell r="E414">
            <v>19.600000000000001</v>
          </cell>
          <cell r="F414">
            <v>691</v>
          </cell>
          <cell r="G414">
            <v>1228.5999999999999</v>
          </cell>
          <cell r="H414">
            <v>0</v>
          </cell>
          <cell r="I414">
            <v>148.4</v>
          </cell>
          <cell r="J414">
            <v>59.5</v>
          </cell>
          <cell r="K414">
            <v>0</v>
          </cell>
          <cell r="L414">
            <v>0</v>
          </cell>
          <cell r="M414">
            <v>508.2</v>
          </cell>
          <cell r="N414">
            <v>0</v>
          </cell>
          <cell r="O414">
            <v>512.5</v>
          </cell>
          <cell r="P414">
            <v>0</v>
          </cell>
          <cell r="Q414">
            <v>0</v>
          </cell>
          <cell r="R414">
            <v>0</v>
          </cell>
          <cell r="S414">
            <v>0</v>
          </cell>
          <cell r="T414">
            <v>0</v>
          </cell>
          <cell r="U414">
            <v>0</v>
          </cell>
          <cell r="V414">
            <v>0</v>
          </cell>
          <cell r="W414">
            <v>0</v>
          </cell>
          <cell r="X414">
            <v>0</v>
          </cell>
          <cell r="Y414">
            <v>0</v>
          </cell>
          <cell r="Z414">
            <v>0</v>
          </cell>
        </row>
        <row r="415">
          <cell r="A415" t="str">
            <v>QS007</v>
          </cell>
          <cell r="B415" t="str">
            <v>Phạm Ngọc</v>
          </cell>
          <cell r="C415" t="str">
            <v>Thạch</v>
          </cell>
          <cell r="D415">
            <v>1</v>
          </cell>
          <cell r="E415">
            <v>19.3</v>
          </cell>
          <cell r="F415">
            <v>571</v>
          </cell>
          <cell r="G415">
            <v>1028.5</v>
          </cell>
          <cell r="H415">
            <v>0</v>
          </cell>
          <cell r="I415">
            <v>137.6</v>
          </cell>
          <cell r="J415">
            <v>55.3</v>
          </cell>
          <cell r="K415">
            <v>0</v>
          </cell>
          <cell r="L415">
            <v>0</v>
          </cell>
          <cell r="M415">
            <v>475.6</v>
          </cell>
          <cell r="N415">
            <v>0</v>
          </cell>
          <cell r="O415">
            <v>360</v>
          </cell>
          <cell r="P415">
            <v>0</v>
          </cell>
          <cell r="Q415">
            <v>0</v>
          </cell>
          <cell r="R415">
            <v>0</v>
          </cell>
          <cell r="S415">
            <v>0</v>
          </cell>
          <cell r="T415">
            <v>0</v>
          </cell>
          <cell r="U415">
            <v>0</v>
          </cell>
          <cell r="V415">
            <v>0</v>
          </cell>
          <cell r="W415">
            <v>0</v>
          </cell>
          <cell r="X415">
            <v>0</v>
          </cell>
          <cell r="Y415">
            <v>0</v>
          </cell>
          <cell r="Z415">
            <v>0</v>
          </cell>
        </row>
        <row r="416">
          <cell r="A416" t="str">
            <v>QS008</v>
          </cell>
          <cell r="B416" t="str">
            <v>Lê Việt</v>
          </cell>
          <cell r="C416" t="str">
            <v>Cường</v>
          </cell>
          <cell r="D416">
            <v>1</v>
          </cell>
          <cell r="E416">
            <v>19.3</v>
          </cell>
          <cell r="F416">
            <v>539</v>
          </cell>
          <cell r="G416">
            <v>935.9</v>
          </cell>
          <cell r="H416">
            <v>0</v>
          </cell>
          <cell r="I416">
            <v>123.9</v>
          </cell>
          <cell r="J416">
            <v>49.7</v>
          </cell>
          <cell r="K416">
            <v>0</v>
          </cell>
          <cell r="L416">
            <v>0</v>
          </cell>
          <cell r="M416">
            <v>432.3</v>
          </cell>
          <cell r="N416">
            <v>0</v>
          </cell>
          <cell r="O416">
            <v>330</v>
          </cell>
          <cell r="P416">
            <v>0</v>
          </cell>
          <cell r="Q416">
            <v>0</v>
          </cell>
          <cell r="R416">
            <v>0</v>
          </cell>
          <cell r="S416">
            <v>0</v>
          </cell>
          <cell r="T416">
            <v>0</v>
          </cell>
          <cell r="U416">
            <v>0</v>
          </cell>
          <cell r="V416">
            <v>0</v>
          </cell>
          <cell r="W416">
            <v>0</v>
          </cell>
          <cell r="X416">
            <v>0</v>
          </cell>
          <cell r="Y416">
            <v>0</v>
          </cell>
          <cell r="Z416">
            <v>0</v>
          </cell>
        </row>
        <row r="417">
          <cell r="A417" t="str">
            <v>QS009</v>
          </cell>
          <cell r="B417" t="str">
            <v>Hoàng Văn</v>
          </cell>
          <cell r="C417" t="str">
            <v>Quý</v>
          </cell>
          <cell r="D417">
            <v>1</v>
          </cell>
          <cell r="E417">
            <v>3.9</v>
          </cell>
          <cell r="F417">
            <v>384</v>
          </cell>
          <cell r="G417">
            <v>722.2</v>
          </cell>
          <cell r="H417">
            <v>0</v>
          </cell>
          <cell r="I417">
            <v>135.19999999999999</v>
          </cell>
          <cell r="J417">
            <v>54.3</v>
          </cell>
          <cell r="K417">
            <v>0</v>
          </cell>
          <cell r="L417">
            <v>0</v>
          </cell>
          <cell r="M417">
            <v>532.70000000000005</v>
          </cell>
          <cell r="N417">
            <v>0</v>
          </cell>
          <cell r="O417">
            <v>0</v>
          </cell>
          <cell r="P417">
            <v>0</v>
          </cell>
          <cell r="Q417">
            <v>0</v>
          </cell>
          <cell r="R417">
            <v>0</v>
          </cell>
          <cell r="S417">
            <v>0</v>
          </cell>
          <cell r="T417">
            <v>0</v>
          </cell>
          <cell r="U417">
            <v>0</v>
          </cell>
          <cell r="V417">
            <v>0</v>
          </cell>
          <cell r="W417">
            <v>0</v>
          </cell>
          <cell r="X417">
            <v>0</v>
          </cell>
          <cell r="Y417">
            <v>0</v>
          </cell>
          <cell r="Z417">
            <v>0</v>
          </cell>
        </row>
        <row r="418">
          <cell r="A418" t="str">
            <v>QS010</v>
          </cell>
          <cell r="B418" t="str">
            <v>Trịnh Hùng</v>
          </cell>
          <cell r="C418" t="str">
            <v>Sơn</v>
          </cell>
          <cell r="D418">
            <v>1</v>
          </cell>
          <cell r="E418">
            <v>19.600000000000001</v>
          </cell>
          <cell r="F418">
            <v>96</v>
          </cell>
          <cell r="G418">
            <v>257.8</v>
          </cell>
          <cell r="H418">
            <v>0</v>
          </cell>
          <cell r="I418">
            <v>53.4</v>
          </cell>
          <cell r="J418">
            <v>21.5</v>
          </cell>
          <cell r="K418">
            <v>0</v>
          </cell>
          <cell r="L418">
            <v>0</v>
          </cell>
          <cell r="M418">
            <v>182.9</v>
          </cell>
          <cell r="N418">
            <v>0</v>
          </cell>
          <cell r="O418">
            <v>0</v>
          </cell>
          <cell r="P418">
            <v>0</v>
          </cell>
          <cell r="Q418">
            <v>0</v>
          </cell>
          <cell r="R418">
            <v>0</v>
          </cell>
          <cell r="S418">
            <v>0</v>
          </cell>
          <cell r="T418">
            <v>0</v>
          </cell>
          <cell r="U418">
            <v>0</v>
          </cell>
          <cell r="V418">
            <v>0</v>
          </cell>
          <cell r="W418">
            <v>0</v>
          </cell>
          <cell r="X418">
            <v>0</v>
          </cell>
          <cell r="Y418">
            <v>0</v>
          </cell>
          <cell r="Z418">
            <v>0</v>
          </cell>
        </row>
        <row r="419">
          <cell r="A419" t="str">
            <v>QS011</v>
          </cell>
          <cell r="B419" t="str">
            <v>Phạm Quyết</v>
          </cell>
          <cell r="C419" t="str">
            <v>Sơn</v>
          </cell>
          <cell r="D419">
            <v>1</v>
          </cell>
          <cell r="E419">
            <v>20</v>
          </cell>
          <cell r="F419">
            <v>259</v>
          </cell>
          <cell r="G419">
            <v>386.8</v>
          </cell>
          <cell r="H419">
            <v>0</v>
          </cell>
          <cell r="I419">
            <v>37.1</v>
          </cell>
          <cell r="J419">
            <v>14.9</v>
          </cell>
          <cell r="K419">
            <v>0</v>
          </cell>
          <cell r="L419">
            <v>0</v>
          </cell>
          <cell r="M419">
            <v>127.3</v>
          </cell>
          <cell r="N419">
            <v>0</v>
          </cell>
          <cell r="O419">
            <v>207.5</v>
          </cell>
          <cell r="P419">
            <v>0</v>
          </cell>
          <cell r="Q419">
            <v>0</v>
          </cell>
          <cell r="R419">
            <v>0</v>
          </cell>
          <cell r="S419">
            <v>0</v>
          </cell>
          <cell r="T419">
            <v>0</v>
          </cell>
          <cell r="U419">
            <v>0</v>
          </cell>
          <cell r="V419">
            <v>0</v>
          </cell>
          <cell r="W419">
            <v>0</v>
          </cell>
          <cell r="X419">
            <v>0</v>
          </cell>
          <cell r="Y419">
            <v>0</v>
          </cell>
          <cell r="Z419">
            <v>0</v>
          </cell>
        </row>
        <row r="420">
          <cell r="A420" t="str">
            <v>QS48</v>
          </cell>
          <cell r="B420" t="str">
            <v>Nguyễn Hồng</v>
          </cell>
          <cell r="C420" t="str">
            <v>Vân</v>
          </cell>
          <cell r="D420">
            <v>1</v>
          </cell>
          <cell r="E420">
            <v>11</v>
          </cell>
          <cell r="F420">
            <v>571</v>
          </cell>
          <cell r="G420">
            <v>1048.3</v>
          </cell>
          <cell r="H420">
            <v>0</v>
          </cell>
          <cell r="I420">
            <v>143.19999999999999</v>
          </cell>
          <cell r="J420">
            <v>57.4</v>
          </cell>
          <cell r="K420">
            <v>0</v>
          </cell>
          <cell r="L420">
            <v>0</v>
          </cell>
          <cell r="M420">
            <v>502.7</v>
          </cell>
          <cell r="N420">
            <v>0</v>
          </cell>
          <cell r="O420">
            <v>345</v>
          </cell>
          <cell r="P420">
            <v>0</v>
          </cell>
          <cell r="Q420">
            <v>0</v>
          </cell>
          <cell r="R420">
            <v>0</v>
          </cell>
          <cell r="S420">
            <v>0</v>
          </cell>
          <cell r="T420">
            <v>0</v>
          </cell>
          <cell r="U420">
            <v>0</v>
          </cell>
          <cell r="V420">
            <v>0</v>
          </cell>
          <cell r="W420">
            <v>0</v>
          </cell>
          <cell r="X420">
            <v>0</v>
          </cell>
          <cell r="Y420">
            <v>0</v>
          </cell>
          <cell r="Z420">
            <v>0</v>
          </cell>
        </row>
        <row r="421">
          <cell r="A421" t="str">
            <v>QS49</v>
          </cell>
          <cell r="B421" t="str">
            <v>Bùi Xuân</v>
          </cell>
          <cell r="C421" t="str">
            <v>Thủy</v>
          </cell>
          <cell r="D421">
            <v>1</v>
          </cell>
          <cell r="E421">
            <v>6.3</v>
          </cell>
          <cell r="F421">
            <v>380</v>
          </cell>
          <cell r="G421">
            <v>909.8</v>
          </cell>
          <cell r="H421">
            <v>0</v>
          </cell>
          <cell r="I421">
            <v>155</v>
          </cell>
          <cell r="J421">
            <v>62.3</v>
          </cell>
          <cell r="K421">
            <v>0</v>
          </cell>
          <cell r="L421">
            <v>0</v>
          </cell>
          <cell r="M421">
            <v>692.5</v>
          </cell>
          <cell r="N421">
            <v>0</v>
          </cell>
          <cell r="O421">
            <v>0</v>
          </cell>
          <cell r="P421">
            <v>0</v>
          </cell>
          <cell r="Q421">
            <v>0</v>
          </cell>
          <cell r="R421">
            <v>0</v>
          </cell>
          <cell r="S421">
            <v>0</v>
          </cell>
          <cell r="T421">
            <v>0</v>
          </cell>
          <cell r="U421">
            <v>0</v>
          </cell>
          <cell r="V421">
            <v>0</v>
          </cell>
          <cell r="W421">
            <v>0</v>
          </cell>
          <cell r="X421">
            <v>0</v>
          </cell>
          <cell r="Y421">
            <v>0</v>
          </cell>
          <cell r="Z421">
            <v>0</v>
          </cell>
        </row>
        <row r="422">
          <cell r="A422" t="str">
            <v>QS51</v>
          </cell>
          <cell r="B422" t="str">
            <v>Đinh Quang</v>
          </cell>
          <cell r="C422" t="str">
            <v>Chiến</v>
          </cell>
          <cell r="D422">
            <v>1</v>
          </cell>
          <cell r="E422">
            <v>9.6</v>
          </cell>
          <cell r="F422">
            <v>384</v>
          </cell>
          <cell r="G422">
            <v>725.9</v>
          </cell>
          <cell r="H422">
            <v>0</v>
          </cell>
          <cell r="I422">
            <v>141.69999999999999</v>
          </cell>
          <cell r="J422">
            <v>57</v>
          </cell>
          <cell r="K422">
            <v>0</v>
          </cell>
          <cell r="L422">
            <v>0</v>
          </cell>
          <cell r="M422">
            <v>527.20000000000005</v>
          </cell>
          <cell r="N422">
            <v>0</v>
          </cell>
          <cell r="O422">
            <v>0</v>
          </cell>
          <cell r="P422">
            <v>0</v>
          </cell>
          <cell r="Q422">
            <v>0</v>
          </cell>
          <cell r="R422">
            <v>0</v>
          </cell>
          <cell r="S422">
            <v>0</v>
          </cell>
          <cell r="T422">
            <v>0</v>
          </cell>
          <cell r="U422">
            <v>0</v>
          </cell>
          <cell r="V422">
            <v>0</v>
          </cell>
          <cell r="W422">
            <v>0</v>
          </cell>
          <cell r="X422">
            <v>0</v>
          </cell>
          <cell r="Y422">
            <v>0</v>
          </cell>
          <cell r="Z422">
            <v>0</v>
          </cell>
        </row>
        <row r="423">
          <cell r="A423" t="str">
            <v>QTP01</v>
          </cell>
          <cell r="B423" t="str">
            <v>Nguyễn Thị Thanh</v>
          </cell>
          <cell r="C423" t="str">
            <v>Thủy</v>
          </cell>
          <cell r="D423">
            <v>40</v>
          </cell>
          <cell r="E423">
            <v>40</v>
          </cell>
          <cell r="F423">
            <v>410</v>
          </cell>
          <cell r="G423">
            <v>490.9</v>
          </cell>
          <cell r="H423">
            <v>0</v>
          </cell>
          <cell r="I423">
            <v>28.2</v>
          </cell>
          <cell r="J423">
            <v>11.2</v>
          </cell>
          <cell r="K423">
            <v>0</v>
          </cell>
          <cell r="L423">
            <v>0</v>
          </cell>
          <cell r="M423">
            <v>106</v>
          </cell>
          <cell r="N423">
            <v>0</v>
          </cell>
          <cell r="O423">
            <v>60</v>
          </cell>
          <cell r="P423">
            <v>0</v>
          </cell>
          <cell r="Q423">
            <v>0</v>
          </cell>
          <cell r="R423">
            <v>0</v>
          </cell>
          <cell r="S423">
            <v>114</v>
          </cell>
          <cell r="T423">
            <v>90</v>
          </cell>
          <cell r="U423">
            <v>1</v>
          </cell>
          <cell r="V423">
            <v>0</v>
          </cell>
          <cell r="W423">
            <v>0.5</v>
          </cell>
          <cell r="X423">
            <v>80</v>
          </cell>
          <cell r="Y423">
            <v>0</v>
          </cell>
          <cell r="Z423">
            <v>0</v>
          </cell>
        </row>
        <row r="424">
          <cell r="A424" t="str">
            <v>QTP02</v>
          </cell>
          <cell r="B424" t="str">
            <v>Lê Minh</v>
          </cell>
          <cell r="C424" t="str">
            <v>Nguyệt</v>
          </cell>
          <cell r="D424">
            <v>20</v>
          </cell>
          <cell r="E424">
            <v>20</v>
          </cell>
          <cell r="F424">
            <v>346.4</v>
          </cell>
          <cell r="G424">
            <v>430.6</v>
          </cell>
          <cell r="H424">
            <v>0</v>
          </cell>
          <cell r="I424">
            <v>46.6</v>
          </cell>
          <cell r="J424">
            <v>18.7</v>
          </cell>
          <cell r="K424">
            <v>50.4</v>
          </cell>
          <cell r="L424">
            <v>0</v>
          </cell>
          <cell r="M424">
            <v>122.9</v>
          </cell>
          <cell r="N424">
            <v>0</v>
          </cell>
          <cell r="O424">
            <v>112</v>
          </cell>
          <cell r="P424">
            <v>0</v>
          </cell>
          <cell r="Q424">
            <v>0</v>
          </cell>
          <cell r="R424">
            <v>0</v>
          </cell>
          <cell r="S424">
            <v>80</v>
          </cell>
          <cell r="T424">
            <v>0</v>
          </cell>
          <cell r="U424">
            <v>0</v>
          </cell>
          <cell r="V424">
            <v>0</v>
          </cell>
          <cell r="W424">
            <v>0</v>
          </cell>
          <cell r="X424">
            <v>0</v>
          </cell>
          <cell r="Y424">
            <v>0</v>
          </cell>
          <cell r="Z424">
            <v>0</v>
          </cell>
        </row>
        <row r="425">
          <cell r="A425" t="str">
            <v>QTP03</v>
          </cell>
          <cell r="B425" t="str">
            <v>Phan Thị Phương</v>
          </cell>
          <cell r="C425" t="str">
            <v>Thảo</v>
          </cell>
          <cell r="D425">
            <v>20</v>
          </cell>
          <cell r="E425">
            <v>20</v>
          </cell>
          <cell r="F425">
            <v>399.4</v>
          </cell>
          <cell r="G425">
            <v>437.2</v>
          </cell>
          <cell r="H425">
            <v>0</v>
          </cell>
          <cell r="I425">
            <v>30.5</v>
          </cell>
          <cell r="J425">
            <v>12.3</v>
          </cell>
          <cell r="K425">
            <v>50.4</v>
          </cell>
          <cell r="L425">
            <v>0</v>
          </cell>
          <cell r="M425">
            <v>78</v>
          </cell>
          <cell r="N425">
            <v>0</v>
          </cell>
          <cell r="O425">
            <v>86</v>
          </cell>
          <cell r="P425">
            <v>0</v>
          </cell>
          <cell r="Q425">
            <v>0</v>
          </cell>
          <cell r="R425">
            <v>0</v>
          </cell>
          <cell r="S425">
            <v>180</v>
          </cell>
          <cell r="T425">
            <v>0</v>
          </cell>
          <cell r="U425">
            <v>0</v>
          </cell>
          <cell r="V425">
            <v>0</v>
          </cell>
          <cell r="W425">
            <v>0</v>
          </cell>
          <cell r="X425">
            <v>0</v>
          </cell>
          <cell r="Y425">
            <v>0</v>
          </cell>
          <cell r="Z425">
            <v>0</v>
          </cell>
        </row>
        <row r="426">
          <cell r="A426" t="str">
            <v>QTP04</v>
          </cell>
          <cell r="B426" t="str">
            <v>Ngô Xuân</v>
          </cell>
          <cell r="C426" t="str">
            <v>Dũng</v>
          </cell>
          <cell r="D426">
            <v>20</v>
          </cell>
          <cell r="E426">
            <v>20</v>
          </cell>
          <cell r="F426">
            <v>397.2</v>
          </cell>
          <cell r="G426">
            <v>469.2</v>
          </cell>
          <cell r="H426">
            <v>0</v>
          </cell>
          <cell r="I426">
            <v>30.6</v>
          </cell>
          <cell r="J426">
            <v>12.4</v>
          </cell>
          <cell r="K426">
            <v>25.2</v>
          </cell>
          <cell r="L426">
            <v>0</v>
          </cell>
          <cell r="M426">
            <v>109</v>
          </cell>
          <cell r="N426">
            <v>0</v>
          </cell>
          <cell r="O426">
            <v>152</v>
          </cell>
          <cell r="P426">
            <v>0</v>
          </cell>
          <cell r="Q426">
            <v>0</v>
          </cell>
          <cell r="R426">
            <v>0</v>
          </cell>
          <cell r="S426">
            <v>140</v>
          </cell>
          <cell r="T426">
            <v>0</v>
          </cell>
          <cell r="U426">
            <v>0</v>
          </cell>
          <cell r="V426">
            <v>0</v>
          </cell>
          <cell r="W426">
            <v>0</v>
          </cell>
          <cell r="X426">
            <v>0</v>
          </cell>
          <cell r="Y426">
            <v>0</v>
          </cell>
          <cell r="Z426">
            <v>0</v>
          </cell>
        </row>
        <row r="427">
          <cell r="A427" t="str">
            <v>QTP05</v>
          </cell>
          <cell r="B427" t="str">
            <v>Nguyễn Vĩnh</v>
          </cell>
          <cell r="C427" t="str">
            <v>Hoàng</v>
          </cell>
          <cell r="D427">
            <v>20</v>
          </cell>
          <cell r="E427">
            <v>20</v>
          </cell>
          <cell r="F427">
            <v>461.2</v>
          </cell>
          <cell r="G427">
            <v>571.9</v>
          </cell>
          <cell r="H427">
            <v>0</v>
          </cell>
          <cell r="I427">
            <v>64.8</v>
          </cell>
          <cell r="J427">
            <v>23.6</v>
          </cell>
          <cell r="K427">
            <v>25.2</v>
          </cell>
          <cell r="L427">
            <v>0</v>
          </cell>
          <cell r="M427">
            <v>217.3</v>
          </cell>
          <cell r="N427">
            <v>0</v>
          </cell>
          <cell r="O427">
            <v>181</v>
          </cell>
          <cell r="P427">
            <v>0</v>
          </cell>
          <cell r="Q427">
            <v>0</v>
          </cell>
          <cell r="R427">
            <v>0</v>
          </cell>
          <cell r="S427">
            <v>60</v>
          </cell>
          <cell r="T427">
            <v>0</v>
          </cell>
          <cell r="U427">
            <v>0</v>
          </cell>
          <cell r="V427">
            <v>0</v>
          </cell>
          <cell r="W427">
            <v>0</v>
          </cell>
          <cell r="X427">
            <v>0</v>
          </cell>
          <cell r="Y427">
            <v>0</v>
          </cell>
          <cell r="Z427">
            <v>0</v>
          </cell>
        </row>
        <row r="428">
          <cell r="A428" t="str">
            <v>RAQ03</v>
          </cell>
          <cell r="B428" t="str">
            <v>Vũ Thanh</v>
          </cell>
          <cell r="C428" t="str">
            <v>Hải</v>
          </cell>
          <cell r="D428">
            <v>40</v>
          </cell>
          <cell r="E428">
            <v>40</v>
          </cell>
          <cell r="F428">
            <v>364</v>
          </cell>
          <cell r="G428">
            <v>464</v>
          </cell>
          <cell r="H428">
            <v>0</v>
          </cell>
          <cell r="I428">
            <v>28.3</v>
          </cell>
          <cell r="J428">
            <v>11.4</v>
          </cell>
          <cell r="K428">
            <v>45</v>
          </cell>
          <cell r="L428">
            <v>0</v>
          </cell>
          <cell r="M428">
            <v>167.3</v>
          </cell>
          <cell r="N428">
            <v>0</v>
          </cell>
          <cell r="O428">
            <v>44</v>
          </cell>
          <cell r="P428">
            <v>0</v>
          </cell>
          <cell r="Q428">
            <v>0</v>
          </cell>
          <cell r="R428">
            <v>0</v>
          </cell>
          <cell r="S428">
            <v>100</v>
          </cell>
          <cell r="T428">
            <v>0</v>
          </cell>
          <cell r="U428">
            <v>0</v>
          </cell>
          <cell r="V428">
            <v>0</v>
          </cell>
          <cell r="W428">
            <v>0</v>
          </cell>
          <cell r="X428">
            <v>68</v>
          </cell>
          <cell r="Y428">
            <v>0</v>
          </cell>
          <cell r="Z428">
            <v>0</v>
          </cell>
        </row>
        <row r="429">
          <cell r="A429" t="str">
            <v>RAQ05</v>
          </cell>
          <cell r="B429" t="str">
            <v>Đoàn Văn</v>
          </cell>
          <cell r="C429" t="str">
            <v>Lư</v>
          </cell>
          <cell r="D429">
            <v>40</v>
          </cell>
          <cell r="E429">
            <v>40</v>
          </cell>
          <cell r="F429">
            <v>244.5</v>
          </cell>
          <cell r="G429">
            <v>291</v>
          </cell>
          <cell r="H429">
            <v>0</v>
          </cell>
          <cell r="I429">
            <v>26.7</v>
          </cell>
          <cell r="J429">
            <v>10.7</v>
          </cell>
          <cell r="K429">
            <v>40.5</v>
          </cell>
          <cell r="L429">
            <v>0</v>
          </cell>
          <cell r="M429">
            <v>81.099999999999994</v>
          </cell>
          <cell r="N429">
            <v>0</v>
          </cell>
          <cell r="O429">
            <v>32</v>
          </cell>
          <cell r="P429">
            <v>0</v>
          </cell>
          <cell r="Q429">
            <v>0</v>
          </cell>
          <cell r="R429">
            <v>0</v>
          </cell>
          <cell r="S429">
            <v>60</v>
          </cell>
          <cell r="T429">
            <v>0</v>
          </cell>
          <cell r="U429">
            <v>0</v>
          </cell>
          <cell r="V429">
            <v>0</v>
          </cell>
          <cell r="W429">
            <v>0</v>
          </cell>
          <cell r="X429">
            <v>40</v>
          </cell>
          <cell r="Y429">
            <v>0</v>
          </cell>
          <cell r="Z429">
            <v>0</v>
          </cell>
        </row>
        <row r="430">
          <cell r="A430" t="str">
            <v>RAQ06</v>
          </cell>
          <cell r="B430" t="str">
            <v>Phạm Thị Minh</v>
          </cell>
          <cell r="C430" t="str">
            <v>Phượng</v>
          </cell>
          <cell r="D430">
            <v>10</v>
          </cell>
          <cell r="E430">
            <v>10</v>
          </cell>
          <cell r="F430">
            <v>237</v>
          </cell>
          <cell r="G430">
            <v>250.3</v>
          </cell>
          <cell r="H430">
            <v>0</v>
          </cell>
          <cell r="I430">
            <v>4.0999999999999996</v>
          </cell>
          <cell r="J430">
            <v>1.7</v>
          </cell>
          <cell r="K430">
            <v>63</v>
          </cell>
          <cell r="L430">
            <v>0</v>
          </cell>
          <cell r="M430">
            <v>22</v>
          </cell>
          <cell r="N430">
            <v>0</v>
          </cell>
          <cell r="O430">
            <v>16</v>
          </cell>
          <cell r="P430">
            <v>0</v>
          </cell>
          <cell r="Q430">
            <v>0</v>
          </cell>
          <cell r="R430">
            <v>0</v>
          </cell>
          <cell r="S430">
            <v>100</v>
          </cell>
          <cell r="T430">
            <v>18</v>
          </cell>
          <cell r="U430">
            <v>2.5</v>
          </cell>
          <cell r="V430">
            <v>0</v>
          </cell>
          <cell r="W430">
            <v>1</v>
          </cell>
          <cell r="X430">
            <v>12</v>
          </cell>
          <cell r="Y430">
            <v>0</v>
          </cell>
          <cell r="Z430">
            <v>10</v>
          </cell>
        </row>
        <row r="431">
          <cell r="A431" t="str">
            <v>RAQ07</v>
          </cell>
          <cell r="B431" t="str">
            <v>Vũ Quỳnh</v>
          </cell>
          <cell r="C431" t="str">
            <v>Hoa</v>
          </cell>
          <cell r="D431">
            <v>22.5</v>
          </cell>
          <cell r="E431">
            <v>22.5</v>
          </cell>
          <cell r="F431">
            <v>252.5</v>
          </cell>
          <cell r="G431">
            <v>295.7</v>
          </cell>
          <cell r="H431">
            <v>0</v>
          </cell>
          <cell r="I431">
            <v>24.5</v>
          </cell>
          <cell r="J431">
            <v>9.8000000000000007</v>
          </cell>
          <cell r="K431">
            <v>40.5</v>
          </cell>
          <cell r="L431">
            <v>0</v>
          </cell>
          <cell r="M431">
            <v>68.900000000000006</v>
          </cell>
          <cell r="N431">
            <v>0</v>
          </cell>
          <cell r="O431">
            <v>92</v>
          </cell>
          <cell r="P431">
            <v>0</v>
          </cell>
          <cell r="Q431">
            <v>0</v>
          </cell>
          <cell r="R431">
            <v>0</v>
          </cell>
          <cell r="S431">
            <v>60</v>
          </cell>
          <cell r="T431">
            <v>0</v>
          </cell>
          <cell r="U431">
            <v>0</v>
          </cell>
          <cell r="V431">
            <v>0</v>
          </cell>
          <cell r="W431">
            <v>0</v>
          </cell>
          <cell r="X431">
            <v>0</v>
          </cell>
          <cell r="Y431">
            <v>0</v>
          </cell>
          <cell r="Z431">
            <v>0</v>
          </cell>
        </row>
        <row r="432">
          <cell r="A432" t="str">
            <v>RAQ08</v>
          </cell>
          <cell r="B432" t="str">
            <v>Trần Thị Minh</v>
          </cell>
          <cell r="C432" t="str">
            <v>Hằng</v>
          </cell>
          <cell r="D432">
            <v>12</v>
          </cell>
          <cell r="E432">
            <v>12</v>
          </cell>
          <cell r="F432">
            <v>551.5</v>
          </cell>
          <cell r="G432">
            <v>643.79999999999995</v>
          </cell>
          <cell r="H432">
            <v>0</v>
          </cell>
          <cell r="I432">
            <v>24.3</v>
          </cell>
          <cell r="J432">
            <v>9.6999999999999993</v>
          </cell>
          <cell r="K432">
            <v>40.5</v>
          </cell>
          <cell r="L432">
            <v>0</v>
          </cell>
          <cell r="M432">
            <v>75.900000000000006</v>
          </cell>
          <cell r="N432">
            <v>0</v>
          </cell>
          <cell r="O432">
            <v>166</v>
          </cell>
          <cell r="P432">
            <v>0</v>
          </cell>
          <cell r="Q432">
            <v>0</v>
          </cell>
          <cell r="R432">
            <v>0</v>
          </cell>
          <cell r="S432">
            <v>180</v>
          </cell>
          <cell r="T432">
            <v>36</v>
          </cell>
          <cell r="U432">
            <v>1</v>
          </cell>
          <cell r="V432">
            <v>0</v>
          </cell>
          <cell r="W432">
            <v>0.4</v>
          </cell>
          <cell r="X432">
            <v>80</v>
          </cell>
          <cell r="Y432">
            <v>0</v>
          </cell>
          <cell r="Z432">
            <v>30</v>
          </cell>
        </row>
        <row r="433">
          <cell r="A433" t="str">
            <v>RAQ10</v>
          </cell>
          <cell r="B433" t="str">
            <v>Nguyễn Anh</v>
          </cell>
          <cell r="C433" t="str">
            <v>Đức</v>
          </cell>
          <cell r="D433">
            <v>22.5</v>
          </cell>
          <cell r="E433">
            <v>22.5</v>
          </cell>
          <cell r="F433">
            <v>200.5</v>
          </cell>
          <cell r="G433">
            <v>216.5</v>
          </cell>
          <cell r="H433">
            <v>0</v>
          </cell>
          <cell r="I433">
            <v>10.7</v>
          </cell>
          <cell r="J433">
            <v>4.3</v>
          </cell>
          <cell r="K433">
            <v>40.5</v>
          </cell>
          <cell r="L433">
            <v>0</v>
          </cell>
          <cell r="M433">
            <v>44</v>
          </cell>
          <cell r="N433">
            <v>0</v>
          </cell>
          <cell r="O433">
            <v>43</v>
          </cell>
          <cell r="P433">
            <v>0</v>
          </cell>
          <cell r="Q433">
            <v>0</v>
          </cell>
          <cell r="R433">
            <v>0</v>
          </cell>
          <cell r="S433">
            <v>74</v>
          </cell>
          <cell r="T433">
            <v>0</v>
          </cell>
          <cell r="U433">
            <v>0</v>
          </cell>
          <cell r="V433">
            <v>0</v>
          </cell>
          <cell r="W433">
            <v>0</v>
          </cell>
          <cell r="X433">
            <v>0</v>
          </cell>
          <cell r="Y433">
            <v>0</v>
          </cell>
          <cell r="Z433">
            <v>0</v>
          </cell>
        </row>
        <row r="434">
          <cell r="A434" t="str">
            <v>RAQ11</v>
          </cell>
          <cell r="B434" t="str">
            <v>Bùi Ngọc</v>
          </cell>
          <cell r="C434" t="str">
            <v>Tấn</v>
          </cell>
          <cell r="D434">
            <v>22.5</v>
          </cell>
          <cell r="E434">
            <v>22.5</v>
          </cell>
          <cell r="F434">
            <v>182.5</v>
          </cell>
          <cell r="G434">
            <v>197.2</v>
          </cell>
          <cell r="H434">
            <v>0</v>
          </cell>
          <cell r="I434">
            <v>4.4000000000000004</v>
          </cell>
          <cell r="J434">
            <v>1.8</v>
          </cell>
          <cell r="K434">
            <v>40.5</v>
          </cell>
          <cell r="L434">
            <v>0</v>
          </cell>
          <cell r="M434">
            <v>22</v>
          </cell>
          <cell r="N434">
            <v>0</v>
          </cell>
          <cell r="O434">
            <v>67.5</v>
          </cell>
          <cell r="P434">
            <v>0</v>
          </cell>
          <cell r="Q434">
            <v>0</v>
          </cell>
          <cell r="R434">
            <v>15</v>
          </cell>
          <cell r="S434">
            <v>46</v>
          </cell>
          <cell r="T434">
            <v>0</v>
          </cell>
          <cell r="U434">
            <v>0</v>
          </cell>
          <cell r="V434">
            <v>0</v>
          </cell>
          <cell r="W434">
            <v>0</v>
          </cell>
          <cell r="X434">
            <v>0</v>
          </cell>
          <cell r="Y434">
            <v>0</v>
          </cell>
          <cell r="Z434">
            <v>0</v>
          </cell>
        </row>
        <row r="435">
          <cell r="A435" t="str">
            <v>RAQ14</v>
          </cell>
          <cell r="B435" t="str">
            <v>Nguyễn Thị</v>
          </cell>
          <cell r="C435" t="str">
            <v>Phượng</v>
          </cell>
          <cell r="D435">
            <v>27</v>
          </cell>
          <cell r="E435">
            <v>27</v>
          </cell>
          <cell r="F435">
            <v>207</v>
          </cell>
          <cell r="G435">
            <v>220.9</v>
          </cell>
          <cell r="H435">
            <v>0</v>
          </cell>
          <cell r="I435">
            <v>11.9</v>
          </cell>
          <cell r="J435">
            <v>3.7</v>
          </cell>
          <cell r="K435">
            <v>45</v>
          </cell>
          <cell r="L435">
            <v>0</v>
          </cell>
          <cell r="M435">
            <v>23.3</v>
          </cell>
          <cell r="N435">
            <v>0</v>
          </cell>
          <cell r="O435">
            <v>77</v>
          </cell>
          <cell r="P435">
            <v>0</v>
          </cell>
          <cell r="Q435">
            <v>0</v>
          </cell>
          <cell r="R435">
            <v>0</v>
          </cell>
          <cell r="S435">
            <v>60</v>
          </cell>
          <cell r="T435">
            <v>0</v>
          </cell>
          <cell r="U435">
            <v>0</v>
          </cell>
          <cell r="V435">
            <v>0</v>
          </cell>
          <cell r="W435">
            <v>0</v>
          </cell>
          <cell r="X435">
            <v>0</v>
          </cell>
          <cell r="Y435">
            <v>0</v>
          </cell>
          <cell r="Z435">
            <v>0</v>
          </cell>
        </row>
        <row r="436">
          <cell r="A436" t="str">
            <v>SDV03</v>
          </cell>
          <cell r="B436" t="str">
            <v>Nguyễn Hữu</v>
          </cell>
          <cell r="C436" t="str">
            <v>Đức</v>
          </cell>
          <cell r="D436">
            <v>1</v>
          </cell>
          <cell r="E436">
            <v>0.9</v>
          </cell>
          <cell r="F436">
            <v>301</v>
          </cell>
          <cell r="G436">
            <v>385.3</v>
          </cell>
          <cell r="H436">
            <v>0</v>
          </cell>
          <cell r="I436">
            <v>17.2</v>
          </cell>
          <cell r="J436">
            <v>6.8</v>
          </cell>
          <cell r="K436">
            <v>0</v>
          </cell>
          <cell r="L436">
            <v>0</v>
          </cell>
          <cell r="M436">
            <v>180</v>
          </cell>
          <cell r="N436">
            <v>0</v>
          </cell>
          <cell r="O436">
            <v>0</v>
          </cell>
          <cell r="P436">
            <v>0</v>
          </cell>
          <cell r="Q436">
            <v>0</v>
          </cell>
          <cell r="R436">
            <v>0</v>
          </cell>
          <cell r="S436">
            <v>126</v>
          </cell>
          <cell r="T436">
            <v>54</v>
          </cell>
          <cell r="U436">
            <v>0.9</v>
          </cell>
          <cell r="V436">
            <v>0</v>
          </cell>
          <cell r="W436">
            <v>0.4</v>
          </cell>
          <cell r="X436">
            <v>0</v>
          </cell>
          <cell r="Y436">
            <v>0</v>
          </cell>
          <cell r="Z436">
            <v>0</v>
          </cell>
        </row>
        <row r="437">
          <cell r="A437" t="str">
            <v>SDV04</v>
          </cell>
          <cell r="B437" t="str">
            <v>Trần Thị Bình</v>
          </cell>
          <cell r="C437" t="str">
            <v>Nguyên</v>
          </cell>
          <cell r="D437">
            <v>20</v>
          </cell>
          <cell r="E437">
            <v>20</v>
          </cell>
          <cell r="F437">
            <v>196</v>
          </cell>
          <cell r="G437">
            <v>231.2</v>
          </cell>
          <cell r="H437">
            <v>0</v>
          </cell>
          <cell r="I437">
            <v>21.2</v>
          </cell>
          <cell r="J437">
            <v>8.5</v>
          </cell>
          <cell r="K437">
            <v>0</v>
          </cell>
          <cell r="L437">
            <v>0</v>
          </cell>
          <cell r="M437">
            <v>133.5</v>
          </cell>
          <cell r="N437">
            <v>0</v>
          </cell>
          <cell r="O437">
            <v>0</v>
          </cell>
          <cell r="P437">
            <v>0</v>
          </cell>
          <cell r="Q437">
            <v>0</v>
          </cell>
          <cell r="R437">
            <v>0</v>
          </cell>
          <cell r="S437">
            <v>68</v>
          </cell>
          <cell r="T437">
            <v>0</v>
          </cell>
          <cell r="U437">
            <v>0</v>
          </cell>
          <cell r="V437">
            <v>0</v>
          </cell>
          <cell r="W437">
            <v>0</v>
          </cell>
          <cell r="X437">
            <v>0</v>
          </cell>
          <cell r="Y437">
            <v>0</v>
          </cell>
          <cell r="Z437">
            <v>0</v>
          </cell>
        </row>
        <row r="438">
          <cell r="A438" t="str">
            <v>SH001</v>
          </cell>
          <cell r="B438" t="str">
            <v>Đồng Huy</v>
          </cell>
          <cell r="C438" t="str">
            <v>Giới</v>
          </cell>
          <cell r="D438">
            <v>10</v>
          </cell>
          <cell r="E438">
            <v>10</v>
          </cell>
          <cell r="F438">
            <v>469</v>
          </cell>
          <cell r="G438">
            <v>676.1</v>
          </cell>
          <cell r="H438">
            <v>0</v>
          </cell>
          <cell r="I438">
            <v>66.7</v>
          </cell>
          <cell r="J438">
            <v>26.8</v>
          </cell>
          <cell r="K438">
            <v>0</v>
          </cell>
          <cell r="L438">
            <v>0</v>
          </cell>
          <cell r="M438">
            <v>211.5</v>
          </cell>
          <cell r="N438">
            <v>0</v>
          </cell>
          <cell r="O438">
            <v>88</v>
          </cell>
          <cell r="P438">
            <v>0</v>
          </cell>
          <cell r="Q438">
            <v>0</v>
          </cell>
          <cell r="R438">
            <v>0</v>
          </cell>
          <cell r="S438">
            <v>138</v>
          </cell>
          <cell r="T438">
            <v>108</v>
          </cell>
          <cell r="U438">
            <v>2.2000000000000002</v>
          </cell>
          <cell r="V438">
            <v>0</v>
          </cell>
          <cell r="W438">
            <v>0.9</v>
          </cell>
          <cell r="X438">
            <v>24</v>
          </cell>
          <cell r="Y438">
            <v>0</v>
          </cell>
          <cell r="Z438">
            <v>10</v>
          </cell>
        </row>
        <row r="439">
          <cell r="A439" t="str">
            <v>SH002</v>
          </cell>
          <cell r="B439" t="str">
            <v>Bùi Thị Thu</v>
          </cell>
          <cell r="C439" t="str">
            <v>Hương</v>
          </cell>
          <cell r="D439">
            <v>28</v>
          </cell>
          <cell r="E439">
            <v>28</v>
          </cell>
          <cell r="F439">
            <v>590</v>
          </cell>
          <cell r="G439">
            <v>711</v>
          </cell>
          <cell r="H439">
            <v>0</v>
          </cell>
          <cell r="I439">
            <v>49.8</v>
          </cell>
          <cell r="J439">
            <v>19.899999999999999</v>
          </cell>
          <cell r="K439">
            <v>0</v>
          </cell>
          <cell r="L439">
            <v>0</v>
          </cell>
          <cell r="M439">
            <v>139.30000000000001</v>
          </cell>
          <cell r="N439">
            <v>0</v>
          </cell>
          <cell r="O439">
            <v>184</v>
          </cell>
          <cell r="P439">
            <v>0</v>
          </cell>
          <cell r="Q439">
            <v>0</v>
          </cell>
          <cell r="R439">
            <v>0</v>
          </cell>
          <cell r="S439">
            <v>290</v>
          </cell>
          <cell r="T439">
            <v>0</v>
          </cell>
          <cell r="U439">
            <v>0</v>
          </cell>
          <cell r="V439">
            <v>0</v>
          </cell>
          <cell r="W439">
            <v>0</v>
          </cell>
          <cell r="X439">
            <v>28</v>
          </cell>
          <cell r="Y439">
            <v>0</v>
          </cell>
          <cell r="Z439">
            <v>0</v>
          </cell>
        </row>
        <row r="440">
          <cell r="A440" t="str">
            <v>SH003</v>
          </cell>
          <cell r="B440" t="str">
            <v>Phí Thị Cẩm</v>
          </cell>
          <cell r="C440" t="str">
            <v>Miện</v>
          </cell>
          <cell r="D440">
            <v>40</v>
          </cell>
          <cell r="E440">
            <v>40</v>
          </cell>
          <cell r="F440">
            <v>376</v>
          </cell>
          <cell r="G440">
            <v>460.4</v>
          </cell>
          <cell r="H440">
            <v>0</v>
          </cell>
          <cell r="I440">
            <v>29.6</v>
          </cell>
          <cell r="J440">
            <v>11.8</v>
          </cell>
          <cell r="K440">
            <v>0</v>
          </cell>
          <cell r="L440">
            <v>0</v>
          </cell>
          <cell r="M440">
            <v>99</v>
          </cell>
          <cell r="N440">
            <v>0</v>
          </cell>
          <cell r="O440">
            <v>160</v>
          </cell>
          <cell r="P440">
            <v>0</v>
          </cell>
          <cell r="Q440">
            <v>0</v>
          </cell>
          <cell r="R440">
            <v>0</v>
          </cell>
          <cell r="S440">
            <v>160</v>
          </cell>
          <cell r="T440">
            <v>0</v>
          </cell>
          <cell r="U440">
            <v>0</v>
          </cell>
          <cell r="V440">
            <v>0</v>
          </cell>
          <cell r="W440">
            <v>0</v>
          </cell>
          <cell r="X440">
            <v>0</v>
          </cell>
          <cell r="Y440">
            <v>0</v>
          </cell>
          <cell r="Z440">
            <v>0</v>
          </cell>
        </row>
        <row r="441">
          <cell r="A441" t="str">
            <v>SH004</v>
          </cell>
          <cell r="B441" t="str">
            <v>Nguyễn Thị Thúy</v>
          </cell>
          <cell r="C441" t="str">
            <v>Hạnh</v>
          </cell>
          <cell r="D441">
            <v>12</v>
          </cell>
          <cell r="E441">
            <v>12</v>
          </cell>
          <cell r="F441">
            <v>695.8</v>
          </cell>
          <cell r="G441">
            <v>894.7</v>
          </cell>
          <cell r="H441">
            <v>0</v>
          </cell>
          <cell r="I441">
            <v>66.5</v>
          </cell>
          <cell r="J441">
            <v>26.8</v>
          </cell>
          <cell r="K441">
            <v>46.8</v>
          </cell>
          <cell r="L441">
            <v>0</v>
          </cell>
          <cell r="M441">
            <v>308.60000000000002</v>
          </cell>
          <cell r="N441">
            <v>0</v>
          </cell>
          <cell r="O441">
            <v>160</v>
          </cell>
          <cell r="P441">
            <v>0</v>
          </cell>
          <cell r="Q441">
            <v>0</v>
          </cell>
          <cell r="R441">
            <v>0</v>
          </cell>
          <cell r="S441">
            <v>246</v>
          </cell>
          <cell r="T441">
            <v>0</v>
          </cell>
          <cell r="U441">
            <v>0</v>
          </cell>
          <cell r="V441">
            <v>0</v>
          </cell>
          <cell r="W441">
            <v>0</v>
          </cell>
          <cell r="X441">
            <v>40</v>
          </cell>
          <cell r="Y441">
            <v>0</v>
          </cell>
          <cell r="Z441">
            <v>0</v>
          </cell>
        </row>
        <row r="442">
          <cell r="A442" t="str">
            <v>SHD05</v>
          </cell>
          <cell r="B442" t="str">
            <v>Nguyễn Thị</v>
          </cell>
          <cell r="C442" t="str">
            <v>Nguyệt</v>
          </cell>
          <cell r="D442">
            <v>20</v>
          </cell>
          <cell r="E442">
            <v>20</v>
          </cell>
          <cell r="F442">
            <v>168</v>
          </cell>
          <cell r="G442">
            <v>172</v>
          </cell>
          <cell r="H442">
            <v>0</v>
          </cell>
          <cell r="I442">
            <v>0</v>
          </cell>
          <cell r="J442">
            <v>0</v>
          </cell>
          <cell r="K442">
            <v>0</v>
          </cell>
          <cell r="L442">
            <v>0</v>
          </cell>
          <cell r="M442">
            <v>0</v>
          </cell>
          <cell r="N442">
            <v>0</v>
          </cell>
          <cell r="O442">
            <v>12</v>
          </cell>
          <cell r="P442">
            <v>0</v>
          </cell>
          <cell r="Q442">
            <v>0</v>
          </cell>
          <cell r="R442">
            <v>0</v>
          </cell>
          <cell r="S442">
            <v>160</v>
          </cell>
          <cell r="T442">
            <v>0</v>
          </cell>
          <cell r="U442">
            <v>0</v>
          </cell>
          <cell r="V442">
            <v>0</v>
          </cell>
          <cell r="W442">
            <v>0</v>
          </cell>
          <cell r="X442">
            <v>0</v>
          </cell>
          <cell r="Y442">
            <v>0</v>
          </cell>
          <cell r="Z442">
            <v>0</v>
          </cell>
        </row>
        <row r="443">
          <cell r="A443" t="str">
            <v>SHD06</v>
          </cell>
          <cell r="B443" t="str">
            <v>Dương Thu</v>
          </cell>
          <cell r="C443" t="str">
            <v>Hương</v>
          </cell>
          <cell r="D443">
            <v>20</v>
          </cell>
          <cell r="E443">
            <v>20</v>
          </cell>
          <cell r="F443">
            <v>224</v>
          </cell>
          <cell r="G443">
            <v>260.60000000000002</v>
          </cell>
          <cell r="H443">
            <v>0</v>
          </cell>
          <cell r="I443">
            <v>25</v>
          </cell>
          <cell r="J443">
            <v>10.1</v>
          </cell>
          <cell r="K443">
            <v>0</v>
          </cell>
          <cell r="L443">
            <v>0</v>
          </cell>
          <cell r="M443">
            <v>69.5</v>
          </cell>
          <cell r="N443">
            <v>0</v>
          </cell>
          <cell r="O443">
            <v>76</v>
          </cell>
          <cell r="P443">
            <v>0</v>
          </cell>
          <cell r="Q443">
            <v>0</v>
          </cell>
          <cell r="R443">
            <v>0</v>
          </cell>
          <cell r="S443">
            <v>80</v>
          </cell>
          <cell r="T443">
            <v>0</v>
          </cell>
          <cell r="U443">
            <v>0</v>
          </cell>
          <cell r="V443">
            <v>0</v>
          </cell>
          <cell r="W443">
            <v>0</v>
          </cell>
          <cell r="X443">
            <v>0</v>
          </cell>
          <cell r="Y443">
            <v>0</v>
          </cell>
          <cell r="Z443">
            <v>0</v>
          </cell>
        </row>
        <row r="444">
          <cell r="A444" t="str">
            <v>SHD07</v>
          </cell>
          <cell r="B444" t="str">
            <v>Nguyễn Thị</v>
          </cell>
          <cell r="C444" t="str">
            <v>Vinh</v>
          </cell>
          <cell r="D444">
            <v>20</v>
          </cell>
          <cell r="E444">
            <v>20</v>
          </cell>
          <cell r="F444">
            <v>120</v>
          </cell>
          <cell r="G444">
            <v>120</v>
          </cell>
          <cell r="H444">
            <v>0</v>
          </cell>
          <cell r="I444">
            <v>0</v>
          </cell>
          <cell r="J444">
            <v>0</v>
          </cell>
          <cell r="K444">
            <v>0</v>
          </cell>
          <cell r="L444">
            <v>0</v>
          </cell>
          <cell r="M444">
            <v>0</v>
          </cell>
          <cell r="N444">
            <v>0</v>
          </cell>
          <cell r="O444">
            <v>0</v>
          </cell>
          <cell r="P444">
            <v>0</v>
          </cell>
          <cell r="Q444">
            <v>0</v>
          </cell>
          <cell r="R444">
            <v>0</v>
          </cell>
          <cell r="S444">
            <v>120</v>
          </cell>
          <cell r="T444">
            <v>0</v>
          </cell>
          <cell r="U444">
            <v>0</v>
          </cell>
          <cell r="V444">
            <v>0</v>
          </cell>
          <cell r="W444">
            <v>0</v>
          </cell>
          <cell r="X444">
            <v>0</v>
          </cell>
          <cell r="Y444">
            <v>0</v>
          </cell>
          <cell r="Z444">
            <v>0</v>
          </cell>
        </row>
        <row r="445">
          <cell r="A445" t="str">
            <v>SHD08</v>
          </cell>
          <cell r="B445" t="str">
            <v>Trần Bích</v>
          </cell>
          <cell r="C445" t="str">
            <v>Phương</v>
          </cell>
          <cell r="D445">
            <v>20</v>
          </cell>
          <cell r="E445">
            <v>20</v>
          </cell>
          <cell r="F445">
            <v>160</v>
          </cell>
          <cell r="G445">
            <v>184.2</v>
          </cell>
          <cell r="H445">
            <v>0</v>
          </cell>
          <cell r="I445">
            <v>15.9</v>
          </cell>
          <cell r="J445">
            <v>6.4</v>
          </cell>
          <cell r="K445">
            <v>0</v>
          </cell>
          <cell r="L445">
            <v>0</v>
          </cell>
          <cell r="M445">
            <v>45.9</v>
          </cell>
          <cell r="N445">
            <v>0</v>
          </cell>
          <cell r="O445">
            <v>36</v>
          </cell>
          <cell r="P445">
            <v>0</v>
          </cell>
          <cell r="Q445">
            <v>0</v>
          </cell>
          <cell r="R445">
            <v>0</v>
          </cell>
          <cell r="S445">
            <v>80</v>
          </cell>
          <cell r="T445">
            <v>0</v>
          </cell>
          <cell r="U445">
            <v>0</v>
          </cell>
          <cell r="V445">
            <v>0</v>
          </cell>
          <cell r="W445">
            <v>0</v>
          </cell>
          <cell r="X445">
            <v>0</v>
          </cell>
          <cell r="Y445">
            <v>0</v>
          </cell>
          <cell r="Z445">
            <v>0</v>
          </cell>
        </row>
        <row r="446">
          <cell r="A446" t="str">
            <v>SLD04</v>
          </cell>
          <cell r="B446" t="str">
            <v>Nguyễn Bá</v>
          </cell>
          <cell r="C446" t="str">
            <v>Mùi</v>
          </cell>
          <cell r="D446">
            <v>10</v>
          </cell>
          <cell r="E446">
            <v>10</v>
          </cell>
          <cell r="F446">
            <v>466</v>
          </cell>
          <cell r="G446">
            <v>544.70000000000005</v>
          </cell>
          <cell r="H446">
            <v>0</v>
          </cell>
          <cell r="I446">
            <v>47</v>
          </cell>
          <cell r="J446">
            <v>19</v>
          </cell>
          <cell r="K446">
            <v>0</v>
          </cell>
          <cell r="L446">
            <v>0</v>
          </cell>
          <cell r="M446">
            <v>160.69999999999999</v>
          </cell>
          <cell r="N446">
            <v>0</v>
          </cell>
          <cell r="O446">
            <v>148</v>
          </cell>
          <cell r="P446">
            <v>0</v>
          </cell>
          <cell r="Q446">
            <v>0</v>
          </cell>
          <cell r="R446">
            <v>0</v>
          </cell>
          <cell r="S446">
            <v>120</v>
          </cell>
          <cell r="T446">
            <v>0</v>
          </cell>
          <cell r="U446">
            <v>0</v>
          </cell>
          <cell r="V446">
            <v>0</v>
          </cell>
          <cell r="W446">
            <v>0</v>
          </cell>
          <cell r="X446">
            <v>0</v>
          </cell>
          <cell r="Y446">
            <v>0</v>
          </cell>
          <cell r="Z446">
            <v>50</v>
          </cell>
        </row>
        <row r="447">
          <cell r="A447" t="str">
            <v>SLD05</v>
          </cell>
          <cell r="B447" t="str">
            <v>Nguyễn Phương</v>
          </cell>
          <cell r="C447" t="str">
            <v>Giang</v>
          </cell>
          <cell r="D447">
            <v>20</v>
          </cell>
          <cell r="E447">
            <v>20</v>
          </cell>
          <cell r="F447">
            <v>190</v>
          </cell>
          <cell r="G447">
            <v>190</v>
          </cell>
          <cell r="H447">
            <v>0</v>
          </cell>
          <cell r="I447">
            <v>0</v>
          </cell>
          <cell r="J447">
            <v>0</v>
          </cell>
          <cell r="K447">
            <v>0</v>
          </cell>
          <cell r="L447">
            <v>0</v>
          </cell>
          <cell r="M447">
            <v>0</v>
          </cell>
          <cell r="N447">
            <v>0</v>
          </cell>
          <cell r="O447">
            <v>104</v>
          </cell>
          <cell r="P447">
            <v>0</v>
          </cell>
          <cell r="Q447">
            <v>0</v>
          </cell>
          <cell r="R447">
            <v>0</v>
          </cell>
          <cell r="S447">
            <v>86</v>
          </cell>
          <cell r="T447">
            <v>0</v>
          </cell>
          <cell r="U447">
            <v>0</v>
          </cell>
          <cell r="V447">
            <v>0</v>
          </cell>
          <cell r="W447">
            <v>0</v>
          </cell>
          <cell r="X447">
            <v>0</v>
          </cell>
          <cell r="Y447">
            <v>0</v>
          </cell>
          <cell r="Z447">
            <v>0</v>
          </cell>
        </row>
        <row r="448">
          <cell r="A448" t="str">
            <v>SLD06</v>
          </cell>
          <cell r="B448" t="str">
            <v>Phạm Kim</v>
          </cell>
          <cell r="C448" t="str">
            <v>Đăng</v>
          </cell>
          <cell r="D448">
            <v>20</v>
          </cell>
          <cell r="E448">
            <v>20</v>
          </cell>
          <cell r="F448">
            <v>333.1</v>
          </cell>
          <cell r="G448">
            <v>415.3</v>
          </cell>
          <cell r="H448">
            <v>0</v>
          </cell>
          <cell r="I448">
            <v>28.4</v>
          </cell>
          <cell r="J448">
            <v>11.4</v>
          </cell>
          <cell r="K448">
            <v>37.1</v>
          </cell>
          <cell r="L448">
            <v>0</v>
          </cell>
          <cell r="M448">
            <v>71.3</v>
          </cell>
          <cell r="N448">
            <v>0</v>
          </cell>
          <cell r="O448">
            <v>55</v>
          </cell>
          <cell r="P448">
            <v>0</v>
          </cell>
          <cell r="Q448">
            <v>0</v>
          </cell>
          <cell r="R448">
            <v>0</v>
          </cell>
          <cell r="S448">
            <v>80</v>
          </cell>
          <cell r="T448">
            <v>45</v>
          </cell>
          <cell r="U448">
            <v>2.2000000000000002</v>
          </cell>
          <cell r="V448">
            <v>0</v>
          </cell>
          <cell r="W448">
            <v>0.9</v>
          </cell>
          <cell r="X448">
            <v>64</v>
          </cell>
          <cell r="Y448">
            <v>0</v>
          </cell>
          <cell r="Z448">
            <v>20</v>
          </cell>
        </row>
        <row r="449">
          <cell r="A449" t="str">
            <v>SLD07</v>
          </cell>
          <cell r="B449" t="str">
            <v>Cù Thiên</v>
          </cell>
          <cell r="C449" t="str">
            <v>Thu</v>
          </cell>
          <cell r="D449">
            <v>20</v>
          </cell>
          <cell r="E449">
            <v>20</v>
          </cell>
          <cell r="F449">
            <v>256</v>
          </cell>
          <cell r="G449">
            <v>355.6</v>
          </cell>
          <cell r="H449">
            <v>0</v>
          </cell>
          <cell r="I449">
            <v>50</v>
          </cell>
          <cell r="J449">
            <v>20</v>
          </cell>
          <cell r="K449">
            <v>0</v>
          </cell>
          <cell r="L449">
            <v>0</v>
          </cell>
          <cell r="M449">
            <v>125.6</v>
          </cell>
          <cell r="N449">
            <v>0</v>
          </cell>
          <cell r="O449">
            <v>40</v>
          </cell>
          <cell r="P449">
            <v>0</v>
          </cell>
          <cell r="Q449">
            <v>0</v>
          </cell>
          <cell r="R449">
            <v>0</v>
          </cell>
          <cell r="S449">
            <v>120</v>
          </cell>
          <cell r="T449">
            <v>0</v>
          </cell>
          <cell r="U449">
            <v>0</v>
          </cell>
          <cell r="V449">
            <v>0</v>
          </cell>
          <cell r="W449">
            <v>0</v>
          </cell>
          <cell r="X449">
            <v>0</v>
          </cell>
          <cell r="Y449">
            <v>0</v>
          </cell>
          <cell r="Z449">
            <v>0</v>
          </cell>
        </row>
        <row r="450">
          <cell r="A450" t="str">
            <v>SLY01</v>
          </cell>
          <cell r="B450" t="str">
            <v>Nguyễn Văn</v>
          </cell>
          <cell r="C450" t="str">
            <v>Phú</v>
          </cell>
          <cell r="D450">
            <v>22.5</v>
          </cell>
          <cell r="E450">
            <v>22.5</v>
          </cell>
          <cell r="F450">
            <v>325.5</v>
          </cell>
          <cell r="G450">
            <v>422</v>
          </cell>
          <cell r="H450">
            <v>0</v>
          </cell>
          <cell r="I450">
            <v>34</v>
          </cell>
          <cell r="J450">
            <v>13.6</v>
          </cell>
          <cell r="K450">
            <v>0</v>
          </cell>
          <cell r="L450">
            <v>0</v>
          </cell>
          <cell r="M450">
            <v>125.5</v>
          </cell>
          <cell r="N450">
            <v>0</v>
          </cell>
          <cell r="O450">
            <v>0</v>
          </cell>
          <cell r="P450">
            <v>0</v>
          </cell>
          <cell r="Q450">
            <v>0</v>
          </cell>
          <cell r="R450">
            <v>0</v>
          </cell>
          <cell r="S450">
            <v>108</v>
          </cell>
          <cell r="T450">
            <v>27</v>
          </cell>
          <cell r="U450">
            <v>1</v>
          </cell>
          <cell r="V450">
            <v>0</v>
          </cell>
          <cell r="W450">
            <v>0.4</v>
          </cell>
          <cell r="X450">
            <v>80</v>
          </cell>
          <cell r="Y450">
            <v>22.5</v>
          </cell>
          <cell r="Z450">
            <v>10</v>
          </cell>
        </row>
        <row r="451">
          <cell r="A451" t="str">
            <v>SLY04</v>
          </cell>
          <cell r="B451" t="str">
            <v>Trần Anh</v>
          </cell>
          <cell r="C451" t="str">
            <v>Tuấn</v>
          </cell>
          <cell r="D451">
            <v>22.5</v>
          </cell>
          <cell r="E451">
            <v>22.5</v>
          </cell>
          <cell r="F451">
            <v>303.5</v>
          </cell>
          <cell r="G451">
            <v>391.8</v>
          </cell>
          <cell r="H451">
            <v>0</v>
          </cell>
          <cell r="I451">
            <v>14.9</v>
          </cell>
          <cell r="J451">
            <v>6</v>
          </cell>
          <cell r="K451">
            <v>0</v>
          </cell>
          <cell r="L451">
            <v>0</v>
          </cell>
          <cell r="M451">
            <v>82</v>
          </cell>
          <cell r="N451">
            <v>0</v>
          </cell>
          <cell r="O451">
            <v>60</v>
          </cell>
          <cell r="P451">
            <v>0</v>
          </cell>
          <cell r="Q451">
            <v>0</v>
          </cell>
          <cell r="R451">
            <v>0</v>
          </cell>
          <cell r="S451">
            <v>138</v>
          </cell>
          <cell r="T451">
            <v>27</v>
          </cell>
          <cell r="U451">
            <v>1</v>
          </cell>
          <cell r="V451">
            <v>0</v>
          </cell>
          <cell r="W451">
            <v>0.4</v>
          </cell>
          <cell r="X451">
            <v>40</v>
          </cell>
          <cell r="Y451">
            <v>22.5</v>
          </cell>
          <cell r="Z451">
            <v>0</v>
          </cell>
        </row>
        <row r="452">
          <cell r="A452" t="str">
            <v>SLY05</v>
          </cell>
          <cell r="B452" t="str">
            <v>Vũ Ngọc</v>
          </cell>
          <cell r="C452" t="str">
            <v>Lan</v>
          </cell>
          <cell r="D452">
            <v>6</v>
          </cell>
          <cell r="E452">
            <v>6</v>
          </cell>
          <cell r="F452">
            <v>88</v>
          </cell>
          <cell r="G452">
            <v>88</v>
          </cell>
          <cell r="H452">
            <v>0</v>
          </cell>
          <cell r="I452">
            <v>0</v>
          </cell>
          <cell r="J452">
            <v>0</v>
          </cell>
          <cell r="K452">
            <v>0</v>
          </cell>
          <cell r="L452">
            <v>0</v>
          </cell>
          <cell r="M452">
            <v>0</v>
          </cell>
          <cell r="N452">
            <v>0</v>
          </cell>
          <cell r="O452">
            <v>64</v>
          </cell>
          <cell r="P452">
            <v>0</v>
          </cell>
          <cell r="Q452">
            <v>0</v>
          </cell>
          <cell r="R452">
            <v>0</v>
          </cell>
          <cell r="S452">
            <v>24</v>
          </cell>
          <cell r="T452">
            <v>0</v>
          </cell>
          <cell r="U452">
            <v>0</v>
          </cell>
          <cell r="V452">
            <v>0</v>
          </cell>
          <cell r="W452">
            <v>0</v>
          </cell>
          <cell r="X452">
            <v>0</v>
          </cell>
          <cell r="Y452">
            <v>0</v>
          </cell>
          <cell r="Z452">
            <v>0</v>
          </cell>
        </row>
        <row r="453">
          <cell r="A453" t="str">
            <v>SLY06</v>
          </cell>
          <cell r="B453" t="str">
            <v>Phạm Tuấn</v>
          </cell>
          <cell r="C453" t="str">
            <v>Anh</v>
          </cell>
          <cell r="D453">
            <v>40</v>
          </cell>
          <cell r="E453">
            <v>40</v>
          </cell>
          <cell r="F453">
            <v>299</v>
          </cell>
          <cell r="G453">
            <v>396.3</v>
          </cell>
          <cell r="H453">
            <v>0</v>
          </cell>
          <cell r="I453">
            <v>39.200000000000003</v>
          </cell>
          <cell r="J453">
            <v>15.7</v>
          </cell>
          <cell r="K453">
            <v>0</v>
          </cell>
          <cell r="L453">
            <v>0</v>
          </cell>
          <cell r="M453">
            <v>130.4</v>
          </cell>
          <cell r="N453">
            <v>0</v>
          </cell>
          <cell r="O453">
            <v>45</v>
          </cell>
          <cell r="P453">
            <v>0</v>
          </cell>
          <cell r="Q453">
            <v>0</v>
          </cell>
          <cell r="R453">
            <v>0</v>
          </cell>
          <cell r="S453">
            <v>74</v>
          </cell>
          <cell r="T453">
            <v>0</v>
          </cell>
          <cell r="U453">
            <v>0</v>
          </cell>
          <cell r="V453">
            <v>0</v>
          </cell>
          <cell r="W453">
            <v>0</v>
          </cell>
          <cell r="X453">
            <v>92</v>
          </cell>
          <cell r="Y453">
            <v>0</v>
          </cell>
          <cell r="Z453">
            <v>0</v>
          </cell>
        </row>
        <row r="454">
          <cell r="A454" t="str">
            <v>SLY07</v>
          </cell>
          <cell r="B454" t="str">
            <v>Dương Huyền</v>
          </cell>
          <cell r="C454" t="str">
            <v>Trang</v>
          </cell>
          <cell r="D454">
            <v>15</v>
          </cell>
          <cell r="E454">
            <v>15</v>
          </cell>
          <cell r="F454">
            <v>90</v>
          </cell>
          <cell r="G454">
            <v>97.5</v>
          </cell>
          <cell r="H454">
            <v>0</v>
          </cell>
          <cell r="I454">
            <v>0</v>
          </cell>
          <cell r="J454">
            <v>0</v>
          </cell>
          <cell r="K454">
            <v>0</v>
          </cell>
          <cell r="L454">
            <v>0</v>
          </cell>
          <cell r="M454">
            <v>0</v>
          </cell>
          <cell r="N454">
            <v>0</v>
          </cell>
          <cell r="O454">
            <v>97.5</v>
          </cell>
          <cell r="P454">
            <v>0</v>
          </cell>
          <cell r="Q454">
            <v>0</v>
          </cell>
          <cell r="R454">
            <v>0</v>
          </cell>
          <cell r="S454">
            <v>0</v>
          </cell>
          <cell r="T454">
            <v>0</v>
          </cell>
          <cell r="U454">
            <v>0</v>
          </cell>
          <cell r="V454">
            <v>0</v>
          </cell>
          <cell r="W454">
            <v>0</v>
          </cell>
          <cell r="X454">
            <v>0</v>
          </cell>
          <cell r="Y454">
            <v>0</v>
          </cell>
          <cell r="Z454">
            <v>0</v>
          </cell>
        </row>
        <row r="455">
          <cell r="A455" t="str">
            <v>SLY08</v>
          </cell>
          <cell r="B455" t="str">
            <v>Nguyễn Thị Phương</v>
          </cell>
          <cell r="C455" t="str">
            <v>Dung</v>
          </cell>
          <cell r="D455">
            <v>14</v>
          </cell>
          <cell r="E455">
            <v>14</v>
          </cell>
          <cell r="F455">
            <v>135</v>
          </cell>
          <cell r="G455">
            <v>171.8</v>
          </cell>
          <cell r="H455">
            <v>0</v>
          </cell>
          <cell r="I455">
            <v>6.3</v>
          </cell>
          <cell r="J455">
            <v>2.5</v>
          </cell>
          <cell r="K455">
            <v>0</v>
          </cell>
          <cell r="L455">
            <v>0</v>
          </cell>
          <cell r="M455">
            <v>30</v>
          </cell>
          <cell r="N455">
            <v>0</v>
          </cell>
          <cell r="O455">
            <v>105</v>
          </cell>
          <cell r="P455">
            <v>0</v>
          </cell>
          <cell r="Q455">
            <v>0</v>
          </cell>
          <cell r="R455">
            <v>0</v>
          </cell>
          <cell r="S455">
            <v>28</v>
          </cell>
          <cell r="T455">
            <v>0</v>
          </cell>
          <cell r="U455">
            <v>0</v>
          </cell>
          <cell r="V455">
            <v>0</v>
          </cell>
          <cell r="W455">
            <v>0</v>
          </cell>
          <cell r="X455">
            <v>0</v>
          </cell>
          <cell r="Y455">
            <v>0</v>
          </cell>
          <cell r="Z455">
            <v>0</v>
          </cell>
        </row>
        <row r="456">
          <cell r="A456" t="str">
            <v>SLY09</v>
          </cell>
          <cell r="B456" t="str">
            <v>Vũ Tiến</v>
          </cell>
          <cell r="C456" t="str">
            <v>Bình</v>
          </cell>
          <cell r="D456">
            <v>20</v>
          </cell>
          <cell r="E456">
            <v>20</v>
          </cell>
          <cell r="F456">
            <v>197</v>
          </cell>
          <cell r="G456">
            <v>240.3</v>
          </cell>
          <cell r="H456">
            <v>0</v>
          </cell>
          <cell r="I456">
            <v>9.4</v>
          </cell>
          <cell r="J456">
            <v>3.8</v>
          </cell>
          <cell r="K456">
            <v>0</v>
          </cell>
          <cell r="L456">
            <v>0</v>
          </cell>
          <cell r="M456">
            <v>32.1</v>
          </cell>
          <cell r="N456">
            <v>0</v>
          </cell>
          <cell r="O456">
            <v>135</v>
          </cell>
          <cell r="P456">
            <v>0</v>
          </cell>
          <cell r="Q456">
            <v>0</v>
          </cell>
          <cell r="R456">
            <v>0</v>
          </cell>
          <cell r="S456">
            <v>60</v>
          </cell>
          <cell r="T456">
            <v>0</v>
          </cell>
          <cell r="U456">
            <v>0</v>
          </cell>
          <cell r="V456">
            <v>0</v>
          </cell>
          <cell r="W456">
            <v>0</v>
          </cell>
          <cell r="X456">
            <v>0</v>
          </cell>
          <cell r="Y456">
            <v>0</v>
          </cell>
          <cell r="Z456">
            <v>0</v>
          </cell>
        </row>
        <row r="457">
          <cell r="A457" t="str">
            <v>SPT08</v>
          </cell>
          <cell r="B457" t="str">
            <v>Trịnh Thị Thu</v>
          </cell>
          <cell r="C457" t="str">
            <v>Thủy</v>
          </cell>
          <cell r="D457">
            <v>20</v>
          </cell>
          <cell r="E457">
            <v>20</v>
          </cell>
          <cell r="F457">
            <v>195</v>
          </cell>
          <cell r="G457">
            <v>222.8</v>
          </cell>
          <cell r="H457">
            <v>0</v>
          </cell>
          <cell r="I457">
            <v>13.4</v>
          </cell>
          <cell r="J457">
            <v>5.4</v>
          </cell>
          <cell r="K457">
            <v>0</v>
          </cell>
          <cell r="L457">
            <v>0</v>
          </cell>
          <cell r="M457">
            <v>82</v>
          </cell>
          <cell r="N457">
            <v>0</v>
          </cell>
          <cell r="O457">
            <v>76</v>
          </cell>
          <cell r="P457">
            <v>0</v>
          </cell>
          <cell r="Q457">
            <v>0</v>
          </cell>
          <cell r="R457">
            <v>0</v>
          </cell>
          <cell r="S457">
            <v>46</v>
          </cell>
          <cell r="T457">
            <v>0</v>
          </cell>
          <cell r="U457">
            <v>0</v>
          </cell>
          <cell r="V457">
            <v>0</v>
          </cell>
          <cell r="W457">
            <v>0</v>
          </cell>
          <cell r="X457">
            <v>0</v>
          </cell>
          <cell r="Y457">
            <v>0</v>
          </cell>
          <cell r="Z457">
            <v>0</v>
          </cell>
        </row>
        <row r="458">
          <cell r="A458" t="str">
            <v>SPT10</v>
          </cell>
          <cell r="B458" t="str">
            <v>Nguyễn Thị Cẩm</v>
          </cell>
          <cell r="C458" t="str">
            <v>Châu</v>
          </cell>
          <cell r="D458">
            <v>30</v>
          </cell>
          <cell r="E458">
            <v>30</v>
          </cell>
          <cell r="F458">
            <v>248</v>
          </cell>
          <cell r="G458">
            <v>321.2</v>
          </cell>
          <cell r="H458">
            <v>0</v>
          </cell>
          <cell r="I458">
            <v>12.3</v>
          </cell>
          <cell r="J458">
            <v>4.9000000000000004</v>
          </cell>
          <cell r="K458">
            <v>0</v>
          </cell>
          <cell r="L458">
            <v>0</v>
          </cell>
          <cell r="M458">
            <v>90</v>
          </cell>
          <cell r="N458">
            <v>0</v>
          </cell>
          <cell r="O458">
            <v>60</v>
          </cell>
          <cell r="P458">
            <v>0</v>
          </cell>
          <cell r="Q458">
            <v>0</v>
          </cell>
          <cell r="R458">
            <v>0</v>
          </cell>
          <cell r="S458">
            <v>154</v>
          </cell>
          <cell r="T458">
            <v>0</v>
          </cell>
          <cell r="U458">
            <v>0</v>
          </cell>
          <cell r="V458">
            <v>0</v>
          </cell>
          <cell r="W458">
            <v>0</v>
          </cell>
          <cell r="X458">
            <v>0</v>
          </cell>
          <cell r="Y458">
            <v>0</v>
          </cell>
          <cell r="Z458">
            <v>0</v>
          </cell>
        </row>
        <row r="459">
          <cell r="A459" t="str">
            <v>SPT20</v>
          </cell>
          <cell r="B459" t="str">
            <v>Phan Hữu</v>
          </cell>
          <cell r="C459" t="str">
            <v>Tôn</v>
          </cell>
          <cell r="D459">
            <v>20</v>
          </cell>
          <cell r="E459">
            <v>20</v>
          </cell>
          <cell r="F459">
            <v>722</v>
          </cell>
          <cell r="G459">
            <v>901.4</v>
          </cell>
          <cell r="H459">
            <v>0</v>
          </cell>
          <cell r="I459">
            <v>66.8</v>
          </cell>
          <cell r="J459">
            <v>26.8</v>
          </cell>
          <cell r="K459">
            <v>0</v>
          </cell>
          <cell r="L459">
            <v>0</v>
          </cell>
          <cell r="M459">
            <v>360.9</v>
          </cell>
          <cell r="N459">
            <v>0</v>
          </cell>
          <cell r="O459">
            <v>0</v>
          </cell>
          <cell r="P459">
            <v>0</v>
          </cell>
          <cell r="Q459">
            <v>0</v>
          </cell>
          <cell r="R459">
            <v>0</v>
          </cell>
          <cell r="S459">
            <v>200</v>
          </cell>
          <cell r="T459">
            <v>162</v>
          </cell>
          <cell r="U459">
            <v>3.5</v>
          </cell>
          <cell r="V459">
            <v>0</v>
          </cell>
          <cell r="W459">
            <v>1.4</v>
          </cell>
          <cell r="X459">
            <v>40</v>
          </cell>
          <cell r="Y459">
            <v>0</v>
          </cell>
          <cell r="Z459">
            <v>40</v>
          </cell>
        </row>
        <row r="460">
          <cell r="A460" t="str">
            <v>SPT22</v>
          </cell>
          <cell r="B460" t="str">
            <v>Nguyễn Quốc</v>
          </cell>
          <cell r="C460" t="str">
            <v>Trung</v>
          </cell>
          <cell r="D460">
            <v>40</v>
          </cell>
          <cell r="E460">
            <v>40</v>
          </cell>
          <cell r="F460">
            <v>366</v>
          </cell>
          <cell r="G460">
            <v>485.8</v>
          </cell>
          <cell r="H460">
            <v>0</v>
          </cell>
          <cell r="I460">
            <v>28.4</v>
          </cell>
          <cell r="J460">
            <v>11.4</v>
          </cell>
          <cell r="K460">
            <v>0</v>
          </cell>
          <cell r="L460">
            <v>0</v>
          </cell>
          <cell r="M460">
            <v>146</v>
          </cell>
          <cell r="N460">
            <v>0</v>
          </cell>
          <cell r="O460">
            <v>120</v>
          </cell>
          <cell r="P460">
            <v>0</v>
          </cell>
          <cell r="Q460">
            <v>0</v>
          </cell>
          <cell r="R460">
            <v>0</v>
          </cell>
          <cell r="S460">
            <v>180</v>
          </cell>
          <cell r="T460">
            <v>0</v>
          </cell>
          <cell r="U460">
            <v>0</v>
          </cell>
          <cell r="V460">
            <v>0</v>
          </cell>
          <cell r="W460">
            <v>0</v>
          </cell>
          <cell r="X460">
            <v>0</v>
          </cell>
          <cell r="Y460">
            <v>0</v>
          </cell>
          <cell r="Z460">
            <v>0</v>
          </cell>
        </row>
        <row r="461">
          <cell r="A461" t="str">
            <v>SPT24</v>
          </cell>
          <cell r="B461" t="str">
            <v>Nguyễn Đức</v>
          </cell>
          <cell r="C461" t="str">
            <v>Bách</v>
          </cell>
          <cell r="D461">
            <v>40</v>
          </cell>
          <cell r="E461">
            <v>40</v>
          </cell>
          <cell r="F461">
            <v>392</v>
          </cell>
          <cell r="G461">
            <v>483.7</v>
          </cell>
          <cell r="H461">
            <v>0</v>
          </cell>
          <cell r="I461">
            <v>8.5</v>
          </cell>
          <cell r="J461">
            <v>3.4</v>
          </cell>
          <cell r="K461">
            <v>0</v>
          </cell>
          <cell r="L461">
            <v>0</v>
          </cell>
          <cell r="M461">
            <v>96</v>
          </cell>
          <cell r="N461">
            <v>0</v>
          </cell>
          <cell r="O461">
            <v>60</v>
          </cell>
          <cell r="P461">
            <v>0</v>
          </cell>
          <cell r="Q461">
            <v>0</v>
          </cell>
          <cell r="R461">
            <v>0</v>
          </cell>
          <cell r="S461">
            <v>220</v>
          </cell>
          <cell r="T461">
            <v>54</v>
          </cell>
          <cell r="U461">
            <v>1.3</v>
          </cell>
          <cell r="V461">
            <v>0</v>
          </cell>
          <cell r="W461">
            <v>0.5</v>
          </cell>
          <cell r="X461">
            <v>40</v>
          </cell>
          <cell r="Y461">
            <v>0</v>
          </cell>
          <cell r="Z461">
            <v>0</v>
          </cell>
        </row>
        <row r="462">
          <cell r="A462" t="str">
            <v>STN01</v>
          </cell>
          <cell r="B462" t="str">
            <v>Trần Đức</v>
          </cell>
          <cell r="C462" t="str">
            <v>Viên</v>
          </cell>
          <cell r="D462">
            <v>28</v>
          </cell>
          <cell r="E462">
            <v>28</v>
          </cell>
          <cell r="F462">
            <v>28</v>
          </cell>
          <cell r="G462">
            <v>28</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28</v>
          </cell>
          <cell r="Y462">
            <v>0</v>
          </cell>
          <cell r="Z462">
            <v>0</v>
          </cell>
        </row>
        <row r="463">
          <cell r="A463" t="str">
            <v>STN03</v>
          </cell>
          <cell r="B463" t="str">
            <v>Phan Thị</v>
          </cell>
          <cell r="C463" t="str">
            <v>Thúy</v>
          </cell>
          <cell r="D463">
            <v>1</v>
          </cell>
          <cell r="E463">
            <v>0.9</v>
          </cell>
          <cell r="F463">
            <v>363.4</v>
          </cell>
          <cell r="G463">
            <v>424.9</v>
          </cell>
          <cell r="H463">
            <v>0</v>
          </cell>
          <cell r="I463">
            <v>45</v>
          </cell>
          <cell r="J463">
            <v>18.2</v>
          </cell>
          <cell r="K463">
            <v>26.4</v>
          </cell>
          <cell r="L463">
            <v>0</v>
          </cell>
          <cell r="M463">
            <v>307</v>
          </cell>
          <cell r="N463">
            <v>0</v>
          </cell>
          <cell r="O463">
            <v>0</v>
          </cell>
          <cell r="P463">
            <v>0</v>
          </cell>
          <cell r="Q463">
            <v>0</v>
          </cell>
          <cell r="R463">
            <v>0</v>
          </cell>
          <cell r="S463">
            <v>0</v>
          </cell>
          <cell r="T463">
            <v>27</v>
          </cell>
          <cell r="U463">
            <v>0.9</v>
          </cell>
          <cell r="V463">
            <v>0</v>
          </cell>
          <cell r="W463">
            <v>0.4</v>
          </cell>
          <cell r="X463">
            <v>0</v>
          </cell>
          <cell r="Y463">
            <v>0</v>
          </cell>
          <cell r="Z463">
            <v>0</v>
          </cell>
        </row>
        <row r="464">
          <cell r="A464" t="str">
            <v>STN07</v>
          </cell>
          <cell r="B464" t="str">
            <v>Nguyễn Thị Bích</v>
          </cell>
          <cell r="C464" t="str">
            <v>Yên</v>
          </cell>
          <cell r="D464">
            <v>1</v>
          </cell>
          <cell r="E464">
            <v>0.8</v>
          </cell>
          <cell r="F464">
            <v>337</v>
          </cell>
          <cell r="G464">
            <v>401.3</v>
          </cell>
          <cell r="H464">
            <v>0</v>
          </cell>
          <cell r="I464">
            <v>24.3</v>
          </cell>
          <cell r="J464">
            <v>9.8000000000000007</v>
          </cell>
          <cell r="K464">
            <v>0</v>
          </cell>
          <cell r="L464">
            <v>0</v>
          </cell>
          <cell r="M464">
            <v>88</v>
          </cell>
          <cell r="N464">
            <v>0</v>
          </cell>
          <cell r="O464">
            <v>92</v>
          </cell>
          <cell r="P464">
            <v>0</v>
          </cell>
          <cell r="Q464">
            <v>0</v>
          </cell>
          <cell r="R464">
            <v>0</v>
          </cell>
          <cell r="S464">
            <v>140</v>
          </cell>
          <cell r="T464">
            <v>45</v>
          </cell>
          <cell r="U464">
            <v>1.6</v>
          </cell>
          <cell r="V464">
            <v>0</v>
          </cell>
          <cell r="W464">
            <v>0.6</v>
          </cell>
          <cell r="X464">
            <v>0</v>
          </cell>
          <cell r="Y464">
            <v>0</v>
          </cell>
          <cell r="Z464">
            <v>0</v>
          </cell>
        </row>
        <row r="465">
          <cell r="A465" t="str">
            <v>STN08</v>
          </cell>
          <cell r="B465" t="str">
            <v>Phạm Văn</v>
          </cell>
          <cell r="C465" t="str">
            <v>Hội</v>
          </cell>
          <cell r="D465">
            <v>26.4</v>
          </cell>
          <cell r="E465">
            <v>26.4</v>
          </cell>
          <cell r="F465">
            <v>78.400000000000006</v>
          </cell>
          <cell r="G465">
            <v>113.4</v>
          </cell>
          <cell r="H465">
            <v>0</v>
          </cell>
          <cell r="I465">
            <v>5</v>
          </cell>
          <cell r="J465">
            <v>2</v>
          </cell>
          <cell r="K465">
            <v>26.4</v>
          </cell>
          <cell r="L465">
            <v>0</v>
          </cell>
          <cell r="M465">
            <v>60</v>
          </cell>
          <cell r="N465">
            <v>0</v>
          </cell>
          <cell r="O465">
            <v>0</v>
          </cell>
          <cell r="P465">
            <v>0</v>
          </cell>
          <cell r="Q465">
            <v>0</v>
          </cell>
          <cell r="R465">
            <v>0</v>
          </cell>
          <cell r="S465">
            <v>20</v>
          </cell>
          <cell r="T465">
            <v>0</v>
          </cell>
          <cell r="U465">
            <v>0</v>
          </cell>
          <cell r="V465">
            <v>0</v>
          </cell>
          <cell r="W465">
            <v>0</v>
          </cell>
          <cell r="X465">
            <v>0</v>
          </cell>
          <cell r="Y465">
            <v>0</v>
          </cell>
          <cell r="Z465">
            <v>0</v>
          </cell>
        </row>
        <row r="466">
          <cell r="A466" t="str">
            <v>STN10</v>
          </cell>
          <cell r="B466" t="str">
            <v>Nguyễn Tuyết</v>
          </cell>
          <cell r="C466" t="str">
            <v>Lan</v>
          </cell>
          <cell r="D466">
            <v>26.4</v>
          </cell>
          <cell r="E466">
            <v>26.4</v>
          </cell>
          <cell r="F466">
            <v>101.4</v>
          </cell>
          <cell r="G466">
            <v>101.4</v>
          </cell>
          <cell r="H466">
            <v>0</v>
          </cell>
          <cell r="I466">
            <v>0</v>
          </cell>
          <cell r="J466">
            <v>0</v>
          </cell>
          <cell r="K466">
            <v>26.4</v>
          </cell>
          <cell r="L466">
            <v>0</v>
          </cell>
          <cell r="M466">
            <v>0</v>
          </cell>
          <cell r="N466">
            <v>0</v>
          </cell>
          <cell r="O466">
            <v>75</v>
          </cell>
          <cell r="P466">
            <v>0</v>
          </cell>
          <cell r="Q466">
            <v>0</v>
          </cell>
          <cell r="R466">
            <v>0</v>
          </cell>
          <cell r="S466">
            <v>0</v>
          </cell>
          <cell r="T466">
            <v>0</v>
          </cell>
          <cell r="U466">
            <v>0</v>
          </cell>
          <cell r="V466">
            <v>0</v>
          </cell>
          <cell r="W466">
            <v>0</v>
          </cell>
          <cell r="X466">
            <v>0</v>
          </cell>
          <cell r="Y466">
            <v>0</v>
          </cell>
          <cell r="Z466">
            <v>0</v>
          </cell>
        </row>
        <row r="467">
          <cell r="A467" t="str">
            <v>STN11</v>
          </cell>
          <cell r="B467" t="str">
            <v>Dương Thị</v>
          </cell>
          <cell r="C467" t="str">
            <v>Huyền</v>
          </cell>
          <cell r="D467">
            <v>26.4</v>
          </cell>
          <cell r="E467">
            <v>26.4</v>
          </cell>
          <cell r="F467">
            <v>310.39999999999998</v>
          </cell>
          <cell r="G467">
            <v>357.3</v>
          </cell>
          <cell r="H467">
            <v>0</v>
          </cell>
          <cell r="I467">
            <v>43.4</v>
          </cell>
          <cell r="J467">
            <v>17.5</v>
          </cell>
          <cell r="K467">
            <v>26.4</v>
          </cell>
          <cell r="L467">
            <v>0</v>
          </cell>
          <cell r="M467">
            <v>210</v>
          </cell>
          <cell r="N467">
            <v>0</v>
          </cell>
          <cell r="O467">
            <v>0</v>
          </cell>
          <cell r="P467">
            <v>0</v>
          </cell>
          <cell r="Q467">
            <v>0</v>
          </cell>
          <cell r="R467">
            <v>0</v>
          </cell>
          <cell r="S467">
            <v>60</v>
          </cell>
          <cell r="T467">
            <v>0</v>
          </cell>
          <cell r="U467">
            <v>0</v>
          </cell>
          <cell r="V467">
            <v>0</v>
          </cell>
          <cell r="W467">
            <v>0</v>
          </cell>
          <cell r="X467">
            <v>0</v>
          </cell>
          <cell r="Y467">
            <v>0</v>
          </cell>
          <cell r="Z467">
            <v>0</v>
          </cell>
        </row>
        <row r="468">
          <cell r="A468" t="str">
            <v>STN15</v>
          </cell>
          <cell r="B468" t="str">
            <v>Nguyễn Đình</v>
          </cell>
          <cell r="C468" t="str">
            <v>Thi</v>
          </cell>
          <cell r="D468">
            <v>40</v>
          </cell>
          <cell r="E468">
            <v>40</v>
          </cell>
          <cell r="F468">
            <v>357</v>
          </cell>
          <cell r="G468">
            <v>400.9</v>
          </cell>
          <cell r="H468">
            <v>0</v>
          </cell>
          <cell r="I468">
            <v>30.5</v>
          </cell>
          <cell r="J468">
            <v>12.3</v>
          </cell>
          <cell r="K468">
            <v>0</v>
          </cell>
          <cell r="L468">
            <v>0</v>
          </cell>
          <cell r="M468">
            <v>150</v>
          </cell>
          <cell r="N468">
            <v>0</v>
          </cell>
          <cell r="O468">
            <v>0</v>
          </cell>
          <cell r="P468">
            <v>0</v>
          </cell>
          <cell r="Q468">
            <v>0</v>
          </cell>
          <cell r="R468">
            <v>0</v>
          </cell>
          <cell r="S468">
            <v>60</v>
          </cell>
          <cell r="T468">
            <v>27</v>
          </cell>
          <cell r="U468">
            <v>0.8</v>
          </cell>
          <cell r="V468">
            <v>0</v>
          </cell>
          <cell r="W468">
            <v>0.3</v>
          </cell>
          <cell r="X468">
            <v>120</v>
          </cell>
          <cell r="Y468">
            <v>0</v>
          </cell>
          <cell r="Z468">
            <v>0</v>
          </cell>
        </row>
        <row r="469">
          <cell r="A469" t="str">
            <v>STN17</v>
          </cell>
          <cell r="B469" t="str">
            <v>Ngô Thế</v>
          </cell>
          <cell r="C469" t="str">
            <v>Ân</v>
          </cell>
          <cell r="D469">
            <v>20</v>
          </cell>
          <cell r="E469">
            <v>20</v>
          </cell>
          <cell r="F469">
            <v>325</v>
          </cell>
          <cell r="G469">
            <v>409.3</v>
          </cell>
          <cell r="H469">
            <v>0</v>
          </cell>
          <cell r="I469">
            <v>46.3</v>
          </cell>
          <cell r="J469">
            <v>18.7</v>
          </cell>
          <cell r="K469">
            <v>0</v>
          </cell>
          <cell r="L469">
            <v>0</v>
          </cell>
          <cell r="M469">
            <v>93.2</v>
          </cell>
          <cell r="N469">
            <v>0</v>
          </cell>
          <cell r="O469">
            <v>15</v>
          </cell>
          <cell r="P469">
            <v>0</v>
          </cell>
          <cell r="Q469">
            <v>0</v>
          </cell>
          <cell r="R469">
            <v>0</v>
          </cell>
          <cell r="S469">
            <v>40</v>
          </cell>
          <cell r="T469">
            <v>27</v>
          </cell>
          <cell r="U469">
            <v>0.8</v>
          </cell>
          <cell r="V469">
            <v>0</v>
          </cell>
          <cell r="W469">
            <v>0.3</v>
          </cell>
          <cell r="X469">
            <v>148</v>
          </cell>
          <cell r="Y469">
            <v>0</v>
          </cell>
          <cell r="Z469">
            <v>20</v>
          </cell>
        </row>
        <row r="470">
          <cell r="A470" t="str">
            <v>STN18</v>
          </cell>
          <cell r="B470" t="str">
            <v>Nguyễn Thị Thu</v>
          </cell>
          <cell r="C470" t="str">
            <v>Hà</v>
          </cell>
          <cell r="D470">
            <v>1</v>
          </cell>
          <cell r="E470">
            <v>0.6</v>
          </cell>
          <cell r="F470">
            <v>43.4</v>
          </cell>
          <cell r="G470">
            <v>54.3</v>
          </cell>
          <cell r="H470">
            <v>0</v>
          </cell>
          <cell r="I470">
            <v>0</v>
          </cell>
          <cell r="J470">
            <v>0</v>
          </cell>
          <cell r="K470">
            <v>26.4</v>
          </cell>
          <cell r="L470">
            <v>0</v>
          </cell>
          <cell r="M470">
            <v>0</v>
          </cell>
          <cell r="N470">
            <v>0</v>
          </cell>
          <cell r="O470">
            <v>0</v>
          </cell>
          <cell r="P470">
            <v>0</v>
          </cell>
          <cell r="Q470">
            <v>0</v>
          </cell>
          <cell r="R470">
            <v>0</v>
          </cell>
          <cell r="S470">
            <v>0</v>
          </cell>
          <cell r="T470">
            <v>27</v>
          </cell>
          <cell r="U470">
            <v>0.6</v>
          </cell>
          <cell r="V470">
            <v>0</v>
          </cell>
          <cell r="W470">
            <v>0.3</v>
          </cell>
          <cell r="X470">
            <v>0</v>
          </cell>
          <cell r="Y470">
            <v>0</v>
          </cell>
          <cell r="Z470">
            <v>0</v>
          </cell>
        </row>
        <row r="471">
          <cell r="A471" t="str">
            <v>STN20</v>
          </cell>
          <cell r="B471" t="str">
            <v>Nông Hữu</v>
          </cell>
          <cell r="C471" t="str">
            <v>Dương</v>
          </cell>
          <cell r="D471">
            <v>12</v>
          </cell>
          <cell r="E471">
            <v>12</v>
          </cell>
          <cell r="F471">
            <v>359.4</v>
          </cell>
          <cell r="G471">
            <v>389.7</v>
          </cell>
          <cell r="H471">
            <v>0</v>
          </cell>
          <cell r="I471">
            <v>11</v>
          </cell>
          <cell r="J471">
            <v>4.4000000000000004</v>
          </cell>
          <cell r="K471">
            <v>26.4</v>
          </cell>
          <cell r="L471">
            <v>0</v>
          </cell>
          <cell r="M471">
            <v>64.3</v>
          </cell>
          <cell r="N471">
            <v>0</v>
          </cell>
          <cell r="O471">
            <v>172.5</v>
          </cell>
          <cell r="P471">
            <v>0</v>
          </cell>
          <cell r="Q471">
            <v>0</v>
          </cell>
          <cell r="R471">
            <v>0</v>
          </cell>
          <cell r="S471">
            <v>80</v>
          </cell>
          <cell r="T471">
            <v>18</v>
          </cell>
          <cell r="U471">
            <v>0.8</v>
          </cell>
          <cell r="V471">
            <v>0</v>
          </cell>
          <cell r="W471">
            <v>0.3</v>
          </cell>
          <cell r="X471">
            <v>12</v>
          </cell>
          <cell r="Y471">
            <v>0</v>
          </cell>
          <cell r="Z471">
            <v>0</v>
          </cell>
        </row>
        <row r="472">
          <cell r="A472" t="str">
            <v>STV02</v>
          </cell>
          <cell r="B472" t="str">
            <v>Nguyễn Thị Thùy</v>
          </cell>
          <cell r="C472" t="str">
            <v>Linh</v>
          </cell>
          <cell r="D472">
            <v>40</v>
          </cell>
          <cell r="E472">
            <v>40</v>
          </cell>
          <cell r="F472">
            <v>128</v>
          </cell>
          <cell r="G472">
            <v>151.80000000000001</v>
          </cell>
          <cell r="H472">
            <v>0</v>
          </cell>
          <cell r="I472">
            <v>6.5</v>
          </cell>
          <cell r="J472">
            <v>0</v>
          </cell>
          <cell r="K472">
            <v>0</v>
          </cell>
          <cell r="L472">
            <v>0</v>
          </cell>
          <cell r="M472">
            <v>15.3</v>
          </cell>
          <cell r="N472">
            <v>0</v>
          </cell>
          <cell r="O472">
            <v>30</v>
          </cell>
          <cell r="P472">
            <v>0</v>
          </cell>
          <cell r="Q472">
            <v>0</v>
          </cell>
          <cell r="R472">
            <v>0</v>
          </cell>
          <cell r="S472">
            <v>100</v>
          </cell>
          <cell r="T472">
            <v>0</v>
          </cell>
          <cell r="U472">
            <v>0</v>
          </cell>
          <cell r="V472">
            <v>0</v>
          </cell>
          <cell r="W472">
            <v>0</v>
          </cell>
          <cell r="X472">
            <v>0</v>
          </cell>
          <cell r="Y472">
            <v>0</v>
          </cell>
          <cell r="Z472">
            <v>0</v>
          </cell>
        </row>
        <row r="473">
          <cell r="A473" t="str">
            <v>STV03</v>
          </cell>
          <cell r="B473" t="str">
            <v>Nguyễn Thị Lý</v>
          </cell>
          <cell r="C473" t="str">
            <v>Anh</v>
          </cell>
          <cell r="D473">
            <v>40</v>
          </cell>
          <cell r="E473">
            <v>40</v>
          </cell>
          <cell r="F473">
            <v>146</v>
          </cell>
          <cell r="G473">
            <v>153.80000000000001</v>
          </cell>
          <cell r="H473">
            <v>0</v>
          </cell>
          <cell r="I473">
            <v>2</v>
          </cell>
          <cell r="J473">
            <v>0.8</v>
          </cell>
          <cell r="K473">
            <v>0</v>
          </cell>
          <cell r="L473">
            <v>0</v>
          </cell>
          <cell r="M473">
            <v>37</v>
          </cell>
          <cell r="N473">
            <v>0</v>
          </cell>
          <cell r="O473">
            <v>0</v>
          </cell>
          <cell r="P473">
            <v>0</v>
          </cell>
          <cell r="Q473">
            <v>0</v>
          </cell>
          <cell r="R473">
            <v>0</v>
          </cell>
          <cell r="S473">
            <v>74</v>
          </cell>
          <cell r="T473">
            <v>0</v>
          </cell>
          <cell r="U473">
            <v>0</v>
          </cell>
          <cell r="V473">
            <v>0</v>
          </cell>
          <cell r="W473">
            <v>0</v>
          </cell>
          <cell r="X473">
            <v>40</v>
          </cell>
          <cell r="Y473">
            <v>0</v>
          </cell>
          <cell r="Z473">
            <v>0</v>
          </cell>
        </row>
        <row r="474">
          <cell r="A474" t="str">
            <v>STV06</v>
          </cell>
          <cell r="B474" t="str">
            <v>Nguyễn Thị Lâm</v>
          </cell>
          <cell r="C474" t="str">
            <v>Hải</v>
          </cell>
          <cell r="D474">
            <v>40</v>
          </cell>
          <cell r="E474">
            <v>40</v>
          </cell>
          <cell r="F474">
            <v>264</v>
          </cell>
          <cell r="G474">
            <v>278.39999999999998</v>
          </cell>
          <cell r="H474">
            <v>0</v>
          </cell>
          <cell r="I474">
            <v>13.1</v>
          </cell>
          <cell r="J474">
            <v>5.3</v>
          </cell>
          <cell r="K474">
            <v>0</v>
          </cell>
          <cell r="L474">
            <v>0</v>
          </cell>
          <cell r="M474">
            <v>60</v>
          </cell>
          <cell r="N474">
            <v>0</v>
          </cell>
          <cell r="O474">
            <v>0</v>
          </cell>
          <cell r="P474">
            <v>0</v>
          </cell>
          <cell r="Q474">
            <v>0</v>
          </cell>
          <cell r="R474">
            <v>0</v>
          </cell>
          <cell r="S474">
            <v>200</v>
          </cell>
          <cell r="T474">
            <v>0</v>
          </cell>
          <cell r="U474">
            <v>0</v>
          </cell>
          <cell r="V474">
            <v>0</v>
          </cell>
          <cell r="W474">
            <v>0</v>
          </cell>
          <cell r="X474">
            <v>0</v>
          </cell>
          <cell r="Y474">
            <v>0</v>
          </cell>
          <cell r="Z474">
            <v>0</v>
          </cell>
        </row>
        <row r="475">
          <cell r="A475" t="str">
            <v>STV10</v>
          </cell>
          <cell r="B475" t="str">
            <v>Nguyễn Thanh</v>
          </cell>
          <cell r="C475" t="str">
            <v>Hải</v>
          </cell>
          <cell r="D475">
            <v>1</v>
          </cell>
          <cell r="E475">
            <v>1.3</v>
          </cell>
          <cell r="F475">
            <v>215</v>
          </cell>
          <cell r="G475">
            <v>243.5</v>
          </cell>
          <cell r="H475">
            <v>0</v>
          </cell>
          <cell r="I475">
            <v>7.6</v>
          </cell>
          <cell r="J475">
            <v>3.1</v>
          </cell>
          <cell r="K475">
            <v>0</v>
          </cell>
          <cell r="L475">
            <v>0</v>
          </cell>
          <cell r="M475">
            <v>55</v>
          </cell>
          <cell r="N475">
            <v>0</v>
          </cell>
          <cell r="O475">
            <v>0</v>
          </cell>
          <cell r="P475">
            <v>0</v>
          </cell>
          <cell r="Q475">
            <v>0</v>
          </cell>
          <cell r="R475">
            <v>0</v>
          </cell>
          <cell r="S475">
            <v>122</v>
          </cell>
          <cell r="T475">
            <v>54</v>
          </cell>
          <cell r="U475">
            <v>1.3</v>
          </cell>
          <cell r="V475">
            <v>0</v>
          </cell>
          <cell r="W475">
            <v>0.5</v>
          </cell>
          <cell r="X475">
            <v>0</v>
          </cell>
          <cell r="Y475">
            <v>0</v>
          </cell>
          <cell r="Z475">
            <v>0</v>
          </cell>
        </row>
        <row r="476">
          <cell r="A476" t="str">
            <v>STV12</v>
          </cell>
          <cell r="B476" t="str">
            <v>Đinh Trường</v>
          </cell>
          <cell r="C476" t="str">
            <v>Sơn</v>
          </cell>
          <cell r="D476">
            <v>1</v>
          </cell>
          <cell r="E476">
            <v>1.3</v>
          </cell>
          <cell r="F476">
            <v>245.8</v>
          </cell>
          <cell r="G476">
            <v>383.4</v>
          </cell>
          <cell r="H476">
            <v>0</v>
          </cell>
          <cell r="I476">
            <v>18.8</v>
          </cell>
          <cell r="J476">
            <v>7.5</v>
          </cell>
          <cell r="K476">
            <v>46.8</v>
          </cell>
          <cell r="L476">
            <v>0</v>
          </cell>
          <cell r="M476">
            <v>216</v>
          </cell>
          <cell r="N476">
            <v>0</v>
          </cell>
          <cell r="O476">
            <v>0</v>
          </cell>
          <cell r="P476">
            <v>0</v>
          </cell>
          <cell r="Q476">
            <v>0</v>
          </cell>
          <cell r="R476">
            <v>0</v>
          </cell>
          <cell r="S476">
            <v>66</v>
          </cell>
          <cell r="T476">
            <v>27</v>
          </cell>
          <cell r="U476">
            <v>1.3</v>
          </cell>
          <cell r="V476">
            <v>0</v>
          </cell>
          <cell r="W476">
            <v>0</v>
          </cell>
          <cell r="X476">
            <v>0</v>
          </cell>
          <cell r="Y476">
            <v>0</v>
          </cell>
          <cell r="Z476">
            <v>0</v>
          </cell>
        </row>
        <row r="477">
          <cell r="A477" t="str">
            <v>TBD02</v>
          </cell>
          <cell r="B477" t="str">
            <v>Nguyễn Thị Thu</v>
          </cell>
          <cell r="C477" t="str">
            <v>Hiền</v>
          </cell>
          <cell r="D477">
            <v>40</v>
          </cell>
          <cell r="E477">
            <v>40</v>
          </cell>
          <cell r="F477">
            <v>526</v>
          </cell>
          <cell r="G477">
            <v>661</v>
          </cell>
          <cell r="H477">
            <v>0</v>
          </cell>
          <cell r="I477">
            <v>51.7</v>
          </cell>
          <cell r="J477">
            <v>16.399999999999999</v>
          </cell>
          <cell r="K477">
            <v>24</v>
          </cell>
          <cell r="L477">
            <v>0</v>
          </cell>
          <cell r="M477">
            <v>134.5</v>
          </cell>
          <cell r="N477">
            <v>0</v>
          </cell>
          <cell r="O477">
            <v>248.5</v>
          </cell>
          <cell r="P477">
            <v>0</v>
          </cell>
          <cell r="Q477">
            <v>0</v>
          </cell>
          <cell r="R477">
            <v>0</v>
          </cell>
          <cell r="S477">
            <v>60</v>
          </cell>
          <cell r="T477">
            <v>81</v>
          </cell>
          <cell r="U477">
            <v>3.5</v>
          </cell>
          <cell r="V477">
            <v>0</v>
          </cell>
          <cell r="W477">
            <v>1.4</v>
          </cell>
          <cell r="X477">
            <v>40</v>
          </cell>
          <cell r="Y477">
            <v>0</v>
          </cell>
          <cell r="Z477">
            <v>0</v>
          </cell>
        </row>
        <row r="478">
          <cell r="A478" t="str">
            <v>TBD03</v>
          </cell>
          <cell r="B478" t="str">
            <v>Trần Trọng</v>
          </cell>
          <cell r="C478" t="str">
            <v>Phương</v>
          </cell>
          <cell r="D478">
            <v>20</v>
          </cell>
          <cell r="E478">
            <v>20</v>
          </cell>
          <cell r="F478">
            <v>679</v>
          </cell>
          <cell r="G478">
            <v>769</v>
          </cell>
          <cell r="H478">
            <v>0</v>
          </cell>
          <cell r="I478">
            <v>35.5</v>
          </cell>
          <cell r="J478">
            <v>14.2</v>
          </cell>
          <cell r="K478">
            <v>24</v>
          </cell>
          <cell r="L478">
            <v>0</v>
          </cell>
          <cell r="M478">
            <v>91.5</v>
          </cell>
          <cell r="N478">
            <v>0</v>
          </cell>
          <cell r="O478">
            <v>88</v>
          </cell>
          <cell r="P478">
            <v>0</v>
          </cell>
          <cell r="Q478">
            <v>0</v>
          </cell>
          <cell r="R478">
            <v>0</v>
          </cell>
          <cell r="S478">
            <v>120</v>
          </cell>
          <cell r="T478">
            <v>99</v>
          </cell>
          <cell r="U478">
            <v>3.4</v>
          </cell>
          <cell r="V478">
            <v>0</v>
          </cell>
          <cell r="W478">
            <v>1.4</v>
          </cell>
          <cell r="X478">
            <v>252</v>
          </cell>
          <cell r="Y478">
            <v>0</v>
          </cell>
          <cell r="Z478">
            <v>40</v>
          </cell>
        </row>
        <row r="479">
          <cell r="A479" t="str">
            <v>TBD05</v>
          </cell>
          <cell r="B479" t="str">
            <v>Phan Văn</v>
          </cell>
          <cell r="C479" t="str">
            <v>Khuê</v>
          </cell>
          <cell r="D479">
            <v>1</v>
          </cell>
          <cell r="E479">
            <v>1.9</v>
          </cell>
          <cell r="F479">
            <v>429</v>
          </cell>
          <cell r="G479">
            <v>508.1</v>
          </cell>
          <cell r="H479">
            <v>0</v>
          </cell>
          <cell r="I479">
            <v>41.1</v>
          </cell>
          <cell r="J479">
            <v>12.8</v>
          </cell>
          <cell r="K479">
            <v>24</v>
          </cell>
          <cell r="L479">
            <v>0</v>
          </cell>
          <cell r="M479">
            <v>107.3</v>
          </cell>
          <cell r="N479">
            <v>0</v>
          </cell>
          <cell r="O479">
            <v>206.5</v>
          </cell>
          <cell r="P479">
            <v>0</v>
          </cell>
          <cell r="Q479">
            <v>0</v>
          </cell>
          <cell r="R479">
            <v>15</v>
          </cell>
          <cell r="S479">
            <v>60</v>
          </cell>
          <cell r="T479">
            <v>36</v>
          </cell>
          <cell r="U479">
            <v>3.8</v>
          </cell>
          <cell r="V479">
            <v>0</v>
          </cell>
          <cell r="W479">
            <v>1.6</v>
          </cell>
          <cell r="X479">
            <v>0</v>
          </cell>
          <cell r="Y479">
            <v>0</v>
          </cell>
          <cell r="Z479">
            <v>0</v>
          </cell>
        </row>
        <row r="480">
          <cell r="A480" t="str">
            <v>TBD08</v>
          </cell>
          <cell r="B480" t="str">
            <v>Nguyễn Đình</v>
          </cell>
          <cell r="C480" t="str">
            <v>Trung</v>
          </cell>
          <cell r="D480">
            <v>24</v>
          </cell>
          <cell r="E480">
            <v>24</v>
          </cell>
          <cell r="F480">
            <v>383</v>
          </cell>
          <cell r="G480">
            <v>466.4</v>
          </cell>
          <cell r="H480">
            <v>0</v>
          </cell>
          <cell r="I480">
            <v>33.6</v>
          </cell>
          <cell r="J480">
            <v>11.6</v>
          </cell>
          <cell r="K480">
            <v>24</v>
          </cell>
          <cell r="L480">
            <v>0</v>
          </cell>
          <cell r="M480">
            <v>77.7</v>
          </cell>
          <cell r="N480">
            <v>0</v>
          </cell>
          <cell r="O480">
            <v>229.5</v>
          </cell>
          <cell r="P480">
            <v>0</v>
          </cell>
          <cell r="Q480">
            <v>0</v>
          </cell>
          <cell r="R480">
            <v>30</v>
          </cell>
          <cell r="S480">
            <v>60</v>
          </cell>
          <cell r="T480">
            <v>0</v>
          </cell>
          <cell r="U480">
            <v>0</v>
          </cell>
          <cell r="V480">
            <v>0</v>
          </cell>
          <cell r="W480">
            <v>0</v>
          </cell>
          <cell r="X480">
            <v>0</v>
          </cell>
          <cell r="Y480">
            <v>0</v>
          </cell>
          <cell r="Z480">
            <v>0</v>
          </cell>
        </row>
        <row r="481">
          <cell r="A481" t="str">
            <v>TBI01</v>
          </cell>
          <cell r="B481" t="str">
            <v>Trần Như</v>
          </cell>
          <cell r="C481" t="str">
            <v>Khuyên</v>
          </cell>
          <cell r="D481">
            <v>20</v>
          </cell>
          <cell r="E481">
            <v>20</v>
          </cell>
          <cell r="F481">
            <v>227</v>
          </cell>
          <cell r="G481">
            <v>289.5</v>
          </cell>
          <cell r="H481">
            <v>0</v>
          </cell>
          <cell r="I481">
            <v>43.9</v>
          </cell>
          <cell r="J481">
            <v>17.7</v>
          </cell>
          <cell r="K481">
            <v>0</v>
          </cell>
          <cell r="L481">
            <v>0</v>
          </cell>
          <cell r="M481">
            <v>184.9</v>
          </cell>
          <cell r="N481">
            <v>0</v>
          </cell>
          <cell r="O481">
            <v>23</v>
          </cell>
          <cell r="P481">
            <v>0</v>
          </cell>
          <cell r="Q481">
            <v>0</v>
          </cell>
          <cell r="R481">
            <v>0</v>
          </cell>
          <cell r="S481">
            <v>0</v>
          </cell>
          <cell r="T481">
            <v>0</v>
          </cell>
          <cell r="U481">
            <v>0</v>
          </cell>
          <cell r="V481">
            <v>0</v>
          </cell>
          <cell r="W481">
            <v>0</v>
          </cell>
          <cell r="X481">
            <v>0</v>
          </cell>
          <cell r="Y481">
            <v>0</v>
          </cell>
          <cell r="Z481">
            <v>20</v>
          </cell>
        </row>
        <row r="482">
          <cell r="A482" t="str">
            <v>TBI02</v>
          </cell>
          <cell r="B482" t="str">
            <v>Nguyễn Thanh</v>
          </cell>
          <cell r="C482" t="str">
            <v>Hải</v>
          </cell>
          <cell r="D482">
            <v>10</v>
          </cell>
          <cell r="E482">
            <v>10</v>
          </cell>
          <cell r="F482">
            <v>166</v>
          </cell>
          <cell r="G482">
            <v>177</v>
          </cell>
          <cell r="H482">
            <v>0</v>
          </cell>
          <cell r="I482">
            <v>8.1</v>
          </cell>
          <cell r="J482">
            <v>3.4</v>
          </cell>
          <cell r="K482">
            <v>0</v>
          </cell>
          <cell r="L482">
            <v>0</v>
          </cell>
          <cell r="M482">
            <v>82</v>
          </cell>
          <cell r="N482">
            <v>0</v>
          </cell>
          <cell r="O482">
            <v>53.5</v>
          </cell>
          <cell r="P482">
            <v>0</v>
          </cell>
          <cell r="Q482">
            <v>0</v>
          </cell>
          <cell r="R482">
            <v>0</v>
          </cell>
          <cell r="S482">
            <v>0</v>
          </cell>
          <cell r="T482">
            <v>0</v>
          </cell>
          <cell r="U482">
            <v>0</v>
          </cell>
          <cell r="V482">
            <v>0</v>
          </cell>
          <cell r="W482">
            <v>0</v>
          </cell>
          <cell r="X482">
            <v>0</v>
          </cell>
          <cell r="Y482">
            <v>0</v>
          </cell>
          <cell r="Z482">
            <v>30</v>
          </cell>
        </row>
        <row r="483">
          <cell r="A483" t="str">
            <v>TBI04</v>
          </cell>
          <cell r="B483" t="str">
            <v>Ngô Thị</v>
          </cell>
          <cell r="C483" t="str">
            <v>Hiền</v>
          </cell>
          <cell r="D483">
            <v>1</v>
          </cell>
          <cell r="E483">
            <v>1.8</v>
          </cell>
          <cell r="F483">
            <v>190</v>
          </cell>
          <cell r="G483">
            <v>219.9</v>
          </cell>
          <cell r="H483">
            <v>0</v>
          </cell>
          <cell r="I483">
            <v>20.6</v>
          </cell>
          <cell r="J483">
            <v>8.1999999999999993</v>
          </cell>
          <cell r="K483">
            <v>0</v>
          </cell>
          <cell r="L483">
            <v>0</v>
          </cell>
          <cell r="M483">
            <v>145.1</v>
          </cell>
          <cell r="N483">
            <v>0</v>
          </cell>
          <cell r="O483">
            <v>46</v>
          </cell>
          <cell r="P483">
            <v>0</v>
          </cell>
          <cell r="Q483">
            <v>0</v>
          </cell>
          <cell r="R483">
            <v>0</v>
          </cell>
          <cell r="S483">
            <v>0</v>
          </cell>
          <cell r="T483">
            <v>0</v>
          </cell>
          <cell r="U483">
            <v>0</v>
          </cell>
          <cell r="V483">
            <v>0</v>
          </cell>
          <cell r="W483">
            <v>0</v>
          </cell>
          <cell r="X483">
            <v>0</v>
          </cell>
          <cell r="Y483">
            <v>0</v>
          </cell>
          <cell r="Z483">
            <v>0</v>
          </cell>
        </row>
        <row r="484">
          <cell r="A484" t="str">
            <v>TBI05</v>
          </cell>
          <cell r="B484" t="str">
            <v>Hoàng Xuân</v>
          </cell>
          <cell r="C484" t="str">
            <v>Anh</v>
          </cell>
          <cell r="D484">
            <v>20</v>
          </cell>
          <cell r="E484">
            <v>20</v>
          </cell>
          <cell r="F484">
            <v>315</v>
          </cell>
          <cell r="G484">
            <v>355.5</v>
          </cell>
          <cell r="H484">
            <v>0</v>
          </cell>
          <cell r="I484">
            <v>25.5</v>
          </cell>
          <cell r="J484">
            <v>9.6</v>
          </cell>
          <cell r="K484">
            <v>45</v>
          </cell>
          <cell r="L484">
            <v>0</v>
          </cell>
          <cell r="M484">
            <v>129.4</v>
          </cell>
          <cell r="N484">
            <v>0</v>
          </cell>
          <cell r="O484">
            <v>106</v>
          </cell>
          <cell r="P484">
            <v>0</v>
          </cell>
          <cell r="Q484">
            <v>0</v>
          </cell>
          <cell r="R484">
            <v>0</v>
          </cell>
          <cell r="S484">
            <v>40</v>
          </cell>
          <cell r="T484">
            <v>0</v>
          </cell>
          <cell r="U484">
            <v>0</v>
          </cell>
          <cell r="V484">
            <v>0</v>
          </cell>
          <cell r="W484">
            <v>0</v>
          </cell>
          <cell r="X484">
            <v>0</v>
          </cell>
          <cell r="Y484">
            <v>0</v>
          </cell>
          <cell r="Z484">
            <v>0</v>
          </cell>
        </row>
        <row r="485">
          <cell r="A485" t="str">
            <v>TCH03</v>
          </cell>
          <cell r="B485" t="str">
            <v>Lê Hữu</v>
          </cell>
          <cell r="C485" t="str">
            <v>ảnh</v>
          </cell>
          <cell r="D485">
            <v>30</v>
          </cell>
          <cell r="E485">
            <v>30</v>
          </cell>
          <cell r="F485">
            <v>1115</v>
          </cell>
          <cell r="G485">
            <v>1299.4000000000001</v>
          </cell>
          <cell r="H485">
            <v>0</v>
          </cell>
          <cell r="I485">
            <v>10.8</v>
          </cell>
          <cell r="J485">
            <v>4.3</v>
          </cell>
          <cell r="K485">
            <v>0</v>
          </cell>
          <cell r="L485">
            <v>0</v>
          </cell>
          <cell r="M485">
            <v>60</v>
          </cell>
          <cell r="N485">
            <v>0</v>
          </cell>
          <cell r="O485">
            <v>0</v>
          </cell>
          <cell r="P485">
            <v>0</v>
          </cell>
          <cell r="Q485">
            <v>0</v>
          </cell>
          <cell r="R485">
            <v>0</v>
          </cell>
          <cell r="S485">
            <v>0</v>
          </cell>
          <cell r="T485">
            <v>378</v>
          </cell>
          <cell r="U485">
            <v>13.2</v>
          </cell>
          <cell r="V485">
            <v>0</v>
          </cell>
          <cell r="W485">
            <v>3.1</v>
          </cell>
          <cell r="X485">
            <v>800</v>
          </cell>
          <cell r="Y485">
            <v>0</v>
          </cell>
          <cell r="Z485">
            <v>30</v>
          </cell>
        </row>
        <row r="486">
          <cell r="A486" t="str">
            <v>TCH06</v>
          </cell>
          <cell r="B486" t="str">
            <v>Lê Thị Thanh</v>
          </cell>
          <cell r="C486" t="str">
            <v>Hảo</v>
          </cell>
          <cell r="D486">
            <v>20</v>
          </cell>
          <cell r="E486">
            <v>20</v>
          </cell>
          <cell r="F486">
            <v>328</v>
          </cell>
          <cell r="G486">
            <v>357.4</v>
          </cell>
          <cell r="H486">
            <v>0</v>
          </cell>
          <cell r="I486">
            <v>26.7</v>
          </cell>
          <cell r="J486">
            <v>10.7</v>
          </cell>
          <cell r="K486">
            <v>0</v>
          </cell>
          <cell r="L486">
            <v>0</v>
          </cell>
          <cell r="M486">
            <v>180</v>
          </cell>
          <cell r="N486">
            <v>0</v>
          </cell>
          <cell r="O486">
            <v>0</v>
          </cell>
          <cell r="P486">
            <v>0</v>
          </cell>
          <cell r="Q486">
            <v>0</v>
          </cell>
          <cell r="R486">
            <v>0</v>
          </cell>
          <cell r="S486">
            <v>140</v>
          </cell>
          <cell r="T486">
            <v>0</v>
          </cell>
          <cell r="U486">
            <v>0</v>
          </cell>
          <cell r="V486">
            <v>0</v>
          </cell>
          <cell r="W486">
            <v>0</v>
          </cell>
          <cell r="X486">
            <v>0</v>
          </cell>
          <cell r="Y486">
            <v>0</v>
          </cell>
          <cell r="Z486">
            <v>0</v>
          </cell>
        </row>
        <row r="487">
          <cell r="A487" t="str">
            <v>TCH09</v>
          </cell>
          <cell r="B487" t="str">
            <v>Nguyễn Thị</v>
          </cell>
          <cell r="C487" t="str">
            <v>Hương</v>
          </cell>
          <cell r="D487">
            <v>20</v>
          </cell>
          <cell r="E487">
            <v>20</v>
          </cell>
          <cell r="F487">
            <v>375</v>
          </cell>
          <cell r="G487">
            <v>559</v>
          </cell>
          <cell r="H487">
            <v>0</v>
          </cell>
          <cell r="I487">
            <v>44.4</v>
          </cell>
          <cell r="J487">
            <v>17.8</v>
          </cell>
          <cell r="K487">
            <v>0</v>
          </cell>
          <cell r="L487">
            <v>0</v>
          </cell>
          <cell r="M487">
            <v>356.8</v>
          </cell>
          <cell r="N487">
            <v>0</v>
          </cell>
          <cell r="O487">
            <v>0</v>
          </cell>
          <cell r="P487">
            <v>0</v>
          </cell>
          <cell r="Q487">
            <v>0</v>
          </cell>
          <cell r="R487">
            <v>0</v>
          </cell>
          <cell r="S487">
            <v>140</v>
          </cell>
          <cell r="T487">
            <v>0</v>
          </cell>
          <cell r="U487">
            <v>0</v>
          </cell>
          <cell r="V487">
            <v>0</v>
          </cell>
          <cell r="W487">
            <v>0</v>
          </cell>
          <cell r="X487">
            <v>0</v>
          </cell>
          <cell r="Y487">
            <v>0</v>
          </cell>
          <cell r="Z487">
            <v>0</v>
          </cell>
        </row>
        <row r="488">
          <cell r="A488" t="str">
            <v>TCH13</v>
          </cell>
          <cell r="B488" t="str">
            <v>Đào Thị Hoàng</v>
          </cell>
          <cell r="C488" t="str">
            <v>Anh</v>
          </cell>
          <cell r="D488">
            <v>10.5</v>
          </cell>
          <cell r="E488">
            <v>10.5</v>
          </cell>
          <cell r="F488">
            <v>392.1</v>
          </cell>
          <cell r="G488">
            <v>517</v>
          </cell>
          <cell r="H488">
            <v>0</v>
          </cell>
          <cell r="I488">
            <v>42.3</v>
          </cell>
          <cell r="J488">
            <v>17</v>
          </cell>
          <cell r="K488">
            <v>35.1</v>
          </cell>
          <cell r="L488">
            <v>0</v>
          </cell>
          <cell r="M488">
            <v>302.60000000000002</v>
          </cell>
          <cell r="N488">
            <v>0</v>
          </cell>
          <cell r="O488">
            <v>0</v>
          </cell>
          <cell r="P488">
            <v>0</v>
          </cell>
          <cell r="Q488">
            <v>0</v>
          </cell>
          <cell r="R488">
            <v>0</v>
          </cell>
          <cell r="S488">
            <v>120</v>
          </cell>
          <cell r="T488">
            <v>0</v>
          </cell>
          <cell r="U488">
            <v>0</v>
          </cell>
          <cell r="V488">
            <v>0</v>
          </cell>
          <cell r="W488">
            <v>0</v>
          </cell>
          <cell r="X488">
            <v>0</v>
          </cell>
          <cell r="Y488">
            <v>0</v>
          </cell>
          <cell r="Z488">
            <v>0</v>
          </cell>
        </row>
        <row r="489">
          <cell r="A489" t="str">
            <v>TCH14</v>
          </cell>
          <cell r="B489" t="str">
            <v>Đặng Thị Hải</v>
          </cell>
          <cell r="C489" t="str">
            <v>Yến</v>
          </cell>
          <cell r="D489">
            <v>29</v>
          </cell>
          <cell r="E489">
            <v>29</v>
          </cell>
          <cell r="F489">
            <v>359</v>
          </cell>
          <cell r="G489">
            <v>395.9</v>
          </cell>
          <cell r="H489">
            <v>0</v>
          </cell>
          <cell r="I489">
            <v>37.799999999999997</v>
          </cell>
          <cell r="J489">
            <v>9.1</v>
          </cell>
          <cell r="K489">
            <v>29</v>
          </cell>
          <cell r="L489">
            <v>0</v>
          </cell>
          <cell r="M489">
            <v>180</v>
          </cell>
          <cell r="N489">
            <v>0</v>
          </cell>
          <cell r="O489">
            <v>0</v>
          </cell>
          <cell r="P489">
            <v>0</v>
          </cell>
          <cell r="Q489">
            <v>0</v>
          </cell>
          <cell r="R489">
            <v>0</v>
          </cell>
          <cell r="S489">
            <v>140</v>
          </cell>
          <cell r="T489">
            <v>0</v>
          </cell>
          <cell r="U489">
            <v>0</v>
          </cell>
          <cell r="V489">
            <v>0</v>
          </cell>
          <cell r="W489">
            <v>0</v>
          </cell>
          <cell r="X489">
            <v>0</v>
          </cell>
          <cell r="Y489">
            <v>0</v>
          </cell>
          <cell r="Z489">
            <v>0</v>
          </cell>
        </row>
        <row r="490">
          <cell r="A490" t="str">
            <v>TCH15</v>
          </cell>
          <cell r="B490" t="str">
            <v>Bùi Thị Hồng</v>
          </cell>
          <cell r="C490" t="str">
            <v>Nhung</v>
          </cell>
          <cell r="D490">
            <v>10.5</v>
          </cell>
          <cell r="E490">
            <v>10.5</v>
          </cell>
          <cell r="F490">
            <v>301</v>
          </cell>
          <cell r="G490">
            <v>355.1</v>
          </cell>
          <cell r="H490">
            <v>0</v>
          </cell>
          <cell r="I490">
            <v>5</v>
          </cell>
          <cell r="J490">
            <v>8.1</v>
          </cell>
          <cell r="K490">
            <v>42</v>
          </cell>
          <cell r="L490">
            <v>0</v>
          </cell>
          <cell r="M490">
            <v>180</v>
          </cell>
          <cell r="N490">
            <v>0</v>
          </cell>
          <cell r="O490">
            <v>0</v>
          </cell>
          <cell r="P490">
            <v>0</v>
          </cell>
          <cell r="Q490">
            <v>0</v>
          </cell>
          <cell r="R490">
            <v>0</v>
          </cell>
          <cell r="S490">
            <v>120</v>
          </cell>
          <cell r="T490">
            <v>0</v>
          </cell>
          <cell r="U490">
            <v>0</v>
          </cell>
          <cell r="V490">
            <v>0</v>
          </cell>
          <cell r="W490">
            <v>0</v>
          </cell>
          <cell r="X490">
            <v>0</v>
          </cell>
          <cell r="Y490">
            <v>0</v>
          </cell>
          <cell r="Z490">
            <v>0</v>
          </cell>
        </row>
        <row r="491">
          <cell r="A491" t="str">
            <v>TDH01</v>
          </cell>
          <cell r="B491" t="str">
            <v>Ngô Trí</v>
          </cell>
          <cell r="C491" t="str">
            <v>Dương</v>
          </cell>
          <cell r="D491">
            <v>20</v>
          </cell>
          <cell r="E491">
            <v>20</v>
          </cell>
          <cell r="F491">
            <v>374</v>
          </cell>
          <cell r="G491">
            <v>432.3</v>
          </cell>
          <cell r="H491">
            <v>0</v>
          </cell>
          <cell r="I491">
            <v>23.7</v>
          </cell>
          <cell r="J491">
            <v>9.6999999999999993</v>
          </cell>
          <cell r="K491">
            <v>54</v>
          </cell>
          <cell r="L491">
            <v>0</v>
          </cell>
          <cell r="M491">
            <v>124.9</v>
          </cell>
          <cell r="N491">
            <v>0</v>
          </cell>
          <cell r="O491">
            <v>0</v>
          </cell>
          <cell r="P491">
            <v>0</v>
          </cell>
          <cell r="Q491">
            <v>0</v>
          </cell>
          <cell r="R491">
            <v>0</v>
          </cell>
          <cell r="S491">
            <v>220</v>
          </cell>
          <cell r="T491">
            <v>0</v>
          </cell>
          <cell r="U491">
            <v>0</v>
          </cell>
          <cell r="V491">
            <v>0</v>
          </cell>
          <cell r="W491">
            <v>0</v>
          </cell>
          <cell r="X491">
            <v>0</v>
          </cell>
          <cell r="Y491">
            <v>0</v>
          </cell>
          <cell r="Z491">
            <v>0</v>
          </cell>
        </row>
        <row r="492">
          <cell r="A492" t="str">
            <v>TDH04</v>
          </cell>
          <cell r="B492" t="str">
            <v>Nguyễn Kim</v>
          </cell>
          <cell r="C492" t="str">
            <v>Dung</v>
          </cell>
          <cell r="D492">
            <v>20</v>
          </cell>
          <cell r="E492">
            <v>20</v>
          </cell>
          <cell r="F492">
            <v>430</v>
          </cell>
          <cell r="G492">
            <v>537.5</v>
          </cell>
          <cell r="H492">
            <v>0</v>
          </cell>
          <cell r="I492">
            <v>39.1</v>
          </cell>
          <cell r="J492">
            <v>15.8</v>
          </cell>
          <cell r="K492">
            <v>0</v>
          </cell>
          <cell r="L492">
            <v>0</v>
          </cell>
          <cell r="M492">
            <v>117.6</v>
          </cell>
          <cell r="N492">
            <v>0</v>
          </cell>
          <cell r="O492">
            <v>185</v>
          </cell>
          <cell r="P492">
            <v>0</v>
          </cell>
          <cell r="Q492">
            <v>0</v>
          </cell>
          <cell r="R492">
            <v>0</v>
          </cell>
          <cell r="S492">
            <v>180</v>
          </cell>
          <cell r="T492">
            <v>0</v>
          </cell>
          <cell r="U492">
            <v>0</v>
          </cell>
          <cell r="V492">
            <v>0</v>
          </cell>
          <cell r="W492">
            <v>0</v>
          </cell>
          <cell r="X492">
            <v>0</v>
          </cell>
          <cell r="Y492">
            <v>0</v>
          </cell>
          <cell r="Z492">
            <v>0</v>
          </cell>
        </row>
        <row r="493">
          <cell r="A493" t="str">
            <v>TDH05</v>
          </cell>
          <cell r="B493" t="str">
            <v>Đặng Thị Thúy</v>
          </cell>
          <cell r="C493" t="str">
            <v>Huyền</v>
          </cell>
          <cell r="D493">
            <v>20</v>
          </cell>
          <cell r="E493">
            <v>20</v>
          </cell>
          <cell r="F493">
            <v>428</v>
          </cell>
          <cell r="G493">
            <v>498.3</v>
          </cell>
          <cell r="H493">
            <v>0</v>
          </cell>
          <cell r="I493">
            <v>40</v>
          </cell>
          <cell r="J493">
            <v>16.2</v>
          </cell>
          <cell r="K493">
            <v>0</v>
          </cell>
          <cell r="L493">
            <v>0</v>
          </cell>
          <cell r="M493">
            <v>154.6</v>
          </cell>
          <cell r="N493">
            <v>0</v>
          </cell>
          <cell r="O493">
            <v>127.5</v>
          </cell>
          <cell r="P493">
            <v>0</v>
          </cell>
          <cell r="Q493">
            <v>0</v>
          </cell>
          <cell r="R493">
            <v>0</v>
          </cell>
          <cell r="S493">
            <v>160</v>
          </cell>
          <cell r="T493">
            <v>0</v>
          </cell>
          <cell r="U493">
            <v>0</v>
          </cell>
          <cell r="V493">
            <v>0</v>
          </cell>
          <cell r="W493">
            <v>0</v>
          </cell>
          <cell r="X493">
            <v>0</v>
          </cell>
          <cell r="Y493">
            <v>0</v>
          </cell>
          <cell r="Z493">
            <v>0</v>
          </cell>
        </row>
        <row r="494">
          <cell r="A494" t="str">
            <v>TDH09</v>
          </cell>
          <cell r="B494" t="str">
            <v>Nguyễn Văn</v>
          </cell>
          <cell r="C494" t="str">
            <v>Điều</v>
          </cell>
          <cell r="D494">
            <v>20</v>
          </cell>
          <cell r="E494">
            <v>20</v>
          </cell>
          <cell r="F494">
            <v>394.6</v>
          </cell>
          <cell r="G494">
            <v>430.3</v>
          </cell>
          <cell r="H494">
            <v>0</v>
          </cell>
          <cell r="I494">
            <v>21.1</v>
          </cell>
          <cell r="J494">
            <v>8.6</v>
          </cell>
          <cell r="K494">
            <v>57.6</v>
          </cell>
          <cell r="L494">
            <v>0</v>
          </cell>
          <cell r="M494">
            <v>123</v>
          </cell>
          <cell r="N494">
            <v>0</v>
          </cell>
          <cell r="O494">
            <v>120</v>
          </cell>
          <cell r="P494">
            <v>0</v>
          </cell>
          <cell r="Q494">
            <v>0</v>
          </cell>
          <cell r="R494">
            <v>0</v>
          </cell>
          <cell r="S494">
            <v>100</v>
          </cell>
          <cell r="T494">
            <v>0</v>
          </cell>
          <cell r="U494">
            <v>0</v>
          </cell>
          <cell r="V494">
            <v>0</v>
          </cell>
          <cell r="W494">
            <v>0</v>
          </cell>
          <cell r="X494">
            <v>0</v>
          </cell>
          <cell r="Y494">
            <v>0</v>
          </cell>
          <cell r="Z494">
            <v>0</v>
          </cell>
        </row>
        <row r="495">
          <cell r="A495" t="str">
            <v>TDH11</v>
          </cell>
          <cell r="B495" t="str">
            <v>Nguyễn Quang</v>
          </cell>
          <cell r="C495" t="str">
            <v>Huy</v>
          </cell>
          <cell r="D495">
            <v>50.4</v>
          </cell>
          <cell r="E495">
            <v>50.4</v>
          </cell>
          <cell r="F495">
            <v>137.4</v>
          </cell>
          <cell r="G495">
            <v>143.80000000000001</v>
          </cell>
          <cell r="H495">
            <v>0</v>
          </cell>
          <cell r="I495">
            <v>7.4</v>
          </cell>
          <cell r="J495">
            <v>3</v>
          </cell>
          <cell r="K495">
            <v>50.4</v>
          </cell>
          <cell r="L495">
            <v>0</v>
          </cell>
          <cell r="M495">
            <v>67</v>
          </cell>
          <cell r="N495">
            <v>0</v>
          </cell>
          <cell r="O495">
            <v>16</v>
          </cell>
          <cell r="P495">
            <v>0</v>
          </cell>
          <cell r="Q495">
            <v>0</v>
          </cell>
          <cell r="R495">
            <v>0</v>
          </cell>
          <cell r="S495">
            <v>0</v>
          </cell>
          <cell r="T495">
            <v>0</v>
          </cell>
          <cell r="U495">
            <v>0</v>
          </cell>
          <cell r="V495">
            <v>0</v>
          </cell>
          <cell r="W495">
            <v>0</v>
          </cell>
          <cell r="X495">
            <v>0</v>
          </cell>
          <cell r="Y495">
            <v>0</v>
          </cell>
          <cell r="Z495">
            <v>0</v>
          </cell>
        </row>
        <row r="496">
          <cell r="A496" t="str">
            <v>TLY05</v>
          </cell>
          <cell r="B496" t="str">
            <v>Trần T Hà</v>
          </cell>
          <cell r="C496" t="str">
            <v>Nghĩa</v>
          </cell>
          <cell r="D496">
            <v>1</v>
          </cell>
          <cell r="E496">
            <v>3.6</v>
          </cell>
          <cell r="F496">
            <v>64</v>
          </cell>
          <cell r="G496">
            <v>78.900000000000006</v>
          </cell>
          <cell r="H496">
            <v>0</v>
          </cell>
          <cell r="I496">
            <v>9.9</v>
          </cell>
          <cell r="J496">
            <v>4</v>
          </cell>
          <cell r="K496">
            <v>0</v>
          </cell>
          <cell r="L496">
            <v>0</v>
          </cell>
          <cell r="M496">
            <v>65</v>
          </cell>
          <cell r="N496">
            <v>0</v>
          </cell>
          <cell r="O496">
            <v>0</v>
          </cell>
          <cell r="P496">
            <v>0</v>
          </cell>
          <cell r="Q496">
            <v>0</v>
          </cell>
          <cell r="R496">
            <v>0</v>
          </cell>
          <cell r="S496">
            <v>0</v>
          </cell>
          <cell r="T496">
            <v>0</v>
          </cell>
          <cell r="U496">
            <v>0</v>
          </cell>
          <cell r="V496">
            <v>0</v>
          </cell>
          <cell r="W496">
            <v>0</v>
          </cell>
          <cell r="X496">
            <v>0</v>
          </cell>
          <cell r="Y496">
            <v>0</v>
          </cell>
          <cell r="Z496">
            <v>0</v>
          </cell>
        </row>
        <row r="497">
          <cell r="A497" t="str">
            <v>TLY07</v>
          </cell>
          <cell r="B497" t="str">
            <v>Nguyễn T Huyền</v>
          </cell>
          <cell r="C497" t="str">
            <v>Thương</v>
          </cell>
          <cell r="D497">
            <v>1</v>
          </cell>
          <cell r="E497">
            <v>6.3</v>
          </cell>
          <cell r="F497">
            <v>64</v>
          </cell>
          <cell r="G497">
            <v>79.400000000000006</v>
          </cell>
          <cell r="H497">
            <v>0</v>
          </cell>
          <cell r="I497">
            <v>6.7</v>
          </cell>
          <cell r="J497">
            <v>2.7</v>
          </cell>
          <cell r="K497">
            <v>0</v>
          </cell>
          <cell r="L497">
            <v>0</v>
          </cell>
          <cell r="M497">
            <v>70</v>
          </cell>
          <cell r="N497">
            <v>0</v>
          </cell>
          <cell r="O497">
            <v>0</v>
          </cell>
          <cell r="P497">
            <v>0</v>
          </cell>
          <cell r="Q497">
            <v>0</v>
          </cell>
          <cell r="R497">
            <v>0</v>
          </cell>
          <cell r="S497">
            <v>0</v>
          </cell>
          <cell r="T497">
            <v>0</v>
          </cell>
          <cell r="U497">
            <v>0</v>
          </cell>
          <cell r="V497">
            <v>0</v>
          </cell>
          <cell r="W497">
            <v>0</v>
          </cell>
          <cell r="X497">
            <v>0</v>
          </cell>
          <cell r="Y497">
            <v>0</v>
          </cell>
          <cell r="Z497">
            <v>0</v>
          </cell>
        </row>
        <row r="498">
          <cell r="A498" t="str">
            <v>TLY08</v>
          </cell>
          <cell r="B498" t="str">
            <v>Đặng Thị</v>
          </cell>
          <cell r="C498" t="str">
            <v>Vân</v>
          </cell>
          <cell r="D498">
            <v>1</v>
          </cell>
          <cell r="E498">
            <v>4.5</v>
          </cell>
          <cell r="F498">
            <v>32</v>
          </cell>
          <cell r="G498">
            <v>47.3</v>
          </cell>
          <cell r="H498">
            <v>0</v>
          </cell>
          <cell r="I498">
            <v>4.5</v>
          </cell>
          <cell r="J498">
            <v>1.8</v>
          </cell>
          <cell r="K498">
            <v>0</v>
          </cell>
          <cell r="L498">
            <v>0</v>
          </cell>
          <cell r="M498">
            <v>41</v>
          </cell>
          <cell r="N498">
            <v>0</v>
          </cell>
          <cell r="O498">
            <v>0</v>
          </cell>
          <cell r="P498">
            <v>0</v>
          </cell>
          <cell r="Q498">
            <v>0</v>
          </cell>
          <cell r="R498">
            <v>0</v>
          </cell>
          <cell r="S498">
            <v>0</v>
          </cell>
          <cell r="T498">
            <v>0</v>
          </cell>
          <cell r="U498">
            <v>0</v>
          </cell>
          <cell r="V498">
            <v>0</v>
          </cell>
          <cell r="W498">
            <v>0</v>
          </cell>
          <cell r="X498">
            <v>0</v>
          </cell>
          <cell r="Y498">
            <v>0</v>
          </cell>
          <cell r="Z498">
            <v>0</v>
          </cell>
        </row>
        <row r="499">
          <cell r="A499" t="str">
            <v>TLY09</v>
          </cell>
          <cell r="B499" t="str">
            <v>Trần Thị Thanh</v>
          </cell>
          <cell r="C499" t="str">
            <v>Tâm</v>
          </cell>
          <cell r="D499">
            <v>1</v>
          </cell>
          <cell r="E499">
            <v>5.3</v>
          </cell>
          <cell r="F499">
            <v>64</v>
          </cell>
          <cell r="G499">
            <v>71.599999999999994</v>
          </cell>
          <cell r="H499">
            <v>0</v>
          </cell>
          <cell r="I499">
            <v>8.3000000000000007</v>
          </cell>
          <cell r="J499">
            <v>3.3</v>
          </cell>
          <cell r="K499">
            <v>0</v>
          </cell>
          <cell r="L499">
            <v>0</v>
          </cell>
          <cell r="M499">
            <v>60</v>
          </cell>
          <cell r="N499">
            <v>0</v>
          </cell>
          <cell r="O499">
            <v>0</v>
          </cell>
          <cell r="P499">
            <v>0</v>
          </cell>
          <cell r="Q499">
            <v>0</v>
          </cell>
          <cell r="R499">
            <v>0</v>
          </cell>
          <cell r="S499">
            <v>0</v>
          </cell>
          <cell r="T499">
            <v>0</v>
          </cell>
          <cell r="U499">
            <v>0</v>
          </cell>
          <cell r="V499">
            <v>0</v>
          </cell>
          <cell r="W499">
            <v>0</v>
          </cell>
          <cell r="X499">
            <v>0</v>
          </cell>
          <cell r="Y499">
            <v>0</v>
          </cell>
          <cell r="Z499">
            <v>0</v>
          </cell>
        </row>
        <row r="500">
          <cell r="A500" t="str">
            <v>TLY10</v>
          </cell>
          <cell r="B500" t="str">
            <v>Lý Thanh</v>
          </cell>
          <cell r="C500" t="str">
            <v>Hiền</v>
          </cell>
          <cell r="D500">
            <v>1</v>
          </cell>
          <cell r="E500">
            <v>6.3</v>
          </cell>
          <cell r="F500">
            <v>64</v>
          </cell>
          <cell r="G500">
            <v>77.599999999999994</v>
          </cell>
          <cell r="H500">
            <v>0</v>
          </cell>
          <cell r="I500">
            <v>12.6</v>
          </cell>
          <cell r="J500">
            <v>5</v>
          </cell>
          <cell r="K500">
            <v>0</v>
          </cell>
          <cell r="L500">
            <v>0</v>
          </cell>
          <cell r="M500">
            <v>60</v>
          </cell>
          <cell r="N500">
            <v>0</v>
          </cell>
          <cell r="O500">
            <v>0</v>
          </cell>
          <cell r="P500">
            <v>0</v>
          </cell>
          <cell r="Q500">
            <v>0</v>
          </cell>
          <cell r="R500">
            <v>0</v>
          </cell>
          <cell r="S500">
            <v>0</v>
          </cell>
          <cell r="T500">
            <v>0</v>
          </cell>
          <cell r="U500">
            <v>0</v>
          </cell>
          <cell r="V500">
            <v>0</v>
          </cell>
          <cell r="W500">
            <v>0</v>
          </cell>
          <cell r="X500">
            <v>0</v>
          </cell>
          <cell r="Y500">
            <v>0</v>
          </cell>
          <cell r="Z500">
            <v>0</v>
          </cell>
        </row>
        <row r="501">
          <cell r="A501" t="str">
            <v>TNN01</v>
          </cell>
          <cell r="B501" t="str">
            <v>Nguyễn Văn</v>
          </cell>
          <cell r="C501" t="str">
            <v>Dung</v>
          </cell>
          <cell r="D501">
            <v>45</v>
          </cell>
          <cell r="E501">
            <v>45</v>
          </cell>
          <cell r="F501">
            <v>492</v>
          </cell>
          <cell r="G501">
            <v>640.79999999999995</v>
          </cell>
          <cell r="H501">
            <v>0</v>
          </cell>
          <cell r="I501">
            <v>17.3</v>
          </cell>
          <cell r="J501">
            <v>6.9</v>
          </cell>
          <cell r="K501">
            <v>0</v>
          </cell>
          <cell r="L501">
            <v>0</v>
          </cell>
          <cell r="M501">
            <v>82</v>
          </cell>
          <cell r="N501">
            <v>0</v>
          </cell>
          <cell r="O501">
            <v>60</v>
          </cell>
          <cell r="P501">
            <v>0</v>
          </cell>
          <cell r="Q501">
            <v>0</v>
          </cell>
          <cell r="R501">
            <v>0</v>
          </cell>
          <cell r="S501">
            <v>0</v>
          </cell>
          <cell r="T501">
            <v>153</v>
          </cell>
          <cell r="U501">
            <v>4.7</v>
          </cell>
          <cell r="V501">
            <v>0</v>
          </cell>
          <cell r="W501">
            <v>1.9</v>
          </cell>
          <cell r="X501">
            <v>160</v>
          </cell>
          <cell r="Y501">
            <v>135</v>
          </cell>
          <cell r="Z501">
            <v>20</v>
          </cell>
        </row>
        <row r="502">
          <cell r="A502" t="str">
            <v>TNN02</v>
          </cell>
          <cell r="B502" t="str">
            <v>Ngô Thanh</v>
          </cell>
          <cell r="C502" t="str">
            <v>Sơn</v>
          </cell>
          <cell r="D502">
            <v>15</v>
          </cell>
          <cell r="E502">
            <v>15</v>
          </cell>
          <cell r="F502">
            <v>157</v>
          </cell>
          <cell r="G502">
            <v>188.8</v>
          </cell>
          <cell r="H502">
            <v>0</v>
          </cell>
          <cell r="I502">
            <v>13.1</v>
          </cell>
          <cell r="J502">
            <v>5.3</v>
          </cell>
          <cell r="K502">
            <v>0</v>
          </cell>
          <cell r="L502">
            <v>0</v>
          </cell>
          <cell r="M502">
            <v>53.4</v>
          </cell>
          <cell r="N502">
            <v>0</v>
          </cell>
          <cell r="O502">
            <v>72</v>
          </cell>
          <cell r="P502">
            <v>0</v>
          </cell>
          <cell r="Q502">
            <v>0</v>
          </cell>
          <cell r="R502">
            <v>45</v>
          </cell>
          <cell r="S502">
            <v>0</v>
          </cell>
          <cell r="T502">
            <v>0</v>
          </cell>
          <cell r="U502">
            <v>0</v>
          </cell>
          <cell r="V502">
            <v>0</v>
          </cell>
          <cell r="W502">
            <v>0</v>
          </cell>
          <cell r="X502">
            <v>0</v>
          </cell>
          <cell r="Y502">
            <v>0</v>
          </cell>
          <cell r="Z502">
            <v>0</v>
          </cell>
        </row>
        <row r="503">
          <cell r="A503" t="str">
            <v>TNN03</v>
          </cell>
          <cell r="B503" t="str">
            <v>Nguyễn Thị</v>
          </cell>
          <cell r="C503" t="str">
            <v>Giang</v>
          </cell>
          <cell r="D503">
            <v>20</v>
          </cell>
          <cell r="E503">
            <v>20</v>
          </cell>
          <cell r="F503">
            <v>92</v>
          </cell>
          <cell r="G503">
            <v>92</v>
          </cell>
          <cell r="H503">
            <v>0</v>
          </cell>
          <cell r="I503">
            <v>2.8</v>
          </cell>
          <cell r="J503">
            <v>1.2</v>
          </cell>
          <cell r="K503">
            <v>0</v>
          </cell>
          <cell r="L503">
            <v>0</v>
          </cell>
          <cell r="M503">
            <v>44</v>
          </cell>
          <cell r="N503">
            <v>0</v>
          </cell>
          <cell r="O503">
            <v>24</v>
          </cell>
          <cell r="P503">
            <v>0</v>
          </cell>
          <cell r="Q503">
            <v>0</v>
          </cell>
          <cell r="R503">
            <v>0</v>
          </cell>
          <cell r="S503">
            <v>20</v>
          </cell>
          <cell r="T503">
            <v>0</v>
          </cell>
          <cell r="U503">
            <v>0</v>
          </cell>
          <cell r="V503">
            <v>0</v>
          </cell>
          <cell r="W503">
            <v>0</v>
          </cell>
          <cell r="X503">
            <v>0</v>
          </cell>
          <cell r="Y503">
            <v>0</v>
          </cell>
          <cell r="Z503">
            <v>0</v>
          </cell>
        </row>
        <row r="504">
          <cell r="A504" t="str">
            <v>TNN05</v>
          </cell>
          <cell r="B504" t="str">
            <v>Ngô Thị</v>
          </cell>
          <cell r="C504" t="str">
            <v>Dung</v>
          </cell>
          <cell r="D504">
            <v>15</v>
          </cell>
          <cell r="E504">
            <v>15</v>
          </cell>
          <cell r="F504">
            <v>94</v>
          </cell>
          <cell r="G504">
            <v>92</v>
          </cell>
          <cell r="H504">
            <v>0</v>
          </cell>
          <cell r="I504">
            <v>1.4</v>
          </cell>
          <cell r="J504">
            <v>0.6</v>
          </cell>
          <cell r="K504">
            <v>0</v>
          </cell>
          <cell r="L504">
            <v>0</v>
          </cell>
          <cell r="M504">
            <v>67</v>
          </cell>
          <cell r="N504">
            <v>0</v>
          </cell>
          <cell r="O504">
            <v>8</v>
          </cell>
          <cell r="P504">
            <v>0</v>
          </cell>
          <cell r="Q504">
            <v>0</v>
          </cell>
          <cell r="R504">
            <v>15</v>
          </cell>
          <cell r="S504">
            <v>0</v>
          </cell>
          <cell r="T504">
            <v>0</v>
          </cell>
          <cell r="U504">
            <v>0</v>
          </cell>
          <cell r="V504">
            <v>0</v>
          </cell>
          <cell r="W504">
            <v>0</v>
          </cell>
          <cell r="X504">
            <v>0</v>
          </cell>
          <cell r="Y504">
            <v>0</v>
          </cell>
          <cell r="Z504">
            <v>0</v>
          </cell>
        </row>
        <row r="505">
          <cell r="A505" t="str">
            <v>TNN06</v>
          </cell>
          <cell r="B505" t="str">
            <v>Nguyễn Duy</v>
          </cell>
          <cell r="C505" t="str">
            <v>Bình</v>
          </cell>
          <cell r="D505">
            <v>40</v>
          </cell>
          <cell r="E505">
            <v>40</v>
          </cell>
          <cell r="F505">
            <v>175</v>
          </cell>
          <cell r="G505">
            <v>204.5</v>
          </cell>
          <cell r="H505">
            <v>0</v>
          </cell>
          <cell r="I505">
            <v>19</v>
          </cell>
          <cell r="J505">
            <v>7.7</v>
          </cell>
          <cell r="K505">
            <v>0</v>
          </cell>
          <cell r="L505">
            <v>0</v>
          </cell>
          <cell r="M505">
            <v>97.8</v>
          </cell>
          <cell r="N505">
            <v>0</v>
          </cell>
          <cell r="O505">
            <v>0</v>
          </cell>
          <cell r="P505">
            <v>0</v>
          </cell>
          <cell r="Q505">
            <v>0</v>
          </cell>
          <cell r="R505">
            <v>0</v>
          </cell>
          <cell r="S505">
            <v>0</v>
          </cell>
          <cell r="T505">
            <v>0</v>
          </cell>
          <cell r="U505">
            <v>0</v>
          </cell>
          <cell r="V505">
            <v>0</v>
          </cell>
          <cell r="W505">
            <v>0</v>
          </cell>
          <cell r="X505">
            <v>80</v>
          </cell>
          <cell r="Y505">
            <v>0</v>
          </cell>
          <cell r="Z505">
            <v>0</v>
          </cell>
        </row>
        <row r="506">
          <cell r="A506" t="str">
            <v>TNN09</v>
          </cell>
          <cell r="B506" t="str">
            <v>Hoàng Thái</v>
          </cell>
          <cell r="C506" t="str">
            <v>Đại</v>
          </cell>
          <cell r="D506">
            <v>45</v>
          </cell>
          <cell r="E506">
            <v>45</v>
          </cell>
          <cell r="F506">
            <v>90</v>
          </cell>
          <cell r="G506">
            <v>90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90</v>
          </cell>
          <cell r="Z506">
            <v>0</v>
          </cell>
        </row>
        <row r="507">
          <cell r="A507" t="str">
            <v>TNN10</v>
          </cell>
          <cell r="B507" t="str">
            <v>Vũ Thị</v>
          </cell>
          <cell r="C507" t="str">
            <v>Xuân</v>
          </cell>
          <cell r="D507">
            <v>20</v>
          </cell>
          <cell r="E507">
            <v>20</v>
          </cell>
          <cell r="F507">
            <v>191</v>
          </cell>
          <cell r="G507">
            <v>232.7</v>
          </cell>
          <cell r="H507">
            <v>0</v>
          </cell>
          <cell r="I507">
            <v>21.9</v>
          </cell>
          <cell r="J507">
            <v>8.8000000000000007</v>
          </cell>
          <cell r="K507">
            <v>0</v>
          </cell>
          <cell r="L507">
            <v>0</v>
          </cell>
          <cell r="M507">
            <v>55</v>
          </cell>
          <cell r="N507">
            <v>0</v>
          </cell>
          <cell r="O507">
            <v>92</v>
          </cell>
          <cell r="P507">
            <v>0</v>
          </cell>
          <cell r="Q507">
            <v>0</v>
          </cell>
          <cell r="R507">
            <v>15</v>
          </cell>
          <cell r="S507">
            <v>40</v>
          </cell>
          <cell r="T507">
            <v>0</v>
          </cell>
          <cell r="U507">
            <v>0</v>
          </cell>
          <cell r="V507">
            <v>0</v>
          </cell>
          <cell r="W507">
            <v>0</v>
          </cell>
          <cell r="X507">
            <v>0</v>
          </cell>
          <cell r="Y507">
            <v>0</v>
          </cell>
          <cell r="Z507">
            <v>0</v>
          </cell>
        </row>
        <row r="508">
          <cell r="A508" t="str">
            <v>TOA02</v>
          </cell>
          <cell r="B508" t="str">
            <v>Nguyễn Văn</v>
          </cell>
          <cell r="C508" t="str">
            <v>Hạnh</v>
          </cell>
          <cell r="D508">
            <v>1</v>
          </cell>
          <cell r="E508">
            <v>12</v>
          </cell>
          <cell r="F508">
            <v>156</v>
          </cell>
          <cell r="G508">
            <v>319.60000000000002</v>
          </cell>
          <cell r="H508">
            <v>0</v>
          </cell>
          <cell r="I508">
            <v>26.5</v>
          </cell>
          <cell r="J508">
            <v>10.6</v>
          </cell>
          <cell r="K508">
            <v>0</v>
          </cell>
          <cell r="L508">
            <v>0</v>
          </cell>
          <cell r="M508">
            <v>252.5</v>
          </cell>
          <cell r="N508">
            <v>0</v>
          </cell>
          <cell r="O508">
            <v>30</v>
          </cell>
          <cell r="P508">
            <v>0</v>
          </cell>
          <cell r="Q508">
            <v>0</v>
          </cell>
          <cell r="R508">
            <v>0</v>
          </cell>
          <cell r="S508">
            <v>0</v>
          </cell>
          <cell r="T508">
            <v>0</v>
          </cell>
          <cell r="U508">
            <v>0</v>
          </cell>
          <cell r="V508">
            <v>0</v>
          </cell>
          <cell r="W508">
            <v>0</v>
          </cell>
          <cell r="X508">
            <v>0</v>
          </cell>
          <cell r="Y508">
            <v>0</v>
          </cell>
          <cell r="Z508">
            <v>0</v>
          </cell>
        </row>
        <row r="509">
          <cell r="A509" t="str">
            <v>TOA04</v>
          </cell>
          <cell r="B509" t="str">
            <v>Vũ Thu</v>
          </cell>
          <cell r="C509" t="str">
            <v>Giang</v>
          </cell>
          <cell r="D509">
            <v>1</v>
          </cell>
          <cell r="E509">
            <v>8.3000000000000007</v>
          </cell>
          <cell r="F509">
            <v>158</v>
          </cell>
          <cell r="G509">
            <v>258.39999999999998</v>
          </cell>
          <cell r="H509">
            <v>0</v>
          </cell>
          <cell r="I509">
            <v>34.6</v>
          </cell>
          <cell r="J509">
            <v>13.8</v>
          </cell>
          <cell r="K509">
            <v>0</v>
          </cell>
          <cell r="L509">
            <v>0</v>
          </cell>
          <cell r="M509">
            <v>210</v>
          </cell>
          <cell r="N509">
            <v>0</v>
          </cell>
          <cell r="O509">
            <v>0</v>
          </cell>
          <cell r="P509">
            <v>0</v>
          </cell>
          <cell r="Q509">
            <v>0</v>
          </cell>
          <cell r="R509">
            <v>0</v>
          </cell>
          <cell r="S509">
            <v>0</v>
          </cell>
          <cell r="T509">
            <v>0</v>
          </cell>
          <cell r="U509">
            <v>0</v>
          </cell>
          <cell r="V509">
            <v>0</v>
          </cell>
          <cell r="W509">
            <v>0</v>
          </cell>
          <cell r="X509">
            <v>0</v>
          </cell>
          <cell r="Y509">
            <v>0</v>
          </cell>
          <cell r="Z509">
            <v>0</v>
          </cell>
        </row>
        <row r="510">
          <cell r="A510" t="str">
            <v>TOA05</v>
          </cell>
          <cell r="B510" t="str">
            <v>Phạm Việt</v>
          </cell>
          <cell r="C510" t="str">
            <v>Nga</v>
          </cell>
          <cell r="D510">
            <v>1</v>
          </cell>
          <cell r="E510">
            <v>12.1</v>
          </cell>
          <cell r="F510">
            <v>141</v>
          </cell>
          <cell r="G510">
            <v>208.1</v>
          </cell>
          <cell r="H510">
            <v>0</v>
          </cell>
          <cell r="I510">
            <v>26.4</v>
          </cell>
          <cell r="J510">
            <v>10.7</v>
          </cell>
          <cell r="K510">
            <v>0</v>
          </cell>
          <cell r="L510">
            <v>0</v>
          </cell>
          <cell r="M510">
            <v>171</v>
          </cell>
          <cell r="N510">
            <v>0</v>
          </cell>
          <cell r="O510">
            <v>0</v>
          </cell>
          <cell r="P510">
            <v>0</v>
          </cell>
          <cell r="Q510">
            <v>0</v>
          </cell>
          <cell r="R510">
            <v>0</v>
          </cell>
          <cell r="S510">
            <v>0</v>
          </cell>
          <cell r="T510">
            <v>0</v>
          </cell>
          <cell r="U510">
            <v>0</v>
          </cell>
          <cell r="V510">
            <v>0</v>
          </cell>
          <cell r="W510">
            <v>0</v>
          </cell>
          <cell r="X510">
            <v>0</v>
          </cell>
          <cell r="Y510">
            <v>0</v>
          </cell>
          <cell r="Z510">
            <v>0</v>
          </cell>
        </row>
        <row r="511">
          <cell r="A511" t="str">
            <v>TOA06</v>
          </cell>
          <cell r="B511" t="str">
            <v>Phan Quang</v>
          </cell>
          <cell r="C511" t="str">
            <v>Sáng</v>
          </cell>
          <cell r="D511">
            <v>1</v>
          </cell>
          <cell r="E511">
            <v>5.8</v>
          </cell>
          <cell r="F511">
            <v>188</v>
          </cell>
          <cell r="G511">
            <v>291.2</v>
          </cell>
          <cell r="H511">
            <v>0</v>
          </cell>
          <cell r="I511">
            <v>33.5</v>
          </cell>
          <cell r="J511">
            <v>13.4</v>
          </cell>
          <cell r="K511">
            <v>0</v>
          </cell>
          <cell r="L511">
            <v>0</v>
          </cell>
          <cell r="M511">
            <v>244.3</v>
          </cell>
          <cell r="N511">
            <v>0</v>
          </cell>
          <cell r="O511">
            <v>0</v>
          </cell>
          <cell r="P511">
            <v>0</v>
          </cell>
          <cell r="Q511">
            <v>0</v>
          </cell>
          <cell r="R511">
            <v>0</v>
          </cell>
          <cell r="S511">
            <v>0</v>
          </cell>
          <cell r="T511">
            <v>0</v>
          </cell>
          <cell r="U511">
            <v>0</v>
          </cell>
          <cell r="V511">
            <v>0</v>
          </cell>
          <cell r="W511">
            <v>0</v>
          </cell>
          <cell r="X511">
            <v>0</v>
          </cell>
          <cell r="Y511">
            <v>0</v>
          </cell>
          <cell r="Z511">
            <v>0</v>
          </cell>
        </row>
        <row r="512">
          <cell r="A512" t="str">
            <v>TOA07</v>
          </cell>
          <cell r="B512" t="str">
            <v>Lê Thị Diệu</v>
          </cell>
          <cell r="C512" t="str">
            <v>Thùy</v>
          </cell>
          <cell r="D512">
            <v>1</v>
          </cell>
          <cell r="E512">
            <v>9.9</v>
          </cell>
          <cell r="F512">
            <v>220</v>
          </cell>
          <cell r="G512">
            <v>364.7</v>
          </cell>
          <cell r="H512">
            <v>0</v>
          </cell>
          <cell r="I512">
            <v>55.1</v>
          </cell>
          <cell r="J512">
            <v>22.2</v>
          </cell>
          <cell r="K512">
            <v>0</v>
          </cell>
          <cell r="L512">
            <v>0</v>
          </cell>
          <cell r="M512">
            <v>287.39999999999998</v>
          </cell>
          <cell r="N512">
            <v>0</v>
          </cell>
          <cell r="O512">
            <v>0</v>
          </cell>
          <cell r="P512">
            <v>0</v>
          </cell>
          <cell r="Q512">
            <v>0</v>
          </cell>
          <cell r="R512">
            <v>0</v>
          </cell>
          <cell r="S512">
            <v>0</v>
          </cell>
          <cell r="T512">
            <v>0</v>
          </cell>
          <cell r="U512">
            <v>0</v>
          </cell>
          <cell r="V512">
            <v>0</v>
          </cell>
          <cell r="W512">
            <v>0</v>
          </cell>
          <cell r="X512">
            <v>0</v>
          </cell>
          <cell r="Y512">
            <v>0</v>
          </cell>
          <cell r="Z512">
            <v>0</v>
          </cell>
        </row>
        <row r="513">
          <cell r="A513" t="str">
            <v>TOA16</v>
          </cell>
          <cell r="B513" t="str">
            <v>Nguyễn Thủy</v>
          </cell>
          <cell r="C513" t="str">
            <v>Hằng</v>
          </cell>
          <cell r="D513">
            <v>1</v>
          </cell>
          <cell r="E513">
            <v>8.8000000000000007</v>
          </cell>
          <cell r="F513">
            <v>220</v>
          </cell>
          <cell r="G513">
            <v>325.5</v>
          </cell>
          <cell r="H513">
            <v>0</v>
          </cell>
          <cell r="I513">
            <v>47.1</v>
          </cell>
          <cell r="J513">
            <v>18.899999999999999</v>
          </cell>
          <cell r="K513">
            <v>0</v>
          </cell>
          <cell r="L513">
            <v>0</v>
          </cell>
          <cell r="M513">
            <v>259.5</v>
          </cell>
          <cell r="N513">
            <v>0</v>
          </cell>
          <cell r="O513">
            <v>0</v>
          </cell>
          <cell r="P513">
            <v>0</v>
          </cell>
          <cell r="Q513">
            <v>0</v>
          </cell>
          <cell r="R513">
            <v>0</v>
          </cell>
          <cell r="S513">
            <v>0</v>
          </cell>
          <cell r="T513">
            <v>0</v>
          </cell>
          <cell r="U513">
            <v>0</v>
          </cell>
          <cell r="V513">
            <v>0</v>
          </cell>
          <cell r="W513">
            <v>0</v>
          </cell>
          <cell r="X513">
            <v>0</v>
          </cell>
          <cell r="Y513">
            <v>0</v>
          </cell>
          <cell r="Z513">
            <v>0</v>
          </cell>
        </row>
        <row r="514">
          <cell r="A514" t="str">
            <v>TOA17</v>
          </cell>
          <cell r="B514" t="str">
            <v>Đỗ Thị</v>
          </cell>
          <cell r="C514" t="str">
            <v>Huệ</v>
          </cell>
          <cell r="D514">
            <v>1</v>
          </cell>
          <cell r="E514">
            <v>12</v>
          </cell>
          <cell r="F514">
            <v>188</v>
          </cell>
          <cell r="G514">
            <v>322</v>
          </cell>
          <cell r="H514">
            <v>0</v>
          </cell>
          <cell r="I514">
            <v>43</v>
          </cell>
          <cell r="J514">
            <v>17.3</v>
          </cell>
          <cell r="K514">
            <v>0</v>
          </cell>
          <cell r="L514">
            <v>0</v>
          </cell>
          <cell r="M514">
            <v>261.7</v>
          </cell>
          <cell r="N514">
            <v>0</v>
          </cell>
          <cell r="O514">
            <v>0</v>
          </cell>
          <cell r="P514">
            <v>0</v>
          </cell>
          <cell r="Q514">
            <v>0</v>
          </cell>
          <cell r="R514">
            <v>0</v>
          </cell>
          <cell r="S514">
            <v>0</v>
          </cell>
          <cell r="T514">
            <v>0</v>
          </cell>
          <cell r="U514">
            <v>0</v>
          </cell>
          <cell r="V514">
            <v>0</v>
          </cell>
          <cell r="W514">
            <v>0</v>
          </cell>
          <cell r="X514">
            <v>0</v>
          </cell>
          <cell r="Y514">
            <v>0</v>
          </cell>
          <cell r="Z514">
            <v>0</v>
          </cell>
        </row>
        <row r="515">
          <cell r="A515" t="str">
            <v>TOA19</v>
          </cell>
          <cell r="B515" t="str">
            <v>Nguyễn Thị Bích</v>
          </cell>
          <cell r="C515" t="str">
            <v>Thủy</v>
          </cell>
          <cell r="D515">
            <v>1</v>
          </cell>
          <cell r="E515">
            <v>7.8</v>
          </cell>
          <cell r="F515">
            <v>252</v>
          </cell>
          <cell r="G515">
            <v>403.3</v>
          </cell>
          <cell r="H515">
            <v>0</v>
          </cell>
          <cell r="I515">
            <v>51.2</v>
          </cell>
          <cell r="J515">
            <v>20.5</v>
          </cell>
          <cell r="K515">
            <v>0</v>
          </cell>
          <cell r="L515">
            <v>0</v>
          </cell>
          <cell r="M515">
            <v>331.6</v>
          </cell>
          <cell r="N515">
            <v>0</v>
          </cell>
          <cell r="O515">
            <v>0</v>
          </cell>
          <cell r="P515">
            <v>0</v>
          </cell>
          <cell r="Q515">
            <v>0</v>
          </cell>
          <cell r="R515">
            <v>0</v>
          </cell>
          <cell r="S515">
            <v>0</v>
          </cell>
          <cell r="T515">
            <v>0</v>
          </cell>
          <cell r="U515">
            <v>0</v>
          </cell>
          <cell r="V515">
            <v>0</v>
          </cell>
          <cell r="W515">
            <v>0</v>
          </cell>
          <cell r="X515">
            <v>0</v>
          </cell>
          <cell r="Y515">
            <v>0</v>
          </cell>
          <cell r="Z515">
            <v>0</v>
          </cell>
        </row>
        <row r="516">
          <cell r="A516" t="str">
            <v>TOA21</v>
          </cell>
          <cell r="B516" t="str">
            <v>Nguyễn Hà</v>
          </cell>
          <cell r="C516" t="str">
            <v>Thanh</v>
          </cell>
          <cell r="D516">
            <v>1</v>
          </cell>
          <cell r="E516">
            <v>3</v>
          </cell>
          <cell r="F516">
            <v>252</v>
          </cell>
          <cell r="G516">
            <v>373.5</v>
          </cell>
          <cell r="H516">
            <v>0</v>
          </cell>
          <cell r="I516">
            <v>57.6</v>
          </cell>
          <cell r="J516">
            <v>23</v>
          </cell>
          <cell r="K516">
            <v>0</v>
          </cell>
          <cell r="L516">
            <v>0</v>
          </cell>
          <cell r="M516">
            <v>284.89999999999998</v>
          </cell>
          <cell r="N516">
            <v>0</v>
          </cell>
          <cell r="O516">
            <v>8</v>
          </cell>
          <cell r="P516">
            <v>0</v>
          </cell>
          <cell r="Q516">
            <v>0</v>
          </cell>
          <cell r="R516">
            <v>0</v>
          </cell>
          <cell r="S516">
            <v>0</v>
          </cell>
          <cell r="T516">
            <v>0</v>
          </cell>
          <cell r="U516">
            <v>0</v>
          </cell>
          <cell r="V516">
            <v>0</v>
          </cell>
          <cell r="W516">
            <v>0</v>
          </cell>
          <cell r="X516">
            <v>0</v>
          </cell>
          <cell r="Y516">
            <v>0</v>
          </cell>
          <cell r="Z516">
            <v>0</v>
          </cell>
        </row>
        <row r="517">
          <cell r="A517" t="str">
            <v>TOA26</v>
          </cell>
          <cell r="B517" t="str">
            <v>Nguyễn Thị</v>
          </cell>
          <cell r="C517" t="str">
            <v>Huyền B</v>
          </cell>
          <cell r="D517">
            <v>1</v>
          </cell>
          <cell r="E517">
            <v>5.6</v>
          </cell>
          <cell r="F517">
            <v>314</v>
          </cell>
          <cell r="G517">
            <v>468.4</v>
          </cell>
          <cell r="H517">
            <v>0</v>
          </cell>
          <cell r="I517">
            <v>65.599999999999994</v>
          </cell>
          <cell r="J517">
            <v>26.3</v>
          </cell>
          <cell r="K517">
            <v>0</v>
          </cell>
          <cell r="L517">
            <v>0</v>
          </cell>
          <cell r="M517">
            <v>376.5</v>
          </cell>
          <cell r="N517">
            <v>0</v>
          </cell>
          <cell r="O517">
            <v>0</v>
          </cell>
          <cell r="P517">
            <v>0</v>
          </cell>
          <cell r="Q517">
            <v>0</v>
          </cell>
          <cell r="R517">
            <v>0</v>
          </cell>
          <cell r="S517">
            <v>0</v>
          </cell>
          <cell r="T517">
            <v>0</v>
          </cell>
          <cell r="U517">
            <v>0</v>
          </cell>
          <cell r="V517">
            <v>0</v>
          </cell>
          <cell r="W517">
            <v>0</v>
          </cell>
          <cell r="X517">
            <v>0</v>
          </cell>
          <cell r="Y517">
            <v>0</v>
          </cell>
          <cell r="Z517">
            <v>0</v>
          </cell>
        </row>
        <row r="518">
          <cell r="A518" t="str">
            <v>TOA27</v>
          </cell>
          <cell r="B518" t="str">
            <v>Nguyễn Hữu</v>
          </cell>
          <cell r="C518" t="str">
            <v>Hải</v>
          </cell>
          <cell r="D518">
            <v>1</v>
          </cell>
          <cell r="E518">
            <v>8.5</v>
          </cell>
          <cell r="F518">
            <v>94</v>
          </cell>
          <cell r="G518">
            <v>138.69999999999999</v>
          </cell>
          <cell r="H518">
            <v>0</v>
          </cell>
          <cell r="I518">
            <v>21</v>
          </cell>
          <cell r="J518">
            <v>8.4</v>
          </cell>
          <cell r="K518">
            <v>0</v>
          </cell>
          <cell r="L518">
            <v>0</v>
          </cell>
          <cell r="M518">
            <v>109.3</v>
          </cell>
          <cell r="N518">
            <v>0</v>
          </cell>
          <cell r="O518">
            <v>0</v>
          </cell>
          <cell r="P518">
            <v>0</v>
          </cell>
          <cell r="Q518">
            <v>0</v>
          </cell>
          <cell r="R518">
            <v>0</v>
          </cell>
          <cell r="S518">
            <v>0</v>
          </cell>
          <cell r="T518">
            <v>0</v>
          </cell>
          <cell r="U518">
            <v>0</v>
          </cell>
          <cell r="V518">
            <v>0</v>
          </cell>
          <cell r="W518">
            <v>0</v>
          </cell>
          <cell r="X518">
            <v>0</v>
          </cell>
          <cell r="Y518">
            <v>0</v>
          </cell>
          <cell r="Z518">
            <v>0</v>
          </cell>
        </row>
        <row r="519">
          <cell r="A519" t="str">
            <v>TOA28</v>
          </cell>
          <cell r="B519" t="str">
            <v>Thân Ngọc</v>
          </cell>
          <cell r="C519" t="str">
            <v>Thành</v>
          </cell>
          <cell r="D519">
            <v>1</v>
          </cell>
          <cell r="E519">
            <v>9.4</v>
          </cell>
          <cell r="F519">
            <v>126</v>
          </cell>
          <cell r="G519">
            <v>178.7</v>
          </cell>
          <cell r="H519">
            <v>0</v>
          </cell>
          <cell r="I519">
            <v>29.8</v>
          </cell>
          <cell r="J519">
            <v>12</v>
          </cell>
          <cell r="K519">
            <v>0</v>
          </cell>
          <cell r="L519">
            <v>0</v>
          </cell>
          <cell r="M519">
            <v>136.9</v>
          </cell>
          <cell r="N519">
            <v>0</v>
          </cell>
          <cell r="O519">
            <v>0</v>
          </cell>
          <cell r="P519">
            <v>0</v>
          </cell>
          <cell r="Q519">
            <v>0</v>
          </cell>
          <cell r="R519">
            <v>0</v>
          </cell>
          <cell r="S519">
            <v>0</v>
          </cell>
          <cell r="T519">
            <v>0</v>
          </cell>
          <cell r="U519">
            <v>0</v>
          </cell>
          <cell r="V519">
            <v>0</v>
          </cell>
          <cell r="W519">
            <v>0</v>
          </cell>
          <cell r="X519">
            <v>0</v>
          </cell>
          <cell r="Y519">
            <v>0</v>
          </cell>
          <cell r="Z519">
            <v>0</v>
          </cell>
        </row>
        <row r="520">
          <cell r="A520" t="str">
            <v>TOA29</v>
          </cell>
          <cell r="B520" t="str">
            <v>Nguyễn Thùy</v>
          </cell>
          <cell r="C520" t="str">
            <v>Dung</v>
          </cell>
          <cell r="D520">
            <v>1</v>
          </cell>
          <cell r="E520">
            <v>9.4</v>
          </cell>
          <cell r="F520">
            <v>173</v>
          </cell>
          <cell r="G520">
            <v>238.5</v>
          </cell>
          <cell r="H520">
            <v>0</v>
          </cell>
          <cell r="I520">
            <v>34</v>
          </cell>
          <cell r="J520">
            <v>13.7</v>
          </cell>
          <cell r="K520">
            <v>0</v>
          </cell>
          <cell r="L520">
            <v>0</v>
          </cell>
          <cell r="M520">
            <v>190.8</v>
          </cell>
          <cell r="N520">
            <v>0</v>
          </cell>
          <cell r="O520">
            <v>0</v>
          </cell>
          <cell r="P520">
            <v>0</v>
          </cell>
          <cell r="Q520">
            <v>0</v>
          </cell>
          <cell r="R520">
            <v>0</v>
          </cell>
          <cell r="S520">
            <v>0</v>
          </cell>
          <cell r="T520">
            <v>0</v>
          </cell>
          <cell r="U520">
            <v>0</v>
          </cell>
          <cell r="V520">
            <v>0</v>
          </cell>
          <cell r="W520">
            <v>0</v>
          </cell>
          <cell r="X520">
            <v>0</v>
          </cell>
          <cell r="Y520">
            <v>0</v>
          </cell>
          <cell r="Z520">
            <v>0</v>
          </cell>
        </row>
        <row r="521">
          <cell r="A521" t="str">
            <v>TOT01</v>
          </cell>
          <cell r="B521" t="str">
            <v>Nguyễn Văn</v>
          </cell>
          <cell r="C521" t="str">
            <v>Định</v>
          </cell>
          <cell r="D521">
            <v>40</v>
          </cell>
          <cell r="E521">
            <v>40</v>
          </cell>
          <cell r="F521">
            <v>355.4</v>
          </cell>
          <cell r="G521">
            <v>432.6</v>
          </cell>
          <cell r="H521">
            <v>0</v>
          </cell>
          <cell r="I521">
            <v>40.4</v>
          </cell>
          <cell r="J521">
            <v>16.3</v>
          </cell>
          <cell r="K521">
            <v>32.4</v>
          </cell>
          <cell r="L521">
            <v>0</v>
          </cell>
          <cell r="M521">
            <v>231.5</v>
          </cell>
          <cell r="N521">
            <v>0</v>
          </cell>
          <cell r="O521">
            <v>32</v>
          </cell>
          <cell r="P521">
            <v>0</v>
          </cell>
          <cell r="Q521">
            <v>0</v>
          </cell>
          <cell r="R521">
            <v>0</v>
          </cell>
          <cell r="S521">
            <v>40</v>
          </cell>
          <cell r="T521">
            <v>0</v>
          </cell>
          <cell r="U521">
            <v>0</v>
          </cell>
          <cell r="V521">
            <v>0</v>
          </cell>
          <cell r="W521">
            <v>0</v>
          </cell>
          <cell r="X521">
            <v>40</v>
          </cell>
          <cell r="Y521">
            <v>0</v>
          </cell>
          <cell r="Z521">
            <v>0</v>
          </cell>
        </row>
        <row r="522">
          <cell r="A522" t="str">
            <v>TOT03</v>
          </cell>
          <cell r="B522" t="str">
            <v>Nguyễn Hoàng</v>
          </cell>
          <cell r="C522" t="str">
            <v>Huy</v>
          </cell>
          <cell r="D522">
            <v>40</v>
          </cell>
          <cell r="E522">
            <v>40</v>
          </cell>
          <cell r="F522">
            <v>221.2</v>
          </cell>
          <cell r="G522">
            <v>257.39999999999998</v>
          </cell>
          <cell r="H522">
            <v>0</v>
          </cell>
          <cell r="I522">
            <v>3.7</v>
          </cell>
          <cell r="J522">
            <v>1.5</v>
          </cell>
          <cell r="K522">
            <v>7.2</v>
          </cell>
          <cell r="L522">
            <v>0</v>
          </cell>
          <cell r="M522">
            <v>117</v>
          </cell>
          <cell r="N522">
            <v>0</v>
          </cell>
          <cell r="O522">
            <v>8</v>
          </cell>
          <cell r="P522">
            <v>0</v>
          </cell>
          <cell r="Q522">
            <v>0</v>
          </cell>
          <cell r="R522">
            <v>0</v>
          </cell>
          <cell r="S522">
            <v>40</v>
          </cell>
          <cell r="T522">
            <v>0</v>
          </cell>
          <cell r="U522">
            <v>0</v>
          </cell>
          <cell r="V522">
            <v>0</v>
          </cell>
          <cell r="W522">
            <v>0</v>
          </cell>
          <cell r="X522">
            <v>80</v>
          </cell>
          <cell r="Y522">
            <v>0</v>
          </cell>
          <cell r="Z522">
            <v>0</v>
          </cell>
        </row>
        <row r="523">
          <cell r="A523" t="str">
            <v>TOT04</v>
          </cell>
          <cell r="B523" t="str">
            <v>Trần Đức</v>
          </cell>
          <cell r="C523" t="str">
            <v>Quỳnh</v>
          </cell>
          <cell r="D523">
            <v>40</v>
          </cell>
          <cell r="E523">
            <v>40</v>
          </cell>
          <cell r="F523">
            <v>174</v>
          </cell>
          <cell r="G523">
            <v>191.7</v>
          </cell>
          <cell r="H523">
            <v>0</v>
          </cell>
          <cell r="I523">
            <v>15.5</v>
          </cell>
          <cell r="J523">
            <v>6.2</v>
          </cell>
          <cell r="K523">
            <v>0</v>
          </cell>
          <cell r="L523">
            <v>0</v>
          </cell>
          <cell r="M523">
            <v>90</v>
          </cell>
          <cell r="N523">
            <v>0</v>
          </cell>
          <cell r="O523">
            <v>0</v>
          </cell>
          <cell r="P523">
            <v>0</v>
          </cell>
          <cell r="Q523">
            <v>0</v>
          </cell>
          <cell r="R523">
            <v>0</v>
          </cell>
          <cell r="S523">
            <v>40</v>
          </cell>
          <cell r="T523">
            <v>0</v>
          </cell>
          <cell r="U523">
            <v>0</v>
          </cell>
          <cell r="V523">
            <v>0</v>
          </cell>
          <cell r="W523">
            <v>0</v>
          </cell>
          <cell r="X523">
            <v>40</v>
          </cell>
          <cell r="Y523">
            <v>0</v>
          </cell>
          <cell r="Z523">
            <v>0</v>
          </cell>
        </row>
        <row r="524">
          <cell r="A524" t="str">
            <v>TOT05</v>
          </cell>
          <cell r="B524" t="str">
            <v>Hoàng Thị Thanh</v>
          </cell>
          <cell r="C524" t="str">
            <v>Giang</v>
          </cell>
          <cell r="D524">
            <v>10.8</v>
          </cell>
          <cell r="E524">
            <v>10.8</v>
          </cell>
          <cell r="F524">
            <v>203.8</v>
          </cell>
          <cell r="G524">
            <v>274.60000000000002</v>
          </cell>
          <cell r="H524">
            <v>0</v>
          </cell>
          <cell r="I524">
            <v>34.200000000000003</v>
          </cell>
          <cell r="J524">
            <v>13.7</v>
          </cell>
          <cell r="K524">
            <v>10.8</v>
          </cell>
          <cell r="L524">
            <v>0</v>
          </cell>
          <cell r="M524">
            <v>195.9</v>
          </cell>
          <cell r="N524">
            <v>0</v>
          </cell>
          <cell r="O524">
            <v>0</v>
          </cell>
          <cell r="P524">
            <v>0</v>
          </cell>
          <cell r="Q524">
            <v>0</v>
          </cell>
          <cell r="R524">
            <v>0</v>
          </cell>
          <cell r="S524">
            <v>20</v>
          </cell>
          <cell r="T524">
            <v>0</v>
          </cell>
          <cell r="U524">
            <v>0</v>
          </cell>
          <cell r="V524">
            <v>0</v>
          </cell>
          <cell r="W524">
            <v>0</v>
          </cell>
          <cell r="X524">
            <v>0</v>
          </cell>
          <cell r="Y524">
            <v>0</v>
          </cell>
          <cell r="Z524">
            <v>0</v>
          </cell>
        </row>
        <row r="525">
          <cell r="A525" t="str">
            <v>TOT07</v>
          </cell>
          <cell r="B525" t="str">
            <v>Nguyễn Trọng</v>
          </cell>
          <cell r="C525" t="str">
            <v>Kương</v>
          </cell>
          <cell r="D525">
            <v>20</v>
          </cell>
          <cell r="E525">
            <v>20</v>
          </cell>
          <cell r="F525">
            <v>146</v>
          </cell>
          <cell r="G525">
            <v>199.6</v>
          </cell>
          <cell r="H525">
            <v>0</v>
          </cell>
          <cell r="I525">
            <v>22</v>
          </cell>
          <cell r="J525">
            <v>8.9</v>
          </cell>
          <cell r="K525">
            <v>0</v>
          </cell>
          <cell r="L525">
            <v>0</v>
          </cell>
          <cell r="M525">
            <v>148.69999999999999</v>
          </cell>
          <cell r="N525">
            <v>0</v>
          </cell>
          <cell r="O525">
            <v>0</v>
          </cell>
          <cell r="P525">
            <v>0</v>
          </cell>
          <cell r="Q525">
            <v>0</v>
          </cell>
          <cell r="R525">
            <v>0</v>
          </cell>
          <cell r="S525">
            <v>20</v>
          </cell>
          <cell r="T525">
            <v>0</v>
          </cell>
          <cell r="U525">
            <v>0</v>
          </cell>
          <cell r="V525">
            <v>0</v>
          </cell>
          <cell r="W525">
            <v>0</v>
          </cell>
          <cell r="X525">
            <v>0</v>
          </cell>
          <cell r="Y525">
            <v>0</v>
          </cell>
          <cell r="Z525">
            <v>0</v>
          </cell>
        </row>
        <row r="526">
          <cell r="A526" t="str">
            <v>TOT08</v>
          </cell>
          <cell r="B526" t="str">
            <v>Nguyễn Xuân</v>
          </cell>
          <cell r="C526" t="str">
            <v>Thảo</v>
          </cell>
          <cell r="D526">
            <v>7.2</v>
          </cell>
          <cell r="E526">
            <v>7.2</v>
          </cell>
          <cell r="F526">
            <v>302.2</v>
          </cell>
          <cell r="G526">
            <v>394.5</v>
          </cell>
          <cell r="H526">
            <v>0</v>
          </cell>
          <cell r="I526">
            <v>35.799999999999997</v>
          </cell>
          <cell r="J526">
            <v>14.4</v>
          </cell>
          <cell r="K526">
            <v>7.2</v>
          </cell>
          <cell r="L526">
            <v>0</v>
          </cell>
          <cell r="M526">
            <v>277.10000000000002</v>
          </cell>
          <cell r="N526">
            <v>0</v>
          </cell>
          <cell r="O526">
            <v>0</v>
          </cell>
          <cell r="P526">
            <v>0</v>
          </cell>
          <cell r="Q526">
            <v>0</v>
          </cell>
          <cell r="R526">
            <v>0</v>
          </cell>
          <cell r="S526">
            <v>60</v>
          </cell>
          <cell r="T526">
            <v>0</v>
          </cell>
          <cell r="U526">
            <v>0</v>
          </cell>
          <cell r="V526">
            <v>0</v>
          </cell>
          <cell r="W526">
            <v>0</v>
          </cell>
          <cell r="X526">
            <v>0</v>
          </cell>
          <cell r="Y526">
            <v>0</v>
          </cell>
          <cell r="Z526">
            <v>0</v>
          </cell>
        </row>
        <row r="527">
          <cell r="A527" t="str">
            <v>TOT09</v>
          </cell>
          <cell r="B527" t="str">
            <v>Ngọc Minh</v>
          </cell>
          <cell r="C527" t="str">
            <v>Châu</v>
          </cell>
          <cell r="D527">
            <v>1</v>
          </cell>
          <cell r="E527">
            <v>3.6</v>
          </cell>
          <cell r="F527">
            <v>282</v>
          </cell>
          <cell r="G527">
            <v>349.8</v>
          </cell>
          <cell r="H527">
            <v>0</v>
          </cell>
          <cell r="I527">
            <v>42.7</v>
          </cell>
          <cell r="J527">
            <v>17.2</v>
          </cell>
          <cell r="K527">
            <v>0</v>
          </cell>
          <cell r="L527">
            <v>0</v>
          </cell>
          <cell r="M527">
            <v>289.89999999999998</v>
          </cell>
          <cell r="N527">
            <v>0</v>
          </cell>
          <cell r="O527">
            <v>0</v>
          </cell>
          <cell r="P527">
            <v>0</v>
          </cell>
          <cell r="Q527">
            <v>0</v>
          </cell>
          <cell r="R527">
            <v>0</v>
          </cell>
          <cell r="S527">
            <v>0</v>
          </cell>
          <cell r="T527">
            <v>0</v>
          </cell>
          <cell r="U527">
            <v>0</v>
          </cell>
          <cell r="V527">
            <v>0</v>
          </cell>
          <cell r="W527">
            <v>0</v>
          </cell>
          <cell r="X527">
            <v>0</v>
          </cell>
          <cell r="Y527">
            <v>0</v>
          </cell>
          <cell r="Z527">
            <v>0</v>
          </cell>
        </row>
        <row r="528">
          <cell r="A528" t="str">
            <v>TOT10</v>
          </cell>
          <cell r="B528" t="str">
            <v>Nguyễn Thị</v>
          </cell>
          <cell r="C528" t="str">
            <v>Lan</v>
          </cell>
          <cell r="D528">
            <v>1</v>
          </cell>
          <cell r="E528">
            <v>8.5</v>
          </cell>
          <cell r="F528">
            <v>235</v>
          </cell>
          <cell r="G528">
            <v>321.8</v>
          </cell>
          <cell r="H528">
            <v>0</v>
          </cell>
          <cell r="I528">
            <v>47.7</v>
          </cell>
          <cell r="J528">
            <v>19.100000000000001</v>
          </cell>
          <cell r="K528">
            <v>0</v>
          </cell>
          <cell r="L528">
            <v>0</v>
          </cell>
          <cell r="M528">
            <v>255</v>
          </cell>
          <cell r="N528">
            <v>0</v>
          </cell>
          <cell r="O528">
            <v>0</v>
          </cell>
          <cell r="P528">
            <v>0</v>
          </cell>
          <cell r="Q528">
            <v>0</v>
          </cell>
          <cell r="R528">
            <v>0</v>
          </cell>
          <cell r="S528">
            <v>0</v>
          </cell>
          <cell r="T528">
            <v>0</v>
          </cell>
          <cell r="U528">
            <v>0</v>
          </cell>
          <cell r="V528">
            <v>0</v>
          </cell>
          <cell r="W528">
            <v>0</v>
          </cell>
          <cell r="X528">
            <v>0</v>
          </cell>
          <cell r="Y528">
            <v>0</v>
          </cell>
          <cell r="Z528">
            <v>0</v>
          </cell>
        </row>
        <row r="529">
          <cell r="A529" t="str">
            <v>TOT11</v>
          </cell>
          <cell r="B529" t="str">
            <v>Nguyễn Thị Thúy</v>
          </cell>
          <cell r="C529" t="str">
            <v>Hạnh</v>
          </cell>
          <cell r="D529">
            <v>1</v>
          </cell>
          <cell r="E529">
            <v>8.5</v>
          </cell>
          <cell r="F529">
            <v>235</v>
          </cell>
          <cell r="G529">
            <v>312.39999999999998</v>
          </cell>
          <cell r="H529">
            <v>0</v>
          </cell>
          <cell r="I529">
            <v>45.7</v>
          </cell>
          <cell r="J529">
            <v>18.399999999999999</v>
          </cell>
          <cell r="K529">
            <v>0</v>
          </cell>
          <cell r="L529">
            <v>0</v>
          </cell>
          <cell r="M529">
            <v>248.3</v>
          </cell>
          <cell r="N529">
            <v>0</v>
          </cell>
          <cell r="O529">
            <v>0</v>
          </cell>
          <cell r="P529">
            <v>0</v>
          </cell>
          <cell r="Q529">
            <v>0</v>
          </cell>
          <cell r="R529">
            <v>0</v>
          </cell>
          <cell r="S529">
            <v>0</v>
          </cell>
          <cell r="T529">
            <v>0</v>
          </cell>
          <cell r="U529">
            <v>0</v>
          </cell>
          <cell r="V529">
            <v>0</v>
          </cell>
          <cell r="W529">
            <v>0</v>
          </cell>
          <cell r="X529">
            <v>0</v>
          </cell>
          <cell r="Y529">
            <v>0</v>
          </cell>
          <cell r="Z529">
            <v>0</v>
          </cell>
        </row>
        <row r="530">
          <cell r="A530" t="str">
            <v>TPD01</v>
          </cell>
          <cell r="B530" t="str">
            <v>Trần Thị Lan</v>
          </cell>
          <cell r="C530" t="str">
            <v>Hương</v>
          </cell>
          <cell r="D530">
            <v>20</v>
          </cell>
          <cell r="E530">
            <v>20</v>
          </cell>
          <cell r="F530">
            <v>356</v>
          </cell>
          <cell r="G530">
            <v>441.3</v>
          </cell>
          <cell r="H530">
            <v>0</v>
          </cell>
          <cell r="I530">
            <v>35.9</v>
          </cell>
          <cell r="J530">
            <v>14.5</v>
          </cell>
          <cell r="K530">
            <v>0</v>
          </cell>
          <cell r="L530">
            <v>0</v>
          </cell>
          <cell r="M530">
            <v>154.9</v>
          </cell>
          <cell r="N530">
            <v>0</v>
          </cell>
          <cell r="O530">
            <v>96</v>
          </cell>
          <cell r="P530">
            <v>0</v>
          </cell>
          <cell r="Q530">
            <v>0</v>
          </cell>
          <cell r="R530">
            <v>0</v>
          </cell>
          <cell r="S530">
            <v>140</v>
          </cell>
          <cell r="T530">
            <v>0</v>
          </cell>
          <cell r="U530">
            <v>0</v>
          </cell>
          <cell r="V530">
            <v>0</v>
          </cell>
          <cell r="W530">
            <v>0</v>
          </cell>
          <cell r="X530">
            <v>0</v>
          </cell>
          <cell r="Y530">
            <v>0</v>
          </cell>
          <cell r="Z530">
            <v>0</v>
          </cell>
        </row>
        <row r="531">
          <cell r="A531" t="str">
            <v>TPD02</v>
          </cell>
          <cell r="B531" t="str">
            <v>Trần Thị</v>
          </cell>
          <cell r="C531" t="str">
            <v>Nhung</v>
          </cell>
          <cell r="D531">
            <v>20</v>
          </cell>
          <cell r="E531">
            <v>20</v>
          </cell>
          <cell r="F531">
            <v>352</v>
          </cell>
          <cell r="G531">
            <v>438.8</v>
          </cell>
          <cell r="H531">
            <v>0</v>
          </cell>
          <cell r="I531">
            <v>38.299999999999997</v>
          </cell>
          <cell r="J531">
            <v>15.4</v>
          </cell>
          <cell r="K531">
            <v>0</v>
          </cell>
          <cell r="L531">
            <v>0</v>
          </cell>
          <cell r="M531">
            <v>221.1</v>
          </cell>
          <cell r="N531">
            <v>0</v>
          </cell>
          <cell r="O531">
            <v>24</v>
          </cell>
          <cell r="P531">
            <v>0</v>
          </cell>
          <cell r="Q531">
            <v>0</v>
          </cell>
          <cell r="R531">
            <v>0</v>
          </cell>
          <cell r="S531">
            <v>140</v>
          </cell>
          <cell r="T531">
            <v>0</v>
          </cell>
          <cell r="U531">
            <v>0</v>
          </cell>
          <cell r="V531">
            <v>0</v>
          </cell>
          <cell r="W531">
            <v>0</v>
          </cell>
          <cell r="X531">
            <v>0</v>
          </cell>
          <cell r="Y531">
            <v>0</v>
          </cell>
          <cell r="Z531">
            <v>0</v>
          </cell>
        </row>
        <row r="532">
          <cell r="A532" t="str">
            <v>TPD06</v>
          </cell>
          <cell r="B532" t="str">
            <v>Nguyễn Thị Hoàng</v>
          </cell>
          <cell r="C532" t="str">
            <v>Lan</v>
          </cell>
          <cell r="D532">
            <v>20</v>
          </cell>
          <cell r="E532">
            <v>20</v>
          </cell>
          <cell r="F532">
            <v>226</v>
          </cell>
          <cell r="G532">
            <v>254.1</v>
          </cell>
          <cell r="H532">
            <v>0</v>
          </cell>
          <cell r="I532">
            <v>24.5</v>
          </cell>
          <cell r="J532">
            <v>10</v>
          </cell>
          <cell r="K532">
            <v>0</v>
          </cell>
          <cell r="L532">
            <v>0</v>
          </cell>
          <cell r="M532">
            <v>97.6</v>
          </cell>
          <cell r="N532">
            <v>0</v>
          </cell>
          <cell r="O532">
            <v>40</v>
          </cell>
          <cell r="P532">
            <v>0</v>
          </cell>
          <cell r="Q532">
            <v>0</v>
          </cell>
          <cell r="R532">
            <v>0</v>
          </cell>
          <cell r="S532">
            <v>82</v>
          </cell>
          <cell r="T532">
            <v>0</v>
          </cell>
          <cell r="U532">
            <v>0</v>
          </cell>
          <cell r="V532">
            <v>0</v>
          </cell>
          <cell r="W532">
            <v>0</v>
          </cell>
          <cell r="X532">
            <v>0</v>
          </cell>
          <cell r="Y532">
            <v>0</v>
          </cell>
          <cell r="Z532">
            <v>0</v>
          </cell>
        </row>
        <row r="533">
          <cell r="A533" t="str">
            <v>TTD01</v>
          </cell>
          <cell r="B533" t="str">
            <v>Trần Quốc</v>
          </cell>
          <cell r="C533" t="str">
            <v>Vinh</v>
          </cell>
          <cell r="D533">
            <v>20</v>
          </cell>
          <cell r="E533">
            <v>20</v>
          </cell>
          <cell r="F533">
            <v>457</v>
          </cell>
          <cell r="G533">
            <v>483.1</v>
          </cell>
          <cell r="H533">
            <v>0</v>
          </cell>
          <cell r="I533">
            <v>15.6</v>
          </cell>
          <cell r="J533">
            <v>2.5</v>
          </cell>
          <cell r="K533">
            <v>28</v>
          </cell>
          <cell r="L533">
            <v>0</v>
          </cell>
          <cell r="M533">
            <v>30</v>
          </cell>
          <cell r="N533">
            <v>0</v>
          </cell>
          <cell r="O533">
            <v>45</v>
          </cell>
          <cell r="P533">
            <v>0</v>
          </cell>
          <cell r="Q533">
            <v>0</v>
          </cell>
          <cell r="R533">
            <v>0</v>
          </cell>
          <cell r="S533">
            <v>20</v>
          </cell>
          <cell r="T533">
            <v>27</v>
          </cell>
          <cell r="U533">
            <v>2.1</v>
          </cell>
          <cell r="V533">
            <v>0</v>
          </cell>
          <cell r="W533">
            <v>0.9</v>
          </cell>
          <cell r="X533">
            <v>292</v>
          </cell>
          <cell r="Y533">
            <v>0</v>
          </cell>
          <cell r="Z533">
            <v>20</v>
          </cell>
        </row>
        <row r="534">
          <cell r="A534" t="str">
            <v>TTD02</v>
          </cell>
          <cell r="B534" t="str">
            <v>Đoàn Thanh</v>
          </cell>
          <cell r="C534" t="str">
            <v>Thủy</v>
          </cell>
          <cell r="D534">
            <v>28</v>
          </cell>
          <cell r="E534">
            <v>28</v>
          </cell>
          <cell r="F534">
            <v>60</v>
          </cell>
          <cell r="G534">
            <v>64.2</v>
          </cell>
          <cell r="H534">
            <v>0</v>
          </cell>
          <cell r="I534">
            <v>6.2</v>
          </cell>
          <cell r="J534">
            <v>0</v>
          </cell>
          <cell r="K534">
            <v>28</v>
          </cell>
          <cell r="L534">
            <v>0</v>
          </cell>
          <cell r="M534">
            <v>0</v>
          </cell>
          <cell r="N534">
            <v>0</v>
          </cell>
          <cell r="O534">
            <v>30</v>
          </cell>
          <cell r="P534">
            <v>0</v>
          </cell>
          <cell r="Q534">
            <v>0</v>
          </cell>
          <cell r="R534">
            <v>0</v>
          </cell>
          <cell r="S534">
            <v>0</v>
          </cell>
          <cell r="T534">
            <v>0</v>
          </cell>
          <cell r="U534">
            <v>0</v>
          </cell>
          <cell r="V534">
            <v>0</v>
          </cell>
          <cell r="W534">
            <v>0</v>
          </cell>
          <cell r="X534">
            <v>0</v>
          </cell>
          <cell r="Y534">
            <v>0</v>
          </cell>
          <cell r="Z534">
            <v>0</v>
          </cell>
        </row>
        <row r="535">
          <cell r="A535" t="str">
            <v>TTD04</v>
          </cell>
          <cell r="B535" t="str">
            <v>Lê Thị</v>
          </cell>
          <cell r="C535" t="str">
            <v>Giang</v>
          </cell>
          <cell r="D535">
            <v>10</v>
          </cell>
          <cell r="E535">
            <v>10</v>
          </cell>
          <cell r="F535">
            <v>453</v>
          </cell>
          <cell r="G535">
            <v>515.1</v>
          </cell>
          <cell r="H535">
            <v>0</v>
          </cell>
          <cell r="I535">
            <v>9.3000000000000007</v>
          </cell>
          <cell r="J535">
            <v>0</v>
          </cell>
          <cell r="K535">
            <v>0</v>
          </cell>
          <cell r="L535">
            <v>0</v>
          </cell>
          <cell r="M535">
            <v>0</v>
          </cell>
          <cell r="N535">
            <v>0</v>
          </cell>
          <cell r="O535">
            <v>67.5</v>
          </cell>
          <cell r="P535">
            <v>0</v>
          </cell>
          <cell r="Q535">
            <v>0</v>
          </cell>
          <cell r="R535">
            <v>0</v>
          </cell>
          <cell r="S535">
            <v>40</v>
          </cell>
          <cell r="T535">
            <v>87</v>
          </cell>
          <cell r="U535">
            <v>8</v>
          </cell>
          <cell r="V535">
            <v>0</v>
          </cell>
          <cell r="W535">
            <v>3.3</v>
          </cell>
          <cell r="X535">
            <v>280</v>
          </cell>
          <cell r="Y535">
            <v>0</v>
          </cell>
          <cell r="Z535">
            <v>20</v>
          </cell>
        </row>
        <row r="536">
          <cell r="A536" t="str">
            <v>TTD05</v>
          </cell>
          <cell r="B536" t="str">
            <v>Phạm Quý</v>
          </cell>
          <cell r="C536" t="str">
            <v>Giang</v>
          </cell>
          <cell r="D536">
            <v>10</v>
          </cell>
          <cell r="E536">
            <v>10</v>
          </cell>
          <cell r="F536">
            <v>187</v>
          </cell>
          <cell r="G536">
            <v>206.8</v>
          </cell>
          <cell r="H536">
            <v>0</v>
          </cell>
          <cell r="I536">
            <v>6.3</v>
          </cell>
          <cell r="J536">
            <v>2.5</v>
          </cell>
          <cell r="K536">
            <v>28</v>
          </cell>
          <cell r="L536">
            <v>0</v>
          </cell>
          <cell r="M536">
            <v>22</v>
          </cell>
          <cell r="N536">
            <v>0</v>
          </cell>
          <cell r="O536">
            <v>8</v>
          </cell>
          <cell r="P536">
            <v>0</v>
          </cell>
          <cell r="Q536">
            <v>0</v>
          </cell>
          <cell r="R536">
            <v>0</v>
          </cell>
          <cell r="S536">
            <v>60</v>
          </cell>
          <cell r="T536">
            <v>27</v>
          </cell>
          <cell r="U536">
            <v>2.1</v>
          </cell>
          <cell r="V536">
            <v>0</v>
          </cell>
          <cell r="W536">
            <v>0.9</v>
          </cell>
          <cell r="X536">
            <v>40</v>
          </cell>
          <cell r="Y536">
            <v>0</v>
          </cell>
          <cell r="Z536">
            <v>10</v>
          </cell>
        </row>
        <row r="537">
          <cell r="A537" t="str">
            <v>TTD06</v>
          </cell>
          <cell r="B537" t="str">
            <v>Phạm Văn</v>
          </cell>
          <cell r="C537" t="str">
            <v>Vân</v>
          </cell>
          <cell r="D537">
            <v>40</v>
          </cell>
          <cell r="E537">
            <v>40</v>
          </cell>
          <cell r="F537">
            <v>469</v>
          </cell>
          <cell r="G537">
            <v>494.2</v>
          </cell>
          <cell r="H537">
            <v>0</v>
          </cell>
          <cell r="I537">
            <v>11.8</v>
          </cell>
          <cell r="J537">
            <v>4.7</v>
          </cell>
          <cell r="K537">
            <v>28</v>
          </cell>
          <cell r="L537">
            <v>0</v>
          </cell>
          <cell r="M537">
            <v>60</v>
          </cell>
          <cell r="N537">
            <v>0</v>
          </cell>
          <cell r="O537">
            <v>60</v>
          </cell>
          <cell r="P537">
            <v>0</v>
          </cell>
          <cell r="Q537">
            <v>0</v>
          </cell>
          <cell r="R537">
            <v>0</v>
          </cell>
          <cell r="S537">
            <v>60</v>
          </cell>
          <cell r="T537">
            <v>27</v>
          </cell>
          <cell r="U537">
            <v>1.9</v>
          </cell>
          <cell r="V537">
            <v>0</v>
          </cell>
          <cell r="W537">
            <v>0.8</v>
          </cell>
          <cell r="X537">
            <v>240</v>
          </cell>
          <cell r="Y537">
            <v>0</v>
          </cell>
          <cell r="Z537">
            <v>0</v>
          </cell>
        </row>
        <row r="538">
          <cell r="A538" t="str">
            <v>TTD07</v>
          </cell>
          <cell r="B538" t="str">
            <v>Nguyễn Đức</v>
          </cell>
          <cell r="C538" t="str">
            <v>Thuận</v>
          </cell>
          <cell r="D538">
            <v>28</v>
          </cell>
          <cell r="E538">
            <v>28</v>
          </cell>
          <cell r="F538">
            <v>118</v>
          </cell>
          <cell r="G538">
            <v>120.4</v>
          </cell>
          <cell r="H538">
            <v>0</v>
          </cell>
          <cell r="I538">
            <v>3.1</v>
          </cell>
          <cell r="J538">
            <v>1.3</v>
          </cell>
          <cell r="K538">
            <v>28</v>
          </cell>
          <cell r="L538">
            <v>0</v>
          </cell>
          <cell r="M538">
            <v>15</v>
          </cell>
          <cell r="N538">
            <v>0</v>
          </cell>
          <cell r="O538">
            <v>53</v>
          </cell>
          <cell r="P538">
            <v>0</v>
          </cell>
          <cell r="Q538">
            <v>0</v>
          </cell>
          <cell r="R538">
            <v>0</v>
          </cell>
          <cell r="S538">
            <v>20</v>
          </cell>
          <cell r="T538">
            <v>0</v>
          </cell>
          <cell r="U538">
            <v>0</v>
          </cell>
          <cell r="V538">
            <v>0</v>
          </cell>
          <cell r="W538">
            <v>0</v>
          </cell>
          <cell r="X538">
            <v>0</v>
          </cell>
          <cell r="Y538">
            <v>0</v>
          </cell>
          <cell r="Z538">
            <v>0</v>
          </cell>
        </row>
        <row r="539">
          <cell r="A539" t="str">
            <v>TTD08</v>
          </cell>
          <cell r="B539" t="str">
            <v>Đỗ Thị</v>
          </cell>
          <cell r="C539" t="str">
            <v>Loan</v>
          </cell>
          <cell r="D539">
            <v>28</v>
          </cell>
          <cell r="E539">
            <v>28</v>
          </cell>
          <cell r="F539">
            <v>269</v>
          </cell>
          <cell r="G539">
            <v>285.5</v>
          </cell>
          <cell r="H539">
            <v>0</v>
          </cell>
          <cell r="I539">
            <v>14.5</v>
          </cell>
          <cell r="J539">
            <v>5.9</v>
          </cell>
          <cell r="K539">
            <v>28</v>
          </cell>
          <cell r="L539">
            <v>0</v>
          </cell>
          <cell r="M539">
            <v>92.1</v>
          </cell>
          <cell r="N539">
            <v>0</v>
          </cell>
          <cell r="O539">
            <v>45</v>
          </cell>
          <cell r="P539">
            <v>0</v>
          </cell>
          <cell r="Q539">
            <v>0</v>
          </cell>
          <cell r="R539">
            <v>0</v>
          </cell>
          <cell r="S539">
            <v>100</v>
          </cell>
          <cell r="T539">
            <v>0</v>
          </cell>
          <cell r="U539">
            <v>0</v>
          </cell>
          <cell r="V539">
            <v>0</v>
          </cell>
          <cell r="W539">
            <v>0</v>
          </cell>
          <cell r="X539">
            <v>0</v>
          </cell>
          <cell r="Y539">
            <v>0</v>
          </cell>
          <cell r="Z539">
            <v>0</v>
          </cell>
        </row>
        <row r="540">
          <cell r="A540" t="str">
            <v>TTH02</v>
          </cell>
          <cell r="B540" t="str">
            <v>Trần Lê</v>
          </cell>
          <cell r="C540" t="str">
            <v>Thanh</v>
          </cell>
          <cell r="D540">
            <v>1</v>
          </cell>
          <cell r="E540">
            <v>3.1</v>
          </cell>
          <cell r="F540">
            <v>256</v>
          </cell>
          <cell r="G540">
            <v>389.2</v>
          </cell>
          <cell r="H540">
            <v>0</v>
          </cell>
          <cell r="I540">
            <v>67.400000000000006</v>
          </cell>
          <cell r="J540">
            <v>27.1</v>
          </cell>
          <cell r="K540">
            <v>0</v>
          </cell>
          <cell r="L540">
            <v>0</v>
          </cell>
          <cell r="M540">
            <v>294.7</v>
          </cell>
          <cell r="N540">
            <v>0</v>
          </cell>
          <cell r="O540">
            <v>0</v>
          </cell>
          <cell r="P540">
            <v>0</v>
          </cell>
          <cell r="Q540">
            <v>0</v>
          </cell>
          <cell r="R540">
            <v>0</v>
          </cell>
          <cell r="S540">
            <v>0</v>
          </cell>
          <cell r="T540">
            <v>0</v>
          </cell>
          <cell r="U540">
            <v>0</v>
          </cell>
          <cell r="V540">
            <v>0</v>
          </cell>
          <cell r="W540">
            <v>0</v>
          </cell>
          <cell r="X540">
            <v>0</v>
          </cell>
          <cell r="Y540">
            <v>0</v>
          </cell>
          <cell r="Z540">
            <v>0</v>
          </cell>
        </row>
        <row r="541">
          <cell r="A541" t="str">
            <v>TTH04</v>
          </cell>
          <cell r="B541" t="str">
            <v>Nguyễn Đắc</v>
          </cell>
          <cell r="C541" t="str">
            <v>Dũng</v>
          </cell>
          <cell r="D541">
            <v>20</v>
          </cell>
          <cell r="E541">
            <v>20</v>
          </cell>
          <cell r="F541">
            <v>264</v>
          </cell>
          <cell r="G541">
            <v>377.7</v>
          </cell>
          <cell r="H541">
            <v>0</v>
          </cell>
          <cell r="I541">
            <v>67.3</v>
          </cell>
          <cell r="J541">
            <v>26.9</v>
          </cell>
          <cell r="K541">
            <v>0</v>
          </cell>
          <cell r="L541">
            <v>0</v>
          </cell>
          <cell r="M541">
            <v>243.5</v>
          </cell>
          <cell r="N541">
            <v>0</v>
          </cell>
          <cell r="O541">
            <v>0</v>
          </cell>
          <cell r="P541">
            <v>0</v>
          </cell>
          <cell r="Q541">
            <v>0</v>
          </cell>
          <cell r="R541">
            <v>0</v>
          </cell>
          <cell r="S541">
            <v>40</v>
          </cell>
          <cell r="T541">
            <v>0</v>
          </cell>
          <cell r="U541">
            <v>0</v>
          </cell>
          <cell r="V541">
            <v>0</v>
          </cell>
          <cell r="W541">
            <v>0</v>
          </cell>
          <cell r="X541">
            <v>0</v>
          </cell>
          <cell r="Y541">
            <v>0</v>
          </cell>
          <cell r="Z541">
            <v>0</v>
          </cell>
        </row>
        <row r="542">
          <cell r="A542" t="str">
            <v>TTH05</v>
          </cell>
          <cell r="B542" t="str">
            <v>Trần Thị</v>
          </cell>
          <cell r="C542" t="str">
            <v>Mai</v>
          </cell>
          <cell r="D542">
            <v>20</v>
          </cell>
          <cell r="E542">
            <v>20</v>
          </cell>
          <cell r="F542">
            <v>264</v>
          </cell>
          <cell r="G542">
            <v>383.7</v>
          </cell>
          <cell r="H542">
            <v>0</v>
          </cell>
          <cell r="I542">
            <v>60.9</v>
          </cell>
          <cell r="J542">
            <v>24.5</v>
          </cell>
          <cell r="K542">
            <v>0</v>
          </cell>
          <cell r="L542">
            <v>0</v>
          </cell>
          <cell r="M542">
            <v>258.3</v>
          </cell>
          <cell r="N542">
            <v>0</v>
          </cell>
          <cell r="O542">
            <v>0</v>
          </cell>
          <cell r="P542">
            <v>0</v>
          </cell>
          <cell r="Q542">
            <v>0</v>
          </cell>
          <cell r="R542">
            <v>0</v>
          </cell>
          <cell r="S542">
            <v>40</v>
          </cell>
          <cell r="T542">
            <v>0</v>
          </cell>
          <cell r="U542">
            <v>0</v>
          </cell>
          <cell r="V542">
            <v>0</v>
          </cell>
          <cell r="W542">
            <v>0</v>
          </cell>
          <cell r="X542">
            <v>0</v>
          </cell>
          <cell r="Y542">
            <v>0</v>
          </cell>
          <cell r="Z542">
            <v>0</v>
          </cell>
        </row>
        <row r="543">
          <cell r="A543" t="str">
            <v>TTH06</v>
          </cell>
          <cell r="B543" t="str">
            <v>Trương Thị Thu</v>
          </cell>
          <cell r="C543" t="str">
            <v>Hạnh</v>
          </cell>
          <cell r="D543">
            <v>1</v>
          </cell>
          <cell r="E543">
            <v>8.6</v>
          </cell>
          <cell r="F543">
            <v>224</v>
          </cell>
          <cell r="G543">
            <v>330.9</v>
          </cell>
          <cell r="H543">
            <v>0</v>
          </cell>
          <cell r="I543">
            <v>60.4</v>
          </cell>
          <cell r="J543">
            <v>24.4</v>
          </cell>
          <cell r="K543">
            <v>0</v>
          </cell>
          <cell r="L543">
            <v>0</v>
          </cell>
          <cell r="M543">
            <v>246.1</v>
          </cell>
          <cell r="N543">
            <v>0</v>
          </cell>
          <cell r="O543">
            <v>0</v>
          </cell>
          <cell r="P543">
            <v>0</v>
          </cell>
          <cell r="Q543">
            <v>0</v>
          </cell>
          <cell r="R543">
            <v>0</v>
          </cell>
          <cell r="S543">
            <v>0</v>
          </cell>
          <cell r="T543">
            <v>0</v>
          </cell>
          <cell r="U543">
            <v>0</v>
          </cell>
          <cell r="V543">
            <v>0</v>
          </cell>
          <cell r="W543">
            <v>0</v>
          </cell>
          <cell r="X543">
            <v>0</v>
          </cell>
          <cell r="Y543">
            <v>0</v>
          </cell>
          <cell r="Z543">
            <v>0</v>
          </cell>
        </row>
        <row r="544">
          <cell r="A544" t="str">
            <v>TTH07</v>
          </cell>
          <cell r="B544" t="str">
            <v>Lường Thị</v>
          </cell>
          <cell r="C544" t="str">
            <v>Phượng</v>
          </cell>
          <cell r="D544">
            <v>1</v>
          </cell>
          <cell r="E544">
            <v>6.3</v>
          </cell>
          <cell r="F544">
            <v>160</v>
          </cell>
          <cell r="G544">
            <v>270.3</v>
          </cell>
          <cell r="H544">
            <v>0</v>
          </cell>
          <cell r="I544">
            <v>52.5</v>
          </cell>
          <cell r="J544">
            <v>21.1</v>
          </cell>
          <cell r="K544">
            <v>0</v>
          </cell>
          <cell r="L544">
            <v>0</v>
          </cell>
          <cell r="M544">
            <v>196.7</v>
          </cell>
          <cell r="N544">
            <v>0</v>
          </cell>
          <cell r="O544">
            <v>0</v>
          </cell>
          <cell r="P544">
            <v>0</v>
          </cell>
          <cell r="Q544">
            <v>0</v>
          </cell>
          <cell r="R544">
            <v>0</v>
          </cell>
          <cell r="S544">
            <v>0</v>
          </cell>
          <cell r="T544">
            <v>0</v>
          </cell>
          <cell r="U544">
            <v>0</v>
          </cell>
          <cell r="V544">
            <v>0</v>
          </cell>
          <cell r="W544">
            <v>0</v>
          </cell>
          <cell r="X544">
            <v>0</v>
          </cell>
          <cell r="Y544">
            <v>0</v>
          </cell>
          <cell r="Z544">
            <v>0</v>
          </cell>
        </row>
        <row r="545">
          <cell r="A545" t="str">
            <v>TVA05</v>
          </cell>
          <cell r="B545" t="str">
            <v>Trần Bình</v>
          </cell>
          <cell r="C545" t="str">
            <v>Đà</v>
          </cell>
          <cell r="D545">
            <v>20</v>
          </cell>
          <cell r="E545">
            <v>20</v>
          </cell>
          <cell r="F545">
            <v>102</v>
          </cell>
          <cell r="G545">
            <v>141.80000000000001</v>
          </cell>
          <cell r="H545">
            <v>0</v>
          </cell>
          <cell r="I545">
            <v>11.8</v>
          </cell>
          <cell r="J545">
            <v>4.7</v>
          </cell>
          <cell r="K545">
            <v>0</v>
          </cell>
          <cell r="L545">
            <v>0</v>
          </cell>
          <cell r="M545">
            <v>40.299999999999997</v>
          </cell>
          <cell r="N545">
            <v>0</v>
          </cell>
          <cell r="O545">
            <v>45</v>
          </cell>
          <cell r="P545">
            <v>0</v>
          </cell>
          <cell r="Q545">
            <v>0</v>
          </cell>
          <cell r="R545">
            <v>0</v>
          </cell>
          <cell r="S545">
            <v>40</v>
          </cell>
          <cell r="T545">
            <v>0</v>
          </cell>
          <cell r="U545">
            <v>0</v>
          </cell>
          <cell r="V545">
            <v>0</v>
          </cell>
          <cell r="W545">
            <v>0</v>
          </cell>
          <cell r="X545">
            <v>0</v>
          </cell>
          <cell r="Y545">
            <v>0</v>
          </cell>
          <cell r="Z545">
            <v>0</v>
          </cell>
        </row>
        <row r="546">
          <cell r="A546" t="str">
            <v>TVA07</v>
          </cell>
          <cell r="B546" t="str">
            <v>Nguyễn Hữu</v>
          </cell>
          <cell r="C546" t="str">
            <v>Cường</v>
          </cell>
          <cell r="D546">
            <v>20</v>
          </cell>
          <cell r="E546">
            <v>20</v>
          </cell>
          <cell r="F546">
            <v>268</v>
          </cell>
          <cell r="G546">
            <v>315.89999999999998</v>
          </cell>
          <cell r="H546">
            <v>0</v>
          </cell>
          <cell r="I546">
            <v>17.100000000000001</v>
          </cell>
          <cell r="J546">
            <v>6.9</v>
          </cell>
          <cell r="K546">
            <v>75</v>
          </cell>
          <cell r="L546">
            <v>0</v>
          </cell>
          <cell r="M546">
            <v>56.4</v>
          </cell>
          <cell r="N546">
            <v>0</v>
          </cell>
          <cell r="O546">
            <v>85.5</v>
          </cell>
          <cell r="P546">
            <v>0</v>
          </cell>
          <cell r="Q546">
            <v>0</v>
          </cell>
          <cell r="R546">
            <v>15</v>
          </cell>
          <cell r="S546">
            <v>60</v>
          </cell>
          <cell r="T546">
            <v>0</v>
          </cell>
          <cell r="U546">
            <v>0</v>
          </cell>
          <cell r="V546">
            <v>0</v>
          </cell>
          <cell r="W546">
            <v>0</v>
          </cell>
          <cell r="X546">
            <v>0</v>
          </cell>
          <cell r="Y546">
            <v>0</v>
          </cell>
          <cell r="Z546">
            <v>0</v>
          </cell>
        </row>
        <row r="547">
          <cell r="A547" t="str">
            <v>TVA08</v>
          </cell>
          <cell r="B547" t="str">
            <v>Phạm Thị Huyền</v>
          </cell>
          <cell r="C547" t="str">
            <v>Trang</v>
          </cell>
          <cell r="D547">
            <v>6</v>
          </cell>
          <cell r="E547">
            <v>6</v>
          </cell>
          <cell r="F547">
            <v>216</v>
          </cell>
          <cell r="G547">
            <v>265.89999999999998</v>
          </cell>
          <cell r="H547">
            <v>0</v>
          </cell>
          <cell r="I547">
            <v>21.5</v>
          </cell>
          <cell r="J547">
            <v>8.6</v>
          </cell>
          <cell r="K547">
            <v>0</v>
          </cell>
          <cell r="L547">
            <v>0</v>
          </cell>
          <cell r="M547">
            <v>75.8</v>
          </cell>
          <cell r="N547">
            <v>0</v>
          </cell>
          <cell r="O547">
            <v>92</v>
          </cell>
          <cell r="P547">
            <v>0</v>
          </cell>
          <cell r="Q547">
            <v>0</v>
          </cell>
          <cell r="R547">
            <v>0</v>
          </cell>
          <cell r="S547">
            <v>68</v>
          </cell>
          <cell r="T547">
            <v>0</v>
          </cell>
          <cell r="U547">
            <v>0</v>
          </cell>
          <cell r="V547">
            <v>0</v>
          </cell>
          <cell r="W547">
            <v>0</v>
          </cell>
          <cell r="X547">
            <v>0</v>
          </cell>
          <cell r="Y547">
            <v>0</v>
          </cell>
          <cell r="Z547">
            <v>0</v>
          </cell>
        </row>
        <row r="548">
          <cell r="A548" t="str">
            <v>TVA09</v>
          </cell>
          <cell r="B548" t="str">
            <v>Nguyễn Thị</v>
          </cell>
          <cell r="C548" t="str">
            <v>Hòa</v>
          </cell>
          <cell r="D548">
            <v>40</v>
          </cell>
          <cell r="E548">
            <v>40</v>
          </cell>
          <cell r="F548">
            <v>122</v>
          </cell>
          <cell r="G548">
            <v>201.4</v>
          </cell>
          <cell r="H548">
            <v>0</v>
          </cell>
          <cell r="I548">
            <v>7.8</v>
          </cell>
          <cell r="J548">
            <v>3.1</v>
          </cell>
          <cell r="K548">
            <v>0</v>
          </cell>
          <cell r="L548">
            <v>0</v>
          </cell>
          <cell r="M548">
            <v>70.5</v>
          </cell>
          <cell r="N548">
            <v>0</v>
          </cell>
          <cell r="O548">
            <v>60</v>
          </cell>
          <cell r="P548">
            <v>0</v>
          </cell>
          <cell r="Q548">
            <v>0</v>
          </cell>
          <cell r="R548">
            <v>0</v>
          </cell>
          <cell r="S548">
            <v>60</v>
          </cell>
          <cell r="T548">
            <v>0</v>
          </cell>
          <cell r="U548">
            <v>0</v>
          </cell>
          <cell r="V548">
            <v>0</v>
          </cell>
          <cell r="W548">
            <v>0</v>
          </cell>
          <cell r="X548">
            <v>0</v>
          </cell>
          <cell r="Y548">
            <v>0</v>
          </cell>
          <cell r="Z548">
            <v>0</v>
          </cell>
        </row>
        <row r="549">
          <cell r="A549" t="str">
            <v>TVA10</v>
          </cell>
          <cell r="B549" t="str">
            <v>Phùng Thị Thu</v>
          </cell>
          <cell r="C549" t="str">
            <v>Hà</v>
          </cell>
          <cell r="D549">
            <v>40</v>
          </cell>
          <cell r="E549">
            <v>40</v>
          </cell>
          <cell r="F549">
            <v>261</v>
          </cell>
          <cell r="G549">
            <v>275.5</v>
          </cell>
          <cell r="H549">
            <v>0</v>
          </cell>
          <cell r="I549">
            <v>9.6</v>
          </cell>
          <cell r="J549">
            <v>3.9</v>
          </cell>
          <cell r="K549">
            <v>0</v>
          </cell>
          <cell r="L549">
            <v>0</v>
          </cell>
          <cell r="M549">
            <v>33</v>
          </cell>
          <cell r="N549">
            <v>0</v>
          </cell>
          <cell r="O549">
            <v>75</v>
          </cell>
          <cell r="P549">
            <v>0</v>
          </cell>
          <cell r="Q549">
            <v>0</v>
          </cell>
          <cell r="R549">
            <v>0</v>
          </cell>
          <cell r="S549">
            <v>114</v>
          </cell>
          <cell r="T549">
            <v>0</v>
          </cell>
          <cell r="U549">
            <v>0</v>
          </cell>
          <cell r="V549">
            <v>0</v>
          </cell>
          <cell r="W549">
            <v>0</v>
          </cell>
          <cell r="X549">
            <v>40</v>
          </cell>
          <cell r="Y549">
            <v>0</v>
          </cell>
          <cell r="Z549">
            <v>0</v>
          </cell>
        </row>
        <row r="550">
          <cell r="A550" t="str">
            <v>VLY02</v>
          </cell>
          <cell r="B550" t="str">
            <v>Nguyễn Thị</v>
          </cell>
          <cell r="C550" t="str">
            <v>Phương</v>
          </cell>
          <cell r="D550">
            <v>1</v>
          </cell>
          <cell r="E550">
            <v>9.5</v>
          </cell>
          <cell r="F550">
            <v>141</v>
          </cell>
          <cell r="G550">
            <v>179.1</v>
          </cell>
          <cell r="H550">
            <v>0</v>
          </cell>
          <cell r="I550">
            <v>27.8</v>
          </cell>
          <cell r="J550">
            <v>11.1</v>
          </cell>
          <cell r="K550">
            <v>0</v>
          </cell>
          <cell r="L550">
            <v>0</v>
          </cell>
          <cell r="M550">
            <v>95.2</v>
          </cell>
          <cell r="N550">
            <v>0</v>
          </cell>
          <cell r="O550">
            <v>45</v>
          </cell>
          <cell r="P550">
            <v>0</v>
          </cell>
          <cell r="Q550">
            <v>0</v>
          </cell>
          <cell r="R550">
            <v>0</v>
          </cell>
          <cell r="S550">
            <v>0</v>
          </cell>
          <cell r="T550">
            <v>0</v>
          </cell>
          <cell r="U550">
            <v>0</v>
          </cell>
          <cell r="V550">
            <v>0</v>
          </cell>
          <cell r="W550">
            <v>0</v>
          </cell>
          <cell r="X550">
            <v>0</v>
          </cell>
          <cell r="Y550">
            <v>0</v>
          </cell>
          <cell r="Z550">
            <v>0</v>
          </cell>
        </row>
        <row r="551">
          <cell r="A551" t="str">
            <v>VLY08</v>
          </cell>
          <cell r="B551" t="str">
            <v>Bùi Thị</v>
          </cell>
          <cell r="C551" t="str">
            <v>Thu</v>
          </cell>
          <cell r="D551">
            <v>1</v>
          </cell>
          <cell r="E551">
            <v>8.5</v>
          </cell>
          <cell r="F551">
            <v>184</v>
          </cell>
          <cell r="G551">
            <v>249.8</v>
          </cell>
          <cell r="H551">
            <v>0</v>
          </cell>
          <cell r="I551">
            <v>20.5</v>
          </cell>
          <cell r="J551">
            <v>8.1999999999999993</v>
          </cell>
          <cell r="K551">
            <v>0</v>
          </cell>
          <cell r="L551">
            <v>0</v>
          </cell>
          <cell r="M551">
            <v>71.099999999999994</v>
          </cell>
          <cell r="N551">
            <v>0</v>
          </cell>
          <cell r="O551">
            <v>150</v>
          </cell>
          <cell r="P551">
            <v>0</v>
          </cell>
          <cell r="Q551">
            <v>0</v>
          </cell>
          <cell r="R551">
            <v>0</v>
          </cell>
          <cell r="S551">
            <v>0</v>
          </cell>
          <cell r="T551">
            <v>0</v>
          </cell>
          <cell r="U551">
            <v>0</v>
          </cell>
          <cell r="V551">
            <v>0</v>
          </cell>
          <cell r="W551">
            <v>0</v>
          </cell>
          <cell r="X551">
            <v>0</v>
          </cell>
          <cell r="Y551">
            <v>0</v>
          </cell>
          <cell r="Z551">
            <v>0</v>
          </cell>
        </row>
        <row r="552">
          <cell r="A552" t="str">
            <v>VLY09</v>
          </cell>
          <cell r="B552" t="str">
            <v>Nguyễn Tiến</v>
          </cell>
          <cell r="C552" t="str">
            <v>Hiển</v>
          </cell>
          <cell r="D552">
            <v>1</v>
          </cell>
          <cell r="E552">
            <v>6.5</v>
          </cell>
          <cell r="F552">
            <v>109</v>
          </cell>
          <cell r="G552">
            <v>159.4</v>
          </cell>
          <cell r="H552">
            <v>0</v>
          </cell>
          <cell r="I552">
            <v>15.9</v>
          </cell>
          <cell r="J552">
            <v>6.4</v>
          </cell>
          <cell r="K552">
            <v>0</v>
          </cell>
          <cell r="L552">
            <v>0</v>
          </cell>
          <cell r="M552">
            <v>92.1</v>
          </cell>
          <cell r="N552">
            <v>0</v>
          </cell>
          <cell r="O552">
            <v>45</v>
          </cell>
          <cell r="P552">
            <v>0</v>
          </cell>
          <cell r="Q552">
            <v>0</v>
          </cell>
          <cell r="R552">
            <v>0</v>
          </cell>
          <cell r="S552">
            <v>0</v>
          </cell>
          <cell r="T552">
            <v>0</v>
          </cell>
          <cell r="U552">
            <v>0</v>
          </cell>
          <cell r="V552">
            <v>0</v>
          </cell>
          <cell r="W552">
            <v>0</v>
          </cell>
          <cell r="X552">
            <v>0</v>
          </cell>
          <cell r="Y552">
            <v>0</v>
          </cell>
          <cell r="Z552">
            <v>0</v>
          </cell>
        </row>
        <row r="553">
          <cell r="A553" t="str">
            <v>VLY10</v>
          </cell>
          <cell r="B553" t="str">
            <v>Lương Minh</v>
          </cell>
          <cell r="C553" t="str">
            <v>Quân</v>
          </cell>
          <cell r="D553">
            <v>1</v>
          </cell>
          <cell r="E553">
            <v>9.1</v>
          </cell>
          <cell r="F553">
            <v>167</v>
          </cell>
          <cell r="G553">
            <v>209.1</v>
          </cell>
          <cell r="H553">
            <v>0</v>
          </cell>
          <cell r="I553">
            <v>9.1</v>
          </cell>
          <cell r="J553">
            <v>3.7</v>
          </cell>
          <cell r="K553">
            <v>0</v>
          </cell>
          <cell r="L553">
            <v>0</v>
          </cell>
          <cell r="M553">
            <v>31.3</v>
          </cell>
          <cell r="N553">
            <v>0</v>
          </cell>
          <cell r="O553">
            <v>165</v>
          </cell>
          <cell r="P553">
            <v>0</v>
          </cell>
          <cell r="Q553">
            <v>0</v>
          </cell>
          <cell r="R553">
            <v>0</v>
          </cell>
          <cell r="S553">
            <v>0</v>
          </cell>
          <cell r="T553">
            <v>0</v>
          </cell>
          <cell r="U553">
            <v>0</v>
          </cell>
          <cell r="V553">
            <v>0</v>
          </cell>
          <cell r="W553">
            <v>0</v>
          </cell>
          <cell r="X553">
            <v>0</v>
          </cell>
          <cell r="Y553">
            <v>0</v>
          </cell>
          <cell r="Z553">
            <v>0</v>
          </cell>
        </row>
        <row r="554">
          <cell r="A554" t="str">
            <v>VLY11</v>
          </cell>
          <cell r="B554" t="str">
            <v>Lê Văn</v>
          </cell>
          <cell r="C554" t="str">
            <v>Dũng</v>
          </cell>
          <cell r="D554">
            <v>1</v>
          </cell>
          <cell r="E554">
            <v>8.5</v>
          </cell>
          <cell r="F554">
            <v>186</v>
          </cell>
          <cell r="G554">
            <v>241.7</v>
          </cell>
          <cell r="H554">
            <v>0</v>
          </cell>
          <cell r="I554">
            <v>28.1</v>
          </cell>
          <cell r="J554">
            <v>11.3</v>
          </cell>
          <cell r="K554">
            <v>0</v>
          </cell>
          <cell r="L554">
            <v>0</v>
          </cell>
          <cell r="M554">
            <v>97.3</v>
          </cell>
          <cell r="N554">
            <v>0</v>
          </cell>
          <cell r="O554">
            <v>105</v>
          </cell>
          <cell r="P554">
            <v>0</v>
          </cell>
          <cell r="Q554">
            <v>0</v>
          </cell>
          <cell r="R554">
            <v>0</v>
          </cell>
          <cell r="S554">
            <v>0</v>
          </cell>
          <cell r="T554">
            <v>0</v>
          </cell>
          <cell r="U554">
            <v>0</v>
          </cell>
          <cell r="V554">
            <v>0</v>
          </cell>
          <cell r="W554">
            <v>0</v>
          </cell>
          <cell r="X554">
            <v>0</v>
          </cell>
          <cell r="Y554">
            <v>0</v>
          </cell>
          <cell r="Z554">
            <v>0</v>
          </cell>
        </row>
        <row r="555">
          <cell r="A555" t="str">
            <v>VLY12</v>
          </cell>
          <cell r="B555" t="str">
            <v>Đào Hải</v>
          </cell>
          <cell r="C555" t="str">
            <v>Yến</v>
          </cell>
          <cell r="D555">
            <v>1</v>
          </cell>
          <cell r="E555">
            <v>8</v>
          </cell>
          <cell r="F555">
            <v>124</v>
          </cell>
          <cell r="G555">
            <v>145.30000000000001</v>
          </cell>
          <cell r="H555">
            <v>0</v>
          </cell>
          <cell r="I555">
            <v>17.100000000000001</v>
          </cell>
          <cell r="J555">
            <v>6.9</v>
          </cell>
          <cell r="K555">
            <v>0</v>
          </cell>
          <cell r="L555">
            <v>0</v>
          </cell>
          <cell r="M555">
            <v>61.3</v>
          </cell>
          <cell r="N555">
            <v>0</v>
          </cell>
          <cell r="O555">
            <v>60</v>
          </cell>
          <cell r="P555">
            <v>0</v>
          </cell>
          <cell r="Q555">
            <v>0</v>
          </cell>
          <cell r="R555">
            <v>0</v>
          </cell>
          <cell r="S555">
            <v>0</v>
          </cell>
          <cell r="T555">
            <v>0</v>
          </cell>
          <cell r="U555">
            <v>0</v>
          </cell>
          <cell r="V555">
            <v>0</v>
          </cell>
          <cell r="W555">
            <v>0</v>
          </cell>
          <cell r="X555">
            <v>0</v>
          </cell>
          <cell r="Y555">
            <v>0</v>
          </cell>
          <cell r="Z555">
            <v>0</v>
          </cell>
        </row>
        <row r="556">
          <cell r="A556" t="str">
            <v>VLY14</v>
          </cell>
          <cell r="B556" t="str">
            <v>Nguyễn Thị</v>
          </cell>
          <cell r="C556" t="str">
            <v>Thanh</v>
          </cell>
          <cell r="D556">
            <v>1</v>
          </cell>
          <cell r="E556">
            <v>9.4</v>
          </cell>
          <cell r="F556">
            <v>126</v>
          </cell>
          <cell r="G556">
            <v>201</v>
          </cell>
          <cell r="H556">
            <v>0</v>
          </cell>
          <cell r="I556">
            <v>28.2</v>
          </cell>
          <cell r="J556">
            <v>11.3</v>
          </cell>
          <cell r="K556">
            <v>0</v>
          </cell>
          <cell r="L556">
            <v>0</v>
          </cell>
          <cell r="M556">
            <v>124</v>
          </cell>
          <cell r="N556">
            <v>0</v>
          </cell>
          <cell r="O556">
            <v>37.5</v>
          </cell>
          <cell r="P556">
            <v>0</v>
          </cell>
          <cell r="Q556">
            <v>0</v>
          </cell>
          <cell r="R556">
            <v>0</v>
          </cell>
          <cell r="S556">
            <v>0</v>
          </cell>
          <cell r="T556">
            <v>0</v>
          </cell>
          <cell r="U556">
            <v>0</v>
          </cell>
          <cell r="V556">
            <v>0</v>
          </cell>
          <cell r="W556">
            <v>0</v>
          </cell>
          <cell r="X556">
            <v>0</v>
          </cell>
          <cell r="Y556">
            <v>0</v>
          </cell>
          <cell r="Z556">
            <v>0</v>
          </cell>
        </row>
        <row r="557">
          <cell r="A557" t="str">
            <v>VLY15</v>
          </cell>
          <cell r="B557" t="str">
            <v>Lê Phương</v>
          </cell>
          <cell r="C557" t="str">
            <v>Thảo</v>
          </cell>
          <cell r="D557">
            <v>1</v>
          </cell>
          <cell r="E557">
            <v>9.8000000000000007</v>
          </cell>
          <cell r="F557">
            <v>173</v>
          </cell>
          <cell r="G557">
            <v>265.39999999999998</v>
          </cell>
          <cell r="H557">
            <v>0</v>
          </cell>
          <cell r="I557">
            <v>42.6</v>
          </cell>
          <cell r="J557">
            <v>17.100000000000001</v>
          </cell>
          <cell r="K557">
            <v>0</v>
          </cell>
          <cell r="L557">
            <v>0</v>
          </cell>
          <cell r="M557">
            <v>145.69999999999999</v>
          </cell>
          <cell r="N557">
            <v>0</v>
          </cell>
          <cell r="O557">
            <v>60</v>
          </cell>
          <cell r="P557">
            <v>0</v>
          </cell>
          <cell r="Q557">
            <v>0</v>
          </cell>
          <cell r="R557">
            <v>0</v>
          </cell>
          <cell r="S557">
            <v>0</v>
          </cell>
          <cell r="T557">
            <v>0</v>
          </cell>
          <cell r="U557">
            <v>0</v>
          </cell>
          <cell r="V557">
            <v>0</v>
          </cell>
          <cell r="W557">
            <v>0</v>
          </cell>
          <cell r="X557">
            <v>0</v>
          </cell>
          <cell r="Y557">
            <v>0</v>
          </cell>
          <cell r="Z557">
            <v>0</v>
          </cell>
        </row>
        <row r="558">
          <cell r="A558" t="str">
            <v>VSV02</v>
          </cell>
          <cell r="B558" t="str">
            <v>Nguyễn Thị</v>
          </cell>
          <cell r="C558" t="str">
            <v>Minh</v>
          </cell>
          <cell r="D558">
            <v>22.5</v>
          </cell>
          <cell r="E558">
            <v>22.5</v>
          </cell>
          <cell r="F558">
            <v>172.5</v>
          </cell>
          <cell r="G558">
            <v>197.8</v>
          </cell>
          <cell r="H558">
            <v>0</v>
          </cell>
          <cell r="I558">
            <v>10.6</v>
          </cell>
          <cell r="J558">
            <v>3</v>
          </cell>
          <cell r="K558">
            <v>0</v>
          </cell>
          <cell r="L558">
            <v>0</v>
          </cell>
          <cell r="M558">
            <v>30</v>
          </cell>
          <cell r="N558">
            <v>0</v>
          </cell>
          <cell r="O558">
            <v>15</v>
          </cell>
          <cell r="P558">
            <v>0</v>
          </cell>
          <cell r="Q558">
            <v>0</v>
          </cell>
          <cell r="R558">
            <v>0</v>
          </cell>
          <cell r="S558">
            <v>0</v>
          </cell>
          <cell r="T558">
            <v>36</v>
          </cell>
          <cell r="U558">
            <v>0.5</v>
          </cell>
          <cell r="V558">
            <v>0</v>
          </cell>
          <cell r="W558">
            <v>0.2</v>
          </cell>
          <cell r="X558">
            <v>80</v>
          </cell>
          <cell r="Y558">
            <v>22.5</v>
          </cell>
          <cell r="Z558">
            <v>0</v>
          </cell>
        </row>
        <row r="559">
          <cell r="A559" t="str">
            <v>VSV03</v>
          </cell>
          <cell r="B559" t="str">
            <v>Vũ Thị</v>
          </cell>
          <cell r="C559" t="str">
            <v>Hoàn</v>
          </cell>
          <cell r="D559">
            <v>40</v>
          </cell>
          <cell r="E559">
            <v>40</v>
          </cell>
          <cell r="F559">
            <v>124</v>
          </cell>
          <cell r="G559">
            <v>131.6</v>
          </cell>
          <cell r="H559">
            <v>0</v>
          </cell>
          <cell r="I559">
            <v>11.6</v>
          </cell>
          <cell r="J559">
            <v>0</v>
          </cell>
          <cell r="K559">
            <v>0</v>
          </cell>
          <cell r="L559">
            <v>0</v>
          </cell>
          <cell r="M559">
            <v>0</v>
          </cell>
          <cell r="N559">
            <v>0</v>
          </cell>
          <cell r="O559">
            <v>60</v>
          </cell>
          <cell r="P559">
            <v>0</v>
          </cell>
          <cell r="Q559">
            <v>0</v>
          </cell>
          <cell r="R559">
            <v>0</v>
          </cell>
          <cell r="S559">
            <v>20</v>
          </cell>
          <cell r="T559">
            <v>0</v>
          </cell>
          <cell r="U559">
            <v>0</v>
          </cell>
          <cell r="V559">
            <v>0</v>
          </cell>
          <cell r="W559">
            <v>0</v>
          </cell>
          <cell r="X559">
            <v>40</v>
          </cell>
          <cell r="Y559">
            <v>0</v>
          </cell>
          <cell r="Z559">
            <v>0</v>
          </cell>
        </row>
        <row r="560">
          <cell r="A560" t="str">
            <v>VSV04</v>
          </cell>
          <cell r="B560" t="str">
            <v>Đinh Hồng</v>
          </cell>
          <cell r="C560" t="str">
            <v>Duyên</v>
          </cell>
          <cell r="D560">
            <v>28</v>
          </cell>
          <cell r="E560">
            <v>28</v>
          </cell>
          <cell r="F560">
            <v>166</v>
          </cell>
          <cell r="G560">
            <v>200.2</v>
          </cell>
          <cell r="H560">
            <v>0</v>
          </cell>
          <cell r="I560">
            <v>4.4000000000000004</v>
          </cell>
          <cell r="J560">
            <v>0.5</v>
          </cell>
          <cell r="K560">
            <v>0</v>
          </cell>
          <cell r="L560">
            <v>0</v>
          </cell>
          <cell r="M560">
            <v>30</v>
          </cell>
          <cell r="N560">
            <v>0</v>
          </cell>
          <cell r="O560">
            <v>15</v>
          </cell>
          <cell r="P560">
            <v>0</v>
          </cell>
          <cell r="Q560">
            <v>0</v>
          </cell>
          <cell r="R560">
            <v>0</v>
          </cell>
          <cell r="S560">
            <v>46</v>
          </cell>
          <cell r="T560">
            <v>72</v>
          </cell>
          <cell r="U560">
            <v>3</v>
          </cell>
          <cell r="V560">
            <v>0</v>
          </cell>
          <cell r="W560">
            <v>1.3</v>
          </cell>
          <cell r="X560">
            <v>28</v>
          </cell>
          <cell r="Y560">
            <v>0</v>
          </cell>
          <cell r="Z560">
            <v>0</v>
          </cell>
        </row>
        <row r="561">
          <cell r="A561" t="str">
            <v>VSV05</v>
          </cell>
          <cell r="B561" t="str">
            <v>Nguyễn Thế</v>
          </cell>
          <cell r="C561" t="str">
            <v>Bình</v>
          </cell>
          <cell r="D561">
            <v>20</v>
          </cell>
          <cell r="E561">
            <v>20</v>
          </cell>
          <cell r="F561">
            <v>88</v>
          </cell>
          <cell r="G561">
            <v>105.9</v>
          </cell>
          <cell r="H561">
            <v>0</v>
          </cell>
          <cell r="I561">
            <v>13</v>
          </cell>
          <cell r="J561">
            <v>4</v>
          </cell>
          <cell r="K561">
            <v>0</v>
          </cell>
          <cell r="L561">
            <v>0</v>
          </cell>
          <cell r="M561">
            <v>33.9</v>
          </cell>
          <cell r="N561">
            <v>0</v>
          </cell>
          <cell r="O561">
            <v>15</v>
          </cell>
          <cell r="P561">
            <v>0</v>
          </cell>
          <cell r="Q561">
            <v>0</v>
          </cell>
          <cell r="R561">
            <v>0</v>
          </cell>
          <cell r="S561">
            <v>40</v>
          </cell>
          <cell r="T561">
            <v>0</v>
          </cell>
          <cell r="U561">
            <v>0</v>
          </cell>
          <cell r="V561">
            <v>0</v>
          </cell>
          <cell r="W561">
            <v>0</v>
          </cell>
          <cell r="X561">
            <v>0</v>
          </cell>
          <cell r="Y561">
            <v>0</v>
          </cell>
          <cell r="Z561">
            <v>0</v>
          </cell>
        </row>
        <row r="562">
          <cell r="A562" t="str">
            <v>VSV07</v>
          </cell>
          <cell r="B562" t="str">
            <v>Nguyễn Thị Khánh</v>
          </cell>
          <cell r="C562" t="str">
            <v>Huyền</v>
          </cell>
          <cell r="D562">
            <v>14</v>
          </cell>
          <cell r="E562">
            <v>14</v>
          </cell>
          <cell r="F562">
            <v>62</v>
          </cell>
          <cell r="G562">
            <v>68.3</v>
          </cell>
          <cell r="H562">
            <v>0</v>
          </cell>
          <cell r="I562">
            <v>9.3000000000000007</v>
          </cell>
          <cell r="J562">
            <v>0</v>
          </cell>
          <cell r="K562">
            <v>0</v>
          </cell>
          <cell r="L562">
            <v>0</v>
          </cell>
          <cell r="M562">
            <v>0</v>
          </cell>
          <cell r="N562">
            <v>0</v>
          </cell>
          <cell r="O562">
            <v>45</v>
          </cell>
          <cell r="P562">
            <v>0</v>
          </cell>
          <cell r="Q562">
            <v>0</v>
          </cell>
          <cell r="R562">
            <v>0</v>
          </cell>
          <cell r="S562">
            <v>14</v>
          </cell>
          <cell r="T562">
            <v>0</v>
          </cell>
          <cell r="U562">
            <v>0</v>
          </cell>
          <cell r="V562">
            <v>0</v>
          </cell>
          <cell r="W562">
            <v>0</v>
          </cell>
          <cell r="X562">
            <v>0</v>
          </cell>
          <cell r="Y562">
            <v>0</v>
          </cell>
          <cell r="Z562">
            <v>0</v>
          </cell>
        </row>
        <row r="563">
          <cell r="A563" t="str">
            <v>VSV09</v>
          </cell>
          <cell r="B563" t="str">
            <v>Nguyễn Tú</v>
          </cell>
          <cell r="C563" t="str">
            <v>Điệp</v>
          </cell>
          <cell r="D563">
            <v>26.4</v>
          </cell>
          <cell r="E563">
            <v>26.4</v>
          </cell>
          <cell r="F563">
            <v>94.4</v>
          </cell>
          <cell r="G563">
            <v>99.5</v>
          </cell>
          <cell r="H563">
            <v>0</v>
          </cell>
          <cell r="I563">
            <v>8.1</v>
          </cell>
          <cell r="J563">
            <v>0</v>
          </cell>
          <cell r="K563">
            <v>26.4</v>
          </cell>
          <cell r="L563">
            <v>0</v>
          </cell>
          <cell r="M563">
            <v>0</v>
          </cell>
          <cell r="N563">
            <v>0</v>
          </cell>
          <cell r="O563">
            <v>45</v>
          </cell>
          <cell r="P563">
            <v>0</v>
          </cell>
          <cell r="Q563">
            <v>0</v>
          </cell>
          <cell r="R563">
            <v>0</v>
          </cell>
          <cell r="S563">
            <v>20</v>
          </cell>
          <cell r="T563">
            <v>0</v>
          </cell>
          <cell r="U563">
            <v>0</v>
          </cell>
          <cell r="V563">
            <v>0</v>
          </cell>
          <cell r="W563">
            <v>0</v>
          </cell>
          <cell r="X563">
            <v>0</v>
          </cell>
          <cell r="Y563">
            <v>0</v>
          </cell>
          <cell r="Z563">
            <v>0</v>
          </cell>
        </row>
        <row r="564">
          <cell r="A564" t="str">
            <v>VSV10</v>
          </cell>
          <cell r="B564" t="str">
            <v>Nguyễn Xuân</v>
          </cell>
          <cell r="C564" t="str">
            <v>Hòa</v>
          </cell>
          <cell r="D564">
            <v>26.4</v>
          </cell>
          <cell r="E564">
            <v>26.4</v>
          </cell>
          <cell r="F564">
            <v>94.4</v>
          </cell>
          <cell r="G564">
            <v>100.7</v>
          </cell>
          <cell r="H564">
            <v>0</v>
          </cell>
          <cell r="I564">
            <v>9.3000000000000007</v>
          </cell>
          <cell r="J564">
            <v>0</v>
          </cell>
          <cell r="K564">
            <v>26.4</v>
          </cell>
          <cell r="L564">
            <v>0</v>
          </cell>
          <cell r="M564">
            <v>0</v>
          </cell>
          <cell r="N564">
            <v>0</v>
          </cell>
          <cell r="O564">
            <v>45</v>
          </cell>
          <cell r="P564">
            <v>0</v>
          </cell>
          <cell r="Q564">
            <v>0</v>
          </cell>
          <cell r="R564">
            <v>0</v>
          </cell>
          <cell r="S564">
            <v>20</v>
          </cell>
          <cell r="T564">
            <v>0</v>
          </cell>
          <cell r="U564">
            <v>0</v>
          </cell>
          <cell r="V564">
            <v>0</v>
          </cell>
          <cell r="W564">
            <v>0</v>
          </cell>
          <cell r="X564">
            <v>0</v>
          </cell>
          <cell r="Y564">
            <v>0</v>
          </cell>
          <cell r="Z564">
            <v>0</v>
          </cell>
        </row>
        <row r="565">
          <cell r="A565" t="str">
            <v>VTN02</v>
          </cell>
          <cell r="B565" t="str">
            <v>Nguyễn Bá</v>
          </cell>
          <cell r="C565" t="str">
            <v>Hiên</v>
          </cell>
          <cell r="D565">
            <v>40</v>
          </cell>
          <cell r="E565">
            <v>40</v>
          </cell>
          <cell r="F565">
            <v>792</v>
          </cell>
          <cell r="G565">
            <v>903.2</v>
          </cell>
          <cell r="H565">
            <v>0</v>
          </cell>
          <cell r="I565">
            <v>0</v>
          </cell>
          <cell r="J565">
            <v>0</v>
          </cell>
          <cell r="K565">
            <v>0</v>
          </cell>
          <cell r="L565">
            <v>0</v>
          </cell>
          <cell r="M565">
            <v>255.2</v>
          </cell>
          <cell r="N565">
            <v>0</v>
          </cell>
          <cell r="O565">
            <v>0</v>
          </cell>
          <cell r="P565">
            <v>0</v>
          </cell>
          <cell r="Q565">
            <v>12</v>
          </cell>
          <cell r="R565">
            <v>0</v>
          </cell>
          <cell r="S565">
            <v>280</v>
          </cell>
          <cell r="T565">
            <v>72</v>
          </cell>
          <cell r="U565">
            <v>2.8</v>
          </cell>
          <cell r="V565">
            <v>0</v>
          </cell>
          <cell r="W565">
            <v>1.2</v>
          </cell>
          <cell r="X565">
            <v>160</v>
          </cell>
          <cell r="Y565">
            <v>0</v>
          </cell>
          <cell r="Z565">
            <v>120</v>
          </cell>
        </row>
        <row r="566">
          <cell r="A566" t="str">
            <v>VTN05</v>
          </cell>
          <cell r="B566" t="str">
            <v>Trương Hà</v>
          </cell>
          <cell r="C566" t="str">
            <v>Thái</v>
          </cell>
          <cell r="D566">
            <v>40</v>
          </cell>
          <cell r="E566">
            <v>40</v>
          </cell>
          <cell r="F566">
            <v>794.3</v>
          </cell>
          <cell r="G566">
            <v>945.4</v>
          </cell>
          <cell r="H566">
            <v>0</v>
          </cell>
          <cell r="I566">
            <v>51.5</v>
          </cell>
          <cell r="J566">
            <v>20.6</v>
          </cell>
          <cell r="K566">
            <v>15.3</v>
          </cell>
          <cell r="L566">
            <v>0</v>
          </cell>
          <cell r="M566">
            <v>228.4</v>
          </cell>
          <cell r="N566">
            <v>0</v>
          </cell>
          <cell r="O566">
            <v>28</v>
          </cell>
          <cell r="P566">
            <v>0</v>
          </cell>
          <cell r="Q566">
            <v>12</v>
          </cell>
          <cell r="R566">
            <v>0</v>
          </cell>
          <cell r="S566">
            <v>500</v>
          </cell>
          <cell r="T566">
            <v>9</v>
          </cell>
          <cell r="U566">
            <v>0.4</v>
          </cell>
          <cell r="V566">
            <v>0</v>
          </cell>
          <cell r="W566">
            <v>0.2</v>
          </cell>
          <cell r="X566">
            <v>80</v>
          </cell>
          <cell r="Y566">
            <v>0</v>
          </cell>
          <cell r="Z566">
            <v>0</v>
          </cell>
        </row>
        <row r="567">
          <cell r="A567" t="str">
            <v>VTN07</v>
          </cell>
          <cell r="B567" t="str">
            <v>Huỳnh T Mỹ</v>
          </cell>
          <cell r="C567" t="str">
            <v>Lệ</v>
          </cell>
          <cell r="D567">
            <v>30</v>
          </cell>
          <cell r="E567">
            <v>30</v>
          </cell>
          <cell r="F567">
            <v>811.3</v>
          </cell>
          <cell r="G567">
            <v>949.3</v>
          </cell>
          <cell r="H567">
            <v>0</v>
          </cell>
          <cell r="I567">
            <v>60.1</v>
          </cell>
          <cell r="J567">
            <v>24.2</v>
          </cell>
          <cell r="K567">
            <v>15.3</v>
          </cell>
          <cell r="L567">
            <v>0</v>
          </cell>
          <cell r="M567">
            <v>270.2</v>
          </cell>
          <cell r="N567">
            <v>0</v>
          </cell>
          <cell r="O567">
            <v>84</v>
          </cell>
          <cell r="P567">
            <v>0</v>
          </cell>
          <cell r="Q567">
            <v>12</v>
          </cell>
          <cell r="R567">
            <v>0</v>
          </cell>
          <cell r="S567">
            <v>350</v>
          </cell>
          <cell r="T567">
            <v>18</v>
          </cell>
          <cell r="U567">
            <v>1.1000000000000001</v>
          </cell>
          <cell r="V567">
            <v>0</v>
          </cell>
          <cell r="W567">
            <v>0.4</v>
          </cell>
          <cell r="X567">
            <v>64</v>
          </cell>
          <cell r="Y567">
            <v>0</v>
          </cell>
          <cell r="Z567">
            <v>50</v>
          </cell>
        </row>
        <row r="568">
          <cell r="A568" t="str">
            <v>VTN12</v>
          </cell>
          <cell r="B568" t="str">
            <v>Chu Thị Thanh</v>
          </cell>
          <cell r="C568" t="str">
            <v>Hương</v>
          </cell>
          <cell r="D568">
            <v>1</v>
          </cell>
          <cell r="E568">
            <v>0.3</v>
          </cell>
          <cell r="F568">
            <v>724</v>
          </cell>
          <cell r="G568">
            <v>940.1</v>
          </cell>
          <cell r="H568">
            <v>0</v>
          </cell>
          <cell r="I568">
            <v>68</v>
          </cell>
          <cell r="J568">
            <v>27.3</v>
          </cell>
          <cell r="K568">
            <v>0</v>
          </cell>
          <cell r="L568">
            <v>0</v>
          </cell>
          <cell r="M568">
            <v>262.39999999999998</v>
          </cell>
          <cell r="N568">
            <v>0</v>
          </cell>
          <cell r="O568">
            <v>228</v>
          </cell>
          <cell r="P568">
            <v>0</v>
          </cell>
          <cell r="Q568">
            <v>0</v>
          </cell>
          <cell r="R568">
            <v>45</v>
          </cell>
          <cell r="S568">
            <v>300</v>
          </cell>
          <cell r="T568">
            <v>9</v>
          </cell>
          <cell r="U568">
            <v>0.3</v>
          </cell>
          <cell r="V568">
            <v>0</v>
          </cell>
          <cell r="W568">
            <v>0.1</v>
          </cell>
          <cell r="X568">
            <v>0</v>
          </cell>
          <cell r="Y568">
            <v>0</v>
          </cell>
          <cell r="Z568">
            <v>0</v>
          </cell>
        </row>
        <row r="569">
          <cell r="A569" t="str">
            <v>VTN13</v>
          </cell>
          <cell r="B569" t="str">
            <v>Nguyễn Văn</v>
          </cell>
          <cell r="C569" t="str">
            <v>Giáp</v>
          </cell>
          <cell r="D569">
            <v>10</v>
          </cell>
          <cell r="E569">
            <v>10</v>
          </cell>
          <cell r="F569">
            <v>793.3</v>
          </cell>
          <cell r="G569">
            <v>890</v>
          </cell>
          <cell r="H569">
            <v>0</v>
          </cell>
          <cell r="I569">
            <v>38.1</v>
          </cell>
          <cell r="J569">
            <v>15.2</v>
          </cell>
          <cell r="K569">
            <v>15.3</v>
          </cell>
          <cell r="L569">
            <v>0</v>
          </cell>
          <cell r="M569">
            <v>180.3</v>
          </cell>
          <cell r="N569">
            <v>0</v>
          </cell>
          <cell r="O569">
            <v>212</v>
          </cell>
          <cell r="P569">
            <v>0</v>
          </cell>
          <cell r="Q569">
            <v>0</v>
          </cell>
          <cell r="R569">
            <v>0</v>
          </cell>
          <cell r="S569">
            <v>320</v>
          </cell>
          <cell r="T569">
            <v>18</v>
          </cell>
          <cell r="U569">
            <v>0.8</v>
          </cell>
          <cell r="V569">
            <v>0</v>
          </cell>
          <cell r="W569">
            <v>0.3</v>
          </cell>
          <cell r="X569">
            <v>80</v>
          </cell>
          <cell r="Y569">
            <v>0</v>
          </cell>
          <cell r="Z569">
            <v>10</v>
          </cell>
        </row>
        <row r="570">
          <cell r="A570" t="str">
            <v>VTN18</v>
          </cell>
          <cell r="B570" t="str">
            <v>Lê Văn</v>
          </cell>
          <cell r="C570" t="str">
            <v>Trường</v>
          </cell>
          <cell r="D570">
            <v>67.5</v>
          </cell>
          <cell r="E570">
            <v>67.5</v>
          </cell>
          <cell r="F570">
            <v>802.8</v>
          </cell>
          <cell r="G570">
            <v>998.3</v>
          </cell>
          <cell r="H570">
            <v>0</v>
          </cell>
          <cell r="I570">
            <v>74.7</v>
          </cell>
          <cell r="J570">
            <v>30.1</v>
          </cell>
          <cell r="K570">
            <v>82.8</v>
          </cell>
          <cell r="L570">
            <v>0</v>
          </cell>
          <cell r="M570">
            <v>280.7</v>
          </cell>
          <cell r="N570">
            <v>0</v>
          </cell>
          <cell r="O570">
            <v>370</v>
          </cell>
          <cell r="P570">
            <v>0</v>
          </cell>
          <cell r="Q570">
            <v>0</v>
          </cell>
          <cell r="R570">
            <v>0</v>
          </cell>
          <cell r="S570">
            <v>160</v>
          </cell>
          <cell r="T570">
            <v>0</v>
          </cell>
          <cell r="U570">
            <v>0</v>
          </cell>
          <cell r="V570">
            <v>0</v>
          </cell>
          <cell r="W570">
            <v>0</v>
          </cell>
          <cell r="X570">
            <v>0</v>
          </cell>
          <cell r="Y570">
            <v>0</v>
          </cell>
          <cell r="Z570">
            <v>0</v>
          </cell>
        </row>
        <row r="571">
          <cell r="A571" t="str">
            <v>VTN20</v>
          </cell>
          <cell r="B571" t="str">
            <v>Vũ Thị</v>
          </cell>
          <cell r="C571" t="str">
            <v>Ngọc</v>
          </cell>
          <cell r="D571">
            <v>1</v>
          </cell>
          <cell r="E571">
            <v>12.1</v>
          </cell>
          <cell r="F571">
            <v>200</v>
          </cell>
          <cell r="G571">
            <v>470.2</v>
          </cell>
          <cell r="H571">
            <v>0</v>
          </cell>
          <cell r="I571">
            <v>122.3</v>
          </cell>
          <cell r="J571">
            <v>49.1</v>
          </cell>
          <cell r="K571">
            <v>0</v>
          </cell>
          <cell r="L571">
            <v>0</v>
          </cell>
          <cell r="M571">
            <v>250.8</v>
          </cell>
          <cell r="N571">
            <v>0</v>
          </cell>
          <cell r="O571">
            <v>48</v>
          </cell>
          <cell r="P571">
            <v>0</v>
          </cell>
          <cell r="Q571">
            <v>0</v>
          </cell>
          <cell r="R571">
            <v>0</v>
          </cell>
          <cell r="S571">
            <v>0</v>
          </cell>
          <cell r="T571">
            <v>0</v>
          </cell>
          <cell r="U571">
            <v>0</v>
          </cell>
          <cell r="V571">
            <v>0</v>
          </cell>
          <cell r="W571">
            <v>0</v>
          </cell>
          <cell r="X571">
            <v>0</v>
          </cell>
          <cell r="Y571">
            <v>0</v>
          </cell>
          <cell r="Z571">
            <v>0</v>
          </cell>
        </row>
        <row r="572">
          <cell r="A572" t="str">
            <v>VTN21</v>
          </cell>
          <cell r="B572" t="str">
            <v>Lê Văn</v>
          </cell>
          <cell r="C572" t="str">
            <v>Phan</v>
          </cell>
          <cell r="D572">
            <v>10</v>
          </cell>
          <cell r="E572">
            <v>10</v>
          </cell>
          <cell r="F572">
            <v>682</v>
          </cell>
          <cell r="G572">
            <v>838</v>
          </cell>
          <cell r="H572">
            <v>0</v>
          </cell>
          <cell r="I572">
            <v>66.599999999999994</v>
          </cell>
          <cell r="J572">
            <v>26.8</v>
          </cell>
          <cell r="K572">
            <v>0</v>
          </cell>
          <cell r="L572">
            <v>0</v>
          </cell>
          <cell r="M572">
            <v>240.1</v>
          </cell>
          <cell r="N572">
            <v>0</v>
          </cell>
          <cell r="O572">
            <v>134.5</v>
          </cell>
          <cell r="P572">
            <v>0</v>
          </cell>
          <cell r="Q572">
            <v>0</v>
          </cell>
          <cell r="R572">
            <v>0</v>
          </cell>
          <cell r="S572">
            <v>280</v>
          </cell>
          <cell r="T572">
            <v>0</v>
          </cell>
          <cell r="U572">
            <v>0</v>
          </cell>
          <cell r="V572">
            <v>0</v>
          </cell>
          <cell r="W572">
            <v>0</v>
          </cell>
          <cell r="X572">
            <v>80</v>
          </cell>
          <cell r="Y572">
            <v>0</v>
          </cell>
          <cell r="Z572">
            <v>10</v>
          </cell>
        </row>
        <row r="573">
          <cell r="A573" t="str">
            <v>VTN23</v>
          </cell>
          <cell r="B573" t="str">
            <v>Cao Thị Bích</v>
          </cell>
          <cell r="C573" t="str">
            <v>Phượng</v>
          </cell>
          <cell r="D573">
            <v>67.5</v>
          </cell>
          <cell r="E573">
            <v>67.5</v>
          </cell>
          <cell r="F573">
            <v>415.5</v>
          </cell>
          <cell r="G573">
            <v>569</v>
          </cell>
          <cell r="H573">
            <v>0</v>
          </cell>
          <cell r="I573">
            <v>88</v>
          </cell>
          <cell r="J573">
            <v>35.299999999999997</v>
          </cell>
          <cell r="K573">
            <v>67.5</v>
          </cell>
          <cell r="L573">
            <v>0</v>
          </cell>
          <cell r="M573">
            <v>94.2</v>
          </cell>
          <cell r="N573">
            <v>0</v>
          </cell>
          <cell r="O573">
            <v>144</v>
          </cell>
          <cell r="P573">
            <v>0</v>
          </cell>
          <cell r="Q573">
            <v>0</v>
          </cell>
          <cell r="R573">
            <v>120</v>
          </cell>
          <cell r="S573">
            <v>20</v>
          </cell>
          <cell r="T573">
            <v>0</v>
          </cell>
          <cell r="U573">
            <v>0</v>
          </cell>
          <cell r="V573">
            <v>0</v>
          </cell>
          <cell r="W573">
            <v>0</v>
          </cell>
          <cell r="X573">
            <v>0</v>
          </cell>
          <cell r="Y573">
            <v>0</v>
          </cell>
          <cell r="Z573">
            <v>0</v>
          </cell>
        </row>
        <row r="574">
          <cell r="A574" t="str">
            <v>XHH02</v>
          </cell>
          <cell r="B574" t="str">
            <v>Nguyễn Thị</v>
          </cell>
          <cell r="C574" t="str">
            <v>Diễn</v>
          </cell>
          <cell r="D574">
            <v>1</v>
          </cell>
          <cell r="E574">
            <v>6.3</v>
          </cell>
          <cell r="F574">
            <v>111</v>
          </cell>
          <cell r="G574">
            <v>129.69999999999999</v>
          </cell>
          <cell r="H574">
            <v>0</v>
          </cell>
          <cell r="I574">
            <v>17.600000000000001</v>
          </cell>
          <cell r="J574">
            <v>7.1</v>
          </cell>
          <cell r="K574">
            <v>0</v>
          </cell>
          <cell r="L574">
            <v>0</v>
          </cell>
          <cell r="M574">
            <v>105</v>
          </cell>
          <cell r="N574">
            <v>0</v>
          </cell>
          <cell r="O574">
            <v>0</v>
          </cell>
          <cell r="P574">
            <v>0</v>
          </cell>
          <cell r="Q574">
            <v>0</v>
          </cell>
          <cell r="R574">
            <v>0</v>
          </cell>
          <cell r="S574">
            <v>0</v>
          </cell>
          <cell r="T574">
            <v>0</v>
          </cell>
          <cell r="U574">
            <v>0</v>
          </cell>
          <cell r="V574">
            <v>0</v>
          </cell>
          <cell r="W574">
            <v>0</v>
          </cell>
          <cell r="X574">
            <v>0</v>
          </cell>
          <cell r="Y574">
            <v>0</v>
          </cell>
          <cell r="Z574">
            <v>0</v>
          </cell>
        </row>
        <row r="575">
          <cell r="A575" t="str">
            <v>XHH03</v>
          </cell>
          <cell r="B575" t="str">
            <v>Nguyễn Thị Thu</v>
          </cell>
          <cell r="C575" t="str">
            <v>Hà</v>
          </cell>
          <cell r="D575">
            <v>20</v>
          </cell>
          <cell r="E575">
            <v>20</v>
          </cell>
          <cell r="F575">
            <v>263</v>
          </cell>
          <cell r="G575">
            <v>291.60000000000002</v>
          </cell>
          <cell r="H575">
            <v>0</v>
          </cell>
          <cell r="I575">
            <v>23.7</v>
          </cell>
          <cell r="J575">
            <v>9.5</v>
          </cell>
          <cell r="K575">
            <v>0</v>
          </cell>
          <cell r="L575">
            <v>0</v>
          </cell>
          <cell r="M575">
            <v>138.4</v>
          </cell>
          <cell r="N575">
            <v>0</v>
          </cell>
          <cell r="O575">
            <v>0</v>
          </cell>
          <cell r="P575">
            <v>0</v>
          </cell>
          <cell r="Q575">
            <v>0</v>
          </cell>
          <cell r="R575">
            <v>0</v>
          </cell>
          <cell r="S575">
            <v>120</v>
          </cell>
          <cell r="T575">
            <v>0</v>
          </cell>
          <cell r="U575">
            <v>0</v>
          </cell>
          <cell r="V575">
            <v>0</v>
          </cell>
          <cell r="W575">
            <v>0</v>
          </cell>
          <cell r="X575">
            <v>0</v>
          </cell>
          <cell r="Y575">
            <v>0</v>
          </cell>
          <cell r="Z575">
            <v>0</v>
          </cell>
        </row>
        <row r="576">
          <cell r="A576" t="str">
            <v>XHH04</v>
          </cell>
          <cell r="B576" t="str">
            <v>Nguyễn Thị Lập</v>
          </cell>
          <cell r="C576" t="str">
            <v>Thu</v>
          </cell>
          <cell r="D576">
            <v>1</v>
          </cell>
          <cell r="E576">
            <v>10.1</v>
          </cell>
          <cell r="F576">
            <v>96</v>
          </cell>
          <cell r="G576">
            <v>159.69999999999999</v>
          </cell>
          <cell r="H576">
            <v>0</v>
          </cell>
          <cell r="I576">
            <v>31.5</v>
          </cell>
          <cell r="J576">
            <v>12.7</v>
          </cell>
          <cell r="K576">
            <v>0</v>
          </cell>
          <cell r="L576">
            <v>0</v>
          </cell>
          <cell r="M576">
            <v>115.5</v>
          </cell>
          <cell r="N576">
            <v>0</v>
          </cell>
          <cell r="O576">
            <v>0</v>
          </cell>
          <cell r="P576">
            <v>0</v>
          </cell>
          <cell r="Q576">
            <v>0</v>
          </cell>
          <cell r="R576">
            <v>0</v>
          </cell>
          <cell r="S576">
            <v>0</v>
          </cell>
          <cell r="T576">
            <v>0</v>
          </cell>
          <cell r="U576">
            <v>0</v>
          </cell>
          <cell r="V576">
            <v>0</v>
          </cell>
          <cell r="W576">
            <v>0</v>
          </cell>
          <cell r="X576">
            <v>0</v>
          </cell>
          <cell r="Y576">
            <v>0</v>
          </cell>
          <cell r="Z576">
            <v>0</v>
          </cell>
        </row>
        <row r="577">
          <cell r="A577" t="str">
            <v>XHH05</v>
          </cell>
          <cell r="B577" t="str">
            <v>Nguyễn Minh</v>
          </cell>
          <cell r="C577" t="str">
            <v>Khuê</v>
          </cell>
          <cell r="D577">
            <v>1</v>
          </cell>
          <cell r="E577">
            <v>6.6</v>
          </cell>
          <cell r="F577">
            <v>64</v>
          </cell>
          <cell r="G577">
            <v>82.6</v>
          </cell>
          <cell r="H577">
            <v>0</v>
          </cell>
          <cell r="I577">
            <v>10.7</v>
          </cell>
          <cell r="J577">
            <v>4.4000000000000004</v>
          </cell>
          <cell r="K577">
            <v>0</v>
          </cell>
          <cell r="L577">
            <v>0</v>
          </cell>
          <cell r="M577">
            <v>67.5</v>
          </cell>
          <cell r="N577">
            <v>0</v>
          </cell>
          <cell r="O577">
            <v>0</v>
          </cell>
          <cell r="P577">
            <v>0</v>
          </cell>
          <cell r="Q577">
            <v>0</v>
          </cell>
          <cell r="R577">
            <v>0</v>
          </cell>
          <cell r="S577">
            <v>0</v>
          </cell>
          <cell r="T577">
            <v>0</v>
          </cell>
          <cell r="U577">
            <v>0</v>
          </cell>
          <cell r="V577">
            <v>0</v>
          </cell>
          <cell r="W577">
            <v>0</v>
          </cell>
          <cell r="X577">
            <v>0</v>
          </cell>
          <cell r="Y577">
            <v>0</v>
          </cell>
          <cell r="Z577">
            <v>0</v>
          </cell>
        </row>
        <row r="578">
          <cell r="A578" t="str">
            <v>XHH06</v>
          </cell>
          <cell r="B578" t="str">
            <v>Trần Thanh</v>
          </cell>
          <cell r="C578" t="str">
            <v>Hương</v>
          </cell>
          <cell r="D578">
            <v>20</v>
          </cell>
          <cell r="E578">
            <v>20</v>
          </cell>
          <cell r="F578">
            <v>271</v>
          </cell>
          <cell r="G578">
            <v>323.10000000000002</v>
          </cell>
          <cell r="H578">
            <v>0</v>
          </cell>
          <cell r="I578">
            <v>26.5</v>
          </cell>
          <cell r="J578">
            <v>10.6</v>
          </cell>
          <cell r="K578">
            <v>0</v>
          </cell>
          <cell r="L578">
            <v>0</v>
          </cell>
          <cell r="M578">
            <v>126</v>
          </cell>
          <cell r="N578">
            <v>0</v>
          </cell>
          <cell r="O578">
            <v>0</v>
          </cell>
          <cell r="P578">
            <v>0</v>
          </cell>
          <cell r="Q578">
            <v>0</v>
          </cell>
          <cell r="R578">
            <v>0</v>
          </cell>
          <cell r="S578">
            <v>160</v>
          </cell>
          <cell r="T578">
            <v>0</v>
          </cell>
          <cell r="U578">
            <v>0</v>
          </cell>
          <cell r="V578">
            <v>0</v>
          </cell>
          <cell r="W578">
            <v>0</v>
          </cell>
          <cell r="X578">
            <v>0</v>
          </cell>
          <cell r="Y578">
            <v>0</v>
          </cell>
          <cell r="Z578">
            <v>0</v>
          </cell>
        </row>
        <row r="579">
          <cell r="A579" t="str">
            <v>XHH07</v>
          </cell>
          <cell r="B579" t="str">
            <v>Phạm Thị Thu</v>
          </cell>
          <cell r="C579" t="str">
            <v>Hà</v>
          </cell>
          <cell r="D579">
            <v>1</v>
          </cell>
          <cell r="E579">
            <v>7.6</v>
          </cell>
          <cell r="F579">
            <v>128</v>
          </cell>
          <cell r="G579">
            <v>170.7</v>
          </cell>
          <cell r="H579">
            <v>0</v>
          </cell>
          <cell r="I579">
            <v>32.799999999999997</v>
          </cell>
          <cell r="J579">
            <v>13.2</v>
          </cell>
          <cell r="K579">
            <v>0</v>
          </cell>
          <cell r="L579">
            <v>0</v>
          </cell>
          <cell r="M579">
            <v>124.7</v>
          </cell>
          <cell r="N579">
            <v>0</v>
          </cell>
          <cell r="O579">
            <v>0</v>
          </cell>
          <cell r="P579">
            <v>0</v>
          </cell>
          <cell r="Q579">
            <v>0</v>
          </cell>
          <cell r="R579">
            <v>0</v>
          </cell>
          <cell r="S579">
            <v>0</v>
          </cell>
          <cell r="T579">
            <v>0</v>
          </cell>
          <cell r="U579">
            <v>0</v>
          </cell>
          <cell r="V579">
            <v>0</v>
          </cell>
          <cell r="W579">
            <v>0</v>
          </cell>
          <cell r="X579">
            <v>0</v>
          </cell>
          <cell r="Y579">
            <v>0</v>
          </cell>
          <cell r="Z579">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H22"/>
  <sheetViews>
    <sheetView topLeftCell="A4" workbookViewId="0">
      <selection activeCell="D20" sqref="D20"/>
    </sheetView>
  </sheetViews>
  <sheetFormatPr defaultRowHeight="15"/>
  <cols>
    <col min="1" max="1" width="13.375" bestFit="1" customWidth="1"/>
    <col min="2" max="2" width="5.5" bestFit="1" customWidth="1"/>
    <col min="8" max="8" width="6.875" bestFit="1" customWidth="1"/>
  </cols>
  <sheetData>
    <row r="2" spans="1:8">
      <c r="A2" t="s">
        <v>1891</v>
      </c>
    </row>
    <row r="3" spans="1:8">
      <c r="A3" t="s">
        <v>1892</v>
      </c>
      <c r="B3" s="55">
        <v>1</v>
      </c>
      <c r="C3" t="s">
        <v>1892</v>
      </c>
    </row>
    <row r="4" spans="1:8">
      <c r="A4" s="56">
        <v>5000000</v>
      </c>
      <c r="B4" s="55">
        <v>0.8</v>
      </c>
    </row>
    <row r="5" spans="1:8">
      <c r="A5" s="56">
        <v>10000000</v>
      </c>
      <c r="B5" s="55">
        <v>0.6</v>
      </c>
    </row>
    <row r="6" spans="1:8">
      <c r="A6" s="56">
        <v>30000000</v>
      </c>
      <c r="B6" s="55">
        <v>0.5</v>
      </c>
    </row>
    <row r="7" spans="1:8">
      <c r="A7" s="57">
        <v>30000000</v>
      </c>
      <c r="B7" s="55"/>
    </row>
    <row r="9" spans="1:8">
      <c r="D9" t="s">
        <v>1657</v>
      </c>
      <c r="E9" t="s">
        <v>1895</v>
      </c>
      <c r="F9" t="s">
        <v>2685</v>
      </c>
      <c r="G9" t="s">
        <v>1722</v>
      </c>
      <c r="H9" t="s">
        <v>1896</v>
      </c>
    </row>
    <row r="10" spans="1:8" ht="15.75">
      <c r="A10" s="58">
        <v>2.34</v>
      </c>
      <c r="B10">
        <v>260</v>
      </c>
      <c r="C10" t="s">
        <v>3010</v>
      </c>
      <c r="D10">
        <v>260</v>
      </c>
      <c r="E10">
        <v>100</v>
      </c>
      <c r="F10">
        <v>400</v>
      </c>
      <c r="G10">
        <v>60</v>
      </c>
      <c r="H10">
        <v>55000</v>
      </c>
    </row>
    <row r="11" spans="1:8" ht="15.75">
      <c r="A11" s="58">
        <v>3</v>
      </c>
      <c r="B11">
        <v>260</v>
      </c>
      <c r="C11" t="s">
        <v>3011</v>
      </c>
      <c r="D11">
        <v>280</v>
      </c>
      <c r="E11">
        <v>120</v>
      </c>
      <c r="F11">
        <v>420</v>
      </c>
      <c r="G11">
        <v>80</v>
      </c>
      <c r="H11">
        <v>70000</v>
      </c>
    </row>
    <row r="12" spans="1:8" ht="15.75">
      <c r="A12" s="58">
        <v>3.33</v>
      </c>
      <c r="C12" t="s">
        <v>3012</v>
      </c>
      <c r="D12">
        <v>300</v>
      </c>
      <c r="E12">
        <v>150</v>
      </c>
      <c r="F12">
        <v>440</v>
      </c>
      <c r="G12">
        <v>100</v>
      </c>
      <c r="H12">
        <v>80000</v>
      </c>
    </row>
    <row r="13" spans="1:8" ht="15.75">
      <c r="A13" s="59">
        <v>4.4000000000000004</v>
      </c>
      <c r="C13" t="s">
        <v>3013</v>
      </c>
      <c r="D13">
        <v>320</v>
      </c>
      <c r="E13">
        <v>160</v>
      </c>
      <c r="F13">
        <v>460</v>
      </c>
      <c r="G13">
        <v>120</v>
      </c>
      <c r="H13">
        <v>90000</v>
      </c>
    </row>
    <row r="14" spans="1:8" ht="15.75">
      <c r="A14" s="58">
        <v>4.6500000000000004</v>
      </c>
      <c r="C14" t="s">
        <v>2682</v>
      </c>
      <c r="D14">
        <v>360</v>
      </c>
      <c r="E14">
        <v>200</v>
      </c>
      <c r="F14">
        <v>500</v>
      </c>
      <c r="G14">
        <v>150</v>
      </c>
      <c r="H14">
        <v>95000</v>
      </c>
    </row>
    <row r="15" spans="1:8" ht="15.75">
      <c r="A15" s="58">
        <v>5.08</v>
      </c>
      <c r="C15" t="s">
        <v>2683</v>
      </c>
      <c r="D15">
        <v>400</v>
      </c>
      <c r="E15">
        <v>280</v>
      </c>
      <c r="F15">
        <v>550</v>
      </c>
      <c r="G15">
        <v>230</v>
      </c>
      <c r="H15">
        <v>100000</v>
      </c>
    </row>
    <row r="16" spans="1:8" ht="15.75">
      <c r="A16" s="58">
        <v>5.42</v>
      </c>
      <c r="C16" t="s">
        <v>1723</v>
      </c>
      <c r="D16">
        <v>120</v>
      </c>
      <c r="E16">
        <v>0</v>
      </c>
      <c r="F16">
        <v>210</v>
      </c>
      <c r="H16">
        <v>40000</v>
      </c>
    </row>
    <row r="17" spans="1:8" ht="15.75">
      <c r="A17" s="58">
        <v>6.2</v>
      </c>
      <c r="C17" t="s">
        <v>1724</v>
      </c>
      <c r="D17">
        <v>140</v>
      </c>
      <c r="E17">
        <v>50</v>
      </c>
      <c r="F17">
        <v>190</v>
      </c>
      <c r="G17">
        <v>50</v>
      </c>
      <c r="H17">
        <v>40000</v>
      </c>
    </row>
    <row r="18" spans="1:8" ht="15.75">
      <c r="A18" s="59">
        <v>6.44</v>
      </c>
    </row>
    <row r="19" spans="1:8" ht="15.75">
      <c r="A19" s="58">
        <v>6.92</v>
      </c>
    </row>
    <row r="20" spans="1:8" ht="15.75">
      <c r="A20" s="60">
        <v>1.99</v>
      </c>
    </row>
    <row r="21" spans="1:8" ht="15.75">
      <c r="A21" s="60">
        <v>2.27</v>
      </c>
    </row>
    <row r="22" spans="1:8" ht="15.75">
      <c r="A22" s="60">
        <v>2.5499999999999998</v>
      </c>
    </row>
  </sheetData>
  <phoneticPr fontId="15"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codeName="Sheet14"/>
  <dimension ref="A1:CK27"/>
  <sheetViews>
    <sheetView showZeros="0" workbookViewId="0">
      <selection activeCell="C20" sqref="C20"/>
    </sheetView>
  </sheetViews>
  <sheetFormatPr defaultRowHeight="15"/>
  <cols>
    <col min="1" max="1" width="9" style="164"/>
    <col min="2" max="2" width="16.875" style="165" bestFit="1" customWidth="1"/>
    <col min="3" max="3" width="9" style="165"/>
    <col min="4" max="4" width="9" style="164"/>
    <col min="5" max="9" width="9" style="165"/>
    <col min="10" max="12" width="9" style="164"/>
    <col min="13" max="13" width="9" style="166"/>
    <col min="14" max="18" width="9" style="164"/>
    <col min="19" max="31" width="9" style="165"/>
    <col min="32" max="32" width="9" style="167"/>
    <col min="33" max="49" width="9" style="165"/>
    <col min="50" max="51" width="9" style="164"/>
    <col min="52" max="53" width="9" style="168"/>
    <col min="54" max="54" width="9" style="164"/>
    <col min="55" max="55" width="9" style="168"/>
    <col min="56" max="60" width="9" style="164"/>
    <col min="61" max="62" width="9" style="169"/>
    <col min="63" max="84" width="9" style="164"/>
    <col min="85" max="85" width="9" style="169"/>
    <col min="86" max="87" width="9" style="164"/>
    <col min="88" max="88" width="9" style="169"/>
    <col min="89" max="89" width="9" style="164"/>
    <col min="90" max="16384" width="9" style="165"/>
  </cols>
  <sheetData>
    <row r="1" spans="2:15" s="153" customFormat="1" ht="16.5">
      <c r="B1" s="154">
        <f>vuot2019_2020_I!N752</f>
        <v>3965619802</v>
      </c>
      <c r="C1" s="155" t="str">
        <f>RIGHT("000000000000"&amp;ROUND(B1,0),12)</f>
        <v>003965619802</v>
      </c>
      <c r="D1" s="156">
        <v>1</v>
      </c>
      <c r="E1" s="156">
        <v>2</v>
      </c>
      <c r="F1" s="156">
        <v>3</v>
      </c>
      <c r="G1" s="156">
        <v>4</v>
      </c>
      <c r="H1" s="156">
        <v>5</v>
      </c>
      <c r="I1" s="156">
        <v>6</v>
      </c>
      <c r="J1" s="156">
        <v>7</v>
      </c>
      <c r="K1" s="156">
        <v>8</v>
      </c>
      <c r="L1" s="156">
        <v>9</v>
      </c>
      <c r="M1" s="156">
        <v>10</v>
      </c>
      <c r="N1" s="156">
        <v>11</v>
      </c>
      <c r="O1" s="156">
        <v>12</v>
      </c>
    </row>
    <row r="2" spans="2:15" s="153" customFormat="1" ht="25.5">
      <c r="B2" s="157" t="s">
        <v>2483</v>
      </c>
      <c r="C2" s="158"/>
      <c r="D2" s="159">
        <f>VALUE(MID(C1,D1,1))</f>
        <v>0</v>
      </c>
      <c r="E2" s="159">
        <f>VALUE(MID(C1,E1,1))</f>
        <v>0</v>
      </c>
      <c r="F2" s="159">
        <f>VALUE(MID(C1,F1,1))</f>
        <v>3</v>
      </c>
      <c r="G2" s="159">
        <f>VALUE(MID(C1,G1,1))</f>
        <v>9</v>
      </c>
      <c r="H2" s="159">
        <f>VALUE(MID(C1,H1,1))</f>
        <v>6</v>
      </c>
      <c r="I2" s="159">
        <f>VALUE(MID(C1,I1,1))</f>
        <v>5</v>
      </c>
      <c r="J2" s="159">
        <f>VALUE(MID(C1,J1,1))</f>
        <v>6</v>
      </c>
      <c r="K2" s="159">
        <f>VALUE(MID(C1,K1,1))</f>
        <v>1</v>
      </c>
      <c r="L2" s="159">
        <f>VALUE(MID(C1,L1,1))</f>
        <v>9</v>
      </c>
      <c r="M2" s="159">
        <f>VALUE(MID(C1,M1,1))</f>
        <v>8</v>
      </c>
      <c r="N2" s="159">
        <f>VALUE(MID(C1,N1,1))</f>
        <v>0</v>
      </c>
      <c r="O2" s="159">
        <f>VALUE(MID(C1,O1,1))</f>
        <v>2</v>
      </c>
    </row>
    <row r="3" spans="2:15" s="153" customFormat="1" ht="16.5">
      <c r="B3" s="160"/>
      <c r="C3" s="158"/>
      <c r="D3" s="159">
        <f>SUM(D2:D2)</f>
        <v>0</v>
      </c>
      <c r="E3" s="159">
        <f>SUM(D2:E2)</f>
        <v>0</v>
      </c>
      <c r="F3" s="159">
        <f>SUM(D2:F2)</f>
        <v>3</v>
      </c>
      <c r="G3" s="159">
        <f>SUM(G2:G2)</f>
        <v>9</v>
      </c>
      <c r="H3" s="159">
        <f>SUM(G2:H2)</f>
        <v>15</v>
      </c>
      <c r="I3" s="159">
        <f>SUM(G2:I2)</f>
        <v>20</v>
      </c>
      <c r="J3" s="159">
        <f>SUM(J2:J2)</f>
        <v>6</v>
      </c>
      <c r="K3" s="159">
        <f>SUM(J2:K2)</f>
        <v>7</v>
      </c>
      <c r="L3" s="159">
        <f>SUM(J2:L2)</f>
        <v>16</v>
      </c>
      <c r="M3" s="159">
        <f>SUM(M2:M2)</f>
        <v>8</v>
      </c>
      <c r="N3" s="159">
        <f>SUM(M2:N2)</f>
        <v>8</v>
      </c>
      <c r="O3" s="159">
        <f>SUM(M2:O2)</f>
        <v>10</v>
      </c>
    </row>
    <row r="4" spans="2:15" s="153" customFormat="1" ht="16.5">
      <c r="B4" s="161"/>
      <c r="C4" s="158"/>
      <c r="D4" s="162" t="str">
        <f>IF(D2=0,"",CHOOSE(D2,"một","hai","ba","bốn","năm","sáu","bảy","tám","chín"))</f>
        <v/>
      </c>
      <c r="E4" s="162" t="str">
        <f>IF(E2=0,IF(AND(D2&lt;&gt;0,F2&lt;&gt;0),"lẻ",""),CHOOSE(E2,"mười ","hai","ba","bốn","năm","sáu","bảy","tám","chín"))</f>
        <v/>
      </c>
      <c r="F4" s="162" t="str">
        <f>IF(F2=0,"",CHOOSE(F2,IF(E2&gt;1,"mốt","một"),"hai","ba","bốn",IF(E2=0,"năm","lăm"),"sáu","bảy","tám","chín"))</f>
        <v>ba</v>
      </c>
      <c r="G4" s="162" t="str">
        <f>IF(G2=0,"",CHOOSE(G2,"một","hai","ba","bốn","năm","sáu","bảy","tám","chín"))</f>
        <v>chín</v>
      </c>
      <c r="H4" s="162" t="str">
        <f>IF(H2=0,IF(AND(G2&lt;&gt;0,I2&lt;&gt;0),"lẻ",""),CHOOSE(H2,"mười","hai","ba","bốn","năm","sáu","bảy","tám","chín"))</f>
        <v>sáu</v>
      </c>
      <c r="I4" s="162" t="str">
        <f>IF(I2=0,"",CHOOSE(I2,IF(H2&gt;1,"mốt","một"),"hai","ba","bốn",IF(H2=0,"năm","lăm"),"sáu","bảy","tám","chín"))</f>
        <v>lăm</v>
      </c>
      <c r="J4" s="162" t="str">
        <f>IF(J2=0,"",CHOOSE(J2,"một","hai","ba","bốn","năm","sáu","bảy","tám","chín"))</f>
        <v>sáu</v>
      </c>
      <c r="K4" s="162" t="str">
        <f>IF(K2=0,IF(AND(J2&lt;&gt;0,L2&lt;&gt;0),"lẻ",""),CHOOSE(K2,"mười","hai","ba","bốn","năm","sáu","bảy","tám","chín"))</f>
        <v>mười</v>
      </c>
      <c r="L4" s="162" t="str">
        <f>IF(L2=0,"",CHOOSE(L2,IF(K2&gt;1,"mốt","một"),"hai","ba","bốn",IF(K2=0,"năm","lăm"),"sáu","bảy","tám","chín"))</f>
        <v>chín</v>
      </c>
      <c r="M4" s="159" t="str">
        <f>IF(M2=0,"",CHOOSE(M2,"một","hai","ba","bốn","năm","sáu","bảy","tám","chín"))</f>
        <v>tám</v>
      </c>
      <c r="N4" s="163" t="str">
        <f>IF(N2=0,IF(AND(M2&lt;&gt;0,O2&lt;&gt;0),"lẻ",""),CHOOSE(N2,"một","hai","ba","bốn","năm","sáu","bảy","tám","chín"))</f>
        <v>lẻ</v>
      </c>
      <c r="O4" s="163" t="str">
        <f>IF(O2=0,"",CHOOSE(O2,IF(N2&gt;1,"một","một"),"hai","ba","bốn",IF(N2=0,"năm","lăm"),"sáu","bảy","tám","chín"))</f>
        <v>hai</v>
      </c>
    </row>
    <row r="5" spans="2:15" s="153" customFormat="1" ht="16.5">
      <c r="B5" s="160"/>
      <c r="C5" s="158"/>
      <c r="D5" s="163" t="str">
        <f>IF(D2=0,"","trăm")</f>
        <v/>
      </c>
      <c r="E5" s="163" t="str">
        <f>IF(E2=0,"",IF(E2=1,"","mươi"))</f>
        <v/>
      </c>
      <c r="F5" s="163" t="str">
        <f>IF(AND(F2=0,F3=0),"","tỷ")</f>
        <v>tỷ</v>
      </c>
      <c r="G5" s="163" t="str">
        <f>IF(G2=0,"","trăm")</f>
        <v>trăm</v>
      </c>
      <c r="H5" s="163" t="str">
        <f>IF(H2=0,"",IF(H2=1,"","mươi"))</f>
        <v>mươi</v>
      </c>
      <c r="I5" s="163" t="str">
        <f>IF(AND(I2=0,I3=0),"","triệu")</f>
        <v>triệu</v>
      </c>
      <c r="J5" s="163" t="str">
        <f>IF(J2=0,"","trăm")</f>
        <v>trăm</v>
      </c>
      <c r="K5" s="163" t="str">
        <f>IF(K2=0,"",IF(K2=1,"","mươi"))</f>
        <v/>
      </c>
      <c r="L5" s="163" t="str">
        <f>IF(AND(L2=0,L3=0),"","ngàn")</f>
        <v>ngàn</v>
      </c>
      <c r="M5" s="163" t="str">
        <f>IF(M2=0,"","trăm")</f>
        <v>trăm</v>
      </c>
      <c r="N5" s="163" t="str">
        <f>IF(N2=0,"",IF(N2=1,"","mươi"))</f>
        <v/>
      </c>
      <c r="O5" s="163" t="s">
        <v>2402</v>
      </c>
    </row>
    <row r="6" spans="2:15" s="153" customFormat="1" ht="16.5">
      <c r="B6" s="160"/>
      <c r="C6" s="159" t="str">
        <f>UPPER(LEFT(TRIM(IF(B1=0,"kh«ng ®ång.",D4&amp;" "&amp;D5&amp;" "&amp;E4&amp;" "&amp;E5&amp;" "&amp;F4&amp;" "&amp;F5&amp;" "&amp;G4&amp;" "&amp;G5&amp;" "&amp;H4&amp;" "&amp;H5&amp;" "&amp;I4&amp;" "&amp;I5&amp;" "&amp;J4&amp;" "&amp;J5&amp;" "&amp;K4&amp;" "&amp;K5&amp;" "&amp;L4&amp;" "&amp;L5&amp;" "&amp;M4&amp;" "&amp;M5&amp;" "&amp;N4&amp;" "&amp;N5&amp;" "&amp;O4&amp;" "&amp;O5)),1))&amp;RIGHT(TRIM(IF(B1=0,"kh«ng ®ång.",D4&amp;" "&amp;D5&amp;" "&amp;E4&amp;" "&amp;E5&amp;" "&amp;F4&amp;" "&amp;F5&amp;" "&amp;G4&amp;" "&amp;G5&amp;" "&amp;H4&amp;" "&amp;H5&amp;" "&amp;I4&amp;" "&amp;I5&amp;" "&amp;J4&amp;" "&amp;J5&amp;" "&amp;K4&amp;" "&amp;K5&amp;" "&amp;L4&amp;" "&amp;L5&amp;" "&amp;M4&amp;" "&amp;M5&amp;" "&amp;N4&amp;" "&amp;N5&amp;" "&amp;O4&amp;" "&amp;O5)),LEN(TRIM(IF(B1=0,"kh«ng ®ång.",D4&amp;" "&amp;D5&amp;" "&amp;E4&amp;" "&amp;E5&amp;" "&amp;F4&amp;" "&amp;F5&amp;" "&amp;G4&amp;" "&amp;G5&amp;" "&amp;H4&amp;" "&amp;H5&amp;" "&amp;I4&amp;" "&amp;I5&amp;" "&amp;J4&amp;" "&amp;J5&amp;" "&amp;K4&amp;" "&amp;K5&amp;" "&amp;L4&amp;" "&amp;L5&amp;" "&amp;M4&amp;" "&amp;M5&amp;" "&amp;N4&amp;" "&amp;N5&amp;" "&amp;O4&amp;" "&amp;O5)))-1)</f>
        <v>Ba tỷ chín trăm sáu mươi lăm triệu sáu trăm mười chín ngàn tám trăm lẻ hai đồng./.</v>
      </c>
      <c r="D6" s="158"/>
      <c r="E6" s="158"/>
      <c r="F6" s="158"/>
      <c r="G6" s="158"/>
      <c r="H6" s="158"/>
      <c r="I6" s="158"/>
      <c r="J6" s="158"/>
      <c r="K6" s="158"/>
      <c r="L6" s="158"/>
      <c r="M6" s="158"/>
      <c r="N6" s="158"/>
      <c r="O6" s="158"/>
    </row>
    <row r="8" spans="2:15" s="153" customFormat="1" ht="16.5">
      <c r="B8" s="154">
        <f>vuot2019_2020_I!N752</f>
        <v>3965619802</v>
      </c>
      <c r="C8" s="155" t="str">
        <f>RIGHT("000000000000"&amp;ROUND(B8,0),12)</f>
        <v>003965619802</v>
      </c>
      <c r="D8" s="156">
        <v>1</v>
      </c>
      <c r="E8" s="156">
        <v>2</v>
      </c>
      <c r="F8" s="156">
        <v>3</v>
      </c>
      <c r="G8" s="156">
        <v>4</v>
      </c>
      <c r="H8" s="156">
        <v>5</v>
      </c>
      <c r="I8" s="156">
        <v>6</v>
      </c>
      <c r="J8" s="156">
        <v>7</v>
      </c>
      <c r="K8" s="156">
        <v>8</v>
      </c>
      <c r="L8" s="156">
        <v>9</v>
      </c>
      <c r="M8" s="156">
        <v>10</v>
      </c>
      <c r="N8" s="156">
        <v>11</v>
      </c>
      <c r="O8" s="156">
        <v>12</v>
      </c>
    </row>
    <row r="9" spans="2:15" s="153" customFormat="1" ht="25.5">
      <c r="B9" s="157" t="s">
        <v>2483</v>
      </c>
      <c r="C9" s="158"/>
      <c r="D9" s="159">
        <f>VALUE(MID(C8,D8,1))</f>
        <v>0</v>
      </c>
      <c r="E9" s="159">
        <f>VALUE(MID(C8,E8,1))</f>
        <v>0</v>
      </c>
      <c r="F9" s="159">
        <f>VALUE(MID(C8,F8,1))</f>
        <v>3</v>
      </c>
      <c r="G9" s="159">
        <f>VALUE(MID(C8,G8,1))</f>
        <v>9</v>
      </c>
      <c r="H9" s="159">
        <f>VALUE(MID(C8,H8,1))</f>
        <v>6</v>
      </c>
      <c r="I9" s="159">
        <f>VALUE(MID(C8,I8,1))</f>
        <v>5</v>
      </c>
      <c r="J9" s="159">
        <f>VALUE(MID(C8,J8,1))</f>
        <v>6</v>
      </c>
      <c r="K9" s="159">
        <f>VALUE(MID(C8,K8,1))</f>
        <v>1</v>
      </c>
      <c r="L9" s="159">
        <f>VALUE(MID(C8,L8,1))</f>
        <v>9</v>
      </c>
      <c r="M9" s="159">
        <f>VALUE(MID(C8,M8,1))</f>
        <v>8</v>
      </c>
      <c r="N9" s="159">
        <f>VALUE(MID(C8,N8,1))</f>
        <v>0</v>
      </c>
      <c r="O9" s="159">
        <f>VALUE(MID(C8,O8,1))</f>
        <v>2</v>
      </c>
    </row>
    <row r="10" spans="2:15" s="153" customFormat="1" ht="16.5">
      <c r="B10" s="160"/>
      <c r="C10" s="158"/>
      <c r="D10" s="159">
        <f>SUM(D9:D9)</f>
        <v>0</v>
      </c>
      <c r="E10" s="159">
        <f>SUM(D9:E9)</f>
        <v>0</v>
      </c>
      <c r="F10" s="159">
        <f>SUM(D9:F9)</f>
        <v>3</v>
      </c>
      <c r="G10" s="159">
        <f>SUM(G9:G9)</f>
        <v>9</v>
      </c>
      <c r="H10" s="159">
        <f>SUM(G9:H9)</f>
        <v>15</v>
      </c>
      <c r="I10" s="159">
        <f>SUM(G9:I9)</f>
        <v>20</v>
      </c>
      <c r="J10" s="159">
        <f>SUM(J9:J9)</f>
        <v>6</v>
      </c>
      <c r="K10" s="159">
        <f>SUM(J9:K9)</f>
        <v>7</v>
      </c>
      <c r="L10" s="159">
        <f>SUM(J9:L9)</f>
        <v>16</v>
      </c>
      <c r="M10" s="159">
        <f>SUM(M9:M9)</f>
        <v>8</v>
      </c>
      <c r="N10" s="159">
        <f>SUM(M9:N9)</f>
        <v>8</v>
      </c>
      <c r="O10" s="159">
        <f>SUM(M9:O9)</f>
        <v>10</v>
      </c>
    </row>
    <row r="11" spans="2:15" s="153" customFormat="1" ht="16.5">
      <c r="B11" s="161"/>
      <c r="C11" s="158"/>
      <c r="D11" s="162" t="str">
        <f>IF(D9=0,"",CHOOSE(D9,"một","hai","ba","bốn","năm","sáu","bảy","tám","chín"))</f>
        <v/>
      </c>
      <c r="E11" s="162" t="str">
        <f>IF(E9=0,IF(AND(D9&lt;&gt;0,F9&lt;&gt;0),"lẻ",""),CHOOSE(E9,"mười ","hai","ba","bốn","năm","sáu","bảy","tám","chín"))</f>
        <v/>
      </c>
      <c r="F11" s="162" t="str">
        <f>IF(F9=0,"",CHOOSE(F9,IF(E9&gt;1,"mốt","một"),"hai","ba","bốn",IF(E9=0,"năm","lăm"),"sáu","bảy","tám","chín"))</f>
        <v>ba</v>
      </c>
      <c r="G11" s="162" t="str">
        <f>IF(G9=0,"",CHOOSE(G9,"một","hai","ba","bốn","năm","sáu","bảy","tám","chín"))</f>
        <v>chín</v>
      </c>
      <c r="H11" s="162" t="str">
        <f>IF(H9=0,IF(AND(G9&lt;&gt;0,I9&lt;&gt;0),"lẻ",""),CHOOSE(H9,"mười","hai","ba","bốn","năm","sáu","bảy","tám","chín"))</f>
        <v>sáu</v>
      </c>
      <c r="I11" s="162" t="str">
        <f>IF(I9=0,"",CHOOSE(I9,IF(H9&gt;1,"mốt","một"),"hai","ba","bốn",IF(H9=0,"năm","lăm"),"sáu","bảy","tám","chín"))</f>
        <v>lăm</v>
      </c>
      <c r="J11" s="162" t="str">
        <f>IF(J9=0,"",CHOOSE(J9,"một","hai","ba","bốn","năm","sáu","bảy","tám","chín"))</f>
        <v>sáu</v>
      </c>
      <c r="K11" s="162" t="str">
        <f>IF(K9=0,IF(AND(J9&lt;&gt;0,L9&lt;&gt;0),"lẻ",""),CHOOSE(K9,"mười","hai","ba","bốn","năm","sáu","bảy","tám","chín"))</f>
        <v>mười</v>
      </c>
      <c r="L11" s="162" t="str">
        <f>IF(L9=0,"",CHOOSE(L9,IF(K9&gt;1,"mốt","một"),"hai","ba","bốn",IF(K9=0,"năm","lăm"),"sáu","bảy","tám","chín"))</f>
        <v>chín</v>
      </c>
      <c r="M11" s="159" t="str">
        <f>IF(M9=0,"",CHOOSE(M9,"một","hai","ba","bốn","năm","sáu","bảy","tám","chín"))</f>
        <v>tám</v>
      </c>
      <c r="N11" s="163" t="str">
        <f>IF(N9=0,IF(AND(M9&lt;&gt;0,O9&lt;&gt;0),"lẻ",""),CHOOSE(N9,"một","hai","ba","bốn","năm","sáu","bảy","tám","chín"))</f>
        <v>lẻ</v>
      </c>
      <c r="O11" s="163" t="str">
        <f>IF(O9=0,"",CHOOSE(O9,IF(N9&gt;1,"một","một"),"hai","ba","bốn",IF(N9=0,"năm","lăm"),"sáu","bảy","tám","chín"))</f>
        <v>hai</v>
      </c>
    </row>
    <row r="12" spans="2:15" s="153" customFormat="1" ht="16.5">
      <c r="B12" s="160"/>
      <c r="C12" s="158"/>
      <c r="D12" s="163" t="str">
        <f>IF(D9=0,"","trăm")</f>
        <v/>
      </c>
      <c r="E12" s="163" t="str">
        <f>IF(E9=0,"",IF(E9=1,"","mươi"))</f>
        <v/>
      </c>
      <c r="F12" s="163" t="str">
        <f>IF(AND(F9=0,F10=0),"","tỷ")</f>
        <v>tỷ</v>
      </c>
      <c r="G12" s="163" t="str">
        <f>IF(G9=0,"","trăm")</f>
        <v>trăm</v>
      </c>
      <c r="H12" s="163" t="str">
        <f>IF(H9=0,"",IF(H9=1,"","mươi"))</f>
        <v>mươi</v>
      </c>
      <c r="I12" s="163" t="str">
        <f>IF(AND(I9=0,I10=0),"","triệu")</f>
        <v>triệu</v>
      </c>
      <c r="J12" s="163" t="str">
        <f>IF(J9=0,"","trăm")</f>
        <v>trăm</v>
      </c>
      <c r="K12" s="163" t="str">
        <f>IF(K9=0,"",IF(K9=1,"","mươi"))</f>
        <v/>
      </c>
      <c r="L12" s="163" t="str">
        <f>IF(AND(L9=0,L10=0),"","ngàn")</f>
        <v>ngàn</v>
      </c>
      <c r="M12" s="163" t="str">
        <f>IF(M9=0,"","trăm")</f>
        <v>trăm</v>
      </c>
      <c r="N12" s="163" t="str">
        <f>IF(N9=0,"",IF(N9=1,"","mươi"))</f>
        <v/>
      </c>
      <c r="O12" s="163" t="s">
        <v>2402</v>
      </c>
    </row>
    <row r="13" spans="2:15" s="153" customFormat="1" ht="16.5">
      <c r="B13" s="160"/>
      <c r="C13" s="159" t="str">
        <f>UPPER(LEFT(TRIM(IF(B8=0,"kh«ng ®ång.",D11&amp;" "&amp;D12&amp;" "&amp;E11&amp;" "&amp;E12&amp;" "&amp;F11&amp;" "&amp;F12&amp;" "&amp;G11&amp;" "&amp;G12&amp;" "&amp;H11&amp;" "&amp;H12&amp;" "&amp;I11&amp;" "&amp;I12&amp;" "&amp;J11&amp;" "&amp;J12&amp;" "&amp;K11&amp;" "&amp;K12&amp;" "&amp;L11&amp;" "&amp;L12&amp;" "&amp;M11&amp;" "&amp;M12&amp;" "&amp;N11&amp;" "&amp;N12&amp;" "&amp;O11&amp;" "&amp;O12)),1))&amp;RIGHT(TRIM(IF(B8=0,"kh«ng ®ång.",D11&amp;" "&amp;D12&amp;" "&amp;E11&amp;" "&amp;E12&amp;" "&amp;F11&amp;" "&amp;F12&amp;" "&amp;G11&amp;" "&amp;G12&amp;" "&amp;H11&amp;" "&amp;H12&amp;" "&amp;I11&amp;" "&amp;I12&amp;" "&amp;J11&amp;" "&amp;J12&amp;" "&amp;K11&amp;" "&amp;K12&amp;" "&amp;L11&amp;" "&amp;L12&amp;" "&amp;M11&amp;" "&amp;M12&amp;" "&amp;N11&amp;" "&amp;N12&amp;" "&amp;O11&amp;" "&amp;O12)),LEN(TRIM(IF(B8=0,"kh«ng ®ång.",D11&amp;" "&amp;D12&amp;" "&amp;E11&amp;" "&amp;E12&amp;" "&amp;F11&amp;" "&amp;F12&amp;" "&amp;G11&amp;" "&amp;G12&amp;" "&amp;H11&amp;" "&amp;H12&amp;" "&amp;I11&amp;" "&amp;I12&amp;" "&amp;J11&amp;" "&amp;J12&amp;" "&amp;K11&amp;" "&amp;K12&amp;" "&amp;L11&amp;" "&amp;L12&amp;" "&amp;M11&amp;" "&amp;M12&amp;" "&amp;N11&amp;" "&amp;N12&amp;" "&amp;O11&amp;" "&amp;O12)))-1)</f>
        <v>Ba tỷ chín trăm sáu mươi lăm triệu sáu trăm mười chín ngàn tám trăm lẻ hai đồng./.</v>
      </c>
      <c r="D13" s="158"/>
      <c r="E13" s="158"/>
      <c r="F13" s="158"/>
      <c r="G13" s="158"/>
      <c r="H13" s="158"/>
      <c r="I13" s="158"/>
      <c r="J13" s="158"/>
      <c r="K13" s="158"/>
      <c r="L13" s="158"/>
      <c r="M13" s="158"/>
      <c r="N13" s="158"/>
      <c r="O13" s="158"/>
    </row>
    <row r="15" spans="2:15" s="153" customFormat="1" ht="16.5">
      <c r="B15" s="154" t="e">
        <f>#REF!</f>
        <v>#REF!</v>
      </c>
      <c r="C15" s="155" t="e">
        <f>RIGHT("000000000000"&amp;ROUND(B15,0),12)</f>
        <v>#REF!</v>
      </c>
      <c r="D15" s="156">
        <v>1</v>
      </c>
      <c r="E15" s="156">
        <v>2</v>
      </c>
      <c r="F15" s="156">
        <v>3</v>
      </c>
      <c r="G15" s="156">
        <v>4</v>
      </c>
      <c r="H15" s="156">
        <v>5</v>
      </c>
      <c r="I15" s="156">
        <v>6</v>
      </c>
      <c r="J15" s="156">
        <v>7</v>
      </c>
      <c r="K15" s="156">
        <v>8</v>
      </c>
      <c r="L15" s="156">
        <v>9</v>
      </c>
      <c r="M15" s="156">
        <v>10</v>
      </c>
      <c r="N15" s="156">
        <v>11</v>
      </c>
      <c r="O15" s="156">
        <v>12</v>
      </c>
    </row>
    <row r="16" spans="2:15" s="153" customFormat="1" ht="25.5">
      <c r="B16" s="157" t="s">
        <v>2483</v>
      </c>
      <c r="C16" s="158"/>
      <c r="D16" s="159" t="e">
        <f>VALUE(MID(C15,D15,1))</f>
        <v>#REF!</v>
      </c>
      <c r="E16" s="159" t="e">
        <f>VALUE(MID(C15,E15,1))</f>
        <v>#REF!</v>
      </c>
      <c r="F16" s="159" t="e">
        <f>VALUE(MID(C15,F15,1))</f>
        <v>#REF!</v>
      </c>
      <c r="G16" s="159" t="e">
        <f>VALUE(MID(C15,G15,1))</f>
        <v>#REF!</v>
      </c>
      <c r="H16" s="159" t="e">
        <f>VALUE(MID(C15,H15,1))</f>
        <v>#REF!</v>
      </c>
      <c r="I16" s="159" t="e">
        <f>VALUE(MID(C15,I15,1))</f>
        <v>#REF!</v>
      </c>
      <c r="J16" s="159" t="e">
        <f>VALUE(MID(C15,J15,1))</f>
        <v>#REF!</v>
      </c>
      <c r="K16" s="159" t="e">
        <f>VALUE(MID(C15,K15,1))</f>
        <v>#REF!</v>
      </c>
      <c r="L16" s="159" t="e">
        <f>VALUE(MID(C15,L15,1))</f>
        <v>#REF!</v>
      </c>
      <c r="M16" s="159" t="e">
        <f>VALUE(MID(C15,M15,1))</f>
        <v>#REF!</v>
      </c>
      <c r="N16" s="159" t="e">
        <f>VALUE(MID(C15,N15,1))</f>
        <v>#REF!</v>
      </c>
      <c r="O16" s="159" t="e">
        <f>VALUE(MID(C15,O15,1))</f>
        <v>#REF!</v>
      </c>
    </row>
    <row r="17" spans="2:15" s="153" customFormat="1" ht="16.5">
      <c r="B17" s="160"/>
      <c r="C17" s="158"/>
      <c r="D17" s="159" t="e">
        <f>SUM(D16:D16)</f>
        <v>#REF!</v>
      </c>
      <c r="E17" s="159" t="e">
        <f>SUM(D16:E16)</f>
        <v>#REF!</v>
      </c>
      <c r="F17" s="159" t="e">
        <f>SUM(D16:F16)</f>
        <v>#REF!</v>
      </c>
      <c r="G17" s="159" t="e">
        <f>SUM(G16:G16)</f>
        <v>#REF!</v>
      </c>
      <c r="H17" s="159" t="e">
        <f>SUM(G16:H16)</f>
        <v>#REF!</v>
      </c>
      <c r="I17" s="159" t="e">
        <f>SUM(G16:I16)</f>
        <v>#REF!</v>
      </c>
      <c r="J17" s="159" t="e">
        <f>SUM(J16:J16)</f>
        <v>#REF!</v>
      </c>
      <c r="K17" s="159" t="e">
        <f>SUM(J16:K16)</f>
        <v>#REF!</v>
      </c>
      <c r="L17" s="159" t="e">
        <f>SUM(J16:L16)</f>
        <v>#REF!</v>
      </c>
      <c r="M17" s="159" t="e">
        <f>SUM(M16:M16)</f>
        <v>#REF!</v>
      </c>
      <c r="N17" s="159" t="e">
        <f>SUM(M16:N16)</f>
        <v>#REF!</v>
      </c>
      <c r="O17" s="159" t="e">
        <f>SUM(M16:O16)</f>
        <v>#REF!</v>
      </c>
    </row>
    <row r="18" spans="2:15" s="153" customFormat="1" ht="16.5">
      <c r="B18" s="161"/>
      <c r="C18" s="158"/>
      <c r="D18" s="162" t="e">
        <f>IF(D16=0,"",CHOOSE(D16,"một","hai","ba","bốn","năm","sáu","bảy","tám","chín"))</f>
        <v>#REF!</v>
      </c>
      <c r="E18" s="162" t="e">
        <f>IF(E16=0,IF(AND(D16&lt;&gt;0,F16&lt;&gt;0),"lẻ",""),CHOOSE(E16,"mười ","hai","ba","bốn","năm","sáu","bảy","tám","chín"))</f>
        <v>#REF!</v>
      </c>
      <c r="F18" s="162" t="e">
        <f>IF(F16=0,"",CHOOSE(F16,IF(E16&gt;1,"mốt","một"),"hai","ba","bốn",IF(E16=0,"năm","lăm"),"sáu","bảy","tám","chín"))</f>
        <v>#REF!</v>
      </c>
      <c r="G18" s="162" t="e">
        <f>IF(G16=0,"",CHOOSE(G16,"một","hai","ba","bốn","năm","sáu","bảy","tám","chín"))</f>
        <v>#REF!</v>
      </c>
      <c r="H18" s="162" t="e">
        <f>IF(H16=0,IF(AND(G16&lt;&gt;0,I16&lt;&gt;0),"lẻ",""),CHOOSE(H16,"mười","hai","ba","bốn","năm","sáu","bảy","tám","chín"))</f>
        <v>#REF!</v>
      </c>
      <c r="I18" s="162" t="e">
        <f>IF(I16=0,"",CHOOSE(I16,IF(H16&gt;1,"mốt","một"),"hai","ba","bốn",IF(H16=0,"năm","lăm"),"sáu","bảy","tám","chín"))</f>
        <v>#REF!</v>
      </c>
      <c r="J18" s="162" t="e">
        <f>IF(J16=0,"",CHOOSE(J16,"một","hai","ba","bốn","năm","sáu","bảy","tám","chín"))</f>
        <v>#REF!</v>
      </c>
      <c r="K18" s="162" t="e">
        <f>IF(K16=0,IF(AND(J16&lt;&gt;0,L16&lt;&gt;0),"lẻ",""),CHOOSE(K16,"mười","hai","ba","bốn","năm","sáu","bảy","tám","chín"))</f>
        <v>#REF!</v>
      </c>
      <c r="L18" s="162" t="e">
        <f>IF(L16=0,"",CHOOSE(L16,IF(K16&gt;1,"mốt","một"),"hai","ba","bốn",IF(K16=0,"năm","lăm"),"sáu","bảy","tám","chín"))</f>
        <v>#REF!</v>
      </c>
      <c r="M18" s="159" t="e">
        <f>IF(M16=0,"",CHOOSE(M16,"một","hai","ba","bốn","năm","sáu","bảy","tám","chín"))</f>
        <v>#REF!</v>
      </c>
      <c r="N18" s="163" t="e">
        <f>IF(N16=0,IF(AND(M16&lt;&gt;0,O16&lt;&gt;0),"lẻ",""),CHOOSE(N16,"một","hai","ba","bốn","năm","sáu","bảy","tám","chín"))</f>
        <v>#REF!</v>
      </c>
      <c r="O18" s="163" t="e">
        <f>IF(O16=0,"",CHOOSE(O16,IF(N16&gt;1,"một","một"),"hai","ba","bốn",IF(N16=0,"năm","lăm"),"sáu","bảy","tám","chín"))</f>
        <v>#REF!</v>
      </c>
    </row>
    <row r="19" spans="2:15" s="153" customFormat="1" ht="16.5">
      <c r="B19" s="160"/>
      <c r="C19" s="158"/>
      <c r="D19" s="163" t="e">
        <f>IF(D16=0,"","trăm")</f>
        <v>#REF!</v>
      </c>
      <c r="E19" s="163" t="e">
        <f>IF(E16=0,"",IF(E16=1,"","mươi"))</f>
        <v>#REF!</v>
      </c>
      <c r="F19" s="163" t="e">
        <f>IF(AND(F16=0,F17=0),"","tỷ")</f>
        <v>#REF!</v>
      </c>
      <c r="G19" s="163" t="e">
        <f>IF(G16=0,"","trăm")</f>
        <v>#REF!</v>
      </c>
      <c r="H19" s="163" t="e">
        <f>IF(H16=0,"",IF(H16=1,"","mươi"))</f>
        <v>#REF!</v>
      </c>
      <c r="I19" s="163" t="e">
        <f>IF(AND(I16=0,I17=0),"","triệu")</f>
        <v>#REF!</v>
      </c>
      <c r="J19" s="163" t="e">
        <f>IF(J16=0,"","trăm")</f>
        <v>#REF!</v>
      </c>
      <c r="K19" s="163" t="e">
        <f>IF(K16=0,"",IF(K16=1,"","mươi"))</f>
        <v>#REF!</v>
      </c>
      <c r="L19" s="163" t="e">
        <f>IF(AND(L16=0,L17=0),"","ngàn")</f>
        <v>#REF!</v>
      </c>
      <c r="M19" s="163" t="e">
        <f>IF(M16=0,"","trăm")</f>
        <v>#REF!</v>
      </c>
      <c r="N19" s="163" t="e">
        <f>IF(N16=0,"",IF(N16=1,"","mươi"))</f>
        <v>#REF!</v>
      </c>
      <c r="O19" s="163" t="s">
        <v>2402</v>
      </c>
    </row>
    <row r="20" spans="2:15" s="153" customFormat="1" ht="16.5">
      <c r="B20" s="160"/>
      <c r="C20" s="159" t="e">
        <f>UPPER(LEFT(TRIM(IF(B15=0,"kh«ng ®ång.",D18&amp;" "&amp;D19&amp;" "&amp;E18&amp;" "&amp;E19&amp;" "&amp;F18&amp;" "&amp;F19&amp;" "&amp;G18&amp;" "&amp;G19&amp;" "&amp;H18&amp;" "&amp;H19&amp;" "&amp;I18&amp;" "&amp;I19&amp;" "&amp;J18&amp;" "&amp;J19&amp;" "&amp;K18&amp;" "&amp;K19&amp;" "&amp;L18&amp;" "&amp;L19&amp;" "&amp;M18&amp;" "&amp;M19&amp;" "&amp;N18&amp;" "&amp;N19&amp;" "&amp;O18&amp;" "&amp;O19)),1))&amp;RIGHT(TRIM(IF(B15=0,"kh«ng ®ång.",D18&amp;" "&amp;D19&amp;" "&amp;E18&amp;" "&amp;E19&amp;" "&amp;F18&amp;" "&amp;F19&amp;" "&amp;G18&amp;" "&amp;G19&amp;" "&amp;H18&amp;" "&amp;H19&amp;" "&amp;I18&amp;" "&amp;I19&amp;" "&amp;J18&amp;" "&amp;J19&amp;" "&amp;K18&amp;" "&amp;K19&amp;" "&amp;L18&amp;" "&amp;L19&amp;" "&amp;M18&amp;" "&amp;M19&amp;" "&amp;N18&amp;" "&amp;N19&amp;" "&amp;O18&amp;" "&amp;O19)),LEN(TRIM(IF(B15=0,"kh«ng ®ång.",D18&amp;" "&amp;D19&amp;" "&amp;E18&amp;" "&amp;E19&amp;" "&amp;F18&amp;" "&amp;F19&amp;" "&amp;G18&amp;" "&amp;G19&amp;" "&amp;H18&amp;" "&amp;H19&amp;" "&amp;I18&amp;" "&amp;I19&amp;" "&amp;J18&amp;" "&amp;J19&amp;" "&amp;K18&amp;" "&amp;K19&amp;" "&amp;L18&amp;" "&amp;L19&amp;" "&amp;M18&amp;" "&amp;M19&amp;" "&amp;N18&amp;" "&amp;N19&amp;" "&amp;O18&amp;" "&amp;O19)))-1)</f>
        <v>#REF!</v>
      </c>
      <c r="D20" s="158"/>
      <c r="E20" s="158"/>
      <c r="F20" s="158"/>
      <c r="G20" s="158"/>
      <c r="H20" s="158"/>
      <c r="I20" s="158"/>
      <c r="J20" s="158"/>
      <c r="K20" s="158"/>
      <c r="L20" s="158"/>
      <c r="M20" s="158"/>
      <c r="N20" s="158"/>
      <c r="O20" s="158"/>
    </row>
    <row r="22" spans="2:15" s="153" customFormat="1" ht="16.5">
      <c r="B22" s="154" t="e">
        <f>#REF!</f>
        <v>#REF!</v>
      </c>
      <c r="C22" s="155" t="e">
        <f>RIGHT("000000000000"&amp;ROUND(B22,0),12)</f>
        <v>#REF!</v>
      </c>
      <c r="D22" s="156">
        <v>1</v>
      </c>
      <c r="E22" s="156">
        <v>2</v>
      </c>
      <c r="F22" s="156">
        <v>3</v>
      </c>
      <c r="G22" s="156">
        <v>4</v>
      </c>
      <c r="H22" s="156">
        <v>5</v>
      </c>
      <c r="I22" s="156">
        <v>6</v>
      </c>
      <c r="J22" s="156">
        <v>7</v>
      </c>
      <c r="K22" s="156">
        <v>8</v>
      </c>
      <c r="L22" s="156">
        <v>9</v>
      </c>
      <c r="M22" s="156">
        <v>10</v>
      </c>
      <c r="N22" s="156">
        <v>11</v>
      </c>
      <c r="O22" s="156">
        <v>12</v>
      </c>
    </row>
    <row r="23" spans="2:15" s="153" customFormat="1" ht="25.5">
      <c r="B23" s="157" t="s">
        <v>2483</v>
      </c>
      <c r="C23" s="158"/>
      <c r="D23" s="159" t="e">
        <f>VALUE(MID(C22,D22,1))</f>
        <v>#REF!</v>
      </c>
      <c r="E23" s="159" t="e">
        <f>VALUE(MID(C22,E22,1))</f>
        <v>#REF!</v>
      </c>
      <c r="F23" s="159" t="e">
        <f>VALUE(MID(C22,F22,1))</f>
        <v>#REF!</v>
      </c>
      <c r="G23" s="159" t="e">
        <f>VALUE(MID(C22,G22,1))</f>
        <v>#REF!</v>
      </c>
      <c r="H23" s="159" t="e">
        <f>VALUE(MID(C22,H22,1))</f>
        <v>#REF!</v>
      </c>
      <c r="I23" s="159" t="e">
        <f>VALUE(MID(C22,I22,1))</f>
        <v>#REF!</v>
      </c>
      <c r="J23" s="159" t="e">
        <f>VALUE(MID(C22,J22,1))</f>
        <v>#REF!</v>
      </c>
      <c r="K23" s="159" t="e">
        <f>VALUE(MID(C22,K22,1))</f>
        <v>#REF!</v>
      </c>
      <c r="L23" s="159" t="e">
        <f>VALUE(MID(C22,L22,1))</f>
        <v>#REF!</v>
      </c>
      <c r="M23" s="159" t="e">
        <f>VALUE(MID(C22,M22,1))</f>
        <v>#REF!</v>
      </c>
      <c r="N23" s="159" t="e">
        <f>VALUE(MID(C22,N22,1))</f>
        <v>#REF!</v>
      </c>
      <c r="O23" s="159" t="e">
        <f>VALUE(MID(C22,O22,1))</f>
        <v>#REF!</v>
      </c>
    </row>
    <row r="24" spans="2:15" s="153" customFormat="1" ht="16.5">
      <c r="B24" s="160"/>
      <c r="C24" s="158"/>
      <c r="D24" s="159" t="e">
        <f>SUM(D23:D23)</f>
        <v>#REF!</v>
      </c>
      <c r="E24" s="159" t="e">
        <f>SUM(D23:E23)</f>
        <v>#REF!</v>
      </c>
      <c r="F24" s="159" t="e">
        <f>SUM(D23:F23)</f>
        <v>#REF!</v>
      </c>
      <c r="G24" s="159" t="e">
        <f>SUM(G23:G23)</f>
        <v>#REF!</v>
      </c>
      <c r="H24" s="159" t="e">
        <f>SUM(G23:H23)</f>
        <v>#REF!</v>
      </c>
      <c r="I24" s="159" t="e">
        <f>SUM(G23:I23)</f>
        <v>#REF!</v>
      </c>
      <c r="J24" s="159" t="e">
        <f>SUM(J23:J23)</f>
        <v>#REF!</v>
      </c>
      <c r="K24" s="159" t="e">
        <f>SUM(J23:K23)</f>
        <v>#REF!</v>
      </c>
      <c r="L24" s="159" t="e">
        <f>SUM(J23:L23)</f>
        <v>#REF!</v>
      </c>
      <c r="M24" s="159" t="e">
        <f>SUM(M23:M23)</f>
        <v>#REF!</v>
      </c>
      <c r="N24" s="159" t="e">
        <f>SUM(M23:N23)</f>
        <v>#REF!</v>
      </c>
      <c r="O24" s="159" t="e">
        <f>SUM(M23:O23)</f>
        <v>#REF!</v>
      </c>
    </row>
    <row r="25" spans="2:15" s="153" customFormat="1" ht="16.5">
      <c r="B25" s="161"/>
      <c r="C25" s="158"/>
      <c r="D25" s="162" t="e">
        <f>IF(D23=0,"",CHOOSE(D23,"một","hai","ba","bốn","năm","sáu","bảy","tám","chín"))</f>
        <v>#REF!</v>
      </c>
      <c r="E25" s="162" t="e">
        <f>IF(E23=0,IF(AND(D23&lt;&gt;0,F23&lt;&gt;0),"lẻ",""),CHOOSE(E23,"mười ","hai","ba","bốn","năm","sáu","bảy","tám","chín"))</f>
        <v>#REF!</v>
      </c>
      <c r="F25" s="162" t="e">
        <f>IF(F23=0,"",CHOOSE(F23,IF(E23&gt;1,"mốt","một"),"hai","ba","bốn",IF(E23=0,"năm","lăm"),"sáu","bảy","tám","chín"))</f>
        <v>#REF!</v>
      </c>
      <c r="G25" s="162" t="e">
        <f>IF(G23=0,"",CHOOSE(G23,"một","hai","ba","bốn","năm","sáu","bảy","tám","chín"))</f>
        <v>#REF!</v>
      </c>
      <c r="H25" s="162" t="e">
        <f>IF(H23=0,IF(AND(G23&lt;&gt;0,I23&lt;&gt;0),"lẻ",""),CHOOSE(H23,"mười","hai","ba","bốn","năm","sáu","bảy","tám","chín"))</f>
        <v>#REF!</v>
      </c>
      <c r="I25" s="162" t="e">
        <f>IF(I23=0,"",CHOOSE(I23,IF(H23&gt;1,"mốt","một"),"hai","ba","bốn",IF(H23=0,"năm","lăm"),"sáu","bảy","tám","chín"))</f>
        <v>#REF!</v>
      </c>
      <c r="J25" s="162" t="e">
        <f>IF(J23=0,"",CHOOSE(J23,"một","hai","ba","bốn","năm","sáu","bảy","tám","chín"))</f>
        <v>#REF!</v>
      </c>
      <c r="K25" s="162" t="e">
        <f>IF(K23=0,IF(AND(J23&lt;&gt;0,L23&lt;&gt;0),"lẻ",""),CHOOSE(K23,"mười","hai","ba","bốn","năm","sáu","bảy","tám","chín"))</f>
        <v>#REF!</v>
      </c>
      <c r="L25" s="162" t="e">
        <f>IF(L23=0,"",CHOOSE(L23,IF(K23&gt;1,"mốt","một"),"hai","ba","bốn",IF(K23=0,"năm","lăm"),"sáu","bảy","tám","chín"))</f>
        <v>#REF!</v>
      </c>
      <c r="M25" s="159" t="e">
        <f>IF(M23=0,"",CHOOSE(M23,"một","hai","ba","bốn","năm","sáu","bảy","tám","chín"))</f>
        <v>#REF!</v>
      </c>
      <c r="N25" s="163" t="e">
        <f>IF(N23=0,IF(AND(M23&lt;&gt;0,O23&lt;&gt;0),"lẻ",""),CHOOSE(N23,"một","hai","ba","bốn","năm","sáu","bảy","tám","chín"))</f>
        <v>#REF!</v>
      </c>
      <c r="O25" s="163" t="e">
        <f>IF(O23=0,"",CHOOSE(O23,IF(N23&gt;1,"một","một"),"hai","ba","bốn",IF(N23=0,"năm","lăm"),"sáu","bảy","tám","chín"))</f>
        <v>#REF!</v>
      </c>
    </row>
    <row r="26" spans="2:15" s="153" customFormat="1" ht="16.5">
      <c r="B26" s="160"/>
      <c r="C26" s="158"/>
      <c r="D26" s="163" t="e">
        <f>IF(D23=0,"","trăm")</f>
        <v>#REF!</v>
      </c>
      <c r="E26" s="163" t="e">
        <f>IF(E23=0,"",IF(E23=1,"","mươi"))</f>
        <v>#REF!</v>
      </c>
      <c r="F26" s="163" t="e">
        <f>IF(AND(F23=0,F24=0),"","tỷ")</f>
        <v>#REF!</v>
      </c>
      <c r="G26" s="163" t="e">
        <f>IF(G23=0,"","trăm")</f>
        <v>#REF!</v>
      </c>
      <c r="H26" s="163" t="e">
        <f>IF(H23=0,"",IF(H23=1,"","mươi"))</f>
        <v>#REF!</v>
      </c>
      <c r="I26" s="163" t="e">
        <f>IF(AND(I23=0,I24=0),"","triệu")</f>
        <v>#REF!</v>
      </c>
      <c r="J26" s="163" t="e">
        <f>IF(J23=0,"","trăm")</f>
        <v>#REF!</v>
      </c>
      <c r="K26" s="163" t="e">
        <f>IF(K23=0,"",IF(K23=1,"","mươi"))</f>
        <v>#REF!</v>
      </c>
      <c r="L26" s="163" t="e">
        <f>IF(AND(L23=0,L24=0),"","ngàn")</f>
        <v>#REF!</v>
      </c>
      <c r="M26" s="163" t="e">
        <f>IF(M23=0,"","trăm")</f>
        <v>#REF!</v>
      </c>
      <c r="N26" s="163" t="e">
        <f>IF(N23=0,"",IF(N23=1,"","mươi"))</f>
        <v>#REF!</v>
      </c>
      <c r="O26" s="163" t="s">
        <v>2402</v>
      </c>
    </row>
    <row r="27" spans="2:15" s="153" customFormat="1" ht="16.5">
      <c r="B27" s="160"/>
      <c r="C27" s="159" t="e">
        <f>UPPER(LEFT(TRIM(IF(B22=0,"kh«ng ®ång.",D25&amp;" "&amp;D26&amp;" "&amp;E25&amp;" "&amp;E26&amp;" "&amp;F25&amp;" "&amp;F26&amp;" "&amp;G25&amp;" "&amp;G26&amp;" "&amp;H25&amp;" "&amp;H26&amp;" "&amp;I25&amp;" "&amp;I26&amp;" "&amp;J25&amp;" "&amp;J26&amp;" "&amp;K25&amp;" "&amp;K26&amp;" "&amp;L25&amp;" "&amp;L26&amp;" "&amp;M25&amp;" "&amp;M26&amp;" "&amp;N25&amp;" "&amp;N26&amp;" "&amp;O25&amp;" "&amp;O26)),1))&amp;RIGHT(TRIM(IF(B22=0,"kh«ng ®ång.",D25&amp;" "&amp;D26&amp;" "&amp;E25&amp;" "&amp;E26&amp;" "&amp;F25&amp;" "&amp;F26&amp;" "&amp;G25&amp;" "&amp;G26&amp;" "&amp;H25&amp;" "&amp;H26&amp;" "&amp;I25&amp;" "&amp;I26&amp;" "&amp;J25&amp;" "&amp;J26&amp;" "&amp;K25&amp;" "&amp;K26&amp;" "&amp;L25&amp;" "&amp;L26&amp;" "&amp;M25&amp;" "&amp;M26&amp;" "&amp;N25&amp;" "&amp;N26&amp;" "&amp;O25&amp;" "&amp;O26)),LEN(TRIM(IF(B22=0,"kh«ng ®ång.",D25&amp;" "&amp;D26&amp;" "&amp;E25&amp;" "&amp;E26&amp;" "&amp;F25&amp;" "&amp;F26&amp;" "&amp;G25&amp;" "&amp;G26&amp;" "&amp;H25&amp;" "&amp;H26&amp;" "&amp;I25&amp;" "&amp;I26&amp;" "&amp;J25&amp;" "&amp;J26&amp;" "&amp;K25&amp;" "&amp;K26&amp;" "&amp;L25&amp;" "&amp;L26&amp;" "&amp;M25&amp;" "&amp;M26&amp;" "&amp;N25&amp;" "&amp;N26&amp;" "&amp;O25&amp;" "&amp;O26)))-1)</f>
        <v>#REF!</v>
      </c>
      <c r="D27" s="158"/>
      <c r="E27" s="158"/>
      <c r="F27" s="158"/>
      <c r="G27" s="158"/>
      <c r="H27" s="158"/>
      <c r="I27" s="158"/>
      <c r="J27" s="158"/>
      <c r="K27" s="158"/>
      <c r="L27" s="158"/>
      <c r="M27" s="158"/>
      <c r="N27" s="158"/>
      <c r="O27" s="158"/>
    </row>
  </sheetData>
  <phoneticPr fontId="0" type="noConversion"/>
  <pageMargins left="0.3" right="0.17" top="0.34" bottom="0.56999999999999995" header="0.19" footer="0.23"/>
  <pageSetup paperSize="9" scale="50" orientation="landscape" r:id="rId1"/>
  <headerFooter alignWithMargins="0">
    <oddHeader>&amp;R&amp;D - &amp;T</oddHeader>
    <oddFooter>&amp;LLNTU@HAU1.EDU.VN - 0904028776&amp;C&amp;P&amp;R&amp;F</oddFooter>
  </headerFooter>
</worksheet>
</file>

<file path=xl/worksheets/sheet2.xml><?xml version="1.0" encoding="utf-8"?>
<worksheet xmlns="http://schemas.openxmlformats.org/spreadsheetml/2006/main" xmlns:r="http://schemas.openxmlformats.org/officeDocument/2006/relationships">
  <sheetPr codeName="Sheet1"/>
  <dimension ref="A1:L117"/>
  <sheetViews>
    <sheetView topLeftCell="A21" workbookViewId="0">
      <selection activeCell="B30" sqref="B30"/>
    </sheetView>
  </sheetViews>
  <sheetFormatPr defaultRowHeight="15.75"/>
  <cols>
    <col min="1" max="1" width="8.125" style="40" bestFit="1" customWidth="1"/>
    <col min="2" max="2" width="35.625" style="40" bestFit="1" customWidth="1"/>
    <col min="3" max="3" width="9" style="40"/>
    <col min="4" max="4" width="14.5" style="40" customWidth="1"/>
    <col min="5" max="5" width="9.125" style="40" bestFit="1" customWidth="1"/>
    <col min="6" max="6" width="18.125" style="40" bestFit="1" customWidth="1"/>
    <col min="7" max="7" width="9" style="40"/>
    <col min="8" max="8" width="9.125" style="40" bestFit="1" customWidth="1"/>
    <col min="9" max="9" width="14.75" style="40" bestFit="1" customWidth="1"/>
    <col min="10" max="10" width="14.75" style="40" customWidth="1"/>
    <col min="11" max="11" width="14" style="40" bestFit="1" customWidth="1"/>
    <col min="12" max="12" width="21.75" style="40" bestFit="1" customWidth="1"/>
    <col min="13" max="16384" width="9" style="40"/>
  </cols>
  <sheetData>
    <row r="1" spans="1:12">
      <c r="A1" s="40" t="s">
        <v>1202</v>
      </c>
    </row>
    <row r="2" spans="1:12">
      <c r="D2" s="310" t="s">
        <v>1890</v>
      </c>
      <c r="E2" s="310"/>
      <c r="F2" s="310"/>
      <c r="G2" s="40" t="s">
        <v>43</v>
      </c>
    </row>
    <row r="3" spans="1:12">
      <c r="A3" s="40" t="s">
        <v>1338</v>
      </c>
      <c r="B3" s="40" t="s">
        <v>1203</v>
      </c>
      <c r="C3" s="40" t="s">
        <v>1889</v>
      </c>
      <c r="D3" s="40" t="s">
        <v>1204</v>
      </c>
      <c r="E3" s="40" t="s">
        <v>1326</v>
      </c>
      <c r="F3" s="40" t="s">
        <v>1315</v>
      </c>
      <c r="G3" s="40" t="s">
        <v>2481</v>
      </c>
      <c r="H3" s="40" t="s">
        <v>1315</v>
      </c>
      <c r="I3" s="40" t="s">
        <v>1345</v>
      </c>
      <c r="J3" s="40" t="s">
        <v>1019</v>
      </c>
      <c r="K3" s="40" t="s">
        <v>1346</v>
      </c>
      <c r="L3" s="40" t="s">
        <v>1020</v>
      </c>
    </row>
    <row r="4" spans="1:12">
      <c r="A4" s="40">
        <v>1</v>
      </c>
      <c r="B4" s="40" t="s">
        <v>1327</v>
      </c>
      <c r="C4" s="40">
        <f>SUMIF(TH_Bo_mon!$B$8:$B$111,A4,TH_Bo_mon!$D$8:$D$111)</f>
        <v>74</v>
      </c>
      <c r="D4" s="45">
        <f>SUMIF(vuot2019_2020_I!$H$12:$H$752,A4,vuot2019_2020_I!$AL$12:$AL$752)</f>
        <v>9563.8000000000065</v>
      </c>
      <c r="E4" s="45">
        <f>SUMIF(vuot2019_2020_I!$H$12:$H$752,A4,vuot2019_2020_I!$AM$12:$AM$752)</f>
        <v>950.40000000000009</v>
      </c>
      <c r="F4" s="45">
        <f>SUMIF(vuot2019_2020_I!$H$12:$H$752,A4,vuot2019_2020_I!$AI$12:$AI$752)</f>
        <v>8772.2699999999968</v>
      </c>
      <c r="G4" s="44">
        <f>(D4+E4)/C4</f>
        <v>142.08378378378387</v>
      </c>
      <c r="H4" s="44">
        <f>F4/C4</f>
        <v>118.54418918918914</v>
      </c>
      <c r="I4" s="45">
        <f>SUMIF(TH_Bo_mon!$B$8:$B$111,A4,TH_Bo_mon!$X$8:$X$111)</f>
        <v>38124575</v>
      </c>
      <c r="J4" s="45">
        <f>I4/10000</f>
        <v>3812.4575</v>
      </c>
      <c r="K4" s="151">
        <f>I4/C4</f>
        <v>515196.95945945947</v>
      </c>
      <c r="L4" s="151">
        <f>K4/1000</f>
        <v>515.19695945945944</v>
      </c>
    </row>
    <row r="5" spans="1:12">
      <c r="A5" s="40">
        <v>2</v>
      </c>
      <c r="B5" s="40" t="s">
        <v>217</v>
      </c>
      <c r="C5" s="40">
        <f>SUMIF(TH_Bo_mon!$B$8:$B$111,A5,TH_Bo_mon!$D$8:$D$111)</f>
        <v>39</v>
      </c>
      <c r="D5" s="45">
        <f>SUMIF(vuot2019_2020_I!$H$12:$H$752,A5,vuot2019_2020_I!$AL$12:$AL$752)</f>
        <v>8804.5999999999985</v>
      </c>
      <c r="E5" s="45">
        <f>SUMIF(vuot2019_2020_I!$H$12:$H$752,A5,vuot2019_2020_I!$AM$12:$AM$752)</f>
        <v>741.6</v>
      </c>
      <c r="F5" s="45">
        <f>SUMIF(vuot2019_2020_I!$H$12:$H$752,A5,vuot2019_2020_I!$AI$12:$AI$752)</f>
        <v>4006.6500000000005</v>
      </c>
      <c r="G5" s="44">
        <f t="shared" ref="G5:G20" si="0">(D5+E5)/C5</f>
        <v>244.77435897435893</v>
      </c>
      <c r="H5" s="44">
        <f t="shared" ref="H5:H20" si="1">F5/C5</f>
        <v>102.7346153846154</v>
      </c>
      <c r="I5" s="45">
        <f>SUMIF(TH_Bo_mon!$B$8:$B$111,A5,TH_Bo_mon!$X$8:$X$111)</f>
        <v>294209900</v>
      </c>
      <c r="J5" s="45">
        <f t="shared" ref="J5:J20" si="2">I5/10000</f>
        <v>29420.99</v>
      </c>
      <c r="K5" s="151">
        <f t="shared" ref="K5:K22" si="3">I5/C5</f>
        <v>7543843.58974359</v>
      </c>
      <c r="L5" s="151">
        <f t="shared" ref="L5:L22" si="4">K5/1000</f>
        <v>7543.8435897435902</v>
      </c>
    </row>
    <row r="6" spans="1:12">
      <c r="A6" s="40">
        <v>3</v>
      </c>
      <c r="B6" s="40" t="s">
        <v>1414</v>
      </c>
      <c r="C6" s="40">
        <f>SUMIF(TH_Bo_mon!$B$8:$B$111,A6,TH_Bo_mon!$D$8:$D$111)</f>
        <v>47</v>
      </c>
      <c r="D6" s="45">
        <f>SUMIF(vuot2019_2020_I!$H$12:$H$752,A6,vuot2019_2020_I!$AL$12:$AL$752)</f>
        <v>4462.5999999999985</v>
      </c>
      <c r="E6" s="45">
        <f>SUMIF(vuot2019_2020_I!$H$12:$H$752,A6,vuot2019_2020_I!$AM$12:$AM$752)</f>
        <v>4581.8</v>
      </c>
      <c r="F6" s="45">
        <f>SUMIF(vuot2019_2020_I!$H$12:$H$752,A6,vuot2019_2020_I!$AI$12:$AI$752)</f>
        <v>4693.0000000000009</v>
      </c>
      <c r="G6" s="44">
        <f t="shared" si="0"/>
        <v>192.43404255319143</v>
      </c>
      <c r="H6" s="44">
        <f t="shared" si="1"/>
        <v>99.85106382978725</v>
      </c>
      <c r="I6" s="45">
        <f>SUMIF(TH_Bo_mon!$B$8:$B$111,A6,TH_Bo_mon!$X$8:$X$111)</f>
        <v>167570750</v>
      </c>
      <c r="J6" s="45">
        <f t="shared" si="2"/>
        <v>16757.075000000001</v>
      </c>
      <c r="K6" s="151">
        <f t="shared" si="3"/>
        <v>3565335.1063829786</v>
      </c>
      <c r="L6" s="151">
        <f t="shared" si="4"/>
        <v>3565.3351063829787</v>
      </c>
    </row>
    <row r="7" spans="1:12">
      <c r="A7" s="40">
        <v>4</v>
      </c>
      <c r="B7" s="40" t="s">
        <v>1328</v>
      </c>
      <c r="C7" s="40">
        <f>SUMIF(TH_Bo_mon!$B$8:$B$111,A7,TH_Bo_mon!$D$8:$D$111)</f>
        <v>50</v>
      </c>
      <c r="D7" s="45">
        <f>SUMIF(vuot2019_2020_I!$H$12:$H$752,A7,vuot2019_2020_I!$AL$12:$AL$752)</f>
        <v>8201.5</v>
      </c>
      <c r="E7" s="45">
        <f>SUMIF(vuot2019_2020_I!$H$12:$H$752,A7,vuot2019_2020_I!$AM$12:$AM$752)</f>
        <v>0</v>
      </c>
      <c r="F7" s="45">
        <f>SUMIF(vuot2019_2020_I!$H$12:$H$752,A7,vuot2019_2020_I!$AI$12:$AI$752)</f>
        <v>4567.34</v>
      </c>
      <c r="G7" s="44">
        <f t="shared" si="0"/>
        <v>164.03</v>
      </c>
      <c r="H7" s="44">
        <f t="shared" si="1"/>
        <v>91.346800000000002</v>
      </c>
      <c r="I7" s="45">
        <f>SUMIF(TH_Bo_mon!$B$8:$B$111,A7,TH_Bo_mon!$X$8:$X$111)</f>
        <v>54740700</v>
      </c>
      <c r="J7" s="45">
        <f t="shared" si="2"/>
        <v>5474.07</v>
      </c>
      <c r="K7" s="151">
        <f t="shared" si="3"/>
        <v>1094814</v>
      </c>
      <c r="L7" s="151">
        <f t="shared" si="4"/>
        <v>1094.8140000000001</v>
      </c>
    </row>
    <row r="8" spans="1:12">
      <c r="A8" s="40">
        <v>5</v>
      </c>
      <c r="B8" s="40" t="s">
        <v>1329</v>
      </c>
      <c r="C8" s="40">
        <f>SUMIF(TH_Bo_mon!$B$8:$B$111,A8,TH_Bo_mon!$D$8:$D$111)</f>
        <v>72</v>
      </c>
      <c r="D8" s="45">
        <f>SUMIF(vuot2019_2020_I!$H$12:$H$752,A8,vuot2019_2020_I!$AL$12:$AL$752)</f>
        <v>11640.300000000005</v>
      </c>
      <c r="E8" s="45">
        <f>SUMIF(vuot2019_2020_I!$H$12:$H$752,A8,vuot2019_2020_I!$AM$12:$AM$752)</f>
        <v>9370.1</v>
      </c>
      <c r="F8" s="45">
        <f>SUMIF(vuot2019_2020_I!$H$12:$H$752,A8,vuot2019_2020_I!$AI$12:$AI$752)</f>
        <v>8558.6899999999987</v>
      </c>
      <c r="G8" s="44">
        <f t="shared" si="0"/>
        <v>291.81111111111119</v>
      </c>
      <c r="H8" s="44">
        <f t="shared" si="1"/>
        <v>118.87069444444442</v>
      </c>
      <c r="I8" s="45">
        <f>SUMIF(TH_Bo_mon!$B$8:$B$111,A8,TH_Bo_mon!$X$8:$X$111)</f>
        <v>740775525</v>
      </c>
      <c r="J8" s="45">
        <f t="shared" si="2"/>
        <v>74077.552500000005</v>
      </c>
      <c r="K8" s="151">
        <f t="shared" si="3"/>
        <v>10288548.958333334</v>
      </c>
      <c r="L8" s="151">
        <f t="shared" si="4"/>
        <v>10288.548958333335</v>
      </c>
    </row>
    <row r="9" spans="1:12">
      <c r="A9" s="40">
        <v>6</v>
      </c>
      <c r="B9" s="40" t="s">
        <v>1330</v>
      </c>
      <c r="C9" s="40">
        <f>SUMIF(TH_Bo_mon!$B$8:$B$111,A9,TH_Bo_mon!$D$8:$D$111)</f>
        <v>36</v>
      </c>
      <c r="D9" s="45">
        <f>SUMIF(vuot2019_2020_I!$H$12:$H$752,A9,vuot2019_2020_I!$AL$12:$AL$752)</f>
        <v>8340.6000000000022</v>
      </c>
      <c r="E9" s="45">
        <f>SUMIF(vuot2019_2020_I!$H$12:$H$752,A9,vuot2019_2020_I!$AM$12:$AM$752)</f>
        <v>1164.3999999999999</v>
      </c>
      <c r="F9" s="45">
        <f>SUMIF(vuot2019_2020_I!$H$12:$H$752,A9,vuot2019_2020_I!$AI$12:$AI$752)</f>
        <v>4167.4900000000007</v>
      </c>
      <c r="G9" s="44">
        <f t="shared" si="0"/>
        <v>264.02777777777783</v>
      </c>
      <c r="H9" s="44">
        <f t="shared" si="1"/>
        <v>115.76361111111113</v>
      </c>
      <c r="I9" s="45">
        <f>SUMIF(TH_Bo_mon!$B$8:$B$111,A9,TH_Bo_mon!$X$8:$X$111)</f>
        <v>210356300</v>
      </c>
      <c r="J9" s="45">
        <f t="shared" si="2"/>
        <v>21035.63</v>
      </c>
      <c r="K9" s="151">
        <f t="shared" si="3"/>
        <v>5843230.555555556</v>
      </c>
      <c r="L9" s="151">
        <f t="shared" si="4"/>
        <v>5843.2305555555558</v>
      </c>
    </row>
    <row r="10" spans="1:12">
      <c r="A10" s="40">
        <v>7</v>
      </c>
      <c r="B10" s="40" t="s">
        <v>1331</v>
      </c>
      <c r="C10" s="40">
        <f>SUMIF(TH_Bo_mon!$B$8:$B$111,A10,TH_Bo_mon!$D$8:$D$111)</f>
        <v>34</v>
      </c>
      <c r="D10" s="45">
        <f>SUMIF(vuot2019_2020_I!$H$12:$H$752,A10,vuot2019_2020_I!$AL$12:$AL$752)</f>
        <v>12445.7</v>
      </c>
      <c r="E10" s="45">
        <f>SUMIF(vuot2019_2020_I!$H$12:$H$752,A10,vuot2019_2020_I!$AM$12:$AM$752)</f>
        <v>834.40000000000009</v>
      </c>
      <c r="F10" s="45">
        <f>SUMIF(vuot2019_2020_I!$H$12:$H$752,A10,vuot2019_2020_I!$AI$12:$AI$752)</f>
        <v>2296.6499999999996</v>
      </c>
      <c r="G10" s="44">
        <f t="shared" si="0"/>
        <v>390.59117647058827</v>
      </c>
      <c r="H10" s="44">
        <f t="shared" si="1"/>
        <v>67.54852941176469</v>
      </c>
      <c r="I10" s="45">
        <f>SUMIF(TH_Bo_mon!$B$8:$B$111,A10,TH_Bo_mon!$X$8:$X$111)</f>
        <v>453274560</v>
      </c>
      <c r="J10" s="45">
        <f t="shared" si="2"/>
        <v>45327.455999999998</v>
      </c>
      <c r="K10" s="151">
        <f t="shared" si="3"/>
        <v>13331604.705882354</v>
      </c>
      <c r="L10" s="151">
        <f t="shared" si="4"/>
        <v>13331.604705882353</v>
      </c>
    </row>
    <row r="11" spans="1:12">
      <c r="A11" s="40">
        <v>8</v>
      </c>
      <c r="B11" s="40" t="s">
        <v>1332</v>
      </c>
      <c r="C11" s="40">
        <f>SUMIF(TH_Bo_mon!$B$8:$B$111,A11,TH_Bo_mon!$D$8:$D$111)</f>
        <v>27</v>
      </c>
      <c r="D11" s="45">
        <f>SUMIF(vuot2019_2020_I!$H$12:$H$752,A11,vuot2019_2020_I!$AL$12:$AL$752)</f>
        <v>7774.2</v>
      </c>
      <c r="E11" s="45">
        <f>SUMIF(vuot2019_2020_I!$H$12:$H$752,A11,vuot2019_2020_I!$AM$12:$AM$752)</f>
        <v>436.7</v>
      </c>
      <c r="F11" s="45">
        <f>SUMIF(vuot2019_2020_I!$H$12:$H$752,A11,vuot2019_2020_I!$AI$12:$AI$752)</f>
        <v>2910.77</v>
      </c>
      <c r="G11" s="44">
        <f t="shared" si="0"/>
        <v>304.10740740740738</v>
      </c>
      <c r="H11" s="44">
        <f t="shared" si="1"/>
        <v>107.8062962962963</v>
      </c>
      <c r="I11" s="45">
        <f>SUMIF(TH_Bo_mon!$B$8:$B$111,A11,TH_Bo_mon!$X$8:$X$111)</f>
        <v>220997250</v>
      </c>
      <c r="J11" s="45">
        <f t="shared" si="2"/>
        <v>22099.724999999999</v>
      </c>
      <c r="K11" s="151">
        <f t="shared" si="3"/>
        <v>8185083.333333333</v>
      </c>
      <c r="L11" s="151">
        <f t="shared" si="4"/>
        <v>8185.083333333333</v>
      </c>
    </row>
    <row r="12" spans="1:12">
      <c r="A12" s="40">
        <v>9</v>
      </c>
      <c r="B12" s="40" t="s">
        <v>1333</v>
      </c>
      <c r="C12" s="40">
        <f>SUMIF(TH_Bo_mon!$B$8:$B$111,A12,TH_Bo_mon!$D$8:$D$111)</f>
        <v>66</v>
      </c>
      <c r="D12" s="45">
        <f>SUMIF(vuot2019_2020_I!$H$12:$H$752,A12,vuot2019_2020_I!$AL$12:$AL$752)</f>
        <v>19060.400000000001</v>
      </c>
      <c r="E12" s="45">
        <f>SUMIF(vuot2019_2020_I!$H$12:$H$752,A12,vuot2019_2020_I!$AM$12:$AM$752)</f>
        <v>945.9</v>
      </c>
      <c r="F12" s="45">
        <f>SUMIF(vuot2019_2020_I!$H$12:$H$752,A12,vuot2019_2020_I!$AI$12:$AI$752)</f>
        <v>6451.8500000000022</v>
      </c>
      <c r="G12" s="44">
        <f t="shared" si="0"/>
        <v>303.12575757575763</v>
      </c>
      <c r="H12" s="44">
        <f t="shared" si="1"/>
        <v>97.755303030303068</v>
      </c>
      <c r="I12" s="45">
        <f>SUMIF(TH_Bo_mon!$B$8:$B$111,A12,TH_Bo_mon!$X$8:$X$111)</f>
        <v>543736665</v>
      </c>
      <c r="J12" s="45">
        <f t="shared" si="2"/>
        <v>54373.666499999999</v>
      </c>
      <c r="K12" s="151">
        <f t="shared" si="3"/>
        <v>8238434.3181818184</v>
      </c>
      <c r="L12" s="151">
        <f t="shared" si="4"/>
        <v>8238.4343181818185</v>
      </c>
    </row>
    <row r="13" spans="1:12">
      <c r="A13" s="40">
        <v>10</v>
      </c>
      <c r="B13" s="40" t="s">
        <v>1334</v>
      </c>
      <c r="C13" s="40">
        <f>SUMIF(TH_Bo_mon!$B$8:$B$111,A13,TH_Bo_mon!$D$8:$D$111)</f>
        <v>53</v>
      </c>
      <c r="D13" s="45">
        <f>SUMIF(vuot2019_2020_I!$H$12:$H$752,A13,vuot2019_2020_I!$AL$12:$AL$752)</f>
        <v>11456.4</v>
      </c>
      <c r="E13" s="45">
        <f>SUMIF(vuot2019_2020_I!$H$12:$H$752,A13,vuot2019_2020_I!$AM$12:$AM$752)</f>
        <v>244.8</v>
      </c>
      <c r="F13" s="45">
        <f>SUMIF(vuot2019_2020_I!$H$12:$H$752,A13,vuot2019_2020_I!$AI$12:$AI$752)</f>
        <v>2312.92</v>
      </c>
      <c r="G13" s="44">
        <f t="shared" si="0"/>
        <v>220.77735849056603</v>
      </c>
      <c r="H13" s="44">
        <f t="shared" si="1"/>
        <v>43.64</v>
      </c>
      <c r="I13" s="45">
        <f>SUMIF(TH_Bo_mon!$B$8:$B$111,A13,TH_Bo_mon!$X$8:$X$111)</f>
        <v>83581867</v>
      </c>
      <c r="J13" s="45">
        <f t="shared" si="2"/>
        <v>8358.1867000000002</v>
      </c>
      <c r="K13" s="151">
        <f t="shared" si="3"/>
        <v>1577016.358490566</v>
      </c>
      <c r="L13" s="151">
        <f t="shared" si="4"/>
        <v>1577.0163584905661</v>
      </c>
    </row>
    <row r="14" spans="1:12">
      <c r="A14" s="40">
        <v>11</v>
      </c>
      <c r="B14" s="40" t="s">
        <v>1335</v>
      </c>
      <c r="C14" s="40">
        <f>SUMIF(TH_Bo_mon!$B$8:$B$111,A14,TH_Bo_mon!$D$8:$D$111)</f>
        <v>62</v>
      </c>
      <c r="D14" s="45">
        <f>SUMIF(vuot2019_2020_I!$H$12:$H$752,A14,vuot2019_2020_I!$AL$12:$AL$752)</f>
        <v>14373.300000000003</v>
      </c>
      <c r="E14" s="45">
        <f>SUMIF(vuot2019_2020_I!$H$12:$H$752,A14,vuot2019_2020_I!$AM$12:$AM$752)</f>
        <v>2725.3999999999996</v>
      </c>
      <c r="F14" s="45">
        <f>SUMIF(vuot2019_2020_I!$H$12:$H$752,A14,vuot2019_2020_I!$AI$12:$AI$752)</f>
        <v>4386.47</v>
      </c>
      <c r="G14" s="44">
        <f t="shared" si="0"/>
        <v>275.78548387096782</v>
      </c>
      <c r="H14" s="44">
        <f t="shared" si="1"/>
        <v>70.749516129032259</v>
      </c>
      <c r="I14" s="45">
        <f>SUMIF(TH_Bo_mon!$B$8:$B$111,A14,TH_Bo_mon!$X$8:$X$111)</f>
        <v>528956550</v>
      </c>
      <c r="J14" s="45">
        <f t="shared" si="2"/>
        <v>52895.654999999999</v>
      </c>
      <c r="K14" s="151">
        <f t="shared" si="3"/>
        <v>8531557.2580645159</v>
      </c>
      <c r="L14" s="151">
        <f t="shared" si="4"/>
        <v>8531.5572580645166</v>
      </c>
    </row>
    <row r="15" spans="1:12">
      <c r="A15" s="40">
        <v>12</v>
      </c>
      <c r="B15" s="40" t="s">
        <v>1339</v>
      </c>
      <c r="C15" s="40">
        <f>SUMIF(TH_Bo_mon!$B$8:$B$111,A15,TH_Bo_mon!$D$8:$D$111)</f>
        <v>29</v>
      </c>
      <c r="D15" s="45">
        <f>SUMIF(vuot2019_2020_I!$H$12:$H$752,A15,vuot2019_2020_I!$AL$12:$AL$752)</f>
        <v>6138.5999999999995</v>
      </c>
      <c r="E15" s="45">
        <f>SUMIF(vuot2019_2020_I!$H$12:$H$752,A15,vuot2019_2020_I!$AM$12:$AM$752)</f>
        <v>379.6</v>
      </c>
      <c r="F15" s="45">
        <f>SUMIF(vuot2019_2020_I!$H$12:$H$752,A15,vuot2019_2020_I!$AI$12:$AI$752)</f>
        <v>3337.46</v>
      </c>
      <c r="G15" s="44">
        <f t="shared" si="0"/>
        <v>224.76551724137931</v>
      </c>
      <c r="H15" s="44">
        <f t="shared" si="1"/>
        <v>115.0848275862069</v>
      </c>
      <c r="I15" s="45">
        <f>SUMIF(TH_Bo_mon!$B$8:$B$111,A15,TH_Bo_mon!$X$8:$X$111)</f>
        <v>173290730</v>
      </c>
      <c r="J15" s="45">
        <f t="shared" si="2"/>
        <v>17329.073</v>
      </c>
      <c r="K15" s="151">
        <f t="shared" si="3"/>
        <v>5975542.4137931038</v>
      </c>
      <c r="L15" s="151">
        <f t="shared" si="4"/>
        <v>5975.5424137931041</v>
      </c>
    </row>
    <row r="16" spans="1:12">
      <c r="A16" s="40">
        <v>13</v>
      </c>
      <c r="B16" s="40" t="s">
        <v>2890</v>
      </c>
      <c r="C16" s="40">
        <f>SUMIF(TH_Bo_mon!$B$8:$B$111,A16,TH_Bo_mon!$D$8:$D$111)</f>
        <v>49</v>
      </c>
      <c r="D16" s="45">
        <f>SUMIF(vuot2019_2020_I!$H$12:$H$752,A16,vuot2019_2020_I!$AL$12:$AL$752)</f>
        <v>6798.1</v>
      </c>
      <c r="E16" s="45">
        <f>SUMIF(vuot2019_2020_I!$H$12:$H$752,A16,vuot2019_2020_I!$AM$12:$AM$752)</f>
        <v>1578.1</v>
      </c>
      <c r="F16" s="45">
        <f>SUMIF(vuot2019_2020_I!$H$12:$H$752,A16,vuot2019_2020_I!$AI$12:$AI$752)</f>
        <v>4189.3999999999996</v>
      </c>
      <c r="G16" s="44">
        <f>(D16+E16)/C16</f>
        <v>170.94285714285715</v>
      </c>
      <c r="H16" s="44">
        <f>F16/C16</f>
        <v>85.497959183673458</v>
      </c>
      <c r="I16" s="45">
        <f>SUMIF(TH_Bo_mon!$B$8:$B$111,A16,TH_Bo_mon!$X$8:$X$111)</f>
        <v>120443000</v>
      </c>
      <c r="J16" s="45">
        <f t="shared" si="2"/>
        <v>12044.3</v>
      </c>
      <c r="K16" s="151">
        <f>I16/C16</f>
        <v>2458020.4081632653</v>
      </c>
      <c r="L16" s="151">
        <f t="shared" si="4"/>
        <v>2458.0204081632655</v>
      </c>
    </row>
    <row r="17" spans="1:12">
      <c r="A17" s="40">
        <v>14</v>
      </c>
      <c r="B17" s="40" t="s">
        <v>216</v>
      </c>
      <c r="C17" s="40">
        <f>SUMIF(TH_Bo_mon!$B$8:$B$111,A17,TH_Bo_mon!$D$8:$D$111)</f>
        <v>15</v>
      </c>
      <c r="D17" s="45">
        <f>SUMIF(vuot2019_2020_I!$H$12:$H$752,A17,vuot2019_2020_I!$AL$12:$AL$752)</f>
        <v>933.8</v>
      </c>
      <c r="E17" s="45">
        <f>SUMIF(vuot2019_2020_I!$H$12:$H$752,A17,vuot2019_2020_I!$AM$12:$AM$752)</f>
        <v>445.4</v>
      </c>
      <c r="F17" s="45">
        <f>SUMIF(vuot2019_2020_I!$H$12:$H$752,A17,vuot2019_2020_I!$AI$12:$AI$752)</f>
        <v>3126.4</v>
      </c>
      <c r="G17" s="44">
        <f>(D17+E17)/C17</f>
        <v>91.946666666666658</v>
      </c>
      <c r="H17" s="44">
        <f>F17/C17</f>
        <v>208.42666666666668</v>
      </c>
      <c r="I17" s="45">
        <f>SUMIF(TH_Bo_mon!$B$8:$B$111,A17,TH_Bo_mon!$X$8:$X$111)</f>
        <v>3389750</v>
      </c>
      <c r="J17" s="45">
        <f t="shared" si="2"/>
        <v>338.97500000000002</v>
      </c>
      <c r="K17" s="151">
        <f>I17/C17</f>
        <v>225983.33333333334</v>
      </c>
      <c r="L17" s="151">
        <f t="shared" si="4"/>
        <v>225.98333333333335</v>
      </c>
    </row>
    <row r="18" spans="1:12">
      <c r="A18" s="40">
        <v>20</v>
      </c>
      <c r="B18" s="40" t="s">
        <v>2440</v>
      </c>
      <c r="C18" s="40">
        <f>SUMIF(TH_Bo_mon!$B$8:$B$111,A18,TH_Bo_mon!$D$8:$D$111)</f>
        <v>18</v>
      </c>
      <c r="D18" s="45">
        <f>SUMIF(vuot2019_2020_I!$H$12:$H$752,A18,vuot2019_2020_I!$AL$12:$AL$752)</f>
        <v>8808.8000000000011</v>
      </c>
      <c r="E18" s="45">
        <f>SUMIF(vuot2019_2020_I!$H$12:$H$752,A18,vuot2019_2020_I!$AM$12:$AM$752)</f>
        <v>0</v>
      </c>
      <c r="F18" s="45">
        <f>SUMIF(vuot2019_2020_I!$H$12:$H$752,A18,vuot2019_2020_I!$AI$12:$AI$752)</f>
        <v>99.99</v>
      </c>
      <c r="G18" s="44">
        <f t="shared" si="0"/>
        <v>489.37777777777785</v>
      </c>
      <c r="H18" s="44">
        <f t="shared" si="1"/>
        <v>5.5549999999999997</v>
      </c>
      <c r="I18" s="45">
        <f>SUMIF(TH_Bo_mon!$B$8:$B$111,A18,TH_Bo_mon!$X$8:$X$111)</f>
        <v>199023680</v>
      </c>
      <c r="J18" s="45">
        <f t="shared" si="2"/>
        <v>19902.367999999999</v>
      </c>
      <c r="K18" s="151">
        <f t="shared" si="3"/>
        <v>11056871.111111112</v>
      </c>
      <c r="L18" s="151">
        <f t="shared" si="4"/>
        <v>11056.871111111112</v>
      </c>
    </row>
    <row r="19" spans="1:12">
      <c r="A19" s="40">
        <v>23</v>
      </c>
      <c r="B19" s="40" t="s">
        <v>1337</v>
      </c>
      <c r="C19" s="40">
        <f>SUMIF(TH_Bo_mon!$B$8:$B$111,A19,TH_Bo_mon!$D$8:$D$111)</f>
        <v>11</v>
      </c>
      <c r="D19" s="45">
        <f>SUMIF(vuot2019_2020_I!$H$12:$H$752,A19,vuot2019_2020_I!$AL$12:$AL$752)</f>
        <v>5289.6</v>
      </c>
      <c r="E19" s="45">
        <f>SUMIF(vuot2019_2020_I!$H$12:$H$752,A19,vuot2019_2020_I!$AM$12:$AM$752)</f>
        <v>0</v>
      </c>
      <c r="F19" s="45">
        <f>SUMIF(vuot2019_2020_I!$H$12:$H$752,A19,vuot2019_2020_I!$AI$12:$AI$752)</f>
        <v>0</v>
      </c>
      <c r="G19" s="44">
        <f t="shared" si="0"/>
        <v>480.87272727272733</v>
      </c>
      <c r="H19" s="44">
        <f t="shared" si="1"/>
        <v>0</v>
      </c>
      <c r="I19" s="45">
        <f>SUMIF(TH_Bo_mon!$B$8:$B$111,A19,TH_Bo_mon!$X$8:$X$111)</f>
        <v>132119000</v>
      </c>
      <c r="J19" s="45">
        <f t="shared" si="2"/>
        <v>13211.9</v>
      </c>
      <c r="K19" s="151">
        <f t="shared" si="3"/>
        <v>12010818.181818182</v>
      </c>
      <c r="L19" s="151">
        <f t="shared" si="4"/>
        <v>12010.818181818182</v>
      </c>
    </row>
    <row r="20" spans="1:12">
      <c r="A20" s="40">
        <v>29</v>
      </c>
      <c r="B20" s="40" t="s">
        <v>1336</v>
      </c>
      <c r="C20" s="40">
        <f>SUMIF(TH_Bo_mon!$B$8:$B$111,A20,TH_Bo_mon!$D$8:$D$111)</f>
        <v>1</v>
      </c>
      <c r="D20" s="45">
        <f>SUMIF(vuot2019_2020_I!$H$12:$H$752,A20,vuot2019_2020_I!$AL$12:$AL$752)</f>
        <v>0</v>
      </c>
      <c r="E20" s="45">
        <f>SUMIF(vuot2019_2020_I!$H$12:$H$752,A20,vuot2019_2020_I!$AM$12:$AM$752)</f>
        <v>0</v>
      </c>
      <c r="F20" s="45">
        <f>SUMIF(vuot2019_2020_I!$H$12:$H$752,A20,vuot2019_2020_I!$AI$12:$AI$752)</f>
        <v>0</v>
      </c>
      <c r="G20" s="44">
        <f t="shared" si="0"/>
        <v>0</v>
      </c>
      <c r="H20" s="44">
        <f t="shared" si="1"/>
        <v>0</v>
      </c>
      <c r="I20" s="45">
        <f>SUMIF(TH_Bo_mon!$B$8:$B$111,A20,TH_Bo_mon!$X$8:$X$111)</f>
        <v>0</v>
      </c>
      <c r="J20" s="45">
        <f t="shared" si="2"/>
        <v>0</v>
      </c>
      <c r="K20" s="151">
        <f t="shared" si="3"/>
        <v>0</v>
      </c>
      <c r="L20" s="151">
        <f t="shared" si="4"/>
        <v>0</v>
      </c>
    </row>
    <row r="21" spans="1:12">
      <c r="I21" s="45"/>
      <c r="J21" s="45"/>
      <c r="K21" s="151"/>
      <c r="L21" s="151">
        <f t="shared" si="4"/>
        <v>0</v>
      </c>
    </row>
    <row r="22" spans="1:12">
      <c r="C22" s="40">
        <f>SUM(C4:C21)</f>
        <v>683</v>
      </c>
      <c r="D22" s="45">
        <f>SUM(D4:D21)</f>
        <v>144092.30000000002</v>
      </c>
      <c r="E22" s="45">
        <f>SUM(E4:E21)</f>
        <v>24398.600000000006</v>
      </c>
      <c r="F22" s="45">
        <f>SUM(F4:F21)</f>
        <v>63877.349999999991</v>
      </c>
      <c r="I22" s="45">
        <f>SUM(I4:I21)</f>
        <v>3964590802</v>
      </c>
      <c r="J22" s="45"/>
      <c r="K22" s="151">
        <f t="shared" si="3"/>
        <v>5804671.7452415815</v>
      </c>
      <c r="L22" s="151">
        <f t="shared" si="4"/>
        <v>5804.6717452415814</v>
      </c>
    </row>
    <row r="26" spans="1:12">
      <c r="D26" s="310" t="s">
        <v>2756</v>
      </c>
      <c r="E26" s="310"/>
      <c r="F26" s="310"/>
      <c r="G26" s="310" t="s">
        <v>2755</v>
      </c>
      <c r="H26" s="310"/>
      <c r="I26" s="310"/>
      <c r="J26" s="62"/>
    </row>
    <row r="27" spans="1:12">
      <c r="C27" s="40" t="s">
        <v>2482</v>
      </c>
      <c r="D27" s="40" t="s">
        <v>1204</v>
      </c>
      <c r="E27" s="40" t="s">
        <v>1326</v>
      </c>
      <c r="F27" s="40" t="s">
        <v>1315</v>
      </c>
      <c r="G27" s="40" t="s">
        <v>1204</v>
      </c>
      <c r="H27" s="40" t="s">
        <v>1326</v>
      </c>
      <c r="I27" s="40" t="s">
        <v>1315</v>
      </c>
    </row>
    <row r="28" spans="1:12">
      <c r="B28" s="152" t="s">
        <v>1585</v>
      </c>
      <c r="C28" s="40" t="e">
        <f>COUNTIF(vuot2019_2020_I!#REF!,B28)</f>
        <v>#REF!</v>
      </c>
      <c r="D28" s="45" t="e">
        <f>SUMIF(vuot2019_2020_I!#REF!,B28,vuot2019_2020_I!$AL$12:$AL$752)</f>
        <v>#REF!</v>
      </c>
      <c r="E28" s="45" t="e">
        <f>SUMIF(vuot2019_2020_I!#REF!,B28,vuot2019_2020_I!$AM$12:$AM$752)</f>
        <v>#REF!</v>
      </c>
      <c r="F28" s="45" t="e">
        <f>SUMIF(vuot2019_2020_I!#REF!,B28,vuot2019_2020_I!$AI$12:$AI$752)</f>
        <v>#REF!</v>
      </c>
      <c r="G28" s="54" t="e">
        <f t="shared" ref="G28:G33" si="5">D28/C28</f>
        <v>#REF!</v>
      </c>
      <c r="H28" s="54" t="e">
        <f t="shared" ref="H28:H33" si="6">E28/C28</f>
        <v>#REF!</v>
      </c>
      <c r="I28" s="54" t="e">
        <f t="shared" ref="I28:I33" si="7">F28/C28</f>
        <v>#REF!</v>
      </c>
      <c r="J28" s="54"/>
    </row>
    <row r="29" spans="1:12">
      <c r="B29" s="152" t="s">
        <v>649</v>
      </c>
      <c r="C29" s="40" t="e">
        <f>COUNTIF(vuot2019_2020_I!#REF!,B29)</f>
        <v>#REF!</v>
      </c>
      <c r="D29" s="45" t="e">
        <f>SUMIF(vuot2019_2020_I!#REF!,B29,vuot2019_2020_I!$AL$12:$AL$752)</f>
        <v>#REF!</v>
      </c>
      <c r="E29" s="45" t="e">
        <f>SUMIF(vuot2019_2020_I!#REF!,B29,vuot2019_2020_I!$AM$12:$AM$752)</f>
        <v>#REF!</v>
      </c>
      <c r="F29" s="45" t="e">
        <f>SUMIF(vuot2019_2020_I!#REF!,B29,vuot2019_2020_I!$AI$12:$AI$752)</f>
        <v>#REF!</v>
      </c>
      <c r="G29" s="54" t="e">
        <f t="shared" si="5"/>
        <v>#REF!</v>
      </c>
      <c r="H29" s="54" t="e">
        <f t="shared" si="6"/>
        <v>#REF!</v>
      </c>
      <c r="I29" s="54" t="e">
        <f t="shared" si="7"/>
        <v>#REF!</v>
      </c>
      <c r="J29" s="54"/>
    </row>
    <row r="30" spans="1:12">
      <c r="B30" s="152" t="s">
        <v>1135</v>
      </c>
      <c r="C30" s="40" t="e">
        <f>COUNTIF(vuot2019_2020_I!#REF!,B30)</f>
        <v>#REF!</v>
      </c>
      <c r="D30" s="45" t="e">
        <f>SUMIF(vuot2019_2020_I!#REF!,B30,vuot2019_2020_I!$AL$12:$AL$752)</f>
        <v>#REF!</v>
      </c>
      <c r="E30" s="45" t="e">
        <f>SUMIF(vuot2019_2020_I!#REF!,B30,vuot2019_2020_I!$AM$12:$AM$752)</f>
        <v>#REF!</v>
      </c>
      <c r="F30" s="45" t="e">
        <f>SUMIF(vuot2019_2020_I!#REF!,B30,vuot2019_2020_I!$AI$12:$AI$752)</f>
        <v>#REF!</v>
      </c>
      <c r="G30" s="54" t="e">
        <f t="shared" si="5"/>
        <v>#REF!</v>
      </c>
      <c r="H30" s="54" t="e">
        <f t="shared" si="6"/>
        <v>#REF!</v>
      </c>
      <c r="I30" s="54" t="e">
        <f t="shared" si="7"/>
        <v>#REF!</v>
      </c>
      <c r="J30" s="54"/>
    </row>
    <row r="31" spans="1:12">
      <c r="B31" s="152" t="s">
        <v>3071</v>
      </c>
      <c r="C31" s="40" t="e">
        <f>COUNTIF(vuot2019_2020_I!#REF!,B31)</f>
        <v>#REF!</v>
      </c>
      <c r="D31" s="45" t="e">
        <f>SUMIF(vuot2019_2020_I!#REF!,B31,vuot2019_2020_I!$AL$12:$AL$752)</f>
        <v>#REF!</v>
      </c>
      <c r="E31" s="45" t="e">
        <f>SUMIF(vuot2019_2020_I!#REF!,B31,vuot2019_2020_I!$AM$12:$AM$752)</f>
        <v>#REF!</v>
      </c>
      <c r="F31" s="45" t="e">
        <f>SUMIF(vuot2019_2020_I!#REF!,B31,vuot2019_2020_I!$AI$12:$AI$752)</f>
        <v>#REF!</v>
      </c>
      <c r="G31" s="54" t="e">
        <f t="shared" si="5"/>
        <v>#REF!</v>
      </c>
      <c r="H31" s="54" t="e">
        <f t="shared" si="6"/>
        <v>#REF!</v>
      </c>
      <c r="I31" s="54" t="e">
        <f t="shared" si="7"/>
        <v>#REF!</v>
      </c>
      <c r="J31" s="54"/>
    </row>
    <row r="32" spans="1:12">
      <c r="B32" s="152" t="s">
        <v>3072</v>
      </c>
      <c r="C32" s="40" t="e">
        <f>COUNTIF(vuot2019_2020_I!#REF!,B32)</f>
        <v>#REF!</v>
      </c>
      <c r="D32" s="45" t="e">
        <f>SUMIF(vuot2019_2020_I!#REF!,B32,vuot2019_2020_I!$AL$12:$AL$752)</f>
        <v>#REF!</v>
      </c>
      <c r="E32" s="45" t="e">
        <f>SUMIF(vuot2019_2020_I!#REF!,B32,vuot2019_2020_I!$AM$12:$AM$752)</f>
        <v>#REF!</v>
      </c>
      <c r="F32" s="45" t="e">
        <f>SUMIF(vuot2019_2020_I!#REF!,B32,vuot2019_2020_I!$AI$12:$AI$752)</f>
        <v>#REF!</v>
      </c>
      <c r="G32" s="54" t="e">
        <f t="shared" si="5"/>
        <v>#REF!</v>
      </c>
      <c r="H32" s="54" t="e">
        <f t="shared" si="6"/>
        <v>#REF!</v>
      </c>
      <c r="I32" s="54" t="e">
        <f t="shared" si="7"/>
        <v>#REF!</v>
      </c>
      <c r="J32" s="54"/>
    </row>
    <row r="33" spans="2:11">
      <c r="B33" s="152" t="s">
        <v>2772</v>
      </c>
      <c r="C33" s="40" t="e">
        <f>COUNTIF(vuot2019_2020_I!#REF!,B33)</f>
        <v>#REF!</v>
      </c>
      <c r="D33" s="45" t="e">
        <f>SUMIF(vuot2019_2020_I!#REF!,B33,vuot2019_2020_I!$AL$12:$AL$752)</f>
        <v>#REF!</v>
      </c>
      <c r="E33" s="45" t="e">
        <f>SUMIF(vuot2019_2020_I!#REF!,B33,vuot2019_2020_I!$AM$12:$AM$752)</f>
        <v>#REF!</v>
      </c>
      <c r="F33" s="45" t="e">
        <f>SUMIF(vuot2019_2020_I!#REF!,B33,vuot2019_2020_I!$AI$12:$AI$752)</f>
        <v>#REF!</v>
      </c>
      <c r="G33" s="54" t="e">
        <f t="shared" si="5"/>
        <v>#REF!</v>
      </c>
      <c r="H33" s="54" t="e">
        <f t="shared" si="6"/>
        <v>#REF!</v>
      </c>
      <c r="I33" s="54" t="e">
        <f t="shared" si="7"/>
        <v>#REF!</v>
      </c>
      <c r="J33" s="54"/>
    </row>
    <row r="35" spans="2:11">
      <c r="C35" s="46" t="e">
        <f>SUM(C28:C34)</f>
        <v>#REF!</v>
      </c>
      <c r="D35" s="46" t="e">
        <f>SUM(D28:D34)</f>
        <v>#REF!</v>
      </c>
      <c r="E35" s="46" t="e">
        <f>SUM(E28:E34)</f>
        <v>#REF!</v>
      </c>
      <c r="F35" s="46" t="e">
        <f>SUM(F28:F34)</f>
        <v>#REF!</v>
      </c>
    </row>
    <row r="37" spans="2:11">
      <c r="E37" s="62" t="s">
        <v>2756</v>
      </c>
      <c r="F37" s="62"/>
      <c r="G37" s="62"/>
      <c r="H37" s="62" t="s">
        <v>2755</v>
      </c>
      <c r="I37" s="62"/>
      <c r="J37" s="62"/>
      <c r="K37" s="62"/>
    </row>
    <row r="38" spans="2:11">
      <c r="B38" s="40" t="s">
        <v>2766</v>
      </c>
      <c r="C38" s="40" t="s">
        <v>2765</v>
      </c>
      <c r="D38" s="40" t="s">
        <v>2482</v>
      </c>
      <c r="E38" s="40" t="s">
        <v>1204</v>
      </c>
      <c r="F38" s="40" t="s">
        <v>1326</v>
      </c>
      <c r="G38" s="40" t="s">
        <v>1315</v>
      </c>
      <c r="H38" s="40" t="s">
        <v>1204</v>
      </c>
      <c r="I38" s="40" t="s">
        <v>1326</v>
      </c>
      <c r="J38" s="40" t="s">
        <v>1315</v>
      </c>
    </row>
    <row r="39" spans="2:11">
      <c r="B39" s="40">
        <v>2</v>
      </c>
      <c r="C39" s="40" t="s">
        <v>2767</v>
      </c>
      <c r="D39" s="40" t="e">
        <f>COUNTIF(vuot2019_2020_I!#REF!,B39)</f>
        <v>#REF!</v>
      </c>
      <c r="E39" s="45" t="e">
        <f>SUMIF(vuot2019_2020_I!#REF!,B39,vuot2019_2020_I!$AL$12:$AL$752)</f>
        <v>#REF!</v>
      </c>
      <c r="F39" s="45" t="e">
        <f>SUMIF(vuot2019_2020_I!#REF!,B39,vuot2019_2020_I!$AM$12:$AM$752)</f>
        <v>#REF!</v>
      </c>
      <c r="G39" s="45" t="e">
        <f>SUMIF(vuot2019_2020_I!#REF!,B39,vuot2019_2020_I!$AI$12:$AI$752)</f>
        <v>#REF!</v>
      </c>
      <c r="H39" s="54" t="e">
        <f t="shared" ref="H39:H44" si="8">IF(D39=0,0,E39/D39)</f>
        <v>#REF!</v>
      </c>
      <c r="I39" s="54" t="e">
        <f t="shared" ref="I39:I44" si="9">IF(D39=0,0,F39/D39)</f>
        <v>#REF!</v>
      </c>
      <c r="J39" s="54" t="e">
        <f t="shared" ref="J39:J44" si="10">IF(D39=0,0,G39/D39)</f>
        <v>#REF!</v>
      </c>
    </row>
    <row r="40" spans="2:11">
      <c r="B40" s="40">
        <v>3</v>
      </c>
      <c r="C40" s="40" t="s">
        <v>2768</v>
      </c>
      <c r="D40" s="40" t="e">
        <f>COUNTIF(vuot2019_2020_I!#REF!,B40)</f>
        <v>#REF!</v>
      </c>
      <c r="E40" s="45" t="e">
        <f>SUMIF(vuot2019_2020_I!#REF!,B40,vuot2019_2020_I!$AL$12:$AL$752)</f>
        <v>#REF!</v>
      </c>
      <c r="F40" s="45" t="e">
        <f>SUMIF(vuot2019_2020_I!#REF!,B40,vuot2019_2020_I!$AM$12:$AM$752)</f>
        <v>#REF!</v>
      </c>
      <c r="G40" s="45" t="e">
        <f>SUMIF(vuot2019_2020_I!#REF!,B40,vuot2019_2020_I!$AI$12:$AI$752)</f>
        <v>#REF!</v>
      </c>
      <c r="H40" s="54" t="e">
        <f t="shared" si="8"/>
        <v>#REF!</v>
      </c>
      <c r="I40" s="54" t="e">
        <f t="shared" si="9"/>
        <v>#REF!</v>
      </c>
      <c r="J40" s="54" t="e">
        <f t="shared" si="10"/>
        <v>#REF!</v>
      </c>
    </row>
    <row r="41" spans="2:11">
      <c r="B41" s="40">
        <v>4</v>
      </c>
      <c r="C41" s="40" t="s">
        <v>2769</v>
      </c>
      <c r="D41" s="40" t="e">
        <f>COUNTIF(vuot2019_2020_I!#REF!,B41)</f>
        <v>#REF!</v>
      </c>
      <c r="E41" s="45" t="e">
        <f>SUMIF(vuot2019_2020_I!#REF!,B41,vuot2019_2020_I!$AL$12:$AL$752)</f>
        <v>#REF!</v>
      </c>
      <c r="F41" s="45" t="e">
        <f>SUMIF(vuot2019_2020_I!#REF!,B41,vuot2019_2020_I!$AM$12:$AM$752)</f>
        <v>#REF!</v>
      </c>
      <c r="G41" s="45" t="e">
        <f>SUMIF(vuot2019_2020_I!#REF!,B41,vuot2019_2020_I!$AI$12:$AI$752)</f>
        <v>#REF!</v>
      </c>
      <c r="H41" s="54" t="e">
        <f t="shared" si="8"/>
        <v>#REF!</v>
      </c>
      <c r="I41" s="54" t="e">
        <f t="shared" si="9"/>
        <v>#REF!</v>
      </c>
      <c r="J41" s="54" t="e">
        <f t="shared" si="10"/>
        <v>#REF!</v>
      </c>
    </row>
    <row r="42" spans="2:11">
      <c r="B42" s="40">
        <v>5</v>
      </c>
      <c r="C42" s="40" t="s">
        <v>2770</v>
      </c>
      <c r="D42" s="40" t="e">
        <f>COUNTIF(vuot2019_2020_I!#REF!,B42)</f>
        <v>#REF!</v>
      </c>
      <c r="E42" s="45" t="e">
        <f>SUMIF(vuot2019_2020_I!#REF!,B42,vuot2019_2020_I!$AL$12:$AL$752)</f>
        <v>#REF!</v>
      </c>
      <c r="F42" s="45" t="e">
        <f>SUMIF(vuot2019_2020_I!#REF!,B42,vuot2019_2020_I!$AM$12:$AM$752)</f>
        <v>#REF!</v>
      </c>
      <c r="G42" s="45" t="e">
        <f>SUMIF(vuot2019_2020_I!#REF!,B42,vuot2019_2020_I!$AI$12:$AI$752)</f>
        <v>#REF!</v>
      </c>
      <c r="H42" s="54" t="e">
        <f t="shared" si="8"/>
        <v>#REF!</v>
      </c>
      <c r="I42" s="54" t="e">
        <f t="shared" si="9"/>
        <v>#REF!</v>
      </c>
      <c r="J42" s="54" t="e">
        <f t="shared" si="10"/>
        <v>#REF!</v>
      </c>
    </row>
    <row r="43" spans="2:11">
      <c r="B43" s="40">
        <v>6</v>
      </c>
      <c r="C43" s="40" t="s">
        <v>2771</v>
      </c>
      <c r="D43" s="40" t="e">
        <f>COUNTIF(vuot2019_2020_I!#REF!,B43)</f>
        <v>#REF!</v>
      </c>
      <c r="E43" s="45" t="e">
        <f>SUMIF(vuot2019_2020_I!#REF!,B43,vuot2019_2020_I!$AL$12:$AL$752)</f>
        <v>#REF!</v>
      </c>
      <c r="F43" s="45" t="e">
        <f>SUMIF(vuot2019_2020_I!#REF!,B43,vuot2019_2020_I!$AM$12:$AM$752)</f>
        <v>#REF!</v>
      </c>
      <c r="G43" s="45" t="e">
        <f>SUMIF(vuot2019_2020_I!#REF!,B43,vuot2019_2020_I!$AI$12:$AI$752)</f>
        <v>#REF!</v>
      </c>
      <c r="H43" s="54" t="e">
        <f t="shared" si="8"/>
        <v>#REF!</v>
      </c>
      <c r="I43" s="54" t="e">
        <f t="shared" si="9"/>
        <v>#REF!</v>
      </c>
      <c r="J43" s="54" t="e">
        <f t="shared" si="10"/>
        <v>#REF!</v>
      </c>
    </row>
    <row r="44" spans="2:11">
      <c r="B44" s="40">
        <v>7</v>
      </c>
      <c r="C44" s="40" t="s">
        <v>2772</v>
      </c>
      <c r="D44" s="40" t="e">
        <f>COUNTIF(vuot2019_2020_I!#REF!,B44)</f>
        <v>#REF!</v>
      </c>
      <c r="E44" s="45" t="e">
        <f>SUMIF(vuot2019_2020_I!#REF!,B44,vuot2019_2020_I!$AL$12:$AL$752)</f>
        <v>#REF!</v>
      </c>
      <c r="F44" s="45" t="e">
        <f>SUMIF(vuot2019_2020_I!#REF!,B44,vuot2019_2020_I!$AM$12:$AM$752)</f>
        <v>#REF!</v>
      </c>
      <c r="G44" s="45" t="e">
        <f>SUMIF(vuot2019_2020_I!#REF!,B44,vuot2019_2020_I!$AI$12:$AI$752)</f>
        <v>#REF!</v>
      </c>
      <c r="H44" s="54" t="e">
        <f t="shared" si="8"/>
        <v>#REF!</v>
      </c>
      <c r="I44" s="54" t="e">
        <f t="shared" si="9"/>
        <v>#REF!</v>
      </c>
      <c r="J44" s="54" t="e">
        <f t="shared" si="10"/>
        <v>#REF!</v>
      </c>
    </row>
    <row r="45" spans="2:11">
      <c r="E45" s="45"/>
      <c r="F45" s="45"/>
      <c r="G45" s="54"/>
      <c r="H45" s="54"/>
      <c r="I45" s="54"/>
    </row>
    <row r="46" spans="2:11">
      <c r="D46" s="46" t="e">
        <f>SUM(D39:D44)</f>
        <v>#REF!</v>
      </c>
      <c r="E46" s="46" t="e">
        <f>SUM(E39:E44)</f>
        <v>#REF!</v>
      </c>
      <c r="F46" s="46" t="e">
        <f>SUM(F39:F44)</f>
        <v>#REF!</v>
      </c>
      <c r="G46" s="46" t="e">
        <f>SUM(G39:G44)</f>
        <v>#REF!</v>
      </c>
    </row>
    <row r="49" spans="4:5">
      <c r="D49" s="63" t="s">
        <v>2753</v>
      </c>
      <c r="E49" s="63" t="s">
        <v>2754</v>
      </c>
    </row>
    <row r="50" spans="4:5">
      <c r="D50" s="64">
        <v>31000</v>
      </c>
      <c r="E50" s="63">
        <f>COUNTIF(vuot2019_2020_I!$BQ$12:$BQ$752,tong_hop_khoa!D50)</f>
        <v>0</v>
      </c>
    </row>
    <row r="51" spans="4:5">
      <c r="D51" s="64">
        <v>35000</v>
      </c>
      <c r="E51" s="63">
        <f>COUNTIF(vuot2019_2020_I!$BQ$12:$BQ$752,tong_hop_khoa!D51)</f>
        <v>0</v>
      </c>
    </row>
    <row r="52" spans="4:5">
      <c r="D52" s="64">
        <v>40000</v>
      </c>
      <c r="E52" s="63">
        <f>COUNTIF(vuot2019_2020_I!$BQ$12:$BQ$752,tong_hop_khoa!D52)</f>
        <v>0</v>
      </c>
    </row>
    <row r="53" spans="4:5">
      <c r="D53" s="64">
        <v>45000</v>
      </c>
      <c r="E53" s="63">
        <f>COUNTIF(vuot2019_2020_I!$BQ$12:$BQ$752,tong_hop_khoa!D53)</f>
        <v>0</v>
      </c>
    </row>
    <row r="54" spans="4:5">
      <c r="D54" s="64">
        <v>50000</v>
      </c>
      <c r="E54" s="63">
        <f>COUNTIF(vuot2019_2020_I!$BQ$12:$BQ$752,tong_hop_khoa!D54)</f>
        <v>8</v>
      </c>
    </row>
    <row r="55" spans="4:5">
      <c r="D55" s="64">
        <v>55000</v>
      </c>
      <c r="E55" s="63">
        <f>COUNTIF(vuot2019_2020_I!$BQ$12:$BQ$752,tong_hop_khoa!D55)</f>
        <v>11</v>
      </c>
    </row>
    <row r="56" spans="4:5">
      <c r="D56" s="64">
        <v>60000</v>
      </c>
      <c r="E56" s="63">
        <f>COUNTIF(vuot2019_2020_I!$BQ$12:$BQ$752,tong_hop_khoa!D56)</f>
        <v>204</v>
      </c>
    </row>
    <row r="57" spans="4:5">
      <c r="D57" s="64">
        <v>65000</v>
      </c>
      <c r="E57" s="63">
        <f>COUNTIF(vuot2019_2020_I!$BQ$12:$BQ$752,tong_hop_khoa!D57)</f>
        <v>341</v>
      </c>
    </row>
    <row r="58" spans="4:5">
      <c r="D58" s="64">
        <v>70000</v>
      </c>
      <c r="E58" s="63">
        <f>COUNTIF(vuot2019_2020_I!$BQ$12:$BQ$752,tong_hop_khoa!D58)</f>
        <v>28</v>
      </c>
    </row>
    <row r="59" spans="4:5">
      <c r="D59" s="64">
        <v>75000</v>
      </c>
      <c r="E59" s="63">
        <f>COUNTIF(vuot2019_2020_I!$BQ$12:$BQ$752,tong_hop_khoa!D59)</f>
        <v>69</v>
      </c>
    </row>
    <row r="60" spans="4:5">
      <c r="D60" s="46"/>
    </row>
    <row r="61" spans="4:5">
      <c r="D61" s="65">
        <f>AVERAGE(D50:D60)</f>
        <v>52600</v>
      </c>
      <c r="E61" s="66">
        <f>SUM(E50:E60)</f>
        <v>661</v>
      </c>
    </row>
    <row r="63" spans="4:5">
      <c r="D63" s="40" t="s">
        <v>3096</v>
      </c>
    </row>
    <row r="64" spans="4:5">
      <c r="D64" s="40" t="s">
        <v>3097</v>
      </c>
      <c r="E64" s="40">
        <f>COUNTIF(vuot2019_2020_I!$BV$12:$BV$752,tong_hop_khoa!D64)</f>
        <v>501</v>
      </c>
    </row>
    <row r="65" spans="4:5">
      <c r="D65" s="40" t="s">
        <v>3098</v>
      </c>
      <c r="E65" s="40">
        <f>COUNTIF(vuot2019_2020_I!$BV$12:$BV$752,tong_hop_khoa!D65)</f>
        <v>229</v>
      </c>
    </row>
    <row r="66" spans="4:5">
      <c r="D66" s="40" t="s">
        <v>2191</v>
      </c>
      <c r="E66" s="40">
        <f>COUNTIF(vuot2019_2020_I!$BV$12:$BV$752,tong_hop_khoa!D66)</f>
        <v>559</v>
      </c>
    </row>
    <row r="67" spans="4:5">
      <c r="D67" s="40" t="s">
        <v>2192</v>
      </c>
      <c r="E67" s="40">
        <f>COUNTIF(vuot2019_2020_I!$BV$12:$BV$752,tong_hop_khoa!D67)</f>
        <v>171</v>
      </c>
    </row>
    <row r="68" spans="4:5">
      <c r="D68" s="40" t="s">
        <v>3105</v>
      </c>
      <c r="E68" s="40">
        <f>COUNTIF(vuot2019_2020_I!$BV$12:$BV$752,tong_hop_khoa!D68)</f>
        <v>613</v>
      </c>
    </row>
    <row r="69" spans="4:5">
      <c r="D69" s="40" t="s">
        <v>3106</v>
      </c>
      <c r="E69" s="40">
        <f>COUNTIF(vuot2019_2020_I!$BV$12:$BV$752,tong_hop_khoa!D69)</f>
        <v>117</v>
      </c>
    </row>
    <row r="70" spans="4:5">
      <c r="D70" s="40" t="s">
        <v>3107</v>
      </c>
      <c r="E70" s="40">
        <f>COUNTIF(vuot2019_2020_I!$BV$12:$BV$752,tong_hop_khoa!D70)</f>
        <v>672</v>
      </c>
    </row>
    <row r="71" spans="4:5">
      <c r="D71" s="40" t="s">
        <v>3108</v>
      </c>
      <c r="E71" s="40">
        <f>COUNTIF(vuot2019_2020_I!$BV$12:$BV$752,tong_hop_khoa!D71)</f>
        <v>58</v>
      </c>
    </row>
    <row r="72" spans="4:5">
      <c r="D72" s="40" t="s">
        <v>2825</v>
      </c>
      <c r="E72" s="40">
        <f>COUNTIF(vuot2019_2020_I!$BV$12:$BV$752,tong_hop_khoa!D72)</f>
        <v>700</v>
      </c>
    </row>
    <row r="73" spans="4:5">
      <c r="D73" s="40" t="s">
        <v>2826</v>
      </c>
      <c r="E73" s="40">
        <f>COUNTIF(vuot2019_2020_I!$BV$12:$BV$752,tong_hop_khoa!D73)</f>
        <v>30</v>
      </c>
    </row>
    <row r="74" spans="4:5">
      <c r="D74" s="40" t="s">
        <v>2827</v>
      </c>
      <c r="E74" s="40">
        <f>COUNTIF(vuot2019_2020_I!$BV$12:$BV$752,tong_hop_khoa!D74)</f>
        <v>714</v>
      </c>
    </row>
    <row r="75" spans="4:5">
      <c r="D75" s="40" t="s">
        <v>3023</v>
      </c>
      <c r="E75" s="40">
        <f>COUNTIF(vuot2019_2020_I!$BV$12:$BV$752,tong_hop_khoa!D75)</f>
        <v>16</v>
      </c>
    </row>
    <row r="76" spans="4:5">
      <c r="D76" s="40" t="s">
        <v>3024</v>
      </c>
      <c r="E76" s="40">
        <f>COUNTIF(vuot2019_2020_I!$BV$12:$BV$752,tong_hop_khoa!D76)</f>
        <v>716</v>
      </c>
    </row>
    <row r="77" spans="4:5">
      <c r="D77" s="40" t="s">
        <v>1818</v>
      </c>
      <c r="E77" s="40">
        <f>COUNTIF(vuot2019_2020_I!$BV$12:$BV$752,tong_hop_khoa!D77)</f>
        <v>14</v>
      </c>
    </row>
    <row r="78" spans="4:5">
      <c r="D78" s="40" t="s">
        <v>1746</v>
      </c>
      <c r="E78" s="40">
        <f>COUNTIF(vuot2019_2020_I!$BV$12:$BV$752,tong_hop_khoa!D78)</f>
        <v>723</v>
      </c>
    </row>
    <row r="79" spans="4:5">
      <c r="D79" s="40" t="s">
        <v>1886</v>
      </c>
      <c r="E79" s="40">
        <f>COUNTIF(vuot2019_2020_I!$BV$12:$BV$752,tong_hop_khoa!D79)</f>
        <v>7</v>
      </c>
    </row>
    <row r="81" spans="2:7">
      <c r="B81" s="40" t="s">
        <v>1125</v>
      </c>
      <c r="C81" s="40" t="s">
        <v>1315</v>
      </c>
      <c r="D81" s="40" t="s">
        <v>1903</v>
      </c>
      <c r="E81" s="40" t="s">
        <v>1326</v>
      </c>
      <c r="F81" s="40" t="s">
        <v>2684</v>
      </c>
    </row>
    <row r="82" spans="2:7">
      <c r="B82" s="40" t="e">
        <f>TH_Bo_mon!#REF!</f>
        <v>#REF!</v>
      </c>
      <c r="C82" s="175" t="e">
        <f>TH_Bo_mon!#REF!</f>
        <v>#REF!</v>
      </c>
      <c r="D82" s="175" t="e">
        <f>TH_Bo_mon!#REF!</f>
        <v>#REF!</v>
      </c>
      <c r="E82" s="175" t="e">
        <f>TH_Bo_mon!#REF!</f>
        <v>#REF!</v>
      </c>
      <c r="F82" s="175" t="e">
        <f>TH_Bo_mon!#REF!</f>
        <v>#REF!</v>
      </c>
      <c r="G82" s="311" t="s">
        <v>2330</v>
      </c>
    </row>
    <row r="83" spans="2:7">
      <c r="B83" s="40" t="e">
        <f>TH_Bo_mon!#REF!</f>
        <v>#REF!</v>
      </c>
      <c r="C83" s="175" t="e">
        <f>TH_Bo_mon!#REF!</f>
        <v>#REF!</v>
      </c>
      <c r="D83" s="175" t="e">
        <f>TH_Bo_mon!#REF!</f>
        <v>#REF!</v>
      </c>
      <c r="E83" s="175" t="e">
        <f>TH_Bo_mon!#REF!</f>
        <v>#REF!</v>
      </c>
      <c r="F83" s="175" t="e">
        <f>TH_Bo_mon!#REF!</f>
        <v>#REF!</v>
      </c>
      <c r="G83" s="311"/>
    </row>
    <row r="84" spans="2:7">
      <c r="B84" s="40" t="e">
        <f>TH_Bo_mon!#REF!</f>
        <v>#REF!</v>
      </c>
      <c r="C84" s="175" t="e">
        <f>TH_Bo_mon!#REF!</f>
        <v>#REF!</v>
      </c>
      <c r="D84" s="175" t="e">
        <f>TH_Bo_mon!#REF!</f>
        <v>#REF!</v>
      </c>
      <c r="E84" s="175" t="e">
        <f>TH_Bo_mon!#REF!</f>
        <v>#REF!</v>
      </c>
      <c r="F84" s="175" t="e">
        <f>TH_Bo_mon!#REF!</f>
        <v>#REF!</v>
      </c>
      <c r="G84" s="311"/>
    </row>
    <row r="85" spans="2:7">
      <c r="B85" s="40" t="e">
        <f>TH_Bo_mon!#REF!</f>
        <v>#REF!</v>
      </c>
      <c r="C85" s="175" t="e">
        <f>TH_Bo_mon!#REF!</f>
        <v>#REF!</v>
      </c>
      <c r="D85" s="175" t="e">
        <f>TH_Bo_mon!#REF!</f>
        <v>#REF!</v>
      </c>
      <c r="E85" s="175" t="e">
        <f>TH_Bo_mon!#REF!</f>
        <v>#REF!</v>
      </c>
      <c r="F85" s="175" t="e">
        <f>TH_Bo_mon!#REF!</f>
        <v>#REF!</v>
      </c>
      <c r="G85" s="311"/>
    </row>
    <row r="86" spans="2:7">
      <c r="B86" s="40" t="e">
        <f>TH_Bo_mon!#REF!</f>
        <v>#REF!</v>
      </c>
      <c r="C86" s="175" t="e">
        <f>TH_Bo_mon!#REF!</f>
        <v>#REF!</v>
      </c>
      <c r="D86" s="175" t="e">
        <f>TH_Bo_mon!#REF!</f>
        <v>#REF!</v>
      </c>
      <c r="E86" s="175" t="e">
        <f>TH_Bo_mon!#REF!</f>
        <v>#REF!</v>
      </c>
      <c r="F86" s="175" t="e">
        <f>TH_Bo_mon!#REF!</f>
        <v>#REF!</v>
      </c>
      <c r="G86" s="311"/>
    </row>
    <row r="87" spans="2:7">
      <c r="B87" s="40" t="e">
        <f>TH_Bo_mon!#REF!</f>
        <v>#REF!</v>
      </c>
      <c r="C87" s="175" t="e">
        <f>TH_Bo_mon!#REF!</f>
        <v>#REF!</v>
      </c>
      <c r="D87" s="175" t="e">
        <f>TH_Bo_mon!#REF!</f>
        <v>#REF!</v>
      </c>
      <c r="E87" s="175" t="e">
        <f>TH_Bo_mon!#REF!</f>
        <v>#REF!</v>
      </c>
      <c r="F87" s="175" t="e">
        <f>TH_Bo_mon!#REF!</f>
        <v>#REF!</v>
      </c>
      <c r="G87" s="311"/>
    </row>
    <row r="88" spans="2:7">
      <c r="B88" s="40" t="e">
        <f>TH_Bo_mon!#REF!</f>
        <v>#REF!</v>
      </c>
      <c r="C88" s="175" t="e">
        <f>TH_Bo_mon!#REF!</f>
        <v>#REF!</v>
      </c>
      <c r="D88" s="175" t="e">
        <f>TH_Bo_mon!#REF!</f>
        <v>#REF!</v>
      </c>
      <c r="E88" s="175" t="e">
        <f>TH_Bo_mon!#REF!</f>
        <v>#REF!</v>
      </c>
      <c r="F88" s="175" t="e">
        <f>TH_Bo_mon!#REF!</f>
        <v>#REF!</v>
      </c>
      <c r="G88" s="311"/>
    </row>
    <row r="89" spans="2:7">
      <c r="B89" s="40" t="e">
        <f>TH_Bo_mon!#REF!</f>
        <v>#REF!</v>
      </c>
      <c r="C89" s="175" t="e">
        <f>TH_Bo_mon!#REF!</f>
        <v>#REF!</v>
      </c>
      <c r="D89" s="175" t="e">
        <f>TH_Bo_mon!#REF!</f>
        <v>#REF!</v>
      </c>
      <c r="E89" s="175" t="e">
        <f>TH_Bo_mon!#REF!</f>
        <v>#REF!</v>
      </c>
      <c r="F89" s="175" t="e">
        <f>TH_Bo_mon!#REF!</f>
        <v>#REF!</v>
      </c>
      <c r="G89" s="311"/>
    </row>
    <row r="90" spans="2:7">
      <c r="B90" s="40" t="e">
        <f>TH_Bo_mon!#REF!</f>
        <v>#REF!</v>
      </c>
      <c r="C90" s="175" t="e">
        <f>TH_Bo_mon!#REF!</f>
        <v>#REF!</v>
      </c>
      <c r="D90" s="175" t="e">
        <f>TH_Bo_mon!#REF!</f>
        <v>#REF!</v>
      </c>
      <c r="E90" s="175" t="e">
        <f>TH_Bo_mon!#REF!</f>
        <v>#REF!</v>
      </c>
      <c r="F90" s="175" t="e">
        <f>TH_Bo_mon!#REF!</f>
        <v>#REF!</v>
      </c>
      <c r="G90" s="311"/>
    </row>
    <row r="91" spans="2:7">
      <c r="B91" s="40" t="e">
        <f>TH_Bo_mon!#REF!</f>
        <v>#REF!</v>
      </c>
      <c r="C91" s="175" t="e">
        <f>TH_Bo_mon!#REF!</f>
        <v>#REF!</v>
      </c>
      <c r="D91" s="175" t="e">
        <f>TH_Bo_mon!#REF!</f>
        <v>#REF!</v>
      </c>
      <c r="E91" s="175" t="e">
        <f>TH_Bo_mon!#REF!</f>
        <v>#REF!</v>
      </c>
      <c r="F91" s="175" t="e">
        <f>TH_Bo_mon!#REF!</f>
        <v>#REF!</v>
      </c>
      <c r="G91" s="311"/>
    </row>
    <row r="92" spans="2:7">
      <c r="B92" s="40" t="e">
        <f>TH_Bo_mon!#REF!</f>
        <v>#REF!</v>
      </c>
      <c r="C92" s="175" t="e">
        <f>TH_Bo_mon!#REF!</f>
        <v>#REF!</v>
      </c>
      <c r="D92" s="175" t="e">
        <f>TH_Bo_mon!#REF!</f>
        <v>#REF!</v>
      </c>
      <c r="E92" s="175" t="e">
        <f>TH_Bo_mon!#REF!</f>
        <v>#REF!</v>
      </c>
      <c r="F92" s="175" t="e">
        <f>TH_Bo_mon!#REF!</f>
        <v>#REF!</v>
      </c>
      <c r="G92" s="311"/>
    </row>
    <row r="93" spans="2:7">
      <c r="B93" s="40" t="e">
        <f>TH_Bo_mon!#REF!</f>
        <v>#REF!</v>
      </c>
      <c r="C93" s="175" t="e">
        <f>TH_Bo_mon!#REF!</f>
        <v>#REF!</v>
      </c>
      <c r="D93" s="175" t="e">
        <f>TH_Bo_mon!#REF!</f>
        <v>#REF!</v>
      </c>
      <c r="E93" s="175" t="e">
        <f>TH_Bo_mon!#REF!</f>
        <v>#REF!</v>
      </c>
      <c r="F93" s="175" t="e">
        <f>TH_Bo_mon!#REF!</f>
        <v>#REF!</v>
      </c>
      <c r="G93" s="177"/>
    </row>
    <row r="94" spans="2:7">
      <c r="B94" s="40" t="e">
        <f>TH_Bo_mon!#REF!</f>
        <v>#REF!</v>
      </c>
      <c r="C94" s="175" t="e">
        <f>TH_Bo_mon!#REF!</f>
        <v>#REF!</v>
      </c>
      <c r="D94" s="175" t="e">
        <f>TH_Bo_mon!#REF!</f>
        <v>#REF!</v>
      </c>
      <c r="E94" s="175" t="e">
        <f>TH_Bo_mon!#REF!</f>
        <v>#REF!</v>
      </c>
      <c r="F94" s="175" t="e">
        <f>TH_Bo_mon!#REF!</f>
        <v>#REF!</v>
      </c>
      <c r="G94" s="177"/>
    </row>
    <row r="98" spans="2:7">
      <c r="B98" s="40" t="str">
        <f>vuot2019_2020_I!F746</f>
        <v>1. Số tiền vượt giờ:</v>
      </c>
      <c r="D98" s="175">
        <f>vuot2019_2020_I!N746</f>
        <v>3964590802</v>
      </c>
      <c r="E98" s="175" t="str">
        <f>vuot2019_2020_I!R746</f>
        <v>đồng</v>
      </c>
      <c r="F98" s="175">
        <f>vuot2019_2020_I!S746</f>
        <v>0</v>
      </c>
    </row>
    <row r="99" spans="2:7">
      <c r="B99" s="40" t="str">
        <f>vuot2019_2020_I!F747</f>
        <v>2. Số chi bổ sung năm học trước:</v>
      </c>
      <c r="D99" s="175">
        <f>vuot2019_2020_I!N747</f>
        <v>2577000</v>
      </c>
      <c r="E99" s="175" t="str">
        <f>vuot2019_2020_I!R747</f>
        <v>đồng</v>
      </c>
      <c r="F99" s="175">
        <f>vuot2019_2020_I!S747</f>
        <v>0</v>
      </c>
    </row>
    <row r="100" spans="2:7">
      <c r="B100" s="40" t="str">
        <f>vuot2019_2020_I!F748</f>
        <v>3. Số đã nhận:</v>
      </c>
      <c r="D100" s="175">
        <f>vuot2019_2020_I!N748</f>
        <v>0</v>
      </c>
      <c r="E100" s="175" t="str">
        <f>vuot2019_2020_I!R748</f>
        <v>đồng</v>
      </c>
      <c r="F100" s="175">
        <f>vuot2019_2020_I!S748</f>
        <v>0</v>
      </c>
    </row>
    <row r="101" spans="2:7">
      <c r="B101" s="40" t="str">
        <f>vuot2019_2020_I!F749</f>
        <v>4. Số chi thừa năm trước</v>
      </c>
      <c r="D101" s="175">
        <f>vuot2019_2020_I!N749</f>
        <v>15315481</v>
      </c>
      <c r="E101" s="175" t="str">
        <f>vuot2019_2020_I!R749</f>
        <v>đồng</v>
      </c>
      <c r="F101" s="175">
        <f>vuot2019_2020_I!S749</f>
        <v>0</v>
      </c>
    </row>
    <row r="102" spans="2:7">
      <c r="B102" s="40" t="str">
        <f>vuot2019_2020_I!F751</f>
        <v>6. Số truy thu lại</v>
      </c>
      <c r="D102" s="175">
        <f>vuot2019_2020_I!N751</f>
        <v>13767481</v>
      </c>
      <c r="E102" s="175" t="str">
        <f>vuot2019_2020_I!R751</f>
        <v>đồng</v>
      </c>
      <c r="F102" s="175">
        <f>vuot2019_2020_I!S751</f>
        <v>0</v>
      </c>
    </row>
    <row r="103" spans="2:7">
      <c r="B103" s="40" t="str">
        <f>vuot2019_2020_I!F752</f>
        <v>7. Số chi đợt này:</v>
      </c>
      <c r="D103" s="175">
        <f>vuot2019_2020_I!N752</f>
        <v>3965619802</v>
      </c>
      <c r="E103" s="175" t="str">
        <f>vuot2019_2020_I!R752</f>
        <v>đồng</v>
      </c>
      <c r="F103" s="175" t="str">
        <f>vuot2019_2020_I!S752</f>
        <v>Ba tỷ chín trăm sáu mươi lăm triệu sáu trăm mười chín ngàn tám trăm lẻ hai đồng./.</v>
      </c>
    </row>
    <row r="105" spans="2:7">
      <c r="B105" s="40" t="s">
        <v>1125</v>
      </c>
      <c r="C105" s="40" t="s">
        <v>1315</v>
      </c>
      <c r="D105" s="40" t="s">
        <v>1903</v>
      </c>
      <c r="E105" s="40" t="s">
        <v>1326</v>
      </c>
      <c r="F105" s="40" t="s">
        <v>2684</v>
      </c>
      <c r="G105" s="311" t="s">
        <v>907</v>
      </c>
    </row>
    <row r="106" spans="2:7">
      <c r="B106" s="40" t="s">
        <v>1131</v>
      </c>
      <c r="C106" s="175">
        <v>33606.400000000001</v>
      </c>
      <c r="D106" s="175">
        <v>146726.1</v>
      </c>
      <c r="E106" s="175">
        <v>16326.8</v>
      </c>
      <c r="F106" s="175">
        <v>1810697300</v>
      </c>
      <c r="G106" s="311"/>
    </row>
    <row r="107" spans="2:7">
      <c r="B107" s="40" t="s">
        <v>1132</v>
      </c>
      <c r="C107" s="175">
        <v>15803.766666666668</v>
      </c>
      <c r="D107" s="175">
        <v>159784.6</v>
      </c>
      <c r="E107" s="175">
        <v>11080.12</v>
      </c>
      <c r="F107" s="175">
        <v>1853127770</v>
      </c>
      <c r="G107" s="311"/>
    </row>
    <row r="108" spans="2:7">
      <c r="B108" s="40" t="s">
        <v>1133</v>
      </c>
      <c r="C108" s="175">
        <v>16631.53571428571</v>
      </c>
      <c r="D108" s="175">
        <v>168010.9</v>
      </c>
      <c r="E108" s="175">
        <v>18571.650000000001</v>
      </c>
      <c r="F108" s="175">
        <v>2144958244</v>
      </c>
      <c r="G108" s="311"/>
    </row>
    <row r="109" spans="2:7">
      <c r="B109" s="40" t="s">
        <v>1898</v>
      </c>
      <c r="C109" s="175">
        <v>19593.349999999999</v>
      </c>
      <c r="D109" s="175">
        <v>187264.9</v>
      </c>
      <c r="E109" s="175">
        <v>22148</v>
      </c>
      <c r="F109" s="175">
        <v>2720427750.0000005</v>
      </c>
      <c r="G109" s="311"/>
    </row>
    <row r="110" spans="2:7">
      <c r="B110" s="40" t="s">
        <v>1899</v>
      </c>
      <c r="C110" s="175">
        <v>29040.833333333332</v>
      </c>
      <c r="D110" s="175">
        <v>183509.5</v>
      </c>
      <c r="E110" s="175">
        <v>29352.2</v>
      </c>
      <c r="F110" s="175">
        <v>3906570522.0566673</v>
      </c>
      <c r="G110" s="311"/>
    </row>
    <row r="111" spans="2:7">
      <c r="B111" s="40" t="s">
        <v>1900</v>
      </c>
      <c r="C111" s="175">
        <v>43152</v>
      </c>
      <c r="D111" s="175">
        <v>199719.1</v>
      </c>
      <c r="E111" s="175">
        <v>41686</v>
      </c>
      <c r="F111" s="175">
        <v>6345218307.9166651</v>
      </c>
      <c r="G111" s="311"/>
    </row>
    <row r="112" spans="2:7">
      <c r="B112" s="40" t="s">
        <v>1901</v>
      </c>
      <c r="C112" s="175">
        <v>54765.2</v>
      </c>
      <c r="D112" s="175">
        <v>182065.29</v>
      </c>
      <c r="E112" s="175">
        <v>30481.737499999999</v>
      </c>
      <c r="F112" s="175">
        <v>4414235309</v>
      </c>
      <c r="G112" s="311"/>
    </row>
    <row r="113" spans="2:7">
      <c r="B113" s="40" t="s">
        <v>1902</v>
      </c>
      <c r="C113" s="175">
        <v>57912.064848484843</v>
      </c>
      <c r="D113" s="175">
        <v>188300.7</v>
      </c>
      <c r="E113" s="175">
        <v>35199.24</v>
      </c>
      <c r="F113" s="175">
        <v>5876595103</v>
      </c>
      <c r="G113" s="311"/>
    </row>
    <row r="114" spans="2:7">
      <c r="B114" s="40" t="s">
        <v>391</v>
      </c>
      <c r="C114" s="175">
        <v>80444.121568627466</v>
      </c>
      <c r="D114" s="175">
        <v>211365.1</v>
      </c>
      <c r="E114" s="175">
        <v>40766.589999999997</v>
      </c>
      <c r="F114" s="175">
        <v>7009445752</v>
      </c>
      <c r="G114" s="311"/>
    </row>
    <row r="115" spans="2:7">
      <c r="B115" s="40" t="s">
        <v>2889</v>
      </c>
      <c r="C115" s="175">
        <v>116624.16</v>
      </c>
      <c r="D115" s="175">
        <v>263359.59999999998</v>
      </c>
      <c r="E115" s="175">
        <v>39245.1</v>
      </c>
      <c r="F115" s="175">
        <v>9118469316</v>
      </c>
      <c r="G115" s="311"/>
    </row>
    <row r="116" spans="2:7">
      <c r="B116" s="40" t="s">
        <v>386</v>
      </c>
      <c r="C116" s="175">
        <v>154233.07611721611</v>
      </c>
      <c r="D116" s="175">
        <v>286326.8</v>
      </c>
      <c r="E116" s="175">
        <v>40306.300000000003</v>
      </c>
      <c r="F116" s="175">
        <v>11702749759</v>
      </c>
    </row>
    <row r="117" spans="2:7">
      <c r="B117" s="40" t="e">
        <f>B94</f>
        <v>#REF!</v>
      </c>
      <c r="C117" s="175" t="e">
        <f>C94</f>
        <v>#REF!</v>
      </c>
      <c r="D117" s="175" t="e">
        <f>D94</f>
        <v>#REF!</v>
      </c>
      <c r="E117" s="175" t="e">
        <f>E94</f>
        <v>#REF!</v>
      </c>
      <c r="F117" s="175" t="e">
        <f>F94</f>
        <v>#REF!</v>
      </c>
    </row>
  </sheetData>
  <mergeCells count="5">
    <mergeCell ref="D2:F2"/>
    <mergeCell ref="D26:F26"/>
    <mergeCell ref="G26:I26"/>
    <mergeCell ref="G105:G115"/>
    <mergeCell ref="G82:G92"/>
  </mergeCells>
  <phoneticPr fontId="0" type="noConversion"/>
  <printOptions gridLines="1"/>
  <pageMargins left="0.26" right="0.17" top="1" bottom="1" header="0.5" footer="0.5"/>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2:H25"/>
  <sheetViews>
    <sheetView workbookViewId="0">
      <selection activeCell="F23" sqref="F23"/>
    </sheetView>
  </sheetViews>
  <sheetFormatPr defaultRowHeight="15"/>
  <cols>
    <col min="2" max="2" width="18.375" bestFit="1" customWidth="1"/>
    <col min="4" max="4" width="15.625" bestFit="1" customWidth="1"/>
    <col min="5" max="5" width="28.125" customWidth="1"/>
  </cols>
  <sheetData>
    <row r="2" spans="1:8" ht="15.75">
      <c r="B2" s="40" t="s">
        <v>2062</v>
      </c>
      <c r="C2">
        <f>C25</f>
        <v>682</v>
      </c>
    </row>
    <row r="3" spans="1:8" ht="15.75">
      <c r="B3" s="40" t="s">
        <v>2063</v>
      </c>
      <c r="C3">
        <f>E25</f>
        <v>599</v>
      </c>
    </row>
    <row r="4" spans="1:8" ht="15.75">
      <c r="B4" s="40" t="s">
        <v>2543</v>
      </c>
      <c r="C4">
        <f>C2-C3</f>
        <v>83</v>
      </c>
    </row>
    <row r="7" spans="1:8" ht="15.75">
      <c r="A7" s="40" t="s">
        <v>1338</v>
      </c>
      <c r="B7" s="40" t="s">
        <v>1203</v>
      </c>
      <c r="C7" s="53" t="s">
        <v>2544</v>
      </c>
      <c r="D7" s="53" t="s">
        <v>2545</v>
      </c>
      <c r="E7" s="53" t="s">
        <v>292</v>
      </c>
      <c r="G7" s="40"/>
      <c r="H7" s="40"/>
    </row>
    <row r="8" spans="1:8" ht="15.75">
      <c r="A8" s="40">
        <v>1</v>
      </c>
      <c r="B8" s="40" t="s">
        <v>1327</v>
      </c>
      <c r="C8">
        <f>COUNTIF(vuot2019_2020_I!I12:I741,Sheet1!A8)</f>
        <v>74</v>
      </c>
      <c r="D8">
        <v>1</v>
      </c>
      <c r="E8">
        <f>C8-D8</f>
        <v>73</v>
      </c>
      <c r="G8" s="40"/>
      <c r="H8" s="40"/>
    </row>
    <row r="9" spans="1:8" ht="15.75">
      <c r="A9" s="40">
        <v>2</v>
      </c>
      <c r="B9" s="40" t="s">
        <v>217</v>
      </c>
      <c r="C9">
        <f>COUNTIF(vuot2019_2020_I!I12:I742,Sheet1!A9)</f>
        <v>39</v>
      </c>
      <c r="D9">
        <v>2</v>
      </c>
      <c r="E9">
        <f>C9-D9</f>
        <v>37</v>
      </c>
      <c r="G9" s="40"/>
      <c r="H9" s="40"/>
    </row>
    <row r="10" spans="1:8" ht="15.75">
      <c r="A10" s="40">
        <v>3</v>
      </c>
      <c r="B10" s="40" t="s">
        <v>1414</v>
      </c>
      <c r="C10">
        <f>COUNTIF(vuot2019_2020_I!I13:I743,Sheet1!A10)</f>
        <v>47</v>
      </c>
      <c r="D10">
        <v>3</v>
      </c>
      <c r="E10">
        <f t="shared" ref="E10:E24" si="0">C10-D10</f>
        <v>44</v>
      </c>
      <c r="G10" s="40"/>
      <c r="H10" s="40"/>
    </row>
    <row r="11" spans="1:8" ht="15.75">
      <c r="A11" s="40">
        <v>4</v>
      </c>
      <c r="B11" s="40" t="s">
        <v>1328</v>
      </c>
      <c r="C11">
        <f>COUNTIF(vuot2019_2020_I!I14:I746,Sheet1!A11)</f>
        <v>50</v>
      </c>
      <c r="D11">
        <v>7</v>
      </c>
      <c r="E11">
        <f t="shared" si="0"/>
        <v>43</v>
      </c>
      <c r="G11" s="40"/>
      <c r="H11" s="40"/>
    </row>
    <row r="12" spans="1:8" ht="15.75">
      <c r="A12" s="40">
        <v>5</v>
      </c>
      <c r="B12" s="40" t="s">
        <v>1329</v>
      </c>
      <c r="C12">
        <f>COUNTIF(vuot2019_2020_I!I14:I746,Sheet1!A12)</f>
        <v>72</v>
      </c>
      <c r="D12">
        <v>1</v>
      </c>
      <c r="E12">
        <f t="shared" si="0"/>
        <v>71</v>
      </c>
      <c r="G12" s="40"/>
      <c r="H12" s="40"/>
    </row>
    <row r="13" spans="1:8" ht="15.75">
      <c r="A13" s="40">
        <v>6</v>
      </c>
      <c r="B13" s="40" t="s">
        <v>1330</v>
      </c>
      <c r="C13">
        <f>COUNTIF(vuot2019_2020_I!I15:I746,Sheet1!A13)</f>
        <v>36</v>
      </c>
      <c r="D13">
        <v>2</v>
      </c>
      <c r="E13">
        <f t="shared" si="0"/>
        <v>34</v>
      </c>
      <c r="G13" s="40"/>
      <c r="H13" s="40"/>
    </row>
    <row r="14" spans="1:8" ht="15.75">
      <c r="A14" s="40">
        <v>7</v>
      </c>
      <c r="B14" s="40" t="s">
        <v>1331</v>
      </c>
      <c r="C14">
        <f>COUNTIF(vuot2019_2020_I!I16:I746,Sheet1!A14)</f>
        <v>34</v>
      </c>
      <c r="D14">
        <v>9</v>
      </c>
      <c r="E14">
        <f t="shared" si="0"/>
        <v>25</v>
      </c>
      <c r="G14" s="40"/>
      <c r="H14" s="40"/>
    </row>
    <row r="15" spans="1:8" ht="15.75">
      <c r="A15" s="40">
        <v>8</v>
      </c>
      <c r="B15" s="40" t="s">
        <v>1332</v>
      </c>
      <c r="C15">
        <f>COUNTIF(vuot2019_2020_I!I17:I746,Sheet1!A15)</f>
        <v>27</v>
      </c>
      <c r="D15">
        <v>2</v>
      </c>
      <c r="E15">
        <f t="shared" si="0"/>
        <v>25</v>
      </c>
      <c r="G15" s="40"/>
      <c r="H15" s="40"/>
    </row>
    <row r="16" spans="1:8" ht="15.75">
      <c r="A16" s="40">
        <v>9</v>
      </c>
      <c r="B16" s="40" t="s">
        <v>1333</v>
      </c>
      <c r="C16">
        <f>COUNTIF(vuot2019_2020_I!I17:I752,Sheet1!A16)</f>
        <v>66</v>
      </c>
      <c r="D16">
        <v>3</v>
      </c>
      <c r="E16">
        <f t="shared" si="0"/>
        <v>63</v>
      </c>
      <c r="G16" s="40"/>
      <c r="H16" s="40"/>
    </row>
    <row r="17" spans="1:8" ht="15.75">
      <c r="A17" s="40">
        <v>10</v>
      </c>
      <c r="B17" s="40" t="s">
        <v>1334</v>
      </c>
      <c r="C17">
        <f>COUNTIF(vuot2019_2020_I!I17:I752,Sheet1!A17)</f>
        <v>53</v>
      </c>
      <c r="D17">
        <v>20</v>
      </c>
      <c r="E17">
        <f t="shared" si="0"/>
        <v>33</v>
      </c>
      <c r="G17" s="40"/>
      <c r="H17" s="40"/>
    </row>
    <row r="18" spans="1:8" ht="15.75">
      <c r="A18" s="40">
        <v>11</v>
      </c>
      <c r="B18" s="40" t="s">
        <v>1335</v>
      </c>
      <c r="C18">
        <f>COUNTIF(vuot2019_2020_I!I18:I752,Sheet1!A18)</f>
        <v>62</v>
      </c>
      <c r="D18">
        <v>1</v>
      </c>
      <c r="E18">
        <f t="shared" si="0"/>
        <v>61</v>
      </c>
      <c r="G18" s="40"/>
      <c r="H18" s="40"/>
    </row>
    <row r="19" spans="1:8" ht="15.75">
      <c r="A19" s="40">
        <v>12</v>
      </c>
      <c r="B19" s="40" t="s">
        <v>1339</v>
      </c>
      <c r="C19">
        <f>COUNTIF(vuot2019_2020_I!I18:I752,Sheet1!A19)</f>
        <v>29</v>
      </c>
      <c r="D19">
        <v>0</v>
      </c>
      <c r="E19">
        <f t="shared" si="0"/>
        <v>29</v>
      </c>
      <c r="G19" s="40"/>
      <c r="H19" s="40"/>
    </row>
    <row r="20" spans="1:8" ht="15.75">
      <c r="A20" s="40">
        <v>13</v>
      </c>
      <c r="B20" s="40" t="s">
        <v>2331</v>
      </c>
      <c r="C20">
        <f>COUNTIF(vuot2019_2020_I!I20:I752,Sheet1!A20)</f>
        <v>49</v>
      </c>
      <c r="D20">
        <v>1</v>
      </c>
      <c r="E20">
        <f>C20-D20</f>
        <v>48</v>
      </c>
      <c r="G20" s="40"/>
      <c r="H20" s="40"/>
    </row>
    <row r="21" spans="1:8" ht="15.75">
      <c r="A21" s="40">
        <v>14</v>
      </c>
      <c r="B21" s="40" t="s">
        <v>216</v>
      </c>
      <c r="C21">
        <f>COUNTIF(vuot2019_2020_I!I21:I752,Sheet1!A21)</f>
        <v>15</v>
      </c>
      <c r="D21">
        <v>0</v>
      </c>
      <c r="E21">
        <f>C21-D21</f>
        <v>15</v>
      </c>
      <c r="G21" s="40"/>
      <c r="H21" s="40"/>
    </row>
    <row r="22" spans="1:8" ht="15.75">
      <c r="A22" s="40">
        <v>20</v>
      </c>
      <c r="B22" s="40" t="s">
        <v>2440</v>
      </c>
      <c r="C22">
        <f>COUNTIF(vuot2019_2020_I!I18:I752,Sheet1!A22)</f>
        <v>18</v>
      </c>
      <c r="D22">
        <v>12</v>
      </c>
      <c r="E22">
        <f t="shared" si="0"/>
        <v>6</v>
      </c>
      <c r="G22" s="40"/>
      <c r="H22" s="40"/>
    </row>
    <row r="23" spans="1:8" ht="15.75">
      <c r="A23" s="40">
        <v>23</v>
      </c>
      <c r="B23" s="40" t="s">
        <v>1337</v>
      </c>
      <c r="C23">
        <f>COUNTIF(vuot2019_2020_I!I20:I752,Sheet1!A23)</f>
        <v>11</v>
      </c>
      <c r="D23">
        <v>19</v>
      </c>
      <c r="E23">
        <f t="shared" si="0"/>
        <v>-8</v>
      </c>
      <c r="G23" s="40"/>
      <c r="H23" s="40"/>
    </row>
    <row r="24" spans="1:8" ht="15.75">
      <c r="A24" s="40">
        <v>29</v>
      </c>
      <c r="B24" s="40" t="s">
        <v>1336</v>
      </c>
      <c r="C24">
        <f>COUNTIF(vuot2019_2020_I!I20:I752,Sheet1!A24)</f>
        <v>0</v>
      </c>
      <c r="D24">
        <v>0</v>
      </c>
      <c r="E24">
        <f t="shared" si="0"/>
        <v>0</v>
      </c>
      <c r="G24" s="40"/>
      <c r="H24" s="40"/>
    </row>
    <row r="25" spans="1:8" ht="15.75">
      <c r="C25">
        <f>SUM(C8:C24)</f>
        <v>682</v>
      </c>
      <c r="D25">
        <f>SUM(D8:D24)</f>
        <v>83</v>
      </c>
      <c r="E25">
        <f>SUM(E8:E24)</f>
        <v>599</v>
      </c>
      <c r="H25" s="40"/>
    </row>
  </sheetData>
  <phoneticPr fontId="15"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tabColor indexed="11"/>
  </sheetPr>
  <dimension ref="A1:FN752"/>
  <sheetViews>
    <sheetView showZeros="0" tabSelected="1" zoomScale="90" workbookViewId="0">
      <pane xSplit="13" ySplit="11" topLeftCell="N12" activePane="bottomRight" state="frozen"/>
      <selection pane="topRight" activeCell="N1" sqref="N1"/>
      <selection pane="bottomLeft" activeCell="A12" sqref="A12"/>
      <selection pane="bottomRight" activeCell="N12" sqref="N12"/>
    </sheetView>
  </sheetViews>
  <sheetFormatPr defaultRowHeight="15"/>
  <cols>
    <col min="1" max="1" width="4" style="126" customWidth="1"/>
    <col min="2" max="2" width="7.25" style="126" customWidth="1"/>
    <col min="3" max="3" width="16.5" style="126" hidden="1" customWidth="1"/>
    <col min="4" max="4" width="8.25" style="126" hidden="1" customWidth="1"/>
    <col min="5" max="5" width="7.25" style="126" hidden="1" customWidth="1"/>
    <col min="6" max="6" width="16.5" style="133" customWidth="1"/>
    <col min="7" max="7" width="6.875" style="133" customWidth="1"/>
    <col min="8" max="9" width="4.125" style="126" hidden="1" customWidth="1"/>
    <col min="10" max="10" width="4.125" style="126" customWidth="1"/>
    <col min="11" max="11" width="15.25" style="126" hidden="1" customWidth="1"/>
    <col min="12" max="12" width="17.125" style="133" customWidth="1"/>
    <col min="13" max="13" width="7.75" style="183" hidden="1" customWidth="1"/>
    <col min="14" max="14" width="5.625" style="126" customWidth="1"/>
    <col min="15" max="15" width="6.125" style="85" customWidth="1"/>
    <col min="16" max="16" width="6.625" style="126" hidden="1" customWidth="1"/>
    <col min="17" max="17" width="8.25" style="126" customWidth="1"/>
    <col min="18" max="18" width="7.375" style="126" customWidth="1"/>
    <col min="19" max="19" width="24.875" style="185" customWidth="1"/>
    <col min="20" max="20" width="9.625" style="126" customWidth="1"/>
    <col min="21" max="21" width="5.625" style="126" customWidth="1"/>
    <col min="22" max="22" width="5.875" style="126" customWidth="1"/>
    <col min="23" max="23" width="7.75" style="126" customWidth="1"/>
    <col min="24" max="24" width="6.875" style="126" customWidth="1"/>
    <col min="25" max="26" width="9.25" style="133" customWidth="1"/>
    <col min="27" max="32" width="9.25" style="133" hidden="1" customWidth="1"/>
    <col min="33" max="33" width="7.875" style="133" customWidth="1"/>
    <col min="34" max="34" width="7.625" style="133" customWidth="1"/>
    <col min="35" max="35" width="8.375" style="134" customWidth="1"/>
    <col min="36" max="36" width="8.25" style="133" customWidth="1"/>
    <col min="37" max="37" width="8.375" style="134" customWidth="1"/>
    <col min="38" max="38" width="8.875" style="133" customWidth="1"/>
    <col min="39" max="39" width="7.875" style="133" customWidth="1"/>
    <col min="40" max="40" width="8.875" style="276" customWidth="1"/>
    <col min="41" max="41" width="6.375" style="133" customWidth="1"/>
    <col min="42" max="43" width="8.625" style="133" customWidth="1"/>
    <col min="44" max="44" width="7.875" style="133" customWidth="1"/>
    <col min="45" max="45" width="6.875" style="133" customWidth="1"/>
    <col min="46" max="46" width="8.875" style="133" customWidth="1"/>
    <col min="47" max="47" width="10.625" style="200" customWidth="1"/>
    <col min="48" max="48" width="7.875" style="133" bestFit="1" customWidth="1"/>
    <col min="49" max="50" width="9.5" style="133" customWidth="1"/>
    <col min="51" max="61" width="9.5" style="133" hidden="1" customWidth="1"/>
    <col min="62" max="63" width="7.625" style="133" customWidth="1"/>
    <col min="64" max="64" width="10.875" style="133" customWidth="1"/>
    <col min="65" max="67" width="6.625" style="133" customWidth="1"/>
    <col min="68" max="68" width="10.125" style="133" customWidth="1"/>
    <col min="69" max="69" width="7.75" style="126" customWidth="1"/>
    <col min="70" max="70" width="12.875" style="135" customWidth="1"/>
    <col min="71" max="72" width="8.75" style="136" customWidth="1"/>
    <col min="73" max="73" width="13.5" style="135" customWidth="1"/>
    <col min="74" max="74" width="13.125" style="135" customWidth="1"/>
    <col min="75" max="75" width="9.875" style="135" customWidth="1"/>
    <col min="76" max="76" width="9.75" style="135" customWidth="1"/>
    <col min="77" max="77" width="13.75" style="135" hidden="1" customWidth="1"/>
    <col min="78" max="79" width="14" style="135" hidden="1" customWidth="1"/>
    <col min="80" max="80" width="11.375" style="135" hidden="1" customWidth="1"/>
    <col min="81" max="81" width="13.75" style="135" customWidth="1"/>
    <col min="82" max="82" width="11.75" style="135" customWidth="1"/>
    <col min="83" max="83" width="11.75" style="135" hidden="1" customWidth="1"/>
    <col min="84" max="84" width="10.375" style="135" hidden="1" customWidth="1"/>
    <col min="85" max="85" width="6.875" style="126" hidden="1" customWidth="1"/>
    <col min="86" max="86" width="4.375" style="126" customWidth="1"/>
    <col min="87" max="87" width="16.25" style="125" customWidth="1"/>
    <col min="88" max="88" width="6.25" style="125" customWidth="1"/>
    <col min="89" max="89" width="6" style="126" customWidth="1"/>
    <col min="90" max="90" width="25.5" style="125" customWidth="1"/>
    <col min="91" max="91" width="7.625" style="126" customWidth="1"/>
    <col min="92" max="92" width="7.5" style="126" customWidth="1"/>
    <col min="93" max="93" width="9.625" style="126" customWidth="1"/>
    <col min="94" max="94" width="9.875" style="126" customWidth="1"/>
    <col min="95" max="95" width="12.5" style="126" customWidth="1"/>
    <col min="96" max="97" width="11.25" style="126" customWidth="1"/>
    <col min="98" max="98" width="9.125" style="126" customWidth="1"/>
    <col min="99" max="99" width="8.875" style="126" customWidth="1"/>
    <col min="100" max="100" width="8.625" style="126" customWidth="1"/>
    <col min="101" max="102" width="8.875" style="126" customWidth="1"/>
    <col min="103" max="103" width="7.875" style="126" customWidth="1"/>
    <col min="104" max="104" width="9.375" style="126" customWidth="1"/>
    <col min="105" max="105" width="10.5" style="126" customWidth="1"/>
    <col min="106" max="106" width="11.125" style="85" customWidth="1"/>
    <col min="107" max="107" width="9.875" style="126" customWidth="1"/>
    <col min="108" max="108" width="12.5" style="126" customWidth="1"/>
    <col min="109" max="109" width="11.25" style="126" customWidth="1"/>
    <col min="110" max="110" width="9.125" style="126" customWidth="1"/>
    <col min="111" max="111" width="9.25" style="126" customWidth="1"/>
    <col min="112" max="112" width="12.625" style="126" customWidth="1"/>
    <col min="113" max="113" width="10.125" style="126" customWidth="1"/>
    <col min="114" max="114" width="13" style="126" customWidth="1"/>
    <col min="115" max="115" width="7.75" style="126" customWidth="1"/>
    <col min="116" max="116" width="9.375" style="126" customWidth="1"/>
    <col min="117" max="118" width="10.5" style="126" customWidth="1"/>
    <col min="119" max="119" width="9.375" style="85" customWidth="1"/>
    <col min="120" max="120" width="9.875" style="85" customWidth="1"/>
    <col min="121" max="121" width="9" style="188"/>
    <col min="122" max="122" width="8.5" style="126" customWidth="1"/>
    <col min="123" max="123" width="10.375" style="126" customWidth="1"/>
    <col min="124" max="124" width="12.5" style="126" customWidth="1"/>
    <col min="125" max="125" width="8.75" style="126" customWidth="1"/>
    <col min="126" max="126" width="9.875" style="126" customWidth="1"/>
    <col min="127" max="127" width="7.875" style="126" customWidth="1"/>
    <col min="128" max="128" width="11" style="85" customWidth="1"/>
    <col min="129" max="129" width="9" style="126"/>
    <col min="130" max="130" width="9.625" style="126" customWidth="1"/>
    <col min="131" max="131" width="12.625" style="126" customWidth="1"/>
    <col min="132" max="132" width="12.5" style="126" customWidth="1"/>
    <col min="133" max="133" width="9" style="126"/>
    <col min="134" max="135" width="9.625" style="126" customWidth="1"/>
    <col min="136" max="136" width="9.625" style="85" customWidth="1"/>
    <col min="137" max="137" width="9.125" style="85" customWidth="1"/>
    <col min="138" max="138" width="10" style="126" customWidth="1"/>
    <col min="139" max="139" width="12.5" style="126" customWidth="1"/>
    <col min="140" max="140" width="10.25" style="85" customWidth="1"/>
    <col min="141" max="141" width="9.625" style="132" customWidth="1"/>
    <col min="142" max="142" width="9.125" style="126" customWidth="1"/>
    <col min="143" max="143" width="9.75" style="85" customWidth="1"/>
    <col min="144" max="144" width="9.75" style="126" customWidth="1"/>
    <col min="145" max="145" width="11.125" style="126" customWidth="1"/>
    <col min="146" max="146" width="11.125" style="139" customWidth="1"/>
    <col min="147" max="147" width="11.125" style="139" hidden="1" customWidth="1"/>
    <col min="148" max="148" width="9.625" style="133" hidden="1" customWidth="1"/>
    <col min="149" max="149" width="9.875" style="133" hidden="1" customWidth="1"/>
    <col min="150" max="150" width="10.25" style="133" hidden="1" customWidth="1"/>
    <col min="151" max="151" width="9.75" style="133" hidden="1" customWidth="1"/>
    <col min="152" max="152" width="10.375" style="133" hidden="1" customWidth="1"/>
    <col min="153" max="153" width="9.25" style="133" hidden="1" customWidth="1"/>
    <col min="154" max="154" width="10.125" style="133" hidden="1" customWidth="1"/>
    <col min="155" max="156" width="9.75" style="133" hidden="1" customWidth="1"/>
    <col min="157" max="157" width="9.875" style="133" hidden="1" customWidth="1"/>
    <col min="158" max="158" width="11.375" style="133" hidden="1" customWidth="1"/>
    <col min="159" max="159" width="9.75" style="133" hidden="1" customWidth="1"/>
    <col min="160" max="160" width="11.125" style="133" hidden="1" customWidth="1"/>
    <col min="161" max="161" width="11.625" style="133" hidden="1" customWidth="1"/>
    <col min="162" max="162" width="9.625" style="133" hidden="1" customWidth="1"/>
    <col min="163" max="163" width="12.125" style="133" hidden="1" customWidth="1"/>
    <col min="164" max="165" width="11.625" style="133" hidden="1" customWidth="1"/>
    <col min="166" max="166" width="7.875" style="133" hidden="1" customWidth="1"/>
    <col min="167" max="167" width="9.875" style="133" hidden="1" customWidth="1"/>
    <col min="168" max="168" width="25.375" style="133" hidden="1" customWidth="1"/>
    <col min="169" max="169" width="26.125" style="126" hidden="1" customWidth="1"/>
    <col min="170" max="170" width="8.125" style="132" hidden="1" customWidth="1"/>
    <col min="171" max="16384" width="9" style="133"/>
  </cols>
  <sheetData>
    <row r="1" spans="1:170" ht="20.25">
      <c r="F1" s="128"/>
      <c r="G1" s="171" t="s">
        <v>161</v>
      </c>
      <c r="H1" s="129"/>
      <c r="I1" s="129"/>
      <c r="J1" s="129"/>
      <c r="K1" s="129"/>
      <c r="L1" s="127"/>
      <c r="M1" s="204"/>
      <c r="N1" s="127"/>
      <c r="O1" s="130"/>
      <c r="P1" s="127"/>
      <c r="Q1" s="127"/>
      <c r="R1" s="127"/>
      <c r="S1" s="127"/>
      <c r="T1" s="131"/>
      <c r="U1" s="127"/>
      <c r="V1" s="127"/>
      <c r="W1" s="132"/>
      <c r="X1" s="132"/>
      <c r="Y1" s="132"/>
      <c r="Z1" s="132">
        <f>IF(AND(T1="SĐH",V1&gt;0),R1-X1,IF(AND(T1="DH",V1&gt;0),(R1*V1/12),IF(AND(T1&lt;&gt;"NTS",V1&gt;0),(R1*V1/12)-X1,IF(AND(T1="NTS",V1&gt;0),R1-X1,R1-X1))))</f>
        <v>0</v>
      </c>
      <c r="BL1" s="132"/>
      <c r="BW1" s="137"/>
      <c r="BX1" s="137"/>
      <c r="BY1" s="138"/>
      <c r="BZ1" s="138"/>
      <c r="CA1" s="138"/>
      <c r="CB1" s="138"/>
      <c r="CC1" s="138"/>
      <c r="CJ1" s="172" t="s">
        <v>160</v>
      </c>
      <c r="CK1" s="127"/>
      <c r="CL1" s="127"/>
      <c r="CM1" s="127"/>
      <c r="CN1" s="127"/>
      <c r="CO1" s="127"/>
      <c r="CP1" s="129"/>
      <c r="CQ1" s="129"/>
      <c r="CR1" s="129"/>
      <c r="CS1" s="129"/>
      <c r="CT1" s="129"/>
      <c r="CU1" s="129"/>
      <c r="CV1" s="129"/>
      <c r="CW1" s="129"/>
      <c r="CX1" s="129"/>
      <c r="CY1" s="129"/>
      <c r="CZ1" s="129"/>
      <c r="DA1" s="129"/>
      <c r="DB1" s="130"/>
      <c r="DC1" s="129"/>
      <c r="DD1" s="129"/>
      <c r="DE1" s="129"/>
      <c r="DF1" s="129"/>
      <c r="DG1" s="129"/>
      <c r="DH1" s="129"/>
      <c r="DI1" s="129"/>
      <c r="DJ1" s="129"/>
      <c r="DK1" s="129"/>
      <c r="DL1" s="129"/>
      <c r="DM1" s="129"/>
      <c r="DN1" s="129"/>
      <c r="DO1" s="130"/>
      <c r="DP1" s="130"/>
      <c r="DQ1" s="174"/>
      <c r="DR1" s="336"/>
      <c r="DS1" s="336"/>
      <c r="DT1" s="336"/>
      <c r="DU1" s="336"/>
      <c r="DV1" s="336"/>
      <c r="DW1" s="336"/>
      <c r="DX1" s="130"/>
      <c r="EH1" s="212"/>
      <c r="EI1" s="212"/>
    </row>
    <row r="2" spans="1:170" ht="18.75">
      <c r="F2" s="140"/>
      <c r="G2" s="79" t="s">
        <v>162</v>
      </c>
      <c r="H2" s="141"/>
      <c r="I2" s="141"/>
      <c r="J2" s="141"/>
      <c r="K2" s="141"/>
      <c r="L2" s="131"/>
      <c r="M2" s="205"/>
      <c r="N2" s="131"/>
      <c r="O2" s="142"/>
      <c r="P2" s="131"/>
      <c r="Q2" s="131"/>
      <c r="R2" s="131"/>
      <c r="S2" s="131"/>
      <c r="X2" s="132">
        <f>IF(T2="NTS",VLOOKUP(T2,ma_miengiam!$A$3:$B$80,2,0)*R2*V2,IF(AND(T2="NTS",V2=0),0,IF(AND(LEFT(T2,1)="K",V2=0),VLOOKUP(T2,ma_miengiam!$A$3:$B$80,2,0)*R2,IF(LEFT(T2,1)="K",(VLOOKUP(T2,ma_miengiam!$A$3:$B$80,2,0)*R2/12)*V2,IF(AND(LEFT(T2,1)="S",V2=0),R2,IF(T2="DH",VLOOKUP(T2,ma_miengiam!$A$3:$B$80,2,0)*R2,IF(AND(T2="S§H",V2&gt;0),(R2/12)*V2,0)))))))</f>
        <v>0</v>
      </c>
      <c r="Y2" s="132">
        <f>IF(AND(T2="DH",V2&gt;0),(S2*V2/12),IF(AND(T2&lt;&gt;"NTS",V2&gt;0),(Q2*V2/12)-W2,IF(AND(T2="NTS",V2&gt;0),Q2-W2,Q2-W2)))</f>
        <v>0</v>
      </c>
      <c r="Z2" s="132">
        <f>IF(AND(T2="S§H",V2&gt;0),(R2/12)*V2-X2,IF(AND(T2="DH",V2&gt;0),(R2*V2/12),IF(AND(T2&lt;&gt;"NTS",V2&gt;0),(R2*V2/12)-X2,IF(AND(T2="NTS",V2&gt;0),R2-X2,R2-X2))))</f>
        <v>0</v>
      </c>
      <c r="AH2" s="136"/>
      <c r="AU2" s="201"/>
      <c r="BK2" s="132">
        <f>IF(AU2&lt;0,0,((-SUMIF($AX$701:$AX$705,"&lt;0"))/(SUMIF($AU$701:$AU$705,"&gt;0"))*AU2))</f>
        <v>0</v>
      </c>
      <c r="BL2" s="143"/>
      <c r="BP2" s="144"/>
      <c r="BQ2" s="144"/>
      <c r="BS2" s="144"/>
      <c r="BT2" s="144"/>
      <c r="BU2" s="144"/>
      <c r="BV2" s="138"/>
      <c r="BW2" s="138"/>
      <c r="BX2" s="138"/>
      <c r="BY2" s="138"/>
      <c r="BZ2" s="138"/>
      <c r="CA2" s="138"/>
      <c r="CB2" s="138"/>
      <c r="CC2" s="138"/>
      <c r="CJ2" s="126"/>
      <c r="CL2" s="126"/>
      <c r="CP2" s="85"/>
      <c r="CQ2" s="85"/>
      <c r="CR2" s="85"/>
      <c r="CS2" s="85"/>
      <c r="CT2" s="85"/>
      <c r="CU2" s="85"/>
      <c r="CV2" s="85"/>
      <c r="CW2" s="85"/>
      <c r="CX2" s="85"/>
      <c r="CY2" s="85"/>
      <c r="CZ2" s="85"/>
      <c r="DA2" s="85"/>
      <c r="DB2" s="145"/>
      <c r="DC2" s="85"/>
      <c r="DD2" s="85"/>
      <c r="DE2" s="85"/>
      <c r="DF2" s="85"/>
      <c r="DG2" s="85"/>
      <c r="DH2" s="85"/>
      <c r="DI2" s="85"/>
      <c r="DJ2" s="85"/>
      <c r="DK2" s="85"/>
      <c r="DL2" s="85"/>
      <c r="DM2" s="85"/>
      <c r="DN2" s="85"/>
      <c r="DO2" s="134"/>
      <c r="DP2" s="134"/>
      <c r="DQ2" s="170"/>
      <c r="DR2" s="146"/>
      <c r="DS2" s="147"/>
      <c r="DT2" s="147"/>
      <c r="DU2" s="147"/>
      <c r="DV2" s="147"/>
      <c r="DW2" s="134"/>
      <c r="DX2" s="277"/>
      <c r="DY2" s="170"/>
      <c r="DZ2" s="134"/>
      <c r="EA2" s="147"/>
      <c r="EB2" s="147"/>
      <c r="EC2" s="147"/>
      <c r="ED2" s="134"/>
      <c r="EE2" s="134"/>
      <c r="EF2" s="134"/>
      <c r="EG2" s="134"/>
      <c r="EH2" s="176"/>
      <c r="EI2" s="176"/>
      <c r="EJ2" s="176"/>
      <c r="EK2" s="139"/>
      <c r="EL2" s="148"/>
    </row>
    <row r="3" spans="1:170" ht="18.75">
      <c r="F3" s="140"/>
      <c r="G3" s="79"/>
      <c r="H3" s="141"/>
      <c r="I3" s="141"/>
      <c r="J3" s="141"/>
      <c r="K3" s="141"/>
      <c r="L3" s="131"/>
      <c r="M3" s="205"/>
      <c r="N3" s="131"/>
      <c r="O3" s="142"/>
      <c r="P3" s="131"/>
      <c r="Q3" s="131"/>
      <c r="R3" s="131"/>
      <c r="S3" s="131"/>
      <c r="X3" s="132"/>
      <c r="Y3" s="132"/>
      <c r="Z3" s="132"/>
      <c r="AH3" s="136"/>
      <c r="AU3" s="201"/>
      <c r="BK3" s="132"/>
      <c r="BL3" s="143"/>
      <c r="BP3" s="144"/>
      <c r="BQ3" s="144"/>
      <c r="BS3" s="144"/>
      <c r="BT3" s="144"/>
      <c r="BU3" s="144"/>
      <c r="BV3" s="138"/>
      <c r="BW3" s="138"/>
      <c r="BX3" s="138"/>
      <c r="BY3" s="138"/>
      <c r="BZ3" s="138"/>
      <c r="CA3" s="138"/>
      <c r="CB3" s="138"/>
      <c r="CC3" s="138"/>
      <c r="CJ3" s="126"/>
      <c r="CL3" s="126"/>
      <c r="CP3" s="85"/>
      <c r="CQ3" s="85"/>
      <c r="CR3" s="85"/>
      <c r="CS3" s="85"/>
      <c r="CT3" s="85"/>
      <c r="CU3" s="85"/>
      <c r="CV3" s="85"/>
      <c r="CW3" s="85"/>
      <c r="CX3" s="85"/>
      <c r="CY3" s="85"/>
      <c r="CZ3" s="85"/>
      <c r="DA3" s="85"/>
      <c r="DB3" s="145"/>
      <c r="DC3" s="85"/>
      <c r="DD3" s="85"/>
      <c r="DE3" s="85"/>
      <c r="DF3" s="85"/>
      <c r="DG3" s="85"/>
      <c r="DH3" s="85"/>
      <c r="DI3" s="85"/>
      <c r="DJ3" s="85"/>
      <c r="DK3" s="85"/>
      <c r="DL3" s="85"/>
      <c r="DM3" s="85"/>
      <c r="DN3" s="85"/>
      <c r="DO3" s="134"/>
      <c r="DP3" s="134"/>
      <c r="DQ3" s="170"/>
      <c r="DR3" s="146"/>
      <c r="DS3" s="147"/>
      <c r="DT3" s="147"/>
      <c r="DU3" s="147"/>
      <c r="DV3" s="147"/>
      <c r="DW3" s="134"/>
      <c r="DX3" s="277"/>
      <c r="DY3" s="170"/>
      <c r="DZ3" s="134"/>
      <c r="EA3" s="147"/>
      <c r="EB3" s="147"/>
      <c r="EC3" s="147"/>
      <c r="ED3" s="134"/>
      <c r="EE3" s="134"/>
      <c r="EF3" s="134"/>
      <c r="EG3" s="134"/>
      <c r="EH3" s="176"/>
      <c r="EI3" s="176"/>
      <c r="EJ3" s="176"/>
      <c r="EK3" s="139"/>
      <c r="EL3" s="148"/>
    </row>
    <row r="4" spans="1:170" ht="18.75">
      <c r="F4" s="140"/>
      <c r="G4" s="79"/>
      <c r="H4" s="141"/>
      <c r="I4" s="141"/>
      <c r="J4" s="141"/>
      <c r="K4" s="141"/>
      <c r="L4" s="131"/>
      <c r="M4" s="205"/>
      <c r="N4" s="131"/>
      <c r="O4" s="142"/>
      <c r="P4" s="131"/>
      <c r="Q4" s="131"/>
      <c r="R4" s="131"/>
      <c r="S4" s="131"/>
      <c r="X4" s="132"/>
      <c r="Y4" s="132"/>
      <c r="Z4" s="132"/>
      <c r="AH4" s="136"/>
      <c r="AU4" s="201"/>
      <c r="BK4" s="132"/>
      <c r="BL4" s="143"/>
      <c r="BP4" s="144"/>
      <c r="BQ4" s="144"/>
      <c r="BS4" s="144"/>
      <c r="BT4" s="144"/>
      <c r="BU4" s="144"/>
      <c r="BV4" s="138"/>
      <c r="BW4" s="138"/>
      <c r="BX4" s="138"/>
      <c r="BY4" s="138"/>
      <c r="BZ4" s="138"/>
      <c r="CA4" s="138"/>
      <c r="CB4" s="138"/>
      <c r="CC4" s="138"/>
      <c r="CJ4" s="126"/>
      <c r="CL4" s="126"/>
      <c r="CP4" s="85"/>
      <c r="CQ4" s="85"/>
      <c r="CR4" s="85"/>
      <c r="CS4" s="85"/>
      <c r="CT4" s="85"/>
      <c r="CU4" s="85"/>
      <c r="CV4" s="85"/>
      <c r="CW4" s="85"/>
      <c r="CX4" s="85"/>
      <c r="CY4" s="85"/>
      <c r="CZ4" s="85"/>
      <c r="DA4" s="85"/>
      <c r="DB4" s="145"/>
      <c r="DC4" s="85"/>
      <c r="DD4" s="85"/>
      <c r="DE4" s="85"/>
      <c r="DF4" s="85"/>
      <c r="DG4" s="85"/>
      <c r="DH4" s="85"/>
      <c r="DI4" s="85"/>
      <c r="DJ4" s="85"/>
      <c r="DK4" s="85"/>
      <c r="DL4" s="85"/>
      <c r="DM4" s="85"/>
      <c r="DN4" s="85"/>
      <c r="DO4" s="134"/>
      <c r="DP4" s="134"/>
      <c r="DQ4" s="170"/>
      <c r="DR4" s="146"/>
      <c r="DS4" s="147"/>
      <c r="DT4" s="147"/>
      <c r="DU4" s="147"/>
      <c r="DV4" s="147"/>
      <c r="DW4" s="134"/>
      <c r="DX4" s="277"/>
      <c r="DY4" s="170"/>
      <c r="DZ4" s="134"/>
      <c r="EA4" s="147"/>
      <c r="EB4" s="147"/>
      <c r="EC4" s="147"/>
      <c r="ED4" s="134"/>
      <c r="EE4" s="134"/>
      <c r="EF4" s="134"/>
      <c r="EG4" s="134"/>
      <c r="EH4" s="176"/>
      <c r="EI4" s="176"/>
      <c r="EJ4" s="176"/>
      <c r="EK4" s="139"/>
      <c r="EL4" s="148"/>
    </row>
    <row r="5" spans="1:170" ht="18.75">
      <c r="F5" s="140"/>
      <c r="G5" s="79"/>
      <c r="H5" s="141"/>
      <c r="I5" s="141"/>
      <c r="J5" s="141"/>
      <c r="K5" s="141"/>
      <c r="L5" s="131"/>
      <c r="M5" s="205"/>
      <c r="N5" s="131"/>
      <c r="O5" s="142"/>
      <c r="P5" s="131"/>
      <c r="Q5" s="131"/>
      <c r="R5" s="131"/>
      <c r="S5" s="131"/>
      <c r="X5" s="132"/>
      <c r="Y5" s="132"/>
      <c r="Z5" s="132"/>
      <c r="AH5" s="136"/>
      <c r="AU5" s="201"/>
      <c r="BK5" s="132"/>
      <c r="BL5" s="143"/>
      <c r="BP5" s="144"/>
      <c r="BQ5" s="144"/>
      <c r="BS5" s="144"/>
      <c r="BT5" s="144"/>
      <c r="BU5" s="144"/>
      <c r="BV5" s="138"/>
      <c r="BW5" s="138"/>
      <c r="BX5" s="138"/>
      <c r="BY5" s="138"/>
      <c r="BZ5" s="138"/>
      <c r="CA5" s="138"/>
      <c r="CB5" s="138"/>
      <c r="CC5" s="138"/>
      <c r="CJ5" s="126"/>
      <c r="CL5" s="126"/>
      <c r="CP5" s="85"/>
      <c r="CQ5" s="85"/>
      <c r="CR5" s="85"/>
      <c r="CS5" s="85"/>
      <c r="CT5" s="85"/>
      <c r="CU5" s="85"/>
      <c r="CV5" s="85"/>
      <c r="CW5" s="85"/>
      <c r="CX5" s="85"/>
      <c r="CY5" s="85"/>
      <c r="CZ5" s="85"/>
      <c r="DA5" s="85"/>
      <c r="DB5" s="145"/>
      <c r="DC5" s="85"/>
      <c r="DD5" s="85"/>
      <c r="DE5" s="85"/>
      <c r="DF5" s="85"/>
      <c r="DG5" s="85"/>
      <c r="DH5" s="85"/>
      <c r="DI5" s="85"/>
      <c r="DJ5" s="85"/>
      <c r="DK5" s="85"/>
      <c r="DL5" s="85"/>
      <c r="DM5" s="85"/>
      <c r="DN5" s="85"/>
      <c r="DO5" s="134"/>
      <c r="DP5" s="134"/>
      <c r="DQ5" s="170"/>
      <c r="DR5" s="146"/>
      <c r="DS5" s="147"/>
      <c r="DT5" s="147"/>
      <c r="DU5" s="147"/>
      <c r="DV5" s="147"/>
      <c r="DW5" s="134"/>
      <c r="DX5" s="277"/>
      <c r="DY5" s="170"/>
      <c r="DZ5" s="134"/>
      <c r="EA5" s="147"/>
      <c r="EB5" s="147"/>
      <c r="EC5" s="147"/>
      <c r="ED5" s="134"/>
      <c r="EE5" s="134"/>
      <c r="EF5" s="134"/>
      <c r="EG5" s="134"/>
      <c r="EH5" s="176"/>
      <c r="EI5" s="176"/>
      <c r="EJ5" s="176"/>
      <c r="EK5" s="139"/>
      <c r="EL5" s="148"/>
    </row>
    <row r="6" spans="1:170">
      <c r="G6" s="126"/>
      <c r="L6" s="126"/>
      <c r="S6" s="190"/>
      <c r="CJ6" s="126"/>
      <c r="CL6" s="126"/>
      <c r="CP6" s="85"/>
      <c r="CQ6" s="85"/>
      <c r="CR6" s="85"/>
      <c r="CS6" s="85"/>
      <c r="CT6" s="85"/>
      <c r="CU6" s="85"/>
      <c r="CV6" s="85"/>
      <c r="CW6" s="85"/>
      <c r="CX6" s="85"/>
      <c r="CY6" s="85"/>
      <c r="CZ6" s="85"/>
      <c r="DA6" s="85"/>
      <c r="DC6" s="85"/>
      <c r="DD6" s="85"/>
      <c r="DE6" s="85"/>
      <c r="DF6" s="85"/>
      <c r="DG6" s="85"/>
      <c r="DH6" s="85"/>
      <c r="DI6" s="85"/>
      <c r="DJ6" s="85"/>
      <c r="DK6" s="85"/>
      <c r="DL6" s="85"/>
      <c r="DM6" s="85"/>
      <c r="DN6" s="85"/>
      <c r="DQ6" s="170"/>
      <c r="DR6" s="85"/>
      <c r="DS6" s="85"/>
      <c r="DT6" s="85"/>
      <c r="DU6" s="85"/>
      <c r="DV6" s="85"/>
      <c r="DW6" s="85"/>
      <c r="DY6" s="85"/>
      <c r="DZ6" s="85"/>
      <c r="EA6" s="85"/>
      <c r="EB6" s="85"/>
      <c r="EC6" s="85"/>
      <c r="ED6" s="85"/>
      <c r="EE6" s="85"/>
      <c r="EH6" s="85"/>
      <c r="EI6" s="85"/>
      <c r="EK6" s="139"/>
      <c r="EL6" s="85"/>
      <c r="ER6" s="208" t="s">
        <v>2841</v>
      </c>
      <c r="ES6" s="208" t="s">
        <v>2842</v>
      </c>
      <c r="ET6" s="208" t="s">
        <v>2844</v>
      </c>
      <c r="EU6" s="208" t="s">
        <v>2845</v>
      </c>
      <c r="EV6" s="208" t="s">
        <v>1735</v>
      </c>
      <c r="EW6" s="208" t="s">
        <v>1736</v>
      </c>
      <c r="EX6" s="208" t="s">
        <v>1737</v>
      </c>
      <c r="EY6" s="208" t="s">
        <v>1738</v>
      </c>
      <c r="EZ6" s="208" t="s">
        <v>2018</v>
      </c>
      <c r="FA6" s="208" t="s">
        <v>398</v>
      </c>
      <c r="FB6" s="208" t="s">
        <v>2946</v>
      </c>
      <c r="FC6" s="208" t="s">
        <v>1739</v>
      </c>
      <c r="FD6" s="208" t="s">
        <v>1740</v>
      </c>
      <c r="FE6" s="208" t="s">
        <v>1741</v>
      </c>
      <c r="FF6" s="208" t="s">
        <v>1742</v>
      </c>
      <c r="FG6" s="208" t="s">
        <v>2942</v>
      </c>
      <c r="FH6" s="208" t="s">
        <v>2943</v>
      </c>
      <c r="FI6" s="208" t="s">
        <v>3082</v>
      </c>
      <c r="FJ6" s="208" t="s">
        <v>2944</v>
      </c>
    </row>
    <row r="7" spans="1:170" s="85" customFormat="1" ht="27.75" customHeight="1">
      <c r="A7" s="321" t="s">
        <v>3014</v>
      </c>
      <c r="B7" s="321" t="s">
        <v>3116</v>
      </c>
      <c r="C7" s="321" t="s">
        <v>948</v>
      </c>
      <c r="D7" s="321" t="s">
        <v>3066</v>
      </c>
      <c r="E7" s="321" t="s">
        <v>3064</v>
      </c>
      <c r="F7" s="332" t="s">
        <v>2774</v>
      </c>
      <c r="G7" s="334" t="s">
        <v>2775</v>
      </c>
      <c r="H7" s="324" t="s">
        <v>2776</v>
      </c>
      <c r="I7" s="324" t="s">
        <v>2777</v>
      </c>
      <c r="J7" s="324" t="s">
        <v>947</v>
      </c>
      <c r="K7" s="324" t="s">
        <v>947</v>
      </c>
      <c r="L7" s="324" t="s">
        <v>1203</v>
      </c>
      <c r="M7" s="314" t="s">
        <v>2355</v>
      </c>
      <c r="N7" s="324" t="s">
        <v>215</v>
      </c>
      <c r="O7" s="321"/>
      <c r="P7" s="321"/>
      <c r="Q7" s="321"/>
      <c r="R7" s="321"/>
      <c r="S7" s="324" t="s">
        <v>2778</v>
      </c>
      <c r="T7" s="321"/>
      <c r="U7" s="321"/>
      <c r="V7" s="321"/>
      <c r="W7" s="321"/>
      <c r="X7" s="321"/>
      <c r="Y7" s="314" t="s">
        <v>2779</v>
      </c>
      <c r="Z7" s="321"/>
      <c r="AA7" s="321" t="s">
        <v>964</v>
      </c>
      <c r="AB7" s="321"/>
      <c r="AC7" s="321" t="s">
        <v>1081</v>
      </c>
      <c r="AD7" s="321"/>
      <c r="AE7" s="321" t="s">
        <v>2077</v>
      </c>
      <c r="AF7" s="321"/>
      <c r="AG7" s="314" t="s">
        <v>960</v>
      </c>
      <c r="AH7" s="313"/>
      <c r="AI7" s="313"/>
      <c r="AJ7" s="314" t="s">
        <v>961</v>
      </c>
      <c r="AK7" s="314" t="s">
        <v>962</v>
      </c>
      <c r="AL7" s="314" t="s">
        <v>1513</v>
      </c>
      <c r="AM7" s="314"/>
      <c r="AN7" s="314"/>
      <c r="AO7" s="314"/>
      <c r="AP7" s="314"/>
      <c r="AQ7" s="314"/>
      <c r="AR7" s="314"/>
      <c r="AS7" s="314"/>
      <c r="AT7" s="314"/>
      <c r="AU7" s="315" t="s">
        <v>2474</v>
      </c>
      <c r="AV7" s="315" t="s">
        <v>2473</v>
      </c>
      <c r="AW7" s="315" t="s">
        <v>2475</v>
      </c>
      <c r="AX7" s="314" t="s">
        <v>1082</v>
      </c>
      <c r="AY7" s="314" t="s">
        <v>803</v>
      </c>
      <c r="AZ7" s="314"/>
      <c r="BA7" s="314"/>
      <c r="BB7" s="314"/>
      <c r="BC7" s="314"/>
      <c r="BD7" s="314"/>
      <c r="BE7" s="314" t="s">
        <v>2840</v>
      </c>
      <c r="BF7" s="314"/>
      <c r="BG7" s="314"/>
      <c r="BH7" s="314"/>
      <c r="BI7" s="314"/>
      <c r="BJ7" s="314" t="s">
        <v>1821</v>
      </c>
      <c r="BK7" s="314" t="s">
        <v>2467</v>
      </c>
      <c r="BL7" s="314" t="s">
        <v>1018</v>
      </c>
      <c r="BM7" s="314" t="s">
        <v>1074</v>
      </c>
      <c r="BN7" s="313"/>
      <c r="BO7" s="313"/>
      <c r="BP7" s="324" t="s">
        <v>1197</v>
      </c>
      <c r="BQ7" s="337"/>
      <c r="BR7" s="337"/>
      <c r="BS7" s="337"/>
      <c r="BT7" s="337"/>
      <c r="BU7" s="337"/>
      <c r="BV7" s="337"/>
      <c r="BW7" s="314" t="s">
        <v>1790</v>
      </c>
      <c r="BX7" s="314" t="s">
        <v>1410</v>
      </c>
      <c r="BY7" s="314" t="s">
        <v>290</v>
      </c>
      <c r="BZ7" s="314" t="s">
        <v>291</v>
      </c>
      <c r="CA7" s="314" t="s">
        <v>954</v>
      </c>
      <c r="CB7" s="314" t="s">
        <v>3109</v>
      </c>
      <c r="CC7" s="314" t="s">
        <v>211</v>
      </c>
      <c r="CD7" s="314" t="s">
        <v>212</v>
      </c>
      <c r="CE7" s="314" t="s">
        <v>2022</v>
      </c>
      <c r="CF7" s="314" t="s">
        <v>213</v>
      </c>
      <c r="CG7" s="314" t="s">
        <v>214</v>
      </c>
      <c r="CH7" s="321" t="s">
        <v>3014</v>
      </c>
      <c r="CI7" s="324" t="s">
        <v>2774</v>
      </c>
      <c r="CJ7" s="324" t="s">
        <v>2775</v>
      </c>
      <c r="CK7" s="324" t="s">
        <v>2776</v>
      </c>
      <c r="CL7" s="324" t="s">
        <v>1203</v>
      </c>
      <c r="CM7" s="324" t="s">
        <v>215</v>
      </c>
      <c r="CN7" s="321"/>
      <c r="CO7" s="321"/>
      <c r="CP7" s="324" t="s">
        <v>2307</v>
      </c>
      <c r="CQ7" s="324"/>
      <c r="CR7" s="324"/>
      <c r="CS7" s="324"/>
      <c r="CT7" s="324"/>
      <c r="CU7" s="324"/>
      <c r="CV7" s="324"/>
      <c r="CW7" s="324"/>
      <c r="CX7" s="324"/>
      <c r="CY7" s="324"/>
      <c r="CZ7" s="324"/>
      <c r="DA7" s="324"/>
      <c r="DB7" s="321"/>
      <c r="DC7" s="321"/>
      <c r="DD7" s="321"/>
      <c r="DE7" s="321"/>
      <c r="DF7" s="321"/>
      <c r="DG7" s="321"/>
      <c r="DH7" s="321"/>
      <c r="DI7" s="321"/>
      <c r="DJ7" s="321"/>
      <c r="DK7" s="321"/>
      <c r="DL7" s="321"/>
      <c r="DM7" s="321"/>
      <c r="DN7" s="321"/>
      <c r="DO7" s="321"/>
      <c r="DP7" s="321"/>
      <c r="DQ7" s="324" t="s">
        <v>1486</v>
      </c>
      <c r="DR7" s="321"/>
      <c r="DS7" s="321"/>
      <c r="DT7" s="321"/>
      <c r="DU7" s="321"/>
      <c r="DV7" s="321"/>
      <c r="DW7" s="321"/>
      <c r="DX7" s="321"/>
      <c r="DY7" s="321"/>
      <c r="DZ7" s="321"/>
      <c r="EA7" s="321"/>
      <c r="EB7" s="321"/>
      <c r="EC7" s="321"/>
      <c r="ED7" s="321"/>
      <c r="EE7" s="321"/>
      <c r="EF7" s="321"/>
      <c r="EG7" s="321"/>
      <c r="EH7" s="324" t="s">
        <v>1487</v>
      </c>
      <c r="EI7" s="321"/>
      <c r="EJ7" s="321"/>
      <c r="EK7" s="321"/>
      <c r="EL7" s="321"/>
      <c r="EM7" s="321"/>
      <c r="EN7" s="321"/>
      <c r="EO7" s="321"/>
      <c r="EP7" s="321"/>
      <c r="ER7" s="85" t="s">
        <v>2841</v>
      </c>
      <c r="ES7" s="85" t="s">
        <v>2842</v>
      </c>
      <c r="ET7" s="85" t="s">
        <v>2844</v>
      </c>
      <c r="EU7" s="85" t="s">
        <v>2845</v>
      </c>
      <c r="EV7" s="85" t="s">
        <v>1735</v>
      </c>
      <c r="EW7" s="85" t="s">
        <v>1736</v>
      </c>
      <c r="EX7" s="85" t="s">
        <v>1737</v>
      </c>
      <c r="EY7" s="85" t="s">
        <v>1738</v>
      </c>
      <c r="EZ7" s="85" t="s">
        <v>2018</v>
      </c>
      <c r="FA7" s="85" t="s">
        <v>398</v>
      </c>
      <c r="FB7" s="85" t="s">
        <v>2946</v>
      </c>
      <c r="FC7" s="85" t="s">
        <v>1739</v>
      </c>
      <c r="FD7" s="85" t="s">
        <v>1740</v>
      </c>
      <c r="FE7" s="85" t="s">
        <v>1741</v>
      </c>
      <c r="FF7" s="85" t="s">
        <v>1742</v>
      </c>
      <c r="FG7" s="85" t="s">
        <v>2942</v>
      </c>
      <c r="FH7" s="85" t="s">
        <v>2943</v>
      </c>
      <c r="FI7" s="85" t="s">
        <v>3082</v>
      </c>
      <c r="FJ7" s="85" t="s">
        <v>2944</v>
      </c>
      <c r="FN7" s="312"/>
    </row>
    <row r="8" spans="1:170" s="85" customFormat="1" ht="17.25" customHeight="1">
      <c r="A8" s="321"/>
      <c r="B8" s="321"/>
      <c r="C8" s="321"/>
      <c r="D8" s="321"/>
      <c r="E8" s="321"/>
      <c r="F8" s="333"/>
      <c r="G8" s="335"/>
      <c r="H8" s="321"/>
      <c r="I8" s="321"/>
      <c r="J8" s="321"/>
      <c r="K8" s="321"/>
      <c r="L8" s="321"/>
      <c r="M8" s="324"/>
      <c r="N8" s="324" t="s">
        <v>1338</v>
      </c>
      <c r="O8" s="328" t="s">
        <v>1488</v>
      </c>
      <c r="P8" s="314" t="s">
        <v>1489</v>
      </c>
      <c r="Q8" s="314" t="s">
        <v>1824</v>
      </c>
      <c r="R8" s="314" t="s">
        <v>1825</v>
      </c>
      <c r="S8" s="314" t="s">
        <v>3079</v>
      </c>
      <c r="T8" s="322" t="s">
        <v>1822</v>
      </c>
      <c r="U8" s="323" t="s">
        <v>1664</v>
      </c>
      <c r="V8" s="322" t="s">
        <v>1823</v>
      </c>
      <c r="W8" s="322" t="s">
        <v>1824</v>
      </c>
      <c r="X8" s="322" t="s">
        <v>1825</v>
      </c>
      <c r="Y8" s="322" t="s">
        <v>1824</v>
      </c>
      <c r="Z8" s="322" t="s">
        <v>1825</v>
      </c>
      <c r="AA8" s="314" t="s">
        <v>1824</v>
      </c>
      <c r="AB8" s="314" t="s">
        <v>1825</v>
      </c>
      <c r="AC8" s="314" t="s">
        <v>1824</v>
      </c>
      <c r="AD8" s="314" t="s">
        <v>1825</v>
      </c>
      <c r="AE8" s="322" t="s">
        <v>1824</v>
      </c>
      <c r="AF8" s="322" t="s">
        <v>1825</v>
      </c>
      <c r="AG8" s="322" t="s">
        <v>1826</v>
      </c>
      <c r="AH8" s="322" t="s">
        <v>1827</v>
      </c>
      <c r="AI8" s="323"/>
      <c r="AJ8" s="313"/>
      <c r="AK8" s="313"/>
      <c r="AL8" s="314" t="s">
        <v>2481</v>
      </c>
      <c r="AM8" s="314"/>
      <c r="AN8" s="314"/>
      <c r="AO8" s="314" t="s">
        <v>1514</v>
      </c>
      <c r="AP8" s="314"/>
      <c r="AQ8" s="314"/>
      <c r="AR8" s="314"/>
      <c r="AS8" s="314"/>
      <c r="AT8" s="314" t="s">
        <v>2472</v>
      </c>
      <c r="AU8" s="316"/>
      <c r="AV8" s="316"/>
      <c r="AW8" s="316"/>
      <c r="AX8" s="313"/>
      <c r="AY8" s="314"/>
      <c r="AZ8" s="314"/>
      <c r="BA8" s="314"/>
      <c r="BB8" s="314"/>
      <c r="BC8" s="314"/>
      <c r="BD8" s="314"/>
      <c r="BE8" s="314"/>
      <c r="BF8" s="314"/>
      <c r="BG8" s="314"/>
      <c r="BH8" s="314"/>
      <c r="BI8" s="314"/>
      <c r="BJ8" s="313"/>
      <c r="BK8" s="314"/>
      <c r="BL8" s="313"/>
      <c r="BM8" s="313" t="s">
        <v>542</v>
      </c>
      <c r="BN8" s="313" t="s">
        <v>1922</v>
      </c>
      <c r="BO8" s="314" t="s">
        <v>1352</v>
      </c>
      <c r="BP8" s="314" t="s">
        <v>1490</v>
      </c>
      <c r="BQ8" s="314" t="s">
        <v>1491</v>
      </c>
      <c r="BR8" s="314" t="s">
        <v>1492</v>
      </c>
      <c r="BS8" s="330" t="s">
        <v>905</v>
      </c>
      <c r="BT8" s="330" t="s">
        <v>1160</v>
      </c>
      <c r="BU8" s="314" t="s">
        <v>1492</v>
      </c>
      <c r="BV8" s="314" t="s">
        <v>906</v>
      </c>
      <c r="BW8" s="313"/>
      <c r="BX8" s="313"/>
      <c r="BY8" s="313"/>
      <c r="BZ8" s="313"/>
      <c r="CA8" s="313"/>
      <c r="CB8" s="313"/>
      <c r="CC8" s="313"/>
      <c r="CD8" s="313"/>
      <c r="CE8" s="313"/>
      <c r="CF8" s="313"/>
      <c r="CG8" s="313"/>
      <c r="CH8" s="321"/>
      <c r="CI8" s="321"/>
      <c r="CJ8" s="321"/>
      <c r="CK8" s="321"/>
      <c r="CL8" s="321"/>
      <c r="CM8" s="324" t="s">
        <v>1338</v>
      </c>
      <c r="CN8" s="314" t="s">
        <v>1824</v>
      </c>
      <c r="CO8" s="314" t="s">
        <v>1825</v>
      </c>
      <c r="CP8" s="324" t="s">
        <v>907</v>
      </c>
      <c r="CQ8" s="324"/>
      <c r="CR8" s="324"/>
      <c r="CS8" s="324"/>
      <c r="CT8" s="324"/>
      <c r="CU8" s="324"/>
      <c r="CV8" s="324"/>
      <c r="CW8" s="324"/>
      <c r="CX8" s="324"/>
      <c r="CY8" s="324"/>
      <c r="CZ8" s="324"/>
      <c r="DA8" s="324"/>
      <c r="DB8" s="324"/>
      <c r="DC8" s="324" t="s">
        <v>908</v>
      </c>
      <c r="DD8" s="324"/>
      <c r="DE8" s="324"/>
      <c r="DF8" s="324"/>
      <c r="DG8" s="324"/>
      <c r="DH8" s="324"/>
      <c r="DI8" s="324"/>
      <c r="DJ8" s="324"/>
      <c r="DK8" s="324"/>
      <c r="DL8" s="324"/>
      <c r="DM8" s="324"/>
      <c r="DN8" s="324"/>
      <c r="DO8" s="324"/>
      <c r="DP8" s="324" t="s">
        <v>909</v>
      </c>
      <c r="DQ8" s="324" t="s">
        <v>907</v>
      </c>
      <c r="DR8" s="321"/>
      <c r="DS8" s="321"/>
      <c r="DT8" s="321"/>
      <c r="DU8" s="321"/>
      <c r="DV8" s="321"/>
      <c r="DW8" s="321"/>
      <c r="DX8" s="321"/>
      <c r="DY8" s="324" t="s">
        <v>908</v>
      </c>
      <c r="DZ8" s="321"/>
      <c r="EA8" s="321"/>
      <c r="EB8" s="321"/>
      <c r="EC8" s="321"/>
      <c r="ED8" s="321"/>
      <c r="EE8" s="321"/>
      <c r="EF8" s="321"/>
      <c r="EG8" s="324" t="s">
        <v>909</v>
      </c>
      <c r="EH8" s="324" t="s">
        <v>907</v>
      </c>
      <c r="EI8" s="321"/>
      <c r="EJ8" s="321"/>
      <c r="EK8" s="324" t="s">
        <v>910</v>
      </c>
      <c r="EL8" s="321"/>
      <c r="EM8" s="321"/>
      <c r="EN8" s="314" t="s">
        <v>909</v>
      </c>
      <c r="EO8" s="313"/>
      <c r="EP8" s="313"/>
      <c r="EQ8" s="181"/>
      <c r="ER8" s="208"/>
      <c r="ES8" s="208"/>
      <c r="ET8" s="208"/>
      <c r="EU8" s="208"/>
      <c r="EV8" s="208"/>
      <c r="EW8" s="208"/>
      <c r="EX8" s="208"/>
      <c r="EY8" s="208"/>
      <c r="EZ8" s="208"/>
      <c r="FA8" s="208"/>
      <c r="FB8" s="208"/>
      <c r="FC8" s="208"/>
      <c r="FD8" s="208"/>
      <c r="FE8" s="208"/>
      <c r="FF8" s="208"/>
      <c r="FG8" s="208"/>
      <c r="FH8" s="208"/>
      <c r="FI8" s="208"/>
      <c r="FJ8" s="208"/>
      <c r="FK8" s="208"/>
      <c r="FL8" s="208"/>
      <c r="FN8" s="312"/>
    </row>
    <row r="9" spans="1:170" s="85" customFormat="1" ht="57">
      <c r="A9" s="321"/>
      <c r="B9" s="321"/>
      <c r="C9" s="321"/>
      <c r="D9" s="321"/>
      <c r="E9" s="321"/>
      <c r="F9" s="333"/>
      <c r="G9" s="335"/>
      <c r="H9" s="321"/>
      <c r="I9" s="321"/>
      <c r="J9" s="321"/>
      <c r="K9" s="321"/>
      <c r="L9" s="321"/>
      <c r="M9" s="324"/>
      <c r="N9" s="321"/>
      <c r="O9" s="329"/>
      <c r="P9" s="321"/>
      <c r="Q9" s="321"/>
      <c r="R9" s="321"/>
      <c r="S9" s="313"/>
      <c r="T9" s="323"/>
      <c r="U9" s="323"/>
      <c r="V9" s="323"/>
      <c r="W9" s="323"/>
      <c r="X9" s="327"/>
      <c r="Y9" s="323"/>
      <c r="Z9" s="327"/>
      <c r="AA9" s="321"/>
      <c r="AB9" s="321"/>
      <c r="AC9" s="321"/>
      <c r="AD9" s="321"/>
      <c r="AE9" s="323"/>
      <c r="AF9" s="327"/>
      <c r="AG9" s="327"/>
      <c r="AH9" s="82" t="s">
        <v>2272</v>
      </c>
      <c r="AI9" s="82" t="s">
        <v>566</v>
      </c>
      <c r="AJ9" s="313"/>
      <c r="AK9" s="313"/>
      <c r="AL9" s="81" t="s">
        <v>1349</v>
      </c>
      <c r="AM9" s="81" t="s">
        <v>1350</v>
      </c>
      <c r="AN9" s="274" t="s">
        <v>1351</v>
      </c>
      <c r="AO9" s="81" t="s">
        <v>1512</v>
      </c>
      <c r="AP9" s="81" t="s">
        <v>2948</v>
      </c>
      <c r="AQ9" s="81" t="s">
        <v>2949</v>
      </c>
      <c r="AR9" s="81" t="s">
        <v>550</v>
      </c>
      <c r="AS9" s="81" t="s">
        <v>551</v>
      </c>
      <c r="AT9" s="314"/>
      <c r="AU9" s="316"/>
      <c r="AV9" s="316"/>
      <c r="AW9" s="316"/>
      <c r="AX9" s="313"/>
      <c r="AY9" s="275" t="s">
        <v>1512</v>
      </c>
      <c r="AZ9" s="275" t="s">
        <v>2948</v>
      </c>
      <c r="BA9" s="275" t="s">
        <v>2949</v>
      </c>
      <c r="BB9" s="275" t="s">
        <v>550</v>
      </c>
      <c r="BC9" s="275" t="s">
        <v>551</v>
      </c>
      <c r="BD9" s="81" t="s">
        <v>2544</v>
      </c>
      <c r="BE9" s="274" t="s">
        <v>1512</v>
      </c>
      <c r="BF9" s="274" t="s">
        <v>2948</v>
      </c>
      <c r="BG9" s="274" t="s">
        <v>2949</v>
      </c>
      <c r="BH9" s="274" t="s">
        <v>550</v>
      </c>
      <c r="BI9" s="274" t="s">
        <v>551</v>
      </c>
      <c r="BJ9" s="313"/>
      <c r="BK9" s="314"/>
      <c r="BL9" s="313"/>
      <c r="BM9" s="313"/>
      <c r="BN9" s="313"/>
      <c r="BO9" s="313"/>
      <c r="BP9" s="321"/>
      <c r="BQ9" s="313"/>
      <c r="BR9" s="313"/>
      <c r="BS9" s="331"/>
      <c r="BT9" s="331"/>
      <c r="BU9" s="313"/>
      <c r="BV9" s="313"/>
      <c r="BW9" s="313"/>
      <c r="BX9" s="313"/>
      <c r="BY9" s="313"/>
      <c r="BZ9" s="313"/>
      <c r="CA9" s="313"/>
      <c r="CB9" s="313"/>
      <c r="CC9" s="313"/>
      <c r="CD9" s="313"/>
      <c r="CE9" s="313"/>
      <c r="CF9" s="313"/>
      <c r="CG9" s="313"/>
      <c r="CH9" s="321"/>
      <c r="CI9" s="321"/>
      <c r="CJ9" s="321"/>
      <c r="CK9" s="321"/>
      <c r="CL9" s="321"/>
      <c r="CM9" s="321"/>
      <c r="CN9" s="321"/>
      <c r="CO9" s="321"/>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1"/>
      <c r="DQ9" s="321"/>
      <c r="DR9" s="321"/>
      <c r="DS9" s="321"/>
      <c r="DT9" s="321"/>
      <c r="DU9" s="321"/>
      <c r="DV9" s="321"/>
      <c r="DW9" s="321"/>
      <c r="DX9" s="321"/>
      <c r="DY9" s="321"/>
      <c r="DZ9" s="321"/>
      <c r="EA9" s="321"/>
      <c r="EB9" s="321"/>
      <c r="EC9" s="321"/>
      <c r="ED9" s="321"/>
      <c r="EE9" s="321"/>
      <c r="EF9" s="321"/>
      <c r="EG9" s="321"/>
      <c r="EH9" s="321"/>
      <c r="EI9" s="321"/>
      <c r="EJ9" s="321"/>
      <c r="EK9" s="321"/>
      <c r="EL9" s="321"/>
      <c r="EM9" s="321"/>
      <c r="EN9" s="313"/>
      <c r="EO9" s="313"/>
      <c r="EP9" s="313"/>
      <c r="EQ9" s="181"/>
      <c r="ER9" s="180" t="s">
        <v>503</v>
      </c>
      <c r="ES9" s="180" t="s">
        <v>2315</v>
      </c>
      <c r="ET9" s="180" t="s">
        <v>2340</v>
      </c>
      <c r="EU9" s="180" t="s">
        <v>2341</v>
      </c>
      <c r="EV9" s="180" t="s">
        <v>2342</v>
      </c>
      <c r="EW9" s="180" t="s">
        <v>2343</v>
      </c>
      <c r="EX9" s="180" t="s">
        <v>2945</v>
      </c>
      <c r="EY9" s="180" t="s">
        <v>2306</v>
      </c>
      <c r="EZ9" s="180" t="s">
        <v>2019</v>
      </c>
      <c r="FA9" s="180" t="s">
        <v>2947</v>
      </c>
      <c r="FB9" s="180" t="s">
        <v>2948</v>
      </c>
      <c r="FC9" s="180" t="s">
        <v>2949</v>
      </c>
      <c r="FD9" s="181" t="s">
        <v>2309</v>
      </c>
      <c r="FE9" s="181" t="s">
        <v>2310</v>
      </c>
      <c r="FF9" s="181" t="s">
        <v>2313</v>
      </c>
      <c r="FG9" s="181" t="s">
        <v>2312</v>
      </c>
      <c r="FH9" s="180" t="s">
        <v>658</v>
      </c>
      <c r="FI9" s="180" t="s">
        <v>3081</v>
      </c>
      <c r="FJ9" s="187" t="s">
        <v>2308</v>
      </c>
      <c r="FK9" s="187"/>
      <c r="FL9" s="187"/>
      <c r="FN9" s="182" t="s">
        <v>673</v>
      </c>
    </row>
    <row r="10" spans="1:170" ht="1.5" hidden="1" customHeight="1">
      <c r="A10" s="261"/>
      <c r="B10" s="261"/>
      <c r="C10" s="261"/>
      <c r="D10" s="261"/>
      <c r="E10" s="261"/>
      <c r="F10" s="297"/>
      <c r="G10" s="298"/>
      <c r="H10" s="261"/>
      <c r="I10" s="261"/>
      <c r="J10" s="261"/>
      <c r="K10" s="261"/>
      <c r="L10" s="262"/>
      <c r="M10" s="263"/>
      <c r="N10" s="261"/>
      <c r="O10" s="84"/>
      <c r="P10" s="261"/>
      <c r="Q10" s="261"/>
      <c r="R10" s="261"/>
      <c r="S10" s="264"/>
      <c r="T10" s="264"/>
      <c r="U10" s="264"/>
      <c r="V10" s="264"/>
      <c r="W10" s="264"/>
      <c r="X10" s="265"/>
      <c r="Y10" s="262"/>
      <c r="Z10" s="262"/>
      <c r="AA10" s="262"/>
      <c r="AB10" s="262"/>
      <c r="AC10" s="262"/>
      <c r="AD10" s="262"/>
      <c r="AE10" s="262"/>
      <c r="AF10" s="262"/>
      <c r="AG10" s="262"/>
      <c r="AH10" s="262"/>
      <c r="AI10" s="266"/>
      <c r="AJ10" s="264"/>
      <c r="AK10" s="101"/>
      <c r="AL10" s="264"/>
      <c r="AM10" s="264"/>
      <c r="AN10" s="278"/>
      <c r="AO10" s="264"/>
      <c r="AP10" s="264"/>
      <c r="AQ10" s="264"/>
      <c r="AR10" s="264"/>
      <c r="AS10" s="264"/>
      <c r="AT10" s="264"/>
      <c r="AU10" s="267"/>
      <c r="AV10" s="268"/>
      <c r="AW10" s="268"/>
      <c r="AX10" s="268"/>
      <c r="AY10" s="268"/>
      <c r="AZ10" s="268"/>
      <c r="BA10" s="268"/>
      <c r="BB10" s="268"/>
      <c r="BC10" s="268"/>
      <c r="BD10" s="268"/>
      <c r="BE10" s="268"/>
      <c r="BF10" s="268"/>
      <c r="BG10" s="268"/>
      <c r="BH10" s="268"/>
      <c r="BI10" s="268"/>
      <c r="BJ10" s="264"/>
      <c r="BK10" s="101"/>
      <c r="BL10" s="101"/>
      <c r="BM10" s="101"/>
      <c r="BN10" s="101"/>
      <c r="BO10" s="101"/>
      <c r="BP10" s="101"/>
      <c r="BQ10" s="101"/>
      <c r="BR10" s="269"/>
      <c r="BS10" s="270"/>
      <c r="BT10" s="270"/>
      <c r="BU10" s="269"/>
      <c r="BV10" s="269"/>
      <c r="BW10" s="269"/>
      <c r="BX10" s="269"/>
      <c r="BY10" s="271"/>
      <c r="BZ10" s="271"/>
      <c r="CA10" s="271"/>
      <c r="CB10" s="271"/>
      <c r="CC10" s="271"/>
      <c r="CD10" s="271"/>
      <c r="CE10" s="271"/>
      <c r="CF10" s="271"/>
      <c r="CG10" s="264"/>
      <c r="CH10" s="264"/>
      <c r="CI10" s="264"/>
      <c r="CJ10" s="265"/>
      <c r="CK10" s="265"/>
      <c r="CL10" s="265"/>
      <c r="CM10" s="265"/>
      <c r="CN10" s="265"/>
      <c r="CO10" s="265"/>
      <c r="CP10" s="261"/>
      <c r="CQ10" s="261"/>
      <c r="CR10" s="261"/>
      <c r="CS10" s="261"/>
      <c r="CT10" s="261"/>
      <c r="CU10" s="261"/>
      <c r="CV10" s="261"/>
      <c r="CW10" s="261"/>
      <c r="CX10" s="261"/>
      <c r="CY10" s="261"/>
      <c r="CZ10" s="261"/>
      <c r="DA10" s="261"/>
      <c r="DB10" s="84"/>
      <c r="DC10" s="261"/>
      <c r="DD10" s="261"/>
      <c r="DE10" s="261"/>
      <c r="DF10" s="261"/>
      <c r="DG10" s="261"/>
      <c r="DH10" s="261"/>
      <c r="DI10" s="261"/>
      <c r="DJ10" s="261"/>
      <c r="DK10" s="261"/>
      <c r="DL10" s="261"/>
      <c r="DM10" s="261"/>
      <c r="DN10" s="261"/>
      <c r="DO10" s="84"/>
      <c r="DP10" s="84"/>
      <c r="DQ10" s="272"/>
      <c r="DR10" s="261"/>
      <c r="DS10" s="261"/>
      <c r="DT10" s="261"/>
      <c r="DU10" s="261"/>
      <c r="DV10" s="261"/>
      <c r="DW10" s="261"/>
      <c r="DX10" s="84"/>
      <c r="DY10" s="261"/>
      <c r="DZ10" s="261"/>
      <c r="EA10" s="261"/>
      <c r="EB10" s="261"/>
      <c r="EC10" s="261"/>
      <c r="ED10" s="261"/>
      <c r="EE10" s="261"/>
      <c r="EF10" s="84"/>
      <c r="EG10" s="84"/>
      <c r="EH10" s="261"/>
      <c r="EI10" s="261"/>
      <c r="EJ10" s="84"/>
      <c r="EK10" s="261"/>
      <c r="EL10" s="261"/>
      <c r="EM10" s="84"/>
      <c r="EN10" s="261"/>
      <c r="EO10" s="261"/>
      <c r="EP10" s="273"/>
    </row>
    <row r="11" spans="1:170" s="85" customFormat="1" ht="27" customHeight="1">
      <c r="A11" s="80" t="s">
        <v>1801</v>
      </c>
      <c r="B11" s="80" t="s">
        <v>949</v>
      </c>
      <c r="C11" s="80" t="s">
        <v>950</v>
      </c>
      <c r="D11" s="80" t="s">
        <v>1941</v>
      </c>
      <c r="E11" s="80" t="s">
        <v>3067</v>
      </c>
      <c r="F11" s="295" t="s">
        <v>1798</v>
      </c>
      <c r="G11" s="296" t="s">
        <v>1799</v>
      </c>
      <c r="H11" s="80" t="s">
        <v>1800</v>
      </c>
      <c r="I11" s="80" t="s">
        <v>2120</v>
      </c>
      <c r="J11" s="80" t="s">
        <v>2121</v>
      </c>
      <c r="K11" s="80" t="s">
        <v>1587</v>
      </c>
      <c r="L11" s="80" t="s">
        <v>1803</v>
      </c>
      <c r="M11" s="83" t="s">
        <v>1138</v>
      </c>
      <c r="N11" s="80">
        <v>1</v>
      </c>
      <c r="O11" s="80" t="s">
        <v>1483</v>
      </c>
      <c r="P11" s="80" t="s">
        <v>1484</v>
      </c>
      <c r="Q11" s="80">
        <v>2</v>
      </c>
      <c r="R11" s="80">
        <v>3</v>
      </c>
      <c r="S11" s="209">
        <v>4</v>
      </c>
      <c r="T11" s="211">
        <v>5</v>
      </c>
      <c r="U11" s="211">
        <v>6</v>
      </c>
      <c r="V11" s="211">
        <v>7</v>
      </c>
      <c r="W11" s="211">
        <v>8</v>
      </c>
      <c r="X11" s="210">
        <v>9</v>
      </c>
      <c r="Y11" s="80" t="s">
        <v>1770</v>
      </c>
      <c r="Z11" s="80" t="s">
        <v>1771</v>
      </c>
      <c r="AA11" s="80" t="s">
        <v>2075</v>
      </c>
      <c r="AB11" s="80" t="s">
        <v>2076</v>
      </c>
      <c r="AC11" s="80" t="s">
        <v>2075</v>
      </c>
      <c r="AD11" s="80" t="s">
        <v>2076</v>
      </c>
      <c r="AE11" s="80" t="s">
        <v>2075</v>
      </c>
      <c r="AF11" s="80" t="s">
        <v>2076</v>
      </c>
      <c r="AG11" s="80">
        <v>12</v>
      </c>
      <c r="AH11" s="80" t="s">
        <v>1016</v>
      </c>
      <c r="AI11" s="209" t="s">
        <v>1017</v>
      </c>
      <c r="AJ11" s="209">
        <v>13</v>
      </c>
      <c r="AK11" s="209">
        <v>14</v>
      </c>
      <c r="AL11" s="209">
        <v>15</v>
      </c>
      <c r="AM11" s="209">
        <v>16</v>
      </c>
      <c r="AN11" s="256">
        <v>17</v>
      </c>
      <c r="AO11" s="209">
        <v>18</v>
      </c>
      <c r="AP11" s="209">
        <v>19</v>
      </c>
      <c r="AQ11" s="209">
        <v>20</v>
      </c>
      <c r="AR11" s="209">
        <v>21</v>
      </c>
      <c r="AS11" s="209">
        <v>22</v>
      </c>
      <c r="AT11" s="209">
        <v>23</v>
      </c>
      <c r="AU11" s="256" t="s">
        <v>2023</v>
      </c>
      <c r="AV11" s="256">
        <v>25</v>
      </c>
      <c r="AW11" s="256" t="s">
        <v>2466</v>
      </c>
      <c r="AX11" s="209" t="s">
        <v>1792</v>
      </c>
      <c r="AY11" s="257" t="s">
        <v>552</v>
      </c>
      <c r="AZ11" s="257" t="s">
        <v>553</v>
      </c>
      <c r="BA11" s="257" t="s">
        <v>554</v>
      </c>
      <c r="BB11" s="257" t="s">
        <v>555</v>
      </c>
      <c r="BC11" s="257" t="s">
        <v>556</v>
      </c>
      <c r="BD11" s="209" t="s">
        <v>804</v>
      </c>
      <c r="BE11" s="257" t="s">
        <v>552</v>
      </c>
      <c r="BF11" s="257" t="s">
        <v>553</v>
      </c>
      <c r="BG11" s="257" t="s">
        <v>554</v>
      </c>
      <c r="BH11" s="257" t="s">
        <v>555</v>
      </c>
      <c r="BI11" s="257" t="s">
        <v>556</v>
      </c>
      <c r="BJ11" s="209" t="s">
        <v>1149</v>
      </c>
      <c r="BK11" s="209">
        <v>27</v>
      </c>
      <c r="BL11" s="209" t="s">
        <v>2476</v>
      </c>
      <c r="BM11" s="209" t="s">
        <v>190</v>
      </c>
      <c r="BN11" s="209" t="s">
        <v>2024</v>
      </c>
      <c r="BO11" s="209" t="s">
        <v>2025</v>
      </c>
      <c r="BP11" s="209">
        <v>29</v>
      </c>
      <c r="BQ11" s="209">
        <v>30</v>
      </c>
      <c r="BR11" s="209" t="s">
        <v>2477</v>
      </c>
      <c r="BS11" s="258" t="s">
        <v>2478</v>
      </c>
      <c r="BT11" s="259" t="s">
        <v>1411</v>
      </c>
      <c r="BU11" s="81" t="s">
        <v>2479</v>
      </c>
      <c r="BV11" s="209" t="s">
        <v>2480</v>
      </c>
      <c r="BW11" s="209">
        <v>35</v>
      </c>
      <c r="BX11" s="209">
        <v>36</v>
      </c>
      <c r="BY11" s="209">
        <v>37</v>
      </c>
      <c r="BZ11" s="209">
        <v>38</v>
      </c>
      <c r="CA11" s="209">
        <v>39</v>
      </c>
      <c r="CB11" s="209">
        <v>40</v>
      </c>
      <c r="CC11" s="209" t="s">
        <v>2993</v>
      </c>
      <c r="CD11" s="209">
        <v>41</v>
      </c>
      <c r="CE11" s="209">
        <v>42</v>
      </c>
      <c r="CF11" s="209">
        <v>43</v>
      </c>
      <c r="CG11" s="209">
        <v>44</v>
      </c>
      <c r="CH11" s="209" t="s">
        <v>3014</v>
      </c>
      <c r="CI11" s="209" t="s">
        <v>2956</v>
      </c>
      <c r="CJ11" s="80" t="s">
        <v>2957</v>
      </c>
      <c r="CK11" s="80" t="s">
        <v>2958</v>
      </c>
      <c r="CL11" s="83" t="s">
        <v>1203</v>
      </c>
      <c r="CM11" s="83" t="s">
        <v>1338</v>
      </c>
      <c r="CN11" s="80" t="s">
        <v>1657</v>
      </c>
      <c r="CO11" s="80" t="s">
        <v>1315</v>
      </c>
      <c r="CP11" s="81" t="s">
        <v>503</v>
      </c>
      <c r="CQ11" s="81" t="s">
        <v>2315</v>
      </c>
      <c r="CR11" s="81" t="s">
        <v>2340</v>
      </c>
      <c r="CS11" s="81" t="s">
        <v>2341</v>
      </c>
      <c r="CT11" s="81" t="s">
        <v>2342</v>
      </c>
      <c r="CU11" s="81" t="s">
        <v>2343</v>
      </c>
      <c r="CV11" s="81" t="s">
        <v>2945</v>
      </c>
      <c r="CW11" s="81" t="s">
        <v>2306</v>
      </c>
      <c r="CX11" s="81" t="s">
        <v>2019</v>
      </c>
      <c r="CY11" s="81" t="s">
        <v>2947</v>
      </c>
      <c r="CZ11" s="81" t="s">
        <v>2948</v>
      </c>
      <c r="DA11" s="81" t="s">
        <v>2949</v>
      </c>
      <c r="DB11" s="81" t="s">
        <v>1964</v>
      </c>
      <c r="DC11" s="81" t="s">
        <v>503</v>
      </c>
      <c r="DD11" s="81" t="s">
        <v>2315</v>
      </c>
      <c r="DE11" s="81" t="s">
        <v>2340</v>
      </c>
      <c r="DF11" s="81" t="s">
        <v>2341</v>
      </c>
      <c r="DG11" s="81" t="s">
        <v>2342</v>
      </c>
      <c r="DH11" s="81" t="s">
        <v>2343</v>
      </c>
      <c r="DI11" s="81" t="s">
        <v>2945</v>
      </c>
      <c r="DJ11" s="81" t="s">
        <v>2306</v>
      </c>
      <c r="DK11" s="81" t="s">
        <v>2021</v>
      </c>
      <c r="DL11" s="81" t="s">
        <v>2947</v>
      </c>
      <c r="DM11" s="81" t="s">
        <v>2948</v>
      </c>
      <c r="DN11" s="81" t="s">
        <v>2949</v>
      </c>
      <c r="DO11" s="81" t="s">
        <v>549</v>
      </c>
      <c r="DP11" s="81" t="s">
        <v>2544</v>
      </c>
      <c r="DQ11" s="260" t="s">
        <v>2309</v>
      </c>
      <c r="DR11" s="81" t="s">
        <v>2310</v>
      </c>
      <c r="DS11" s="209" t="s">
        <v>2313</v>
      </c>
      <c r="DT11" s="209" t="s">
        <v>2312</v>
      </c>
      <c r="DU11" s="209" t="s">
        <v>3081</v>
      </c>
      <c r="DV11" s="209" t="s">
        <v>658</v>
      </c>
      <c r="DW11" s="209" t="s">
        <v>2308</v>
      </c>
      <c r="DX11" s="81" t="s">
        <v>2311</v>
      </c>
      <c r="DY11" s="260" t="s">
        <v>2309</v>
      </c>
      <c r="DZ11" s="81" t="s">
        <v>2310</v>
      </c>
      <c r="EA11" s="209" t="s">
        <v>2313</v>
      </c>
      <c r="EB11" s="209" t="s">
        <v>2312</v>
      </c>
      <c r="EC11" s="209" t="s">
        <v>3081</v>
      </c>
      <c r="ED11" s="209" t="s">
        <v>658</v>
      </c>
      <c r="EE11" s="209" t="s">
        <v>2308</v>
      </c>
      <c r="EF11" s="81" t="s">
        <v>2314</v>
      </c>
      <c r="EG11" s="81" t="s">
        <v>2544</v>
      </c>
      <c r="EH11" s="81" t="s">
        <v>567</v>
      </c>
      <c r="EI11" s="81" t="s">
        <v>2272</v>
      </c>
      <c r="EJ11" s="81" t="s">
        <v>1942</v>
      </c>
      <c r="EK11" s="81" t="s">
        <v>567</v>
      </c>
      <c r="EL11" s="81" t="s">
        <v>2408</v>
      </c>
      <c r="EM11" s="81" t="s">
        <v>1943</v>
      </c>
      <c r="EN11" s="81" t="s">
        <v>568</v>
      </c>
      <c r="EO11" s="81" t="s">
        <v>2316</v>
      </c>
      <c r="EP11" s="258" t="s">
        <v>387</v>
      </c>
      <c r="EQ11" s="182" t="s">
        <v>2686</v>
      </c>
      <c r="ER11" s="85" t="s">
        <v>2841</v>
      </c>
      <c r="ES11" s="85" t="s">
        <v>2842</v>
      </c>
      <c r="ET11" s="85" t="s">
        <v>2844</v>
      </c>
      <c r="EU11" s="85" t="s">
        <v>2845</v>
      </c>
      <c r="EV11" s="85" t="s">
        <v>1735</v>
      </c>
      <c r="EW11" s="85" t="s">
        <v>1736</v>
      </c>
      <c r="EX11" s="85" t="s">
        <v>1737</v>
      </c>
      <c r="EY11" s="85" t="s">
        <v>1738</v>
      </c>
      <c r="EZ11" s="85" t="s">
        <v>2018</v>
      </c>
      <c r="FA11" s="85" t="s">
        <v>2843</v>
      </c>
      <c r="FB11" s="85" t="s">
        <v>2946</v>
      </c>
      <c r="FC11" s="85" t="s">
        <v>1739</v>
      </c>
      <c r="FD11" s="85" t="s">
        <v>1740</v>
      </c>
      <c r="FE11" s="85" t="s">
        <v>1741</v>
      </c>
      <c r="FF11" s="85" t="s">
        <v>1742</v>
      </c>
      <c r="FG11" s="85" t="s">
        <v>2942</v>
      </c>
      <c r="FH11" s="85" t="s">
        <v>2943</v>
      </c>
      <c r="FI11" s="85" t="s">
        <v>3082</v>
      </c>
      <c r="FJ11" s="85" t="s">
        <v>2944</v>
      </c>
      <c r="FK11" s="85" t="s">
        <v>1518</v>
      </c>
      <c r="FL11" s="85" t="s">
        <v>2020</v>
      </c>
      <c r="FM11" s="85" t="s">
        <v>185</v>
      </c>
      <c r="FN11" s="139" t="s">
        <v>6</v>
      </c>
    </row>
    <row r="12" spans="1:170" ht="30" customHeight="1">
      <c r="A12" s="105">
        <f>COUNTIF($H$12:H12,H12)</f>
        <v>1</v>
      </c>
      <c r="B12" s="105" t="s">
        <v>2229</v>
      </c>
      <c r="C12" s="105" t="s">
        <v>1830</v>
      </c>
      <c r="D12" s="105"/>
      <c r="E12" s="105"/>
      <c r="F12" s="299" t="s">
        <v>2853</v>
      </c>
      <c r="G12" s="300" t="s">
        <v>2854</v>
      </c>
      <c r="H12" s="105">
        <v>1</v>
      </c>
      <c r="I12" s="105">
        <v>1</v>
      </c>
      <c r="J12" s="105">
        <v>1</v>
      </c>
      <c r="K12" s="95" t="s">
        <v>3070</v>
      </c>
      <c r="L12" s="95" t="s">
        <v>3070</v>
      </c>
      <c r="M12" s="241"/>
      <c r="N12" s="105" t="s">
        <v>605</v>
      </c>
      <c r="O12" s="242">
        <f>BO12</f>
        <v>7.28</v>
      </c>
      <c r="P12" s="105" t="str">
        <f t="shared" ref="P12:P77" si="0">IF(AND(BO12&gt;=2.34,BO12&lt;3.33),"B1_3",IF(AND(BO12&gt;=3.33,BO12&lt;4.65),"B1_4",IF(AND(BO12&gt;=4.65,BO12&lt;5.42),"B1_5",IF(AND(BO12&gt;=5.42,BO12&lt;6.44),"B1_6",IF(AND(BO12&gt;=6.44,BO12&lt;=6.92),"B1_7","B1_8")))))</f>
        <v>B1_8</v>
      </c>
      <c r="Q12" s="105">
        <f t="shared" ref="Q12:Q49" si="1">IF(M12&gt;0,VLOOKUP(P12,ma_dinhmuc_moi,2,0)/2,VLOOKUP(P12,ma_dinhmuc_moi,2,0))</f>
        <v>270</v>
      </c>
      <c r="R12" s="105">
        <f t="shared" ref="R12:R50" si="2">IF(M12&gt;0,VLOOKUP(P12,ma_dinhmuc_moi,3,0)/2,VLOOKUP(P12,ma_dinhmuc_moi,3,0))</f>
        <v>280</v>
      </c>
      <c r="S12" s="243" t="s">
        <v>347</v>
      </c>
      <c r="T12" s="244" t="s">
        <v>530</v>
      </c>
      <c r="U12" s="105">
        <f>IF(RIGHT(T12,1)="K",(VLOOKUP(T12,ma_miengiam!$A$3:$B$80,2,0)*100)/2,VLOOKUP(T12,ma_miengiam!$A$3:$B$80,2,0)*100)</f>
        <v>70</v>
      </c>
      <c r="V12" s="105"/>
      <c r="W12" s="245">
        <f>IF(AND(T12="NTS",V12&gt;0),(Q12-(Q12*V12)/12)*VLOOKUP(T12,ma_miengiam!$A$3:$B$80,2,0)+(Q12-(Q12*(12-V12))/12),IF(AND(RIGHT(T12,1)="K",V12&gt;0),(VLOOKUP(T12,ma_miengiam!$A$3:$B$80,2,0)/2)*(Q12*V12)/12,IF(RIGHT(T12,1)="K",(VLOOKUP(T12,ma_miengiam!$A$3:$B$80,2,0)*Q12)/2,IF(V12&gt;0,VLOOKUP(T12,ma_miengiam!$A$3:$B$80,2,0)*Q12*V12/12,VLOOKUP(T12,ma_miengiam!$A$3:$B$80,2,0)*Q12))))</f>
        <v>189</v>
      </c>
      <c r="X12" s="245">
        <f>IF(T12="NTS",VLOOKUP(T12,ma_miengiam!$A$3:$B$80,2,0)*R12*V12,IF(AND(T12="NTS",V12=0),0,IF(AND(LEFT(T12,1)="K",V12=0),VLOOKUP(T12,ma_miengiam!$A$3:$B$80,2,0)*R12,IF(LEFT(T12,1)="K",(VLOOKUP(T12,ma_miengiam!$A$3:$B$80,2,0)*R12/12)*V12,IF(AND(LEFT(T12,1)="S",V12&gt;0),(R12/12)*V12,IF(AND(LEFT(T12,1)="S",V12=0),R12,IF(T12="DH",VLOOKUP(T12,ma_miengiam!$A$3:$B$80,2,0)*R12,0)))))))</f>
        <v>196</v>
      </c>
      <c r="Y12" s="245">
        <f t="shared" ref="Y12:Y20" si="3">IF(AND(T12="DH",V12&gt;0),(S12*V12/12),IF(AND(T12&lt;&gt;"NTS",V12&gt;0),(Q12*V12/12)-W12,IF(AND(T12="NTS",V12&gt;0),Q12-W12,Q12-W12)))</f>
        <v>81</v>
      </c>
      <c r="Z12" s="245">
        <f>IF(AND(T12="SĐH",V12&gt;0),(R12/12)*V12-X12,IF(AND(T12="DH",V12&gt;0),(R12*V12/12),IF(AND(T12&lt;&gt;"NTS",V12&gt;0),(R12*V12/12)-X12,IF(AND(T12="NTS",V12&gt;0),R12-X12,R12-X12))))</f>
        <v>84</v>
      </c>
      <c r="AA12" s="245">
        <f t="shared" ref="AA12:AB14" si="4">Q12</f>
        <v>270</v>
      </c>
      <c r="AB12" s="245">
        <f t="shared" si="4"/>
        <v>280</v>
      </c>
      <c r="AC12" s="245">
        <f>W12</f>
        <v>189</v>
      </c>
      <c r="AD12" s="245">
        <f>X12</f>
        <v>196</v>
      </c>
      <c r="AE12" s="245">
        <f>Y12</f>
        <v>81</v>
      </c>
      <c r="AF12" s="245">
        <f>Z12</f>
        <v>84</v>
      </c>
      <c r="AG12" s="245">
        <f t="shared" ref="AG12:AG19" si="5">AH12+AI12</f>
        <v>255.44</v>
      </c>
      <c r="AH12" s="245">
        <f t="shared" ref="AH12:AH19" si="6">EO12</f>
        <v>152.94</v>
      </c>
      <c r="AI12" s="245">
        <f t="shared" ref="AI12:AI19" si="7">EN12</f>
        <v>102.5</v>
      </c>
      <c r="AJ12" s="245">
        <f>IF(AG12-Z12&gt;0,0,AG12-Z12)</f>
        <v>0</v>
      </c>
      <c r="AK12" s="242">
        <f t="shared" ref="AK12:AK73" si="8">IF(AJ12&gt;=0,Y12,Y12-AJ12)</f>
        <v>81</v>
      </c>
      <c r="AL12" s="245">
        <f>SUM(CP12:CX12)+SUM(DC12:DK12)</f>
        <v>54.2</v>
      </c>
      <c r="AM12" s="245">
        <f>SUM(DQ12:DU12)+SUM(DY12:EC12)</f>
        <v>55.3</v>
      </c>
      <c r="AN12" s="246">
        <f>AM12+AL12</f>
        <v>109.5</v>
      </c>
      <c r="AO12" s="245">
        <f>CY12+DL12</f>
        <v>20</v>
      </c>
      <c r="AP12" s="245">
        <f>CZ12+DM12</f>
        <v>0</v>
      </c>
      <c r="AQ12" s="245">
        <f>DA12+DN12</f>
        <v>40</v>
      </c>
      <c r="AR12" s="245">
        <f>DV12+ED12</f>
        <v>40</v>
      </c>
      <c r="AS12" s="245">
        <f>DW12+EE12</f>
        <v>60</v>
      </c>
      <c r="AT12" s="242">
        <f>AN12+SUM(AO12:AS12)</f>
        <v>269.5</v>
      </c>
      <c r="AU12" s="247">
        <f>AN12-AK12</f>
        <v>28.5</v>
      </c>
      <c r="AV12" s="245"/>
      <c r="AW12" s="245">
        <f>IF(AU12&gt;0,AU12,AV12+AU12)</f>
        <v>28.5</v>
      </c>
      <c r="AX12" s="242">
        <f t="shared" ref="AX12:AX81" si="9">IF(AN12&gt;AK12,0,IF(AW12&lt;0,AN12-AK12+AV12,IF(AW12&gt;=0,0)))</f>
        <v>0</v>
      </c>
      <c r="AY12" s="245">
        <f>IF(AN12&gt;=AK12,AO12,IF(AN12+AO12-AK12&gt;=0,AN12+AO12-AK12,0))</f>
        <v>20</v>
      </c>
      <c r="AZ12" s="245">
        <f>IF(OR(AN12&gt;=AK12,AN12+AO12&gt;=AK12),AP12,IF(AN12+AO12+AP12&gt;AK12,AN12+AO12+AP12-AK12,0))</f>
        <v>0</v>
      </c>
      <c r="BA12" s="245">
        <f>IF(OR(AN12&gt;=AK12,AN12+AO12&gt;=AK12,AN12+AO12+AP12&gt;=AK12),AQ12,IF(AN12+AO12+AP12+AQ12&gt;=AK12,AN12+AO12+AP12+AQ12-AK12,0))</f>
        <v>40</v>
      </c>
      <c r="BB12" s="245">
        <f>IF(OR(AN12&gt;=AK12,AN12+AO12&gt;=AK12,AN12+AO12+AP12&gt;=AK12,AN12+AO12+AP12+AQ12&gt;=AK12),AR12,IF(AN12+AO12+AP12+AQ12+AR12&gt;=AK12,AN12+AO12+AP12+AQ12+AR12-AK12,0))</f>
        <v>40</v>
      </c>
      <c r="BC12" s="245">
        <f>IF(OR(AN12&gt;=AK12,AN12+AO12&gt;=AK12,AN12+AO12+AP12&gt;=AK12,AN12+AO12+AP12+AQ12&gt;=AK12,AN12+AO12+AP12+AQ12+AR12&gt;=AK12),AS12,IF(AN12+AO12+AP12+AQ12+AR12+AS12&gt;=AK12,AN12+AO12+AP12+AQ12+AR12+AS12-AK12,0))</f>
        <v>60</v>
      </c>
      <c r="BD12" s="242">
        <f t="shared" ref="BD12:BD61" si="10">SUM(AY12:BC12)</f>
        <v>160</v>
      </c>
      <c r="BE12" s="245">
        <f>AY12-AO12</f>
        <v>0</v>
      </c>
      <c r="BF12" s="245">
        <f>AZ12-AP12</f>
        <v>0</v>
      </c>
      <c r="BG12" s="245">
        <f>BA12-AQ12</f>
        <v>0</v>
      </c>
      <c r="BH12" s="245">
        <f>BB12-AR12</f>
        <v>0</v>
      </c>
      <c r="BI12" s="245">
        <f>BC12-AS12</f>
        <v>0</v>
      </c>
      <c r="BJ12" s="245" t="s">
        <v>1962</v>
      </c>
      <c r="BK12" s="245"/>
      <c r="BL12" s="248">
        <f t="shared" ref="BL12:BL77" si="11">IF(AW12&lt;BK12,0,IF(AND(BK12=0,AW12&gt;0),AW12,IF(AW12&lt;0,0,IF(BK12&gt;0,AW12-BK12,IF(BK12&lt;0,0,AW12)))))</f>
        <v>28.5</v>
      </c>
      <c r="BM12" s="245">
        <v>7.28</v>
      </c>
      <c r="BN12" s="245"/>
      <c r="BO12" s="245">
        <f>ROUND(BM12+(BM12*BN12),2)</f>
        <v>7.28</v>
      </c>
      <c r="BP12" s="245">
        <f>IF(AND(BL12&gt;0,BL12&lt;tiet!$D$1),BL12,IF(BL12&lt;=0,0,IF(BL12&gt;tiet!$C$1,tiet!$C$1)))</f>
        <v>28.5</v>
      </c>
      <c r="BQ12" s="249">
        <f>VLOOKUP(P12,ma_dinhmuc_moi,4,0)</f>
        <v>85000</v>
      </c>
      <c r="BR12" s="250">
        <f>ROUND(BQ12*BP12,0)</f>
        <v>2422500</v>
      </c>
      <c r="BS12" s="245">
        <f t="shared" ref="BS12:BS75" si="12">BL12-BP12</f>
        <v>0</v>
      </c>
      <c r="BT12" s="250">
        <f>VLOOKUP(N12,ma_dinhmuc!$A$1:$J$31,10,0)</f>
        <v>65000</v>
      </c>
      <c r="BU12" s="250">
        <f>ROUND(IF(BS12&gt;0,VLOOKUP(N12,ma_dinhmuc!$A$1:$J$31,10,0)*BS12,0),0)</f>
        <v>0</v>
      </c>
      <c r="BV12" s="250">
        <f>ROUND(BU12+BR12,0)</f>
        <v>2422500</v>
      </c>
      <c r="BW12" s="250"/>
      <c r="BX12" s="250">
        <v>0</v>
      </c>
      <c r="BY12" s="250"/>
      <c r="BZ12" s="250"/>
      <c r="CA12" s="250"/>
      <c r="CB12" s="250"/>
      <c r="CC12" s="251">
        <f>ROUND(IF(BV12+BW12&gt;BX12+BY12+BZ12+CA12+CB12,(BW12+BV12)-(BX12+BY12+BZ12+CA12+CB12+CB12),0),0)</f>
        <v>2422500</v>
      </c>
      <c r="CD12" s="250">
        <f>ROUND(IF(BV12+BW12&lt;BX12+BY12+BZ12+CA12-CB12,(BX12+BY12+BZ12+CA12-CB12)-(BW12+BV12),0),0)</f>
        <v>0</v>
      </c>
      <c r="CE12" s="250"/>
      <c r="CF12" s="252"/>
      <c r="CG12" s="249"/>
      <c r="CH12" s="249">
        <f t="shared" ref="CH12:CH27" si="13">A12</f>
        <v>1</v>
      </c>
      <c r="CI12" s="253" t="str">
        <f t="shared" ref="CI12:CJ15" si="14">F12</f>
        <v>Nguyễn Tất</v>
      </c>
      <c r="CJ12" s="253" t="str">
        <f t="shared" si="14"/>
        <v>Cảnh</v>
      </c>
      <c r="CK12" s="249">
        <f>H12</f>
        <v>1</v>
      </c>
      <c r="CL12" s="253" t="str">
        <f>L12</f>
        <v>Canh tác học</v>
      </c>
      <c r="CM12" s="249" t="str">
        <f>N12</f>
        <v>CS4</v>
      </c>
      <c r="CN12" s="249">
        <f t="shared" ref="CN12:CO14" si="15">Q12</f>
        <v>270</v>
      </c>
      <c r="CO12" s="249">
        <f t="shared" si="15"/>
        <v>280</v>
      </c>
      <c r="CP12" s="255">
        <f t="shared" ref="CP12:DA12" si="16">ER12</f>
        <v>0</v>
      </c>
      <c r="CQ12" s="255">
        <f t="shared" si="16"/>
        <v>7.3</v>
      </c>
      <c r="CR12" s="255">
        <f t="shared" si="16"/>
        <v>2.9</v>
      </c>
      <c r="CS12" s="255">
        <f t="shared" si="16"/>
        <v>0</v>
      </c>
      <c r="CT12" s="255">
        <f t="shared" si="16"/>
        <v>0</v>
      </c>
      <c r="CU12" s="255">
        <f t="shared" si="16"/>
        <v>44</v>
      </c>
      <c r="CV12" s="255">
        <f t="shared" si="16"/>
        <v>0</v>
      </c>
      <c r="CW12" s="255">
        <f t="shared" si="16"/>
        <v>0</v>
      </c>
      <c r="CX12" s="255">
        <f t="shared" si="16"/>
        <v>0</v>
      </c>
      <c r="CY12" s="255">
        <f t="shared" si="16"/>
        <v>20</v>
      </c>
      <c r="CZ12" s="255">
        <f t="shared" si="16"/>
        <v>0</v>
      </c>
      <c r="DA12" s="255">
        <f t="shared" si="16"/>
        <v>40</v>
      </c>
      <c r="DB12" s="254">
        <f>SUM(CP12:DA12)</f>
        <v>114.2</v>
      </c>
      <c r="DC12" s="255"/>
      <c r="DD12" s="255"/>
      <c r="DE12" s="255"/>
      <c r="DF12" s="255"/>
      <c r="DG12" s="255"/>
      <c r="DH12" s="255"/>
      <c r="DI12" s="255"/>
      <c r="DJ12" s="255"/>
      <c r="DK12" s="255"/>
      <c r="DL12" s="255"/>
      <c r="DM12" s="255"/>
      <c r="DN12" s="255"/>
      <c r="DO12" s="254">
        <f>SUM(DC12:DN12)</f>
        <v>0</v>
      </c>
      <c r="DP12" s="254">
        <f>DO12+DB12</f>
        <v>114.2</v>
      </c>
      <c r="DQ12" s="255">
        <f>FD12</f>
        <v>54</v>
      </c>
      <c r="DR12" s="255">
        <f>FE12</f>
        <v>0.9</v>
      </c>
      <c r="DS12" s="255">
        <f>FF12</f>
        <v>0</v>
      </c>
      <c r="DT12" s="255">
        <f>FG12</f>
        <v>0.4</v>
      </c>
      <c r="DU12" s="255">
        <f>FI12</f>
        <v>0</v>
      </c>
      <c r="DV12" s="255">
        <f>FH12</f>
        <v>40</v>
      </c>
      <c r="DW12" s="255">
        <f>FJ12</f>
        <v>60</v>
      </c>
      <c r="DX12" s="254">
        <f>SUM(DQ12:DW12)</f>
        <v>155.30000000000001</v>
      </c>
      <c r="DY12" s="255"/>
      <c r="DZ12" s="255"/>
      <c r="EA12" s="255"/>
      <c r="EB12" s="255"/>
      <c r="EC12" s="255"/>
      <c r="ED12" s="255"/>
      <c r="EE12" s="255"/>
      <c r="EF12" s="254">
        <f t="shared" ref="EF12:EF75" si="17">SUM(DY12:EE12)</f>
        <v>0</v>
      </c>
      <c r="EG12" s="254">
        <f>EF12+DX12</f>
        <v>155.30000000000001</v>
      </c>
      <c r="EH12" s="255">
        <f t="shared" ref="EH12:EH75" si="18">FN12</f>
        <v>102.5</v>
      </c>
      <c r="EI12" s="255">
        <v>152.94</v>
      </c>
      <c r="EJ12" s="254">
        <f>SUM(EH12:EI12)</f>
        <v>255.44</v>
      </c>
      <c r="EK12" s="255"/>
      <c r="EL12" s="255"/>
      <c r="EM12" s="254">
        <f>SUM(EK12:EL12)</f>
        <v>0</v>
      </c>
      <c r="EN12" s="255">
        <f>EK12+EH12+EL12</f>
        <v>102.5</v>
      </c>
      <c r="EO12" s="255">
        <f>EI12</f>
        <v>152.94</v>
      </c>
      <c r="EP12" s="254">
        <f>EM12+EJ12</f>
        <v>255.44</v>
      </c>
      <c r="EQ12" s="173">
        <f t="shared" ref="EQ12:EQ75" si="19">IF(EN12&gt;Z12,EN12-Z12,0)</f>
        <v>18.5</v>
      </c>
      <c r="ER12" s="189">
        <v>0</v>
      </c>
      <c r="ES12" s="189">
        <v>7.3</v>
      </c>
      <c r="ET12" s="189">
        <v>2.9</v>
      </c>
      <c r="EU12" s="189">
        <v>0</v>
      </c>
      <c r="EV12" s="189">
        <v>0</v>
      </c>
      <c r="EW12" s="189">
        <v>44</v>
      </c>
      <c r="EX12" s="189">
        <v>0</v>
      </c>
      <c r="EY12" s="189">
        <v>0</v>
      </c>
      <c r="EZ12" s="189">
        <v>0</v>
      </c>
      <c r="FA12" s="189">
        <v>20</v>
      </c>
      <c r="FB12" s="189">
        <v>0</v>
      </c>
      <c r="FC12" s="189">
        <v>40</v>
      </c>
      <c r="FD12" s="189">
        <v>54</v>
      </c>
      <c r="FE12" s="189">
        <v>0.9</v>
      </c>
      <c r="FF12" s="189">
        <v>0</v>
      </c>
      <c r="FG12" s="189">
        <v>0.4</v>
      </c>
      <c r="FH12" s="189">
        <v>40</v>
      </c>
      <c r="FI12" s="189">
        <v>0</v>
      </c>
      <c r="FJ12" s="189">
        <v>60</v>
      </c>
      <c r="FK12" s="189">
        <v>269.5</v>
      </c>
      <c r="FL12" s="189">
        <v>216</v>
      </c>
      <c r="FN12" s="132">
        <v>102.5</v>
      </c>
    </row>
    <row r="13" spans="1:170" ht="30" customHeight="1">
      <c r="A13" s="88">
        <f>COUNTIF($H$12:H13,H13)</f>
        <v>2</v>
      </c>
      <c r="B13" s="88" t="s">
        <v>2230</v>
      </c>
      <c r="C13" s="88" t="s">
        <v>1831</v>
      </c>
      <c r="D13" s="88"/>
      <c r="E13" s="88"/>
      <c r="F13" s="301" t="s">
        <v>1404</v>
      </c>
      <c r="G13" s="89" t="s">
        <v>2855</v>
      </c>
      <c r="H13" s="88">
        <v>1</v>
      </c>
      <c r="I13" s="88">
        <v>1</v>
      </c>
      <c r="J13" s="88">
        <v>1</v>
      </c>
      <c r="K13" s="90" t="s">
        <v>3070</v>
      </c>
      <c r="L13" s="90" t="s">
        <v>3070</v>
      </c>
      <c r="M13" s="214"/>
      <c r="N13" s="88" t="s">
        <v>605</v>
      </c>
      <c r="O13" s="216">
        <f>BO13</f>
        <v>6.92</v>
      </c>
      <c r="P13" s="88" t="str">
        <f t="shared" si="0"/>
        <v>B1_7</v>
      </c>
      <c r="Q13" s="88">
        <f t="shared" si="1"/>
        <v>270</v>
      </c>
      <c r="R13" s="88">
        <f t="shared" si="2"/>
        <v>200</v>
      </c>
      <c r="S13" s="218"/>
      <c r="T13" s="219" t="s">
        <v>3088</v>
      </c>
      <c r="U13" s="88">
        <f>IF(RIGHT(T13,1)="K",(VLOOKUP(T13,ma_miengiam!$A$3:$B$80,2,0)*100)/2,VLOOKUP(T13,ma_miengiam!$A$3:$B$80,2,0)*100)</f>
        <v>0</v>
      </c>
      <c r="V13" s="88"/>
      <c r="W13" s="220">
        <f>IF(AND(T13="NTS",V13&gt;0),(Q13-(Q13*V13)/12)*VLOOKUP(T13,ma_miengiam!$A$3:$B$80,2,0)+(Q13-(Q13*(12-V13))/12),IF(AND(RIGHT(T13,1)="K",V13&gt;0),(VLOOKUP(T13,ma_miengiam!$A$3:$B$80,2,0)/2)*(Q13*V13)/12,IF(RIGHT(T13,1)="K",(VLOOKUP(T13,ma_miengiam!$A$3:$B$80,2,0)*Q13)/2,IF(V13&gt;0,VLOOKUP(T13,ma_miengiam!$A$3:$B$80,2,0)*Q13*V13/12,VLOOKUP(T13,ma_miengiam!$A$3:$B$80,2,0)*Q13))))</f>
        <v>0</v>
      </c>
      <c r="X13" s="220">
        <f>IF(T13="NTS",VLOOKUP(T13,ma_miengiam!$A$3:$B$80,2,0)*R13*V13,IF(AND(T13="NTS",V13=0),0,IF(AND(LEFT(T13,1)="K",V13=0),VLOOKUP(T13,ma_miengiam!$A$3:$B$80,2,0)*R13,IF(LEFT(T13,1)="K",(VLOOKUP(T13,ma_miengiam!$A$3:$B$80,2,0)*R13/12)*V13,IF(AND(LEFT(T13,1)="S",V13&gt;0),(R13/12)*V13,IF(AND(LEFT(T13,1)="S",V13=0),R13,IF(T13="DH",VLOOKUP(T13,ma_miengiam!$A$3:$B$80,2,0)*R13,0)))))))</f>
        <v>0</v>
      </c>
      <c r="Y13" s="220">
        <f t="shared" si="3"/>
        <v>270</v>
      </c>
      <c r="Z13" s="220">
        <f t="shared" ref="Z13:Z18" si="20">IF(AND(T13="SĐH",V13&gt;0),(R13/12)*V13-X13,IF(AND(T13="DH",V13&gt;0),(R13*V13/12),IF(AND(T13&lt;&gt;"NTS",V13&gt;0),(R13*V13/12)-X13,IF(AND(T13="NTS",V13&gt;0),R13-X13,R13-X13))))</f>
        <v>200</v>
      </c>
      <c r="AA13" s="220">
        <f t="shared" si="4"/>
        <v>270</v>
      </c>
      <c r="AB13" s="220">
        <f t="shared" si="4"/>
        <v>200</v>
      </c>
      <c r="AC13" s="220">
        <f t="shared" ref="AC13:AF14" si="21">W13</f>
        <v>0</v>
      </c>
      <c r="AD13" s="220">
        <f t="shared" si="21"/>
        <v>0</v>
      </c>
      <c r="AE13" s="220">
        <f t="shared" si="21"/>
        <v>270</v>
      </c>
      <c r="AF13" s="220">
        <f t="shared" si="21"/>
        <v>200</v>
      </c>
      <c r="AG13" s="220">
        <f t="shared" si="5"/>
        <v>36.269999999999996</v>
      </c>
      <c r="AH13" s="220">
        <f t="shared" si="6"/>
        <v>2.94</v>
      </c>
      <c r="AI13" s="220">
        <f t="shared" si="7"/>
        <v>33.33</v>
      </c>
      <c r="AJ13" s="220">
        <f>IF(AG13-Z13&gt;0,0,AG13-Z13)</f>
        <v>-163.73000000000002</v>
      </c>
      <c r="AK13" s="216">
        <f t="shared" si="8"/>
        <v>433.73</v>
      </c>
      <c r="AL13" s="220">
        <f t="shared" ref="AL13:AL73" si="22">SUM(CP13:CX13)+SUM(DC13:DK13)</f>
        <v>57.3</v>
      </c>
      <c r="AM13" s="220">
        <f t="shared" ref="AM13:AM73" si="23">SUM(DQ13:DU13)+SUM(DY13:EC13)</f>
        <v>135.19999999999999</v>
      </c>
      <c r="AN13" s="221">
        <f t="shared" ref="AN13:AN73" si="24">AM13+AL13</f>
        <v>192.5</v>
      </c>
      <c r="AO13" s="220">
        <f t="shared" ref="AO13:AO73" si="25">CY13+DL13</f>
        <v>0</v>
      </c>
      <c r="AP13" s="220">
        <f t="shared" ref="AP13:AP73" si="26">CZ13+DM13</f>
        <v>0</v>
      </c>
      <c r="AQ13" s="220">
        <f t="shared" ref="AQ13:AQ73" si="27">DA13+DN13</f>
        <v>74</v>
      </c>
      <c r="AR13" s="220">
        <f t="shared" ref="AR13:AR73" si="28">DV13+ED13</f>
        <v>176</v>
      </c>
      <c r="AS13" s="220">
        <f t="shared" ref="AS13:AS73" si="29">DW13+EE13</f>
        <v>0</v>
      </c>
      <c r="AT13" s="216">
        <f t="shared" ref="AT13:AT73" si="30">AN13+SUM(AO13:AS13)</f>
        <v>442.5</v>
      </c>
      <c r="AU13" s="222">
        <f t="shared" ref="AU13:AU72" si="31">AN13-AK13</f>
        <v>-241.23000000000002</v>
      </c>
      <c r="AV13" s="220"/>
      <c r="AW13" s="220">
        <f t="shared" ref="AW13:AW62" si="32">IF(AU13&gt;0,AU13,AV13+AU13)</f>
        <v>-241.23000000000002</v>
      </c>
      <c r="AX13" s="216">
        <f t="shared" si="9"/>
        <v>-241.23000000000002</v>
      </c>
      <c r="AY13" s="220">
        <f t="shared" ref="AY13:AY66" si="33">IF(AN13&gt;=AK13,AO13,IF(AN13+AO13-AK13&gt;=0,AN13+AO13-AK13,0))</f>
        <v>0</v>
      </c>
      <c r="AZ13" s="220">
        <f t="shared" ref="AZ13:AZ66" si="34">IF(OR(AN13&gt;=AK13,AN13+AO13&gt;=AK13),AP13,IF(AN13+AO13+AP13&gt;AK13,AN13+AO13+AP13-AK13,0))</f>
        <v>0</v>
      </c>
      <c r="BA13" s="220">
        <f t="shared" ref="BA13:BA66" si="35">IF(OR(AN13&gt;=AK13,AN13+AO13&gt;=AK13,AN13+AO13+AP13&gt;=AK13),AQ13,IF(AN13+AO13+AP13+AQ13&gt;=AK13,AN13+AO13+AP13+AQ13-AK13,0))</f>
        <v>0</v>
      </c>
      <c r="BB13" s="220">
        <f t="shared" ref="BB13:BB66" si="36">IF(OR(AN13&gt;=AK13,AN13+AO13&gt;=AK13,AN13+AO13+AP13&gt;=AK13,AN13+AO13+AP13+AQ13&gt;=AK13),AR13,IF(AN13+AO13+AP13+AQ13+AR13&gt;=AK13,AN13+AO13+AP13+AQ13+AR13-AK13,0))</f>
        <v>8.7699999999999818</v>
      </c>
      <c r="BC13" s="220">
        <f t="shared" ref="BC13:BC66" si="37">IF(OR(AN13&gt;=AK13,AN13+AO13&gt;=AK13,AN13+AO13+AP13&gt;=AK13,AN13+AO13+AP13+AQ13&gt;=AK13,AN13+AO13+AP13+AQ13+AR13&gt;=AK13),AS13,IF(AN13+AO13+AP13+AQ13+AR13+AS13&gt;=AK13,AN13+AO13+AP13+AQ13+AR13+AS13-AK13,0))</f>
        <v>0</v>
      </c>
      <c r="BD13" s="216">
        <f t="shared" si="10"/>
        <v>8.7699999999999818</v>
      </c>
      <c r="BE13" s="220">
        <f t="shared" ref="BE13:BE62" si="38">AY13-AO13</f>
        <v>0</v>
      </c>
      <c r="BF13" s="220">
        <f t="shared" ref="BF13:BF62" si="39">AZ13-AP13</f>
        <v>0</v>
      </c>
      <c r="BG13" s="220">
        <f t="shared" ref="BG13:BG62" si="40">BA13-AQ13</f>
        <v>-74</v>
      </c>
      <c r="BH13" s="220">
        <f t="shared" ref="BH13:BH62" si="41">BB13-AR13</f>
        <v>-167.23000000000002</v>
      </c>
      <c r="BI13" s="220">
        <f t="shared" ref="BI13:BI62" si="42">BC13-AS13</f>
        <v>0</v>
      </c>
      <c r="BJ13" s="220" t="s">
        <v>1962</v>
      </c>
      <c r="BK13" s="220"/>
      <c r="BL13" s="223">
        <f t="shared" si="11"/>
        <v>0</v>
      </c>
      <c r="BM13" s="220">
        <v>6.92</v>
      </c>
      <c r="BN13" s="220"/>
      <c r="BO13" s="220">
        <f t="shared" ref="BO13:BO26" si="43">ROUND(BM13+(BM13*BN13),2)</f>
        <v>6.92</v>
      </c>
      <c r="BP13" s="220">
        <f>IF(AND(BL13&gt;0,BL13&lt;tiet!$D$1),BL13,IF(BL13&lt;=0,0,IF(BL13&gt;tiet!$C$1,tiet!$C$1)))</f>
        <v>0</v>
      </c>
      <c r="BQ13" s="87">
        <f>VLOOKUP(P13,ma_dinhmuc_moi,4,0)</f>
        <v>80000</v>
      </c>
      <c r="BR13" s="224">
        <f>ROUND(BQ13*BP13,0)</f>
        <v>0</v>
      </c>
      <c r="BS13" s="220">
        <f t="shared" si="12"/>
        <v>0</v>
      </c>
      <c r="BT13" s="224">
        <f>VLOOKUP(N13,ma_dinhmuc!$A$1:$J$31,10,0)</f>
        <v>65000</v>
      </c>
      <c r="BU13" s="224">
        <f>ROUND(IF(BS13&gt;0,VLOOKUP(N13,ma_dinhmuc!$A$1:$J$31,10,0)*BS13,0),0)</f>
        <v>0</v>
      </c>
      <c r="BV13" s="224">
        <f>ROUND(BU13+BR13,0)</f>
        <v>0</v>
      </c>
      <c r="BW13" s="224"/>
      <c r="BX13" s="224">
        <v>0</v>
      </c>
      <c r="BY13" s="224"/>
      <c r="BZ13" s="224"/>
      <c r="CA13" s="224"/>
      <c r="CB13" s="224"/>
      <c r="CC13" s="225">
        <f t="shared" ref="CC13:CC66" si="44">ROUND(IF(BV13+BW13&gt;BX13+BY13+BZ13+CA13+CB13,(BW13+BV13)-(BX13+BY13+BZ13+CA13+CB13+CB13),0),0)</f>
        <v>0</v>
      </c>
      <c r="CD13" s="224">
        <f t="shared" ref="CD13:CD66" si="45">ROUND(IF(BV13+BW13&lt;BX13+BY13+BZ13+CA13-CB13,(BX13+BY13+BZ13+CA13-CB13)-(BW13+BV13),0),0)</f>
        <v>0</v>
      </c>
      <c r="CE13" s="224"/>
      <c r="CF13" s="226"/>
      <c r="CG13" s="87"/>
      <c r="CH13" s="87">
        <f t="shared" si="13"/>
        <v>2</v>
      </c>
      <c r="CI13" s="227" t="str">
        <f t="shared" si="14"/>
        <v>Nguyễn Ích</v>
      </c>
      <c r="CJ13" s="227" t="str">
        <f t="shared" si="14"/>
        <v>Tân</v>
      </c>
      <c r="CK13" s="87">
        <f>H13</f>
        <v>1</v>
      </c>
      <c r="CL13" s="227" t="str">
        <f>L13</f>
        <v>Canh tác học</v>
      </c>
      <c r="CM13" s="87" t="str">
        <f t="shared" ref="CM13:CM63" si="46">N13</f>
        <v>CS4</v>
      </c>
      <c r="CN13" s="87">
        <f t="shared" si="15"/>
        <v>270</v>
      </c>
      <c r="CO13" s="87">
        <f t="shared" si="15"/>
        <v>200</v>
      </c>
      <c r="CP13" s="229">
        <f t="shared" ref="CP13:CP76" si="47">ER13</f>
        <v>0</v>
      </c>
      <c r="CQ13" s="229">
        <f t="shared" ref="CQ13:CQ76" si="48">ES13</f>
        <v>4.0999999999999996</v>
      </c>
      <c r="CR13" s="229">
        <f t="shared" ref="CR13:CR76" si="49">ET13</f>
        <v>1.2</v>
      </c>
      <c r="CS13" s="229">
        <f t="shared" ref="CS13:CS76" si="50">EU13</f>
        <v>0</v>
      </c>
      <c r="CT13" s="229">
        <f t="shared" ref="CT13:CT76" si="51">EV13</f>
        <v>0</v>
      </c>
      <c r="CU13" s="229">
        <f t="shared" ref="CU13:CU76" si="52">EW13</f>
        <v>52</v>
      </c>
      <c r="CV13" s="229">
        <f t="shared" ref="CV13:CV76" si="53">EX13</f>
        <v>0</v>
      </c>
      <c r="CW13" s="229">
        <f t="shared" ref="CW13:CW76" si="54">EY13</f>
        <v>0</v>
      </c>
      <c r="CX13" s="229">
        <f t="shared" ref="CX13:CX76" si="55">EZ13</f>
        <v>0</v>
      </c>
      <c r="CY13" s="229">
        <f t="shared" ref="CY13:CY76" si="56">FA13</f>
        <v>0</v>
      </c>
      <c r="CZ13" s="229">
        <f t="shared" ref="CZ13:CZ76" si="57">FB13</f>
        <v>0</v>
      </c>
      <c r="DA13" s="229">
        <f t="shared" ref="DA13:DA76" si="58">FC13</f>
        <v>74</v>
      </c>
      <c r="DB13" s="228">
        <f t="shared" ref="DB13:DB73" si="59">SUM(CP13:DA13)</f>
        <v>131.30000000000001</v>
      </c>
      <c r="DC13" s="229"/>
      <c r="DD13" s="229"/>
      <c r="DE13" s="229"/>
      <c r="DF13" s="229"/>
      <c r="DG13" s="229"/>
      <c r="DH13" s="229"/>
      <c r="DI13" s="229"/>
      <c r="DJ13" s="229"/>
      <c r="DK13" s="229"/>
      <c r="DL13" s="229"/>
      <c r="DM13" s="229"/>
      <c r="DN13" s="229"/>
      <c r="DO13" s="228">
        <f t="shared" ref="DO13:DO73" si="60">SUM(DC13:DN13)</f>
        <v>0</v>
      </c>
      <c r="DP13" s="228">
        <f t="shared" ref="DP13:DP73" si="61">DO13+DB13</f>
        <v>131.30000000000001</v>
      </c>
      <c r="DQ13" s="229">
        <f t="shared" ref="DQ13:DQ76" si="62">FD13</f>
        <v>126</v>
      </c>
      <c r="DR13" s="229">
        <f t="shared" ref="DR13:DR76" si="63">FE13</f>
        <v>6.5</v>
      </c>
      <c r="DS13" s="229">
        <f t="shared" ref="DS13:DS76" si="64">FF13</f>
        <v>0</v>
      </c>
      <c r="DT13" s="229">
        <f t="shared" ref="DT13:DT76" si="65">FG13</f>
        <v>2.7</v>
      </c>
      <c r="DU13" s="229">
        <f t="shared" ref="DU13:DU76" si="66">FI13</f>
        <v>0</v>
      </c>
      <c r="DV13" s="229">
        <f t="shared" ref="DV13:DV76" si="67">FH13</f>
        <v>176</v>
      </c>
      <c r="DW13" s="229">
        <f t="shared" ref="DW13:DW76" si="68">FJ13</f>
        <v>0</v>
      </c>
      <c r="DX13" s="228">
        <f t="shared" ref="DX13:DX73" si="69">SUM(DQ13:DW13)</f>
        <v>311.2</v>
      </c>
      <c r="DY13" s="229"/>
      <c r="DZ13" s="229"/>
      <c r="EA13" s="229"/>
      <c r="EB13" s="229"/>
      <c r="EC13" s="229"/>
      <c r="ED13" s="229"/>
      <c r="EE13" s="229"/>
      <c r="EF13" s="228">
        <f t="shared" si="17"/>
        <v>0</v>
      </c>
      <c r="EG13" s="228">
        <f t="shared" ref="EG13:EG73" si="70">EF13+DX13</f>
        <v>311.2</v>
      </c>
      <c r="EH13" s="229">
        <f t="shared" si="18"/>
        <v>33.33</v>
      </c>
      <c r="EI13" s="229">
        <v>2.94</v>
      </c>
      <c r="EJ13" s="228">
        <f>SUM(EH13:EI13)</f>
        <v>36.269999999999996</v>
      </c>
      <c r="EK13" s="229"/>
      <c r="EL13" s="229"/>
      <c r="EM13" s="228">
        <f>SUM(EK13:EL13)</f>
        <v>0</v>
      </c>
      <c r="EN13" s="229">
        <f t="shared" ref="EN13:EN63" si="71">EK13+EH13+EL13</f>
        <v>33.33</v>
      </c>
      <c r="EO13" s="229">
        <f t="shared" ref="EO13:EO72" si="72">EI13</f>
        <v>2.94</v>
      </c>
      <c r="EP13" s="228">
        <f>EM13+EJ13</f>
        <v>36.269999999999996</v>
      </c>
      <c r="EQ13" s="173">
        <f t="shared" si="19"/>
        <v>0</v>
      </c>
      <c r="ER13" s="189">
        <v>0</v>
      </c>
      <c r="ES13" s="189">
        <v>4.0999999999999996</v>
      </c>
      <c r="ET13" s="189">
        <v>1.2</v>
      </c>
      <c r="EU13" s="189">
        <v>0</v>
      </c>
      <c r="EV13" s="189">
        <v>0</v>
      </c>
      <c r="EW13" s="189">
        <v>52</v>
      </c>
      <c r="EX13" s="189">
        <v>0</v>
      </c>
      <c r="EY13" s="189">
        <v>0</v>
      </c>
      <c r="EZ13" s="189">
        <v>0</v>
      </c>
      <c r="FA13" s="189">
        <v>0</v>
      </c>
      <c r="FB13" s="189">
        <v>0</v>
      </c>
      <c r="FC13" s="189">
        <v>74</v>
      </c>
      <c r="FD13" s="189">
        <v>126</v>
      </c>
      <c r="FE13" s="189">
        <v>6.5</v>
      </c>
      <c r="FF13" s="189">
        <v>0</v>
      </c>
      <c r="FG13" s="189">
        <v>2.7</v>
      </c>
      <c r="FH13" s="189">
        <v>176</v>
      </c>
      <c r="FI13" s="189">
        <v>0</v>
      </c>
      <c r="FJ13" s="189">
        <v>0</v>
      </c>
      <c r="FK13" s="189">
        <v>442.5</v>
      </c>
      <c r="FL13" s="189">
        <v>381</v>
      </c>
      <c r="FN13" s="132">
        <v>33.33</v>
      </c>
    </row>
    <row r="14" spans="1:170" ht="30" customHeight="1">
      <c r="A14" s="88">
        <f>COUNTIF($H$12:H14,H14)</f>
        <v>3</v>
      </c>
      <c r="B14" s="88" t="s">
        <v>2231</v>
      </c>
      <c r="C14" s="88" t="s">
        <v>1832</v>
      </c>
      <c r="D14" s="88"/>
      <c r="E14" s="88"/>
      <c r="F14" s="301" t="s">
        <v>2857</v>
      </c>
      <c r="G14" s="89" t="s">
        <v>2858</v>
      </c>
      <c r="H14" s="88">
        <v>1</v>
      </c>
      <c r="I14" s="88">
        <v>1</v>
      </c>
      <c r="J14" s="88">
        <v>1</v>
      </c>
      <c r="K14" s="90" t="s">
        <v>3070</v>
      </c>
      <c r="L14" s="90" t="s">
        <v>3070</v>
      </c>
      <c r="M14" s="214"/>
      <c r="N14" s="88" t="s">
        <v>1804</v>
      </c>
      <c r="O14" s="216">
        <f t="shared" ref="O14:O32" si="73">BO14</f>
        <v>3.66</v>
      </c>
      <c r="P14" s="88" t="str">
        <f t="shared" si="0"/>
        <v>B1_4</v>
      </c>
      <c r="Q14" s="88">
        <f t="shared" si="1"/>
        <v>270</v>
      </c>
      <c r="R14" s="88">
        <f t="shared" si="2"/>
        <v>120</v>
      </c>
      <c r="S14" s="230" t="s">
        <v>689</v>
      </c>
      <c r="T14" s="88" t="s">
        <v>3090</v>
      </c>
      <c r="U14" s="88">
        <f>IF(RIGHT(T14,1)="K",(VLOOKUP(T14,ma_miengiam!$A$3:$B$80,2,0)*100)/2,VLOOKUP(T14,ma_miengiam!$A$3:$B$80,2,0)*100)</f>
        <v>15</v>
      </c>
      <c r="V14" s="88"/>
      <c r="W14" s="220">
        <f>IF(AND(T14="NTS",V14&gt;0),(Q14-(Q14*V14)/12)*VLOOKUP(T14,ma_miengiam!$A$3:$B$80,2,0)+(Q14-(Q14*(12-V14))/12),IF(AND(RIGHT(T14,1)="K",V14&gt;0),(VLOOKUP(T14,ma_miengiam!$A$3:$B$80,2,0)/2)*(Q14*V14)/12,IF(RIGHT(T14,1)="K",(VLOOKUP(T14,ma_miengiam!$A$3:$B$80,2,0)*Q14)/2,IF(V14&gt;0,VLOOKUP(T14,ma_miengiam!$A$3:$B$80,2,0)*Q14*V14/12,VLOOKUP(T14,ma_miengiam!$A$3:$B$80,2,0)*Q14))))</f>
        <v>40.5</v>
      </c>
      <c r="X14" s="220">
        <f>IF(T14="NTS",VLOOKUP(T14,ma_miengiam!$A$3:$B$80,2,0)*R14*V14,IF(AND(T14="NTS",V14=0),0,IF(AND(LEFT(T14,1)="K",V14=0),VLOOKUP(T14,ma_miengiam!$A$3:$B$80,2,0)*R14,IF(LEFT(T14,1)="K",(VLOOKUP(T14,ma_miengiam!$A$3:$B$80,2,0)*R14/12)*V14,IF(AND(LEFT(T14,1)="S",V14&gt;0),(R14/12)*V14,IF(AND(LEFT(T14,1)="S",V14=0),R14,IF(T14="DH",VLOOKUP(T14,ma_miengiam!$A$3:$B$80,2,0)*R14,0)))))))</f>
        <v>0</v>
      </c>
      <c r="Y14" s="220">
        <f t="shared" si="3"/>
        <v>229.5</v>
      </c>
      <c r="Z14" s="220">
        <f t="shared" si="20"/>
        <v>120</v>
      </c>
      <c r="AA14" s="220">
        <f t="shared" si="4"/>
        <v>270</v>
      </c>
      <c r="AB14" s="220">
        <f t="shared" si="4"/>
        <v>120</v>
      </c>
      <c r="AC14" s="220">
        <f t="shared" si="21"/>
        <v>40.5</v>
      </c>
      <c r="AD14" s="220">
        <f t="shared" si="21"/>
        <v>0</v>
      </c>
      <c r="AE14" s="220">
        <f t="shared" si="21"/>
        <v>229.5</v>
      </c>
      <c r="AF14" s="220">
        <f t="shared" si="21"/>
        <v>120</v>
      </c>
      <c r="AG14" s="220">
        <f t="shared" si="5"/>
        <v>240.44</v>
      </c>
      <c r="AH14" s="220">
        <f t="shared" si="6"/>
        <v>52.9</v>
      </c>
      <c r="AI14" s="220">
        <f t="shared" si="7"/>
        <v>187.54</v>
      </c>
      <c r="AJ14" s="220">
        <f t="shared" ref="AJ14:AJ59" si="74">IF(AG14-Z14&gt;0,0,AG14-Z14)</f>
        <v>0</v>
      </c>
      <c r="AK14" s="216">
        <f t="shared" si="8"/>
        <v>229.5</v>
      </c>
      <c r="AL14" s="220">
        <f t="shared" si="22"/>
        <v>188</v>
      </c>
      <c r="AM14" s="220">
        <f t="shared" si="23"/>
        <v>0</v>
      </c>
      <c r="AN14" s="221">
        <f t="shared" si="24"/>
        <v>188</v>
      </c>
      <c r="AO14" s="220">
        <f t="shared" si="25"/>
        <v>0</v>
      </c>
      <c r="AP14" s="220">
        <f t="shared" si="26"/>
        <v>0</v>
      </c>
      <c r="AQ14" s="220">
        <f t="shared" si="27"/>
        <v>100</v>
      </c>
      <c r="AR14" s="220">
        <f t="shared" si="28"/>
        <v>80</v>
      </c>
      <c r="AS14" s="220">
        <f t="shared" si="29"/>
        <v>0</v>
      </c>
      <c r="AT14" s="216">
        <f t="shared" si="30"/>
        <v>368</v>
      </c>
      <c r="AU14" s="222">
        <f t="shared" si="31"/>
        <v>-41.5</v>
      </c>
      <c r="AV14" s="220"/>
      <c r="AW14" s="220">
        <f t="shared" si="32"/>
        <v>-41.5</v>
      </c>
      <c r="AX14" s="216">
        <f t="shared" si="9"/>
        <v>-41.5</v>
      </c>
      <c r="AY14" s="220">
        <f t="shared" si="33"/>
        <v>0</v>
      </c>
      <c r="AZ14" s="220">
        <f t="shared" si="34"/>
        <v>0</v>
      </c>
      <c r="BA14" s="220">
        <f t="shared" si="35"/>
        <v>58.5</v>
      </c>
      <c r="BB14" s="220">
        <f t="shared" si="36"/>
        <v>80</v>
      </c>
      <c r="BC14" s="220">
        <f t="shared" si="37"/>
        <v>0</v>
      </c>
      <c r="BD14" s="216">
        <f t="shared" si="10"/>
        <v>138.5</v>
      </c>
      <c r="BE14" s="220">
        <f t="shared" si="38"/>
        <v>0</v>
      </c>
      <c r="BF14" s="220">
        <f t="shared" si="39"/>
        <v>0</v>
      </c>
      <c r="BG14" s="220">
        <f t="shared" si="40"/>
        <v>-41.5</v>
      </c>
      <c r="BH14" s="220">
        <f t="shared" si="41"/>
        <v>0</v>
      </c>
      <c r="BI14" s="220">
        <f t="shared" si="42"/>
        <v>0</v>
      </c>
      <c r="BJ14" s="220" t="s">
        <v>1963</v>
      </c>
      <c r="BK14" s="220"/>
      <c r="BL14" s="223">
        <f t="shared" si="11"/>
        <v>0</v>
      </c>
      <c r="BM14" s="220">
        <v>3.66</v>
      </c>
      <c r="BN14" s="220"/>
      <c r="BO14" s="220">
        <f t="shared" si="43"/>
        <v>3.66</v>
      </c>
      <c r="BP14" s="220">
        <f>IF(AND(BL14&gt;0,BL14&lt;tiet!$D$1),BL14,IF(BL14&lt;=0,0,IF(BL14&gt;tiet!$C$1,tiet!$C$1)))</f>
        <v>0</v>
      </c>
      <c r="BQ14" s="87">
        <f t="shared" ref="BQ14:BQ59" si="75">VLOOKUP(P14,ma_dinhmuc_moi,4,0)</f>
        <v>65000</v>
      </c>
      <c r="BR14" s="224">
        <f t="shared" ref="BR14:BR59" si="76">ROUND(BQ14*BP14,0)</f>
        <v>0</v>
      </c>
      <c r="BS14" s="220">
        <f t="shared" si="12"/>
        <v>0</v>
      </c>
      <c r="BT14" s="224">
        <f>VLOOKUP(N14,ma_dinhmuc!$A$1:$J$31,10,0)</f>
        <v>51000</v>
      </c>
      <c r="BU14" s="224">
        <f>ROUND(IF(BS14&gt;0,VLOOKUP(N14,ma_dinhmuc!$A$1:$J$31,10,0)*BS14,0),0)</f>
        <v>0</v>
      </c>
      <c r="BV14" s="224">
        <f t="shared" ref="BV14:BV59" si="77">ROUND(BU14+BR14,0)</f>
        <v>0</v>
      </c>
      <c r="BW14" s="224"/>
      <c r="BX14" s="224">
        <v>0</v>
      </c>
      <c r="BY14" s="224"/>
      <c r="BZ14" s="224"/>
      <c r="CA14" s="224"/>
      <c r="CB14" s="224"/>
      <c r="CC14" s="225">
        <f t="shared" si="44"/>
        <v>0</v>
      </c>
      <c r="CD14" s="224">
        <f t="shared" si="45"/>
        <v>0</v>
      </c>
      <c r="CE14" s="224"/>
      <c r="CF14" s="226"/>
      <c r="CG14" s="87"/>
      <c r="CH14" s="87">
        <f t="shared" si="13"/>
        <v>3</v>
      </c>
      <c r="CI14" s="227" t="str">
        <f t="shared" si="14"/>
        <v>Trần Thị</v>
      </c>
      <c r="CJ14" s="227" t="str">
        <f t="shared" si="14"/>
        <v>Thiêm</v>
      </c>
      <c r="CK14" s="87">
        <f>H14</f>
        <v>1</v>
      </c>
      <c r="CL14" s="227" t="str">
        <f>L14</f>
        <v>Canh tác học</v>
      </c>
      <c r="CM14" s="87" t="str">
        <f t="shared" si="46"/>
        <v>CS2</v>
      </c>
      <c r="CN14" s="87">
        <f t="shared" si="15"/>
        <v>270</v>
      </c>
      <c r="CO14" s="87">
        <f t="shared" si="15"/>
        <v>120</v>
      </c>
      <c r="CP14" s="229">
        <f t="shared" si="47"/>
        <v>0</v>
      </c>
      <c r="CQ14" s="229">
        <f t="shared" si="48"/>
        <v>15.7</v>
      </c>
      <c r="CR14" s="229">
        <f t="shared" si="49"/>
        <v>6.3</v>
      </c>
      <c r="CS14" s="229">
        <f t="shared" si="50"/>
        <v>30</v>
      </c>
      <c r="CT14" s="229">
        <f t="shared" si="51"/>
        <v>0</v>
      </c>
      <c r="CU14" s="229">
        <f t="shared" si="52"/>
        <v>44</v>
      </c>
      <c r="CV14" s="229">
        <f t="shared" si="53"/>
        <v>0</v>
      </c>
      <c r="CW14" s="229">
        <f t="shared" si="54"/>
        <v>92</v>
      </c>
      <c r="CX14" s="229">
        <f t="shared" si="55"/>
        <v>0</v>
      </c>
      <c r="CY14" s="229">
        <f t="shared" si="56"/>
        <v>0</v>
      </c>
      <c r="CZ14" s="229">
        <f t="shared" si="57"/>
        <v>0</v>
      </c>
      <c r="DA14" s="229">
        <f t="shared" si="58"/>
        <v>100</v>
      </c>
      <c r="DB14" s="228">
        <f t="shared" si="59"/>
        <v>288</v>
      </c>
      <c r="DC14" s="229"/>
      <c r="DD14" s="229"/>
      <c r="DE14" s="229"/>
      <c r="DF14" s="229"/>
      <c r="DG14" s="229"/>
      <c r="DH14" s="229"/>
      <c r="DI14" s="229"/>
      <c r="DJ14" s="229"/>
      <c r="DK14" s="229"/>
      <c r="DL14" s="229"/>
      <c r="DM14" s="229"/>
      <c r="DN14" s="229"/>
      <c r="DO14" s="228">
        <f t="shared" si="60"/>
        <v>0</v>
      </c>
      <c r="DP14" s="228">
        <f t="shared" si="61"/>
        <v>288</v>
      </c>
      <c r="DQ14" s="229">
        <f t="shared" si="62"/>
        <v>0</v>
      </c>
      <c r="DR14" s="229">
        <f t="shared" si="63"/>
        <v>0</v>
      </c>
      <c r="DS14" s="229">
        <f t="shared" si="64"/>
        <v>0</v>
      </c>
      <c r="DT14" s="229">
        <f t="shared" si="65"/>
        <v>0</v>
      </c>
      <c r="DU14" s="229">
        <f t="shared" si="66"/>
        <v>0</v>
      </c>
      <c r="DV14" s="229">
        <f t="shared" si="67"/>
        <v>80</v>
      </c>
      <c r="DW14" s="229">
        <f t="shared" si="68"/>
        <v>0</v>
      </c>
      <c r="DX14" s="228">
        <f t="shared" si="69"/>
        <v>80</v>
      </c>
      <c r="DY14" s="229"/>
      <c r="DZ14" s="229"/>
      <c r="EA14" s="229"/>
      <c r="EB14" s="229"/>
      <c r="EC14" s="229"/>
      <c r="ED14" s="229"/>
      <c r="EE14" s="229"/>
      <c r="EF14" s="228">
        <f t="shared" si="17"/>
        <v>0</v>
      </c>
      <c r="EG14" s="228">
        <f t="shared" si="70"/>
        <v>80</v>
      </c>
      <c r="EH14" s="229">
        <f t="shared" si="18"/>
        <v>187.54</v>
      </c>
      <c r="EI14" s="229">
        <v>52.9</v>
      </c>
      <c r="EJ14" s="228">
        <f>SUM(EH14:EI14)</f>
        <v>240.44</v>
      </c>
      <c r="EK14" s="229"/>
      <c r="EL14" s="229"/>
      <c r="EM14" s="228">
        <f t="shared" ref="EM14:EM32" si="78">SUM(EK14:EL14)</f>
        <v>0</v>
      </c>
      <c r="EN14" s="229">
        <f t="shared" si="71"/>
        <v>187.54</v>
      </c>
      <c r="EO14" s="229">
        <f t="shared" si="72"/>
        <v>52.9</v>
      </c>
      <c r="EP14" s="228">
        <f>EM14+EJ14</f>
        <v>240.44</v>
      </c>
      <c r="EQ14" s="173">
        <f t="shared" si="19"/>
        <v>67.539999999999992</v>
      </c>
      <c r="ER14" s="189">
        <v>0</v>
      </c>
      <c r="ES14" s="189">
        <v>15.7</v>
      </c>
      <c r="ET14" s="189">
        <v>6.3</v>
      </c>
      <c r="EU14" s="189">
        <v>30</v>
      </c>
      <c r="EV14" s="189">
        <v>0</v>
      </c>
      <c r="EW14" s="189">
        <v>44</v>
      </c>
      <c r="EX14" s="189">
        <v>0</v>
      </c>
      <c r="EY14" s="189">
        <v>92</v>
      </c>
      <c r="EZ14" s="189">
        <v>0</v>
      </c>
      <c r="FA14" s="189">
        <v>0</v>
      </c>
      <c r="FB14" s="189">
        <v>0</v>
      </c>
      <c r="FC14" s="189">
        <v>100</v>
      </c>
      <c r="FD14" s="189">
        <v>0</v>
      </c>
      <c r="FE14" s="189">
        <v>0</v>
      </c>
      <c r="FF14" s="189">
        <v>0</v>
      </c>
      <c r="FG14" s="189">
        <v>0</v>
      </c>
      <c r="FH14" s="189">
        <v>80</v>
      </c>
      <c r="FI14" s="189">
        <v>0</v>
      </c>
      <c r="FJ14" s="189">
        <v>0</v>
      </c>
      <c r="FK14" s="189">
        <v>368</v>
      </c>
      <c r="FL14" s="189">
        <v>322</v>
      </c>
      <c r="FN14" s="132">
        <v>187.54</v>
      </c>
    </row>
    <row r="15" spans="1:170" ht="30" customHeight="1">
      <c r="A15" s="88">
        <f>COUNTIF($H$12:H15,H15)</f>
        <v>4</v>
      </c>
      <c r="B15" s="88" t="s">
        <v>2232</v>
      </c>
      <c r="C15" s="88" t="s">
        <v>1833</v>
      </c>
      <c r="D15" s="88"/>
      <c r="E15" s="88"/>
      <c r="F15" s="302" t="s">
        <v>1887</v>
      </c>
      <c r="G15" s="89" t="s">
        <v>2859</v>
      </c>
      <c r="H15" s="88">
        <v>1</v>
      </c>
      <c r="I15" s="88">
        <v>1</v>
      </c>
      <c r="J15" s="88">
        <v>1</v>
      </c>
      <c r="K15" s="90" t="s">
        <v>3070</v>
      </c>
      <c r="L15" s="90" t="s">
        <v>3070</v>
      </c>
      <c r="M15" s="214"/>
      <c r="N15" s="88" t="s">
        <v>1804</v>
      </c>
      <c r="O15" s="216">
        <f t="shared" si="73"/>
        <v>4.32</v>
      </c>
      <c r="P15" s="88" t="str">
        <f t="shared" si="0"/>
        <v>B1_4</v>
      </c>
      <c r="Q15" s="88">
        <f t="shared" si="1"/>
        <v>270</v>
      </c>
      <c r="R15" s="88">
        <f t="shared" si="2"/>
        <v>120</v>
      </c>
      <c r="S15" s="230" t="s">
        <v>2527</v>
      </c>
      <c r="T15" s="88" t="s">
        <v>3091</v>
      </c>
      <c r="U15" s="88">
        <f>IF(RIGHT(T15,1)="K",(VLOOKUP(T15,ma_miengiam!$A$3:$B$80,2,0)*100)/2,VLOOKUP(T15,ma_miengiam!$A$3:$B$80,2,0)*100)</f>
        <v>20</v>
      </c>
      <c r="V15" s="88"/>
      <c r="W15" s="220">
        <f>IF(AND(T15="NTS",V15&gt;0),(Q15-(Q15*V15)/12)*VLOOKUP(T15,ma_miengiam!$A$3:$B$80,2,0)+(Q15-(Q15*(12-V15))/12),IF(AND(RIGHT(T15,1)="K",V15&gt;0),(VLOOKUP(T15,ma_miengiam!$A$3:$B$80,2,0)/2)*(Q15*V15)/12,IF(RIGHT(T15,1)="K",(VLOOKUP(T15,ma_miengiam!$A$3:$B$80,2,0)*Q15)/2,IF(V15&gt;0,VLOOKUP(T15,ma_miengiam!$A$3:$B$80,2,0)*Q15*V15/12,VLOOKUP(T15,ma_miengiam!$A$3:$B$80,2,0)*Q15))))</f>
        <v>54</v>
      </c>
      <c r="X15" s="220">
        <f>IF(T15="NTS",VLOOKUP(T15,ma_miengiam!$A$3:$B$80,2,0)*R15*V15,IF(AND(T15="NTS",V15=0),0,IF(AND(LEFT(T15,1)="K",V15=0),VLOOKUP(T15,ma_miengiam!$A$3:$B$80,2,0)*R15,IF(LEFT(T15,1)="K",(VLOOKUP(T15,ma_miengiam!$A$3:$B$80,2,0)*R15/12)*V15,IF(AND(LEFT(T15,1)="S",V15&gt;0),(R15/12)*V15,IF(AND(LEFT(T15,1)="S",V15=0),R15,IF(T15="DH",VLOOKUP(T15,ma_miengiam!$A$3:$B$80,2,0)*R15,0)))))))</f>
        <v>0</v>
      </c>
      <c r="Y15" s="220">
        <f t="shared" si="3"/>
        <v>216</v>
      </c>
      <c r="Z15" s="220">
        <f t="shared" si="20"/>
        <v>120</v>
      </c>
      <c r="AA15" s="220">
        <f t="shared" ref="AA15:AB18" si="79">Q15</f>
        <v>270</v>
      </c>
      <c r="AB15" s="220">
        <f t="shared" si="79"/>
        <v>120</v>
      </c>
      <c r="AC15" s="220">
        <f t="shared" ref="AC15:AF16" si="80">W15</f>
        <v>54</v>
      </c>
      <c r="AD15" s="220">
        <f t="shared" si="80"/>
        <v>0</v>
      </c>
      <c r="AE15" s="220">
        <f t="shared" si="80"/>
        <v>216</v>
      </c>
      <c r="AF15" s="220">
        <f t="shared" si="80"/>
        <v>120</v>
      </c>
      <c r="AG15" s="220">
        <f t="shared" si="5"/>
        <v>38.92</v>
      </c>
      <c r="AH15" s="220">
        <f t="shared" si="6"/>
        <v>38.92</v>
      </c>
      <c r="AI15" s="220">
        <f t="shared" si="7"/>
        <v>0</v>
      </c>
      <c r="AJ15" s="220">
        <f t="shared" si="74"/>
        <v>-81.08</v>
      </c>
      <c r="AK15" s="216">
        <f t="shared" si="8"/>
        <v>297.08</v>
      </c>
      <c r="AL15" s="220">
        <f t="shared" si="22"/>
        <v>87.8</v>
      </c>
      <c r="AM15" s="220">
        <f t="shared" si="23"/>
        <v>0</v>
      </c>
      <c r="AN15" s="221">
        <f t="shared" si="24"/>
        <v>87.8</v>
      </c>
      <c r="AO15" s="220">
        <f t="shared" si="25"/>
        <v>0</v>
      </c>
      <c r="AP15" s="220">
        <f t="shared" si="26"/>
        <v>0</v>
      </c>
      <c r="AQ15" s="220">
        <f t="shared" si="27"/>
        <v>40</v>
      </c>
      <c r="AR15" s="220">
        <f t="shared" si="28"/>
        <v>12</v>
      </c>
      <c r="AS15" s="220">
        <f t="shared" si="29"/>
        <v>0</v>
      </c>
      <c r="AT15" s="216">
        <f t="shared" si="30"/>
        <v>139.80000000000001</v>
      </c>
      <c r="AU15" s="222">
        <f t="shared" si="31"/>
        <v>-209.27999999999997</v>
      </c>
      <c r="AV15" s="220"/>
      <c r="AW15" s="220">
        <f t="shared" si="32"/>
        <v>-209.27999999999997</v>
      </c>
      <c r="AX15" s="216">
        <f t="shared" si="9"/>
        <v>-209.27999999999997</v>
      </c>
      <c r="AY15" s="220">
        <f t="shared" si="33"/>
        <v>0</v>
      </c>
      <c r="AZ15" s="220">
        <f t="shared" si="34"/>
        <v>0</v>
      </c>
      <c r="BA15" s="220">
        <f t="shared" si="35"/>
        <v>0</v>
      </c>
      <c r="BB15" s="220">
        <f t="shared" si="36"/>
        <v>0</v>
      </c>
      <c r="BC15" s="220">
        <f t="shared" si="37"/>
        <v>0</v>
      </c>
      <c r="BD15" s="216">
        <f t="shared" si="10"/>
        <v>0</v>
      </c>
      <c r="BE15" s="220">
        <f t="shared" si="38"/>
        <v>0</v>
      </c>
      <c r="BF15" s="220">
        <f t="shared" si="39"/>
        <v>0</v>
      </c>
      <c r="BG15" s="220">
        <f t="shared" si="40"/>
        <v>-40</v>
      </c>
      <c r="BH15" s="220">
        <f t="shared" si="41"/>
        <v>-12</v>
      </c>
      <c r="BI15" s="220">
        <f t="shared" si="42"/>
        <v>0</v>
      </c>
      <c r="BJ15" s="220" t="s">
        <v>1963</v>
      </c>
      <c r="BK15" s="220"/>
      <c r="BL15" s="223">
        <f t="shared" si="11"/>
        <v>0</v>
      </c>
      <c r="BM15" s="220">
        <v>4.32</v>
      </c>
      <c r="BN15" s="220"/>
      <c r="BO15" s="220">
        <f t="shared" si="43"/>
        <v>4.32</v>
      </c>
      <c r="BP15" s="220">
        <f>IF(AND(BL15&gt;0,BL15&lt;tiet!$D$1),BL15,IF(BL15&lt;=0,0,IF(BL15&gt;tiet!$C$1,tiet!$C$1)))</f>
        <v>0</v>
      </c>
      <c r="BQ15" s="87">
        <f t="shared" si="75"/>
        <v>65000</v>
      </c>
      <c r="BR15" s="224">
        <f t="shared" si="76"/>
        <v>0</v>
      </c>
      <c r="BS15" s="220">
        <f t="shared" si="12"/>
        <v>0</v>
      </c>
      <c r="BT15" s="224">
        <f>VLOOKUP(N15,ma_dinhmuc!$A$1:$J$31,10,0)</f>
        <v>51000</v>
      </c>
      <c r="BU15" s="224">
        <f>ROUND(IF(BS15&gt;0,VLOOKUP(N15,ma_dinhmuc!$A$1:$J$31,10,0)*BS15,0),0)</f>
        <v>0</v>
      </c>
      <c r="BV15" s="224">
        <f t="shared" si="77"/>
        <v>0</v>
      </c>
      <c r="BW15" s="224"/>
      <c r="BX15" s="224">
        <v>0</v>
      </c>
      <c r="BY15" s="224"/>
      <c r="BZ15" s="224"/>
      <c r="CA15" s="224"/>
      <c r="CB15" s="224"/>
      <c r="CC15" s="225">
        <f t="shared" si="44"/>
        <v>0</v>
      </c>
      <c r="CD15" s="224">
        <f t="shared" si="45"/>
        <v>0</v>
      </c>
      <c r="CE15" s="224"/>
      <c r="CF15" s="226"/>
      <c r="CG15" s="87"/>
      <c r="CH15" s="87">
        <f t="shared" si="13"/>
        <v>4</v>
      </c>
      <c r="CI15" s="227" t="str">
        <f t="shared" si="14"/>
        <v>Chu Anh</v>
      </c>
      <c r="CJ15" s="227" t="str">
        <f t="shared" si="14"/>
        <v>Tiệp</v>
      </c>
      <c r="CK15" s="87">
        <f>H15</f>
        <v>1</v>
      </c>
      <c r="CL15" s="227" t="str">
        <f>L15</f>
        <v>Canh tác học</v>
      </c>
      <c r="CM15" s="87" t="str">
        <f t="shared" si="46"/>
        <v>CS2</v>
      </c>
      <c r="CN15" s="87">
        <f t="shared" ref="CN15:CO17" si="81">Q15</f>
        <v>270</v>
      </c>
      <c r="CO15" s="87">
        <f t="shared" si="81"/>
        <v>120</v>
      </c>
      <c r="CP15" s="229">
        <f t="shared" si="47"/>
        <v>0</v>
      </c>
      <c r="CQ15" s="229">
        <f t="shared" si="48"/>
        <v>10.199999999999999</v>
      </c>
      <c r="CR15" s="229">
        <f t="shared" si="49"/>
        <v>3.6</v>
      </c>
      <c r="CS15" s="229">
        <f t="shared" si="50"/>
        <v>0</v>
      </c>
      <c r="CT15" s="229">
        <f t="shared" si="51"/>
        <v>0</v>
      </c>
      <c r="CU15" s="229">
        <f t="shared" si="52"/>
        <v>74</v>
      </c>
      <c r="CV15" s="229">
        <f t="shared" si="53"/>
        <v>0</v>
      </c>
      <c r="CW15" s="229">
        <f t="shared" si="54"/>
        <v>0</v>
      </c>
      <c r="CX15" s="229">
        <f t="shared" si="55"/>
        <v>0</v>
      </c>
      <c r="CY15" s="229">
        <f t="shared" si="56"/>
        <v>0</v>
      </c>
      <c r="CZ15" s="229">
        <f t="shared" si="57"/>
        <v>0</v>
      </c>
      <c r="DA15" s="229">
        <f t="shared" si="58"/>
        <v>40</v>
      </c>
      <c r="DB15" s="228">
        <f t="shared" si="59"/>
        <v>127.8</v>
      </c>
      <c r="DC15" s="229"/>
      <c r="DD15" s="229"/>
      <c r="DE15" s="229"/>
      <c r="DF15" s="229"/>
      <c r="DG15" s="229"/>
      <c r="DH15" s="229"/>
      <c r="DI15" s="229"/>
      <c r="DJ15" s="229"/>
      <c r="DK15" s="229"/>
      <c r="DL15" s="229"/>
      <c r="DM15" s="229"/>
      <c r="DN15" s="229"/>
      <c r="DO15" s="228">
        <f t="shared" si="60"/>
        <v>0</v>
      </c>
      <c r="DP15" s="228">
        <f t="shared" si="61"/>
        <v>127.8</v>
      </c>
      <c r="DQ15" s="229">
        <f t="shared" si="62"/>
        <v>0</v>
      </c>
      <c r="DR15" s="229">
        <f t="shared" si="63"/>
        <v>0</v>
      </c>
      <c r="DS15" s="229">
        <f t="shared" si="64"/>
        <v>0</v>
      </c>
      <c r="DT15" s="229">
        <f t="shared" si="65"/>
        <v>0</v>
      </c>
      <c r="DU15" s="229">
        <f t="shared" si="66"/>
        <v>0</v>
      </c>
      <c r="DV15" s="229">
        <f t="shared" si="67"/>
        <v>12</v>
      </c>
      <c r="DW15" s="229">
        <f t="shared" si="68"/>
        <v>0</v>
      </c>
      <c r="DX15" s="228">
        <f t="shared" si="69"/>
        <v>12</v>
      </c>
      <c r="DY15" s="229"/>
      <c r="DZ15" s="229"/>
      <c r="EA15" s="229"/>
      <c r="EB15" s="229"/>
      <c r="EC15" s="229"/>
      <c r="ED15" s="229"/>
      <c r="EE15" s="229"/>
      <c r="EF15" s="228">
        <f t="shared" si="17"/>
        <v>0</v>
      </c>
      <c r="EG15" s="228">
        <f t="shared" si="70"/>
        <v>12</v>
      </c>
      <c r="EH15" s="229">
        <f t="shared" si="18"/>
        <v>0</v>
      </c>
      <c r="EI15" s="229">
        <v>38.92</v>
      </c>
      <c r="EJ15" s="228">
        <f>SUM(EH15:EI15)</f>
        <v>38.92</v>
      </c>
      <c r="EK15" s="229"/>
      <c r="EL15" s="229"/>
      <c r="EM15" s="228">
        <f t="shared" si="78"/>
        <v>0</v>
      </c>
      <c r="EN15" s="229">
        <f t="shared" si="71"/>
        <v>0</v>
      </c>
      <c r="EO15" s="229">
        <f t="shared" si="72"/>
        <v>38.92</v>
      </c>
      <c r="EP15" s="228">
        <f>EM15+EJ15</f>
        <v>38.92</v>
      </c>
      <c r="EQ15" s="173">
        <f t="shared" si="19"/>
        <v>0</v>
      </c>
      <c r="ER15" s="189">
        <v>0</v>
      </c>
      <c r="ES15" s="189">
        <v>10.199999999999999</v>
      </c>
      <c r="ET15" s="189">
        <v>3.6</v>
      </c>
      <c r="EU15" s="189">
        <v>0</v>
      </c>
      <c r="EV15" s="189">
        <v>0</v>
      </c>
      <c r="EW15" s="189">
        <v>74</v>
      </c>
      <c r="EX15" s="189">
        <v>0</v>
      </c>
      <c r="EY15" s="189">
        <v>0</v>
      </c>
      <c r="EZ15" s="189">
        <v>0</v>
      </c>
      <c r="FA15" s="189">
        <v>0</v>
      </c>
      <c r="FB15" s="189">
        <v>0</v>
      </c>
      <c r="FC15" s="189">
        <v>40</v>
      </c>
      <c r="FD15" s="189">
        <v>0</v>
      </c>
      <c r="FE15" s="189">
        <v>0</v>
      </c>
      <c r="FF15" s="189">
        <v>0</v>
      </c>
      <c r="FG15" s="189">
        <v>0</v>
      </c>
      <c r="FH15" s="189">
        <v>12</v>
      </c>
      <c r="FI15" s="189">
        <v>0</v>
      </c>
      <c r="FJ15" s="189">
        <v>0</v>
      </c>
      <c r="FK15" s="189">
        <v>139.80000000000001</v>
      </c>
      <c r="FL15" s="189">
        <v>131</v>
      </c>
      <c r="FN15" s="132">
        <v>0</v>
      </c>
    </row>
    <row r="16" spans="1:170" ht="30" customHeight="1">
      <c r="A16" s="88" t="s">
        <v>2537</v>
      </c>
      <c r="B16" s="88" t="s">
        <v>2233</v>
      </c>
      <c r="C16" s="88" t="s">
        <v>1834</v>
      </c>
      <c r="D16" s="88"/>
      <c r="E16" s="88"/>
      <c r="F16" s="302" t="s">
        <v>2860</v>
      </c>
      <c r="G16" s="89" t="s">
        <v>1649</v>
      </c>
      <c r="H16" s="88">
        <v>1</v>
      </c>
      <c r="I16" s="88">
        <v>1</v>
      </c>
      <c r="J16" s="88">
        <v>1</v>
      </c>
      <c r="K16" s="90" t="s">
        <v>3070</v>
      </c>
      <c r="L16" s="90" t="s">
        <v>3070</v>
      </c>
      <c r="M16" s="214"/>
      <c r="N16" s="88" t="s">
        <v>1804</v>
      </c>
      <c r="O16" s="216">
        <f t="shared" si="73"/>
        <v>3.33</v>
      </c>
      <c r="P16" s="88" t="str">
        <f t="shared" si="0"/>
        <v>B1_4</v>
      </c>
      <c r="Q16" s="88">
        <f t="shared" si="1"/>
        <v>270</v>
      </c>
      <c r="R16" s="88">
        <f t="shared" si="2"/>
        <v>120</v>
      </c>
      <c r="S16" s="230" t="s">
        <v>2658</v>
      </c>
      <c r="T16" s="88" t="s">
        <v>3088</v>
      </c>
      <c r="U16" s="88">
        <f>IF(RIGHT(T16,1)="K",(VLOOKUP(T16,ma_miengiam!$A$3:$B$80,2,0)*100)/2,VLOOKUP(T16,ma_miengiam!$A$3:$B$80,2,0)*100)</f>
        <v>0</v>
      </c>
      <c r="V16" s="88">
        <v>11</v>
      </c>
      <c r="W16" s="220">
        <f>IF(AND(T16="NTS",V16&gt;0),(Q16-(Q16*V16)/12)*VLOOKUP(T16,ma_miengiam!$A$3:$B$80,2,0)+(Q16-(Q16*(12-V16))/12),IF(AND(RIGHT(T16,1)="K",V16&gt;0),(VLOOKUP(T16,ma_miengiam!$A$3:$B$80,2,0)/2)*(Q16*V16)/12,IF(RIGHT(T16,1)="K",(VLOOKUP(T16,ma_miengiam!$A$3:$B$80,2,0)*Q16)/2,IF(V16&gt;0,VLOOKUP(T16,ma_miengiam!$A$3:$B$80,2,0)*Q16*V16/12,VLOOKUP(T16,ma_miengiam!$A$3:$B$80,2,0)*Q16))))</f>
        <v>0</v>
      </c>
      <c r="X16" s="220">
        <f>IF(T16="NTS",VLOOKUP(T16,ma_miengiam!$A$3:$B$80,2,0)*R16*V16,IF(AND(T16="NTS",V16=0),0,IF(AND(LEFT(T16,1)="K",V16=0),VLOOKUP(T16,ma_miengiam!$A$3:$B$80,2,0)*R16,IF(LEFT(T16,1)="K",(VLOOKUP(T16,ma_miengiam!$A$3:$B$80,2,0)*R16/12)*V16,IF(AND(LEFT(T16,1)="S",V16&gt;0),(R16/12)*V16,IF(AND(LEFT(T16,1)="S",V16=0),R16,IF(T16="DH",VLOOKUP(T16,ma_miengiam!$A$3:$B$80,2,0)*R16,0)))))))</f>
        <v>0</v>
      </c>
      <c r="Y16" s="220">
        <f t="shared" si="3"/>
        <v>247.5</v>
      </c>
      <c r="Z16" s="220">
        <f t="shared" si="20"/>
        <v>110</v>
      </c>
      <c r="AA16" s="220">
        <f t="shared" si="79"/>
        <v>270</v>
      </c>
      <c r="AB16" s="220">
        <f t="shared" si="79"/>
        <v>120</v>
      </c>
      <c r="AC16" s="220">
        <f t="shared" si="80"/>
        <v>0</v>
      </c>
      <c r="AD16" s="220">
        <f t="shared" si="80"/>
        <v>0</v>
      </c>
      <c r="AE16" s="220">
        <f t="shared" si="80"/>
        <v>247.5</v>
      </c>
      <c r="AF16" s="220">
        <f t="shared" si="80"/>
        <v>110</v>
      </c>
      <c r="AG16" s="220">
        <f t="shared" si="5"/>
        <v>115.83333333333333</v>
      </c>
      <c r="AH16" s="220">
        <f t="shared" si="6"/>
        <v>53.333333333333329</v>
      </c>
      <c r="AI16" s="220">
        <f t="shared" si="7"/>
        <v>62.5</v>
      </c>
      <c r="AJ16" s="220">
        <f t="shared" si="74"/>
        <v>0</v>
      </c>
      <c r="AK16" s="216">
        <f t="shared" si="8"/>
        <v>247.5</v>
      </c>
      <c r="AL16" s="220">
        <f t="shared" si="22"/>
        <v>130.1</v>
      </c>
      <c r="AM16" s="220">
        <f t="shared" si="23"/>
        <v>0</v>
      </c>
      <c r="AN16" s="216">
        <f t="shared" si="24"/>
        <v>130.1</v>
      </c>
      <c r="AO16" s="220">
        <f t="shared" si="25"/>
        <v>0</v>
      </c>
      <c r="AP16" s="220">
        <f t="shared" si="26"/>
        <v>0</v>
      </c>
      <c r="AQ16" s="220">
        <f t="shared" si="27"/>
        <v>20</v>
      </c>
      <c r="AR16" s="220">
        <f t="shared" si="28"/>
        <v>0</v>
      </c>
      <c r="AS16" s="220">
        <f t="shared" si="29"/>
        <v>0</v>
      </c>
      <c r="AT16" s="216">
        <f t="shared" si="30"/>
        <v>150.1</v>
      </c>
      <c r="AU16" s="220">
        <f t="shared" si="31"/>
        <v>-117.4</v>
      </c>
      <c r="AV16" s="220"/>
      <c r="AW16" s="220">
        <f t="shared" si="32"/>
        <v>-117.4</v>
      </c>
      <c r="AX16" s="216">
        <f t="shared" si="9"/>
        <v>-117.4</v>
      </c>
      <c r="AY16" s="220">
        <f t="shared" si="33"/>
        <v>0</v>
      </c>
      <c r="AZ16" s="220">
        <f t="shared" si="34"/>
        <v>0</v>
      </c>
      <c r="BA16" s="220">
        <f t="shared" si="35"/>
        <v>0</v>
      </c>
      <c r="BB16" s="220">
        <f t="shared" si="36"/>
        <v>0</v>
      </c>
      <c r="BC16" s="220">
        <f t="shared" si="37"/>
        <v>0</v>
      </c>
      <c r="BD16" s="216">
        <f t="shared" si="10"/>
        <v>0</v>
      </c>
      <c r="BE16" s="220">
        <f t="shared" si="38"/>
        <v>0</v>
      </c>
      <c r="BF16" s="220">
        <f t="shared" si="39"/>
        <v>0</v>
      </c>
      <c r="BG16" s="220">
        <f t="shared" si="40"/>
        <v>-20</v>
      </c>
      <c r="BH16" s="220">
        <f t="shared" si="41"/>
        <v>0</v>
      </c>
      <c r="BI16" s="220">
        <f t="shared" si="42"/>
        <v>0</v>
      </c>
      <c r="BJ16" s="220" t="s">
        <v>1963</v>
      </c>
      <c r="BK16" s="220"/>
      <c r="BL16" s="223">
        <f t="shared" si="11"/>
        <v>0</v>
      </c>
      <c r="BM16" s="220">
        <v>3.33</v>
      </c>
      <c r="BN16" s="220"/>
      <c r="BO16" s="220">
        <f t="shared" si="43"/>
        <v>3.33</v>
      </c>
      <c r="BP16" s="220">
        <f>IF(AND(BL16&gt;0,BL16&lt;tiet!$D$1),BL16,IF(BL16&lt;=0,0,IF(BL16&gt;tiet!$C$1,tiet!$C$1)))</f>
        <v>0</v>
      </c>
      <c r="BQ16" s="87">
        <f t="shared" si="75"/>
        <v>65000</v>
      </c>
      <c r="BR16" s="224">
        <f t="shared" si="76"/>
        <v>0</v>
      </c>
      <c r="BS16" s="220">
        <f t="shared" si="12"/>
        <v>0</v>
      </c>
      <c r="BT16" s="224">
        <f>VLOOKUP(N16,ma_dinhmuc!$A$1:$J$31,10,0)</f>
        <v>51000</v>
      </c>
      <c r="BU16" s="224">
        <f>ROUND(IF(BS16&gt;0,VLOOKUP(N16,ma_dinhmuc!$A$1:$J$31,10,0)*BS16,0),0)</f>
        <v>0</v>
      </c>
      <c r="BV16" s="224">
        <f t="shared" si="77"/>
        <v>0</v>
      </c>
      <c r="BW16" s="224"/>
      <c r="BX16" s="224">
        <v>0</v>
      </c>
      <c r="BY16" s="224"/>
      <c r="BZ16" s="224"/>
      <c r="CA16" s="224"/>
      <c r="CB16" s="224"/>
      <c r="CC16" s="225">
        <f t="shared" si="44"/>
        <v>0</v>
      </c>
      <c r="CD16" s="224">
        <f t="shared" si="45"/>
        <v>0</v>
      </c>
      <c r="CE16" s="224"/>
      <c r="CF16" s="226"/>
      <c r="CG16" s="87"/>
      <c r="CH16" s="87" t="str">
        <f t="shared" si="13"/>
        <v>p</v>
      </c>
      <c r="CI16" s="227" t="str">
        <f t="shared" ref="CI16:CI23" si="82">F16</f>
        <v>Thiều Thị Phong</v>
      </c>
      <c r="CJ16" s="227" t="str">
        <f t="shared" ref="CJ16:CJ23" si="83">G16</f>
        <v>Thu</v>
      </c>
      <c r="CK16" s="87">
        <f>H16</f>
        <v>1</v>
      </c>
      <c r="CL16" s="227" t="str">
        <f>L16</f>
        <v>Canh tác học</v>
      </c>
      <c r="CM16" s="87" t="str">
        <f t="shared" si="46"/>
        <v>CS2</v>
      </c>
      <c r="CN16" s="87">
        <f t="shared" si="81"/>
        <v>270</v>
      </c>
      <c r="CO16" s="87">
        <f t="shared" si="81"/>
        <v>120</v>
      </c>
      <c r="CP16" s="229">
        <f t="shared" si="47"/>
        <v>0</v>
      </c>
      <c r="CQ16" s="229">
        <f t="shared" si="48"/>
        <v>7.6</v>
      </c>
      <c r="CR16" s="229">
        <f t="shared" si="49"/>
        <v>2.5</v>
      </c>
      <c r="CS16" s="229">
        <f t="shared" si="50"/>
        <v>0</v>
      </c>
      <c r="CT16" s="229">
        <f t="shared" si="51"/>
        <v>0</v>
      </c>
      <c r="CU16" s="229">
        <f t="shared" si="52"/>
        <v>52</v>
      </c>
      <c r="CV16" s="229">
        <f t="shared" si="53"/>
        <v>0</v>
      </c>
      <c r="CW16" s="229">
        <f t="shared" si="54"/>
        <v>68</v>
      </c>
      <c r="CX16" s="229">
        <f t="shared" si="55"/>
        <v>0</v>
      </c>
      <c r="CY16" s="229">
        <f t="shared" si="56"/>
        <v>0</v>
      </c>
      <c r="CZ16" s="229">
        <f t="shared" si="57"/>
        <v>0</v>
      </c>
      <c r="DA16" s="229">
        <f t="shared" si="58"/>
        <v>20</v>
      </c>
      <c r="DB16" s="228">
        <f t="shared" si="59"/>
        <v>150.1</v>
      </c>
      <c r="DC16" s="229"/>
      <c r="DD16" s="229"/>
      <c r="DE16" s="229"/>
      <c r="DF16" s="229"/>
      <c r="DG16" s="229"/>
      <c r="DH16" s="229"/>
      <c r="DI16" s="229"/>
      <c r="DJ16" s="229"/>
      <c r="DK16" s="229"/>
      <c r="DL16" s="229"/>
      <c r="DM16" s="229"/>
      <c r="DN16" s="229"/>
      <c r="DO16" s="228">
        <f t="shared" si="60"/>
        <v>0</v>
      </c>
      <c r="DP16" s="228">
        <f t="shared" si="61"/>
        <v>150.1</v>
      </c>
      <c r="DQ16" s="229">
        <f t="shared" si="62"/>
        <v>0</v>
      </c>
      <c r="DR16" s="229">
        <f t="shared" si="63"/>
        <v>0</v>
      </c>
      <c r="DS16" s="229">
        <f t="shared" si="64"/>
        <v>0</v>
      </c>
      <c r="DT16" s="229">
        <f t="shared" si="65"/>
        <v>0</v>
      </c>
      <c r="DU16" s="229">
        <f t="shared" si="66"/>
        <v>0</v>
      </c>
      <c r="DV16" s="229">
        <f t="shared" si="67"/>
        <v>0</v>
      </c>
      <c r="DW16" s="229">
        <f t="shared" si="68"/>
        <v>0</v>
      </c>
      <c r="DX16" s="228">
        <f t="shared" si="69"/>
        <v>0</v>
      </c>
      <c r="DY16" s="229"/>
      <c r="DZ16" s="229"/>
      <c r="EA16" s="229"/>
      <c r="EB16" s="229"/>
      <c r="EC16" s="229"/>
      <c r="ED16" s="229"/>
      <c r="EE16" s="229"/>
      <c r="EF16" s="228">
        <f t="shared" si="17"/>
        <v>0</v>
      </c>
      <c r="EG16" s="228">
        <f t="shared" si="70"/>
        <v>0</v>
      </c>
      <c r="EH16" s="229">
        <f t="shared" si="18"/>
        <v>62.5</v>
      </c>
      <c r="EI16" s="229">
        <v>53.333333333333329</v>
      </c>
      <c r="EJ16" s="228">
        <f t="shared" ref="EJ16:EJ69" si="84">SUM(EH16:EI16)</f>
        <v>115.83333333333333</v>
      </c>
      <c r="EK16" s="229"/>
      <c r="EL16" s="229"/>
      <c r="EM16" s="228">
        <f t="shared" si="78"/>
        <v>0</v>
      </c>
      <c r="EN16" s="229">
        <f t="shared" si="71"/>
        <v>62.5</v>
      </c>
      <c r="EO16" s="229">
        <f t="shared" si="72"/>
        <v>53.333333333333329</v>
      </c>
      <c r="EP16" s="228">
        <f>EM16+EJ16</f>
        <v>115.83333333333333</v>
      </c>
      <c r="EQ16" s="173">
        <f t="shared" si="19"/>
        <v>0</v>
      </c>
      <c r="ER16" s="189">
        <v>0</v>
      </c>
      <c r="ES16" s="189">
        <v>7.6</v>
      </c>
      <c r="ET16" s="189">
        <v>2.5</v>
      </c>
      <c r="EU16" s="189">
        <v>0</v>
      </c>
      <c r="EV16" s="189">
        <v>0</v>
      </c>
      <c r="EW16" s="189">
        <v>52</v>
      </c>
      <c r="EX16" s="189">
        <v>0</v>
      </c>
      <c r="EY16" s="189">
        <v>68</v>
      </c>
      <c r="EZ16" s="189">
        <v>0</v>
      </c>
      <c r="FA16" s="189">
        <v>0</v>
      </c>
      <c r="FB16" s="189">
        <v>0</v>
      </c>
      <c r="FC16" s="189">
        <v>20</v>
      </c>
      <c r="FD16" s="189">
        <v>0</v>
      </c>
      <c r="FE16" s="189">
        <v>0</v>
      </c>
      <c r="FF16" s="189">
        <v>0</v>
      </c>
      <c r="FG16" s="189">
        <v>0</v>
      </c>
      <c r="FH16" s="189">
        <v>0</v>
      </c>
      <c r="FI16" s="189">
        <v>0</v>
      </c>
      <c r="FJ16" s="189">
        <v>0</v>
      </c>
      <c r="FK16" s="189">
        <v>150.1</v>
      </c>
      <c r="FL16" s="189">
        <v>131</v>
      </c>
      <c r="FN16" s="132">
        <v>62.5</v>
      </c>
    </row>
    <row r="17" spans="1:170" ht="30" customHeight="1">
      <c r="A17" s="88">
        <f>COUNTIF($H$12:H17,H17)</f>
        <v>6</v>
      </c>
      <c r="B17" s="88" t="s">
        <v>2234</v>
      </c>
      <c r="C17" s="88" t="s">
        <v>1835</v>
      </c>
      <c r="D17" s="88"/>
      <c r="E17" s="88"/>
      <c r="F17" s="301" t="s">
        <v>2861</v>
      </c>
      <c r="G17" s="89" t="s">
        <v>2891</v>
      </c>
      <c r="H17" s="88">
        <v>1</v>
      </c>
      <c r="I17" s="88">
        <v>1</v>
      </c>
      <c r="J17" s="88">
        <v>1</v>
      </c>
      <c r="K17" s="90" t="s">
        <v>3070</v>
      </c>
      <c r="L17" s="90" t="s">
        <v>3070</v>
      </c>
      <c r="M17" s="214"/>
      <c r="N17" s="88" t="s">
        <v>606</v>
      </c>
      <c r="O17" s="216">
        <f t="shared" si="73"/>
        <v>4.74</v>
      </c>
      <c r="P17" s="88" t="str">
        <f t="shared" si="0"/>
        <v>B1_5</v>
      </c>
      <c r="Q17" s="88">
        <f t="shared" si="1"/>
        <v>270</v>
      </c>
      <c r="R17" s="88">
        <f t="shared" si="2"/>
        <v>150</v>
      </c>
      <c r="S17" s="231" t="s">
        <v>1511</v>
      </c>
      <c r="T17" s="88" t="s">
        <v>3091</v>
      </c>
      <c r="U17" s="88">
        <f>IF(RIGHT(T17,1)="K",(VLOOKUP(T17,ma_miengiam!$A$3:$B$80,2,0)*100)/2,VLOOKUP(T17,ma_miengiam!$A$3:$B$80,2,0)*100)</f>
        <v>20</v>
      </c>
      <c r="V17" s="88"/>
      <c r="W17" s="220">
        <f>IF(AND(T17="NTS",V17&gt;0),(Q17-(Q17*V17)/12)*VLOOKUP(T17,ma_miengiam!$A$3:$B$80,2,0)+(Q17-(Q17*(12-V17))/12),IF(AND(RIGHT(T17,1)="K",V17&gt;0),(VLOOKUP(T17,ma_miengiam!$A$3:$B$80,2,0)/2)*(Q17*V17)/12,IF(RIGHT(T17,1)="K",(VLOOKUP(T17,ma_miengiam!$A$3:$B$80,2,0)*Q17)/2,IF(V17&gt;0,VLOOKUP(T17,ma_miengiam!$A$3:$B$80,2,0)*Q17*V17/12,VLOOKUP(T17,ma_miengiam!$A$3:$B$80,2,0)*Q17))))</f>
        <v>54</v>
      </c>
      <c r="X17" s="220">
        <f>IF(T17="NTS",VLOOKUP(T17,ma_miengiam!$A$3:$B$80,2,0)*R17*V17,IF(AND(T17="NTS",V17=0),0,IF(AND(LEFT(T17,1)="K",V17=0),VLOOKUP(T17,ma_miengiam!$A$3:$B$80,2,0)*R17,IF(LEFT(T17,1)="K",(VLOOKUP(T17,ma_miengiam!$A$3:$B$80,2,0)*R17/12)*V17,IF(AND(LEFT(T17,1)="S",V17&gt;0),(R17/12)*V17,IF(AND(LEFT(T17,1)="S",V17=0),R17,IF(T17="DH",VLOOKUP(T17,ma_miengiam!$A$3:$B$80,2,0)*R17,0)))))))</f>
        <v>0</v>
      </c>
      <c r="Y17" s="220">
        <f t="shared" si="3"/>
        <v>216</v>
      </c>
      <c r="Z17" s="220">
        <f t="shared" si="20"/>
        <v>150</v>
      </c>
      <c r="AA17" s="220">
        <f t="shared" si="79"/>
        <v>270</v>
      </c>
      <c r="AB17" s="220">
        <f t="shared" si="79"/>
        <v>150</v>
      </c>
      <c r="AC17" s="220">
        <f t="shared" ref="AC17:AF18" si="85">W17</f>
        <v>54</v>
      </c>
      <c r="AD17" s="220">
        <f t="shared" si="85"/>
        <v>0</v>
      </c>
      <c r="AE17" s="220">
        <f t="shared" si="85"/>
        <v>216</v>
      </c>
      <c r="AF17" s="220">
        <f t="shared" si="85"/>
        <v>150</v>
      </c>
      <c r="AG17" s="220">
        <f t="shared" si="5"/>
        <v>193.65</v>
      </c>
      <c r="AH17" s="220">
        <f t="shared" si="6"/>
        <v>48.65</v>
      </c>
      <c r="AI17" s="220">
        <f t="shared" si="7"/>
        <v>145</v>
      </c>
      <c r="AJ17" s="220">
        <f t="shared" si="74"/>
        <v>0</v>
      </c>
      <c r="AK17" s="216">
        <f t="shared" si="8"/>
        <v>216</v>
      </c>
      <c r="AL17" s="220">
        <f t="shared" si="22"/>
        <v>132.5</v>
      </c>
      <c r="AM17" s="220">
        <f t="shared" si="23"/>
        <v>0</v>
      </c>
      <c r="AN17" s="221">
        <f t="shared" si="24"/>
        <v>132.5</v>
      </c>
      <c r="AO17" s="220">
        <f t="shared" si="25"/>
        <v>0</v>
      </c>
      <c r="AP17" s="220">
        <f t="shared" si="26"/>
        <v>0</v>
      </c>
      <c r="AQ17" s="220">
        <f t="shared" si="27"/>
        <v>40</v>
      </c>
      <c r="AR17" s="220">
        <f t="shared" si="28"/>
        <v>120</v>
      </c>
      <c r="AS17" s="220">
        <f t="shared" si="29"/>
        <v>0</v>
      </c>
      <c r="AT17" s="216">
        <f t="shared" si="30"/>
        <v>292.5</v>
      </c>
      <c r="AU17" s="222">
        <f t="shared" si="31"/>
        <v>-83.5</v>
      </c>
      <c r="AV17" s="220"/>
      <c r="AW17" s="220">
        <f t="shared" si="32"/>
        <v>-83.5</v>
      </c>
      <c r="AX17" s="216">
        <f t="shared" si="9"/>
        <v>-83.5</v>
      </c>
      <c r="AY17" s="220">
        <f t="shared" si="33"/>
        <v>0</v>
      </c>
      <c r="AZ17" s="220">
        <f t="shared" si="34"/>
        <v>0</v>
      </c>
      <c r="BA17" s="220">
        <f t="shared" si="35"/>
        <v>0</v>
      </c>
      <c r="BB17" s="220">
        <f t="shared" si="36"/>
        <v>76.5</v>
      </c>
      <c r="BC17" s="220">
        <f t="shared" si="37"/>
        <v>0</v>
      </c>
      <c r="BD17" s="216">
        <f t="shared" si="10"/>
        <v>76.5</v>
      </c>
      <c r="BE17" s="220">
        <f t="shared" si="38"/>
        <v>0</v>
      </c>
      <c r="BF17" s="220">
        <f t="shared" si="39"/>
        <v>0</v>
      </c>
      <c r="BG17" s="220">
        <f t="shared" si="40"/>
        <v>-40</v>
      </c>
      <c r="BH17" s="220">
        <f t="shared" si="41"/>
        <v>-43.5</v>
      </c>
      <c r="BI17" s="220">
        <f t="shared" si="42"/>
        <v>0</v>
      </c>
      <c r="BJ17" s="220" t="s">
        <v>1963</v>
      </c>
      <c r="BK17" s="220"/>
      <c r="BL17" s="223">
        <f t="shared" si="11"/>
        <v>0</v>
      </c>
      <c r="BM17" s="220">
        <v>4.74</v>
      </c>
      <c r="BN17" s="220"/>
      <c r="BO17" s="220">
        <f t="shared" si="43"/>
        <v>4.74</v>
      </c>
      <c r="BP17" s="220">
        <f>IF(AND(BL17&gt;0,BL17&lt;tiet!$D$1),BL17,IF(BL17&lt;=0,0,IF(BL17&gt;tiet!$C$1,tiet!$C$1)))</f>
        <v>0</v>
      </c>
      <c r="BQ17" s="87">
        <f t="shared" si="75"/>
        <v>70000</v>
      </c>
      <c r="BR17" s="224">
        <f t="shared" si="76"/>
        <v>0</v>
      </c>
      <c r="BS17" s="220">
        <f t="shared" si="12"/>
        <v>0</v>
      </c>
      <c r="BT17" s="224">
        <f>VLOOKUP(N17,ma_dinhmuc!$A$1:$J$31,10,0)</f>
        <v>55000</v>
      </c>
      <c r="BU17" s="224">
        <f>ROUND(IF(BS17&gt;0,VLOOKUP(N17,ma_dinhmuc!$A$1:$J$31,10,0)*BS17,0),0)</f>
        <v>0</v>
      </c>
      <c r="BV17" s="224">
        <f t="shared" si="77"/>
        <v>0</v>
      </c>
      <c r="BW17" s="224"/>
      <c r="BX17" s="224">
        <v>0</v>
      </c>
      <c r="BY17" s="224"/>
      <c r="BZ17" s="224"/>
      <c r="CA17" s="224"/>
      <c r="CB17" s="224"/>
      <c r="CC17" s="225">
        <f t="shared" si="44"/>
        <v>0</v>
      </c>
      <c r="CD17" s="224">
        <f t="shared" si="45"/>
        <v>0</v>
      </c>
      <c r="CE17" s="224"/>
      <c r="CF17" s="226"/>
      <c r="CG17" s="87"/>
      <c r="CH17" s="87">
        <f t="shared" si="13"/>
        <v>6</v>
      </c>
      <c r="CI17" s="227" t="str">
        <f t="shared" si="82"/>
        <v>Nguyễn Mai</v>
      </c>
      <c r="CJ17" s="227" t="str">
        <f t="shared" si="83"/>
        <v>Thơm</v>
      </c>
      <c r="CK17" s="87">
        <f t="shared" ref="CK17:CK23" si="86">H17</f>
        <v>1</v>
      </c>
      <c r="CL17" s="227" t="str">
        <f t="shared" ref="CL17:CL40" si="87">L17</f>
        <v>Canh tác học</v>
      </c>
      <c r="CM17" s="87" t="str">
        <f t="shared" si="46"/>
        <v>CS3</v>
      </c>
      <c r="CN17" s="87">
        <f t="shared" si="81"/>
        <v>270</v>
      </c>
      <c r="CO17" s="87">
        <f t="shared" si="81"/>
        <v>150</v>
      </c>
      <c r="CP17" s="229">
        <f t="shared" si="47"/>
        <v>0</v>
      </c>
      <c r="CQ17" s="229">
        <f t="shared" si="48"/>
        <v>13.9</v>
      </c>
      <c r="CR17" s="229">
        <f t="shared" si="49"/>
        <v>5.6</v>
      </c>
      <c r="CS17" s="229">
        <f t="shared" si="50"/>
        <v>0</v>
      </c>
      <c r="CT17" s="229">
        <f t="shared" si="51"/>
        <v>0</v>
      </c>
      <c r="CU17" s="229">
        <f t="shared" si="52"/>
        <v>70</v>
      </c>
      <c r="CV17" s="229">
        <f t="shared" si="53"/>
        <v>0</v>
      </c>
      <c r="CW17" s="229">
        <f t="shared" si="54"/>
        <v>43</v>
      </c>
      <c r="CX17" s="229">
        <f t="shared" si="55"/>
        <v>0</v>
      </c>
      <c r="CY17" s="229">
        <f t="shared" si="56"/>
        <v>0</v>
      </c>
      <c r="CZ17" s="229">
        <f t="shared" si="57"/>
        <v>0</v>
      </c>
      <c r="DA17" s="229">
        <f t="shared" si="58"/>
        <v>40</v>
      </c>
      <c r="DB17" s="228">
        <f t="shared" si="59"/>
        <v>172.5</v>
      </c>
      <c r="DC17" s="229"/>
      <c r="DD17" s="229"/>
      <c r="DE17" s="229"/>
      <c r="DF17" s="229"/>
      <c r="DG17" s="229"/>
      <c r="DH17" s="229"/>
      <c r="DI17" s="229"/>
      <c r="DJ17" s="229"/>
      <c r="DK17" s="229"/>
      <c r="DL17" s="229"/>
      <c r="DM17" s="229"/>
      <c r="DN17" s="229"/>
      <c r="DO17" s="228">
        <f t="shared" si="60"/>
        <v>0</v>
      </c>
      <c r="DP17" s="228">
        <f t="shared" si="61"/>
        <v>172.5</v>
      </c>
      <c r="DQ17" s="229">
        <f t="shared" si="62"/>
        <v>0</v>
      </c>
      <c r="DR17" s="229">
        <f t="shared" si="63"/>
        <v>0</v>
      </c>
      <c r="DS17" s="229">
        <f t="shared" si="64"/>
        <v>0</v>
      </c>
      <c r="DT17" s="229">
        <f t="shared" si="65"/>
        <v>0</v>
      </c>
      <c r="DU17" s="229">
        <f t="shared" si="66"/>
        <v>0</v>
      </c>
      <c r="DV17" s="229">
        <f t="shared" si="67"/>
        <v>120</v>
      </c>
      <c r="DW17" s="229">
        <f t="shared" si="68"/>
        <v>0</v>
      </c>
      <c r="DX17" s="228">
        <f t="shared" si="69"/>
        <v>120</v>
      </c>
      <c r="DY17" s="229"/>
      <c r="DZ17" s="229"/>
      <c r="EA17" s="229"/>
      <c r="EB17" s="229"/>
      <c r="EC17" s="229"/>
      <c r="ED17" s="229"/>
      <c r="EE17" s="229"/>
      <c r="EF17" s="228">
        <f t="shared" si="17"/>
        <v>0</v>
      </c>
      <c r="EG17" s="228">
        <f t="shared" si="70"/>
        <v>120</v>
      </c>
      <c r="EH17" s="229">
        <f t="shared" si="18"/>
        <v>145</v>
      </c>
      <c r="EI17" s="229">
        <v>48.65</v>
      </c>
      <c r="EJ17" s="228">
        <f t="shared" si="84"/>
        <v>193.65</v>
      </c>
      <c r="EK17" s="229"/>
      <c r="EL17" s="229"/>
      <c r="EM17" s="228">
        <f t="shared" si="78"/>
        <v>0</v>
      </c>
      <c r="EN17" s="229">
        <f t="shared" si="71"/>
        <v>145</v>
      </c>
      <c r="EO17" s="229">
        <f t="shared" si="72"/>
        <v>48.65</v>
      </c>
      <c r="EP17" s="228">
        <f t="shared" ref="EP17:EP51" si="88">EM17+EJ17</f>
        <v>193.65</v>
      </c>
      <c r="EQ17" s="173">
        <f t="shared" si="19"/>
        <v>0</v>
      </c>
      <c r="ER17" s="189">
        <v>0</v>
      </c>
      <c r="ES17" s="189">
        <v>13.9</v>
      </c>
      <c r="ET17" s="189">
        <v>5.6</v>
      </c>
      <c r="EU17" s="189">
        <v>0</v>
      </c>
      <c r="EV17" s="189">
        <v>0</v>
      </c>
      <c r="EW17" s="189">
        <v>70</v>
      </c>
      <c r="EX17" s="189">
        <v>0</v>
      </c>
      <c r="EY17" s="189">
        <v>43</v>
      </c>
      <c r="EZ17" s="189">
        <v>0</v>
      </c>
      <c r="FA17" s="189">
        <v>0</v>
      </c>
      <c r="FB17" s="189">
        <v>0</v>
      </c>
      <c r="FC17" s="189">
        <v>40</v>
      </c>
      <c r="FD17" s="189">
        <v>0</v>
      </c>
      <c r="FE17" s="189">
        <v>0</v>
      </c>
      <c r="FF17" s="189">
        <v>0</v>
      </c>
      <c r="FG17" s="189">
        <v>0</v>
      </c>
      <c r="FH17" s="189">
        <v>120</v>
      </c>
      <c r="FI17" s="189">
        <v>0</v>
      </c>
      <c r="FJ17" s="189">
        <v>0</v>
      </c>
      <c r="FK17" s="189">
        <v>292.5</v>
      </c>
      <c r="FL17" s="189">
        <v>264</v>
      </c>
      <c r="FN17" s="132">
        <v>145</v>
      </c>
    </row>
    <row r="18" spans="1:170" ht="26.25" customHeight="1">
      <c r="A18" s="88">
        <f>COUNTIF($H$12:H18,H18)</f>
        <v>7</v>
      </c>
      <c r="B18" s="88" t="s">
        <v>2235</v>
      </c>
      <c r="C18" s="88" t="s">
        <v>2368</v>
      </c>
      <c r="D18" s="88"/>
      <c r="E18" s="88"/>
      <c r="F18" s="301" t="s">
        <v>2892</v>
      </c>
      <c r="G18" s="89" t="s">
        <v>2893</v>
      </c>
      <c r="H18" s="88">
        <v>1</v>
      </c>
      <c r="I18" s="88">
        <v>1</v>
      </c>
      <c r="J18" s="88">
        <v>1</v>
      </c>
      <c r="K18" s="90" t="s">
        <v>3070</v>
      </c>
      <c r="L18" s="90" t="s">
        <v>3070</v>
      </c>
      <c r="M18" s="214"/>
      <c r="N18" s="88" t="s">
        <v>1804</v>
      </c>
      <c r="O18" s="216">
        <f t="shared" si="73"/>
        <v>3.33</v>
      </c>
      <c r="P18" s="88" t="str">
        <f t="shared" si="0"/>
        <v>B1_4</v>
      </c>
      <c r="Q18" s="88">
        <f t="shared" si="1"/>
        <v>270</v>
      </c>
      <c r="R18" s="88">
        <f t="shared" si="2"/>
        <v>120</v>
      </c>
      <c r="S18" s="233" t="s">
        <v>2011</v>
      </c>
      <c r="T18" s="88" t="s">
        <v>2961</v>
      </c>
      <c r="U18" s="88">
        <f>IF(RIGHT(T18,1)="K",(VLOOKUP(T18,ma_miengiam!$A$3:$B$80,2,0)*100)/2,VLOOKUP(T18,ma_miengiam!$A$3:$B$80,2,0)*100)</f>
        <v>100</v>
      </c>
      <c r="V18" s="88"/>
      <c r="W18" s="220">
        <f>IF(AND(T18="NTS",V18&gt;0),(Q18-(Q18*V18)/12)*VLOOKUP(T18,ma_miengiam!$A$3:$B$80,2,0)+(Q18-(Q18*(12-V18))/12),IF(AND(RIGHT(T18,1)="K",V18&gt;0),(VLOOKUP(T18,ma_miengiam!$A$3:$B$80,2,0)/2)*(Q18*V18)/12,IF(RIGHT(T18,1)="K",(VLOOKUP(T18,ma_miengiam!$A$3:$B$80,2,0)*Q18)/2,IF(V18&gt;0,VLOOKUP(T18,ma_miengiam!$A$3:$B$80,2,0)*Q18*V18/12,VLOOKUP(T18,ma_miengiam!$A$3:$B$80,2,0)*Q18))))</f>
        <v>270</v>
      </c>
      <c r="X18" s="220">
        <f>IF(T18="NTS",VLOOKUP(T18,ma_miengiam!$A$3:$B$80,2,0)*R18*V18,IF(AND(T18="NTS",V18=0),0,IF(AND(LEFT(T18,1)="K",V18=0),VLOOKUP(T18,ma_miengiam!$A$3:$B$80,2,0)*R18,IF(LEFT(T18,1)="K",(VLOOKUP(T18,ma_miengiam!$A$3:$B$80,2,0)*R18/12)*V18,IF(AND(LEFT(T18,1)="S",V18&gt;0),(R18/12)*V18,IF(AND(LEFT(T18,1)="S",V18=0),R18,IF(T18="DH",VLOOKUP(T18,ma_miengiam!$A$3:$B$80,2,0)*R18,0)))))))</f>
        <v>120</v>
      </c>
      <c r="Y18" s="220">
        <f t="shared" si="3"/>
        <v>0</v>
      </c>
      <c r="Z18" s="220">
        <f t="shared" si="20"/>
        <v>0</v>
      </c>
      <c r="AA18" s="220">
        <f t="shared" si="79"/>
        <v>270</v>
      </c>
      <c r="AB18" s="220">
        <f t="shared" si="79"/>
        <v>120</v>
      </c>
      <c r="AC18" s="220">
        <f t="shared" si="85"/>
        <v>270</v>
      </c>
      <c r="AD18" s="220">
        <f t="shared" si="85"/>
        <v>120</v>
      </c>
      <c r="AE18" s="220">
        <f t="shared" si="85"/>
        <v>0</v>
      </c>
      <c r="AF18" s="220">
        <f t="shared" si="85"/>
        <v>0</v>
      </c>
      <c r="AG18" s="220">
        <f t="shared" si="5"/>
        <v>174.09</v>
      </c>
      <c r="AH18" s="220">
        <f t="shared" si="6"/>
        <v>144.09</v>
      </c>
      <c r="AI18" s="220">
        <f t="shared" si="7"/>
        <v>30</v>
      </c>
      <c r="AJ18" s="220">
        <f t="shared" si="74"/>
        <v>0</v>
      </c>
      <c r="AK18" s="216">
        <f t="shared" si="8"/>
        <v>0</v>
      </c>
      <c r="AL18" s="220">
        <f t="shared" si="22"/>
        <v>0</v>
      </c>
      <c r="AM18" s="220">
        <f t="shared" si="23"/>
        <v>0</v>
      </c>
      <c r="AN18" s="221">
        <f t="shared" si="24"/>
        <v>0</v>
      </c>
      <c r="AO18" s="220">
        <f t="shared" si="25"/>
        <v>0</v>
      </c>
      <c r="AP18" s="220">
        <f t="shared" si="26"/>
        <v>0</v>
      </c>
      <c r="AQ18" s="220">
        <f t="shared" si="27"/>
        <v>0</v>
      </c>
      <c r="AR18" s="220">
        <f t="shared" si="28"/>
        <v>0</v>
      </c>
      <c r="AS18" s="220">
        <f t="shared" si="29"/>
        <v>0</v>
      </c>
      <c r="AT18" s="216">
        <f t="shared" si="30"/>
        <v>0</v>
      </c>
      <c r="AU18" s="222">
        <f t="shared" si="31"/>
        <v>0</v>
      </c>
      <c r="AV18" s="220"/>
      <c r="AW18" s="220">
        <f t="shared" si="32"/>
        <v>0</v>
      </c>
      <c r="AX18" s="216">
        <f t="shared" si="9"/>
        <v>0</v>
      </c>
      <c r="AY18" s="220">
        <f t="shared" si="33"/>
        <v>0</v>
      </c>
      <c r="AZ18" s="220">
        <f t="shared" si="34"/>
        <v>0</v>
      </c>
      <c r="BA18" s="220">
        <f t="shared" si="35"/>
        <v>0</v>
      </c>
      <c r="BB18" s="220">
        <f t="shared" si="36"/>
        <v>0</v>
      </c>
      <c r="BC18" s="220">
        <f t="shared" si="37"/>
        <v>0</v>
      </c>
      <c r="BD18" s="216">
        <f t="shared" si="10"/>
        <v>0</v>
      </c>
      <c r="BE18" s="220">
        <f t="shared" si="38"/>
        <v>0</v>
      </c>
      <c r="BF18" s="220">
        <f t="shared" si="39"/>
        <v>0</v>
      </c>
      <c r="BG18" s="220">
        <f t="shared" si="40"/>
        <v>0</v>
      </c>
      <c r="BH18" s="220">
        <f t="shared" si="41"/>
        <v>0</v>
      </c>
      <c r="BI18" s="220">
        <f t="shared" si="42"/>
        <v>0</v>
      </c>
      <c r="BJ18" s="220" t="s">
        <v>1963</v>
      </c>
      <c r="BK18" s="220"/>
      <c r="BL18" s="223">
        <f t="shared" si="11"/>
        <v>0</v>
      </c>
      <c r="BM18" s="220">
        <v>3.33</v>
      </c>
      <c r="BN18" s="220"/>
      <c r="BO18" s="220">
        <f t="shared" si="43"/>
        <v>3.33</v>
      </c>
      <c r="BP18" s="220">
        <f>IF(AND(BL18&gt;0,BL18&lt;tiet!$D$1),BL18,IF(BL18&lt;=0,0,IF(BL18&gt;tiet!$C$1,tiet!$C$1)))</f>
        <v>0</v>
      </c>
      <c r="BQ18" s="87">
        <f t="shared" si="75"/>
        <v>65000</v>
      </c>
      <c r="BR18" s="224">
        <f t="shared" si="76"/>
        <v>0</v>
      </c>
      <c r="BS18" s="220">
        <f t="shared" si="12"/>
        <v>0</v>
      </c>
      <c r="BT18" s="224">
        <f>VLOOKUP(N18,ma_dinhmuc!$A$1:$J$31,10,0)</f>
        <v>51000</v>
      </c>
      <c r="BU18" s="224">
        <f>ROUND(IF(BS18&gt;0,VLOOKUP(N18,ma_dinhmuc!$A$1:$J$31,10,0)*BS18,0),0)</f>
        <v>0</v>
      </c>
      <c r="BV18" s="224">
        <f t="shared" si="77"/>
        <v>0</v>
      </c>
      <c r="BW18" s="224"/>
      <c r="BX18" s="224">
        <v>0</v>
      </c>
      <c r="BY18" s="224"/>
      <c r="BZ18" s="224"/>
      <c r="CA18" s="224"/>
      <c r="CB18" s="224"/>
      <c r="CC18" s="225">
        <f t="shared" si="44"/>
        <v>0</v>
      </c>
      <c r="CD18" s="224">
        <f t="shared" si="45"/>
        <v>0</v>
      </c>
      <c r="CE18" s="224"/>
      <c r="CF18" s="226"/>
      <c r="CG18" s="87"/>
      <c r="CH18" s="87">
        <f t="shared" si="13"/>
        <v>7</v>
      </c>
      <c r="CI18" s="227" t="str">
        <f t="shared" si="82"/>
        <v>Vũ Duy</v>
      </c>
      <c r="CJ18" s="227" t="str">
        <f t="shared" si="83"/>
        <v>Hoàng</v>
      </c>
      <c r="CK18" s="87">
        <f t="shared" si="86"/>
        <v>1</v>
      </c>
      <c r="CL18" s="227" t="str">
        <f t="shared" si="87"/>
        <v>Canh tác học</v>
      </c>
      <c r="CM18" s="87" t="str">
        <f t="shared" si="46"/>
        <v>CS2</v>
      </c>
      <c r="CN18" s="87">
        <f>Q18</f>
        <v>270</v>
      </c>
      <c r="CO18" s="87">
        <f>R18</f>
        <v>120</v>
      </c>
      <c r="CP18" s="229">
        <f t="shared" si="47"/>
        <v>0</v>
      </c>
      <c r="CQ18" s="229">
        <f t="shared" si="48"/>
        <v>0</v>
      </c>
      <c r="CR18" s="229">
        <f t="shared" si="49"/>
        <v>0</v>
      </c>
      <c r="CS18" s="229">
        <f t="shared" si="50"/>
        <v>0</v>
      </c>
      <c r="CT18" s="229">
        <f t="shared" si="51"/>
        <v>0</v>
      </c>
      <c r="CU18" s="229">
        <f t="shared" si="52"/>
        <v>0</v>
      </c>
      <c r="CV18" s="229">
        <f t="shared" si="53"/>
        <v>0</v>
      </c>
      <c r="CW18" s="229">
        <f t="shared" si="54"/>
        <v>0</v>
      </c>
      <c r="CX18" s="229">
        <f t="shared" si="55"/>
        <v>0</v>
      </c>
      <c r="CY18" s="229">
        <f t="shared" si="56"/>
        <v>0</v>
      </c>
      <c r="CZ18" s="229">
        <f t="shared" si="57"/>
        <v>0</v>
      </c>
      <c r="DA18" s="229">
        <f t="shared" si="58"/>
        <v>0</v>
      </c>
      <c r="DB18" s="228">
        <f t="shared" si="59"/>
        <v>0</v>
      </c>
      <c r="DC18" s="229"/>
      <c r="DD18" s="229"/>
      <c r="DE18" s="229"/>
      <c r="DF18" s="229"/>
      <c r="DG18" s="229"/>
      <c r="DH18" s="229"/>
      <c r="DI18" s="229"/>
      <c r="DJ18" s="229"/>
      <c r="DK18" s="229"/>
      <c r="DL18" s="229"/>
      <c r="DM18" s="229"/>
      <c r="DN18" s="229"/>
      <c r="DO18" s="228">
        <f t="shared" si="60"/>
        <v>0</v>
      </c>
      <c r="DP18" s="228">
        <f t="shared" si="61"/>
        <v>0</v>
      </c>
      <c r="DQ18" s="229">
        <f t="shared" si="62"/>
        <v>0</v>
      </c>
      <c r="DR18" s="229">
        <f t="shared" si="63"/>
        <v>0</v>
      </c>
      <c r="DS18" s="229">
        <f t="shared" si="64"/>
        <v>0</v>
      </c>
      <c r="DT18" s="229">
        <f t="shared" si="65"/>
        <v>0</v>
      </c>
      <c r="DU18" s="229">
        <f t="shared" si="66"/>
        <v>0</v>
      </c>
      <c r="DV18" s="229">
        <f t="shared" si="67"/>
        <v>0</v>
      </c>
      <c r="DW18" s="229">
        <f t="shared" si="68"/>
        <v>0</v>
      </c>
      <c r="DX18" s="228">
        <f t="shared" si="69"/>
        <v>0</v>
      </c>
      <c r="DY18" s="229"/>
      <c r="DZ18" s="229"/>
      <c r="EA18" s="229"/>
      <c r="EB18" s="229"/>
      <c r="EC18" s="229"/>
      <c r="ED18" s="229"/>
      <c r="EE18" s="229"/>
      <c r="EF18" s="228">
        <f t="shared" si="17"/>
        <v>0</v>
      </c>
      <c r="EG18" s="228">
        <f t="shared" si="70"/>
        <v>0</v>
      </c>
      <c r="EH18" s="229">
        <f t="shared" si="18"/>
        <v>30</v>
      </c>
      <c r="EI18" s="229">
        <v>144.09</v>
      </c>
      <c r="EJ18" s="228">
        <f t="shared" si="84"/>
        <v>174.09</v>
      </c>
      <c r="EK18" s="229"/>
      <c r="EL18" s="229"/>
      <c r="EM18" s="228">
        <f t="shared" si="78"/>
        <v>0</v>
      </c>
      <c r="EN18" s="229">
        <f t="shared" si="71"/>
        <v>30</v>
      </c>
      <c r="EO18" s="229">
        <f t="shared" si="72"/>
        <v>144.09</v>
      </c>
      <c r="EP18" s="228">
        <f t="shared" si="88"/>
        <v>174.09</v>
      </c>
      <c r="EQ18" s="173">
        <f t="shared" si="19"/>
        <v>30</v>
      </c>
      <c r="ER18" s="189">
        <v>0</v>
      </c>
      <c r="ES18" s="189">
        <v>0</v>
      </c>
      <c r="ET18" s="189">
        <v>0</v>
      </c>
      <c r="EU18" s="189">
        <v>0</v>
      </c>
      <c r="EV18" s="189">
        <v>0</v>
      </c>
      <c r="EW18" s="189">
        <v>0</v>
      </c>
      <c r="EX18" s="189">
        <v>0</v>
      </c>
      <c r="EY18" s="189">
        <v>0</v>
      </c>
      <c r="EZ18" s="189">
        <v>0</v>
      </c>
      <c r="FA18" s="189">
        <v>0</v>
      </c>
      <c r="FB18" s="189">
        <v>0</v>
      </c>
      <c r="FC18" s="189">
        <v>0</v>
      </c>
      <c r="FD18" s="189">
        <v>0</v>
      </c>
      <c r="FE18" s="189">
        <v>0</v>
      </c>
      <c r="FF18" s="189">
        <v>0</v>
      </c>
      <c r="FG18" s="189">
        <v>0</v>
      </c>
      <c r="FH18" s="189">
        <v>0</v>
      </c>
      <c r="FI18" s="189">
        <v>0</v>
      </c>
      <c r="FJ18" s="189">
        <v>0</v>
      </c>
      <c r="FK18" s="189">
        <v>0</v>
      </c>
      <c r="FL18" s="189">
        <v>0</v>
      </c>
      <c r="FN18" s="132">
        <v>30</v>
      </c>
    </row>
    <row r="19" spans="1:170" ht="30" customHeight="1">
      <c r="A19" s="88">
        <f>COUNTIF($H$12:H19,H19)</f>
        <v>8</v>
      </c>
      <c r="B19" s="88" t="s">
        <v>2236</v>
      </c>
      <c r="C19" s="88" t="s">
        <v>2369</v>
      </c>
      <c r="D19" s="88"/>
      <c r="E19" s="88"/>
      <c r="F19" s="302" t="s">
        <v>1139</v>
      </c>
      <c r="G19" s="89" t="s">
        <v>1888</v>
      </c>
      <c r="H19" s="88">
        <v>1</v>
      </c>
      <c r="I19" s="88">
        <v>1</v>
      </c>
      <c r="J19" s="88">
        <v>1</v>
      </c>
      <c r="K19" s="90" t="s">
        <v>3070</v>
      </c>
      <c r="L19" s="90" t="s">
        <v>3070</v>
      </c>
      <c r="M19" s="214"/>
      <c r="N19" s="88" t="s">
        <v>1804</v>
      </c>
      <c r="O19" s="216">
        <f>BO19</f>
        <v>3</v>
      </c>
      <c r="P19" s="88" t="str">
        <f t="shared" si="0"/>
        <v>B1_3</v>
      </c>
      <c r="Q19" s="88">
        <f t="shared" si="1"/>
        <v>270</v>
      </c>
      <c r="R19" s="88">
        <f t="shared" si="2"/>
        <v>100</v>
      </c>
      <c r="S19" s="230" t="s">
        <v>2872</v>
      </c>
      <c r="T19" s="214" t="s">
        <v>3091</v>
      </c>
      <c r="U19" s="88">
        <f>IF(RIGHT(T19,1)="K",(VLOOKUP(T19,ma_miengiam!$A$3:$B$80,2,0)*100)/2,VLOOKUP(T19,ma_miengiam!$A$3:$B$80,2,0)*100)</f>
        <v>20</v>
      </c>
      <c r="V19" s="88"/>
      <c r="W19" s="220">
        <f>IF(AND(T19="NTS",V19&gt;0),(Q19-(Q19*V19)/12)*VLOOKUP(T19,ma_miengiam!$A$3:$B$80,2,0)+(Q19-(Q19*(12-V19))/12),IF(AND(RIGHT(T19,1)="K",V19&gt;0),(VLOOKUP(T19,ma_miengiam!$A$3:$B$80,2,0)/2)*(Q19*V19)/12,IF(RIGHT(T19,1)="K",(VLOOKUP(T19,ma_miengiam!$A$3:$B$80,2,0)*Q19)/2,IF(V19&gt;0,VLOOKUP(T19,ma_miengiam!$A$3:$B$80,2,0)*Q19*V19/12,VLOOKUP(T19,ma_miengiam!$A$3:$B$80,2,0)*Q19))))</f>
        <v>54</v>
      </c>
      <c r="X19" s="220">
        <f>IF(T19="NTS",VLOOKUP(T19,ma_miengiam!$A$3:$B$80,2,0)*R19*V19,IF(AND(T19="NTS",V19=0),0,IF(AND(LEFT(T19,1)="K",V19=0),VLOOKUP(T19,ma_miengiam!$A$3:$B$80,2,0)*R19,IF(LEFT(T19,1)="K",(VLOOKUP(T19,ma_miengiam!$A$3:$B$80,2,0)*R19/12)*V19,IF(AND(LEFT(T19,1)="S",V19&gt;0),(R19/12)*V19,IF(AND(LEFT(T19,1)="S",V19=0),R19,IF(T19="DH",VLOOKUP(T19,ma_miengiam!$A$3:$B$80,2,0)*R19,0)))))))</f>
        <v>0</v>
      </c>
      <c r="Y19" s="220">
        <f t="shared" si="3"/>
        <v>216</v>
      </c>
      <c r="Z19" s="220">
        <f>IF(AND(T19="SĐH",V19&gt;0),(R19/12)*V19-X19,IF(AND(T19="DH",V19&gt;0),(R19*V19/12),IF(AND(T19&lt;&gt;"NTS",V19&gt;0),(R19*V19/12)-X19,IF(AND(T19="NTS",V19&gt;0),R19-X19,R19-X19))))</f>
        <v>100</v>
      </c>
      <c r="AA19" s="220">
        <f t="shared" ref="AA19:AB21" si="89">Q19</f>
        <v>270</v>
      </c>
      <c r="AB19" s="220">
        <f t="shared" si="89"/>
        <v>100</v>
      </c>
      <c r="AC19" s="220">
        <f>W19</f>
        <v>54</v>
      </c>
      <c r="AD19" s="220">
        <f>X19</f>
        <v>0</v>
      </c>
      <c r="AE19" s="220">
        <f>Y19</f>
        <v>216</v>
      </c>
      <c r="AF19" s="220">
        <f>Z19</f>
        <v>100</v>
      </c>
      <c r="AG19" s="220">
        <f t="shared" si="5"/>
        <v>166.47</v>
      </c>
      <c r="AH19" s="220">
        <f t="shared" si="6"/>
        <v>51.47</v>
      </c>
      <c r="AI19" s="220">
        <f t="shared" si="7"/>
        <v>115</v>
      </c>
      <c r="AJ19" s="220">
        <f>IF(AG19-Z19&gt;0,0,AG19-Z19)</f>
        <v>0</v>
      </c>
      <c r="AK19" s="216">
        <f t="shared" si="8"/>
        <v>216</v>
      </c>
      <c r="AL19" s="220">
        <f t="shared" si="22"/>
        <v>196.1</v>
      </c>
      <c r="AM19" s="220">
        <f t="shared" si="23"/>
        <v>0</v>
      </c>
      <c r="AN19" s="221">
        <f t="shared" si="24"/>
        <v>196.1</v>
      </c>
      <c r="AO19" s="220">
        <f t="shared" si="25"/>
        <v>0</v>
      </c>
      <c r="AP19" s="220">
        <f t="shared" si="26"/>
        <v>0</v>
      </c>
      <c r="AQ19" s="220">
        <f t="shared" si="27"/>
        <v>60</v>
      </c>
      <c r="AR19" s="220">
        <f t="shared" si="28"/>
        <v>0</v>
      </c>
      <c r="AS19" s="220">
        <f t="shared" si="29"/>
        <v>0</v>
      </c>
      <c r="AT19" s="216">
        <f t="shared" si="30"/>
        <v>256.10000000000002</v>
      </c>
      <c r="AU19" s="220">
        <f>AN19-AK19</f>
        <v>-19.900000000000006</v>
      </c>
      <c r="AV19" s="220"/>
      <c r="AW19" s="220">
        <f>IF(AU19&gt;0,AU19,AV19+AU19)</f>
        <v>-19.900000000000006</v>
      </c>
      <c r="AX19" s="216">
        <f t="shared" si="9"/>
        <v>-19.900000000000006</v>
      </c>
      <c r="AY19" s="220">
        <f>IF(AN19&gt;=AK19,AO19,IF(AN19+AO19-AK19&gt;=0,AN19+AO19-AK19,0))</f>
        <v>0</v>
      </c>
      <c r="AZ19" s="220">
        <f>IF(OR(AN19&gt;=AK19,AN19+AO19&gt;=AK19),AP19,IF(AN19+AO19+AP19&gt;AK19,AN19+AO19+AP19-AK19,0))</f>
        <v>0</v>
      </c>
      <c r="BA19" s="220">
        <f>IF(OR(AN19&gt;=AK19,AN19+AO19&gt;=AK19,AN19+AO19+AP19&gt;=AK19),AQ19,IF(AN19+AO19+AP19+AQ19&gt;=AK19,AN19+AO19+AP19+AQ19-AK19,0))</f>
        <v>40.100000000000023</v>
      </c>
      <c r="BB19" s="220">
        <f>IF(OR(AN19&gt;=AK19,AN19+AO19&gt;=AK19,AN19+AO19+AP19&gt;=AK19,AN19+AO19+AP19+AQ19&gt;=AK19),AR19,IF(AN19+AO19+AP19+AQ19+AR19&gt;=AK19,AN19+AO19+AP19+AQ19+AR19-AK19,0))</f>
        <v>0</v>
      </c>
      <c r="BC19" s="220">
        <f>IF(OR(AN19&gt;=AK19,AN19+AO19&gt;=AK19,AN19+AO19+AP19&gt;=AK19,AN19+AO19+AP19+AQ19&gt;=AK19,AN19+AO19+AP19+AQ19+AR19&gt;=AK19),AS19,IF(AN19+AO19+AP19+AQ19+AR19+AS19&gt;=AK19,AN19+AO19+AP19+AQ19+AR19+AS19-AK19,0))</f>
        <v>0</v>
      </c>
      <c r="BD19" s="216">
        <f t="shared" si="10"/>
        <v>40.100000000000023</v>
      </c>
      <c r="BE19" s="220">
        <f>AY19-AO19</f>
        <v>0</v>
      </c>
      <c r="BF19" s="220">
        <f>AZ19-AP19</f>
        <v>0</v>
      </c>
      <c r="BG19" s="220">
        <f>BA19-AQ19</f>
        <v>-19.899999999999977</v>
      </c>
      <c r="BH19" s="220">
        <f>BB19-AR19</f>
        <v>0</v>
      </c>
      <c r="BI19" s="220">
        <f>BC19-AS19</f>
        <v>0</v>
      </c>
      <c r="BJ19" s="220" t="s">
        <v>1963</v>
      </c>
      <c r="BK19" s="220"/>
      <c r="BL19" s="223">
        <f t="shared" si="11"/>
        <v>0</v>
      </c>
      <c r="BM19" s="220">
        <v>3</v>
      </c>
      <c r="BN19" s="220"/>
      <c r="BO19" s="220">
        <f>ROUND(BM19+(BM19*BN19),2)</f>
        <v>3</v>
      </c>
      <c r="BP19" s="220">
        <f>IF(AND(BL19&gt;0,BL19&lt;tiet!$D$1),BL19,IF(BL19&lt;=0,0,IF(BL19&gt;tiet!$C$1,tiet!$C$1)))</f>
        <v>0</v>
      </c>
      <c r="BQ19" s="87">
        <f>VLOOKUP(P19,ma_dinhmuc_moi,4,0)</f>
        <v>60000</v>
      </c>
      <c r="BR19" s="224">
        <f>ROUND(BQ19*BP19,0)</f>
        <v>0</v>
      </c>
      <c r="BS19" s="220">
        <f t="shared" si="12"/>
        <v>0</v>
      </c>
      <c r="BT19" s="224">
        <f>VLOOKUP(N19,ma_dinhmuc!$A$1:$J$31,10,0)</f>
        <v>51000</v>
      </c>
      <c r="BU19" s="224">
        <f>ROUND(IF(BS19&gt;0,VLOOKUP(N19,ma_dinhmuc!$A$1:$J$31,10,0)*BS19,0),0)</f>
        <v>0</v>
      </c>
      <c r="BV19" s="224">
        <f>ROUND(BU19+BR19,0)</f>
        <v>0</v>
      </c>
      <c r="BW19" s="224"/>
      <c r="BX19" s="224">
        <v>0</v>
      </c>
      <c r="BY19" s="224"/>
      <c r="BZ19" s="224"/>
      <c r="CA19" s="224"/>
      <c r="CB19" s="224"/>
      <c r="CC19" s="225">
        <f>ROUND(IF(BV19+BW19&gt;BX19+BY19+BZ19+CA19+CB19,(BW19+BV19)-(BX19+BY19+BZ19+CA19+CB19+CB19),0),0)</f>
        <v>0</v>
      </c>
      <c r="CD19" s="224">
        <f>ROUND(IF(BV19+BW19&lt;BX19+BY19+BZ19+CA19-CB19,(BX19+BY19+BZ19+CA19-CB19)-(BW19+BV19),0),0)</f>
        <v>0</v>
      </c>
      <c r="CE19" s="224"/>
      <c r="CF19" s="226"/>
      <c r="CG19" s="87"/>
      <c r="CH19" s="87">
        <f t="shared" si="13"/>
        <v>8</v>
      </c>
      <c r="CI19" s="227" t="str">
        <f>F19</f>
        <v>Nguyễn Thị</v>
      </c>
      <c r="CJ19" s="227" t="str">
        <f>G19</f>
        <v>Loan</v>
      </c>
      <c r="CK19" s="87">
        <f>H19</f>
        <v>1</v>
      </c>
      <c r="CL19" s="227" t="str">
        <f>L19</f>
        <v>Canh tác học</v>
      </c>
      <c r="CM19" s="87" t="str">
        <f>N19</f>
        <v>CS2</v>
      </c>
      <c r="CN19" s="87">
        <f>Q19</f>
        <v>270</v>
      </c>
      <c r="CO19" s="87">
        <f>R19</f>
        <v>100</v>
      </c>
      <c r="CP19" s="229">
        <f t="shared" si="47"/>
        <v>0</v>
      </c>
      <c r="CQ19" s="229">
        <f t="shared" si="48"/>
        <v>13.3</v>
      </c>
      <c r="CR19" s="229">
        <f t="shared" si="49"/>
        <v>4.8</v>
      </c>
      <c r="CS19" s="229">
        <f t="shared" si="50"/>
        <v>0</v>
      </c>
      <c r="CT19" s="229">
        <f t="shared" si="51"/>
        <v>0</v>
      </c>
      <c r="CU19" s="229">
        <f t="shared" si="52"/>
        <v>118</v>
      </c>
      <c r="CV19" s="229">
        <f t="shared" si="53"/>
        <v>0</v>
      </c>
      <c r="CW19" s="229">
        <f t="shared" si="54"/>
        <v>60</v>
      </c>
      <c r="CX19" s="229">
        <f t="shared" si="55"/>
        <v>0</v>
      </c>
      <c r="CY19" s="229">
        <f t="shared" si="56"/>
        <v>0</v>
      </c>
      <c r="CZ19" s="229">
        <f t="shared" si="57"/>
        <v>0</v>
      </c>
      <c r="DA19" s="229">
        <f t="shared" si="58"/>
        <v>60</v>
      </c>
      <c r="DB19" s="228">
        <f t="shared" si="59"/>
        <v>256.10000000000002</v>
      </c>
      <c r="DC19" s="229"/>
      <c r="DD19" s="229"/>
      <c r="DE19" s="229"/>
      <c r="DF19" s="229"/>
      <c r="DG19" s="229"/>
      <c r="DH19" s="229"/>
      <c r="DI19" s="229"/>
      <c r="DJ19" s="229"/>
      <c r="DK19" s="229"/>
      <c r="DL19" s="229"/>
      <c r="DM19" s="229"/>
      <c r="DN19" s="229"/>
      <c r="DO19" s="228">
        <f t="shared" si="60"/>
        <v>0</v>
      </c>
      <c r="DP19" s="228">
        <f t="shared" si="61"/>
        <v>256.10000000000002</v>
      </c>
      <c r="DQ19" s="229">
        <f t="shared" si="62"/>
        <v>0</v>
      </c>
      <c r="DR19" s="229">
        <f t="shared" si="63"/>
        <v>0</v>
      </c>
      <c r="DS19" s="229">
        <f t="shared" si="64"/>
        <v>0</v>
      </c>
      <c r="DT19" s="229">
        <f t="shared" si="65"/>
        <v>0</v>
      </c>
      <c r="DU19" s="229">
        <f t="shared" si="66"/>
        <v>0</v>
      </c>
      <c r="DV19" s="229">
        <f t="shared" si="67"/>
        <v>0</v>
      </c>
      <c r="DW19" s="229">
        <f t="shared" si="68"/>
        <v>0</v>
      </c>
      <c r="DX19" s="228">
        <f t="shared" si="69"/>
        <v>0</v>
      </c>
      <c r="DY19" s="229"/>
      <c r="DZ19" s="229"/>
      <c r="EA19" s="229"/>
      <c r="EB19" s="229"/>
      <c r="EC19" s="229"/>
      <c r="ED19" s="229"/>
      <c r="EE19" s="229"/>
      <c r="EF19" s="228">
        <f t="shared" si="17"/>
        <v>0</v>
      </c>
      <c r="EG19" s="228">
        <f t="shared" si="70"/>
        <v>0</v>
      </c>
      <c r="EH19" s="229">
        <f t="shared" si="18"/>
        <v>115</v>
      </c>
      <c r="EI19" s="229">
        <v>51.47</v>
      </c>
      <c r="EJ19" s="228">
        <f>SUM(EH19:EI19)</f>
        <v>166.47</v>
      </c>
      <c r="EK19" s="229"/>
      <c r="EL19" s="229"/>
      <c r="EM19" s="228">
        <f>SUM(EK19:EL19)</f>
        <v>0</v>
      </c>
      <c r="EN19" s="229">
        <f>EK19+EH19+EL19</f>
        <v>115</v>
      </c>
      <c r="EO19" s="229">
        <f>EI19</f>
        <v>51.47</v>
      </c>
      <c r="EP19" s="228">
        <f>EM19+EJ19</f>
        <v>166.47</v>
      </c>
      <c r="EQ19" s="173">
        <f t="shared" si="19"/>
        <v>15</v>
      </c>
      <c r="ER19" s="189">
        <v>0</v>
      </c>
      <c r="ES19" s="189">
        <v>13.3</v>
      </c>
      <c r="ET19" s="189">
        <v>4.8</v>
      </c>
      <c r="EU19" s="189">
        <v>0</v>
      </c>
      <c r="EV19" s="189">
        <v>0</v>
      </c>
      <c r="EW19" s="189">
        <v>118</v>
      </c>
      <c r="EX19" s="189">
        <v>0</v>
      </c>
      <c r="EY19" s="189">
        <v>60</v>
      </c>
      <c r="EZ19" s="189">
        <v>0</v>
      </c>
      <c r="FA19" s="189">
        <v>0</v>
      </c>
      <c r="FB19" s="189">
        <v>0</v>
      </c>
      <c r="FC19" s="189">
        <v>60</v>
      </c>
      <c r="FD19" s="189">
        <v>0</v>
      </c>
      <c r="FE19" s="189">
        <v>0</v>
      </c>
      <c r="FF19" s="189">
        <v>0</v>
      </c>
      <c r="FG19" s="189">
        <v>0</v>
      </c>
      <c r="FH19" s="189">
        <v>0</v>
      </c>
      <c r="FI19" s="189">
        <v>0</v>
      </c>
      <c r="FJ19" s="189">
        <v>0</v>
      </c>
      <c r="FK19" s="189">
        <v>256.10000000000002</v>
      </c>
      <c r="FL19" s="189">
        <v>211</v>
      </c>
      <c r="FN19" s="132">
        <v>115</v>
      </c>
    </row>
    <row r="20" spans="1:170" ht="30" customHeight="1">
      <c r="A20" s="88">
        <f>COUNTIF($H$12:H20,H20)</f>
        <v>9</v>
      </c>
      <c r="B20" s="88" t="s">
        <v>2237</v>
      </c>
      <c r="C20" s="88" t="s">
        <v>2370</v>
      </c>
      <c r="D20" s="88"/>
      <c r="E20" s="88"/>
      <c r="F20" s="301" t="s">
        <v>2895</v>
      </c>
      <c r="G20" s="89" t="s">
        <v>2896</v>
      </c>
      <c r="H20" s="88">
        <v>1</v>
      </c>
      <c r="I20" s="88">
        <v>1</v>
      </c>
      <c r="J20" s="88">
        <v>1</v>
      </c>
      <c r="K20" s="90" t="s">
        <v>3073</v>
      </c>
      <c r="L20" s="90" t="s">
        <v>3073</v>
      </c>
      <c r="M20" s="214"/>
      <c r="N20" s="88" t="s">
        <v>605</v>
      </c>
      <c r="O20" s="216">
        <f t="shared" si="73"/>
        <v>7.28</v>
      </c>
      <c r="P20" s="88" t="str">
        <f t="shared" si="0"/>
        <v>B1_8</v>
      </c>
      <c r="Q20" s="88">
        <f t="shared" si="1"/>
        <v>270</v>
      </c>
      <c r="R20" s="88">
        <f t="shared" si="2"/>
        <v>280</v>
      </c>
      <c r="S20" s="232"/>
      <c r="T20" s="215" t="s">
        <v>3088</v>
      </c>
      <c r="U20" s="88">
        <f>IF(RIGHT(T20,1)="K",(VLOOKUP(T20,ma_miengiam!$A$3:$B$80,2,0)*100)/2,VLOOKUP(T20,ma_miengiam!$A$3:$B$80,2,0)*100)</f>
        <v>0</v>
      </c>
      <c r="V20" s="88"/>
      <c r="W20" s="220">
        <f>IF(AND(T20="NTS",V20&gt;0),(Q20-(Q20*V20)/12)*VLOOKUP(T20,ma_miengiam!$A$3:$B$80,2,0)+(Q20-(Q20*(12-V20))/12),IF(AND(RIGHT(T20,1)="K",V20&gt;0),(VLOOKUP(T20,ma_miengiam!$A$3:$B$80,2,0)/2)*(Q20*V20)/12,IF(RIGHT(T20,1)="K",(VLOOKUP(T20,ma_miengiam!$A$3:$B$80,2,0)*Q20)/2,IF(V20&gt;0,VLOOKUP(T20,ma_miengiam!$A$3:$B$80,2,0)*Q20*V20/12,VLOOKUP(T20,ma_miengiam!$A$3:$B$80,2,0)*Q20))))</f>
        <v>0</v>
      </c>
      <c r="X20" s="220">
        <f>IF(T20="NTS",VLOOKUP(T20,ma_miengiam!$A$3:$B$80,2,0)*R20*V20,IF(AND(T20="NTS",V20=0),0,IF(AND(LEFT(T20,1)="K",V20=0),VLOOKUP(T20,ma_miengiam!$A$3:$B$80,2,0)*R20,IF(LEFT(T20,1)="K",(VLOOKUP(T20,ma_miengiam!$A$3:$B$80,2,0)*R20/12)*V20,IF(AND(LEFT(T20,1)="S",V20&gt;0),(R20/12)*V20,IF(AND(LEFT(T20,1)="S",V20=0),R20,IF(T20="DH",VLOOKUP(T20,ma_miengiam!$A$3:$B$80,2,0)*R20,0)))))))</f>
        <v>0</v>
      </c>
      <c r="Y20" s="220">
        <f t="shared" si="3"/>
        <v>270</v>
      </c>
      <c r="Z20" s="220">
        <f t="shared" ref="Z20:Z85" si="90">IF(AND(T20="SĐH",V20&gt;0),(R20/12)*V20-X20,IF(AND(T20="DH",V20&gt;0),(R20*V20/12),IF(AND(T20&lt;&gt;"NTS",V20&gt;0),(R20*V20/12)-X20,IF(AND(T20="NTS",V20&gt;0),R20-X20,R20-X20))))</f>
        <v>280</v>
      </c>
      <c r="AA20" s="220">
        <f t="shared" si="89"/>
        <v>270</v>
      </c>
      <c r="AB20" s="220">
        <f t="shared" si="89"/>
        <v>280</v>
      </c>
      <c r="AC20" s="220">
        <f t="shared" ref="AC20:AF21" si="91">W20</f>
        <v>0</v>
      </c>
      <c r="AD20" s="220">
        <f t="shared" si="91"/>
        <v>0</v>
      </c>
      <c r="AE20" s="220">
        <f t="shared" si="91"/>
        <v>270</v>
      </c>
      <c r="AF20" s="220">
        <f t="shared" si="91"/>
        <v>280</v>
      </c>
      <c r="AG20" s="220">
        <f t="shared" ref="AG20:AG25" si="92">AH20+AI20</f>
        <v>162.22</v>
      </c>
      <c r="AH20" s="220">
        <f t="shared" ref="AH20:AH25" si="93">EO20</f>
        <v>37.22</v>
      </c>
      <c r="AI20" s="220">
        <f t="shared" ref="AI20:AI25" si="94">EN20</f>
        <v>125</v>
      </c>
      <c r="AJ20" s="220">
        <f t="shared" si="74"/>
        <v>-117.78</v>
      </c>
      <c r="AK20" s="216">
        <f t="shared" si="8"/>
        <v>387.78</v>
      </c>
      <c r="AL20" s="220">
        <f t="shared" si="22"/>
        <v>275.8</v>
      </c>
      <c r="AM20" s="220">
        <f t="shared" si="23"/>
        <v>0</v>
      </c>
      <c r="AN20" s="221">
        <f t="shared" si="24"/>
        <v>275.8</v>
      </c>
      <c r="AO20" s="220">
        <f t="shared" si="25"/>
        <v>0</v>
      </c>
      <c r="AP20" s="220">
        <f t="shared" si="26"/>
        <v>0</v>
      </c>
      <c r="AQ20" s="220">
        <f t="shared" si="27"/>
        <v>80</v>
      </c>
      <c r="AR20" s="220">
        <f t="shared" si="28"/>
        <v>108</v>
      </c>
      <c r="AS20" s="220">
        <f t="shared" si="29"/>
        <v>0</v>
      </c>
      <c r="AT20" s="216">
        <f t="shared" si="30"/>
        <v>463.8</v>
      </c>
      <c r="AU20" s="222">
        <f t="shared" si="31"/>
        <v>-111.97999999999996</v>
      </c>
      <c r="AV20" s="220"/>
      <c r="AW20" s="220">
        <f t="shared" si="32"/>
        <v>-111.97999999999996</v>
      </c>
      <c r="AX20" s="216">
        <f t="shared" si="9"/>
        <v>-111.97999999999996</v>
      </c>
      <c r="AY20" s="220">
        <f t="shared" si="33"/>
        <v>0</v>
      </c>
      <c r="AZ20" s="220">
        <f t="shared" si="34"/>
        <v>0</v>
      </c>
      <c r="BA20" s="220">
        <f t="shared" si="35"/>
        <v>0</v>
      </c>
      <c r="BB20" s="220">
        <f t="shared" si="36"/>
        <v>76.020000000000039</v>
      </c>
      <c r="BC20" s="220">
        <f t="shared" si="37"/>
        <v>0</v>
      </c>
      <c r="BD20" s="216">
        <f t="shared" si="10"/>
        <v>76.020000000000039</v>
      </c>
      <c r="BE20" s="220">
        <f t="shared" si="38"/>
        <v>0</v>
      </c>
      <c r="BF20" s="220">
        <f t="shared" si="39"/>
        <v>0</v>
      </c>
      <c r="BG20" s="220">
        <f t="shared" si="40"/>
        <v>-80</v>
      </c>
      <c r="BH20" s="220">
        <f t="shared" si="41"/>
        <v>-31.979999999999961</v>
      </c>
      <c r="BI20" s="220">
        <f t="shared" si="42"/>
        <v>0</v>
      </c>
      <c r="BJ20" s="220" t="s">
        <v>2763</v>
      </c>
      <c r="BK20" s="220"/>
      <c r="BL20" s="223">
        <f t="shared" si="11"/>
        <v>0</v>
      </c>
      <c r="BM20" s="220">
        <v>7.28</v>
      </c>
      <c r="BN20" s="220"/>
      <c r="BO20" s="220">
        <f t="shared" si="43"/>
        <v>7.28</v>
      </c>
      <c r="BP20" s="220">
        <f>IF(AND(BL20&gt;0,BL20&lt;tiet!$D$1),BL20,IF(BL20&lt;=0,0,IF(BL20&gt;tiet!$C$1,tiet!$C$1)))</f>
        <v>0</v>
      </c>
      <c r="BQ20" s="87">
        <f t="shared" si="75"/>
        <v>85000</v>
      </c>
      <c r="BR20" s="224">
        <f t="shared" si="76"/>
        <v>0</v>
      </c>
      <c r="BS20" s="220">
        <f t="shared" si="12"/>
        <v>0</v>
      </c>
      <c r="BT20" s="224">
        <f>VLOOKUP(N20,ma_dinhmuc!$A$1:$J$31,10,0)</f>
        <v>65000</v>
      </c>
      <c r="BU20" s="224">
        <f>ROUND(IF(BS20&gt;0,VLOOKUP(N20,ma_dinhmuc!$A$1:$J$31,10,0)*BS20,0),0)</f>
        <v>0</v>
      </c>
      <c r="BV20" s="224">
        <f t="shared" si="77"/>
        <v>0</v>
      </c>
      <c r="BW20" s="224"/>
      <c r="BX20" s="224">
        <v>0</v>
      </c>
      <c r="BY20" s="224"/>
      <c r="BZ20" s="224"/>
      <c r="CA20" s="224"/>
      <c r="CB20" s="224"/>
      <c r="CC20" s="225">
        <f t="shared" si="44"/>
        <v>0</v>
      </c>
      <c r="CD20" s="224">
        <f t="shared" si="45"/>
        <v>0</v>
      </c>
      <c r="CE20" s="224"/>
      <c r="CF20" s="226"/>
      <c r="CG20" s="87"/>
      <c r="CH20" s="87">
        <f t="shared" si="13"/>
        <v>9</v>
      </c>
      <c r="CI20" s="227" t="str">
        <f t="shared" si="82"/>
        <v>Nguyễn Văn</v>
      </c>
      <c r="CJ20" s="227" t="str">
        <f t="shared" si="83"/>
        <v>Viên</v>
      </c>
      <c r="CK20" s="87">
        <f t="shared" si="86"/>
        <v>1</v>
      </c>
      <c r="CL20" s="227" t="str">
        <f t="shared" si="87"/>
        <v>Bệnh cây</v>
      </c>
      <c r="CM20" s="87" t="str">
        <f t="shared" si="46"/>
        <v>CS4</v>
      </c>
      <c r="CN20" s="87">
        <f t="shared" ref="CN20:CO22" si="95">Q20</f>
        <v>270</v>
      </c>
      <c r="CO20" s="87">
        <f t="shared" si="95"/>
        <v>280</v>
      </c>
      <c r="CP20" s="229">
        <f t="shared" si="47"/>
        <v>0</v>
      </c>
      <c r="CQ20" s="229">
        <f t="shared" si="48"/>
        <v>23.8</v>
      </c>
      <c r="CR20" s="229">
        <f t="shared" si="49"/>
        <v>9.6</v>
      </c>
      <c r="CS20" s="229">
        <f t="shared" si="50"/>
        <v>63</v>
      </c>
      <c r="CT20" s="229">
        <f t="shared" si="51"/>
        <v>0</v>
      </c>
      <c r="CU20" s="229">
        <f t="shared" si="52"/>
        <v>119.4</v>
      </c>
      <c r="CV20" s="229">
        <f t="shared" si="53"/>
        <v>0</v>
      </c>
      <c r="CW20" s="229">
        <f t="shared" si="54"/>
        <v>60</v>
      </c>
      <c r="CX20" s="229">
        <f t="shared" si="55"/>
        <v>0</v>
      </c>
      <c r="CY20" s="229">
        <f t="shared" si="56"/>
        <v>0</v>
      </c>
      <c r="CZ20" s="229">
        <f t="shared" si="57"/>
        <v>0</v>
      </c>
      <c r="DA20" s="229">
        <f t="shared" si="58"/>
        <v>80</v>
      </c>
      <c r="DB20" s="228">
        <f t="shared" si="59"/>
        <v>355.8</v>
      </c>
      <c r="DC20" s="229"/>
      <c r="DD20" s="229"/>
      <c r="DE20" s="229"/>
      <c r="DF20" s="229"/>
      <c r="DG20" s="229"/>
      <c r="DH20" s="229"/>
      <c r="DI20" s="229"/>
      <c r="DJ20" s="229"/>
      <c r="DK20" s="229"/>
      <c r="DL20" s="229"/>
      <c r="DM20" s="229"/>
      <c r="DN20" s="229"/>
      <c r="DO20" s="228">
        <f t="shared" si="60"/>
        <v>0</v>
      </c>
      <c r="DP20" s="228">
        <f t="shared" si="61"/>
        <v>355.8</v>
      </c>
      <c r="DQ20" s="229">
        <f t="shared" si="62"/>
        <v>0</v>
      </c>
      <c r="DR20" s="229">
        <f t="shared" si="63"/>
        <v>0</v>
      </c>
      <c r="DS20" s="229">
        <f t="shared" si="64"/>
        <v>0</v>
      </c>
      <c r="DT20" s="229">
        <f t="shared" si="65"/>
        <v>0</v>
      </c>
      <c r="DU20" s="229">
        <f t="shared" si="66"/>
        <v>0</v>
      </c>
      <c r="DV20" s="229">
        <f t="shared" si="67"/>
        <v>108</v>
      </c>
      <c r="DW20" s="229">
        <f t="shared" si="68"/>
        <v>0</v>
      </c>
      <c r="DX20" s="228">
        <f t="shared" si="69"/>
        <v>108</v>
      </c>
      <c r="DY20" s="229"/>
      <c r="DZ20" s="229"/>
      <c r="EA20" s="229"/>
      <c r="EB20" s="229"/>
      <c r="EC20" s="229"/>
      <c r="ED20" s="229"/>
      <c r="EE20" s="229"/>
      <c r="EF20" s="228">
        <f t="shared" si="17"/>
        <v>0</v>
      </c>
      <c r="EG20" s="228">
        <f t="shared" si="70"/>
        <v>108</v>
      </c>
      <c r="EH20" s="229">
        <f t="shared" si="18"/>
        <v>125</v>
      </c>
      <c r="EI20" s="229">
        <v>37.22</v>
      </c>
      <c r="EJ20" s="228">
        <f t="shared" si="84"/>
        <v>162.22</v>
      </c>
      <c r="EK20" s="229"/>
      <c r="EL20" s="229"/>
      <c r="EM20" s="228">
        <f t="shared" si="78"/>
        <v>0</v>
      </c>
      <c r="EN20" s="229">
        <f t="shared" si="71"/>
        <v>125</v>
      </c>
      <c r="EO20" s="229">
        <f t="shared" si="72"/>
        <v>37.22</v>
      </c>
      <c r="EP20" s="228">
        <f t="shared" si="88"/>
        <v>162.22</v>
      </c>
      <c r="EQ20" s="173">
        <f t="shared" si="19"/>
        <v>0</v>
      </c>
      <c r="ER20" s="189">
        <v>0</v>
      </c>
      <c r="ES20" s="189">
        <v>23.8</v>
      </c>
      <c r="ET20" s="189">
        <v>9.6</v>
      </c>
      <c r="EU20" s="189">
        <v>63</v>
      </c>
      <c r="EV20" s="189">
        <v>0</v>
      </c>
      <c r="EW20" s="189">
        <v>119.4</v>
      </c>
      <c r="EX20" s="189">
        <v>0</v>
      </c>
      <c r="EY20" s="189">
        <v>60</v>
      </c>
      <c r="EZ20" s="189">
        <v>0</v>
      </c>
      <c r="FA20" s="189">
        <v>0</v>
      </c>
      <c r="FB20" s="189">
        <v>0</v>
      </c>
      <c r="FC20" s="189">
        <v>80</v>
      </c>
      <c r="FD20" s="189">
        <v>0</v>
      </c>
      <c r="FE20" s="189">
        <v>0</v>
      </c>
      <c r="FF20" s="189">
        <v>0</v>
      </c>
      <c r="FG20" s="189">
        <v>0</v>
      </c>
      <c r="FH20" s="189">
        <v>108</v>
      </c>
      <c r="FI20" s="189">
        <v>0</v>
      </c>
      <c r="FJ20" s="189">
        <v>0</v>
      </c>
      <c r="FK20" s="189">
        <v>463.8</v>
      </c>
      <c r="FL20" s="189">
        <v>419</v>
      </c>
      <c r="FN20" s="132">
        <v>125</v>
      </c>
    </row>
    <row r="21" spans="1:170" ht="30" customHeight="1">
      <c r="A21" s="88">
        <f>COUNTIF($H$12:H21,H21)</f>
        <v>10</v>
      </c>
      <c r="B21" s="88" t="s">
        <v>2238</v>
      </c>
      <c r="C21" s="88" t="s">
        <v>2371</v>
      </c>
      <c r="D21" s="88"/>
      <c r="E21" s="88"/>
      <c r="F21" s="301" t="s">
        <v>2897</v>
      </c>
      <c r="G21" s="89" t="s">
        <v>2898</v>
      </c>
      <c r="H21" s="88">
        <v>1</v>
      </c>
      <c r="I21" s="88">
        <v>1</v>
      </c>
      <c r="J21" s="88">
        <v>1</v>
      </c>
      <c r="K21" s="90" t="s">
        <v>3073</v>
      </c>
      <c r="L21" s="90" t="s">
        <v>3073</v>
      </c>
      <c r="M21" s="214"/>
      <c r="N21" s="88" t="s">
        <v>1804</v>
      </c>
      <c r="O21" s="216">
        <f t="shared" si="73"/>
        <v>3.66</v>
      </c>
      <c r="P21" s="88" t="str">
        <f t="shared" si="0"/>
        <v>B1_4</v>
      </c>
      <c r="Q21" s="88">
        <f t="shared" si="1"/>
        <v>270</v>
      </c>
      <c r="R21" s="88">
        <f t="shared" si="2"/>
        <v>120</v>
      </c>
      <c r="S21" s="234" t="s">
        <v>662</v>
      </c>
      <c r="T21" s="215" t="s">
        <v>2961</v>
      </c>
      <c r="U21" s="88">
        <f>IF(RIGHT(T21,1)="K",(VLOOKUP(T21,ma_miengiam!$A$3:$B$80,2,0)*100)/2,VLOOKUP(T21,ma_miengiam!$A$3:$B$80,2,0)*100)</f>
        <v>100</v>
      </c>
      <c r="V21" s="88"/>
      <c r="W21" s="220">
        <f>IF(AND(T21="NTS",V21&gt;0),(Q21-(Q21*V21)/12)*VLOOKUP(T21,ma_miengiam!$A$3:$B$80,2,0)+(Q21-(Q21*(12-V21))/12),IF(AND(RIGHT(T21,1)="K",V21&gt;0),(VLOOKUP(T21,ma_miengiam!$A$3:$B$80,2,0)/2)*(Q21*V21)/12,IF(RIGHT(T21,1)="K",(VLOOKUP(T21,ma_miengiam!$A$3:$B$80,2,0)*Q21)/2,IF(V21&gt;0,VLOOKUP(T21,ma_miengiam!$A$3:$B$80,2,0)*Q21*V21/12,VLOOKUP(T21,ma_miengiam!$A$3:$B$80,2,0)*Q21))))</f>
        <v>270</v>
      </c>
      <c r="X21" s="220">
        <f>IF(T21="NTS",VLOOKUP(T21,ma_miengiam!$A$3:$B$80,2,0)*R21*V21,IF(AND(T21="NTS",V21=0),0,IF(AND(LEFT(T21,1)="K",V21=0),VLOOKUP(T21,ma_miengiam!$A$3:$B$80,2,0)*R21,IF(LEFT(T21,1)="K",(VLOOKUP(T21,ma_miengiam!$A$3:$B$80,2,0)*R21/12)*V21,IF(AND(LEFT(T21,1)="S",V21&gt;0),(R21/12)*V21,IF(AND(LEFT(T21,1)="S",V21=0),R21,IF(T21="DH",VLOOKUP(T21,ma_miengiam!$A$3:$B$80,2,0)*R21,0)))))))</f>
        <v>120</v>
      </c>
      <c r="Y21" s="220">
        <f t="shared" ref="Y21:Y27" si="96">IF(AND(T21="DH",V21&gt;0),(S21*V21/12),IF(AND(T21&lt;&gt;"NTS",V21&gt;0),(Q21*V21/12)-W21,IF(AND(T21="NTS",V21&gt;0),Q21-W21,Q21-W21)))</f>
        <v>0</v>
      </c>
      <c r="Z21" s="220">
        <f t="shared" si="90"/>
        <v>0</v>
      </c>
      <c r="AA21" s="220">
        <f t="shared" si="89"/>
        <v>270</v>
      </c>
      <c r="AB21" s="220">
        <f t="shared" si="89"/>
        <v>120</v>
      </c>
      <c r="AC21" s="220">
        <f t="shared" si="91"/>
        <v>270</v>
      </c>
      <c r="AD21" s="220">
        <f t="shared" si="91"/>
        <v>120</v>
      </c>
      <c r="AE21" s="220">
        <f t="shared" si="91"/>
        <v>0</v>
      </c>
      <c r="AF21" s="220">
        <f t="shared" si="91"/>
        <v>0</v>
      </c>
      <c r="AG21" s="220">
        <f t="shared" si="92"/>
        <v>135.94999999999999</v>
      </c>
      <c r="AH21" s="220">
        <f t="shared" si="93"/>
        <v>135.94999999999999</v>
      </c>
      <c r="AI21" s="220">
        <f t="shared" si="94"/>
        <v>0</v>
      </c>
      <c r="AJ21" s="220">
        <f t="shared" si="74"/>
        <v>0</v>
      </c>
      <c r="AK21" s="216">
        <f t="shared" si="8"/>
        <v>0</v>
      </c>
      <c r="AL21" s="220">
        <f t="shared" si="22"/>
        <v>0</v>
      </c>
      <c r="AM21" s="220">
        <f t="shared" si="23"/>
        <v>0</v>
      </c>
      <c r="AN21" s="221">
        <f t="shared" si="24"/>
        <v>0</v>
      </c>
      <c r="AO21" s="220">
        <f t="shared" si="25"/>
        <v>0</v>
      </c>
      <c r="AP21" s="220">
        <f t="shared" si="26"/>
        <v>0</v>
      </c>
      <c r="AQ21" s="220">
        <f t="shared" si="27"/>
        <v>0</v>
      </c>
      <c r="AR21" s="220">
        <f t="shared" si="28"/>
        <v>0</v>
      </c>
      <c r="AS21" s="220">
        <f t="shared" si="29"/>
        <v>0</v>
      </c>
      <c r="AT21" s="216">
        <f t="shared" si="30"/>
        <v>0</v>
      </c>
      <c r="AU21" s="220">
        <f t="shared" si="31"/>
        <v>0</v>
      </c>
      <c r="AV21" s="220"/>
      <c r="AW21" s="220">
        <f t="shared" si="32"/>
        <v>0</v>
      </c>
      <c r="AX21" s="216">
        <f t="shared" si="9"/>
        <v>0</v>
      </c>
      <c r="AY21" s="220">
        <f t="shared" si="33"/>
        <v>0</v>
      </c>
      <c r="AZ21" s="220">
        <f t="shared" si="34"/>
        <v>0</v>
      </c>
      <c r="BA21" s="220">
        <f t="shared" si="35"/>
        <v>0</v>
      </c>
      <c r="BB21" s="220">
        <f t="shared" si="36"/>
        <v>0</v>
      </c>
      <c r="BC21" s="220">
        <f t="shared" si="37"/>
        <v>0</v>
      </c>
      <c r="BD21" s="216">
        <f t="shared" si="10"/>
        <v>0</v>
      </c>
      <c r="BE21" s="220">
        <f t="shared" si="38"/>
        <v>0</v>
      </c>
      <c r="BF21" s="220">
        <f t="shared" si="39"/>
        <v>0</v>
      </c>
      <c r="BG21" s="220">
        <f t="shared" si="40"/>
        <v>0</v>
      </c>
      <c r="BH21" s="220">
        <f t="shared" si="41"/>
        <v>0</v>
      </c>
      <c r="BI21" s="220">
        <f t="shared" si="42"/>
        <v>0</v>
      </c>
      <c r="BJ21" s="220" t="s">
        <v>2763</v>
      </c>
      <c r="BK21" s="220"/>
      <c r="BL21" s="223">
        <f t="shared" si="11"/>
        <v>0</v>
      </c>
      <c r="BM21" s="220">
        <v>3.66</v>
      </c>
      <c r="BN21" s="220"/>
      <c r="BO21" s="220">
        <f t="shared" si="43"/>
        <v>3.66</v>
      </c>
      <c r="BP21" s="220">
        <f>IF(AND(BL21&gt;0,BL21&lt;tiet!$D$1),BL21,IF(BL21&lt;=0,0,IF(BL21&gt;tiet!$C$1,tiet!$C$1)))</f>
        <v>0</v>
      </c>
      <c r="BQ21" s="87">
        <f t="shared" si="75"/>
        <v>65000</v>
      </c>
      <c r="BR21" s="224">
        <f t="shared" si="76"/>
        <v>0</v>
      </c>
      <c r="BS21" s="220">
        <f t="shared" si="12"/>
        <v>0</v>
      </c>
      <c r="BT21" s="224">
        <f>VLOOKUP(N21,ma_dinhmuc!$A$1:$J$31,10,0)</f>
        <v>51000</v>
      </c>
      <c r="BU21" s="224">
        <f>ROUND(IF(BS21&gt;0,VLOOKUP(N21,ma_dinhmuc!$A$1:$J$31,10,0)*BS21,0),0)</f>
        <v>0</v>
      </c>
      <c r="BV21" s="224">
        <f t="shared" si="77"/>
        <v>0</v>
      </c>
      <c r="BW21" s="224"/>
      <c r="BX21" s="224">
        <v>0</v>
      </c>
      <c r="BY21" s="224"/>
      <c r="BZ21" s="224"/>
      <c r="CA21" s="224"/>
      <c r="CB21" s="224"/>
      <c r="CC21" s="225">
        <f t="shared" si="44"/>
        <v>0</v>
      </c>
      <c r="CD21" s="224">
        <f t="shared" si="45"/>
        <v>0</v>
      </c>
      <c r="CE21" s="224"/>
      <c r="CF21" s="226"/>
      <c r="CG21" s="87"/>
      <c r="CH21" s="87">
        <f t="shared" si="13"/>
        <v>10</v>
      </c>
      <c r="CI21" s="227" t="str">
        <f t="shared" si="82"/>
        <v>Nguyễn Thị Thanh</v>
      </c>
      <c r="CJ21" s="227" t="str">
        <f t="shared" si="83"/>
        <v>Hồng</v>
      </c>
      <c r="CK21" s="87">
        <f t="shared" si="86"/>
        <v>1</v>
      </c>
      <c r="CL21" s="227" t="str">
        <f t="shared" si="87"/>
        <v>Bệnh cây</v>
      </c>
      <c r="CM21" s="87" t="str">
        <f t="shared" si="46"/>
        <v>CS2</v>
      </c>
      <c r="CN21" s="87">
        <f t="shared" si="95"/>
        <v>270</v>
      </c>
      <c r="CO21" s="87">
        <f t="shared" si="95"/>
        <v>120</v>
      </c>
      <c r="CP21" s="229">
        <f t="shared" si="47"/>
        <v>0</v>
      </c>
      <c r="CQ21" s="229">
        <f t="shared" si="48"/>
        <v>0</v>
      </c>
      <c r="CR21" s="229">
        <f t="shared" si="49"/>
        <v>0</v>
      </c>
      <c r="CS21" s="229">
        <f t="shared" si="50"/>
        <v>0</v>
      </c>
      <c r="CT21" s="229">
        <f t="shared" si="51"/>
        <v>0</v>
      </c>
      <c r="CU21" s="229">
        <f t="shared" si="52"/>
        <v>0</v>
      </c>
      <c r="CV21" s="229">
        <f t="shared" si="53"/>
        <v>0</v>
      </c>
      <c r="CW21" s="229">
        <f t="shared" si="54"/>
        <v>0</v>
      </c>
      <c r="CX21" s="229">
        <f t="shared" si="55"/>
        <v>0</v>
      </c>
      <c r="CY21" s="229">
        <f t="shared" si="56"/>
        <v>0</v>
      </c>
      <c r="CZ21" s="229">
        <f t="shared" si="57"/>
        <v>0</v>
      </c>
      <c r="DA21" s="229">
        <f t="shared" si="58"/>
        <v>0</v>
      </c>
      <c r="DB21" s="228">
        <f t="shared" si="59"/>
        <v>0</v>
      </c>
      <c r="DC21" s="229"/>
      <c r="DD21" s="229"/>
      <c r="DE21" s="229"/>
      <c r="DF21" s="229"/>
      <c r="DG21" s="229"/>
      <c r="DH21" s="229"/>
      <c r="DI21" s="229"/>
      <c r="DJ21" s="229"/>
      <c r="DK21" s="229"/>
      <c r="DL21" s="229"/>
      <c r="DM21" s="229"/>
      <c r="DN21" s="229"/>
      <c r="DO21" s="228">
        <f t="shared" si="60"/>
        <v>0</v>
      </c>
      <c r="DP21" s="228">
        <f t="shared" si="61"/>
        <v>0</v>
      </c>
      <c r="DQ21" s="229">
        <f t="shared" si="62"/>
        <v>0</v>
      </c>
      <c r="DR21" s="229">
        <f t="shared" si="63"/>
        <v>0</v>
      </c>
      <c r="DS21" s="229">
        <f t="shared" si="64"/>
        <v>0</v>
      </c>
      <c r="DT21" s="229">
        <f t="shared" si="65"/>
        <v>0</v>
      </c>
      <c r="DU21" s="229">
        <f t="shared" si="66"/>
        <v>0</v>
      </c>
      <c r="DV21" s="229">
        <f t="shared" si="67"/>
        <v>0</v>
      </c>
      <c r="DW21" s="229">
        <f t="shared" si="68"/>
        <v>0</v>
      </c>
      <c r="DX21" s="228">
        <f t="shared" si="69"/>
        <v>0</v>
      </c>
      <c r="DY21" s="229"/>
      <c r="DZ21" s="229"/>
      <c r="EA21" s="229"/>
      <c r="EB21" s="229"/>
      <c r="EC21" s="229"/>
      <c r="ED21" s="229"/>
      <c r="EE21" s="229"/>
      <c r="EF21" s="228">
        <f t="shared" si="17"/>
        <v>0</v>
      </c>
      <c r="EG21" s="228">
        <f t="shared" si="70"/>
        <v>0</v>
      </c>
      <c r="EH21" s="229">
        <f t="shared" si="18"/>
        <v>0</v>
      </c>
      <c r="EI21" s="229">
        <v>135.94999999999999</v>
      </c>
      <c r="EJ21" s="228">
        <f t="shared" si="84"/>
        <v>135.94999999999999</v>
      </c>
      <c r="EK21" s="229"/>
      <c r="EL21" s="229"/>
      <c r="EM21" s="228">
        <f t="shared" si="78"/>
        <v>0</v>
      </c>
      <c r="EN21" s="229">
        <f t="shared" si="71"/>
        <v>0</v>
      </c>
      <c r="EO21" s="229">
        <f t="shared" si="72"/>
        <v>135.94999999999999</v>
      </c>
      <c r="EP21" s="228">
        <f t="shared" si="88"/>
        <v>135.94999999999999</v>
      </c>
      <c r="EQ21" s="173">
        <f t="shared" si="19"/>
        <v>0</v>
      </c>
      <c r="ER21" s="189">
        <v>0</v>
      </c>
      <c r="ES21" s="189">
        <v>0</v>
      </c>
      <c r="ET21" s="189">
        <v>0</v>
      </c>
      <c r="EU21" s="189">
        <v>0</v>
      </c>
      <c r="EV21" s="189">
        <v>0</v>
      </c>
      <c r="EW21" s="189">
        <v>0</v>
      </c>
      <c r="EX21" s="189">
        <v>0</v>
      </c>
      <c r="EY21" s="189">
        <v>0</v>
      </c>
      <c r="EZ21" s="189">
        <v>0</v>
      </c>
      <c r="FA21" s="189">
        <v>0</v>
      </c>
      <c r="FB21" s="189">
        <v>0</v>
      </c>
      <c r="FC21" s="189">
        <v>0</v>
      </c>
      <c r="FD21" s="189">
        <v>0</v>
      </c>
      <c r="FE21" s="189">
        <v>0</v>
      </c>
      <c r="FF21" s="189">
        <v>0</v>
      </c>
      <c r="FG21" s="189">
        <v>0</v>
      </c>
      <c r="FH21" s="189">
        <v>0</v>
      </c>
      <c r="FI21" s="189">
        <v>0</v>
      </c>
      <c r="FJ21" s="189">
        <v>0</v>
      </c>
      <c r="FK21" s="189">
        <v>0</v>
      </c>
      <c r="FL21" s="189">
        <v>0</v>
      </c>
      <c r="FN21" s="132">
        <v>0</v>
      </c>
    </row>
    <row r="22" spans="1:170" ht="30" customHeight="1">
      <c r="A22" s="88">
        <f>COUNTIF($H$12:H22,H22)</f>
        <v>11</v>
      </c>
      <c r="B22" s="88" t="s">
        <v>2239</v>
      </c>
      <c r="C22" s="88" t="s">
        <v>2372</v>
      </c>
      <c r="D22" s="88"/>
      <c r="E22" s="88"/>
      <c r="F22" s="301" t="s">
        <v>2900</v>
      </c>
      <c r="G22" s="89" t="s">
        <v>2901</v>
      </c>
      <c r="H22" s="88">
        <v>1</v>
      </c>
      <c r="I22" s="88">
        <v>1</v>
      </c>
      <c r="J22" s="88">
        <v>1</v>
      </c>
      <c r="K22" s="90" t="s">
        <v>3073</v>
      </c>
      <c r="L22" s="90" t="s">
        <v>3073</v>
      </c>
      <c r="M22" s="214"/>
      <c r="N22" s="88" t="s">
        <v>605</v>
      </c>
      <c r="O22" s="216">
        <f t="shared" si="73"/>
        <v>6.92</v>
      </c>
      <c r="P22" s="88" t="str">
        <f t="shared" si="0"/>
        <v>B1_7</v>
      </c>
      <c r="Q22" s="88">
        <f t="shared" si="1"/>
        <v>270</v>
      </c>
      <c r="R22" s="88">
        <f t="shared" si="2"/>
        <v>200</v>
      </c>
      <c r="S22" s="231"/>
      <c r="T22" s="88" t="s">
        <v>3088</v>
      </c>
      <c r="U22" s="88">
        <f>IF(RIGHT(T22,1)="K",(VLOOKUP(T22,ma_miengiam!$A$3:$B$80,2,0)*100)/2,VLOOKUP(T22,ma_miengiam!$A$3:$B$80,2,0)*100)</f>
        <v>0</v>
      </c>
      <c r="V22" s="88"/>
      <c r="W22" s="220">
        <f>IF(AND(T22="NTS",V22&gt;0),(Q22-(Q22*V22)/12)*VLOOKUP(T22,ma_miengiam!$A$3:$B$80,2,0)+(Q22-(Q22*(12-V22))/12),IF(AND(RIGHT(T22,1)="K",V22&gt;0),(VLOOKUP(T22,ma_miengiam!$A$3:$B$80,2,0)/2)*(Q22*V22)/12,IF(RIGHT(T22,1)="K",(VLOOKUP(T22,ma_miengiam!$A$3:$B$80,2,0)*Q22)/2,IF(V22&gt;0,VLOOKUP(T22,ma_miengiam!$A$3:$B$80,2,0)*Q22*V22/12,VLOOKUP(T22,ma_miengiam!$A$3:$B$80,2,0)*Q22))))</f>
        <v>0</v>
      </c>
      <c r="X22" s="220">
        <f>IF(T22="NTS",VLOOKUP(T22,ma_miengiam!$A$3:$B$80,2,0)*R22*V22,IF(AND(T22="NTS",V22=0),0,IF(AND(LEFT(T22,1)="K",V22=0),VLOOKUP(T22,ma_miengiam!$A$3:$B$80,2,0)*R22,IF(LEFT(T22,1)="K",(VLOOKUP(T22,ma_miengiam!$A$3:$B$80,2,0)*R22/12)*V22,IF(AND(LEFT(T22,1)="S",V22&gt;0),(R22/12)*V22,IF(AND(LEFT(T22,1)="S",V22=0),R22,IF(T22="DH",VLOOKUP(T22,ma_miengiam!$A$3:$B$80,2,0)*R22,0)))))))</f>
        <v>0</v>
      </c>
      <c r="Y22" s="220">
        <f>IF(AND(T22="DH",V22&gt;0),(S22*V22/12),IF(AND(T22&lt;&gt;"NTS",V22&gt;0),(Q22*V22/12)-W22,IF(AND(T22="NTS",V22&gt;0),Q22-W22,Q22-W22)))</f>
        <v>270</v>
      </c>
      <c r="Z22" s="220">
        <f t="shared" si="90"/>
        <v>200</v>
      </c>
      <c r="AA22" s="220">
        <f t="shared" ref="AA22:AB26" si="97">Q22</f>
        <v>270</v>
      </c>
      <c r="AB22" s="220">
        <f t="shared" si="97"/>
        <v>200</v>
      </c>
      <c r="AC22" s="220">
        <f t="shared" ref="AC22:AF23" si="98">W22</f>
        <v>0</v>
      </c>
      <c r="AD22" s="220">
        <f t="shared" si="98"/>
        <v>0</v>
      </c>
      <c r="AE22" s="220">
        <f t="shared" si="98"/>
        <v>270</v>
      </c>
      <c r="AF22" s="220">
        <f t="shared" si="98"/>
        <v>200</v>
      </c>
      <c r="AG22" s="220">
        <f t="shared" si="92"/>
        <v>130.44</v>
      </c>
      <c r="AH22" s="220">
        <f t="shared" si="93"/>
        <v>2.94</v>
      </c>
      <c r="AI22" s="220">
        <f t="shared" si="94"/>
        <v>127.5</v>
      </c>
      <c r="AJ22" s="220">
        <f>IF(AG22-Z22&gt;0,0,AG22-Z22)</f>
        <v>-69.56</v>
      </c>
      <c r="AK22" s="216">
        <f t="shared" si="8"/>
        <v>339.56</v>
      </c>
      <c r="AL22" s="220">
        <f t="shared" si="22"/>
        <v>212.7</v>
      </c>
      <c r="AM22" s="220">
        <f t="shared" si="23"/>
        <v>19.299999999999997</v>
      </c>
      <c r="AN22" s="221">
        <f t="shared" si="24"/>
        <v>232</v>
      </c>
      <c r="AO22" s="220">
        <f t="shared" si="25"/>
        <v>0</v>
      </c>
      <c r="AP22" s="220">
        <f t="shared" si="26"/>
        <v>0</v>
      </c>
      <c r="AQ22" s="220">
        <f t="shared" si="27"/>
        <v>80</v>
      </c>
      <c r="AR22" s="220">
        <f t="shared" si="28"/>
        <v>100</v>
      </c>
      <c r="AS22" s="220">
        <f t="shared" si="29"/>
        <v>0</v>
      </c>
      <c r="AT22" s="216">
        <f t="shared" si="30"/>
        <v>412</v>
      </c>
      <c r="AU22" s="222">
        <f t="shared" si="31"/>
        <v>-107.56</v>
      </c>
      <c r="AV22" s="220"/>
      <c r="AW22" s="220">
        <f t="shared" si="32"/>
        <v>-107.56</v>
      </c>
      <c r="AX22" s="216">
        <f t="shared" si="9"/>
        <v>-107.56</v>
      </c>
      <c r="AY22" s="220">
        <f t="shared" si="33"/>
        <v>0</v>
      </c>
      <c r="AZ22" s="220">
        <f t="shared" si="34"/>
        <v>0</v>
      </c>
      <c r="BA22" s="220">
        <f t="shared" si="35"/>
        <v>0</v>
      </c>
      <c r="BB22" s="220">
        <f t="shared" si="36"/>
        <v>72.44</v>
      </c>
      <c r="BC22" s="220">
        <f t="shared" si="37"/>
        <v>0</v>
      </c>
      <c r="BD22" s="216">
        <f t="shared" si="10"/>
        <v>72.44</v>
      </c>
      <c r="BE22" s="220">
        <f t="shared" si="38"/>
        <v>0</v>
      </c>
      <c r="BF22" s="220">
        <f t="shared" si="39"/>
        <v>0</v>
      </c>
      <c r="BG22" s="220">
        <f t="shared" si="40"/>
        <v>-80</v>
      </c>
      <c r="BH22" s="220">
        <f t="shared" si="41"/>
        <v>-27.560000000000002</v>
      </c>
      <c r="BI22" s="220">
        <f t="shared" si="42"/>
        <v>0</v>
      </c>
      <c r="BJ22" s="220" t="s">
        <v>2764</v>
      </c>
      <c r="BK22" s="220"/>
      <c r="BL22" s="223">
        <f t="shared" si="11"/>
        <v>0</v>
      </c>
      <c r="BM22" s="220">
        <v>6.92</v>
      </c>
      <c r="BN22" s="220"/>
      <c r="BO22" s="220">
        <f t="shared" si="43"/>
        <v>6.92</v>
      </c>
      <c r="BP22" s="220">
        <f>IF(AND(BL22&gt;0,BL22&lt;tiet!$D$1),BL22,IF(BL22&lt;=0,0,IF(BL22&gt;tiet!$C$1,tiet!$C$1)))</f>
        <v>0</v>
      </c>
      <c r="BQ22" s="87">
        <f>VLOOKUP(P22,ma_dinhmuc_moi,4,0)</f>
        <v>80000</v>
      </c>
      <c r="BR22" s="224">
        <f>ROUND(BQ22*BP22,0)</f>
        <v>0</v>
      </c>
      <c r="BS22" s="220">
        <f t="shared" si="12"/>
        <v>0</v>
      </c>
      <c r="BT22" s="224">
        <f>VLOOKUP(N22,ma_dinhmuc!$A$1:$J$31,10,0)</f>
        <v>65000</v>
      </c>
      <c r="BU22" s="224">
        <f>ROUND(IF(BS22&gt;0,VLOOKUP(N22,ma_dinhmuc!$A$1:$J$31,10,0)*BS22,0),0)</f>
        <v>0</v>
      </c>
      <c r="BV22" s="224">
        <f>ROUND(BU22+BR22,0)</f>
        <v>0</v>
      </c>
      <c r="BW22" s="224"/>
      <c r="BX22" s="224">
        <v>0</v>
      </c>
      <c r="BY22" s="224"/>
      <c r="BZ22" s="224"/>
      <c r="CA22" s="224"/>
      <c r="CB22" s="224"/>
      <c r="CC22" s="225">
        <f t="shared" si="44"/>
        <v>0</v>
      </c>
      <c r="CD22" s="224">
        <f t="shared" si="45"/>
        <v>0</v>
      </c>
      <c r="CE22" s="224"/>
      <c r="CF22" s="226"/>
      <c r="CG22" s="87"/>
      <c r="CH22" s="87">
        <f t="shared" si="13"/>
        <v>11</v>
      </c>
      <c r="CI22" s="227" t="str">
        <f>F22</f>
        <v>Đỗ Tấn</v>
      </c>
      <c r="CJ22" s="227" t="str">
        <f>G22</f>
        <v>Dũng</v>
      </c>
      <c r="CK22" s="87">
        <f>H22</f>
        <v>1</v>
      </c>
      <c r="CL22" s="227" t="str">
        <f t="shared" si="87"/>
        <v>Bệnh cây</v>
      </c>
      <c r="CM22" s="87" t="str">
        <f t="shared" si="46"/>
        <v>CS4</v>
      </c>
      <c r="CN22" s="87">
        <f t="shared" si="95"/>
        <v>270</v>
      </c>
      <c r="CO22" s="87">
        <f t="shared" si="95"/>
        <v>200</v>
      </c>
      <c r="CP22" s="229">
        <f t="shared" si="47"/>
        <v>0</v>
      </c>
      <c r="CQ22" s="229">
        <f t="shared" si="48"/>
        <v>24.1</v>
      </c>
      <c r="CR22" s="229">
        <f t="shared" si="49"/>
        <v>9.6999999999999993</v>
      </c>
      <c r="CS22" s="229">
        <f t="shared" si="50"/>
        <v>0</v>
      </c>
      <c r="CT22" s="229">
        <f t="shared" si="51"/>
        <v>0</v>
      </c>
      <c r="CU22" s="229">
        <f t="shared" si="52"/>
        <v>94.9</v>
      </c>
      <c r="CV22" s="229">
        <f t="shared" si="53"/>
        <v>0</v>
      </c>
      <c r="CW22" s="229">
        <f t="shared" si="54"/>
        <v>84</v>
      </c>
      <c r="CX22" s="229">
        <f t="shared" si="55"/>
        <v>0</v>
      </c>
      <c r="CY22" s="229">
        <f t="shared" si="56"/>
        <v>0</v>
      </c>
      <c r="CZ22" s="229">
        <f t="shared" si="57"/>
        <v>0</v>
      </c>
      <c r="DA22" s="229">
        <f t="shared" si="58"/>
        <v>80</v>
      </c>
      <c r="DB22" s="228">
        <f t="shared" si="59"/>
        <v>292.7</v>
      </c>
      <c r="DC22" s="229"/>
      <c r="DD22" s="229"/>
      <c r="DE22" s="229"/>
      <c r="DF22" s="229"/>
      <c r="DG22" s="229"/>
      <c r="DH22" s="229"/>
      <c r="DI22" s="229"/>
      <c r="DJ22" s="229"/>
      <c r="DK22" s="229"/>
      <c r="DL22" s="229"/>
      <c r="DM22" s="229"/>
      <c r="DN22" s="229"/>
      <c r="DO22" s="228">
        <f t="shared" si="60"/>
        <v>0</v>
      </c>
      <c r="DP22" s="228">
        <f t="shared" si="61"/>
        <v>292.7</v>
      </c>
      <c r="DQ22" s="229">
        <f t="shared" si="62"/>
        <v>18</v>
      </c>
      <c r="DR22" s="229">
        <f t="shared" si="63"/>
        <v>0.9</v>
      </c>
      <c r="DS22" s="229">
        <f t="shared" si="64"/>
        <v>0</v>
      </c>
      <c r="DT22" s="229">
        <f t="shared" si="65"/>
        <v>0.4</v>
      </c>
      <c r="DU22" s="229">
        <f t="shared" si="66"/>
        <v>0</v>
      </c>
      <c r="DV22" s="229">
        <f t="shared" si="67"/>
        <v>100</v>
      </c>
      <c r="DW22" s="229">
        <f t="shared" si="68"/>
        <v>0</v>
      </c>
      <c r="DX22" s="228">
        <f t="shared" si="69"/>
        <v>119.3</v>
      </c>
      <c r="DY22" s="229"/>
      <c r="DZ22" s="229"/>
      <c r="EA22" s="229"/>
      <c r="EB22" s="229"/>
      <c r="EC22" s="229"/>
      <c r="ED22" s="229"/>
      <c r="EE22" s="229"/>
      <c r="EF22" s="228">
        <f t="shared" si="17"/>
        <v>0</v>
      </c>
      <c r="EG22" s="228">
        <f t="shared" si="70"/>
        <v>119.3</v>
      </c>
      <c r="EH22" s="229">
        <f t="shared" si="18"/>
        <v>127.5</v>
      </c>
      <c r="EI22" s="229">
        <v>2.94</v>
      </c>
      <c r="EJ22" s="228">
        <f>SUM(EH22:EI22)</f>
        <v>130.44</v>
      </c>
      <c r="EK22" s="229"/>
      <c r="EL22" s="229"/>
      <c r="EM22" s="228">
        <f t="shared" si="78"/>
        <v>0</v>
      </c>
      <c r="EN22" s="229">
        <f t="shared" si="71"/>
        <v>127.5</v>
      </c>
      <c r="EO22" s="229">
        <f t="shared" si="72"/>
        <v>2.94</v>
      </c>
      <c r="EP22" s="228">
        <f t="shared" si="88"/>
        <v>130.44</v>
      </c>
      <c r="EQ22" s="173">
        <f t="shared" si="19"/>
        <v>0</v>
      </c>
      <c r="ER22" s="189">
        <v>0</v>
      </c>
      <c r="ES22" s="189">
        <v>24.1</v>
      </c>
      <c r="ET22" s="189">
        <v>9.6999999999999993</v>
      </c>
      <c r="EU22" s="189">
        <v>0</v>
      </c>
      <c r="EV22" s="189">
        <v>0</v>
      </c>
      <c r="EW22" s="189">
        <v>94.9</v>
      </c>
      <c r="EX22" s="189">
        <v>0</v>
      </c>
      <c r="EY22" s="189">
        <v>84</v>
      </c>
      <c r="EZ22" s="189">
        <v>0</v>
      </c>
      <c r="FA22" s="189">
        <v>0</v>
      </c>
      <c r="FB22" s="189">
        <v>0</v>
      </c>
      <c r="FC22" s="189">
        <v>80</v>
      </c>
      <c r="FD22" s="189">
        <v>18</v>
      </c>
      <c r="FE22" s="189">
        <v>0.9</v>
      </c>
      <c r="FF22" s="189">
        <v>0</v>
      </c>
      <c r="FG22" s="189">
        <v>0.4</v>
      </c>
      <c r="FH22" s="189">
        <v>100</v>
      </c>
      <c r="FI22" s="189">
        <v>0</v>
      </c>
      <c r="FJ22" s="189">
        <v>0</v>
      </c>
      <c r="FK22" s="189">
        <v>412</v>
      </c>
      <c r="FL22" s="189">
        <v>368</v>
      </c>
      <c r="FN22" s="132">
        <v>127.5</v>
      </c>
    </row>
    <row r="23" spans="1:170" ht="30" customHeight="1">
      <c r="A23" s="88">
        <f>COUNTIF($H$12:H23,H23)</f>
        <v>12</v>
      </c>
      <c r="B23" s="88" t="s">
        <v>2240</v>
      </c>
      <c r="C23" s="88" t="s">
        <v>2373</v>
      </c>
      <c r="D23" s="88"/>
      <c r="E23" s="88"/>
      <c r="F23" s="301" t="s">
        <v>2903</v>
      </c>
      <c r="G23" s="89" t="s">
        <v>1161</v>
      </c>
      <c r="H23" s="88">
        <v>1</v>
      </c>
      <c r="I23" s="88">
        <v>1</v>
      </c>
      <c r="J23" s="88">
        <v>1</v>
      </c>
      <c r="K23" s="90" t="s">
        <v>3073</v>
      </c>
      <c r="L23" s="90" t="s">
        <v>3073</v>
      </c>
      <c r="M23" s="214"/>
      <c r="N23" s="88" t="s">
        <v>1804</v>
      </c>
      <c r="O23" s="216">
        <f t="shared" si="73"/>
        <v>3.33</v>
      </c>
      <c r="P23" s="88" t="str">
        <f t="shared" si="0"/>
        <v>B1_4</v>
      </c>
      <c r="Q23" s="88">
        <f t="shared" si="1"/>
        <v>270</v>
      </c>
      <c r="R23" s="88">
        <f t="shared" si="2"/>
        <v>120</v>
      </c>
      <c r="S23" s="231"/>
      <c r="T23" s="88" t="s">
        <v>3088</v>
      </c>
      <c r="U23" s="88">
        <f>IF(RIGHT(T23,1)="K",(VLOOKUP(T23,ma_miengiam!$A$3:$B$80,2,0)*100)/2,VLOOKUP(T23,ma_miengiam!$A$3:$B$80,2,0)*100)</f>
        <v>0</v>
      </c>
      <c r="V23" s="88"/>
      <c r="W23" s="220">
        <f>IF(AND(T23="NTS",V23&gt;0),(Q23-(Q23*V23)/12)*VLOOKUP(T23,ma_miengiam!$A$3:$B$80,2,0)+(Q23-(Q23*(12-V23))/12),IF(AND(RIGHT(T23,1)="K",V23&gt;0),(VLOOKUP(T23,ma_miengiam!$A$3:$B$80,2,0)/2)*(Q23*V23)/12,IF(RIGHT(T23,1)="K",(VLOOKUP(T23,ma_miengiam!$A$3:$B$80,2,0)*Q23)/2,IF(V23&gt;0,VLOOKUP(T23,ma_miengiam!$A$3:$B$80,2,0)*Q23*V23/12,VLOOKUP(T23,ma_miengiam!$A$3:$B$80,2,0)*Q23))))</f>
        <v>0</v>
      </c>
      <c r="X23" s="220">
        <f>IF(T23="NTS",VLOOKUP(T23,ma_miengiam!$A$3:$B$80,2,0)*R23*V23,IF(AND(T23="NTS",V23=0),0,IF(AND(LEFT(T23,1)="K",V23=0),VLOOKUP(T23,ma_miengiam!$A$3:$B$80,2,0)*R23,IF(LEFT(T23,1)="K",(VLOOKUP(T23,ma_miengiam!$A$3:$B$80,2,0)*R23/12)*V23,IF(AND(LEFT(T23,1)="S",V23&gt;0),(R23/12)*V23,IF(AND(LEFT(T23,1)="S",V23=0),R23,IF(T23="DH",VLOOKUP(T23,ma_miengiam!$A$3:$B$80,2,0)*R23,0)))))))</f>
        <v>0</v>
      </c>
      <c r="Y23" s="220">
        <f t="shared" si="96"/>
        <v>270</v>
      </c>
      <c r="Z23" s="220">
        <f t="shared" si="90"/>
        <v>120</v>
      </c>
      <c r="AA23" s="220">
        <f t="shared" si="97"/>
        <v>270</v>
      </c>
      <c r="AB23" s="220">
        <f t="shared" si="97"/>
        <v>120</v>
      </c>
      <c r="AC23" s="220">
        <f t="shared" si="98"/>
        <v>0</v>
      </c>
      <c r="AD23" s="220">
        <f t="shared" si="98"/>
        <v>0</v>
      </c>
      <c r="AE23" s="220">
        <f t="shared" si="98"/>
        <v>270</v>
      </c>
      <c r="AF23" s="220">
        <f t="shared" si="98"/>
        <v>120</v>
      </c>
      <c r="AG23" s="220">
        <f t="shared" si="92"/>
        <v>128.44999999999999</v>
      </c>
      <c r="AH23" s="220">
        <f t="shared" si="93"/>
        <v>15.95</v>
      </c>
      <c r="AI23" s="220">
        <f t="shared" si="94"/>
        <v>112.5</v>
      </c>
      <c r="AJ23" s="220">
        <f t="shared" si="74"/>
        <v>0</v>
      </c>
      <c r="AK23" s="216">
        <f t="shared" si="8"/>
        <v>270</v>
      </c>
      <c r="AL23" s="220">
        <f t="shared" si="22"/>
        <v>202.4</v>
      </c>
      <c r="AM23" s="220">
        <f t="shared" si="23"/>
        <v>37.799999999999997</v>
      </c>
      <c r="AN23" s="216">
        <f t="shared" si="24"/>
        <v>240.2</v>
      </c>
      <c r="AO23" s="220">
        <f t="shared" si="25"/>
        <v>0</v>
      </c>
      <c r="AP23" s="220">
        <f t="shared" si="26"/>
        <v>0</v>
      </c>
      <c r="AQ23" s="220">
        <f t="shared" si="27"/>
        <v>80</v>
      </c>
      <c r="AR23" s="220">
        <f t="shared" si="28"/>
        <v>0</v>
      </c>
      <c r="AS23" s="220">
        <f t="shared" si="29"/>
        <v>0</v>
      </c>
      <c r="AT23" s="216">
        <f t="shared" si="30"/>
        <v>320.2</v>
      </c>
      <c r="AU23" s="220">
        <f t="shared" si="31"/>
        <v>-29.800000000000011</v>
      </c>
      <c r="AV23" s="220"/>
      <c r="AW23" s="220">
        <f t="shared" si="32"/>
        <v>-29.800000000000011</v>
      </c>
      <c r="AX23" s="216">
        <f t="shared" si="9"/>
        <v>-29.800000000000011</v>
      </c>
      <c r="AY23" s="220">
        <f t="shared" si="33"/>
        <v>0</v>
      </c>
      <c r="AZ23" s="220">
        <f t="shared" si="34"/>
        <v>0</v>
      </c>
      <c r="BA23" s="220">
        <f t="shared" si="35"/>
        <v>50.199999999999989</v>
      </c>
      <c r="BB23" s="220">
        <f t="shared" si="36"/>
        <v>0</v>
      </c>
      <c r="BC23" s="220">
        <f t="shared" si="37"/>
        <v>0</v>
      </c>
      <c r="BD23" s="216">
        <f t="shared" si="10"/>
        <v>50.199999999999989</v>
      </c>
      <c r="BE23" s="220">
        <f t="shared" si="38"/>
        <v>0</v>
      </c>
      <c r="BF23" s="220">
        <f t="shared" si="39"/>
        <v>0</v>
      </c>
      <c r="BG23" s="220">
        <f t="shared" si="40"/>
        <v>-29.800000000000011</v>
      </c>
      <c r="BH23" s="220">
        <f t="shared" si="41"/>
        <v>0</v>
      </c>
      <c r="BI23" s="220">
        <f t="shared" si="42"/>
        <v>0</v>
      </c>
      <c r="BJ23" s="220" t="s">
        <v>2764</v>
      </c>
      <c r="BK23" s="220"/>
      <c r="BL23" s="223">
        <f t="shared" si="11"/>
        <v>0</v>
      </c>
      <c r="BM23" s="220">
        <v>3.33</v>
      </c>
      <c r="BN23" s="220"/>
      <c r="BO23" s="220">
        <f t="shared" si="43"/>
        <v>3.33</v>
      </c>
      <c r="BP23" s="220">
        <f>IF(AND(BL23&gt;0,BL23&lt;tiet!$D$1),BL23,IF(BL23&lt;=0,0,IF(BL23&gt;tiet!$C$1,tiet!$C$1)))</f>
        <v>0</v>
      </c>
      <c r="BQ23" s="87">
        <f t="shared" si="75"/>
        <v>65000</v>
      </c>
      <c r="BR23" s="224">
        <f t="shared" si="76"/>
        <v>0</v>
      </c>
      <c r="BS23" s="220">
        <f t="shared" si="12"/>
        <v>0</v>
      </c>
      <c r="BT23" s="224">
        <f>VLOOKUP(N23,ma_dinhmuc!$A$1:$J$31,10,0)</f>
        <v>51000</v>
      </c>
      <c r="BU23" s="224">
        <f>ROUND(IF(BS23&gt;0,VLOOKUP(N23,ma_dinhmuc!$A$1:$J$31,10,0)*BS23,0),0)</f>
        <v>0</v>
      </c>
      <c r="BV23" s="224">
        <f t="shared" si="77"/>
        <v>0</v>
      </c>
      <c r="BW23" s="224"/>
      <c r="BX23" s="224">
        <v>0</v>
      </c>
      <c r="BY23" s="224"/>
      <c r="BZ23" s="224"/>
      <c r="CA23" s="224"/>
      <c r="CB23" s="224"/>
      <c r="CC23" s="225">
        <f t="shared" si="44"/>
        <v>0</v>
      </c>
      <c r="CD23" s="224">
        <f t="shared" si="45"/>
        <v>0</v>
      </c>
      <c r="CE23" s="224"/>
      <c r="CF23" s="226"/>
      <c r="CG23" s="87"/>
      <c r="CH23" s="87">
        <f t="shared" si="13"/>
        <v>12</v>
      </c>
      <c r="CI23" s="227" t="str">
        <f t="shared" si="82"/>
        <v>Đỗ Trung</v>
      </c>
      <c r="CJ23" s="227" t="str">
        <f t="shared" si="83"/>
        <v>Kiên</v>
      </c>
      <c r="CK23" s="87">
        <f t="shared" si="86"/>
        <v>1</v>
      </c>
      <c r="CL23" s="227" t="str">
        <f t="shared" si="87"/>
        <v>Bệnh cây</v>
      </c>
      <c r="CM23" s="87" t="str">
        <f t="shared" si="46"/>
        <v>CS2</v>
      </c>
      <c r="CN23" s="87">
        <f t="shared" ref="CN23:CO25" si="99">Q23</f>
        <v>270</v>
      </c>
      <c r="CO23" s="87">
        <f t="shared" si="99"/>
        <v>120</v>
      </c>
      <c r="CP23" s="229">
        <f t="shared" si="47"/>
        <v>0</v>
      </c>
      <c r="CQ23" s="229">
        <f t="shared" si="48"/>
        <v>8.1</v>
      </c>
      <c r="CR23" s="229">
        <f t="shared" si="49"/>
        <v>3.3</v>
      </c>
      <c r="CS23" s="229">
        <f t="shared" si="50"/>
        <v>63</v>
      </c>
      <c r="CT23" s="229">
        <f t="shared" si="51"/>
        <v>0</v>
      </c>
      <c r="CU23" s="229">
        <f t="shared" si="52"/>
        <v>44</v>
      </c>
      <c r="CV23" s="229">
        <f t="shared" si="53"/>
        <v>0</v>
      </c>
      <c r="CW23" s="229">
        <f t="shared" si="54"/>
        <v>84</v>
      </c>
      <c r="CX23" s="229">
        <f t="shared" si="55"/>
        <v>0</v>
      </c>
      <c r="CY23" s="229">
        <f t="shared" si="56"/>
        <v>0</v>
      </c>
      <c r="CZ23" s="229">
        <f t="shared" si="57"/>
        <v>0</v>
      </c>
      <c r="DA23" s="229">
        <f t="shared" si="58"/>
        <v>80</v>
      </c>
      <c r="DB23" s="228">
        <f t="shared" si="59"/>
        <v>282.39999999999998</v>
      </c>
      <c r="DC23" s="229"/>
      <c r="DD23" s="229"/>
      <c r="DE23" s="229"/>
      <c r="DF23" s="229"/>
      <c r="DG23" s="229"/>
      <c r="DH23" s="229"/>
      <c r="DI23" s="229"/>
      <c r="DJ23" s="229"/>
      <c r="DK23" s="229"/>
      <c r="DL23" s="229"/>
      <c r="DM23" s="229"/>
      <c r="DN23" s="229"/>
      <c r="DO23" s="228">
        <f t="shared" si="60"/>
        <v>0</v>
      </c>
      <c r="DP23" s="228">
        <f t="shared" si="61"/>
        <v>282.39999999999998</v>
      </c>
      <c r="DQ23" s="229">
        <f t="shared" si="62"/>
        <v>36</v>
      </c>
      <c r="DR23" s="229">
        <f t="shared" si="63"/>
        <v>1.3</v>
      </c>
      <c r="DS23" s="229">
        <f t="shared" si="64"/>
        <v>0</v>
      </c>
      <c r="DT23" s="229">
        <f t="shared" si="65"/>
        <v>0.5</v>
      </c>
      <c r="DU23" s="229">
        <f t="shared" si="66"/>
        <v>0</v>
      </c>
      <c r="DV23" s="229">
        <f t="shared" si="67"/>
        <v>0</v>
      </c>
      <c r="DW23" s="229">
        <f t="shared" si="68"/>
        <v>0</v>
      </c>
      <c r="DX23" s="228">
        <f t="shared" si="69"/>
        <v>37.799999999999997</v>
      </c>
      <c r="DY23" s="229"/>
      <c r="DZ23" s="229"/>
      <c r="EA23" s="229"/>
      <c r="EB23" s="229"/>
      <c r="EC23" s="229"/>
      <c r="ED23" s="229"/>
      <c r="EE23" s="229"/>
      <c r="EF23" s="228">
        <f t="shared" si="17"/>
        <v>0</v>
      </c>
      <c r="EG23" s="228">
        <f t="shared" si="70"/>
        <v>37.799999999999997</v>
      </c>
      <c r="EH23" s="229">
        <f t="shared" si="18"/>
        <v>112.5</v>
      </c>
      <c r="EI23" s="229">
        <v>15.95</v>
      </c>
      <c r="EJ23" s="228">
        <f t="shared" si="84"/>
        <v>128.44999999999999</v>
      </c>
      <c r="EK23" s="229"/>
      <c r="EL23" s="229"/>
      <c r="EM23" s="228">
        <f t="shared" si="78"/>
        <v>0</v>
      </c>
      <c r="EN23" s="229">
        <f t="shared" si="71"/>
        <v>112.5</v>
      </c>
      <c r="EO23" s="229">
        <f t="shared" si="72"/>
        <v>15.95</v>
      </c>
      <c r="EP23" s="228">
        <f t="shared" si="88"/>
        <v>128.44999999999999</v>
      </c>
      <c r="EQ23" s="173">
        <f t="shared" si="19"/>
        <v>0</v>
      </c>
      <c r="ER23" s="189">
        <v>0</v>
      </c>
      <c r="ES23" s="189">
        <v>8.1</v>
      </c>
      <c r="ET23" s="189">
        <v>3.3</v>
      </c>
      <c r="EU23" s="189">
        <v>63</v>
      </c>
      <c r="EV23" s="189">
        <v>0</v>
      </c>
      <c r="EW23" s="189">
        <v>44</v>
      </c>
      <c r="EX23" s="189">
        <v>0</v>
      </c>
      <c r="EY23" s="189">
        <v>84</v>
      </c>
      <c r="EZ23" s="189">
        <v>0</v>
      </c>
      <c r="FA23" s="189">
        <v>0</v>
      </c>
      <c r="FB23" s="189">
        <v>0</v>
      </c>
      <c r="FC23" s="189">
        <v>80</v>
      </c>
      <c r="FD23" s="189">
        <v>36</v>
      </c>
      <c r="FE23" s="189">
        <v>1.3</v>
      </c>
      <c r="FF23" s="189">
        <v>0</v>
      </c>
      <c r="FG23" s="189">
        <v>0.5</v>
      </c>
      <c r="FH23" s="189">
        <v>0</v>
      </c>
      <c r="FI23" s="189">
        <v>0</v>
      </c>
      <c r="FJ23" s="189">
        <v>0</v>
      </c>
      <c r="FK23" s="189">
        <v>320.2</v>
      </c>
      <c r="FL23" s="189">
        <v>285</v>
      </c>
      <c r="FN23" s="132">
        <v>112.5</v>
      </c>
    </row>
    <row r="24" spans="1:170" ht="60">
      <c r="A24" s="88">
        <f>COUNTIF($H$12:H24,H24)</f>
        <v>13</v>
      </c>
      <c r="B24" s="88" t="s">
        <v>2241</v>
      </c>
      <c r="C24" s="88" t="s">
        <v>1836</v>
      </c>
      <c r="D24" s="88"/>
      <c r="E24" s="88"/>
      <c r="F24" s="301" t="s">
        <v>1162</v>
      </c>
      <c r="G24" s="303" t="s">
        <v>607</v>
      </c>
      <c r="H24" s="88">
        <v>1</v>
      </c>
      <c r="I24" s="88">
        <v>1</v>
      </c>
      <c r="J24" s="88">
        <v>1</v>
      </c>
      <c r="K24" s="90" t="s">
        <v>3073</v>
      </c>
      <c r="L24" s="90" t="s">
        <v>3073</v>
      </c>
      <c r="M24" s="214"/>
      <c r="N24" s="88" t="s">
        <v>606</v>
      </c>
      <c r="O24" s="216">
        <f t="shared" si="73"/>
        <v>4.4000000000000004</v>
      </c>
      <c r="P24" s="88" t="str">
        <f t="shared" si="0"/>
        <v>B1_4</v>
      </c>
      <c r="Q24" s="88">
        <f t="shared" si="1"/>
        <v>270</v>
      </c>
      <c r="R24" s="88">
        <f t="shared" si="2"/>
        <v>120</v>
      </c>
      <c r="S24" s="231" t="s">
        <v>688</v>
      </c>
      <c r="T24" s="88" t="s">
        <v>3092</v>
      </c>
      <c r="U24" s="88">
        <f>IF(RIGHT(T24,1)="K",(VLOOKUP(T24,ma_miengiam!$A$3:$B$80,2,0)*100)/2,VLOOKUP(T24,ma_miengiam!$A$3:$B$80,2,0)*100)</f>
        <v>25</v>
      </c>
      <c r="V24" s="88"/>
      <c r="W24" s="220">
        <f>IF(AND(T24="NTS",V24&gt;0),(Q24-(Q24*V24)/12)*VLOOKUP(T24,ma_miengiam!$A$3:$B$80,2,0)+(Q24-(Q24*(12-V24))/12),IF(AND(RIGHT(T24,1)="K",V24&gt;0),(VLOOKUP(T24,ma_miengiam!$A$3:$B$80,2,0)/2)*(Q24*V24)/12,IF(RIGHT(T24,1)="K",(VLOOKUP(T24,ma_miengiam!$A$3:$B$80,2,0)*Q24)/2,IF(V24&gt;0,VLOOKUP(T24,ma_miengiam!$A$3:$B$80,2,0)*Q24*V24/12,VLOOKUP(T24,ma_miengiam!$A$3:$B$80,2,0)*Q24))))</f>
        <v>67.5</v>
      </c>
      <c r="X24" s="220">
        <f>IF(T24="NTS",VLOOKUP(T24,ma_miengiam!$A$3:$B$80,2,0)*R24*V24,IF(AND(T24="NTS",V24=0),0,IF(AND(LEFT(T24,1)="K",V24=0),VLOOKUP(T24,ma_miengiam!$A$3:$B$80,2,0)*R24,IF(LEFT(T24,1)="K",(VLOOKUP(T24,ma_miengiam!$A$3:$B$80,2,0)*R24/12)*V24,IF(AND(LEFT(T24,1)="S",V24&gt;0),(R24/12)*V24,IF(AND(LEFT(T24,1)="S",V24=0),R24,IF(T24="DH",VLOOKUP(T24,ma_miengiam!$A$3:$B$80,2,0)*R24,0)))))))</f>
        <v>0</v>
      </c>
      <c r="Y24" s="220">
        <f>IF(AND(T24="DH",V24&gt;0),(S24*V24/12),IF(AND(T24&lt;&gt;"NTS",V24&gt;0),(Q24*V24/12)-W24,IF(AND(T24="NTS",V24&gt;0),Q24-W24,Q24-W24)))</f>
        <v>202.5</v>
      </c>
      <c r="Z24" s="220">
        <f t="shared" si="90"/>
        <v>120</v>
      </c>
      <c r="AA24" s="220">
        <f t="shared" si="97"/>
        <v>270</v>
      </c>
      <c r="AB24" s="220">
        <f t="shared" si="97"/>
        <v>120</v>
      </c>
      <c r="AC24" s="220">
        <f t="shared" ref="AC24:AF25" si="100">W24</f>
        <v>67.5</v>
      </c>
      <c r="AD24" s="220">
        <f t="shared" si="100"/>
        <v>0</v>
      </c>
      <c r="AE24" s="220">
        <f t="shared" si="100"/>
        <v>202.5</v>
      </c>
      <c r="AF24" s="220">
        <f t="shared" si="100"/>
        <v>120</v>
      </c>
      <c r="AG24" s="220">
        <f t="shared" si="92"/>
        <v>103.96000000000001</v>
      </c>
      <c r="AH24" s="220">
        <f t="shared" si="93"/>
        <v>8.1199999999999992</v>
      </c>
      <c r="AI24" s="220">
        <f t="shared" si="94"/>
        <v>95.84</v>
      </c>
      <c r="AJ24" s="220">
        <f>IF(AG24-Z24&gt;0,0,AG24-Z24)</f>
        <v>-16.039999999999992</v>
      </c>
      <c r="AK24" s="216">
        <f t="shared" si="8"/>
        <v>218.54</v>
      </c>
      <c r="AL24" s="220">
        <f t="shared" si="22"/>
        <v>143.30000000000001</v>
      </c>
      <c r="AM24" s="220">
        <f t="shared" si="23"/>
        <v>38.599999999999994</v>
      </c>
      <c r="AN24" s="221">
        <f t="shared" si="24"/>
        <v>181.9</v>
      </c>
      <c r="AO24" s="220">
        <f t="shared" si="25"/>
        <v>0</v>
      </c>
      <c r="AP24" s="220">
        <f t="shared" si="26"/>
        <v>0</v>
      </c>
      <c r="AQ24" s="220">
        <f t="shared" si="27"/>
        <v>120</v>
      </c>
      <c r="AR24" s="220">
        <f t="shared" si="28"/>
        <v>120</v>
      </c>
      <c r="AS24" s="220">
        <f t="shared" si="29"/>
        <v>20</v>
      </c>
      <c r="AT24" s="216">
        <f t="shared" si="30"/>
        <v>441.9</v>
      </c>
      <c r="AU24" s="222">
        <f t="shared" si="31"/>
        <v>-36.639999999999986</v>
      </c>
      <c r="AV24" s="220"/>
      <c r="AW24" s="220">
        <f t="shared" si="32"/>
        <v>-36.639999999999986</v>
      </c>
      <c r="AX24" s="216">
        <f t="shared" si="9"/>
        <v>-36.639999999999986</v>
      </c>
      <c r="AY24" s="220">
        <f t="shared" si="33"/>
        <v>0</v>
      </c>
      <c r="AZ24" s="220">
        <f t="shared" si="34"/>
        <v>0</v>
      </c>
      <c r="BA24" s="220">
        <f t="shared" si="35"/>
        <v>83.359999999999985</v>
      </c>
      <c r="BB24" s="220">
        <f t="shared" si="36"/>
        <v>120</v>
      </c>
      <c r="BC24" s="220">
        <f t="shared" si="37"/>
        <v>20</v>
      </c>
      <c r="BD24" s="216">
        <f t="shared" si="10"/>
        <v>223.35999999999999</v>
      </c>
      <c r="BE24" s="220">
        <f t="shared" si="38"/>
        <v>0</v>
      </c>
      <c r="BF24" s="220">
        <f t="shared" si="39"/>
        <v>0</v>
      </c>
      <c r="BG24" s="220">
        <f t="shared" si="40"/>
        <v>-36.640000000000015</v>
      </c>
      <c r="BH24" s="220">
        <f t="shared" si="41"/>
        <v>0</v>
      </c>
      <c r="BI24" s="220">
        <f t="shared" si="42"/>
        <v>0</v>
      </c>
      <c r="BJ24" s="220" t="s">
        <v>2764</v>
      </c>
      <c r="BK24" s="220"/>
      <c r="BL24" s="223">
        <f t="shared" si="11"/>
        <v>0</v>
      </c>
      <c r="BM24" s="220">
        <v>4.4000000000000004</v>
      </c>
      <c r="BN24" s="220"/>
      <c r="BO24" s="220">
        <f t="shared" si="43"/>
        <v>4.4000000000000004</v>
      </c>
      <c r="BP24" s="220">
        <f>IF(AND(BL24&gt;0,BL24&lt;tiet!$D$1),BL24,IF(BL24&lt;=0,0,IF(BL24&gt;tiet!$C$1,tiet!$C$1)))</f>
        <v>0</v>
      </c>
      <c r="BQ24" s="87">
        <f>VLOOKUP(P24,ma_dinhmuc_moi,4,0)</f>
        <v>65000</v>
      </c>
      <c r="BR24" s="224">
        <f>ROUND(BQ24*BP24,0)</f>
        <v>0</v>
      </c>
      <c r="BS24" s="220">
        <f t="shared" si="12"/>
        <v>0</v>
      </c>
      <c r="BT24" s="224">
        <f>VLOOKUP(N24,ma_dinhmuc!$A$1:$J$31,10,0)</f>
        <v>55000</v>
      </c>
      <c r="BU24" s="224">
        <f>ROUND(IF(BS24&gt;0,VLOOKUP(N24,ma_dinhmuc!$A$1:$J$31,10,0)*BS24,0),0)</f>
        <v>0</v>
      </c>
      <c r="BV24" s="224">
        <f>ROUND(BU24+BR24,0)</f>
        <v>0</v>
      </c>
      <c r="BW24" s="224"/>
      <c r="BX24" s="224">
        <v>0</v>
      </c>
      <c r="BY24" s="224"/>
      <c r="BZ24" s="224"/>
      <c r="CA24" s="224"/>
      <c r="CB24" s="224"/>
      <c r="CC24" s="225">
        <f t="shared" si="44"/>
        <v>0</v>
      </c>
      <c r="CD24" s="224">
        <f t="shared" si="45"/>
        <v>0</v>
      </c>
      <c r="CE24" s="224"/>
      <c r="CF24" s="226"/>
      <c r="CG24" s="87"/>
      <c r="CH24" s="87">
        <f t="shared" si="13"/>
        <v>13</v>
      </c>
      <c r="CI24" s="227" t="str">
        <f t="shared" ref="CI24:CJ27" si="101">F24</f>
        <v>Nguyễn Đức</v>
      </c>
      <c r="CJ24" s="227" t="str">
        <f t="shared" si="101"/>
        <v>Huy</v>
      </c>
      <c r="CK24" s="87">
        <f>H24</f>
        <v>1</v>
      </c>
      <c r="CL24" s="227" t="str">
        <f t="shared" si="87"/>
        <v>Bệnh cây</v>
      </c>
      <c r="CM24" s="87" t="str">
        <f t="shared" si="46"/>
        <v>CS3</v>
      </c>
      <c r="CN24" s="87">
        <f t="shared" si="99"/>
        <v>270</v>
      </c>
      <c r="CO24" s="87">
        <f t="shared" si="99"/>
        <v>120</v>
      </c>
      <c r="CP24" s="229">
        <f t="shared" si="47"/>
        <v>0</v>
      </c>
      <c r="CQ24" s="229">
        <f t="shared" si="48"/>
        <v>13.7</v>
      </c>
      <c r="CR24" s="229">
        <f t="shared" si="49"/>
        <v>5.6</v>
      </c>
      <c r="CS24" s="229">
        <f t="shared" si="50"/>
        <v>0</v>
      </c>
      <c r="CT24" s="229">
        <f t="shared" si="51"/>
        <v>0</v>
      </c>
      <c r="CU24" s="229">
        <f t="shared" si="52"/>
        <v>44</v>
      </c>
      <c r="CV24" s="229">
        <f t="shared" si="53"/>
        <v>0</v>
      </c>
      <c r="CW24" s="229">
        <f t="shared" si="54"/>
        <v>80</v>
      </c>
      <c r="CX24" s="229">
        <f t="shared" si="55"/>
        <v>0</v>
      </c>
      <c r="CY24" s="229">
        <f t="shared" si="56"/>
        <v>0</v>
      </c>
      <c r="CZ24" s="229">
        <f t="shared" si="57"/>
        <v>0</v>
      </c>
      <c r="DA24" s="229">
        <f t="shared" si="58"/>
        <v>120</v>
      </c>
      <c r="DB24" s="228">
        <f t="shared" si="59"/>
        <v>263.3</v>
      </c>
      <c r="DC24" s="229"/>
      <c r="DD24" s="229"/>
      <c r="DE24" s="229"/>
      <c r="DF24" s="229"/>
      <c r="DG24" s="229"/>
      <c r="DH24" s="229"/>
      <c r="DI24" s="229"/>
      <c r="DJ24" s="229"/>
      <c r="DK24" s="229"/>
      <c r="DL24" s="229"/>
      <c r="DM24" s="229"/>
      <c r="DN24" s="229"/>
      <c r="DO24" s="228">
        <f t="shared" si="60"/>
        <v>0</v>
      </c>
      <c r="DP24" s="228">
        <f t="shared" si="61"/>
        <v>263.3</v>
      </c>
      <c r="DQ24" s="229">
        <f t="shared" si="62"/>
        <v>36</v>
      </c>
      <c r="DR24" s="229">
        <f t="shared" si="63"/>
        <v>1.8</v>
      </c>
      <c r="DS24" s="229">
        <f t="shared" si="64"/>
        <v>0</v>
      </c>
      <c r="DT24" s="229">
        <f t="shared" si="65"/>
        <v>0.8</v>
      </c>
      <c r="DU24" s="229">
        <f t="shared" si="66"/>
        <v>0</v>
      </c>
      <c r="DV24" s="229">
        <f t="shared" si="67"/>
        <v>120</v>
      </c>
      <c r="DW24" s="229">
        <f t="shared" si="68"/>
        <v>20</v>
      </c>
      <c r="DX24" s="228">
        <f t="shared" si="69"/>
        <v>178.6</v>
      </c>
      <c r="DY24" s="229"/>
      <c r="DZ24" s="229"/>
      <c r="EA24" s="229"/>
      <c r="EB24" s="229"/>
      <c r="EC24" s="229"/>
      <c r="ED24" s="229"/>
      <c r="EE24" s="229"/>
      <c r="EF24" s="228">
        <f t="shared" si="17"/>
        <v>0</v>
      </c>
      <c r="EG24" s="228">
        <f t="shared" si="70"/>
        <v>178.6</v>
      </c>
      <c r="EH24" s="229">
        <f t="shared" si="18"/>
        <v>95.84</v>
      </c>
      <c r="EI24" s="229">
        <v>8.1199999999999992</v>
      </c>
      <c r="EJ24" s="228">
        <f>SUM(EH24:EI24)</f>
        <v>103.96000000000001</v>
      </c>
      <c r="EK24" s="229"/>
      <c r="EL24" s="229"/>
      <c r="EM24" s="228">
        <f t="shared" si="78"/>
        <v>0</v>
      </c>
      <c r="EN24" s="229">
        <f t="shared" si="71"/>
        <v>95.84</v>
      </c>
      <c r="EO24" s="229">
        <f t="shared" si="72"/>
        <v>8.1199999999999992</v>
      </c>
      <c r="EP24" s="228">
        <f t="shared" si="88"/>
        <v>103.96000000000001</v>
      </c>
      <c r="EQ24" s="173">
        <f t="shared" si="19"/>
        <v>0</v>
      </c>
      <c r="ER24" s="189">
        <v>0</v>
      </c>
      <c r="ES24" s="189">
        <v>13.7</v>
      </c>
      <c r="ET24" s="189">
        <v>5.6</v>
      </c>
      <c r="EU24" s="189">
        <v>0</v>
      </c>
      <c r="EV24" s="189">
        <v>0</v>
      </c>
      <c r="EW24" s="189">
        <v>44</v>
      </c>
      <c r="EX24" s="189">
        <v>0</v>
      </c>
      <c r="EY24" s="189">
        <v>80</v>
      </c>
      <c r="EZ24" s="189">
        <v>0</v>
      </c>
      <c r="FA24" s="189">
        <v>0</v>
      </c>
      <c r="FB24" s="189">
        <v>0</v>
      </c>
      <c r="FC24" s="189">
        <v>120</v>
      </c>
      <c r="FD24" s="189">
        <v>36</v>
      </c>
      <c r="FE24" s="189">
        <v>1.8</v>
      </c>
      <c r="FF24" s="189">
        <v>0</v>
      </c>
      <c r="FG24" s="189">
        <v>0.8</v>
      </c>
      <c r="FH24" s="189">
        <v>120</v>
      </c>
      <c r="FI24" s="189">
        <v>0</v>
      </c>
      <c r="FJ24" s="189">
        <v>20</v>
      </c>
      <c r="FK24" s="189">
        <v>441.9</v>
      </c>
      <c r="FL24" s="189">
        <v>394</v>
      </c>
      <c r="FN24" s="132">
        <v>95.84</v>
      </c>
    </row>
    <row r="25" spans="1:170" ht="45">
      <c r="A25" s="88">
        <f>COUNTIF($H$12:H25,H25)</f>
        <v>14</v>
      </c>
      <c r="B25" s="88" t="s">
        <v>2242</v>
      </c>
      <c r="C25" s="88" t="s">
        <v>1837</v>
      </c>
      <c r="D25" s="88"/>
      <c r="E25" s="88"/>
      <c r="F25" s="301" t="s">
        <v>16</v>
      </c>
      <c r="G25" s="89" t="s">
        <v>17</v>
      </c>
      <c r="H25" s="88">
        <v>1</v>
      </c>
      <c r="I25" s="88">
        <v>1</v>
      </c>
      <c r="J25" s="88">
        <v>1</v>
      </c>
      <c r="K25" s="90" t="s">
        <v>3073</v>
      </c>
      <c r="L25" s="90" t="s">
        <v>3073</v>
      </c>
      <c r="M25" s="214"/>
      <c r="N25" s="88" t="s">
        <v>606</v>
      </c>
      <c r="O25" s="216">
        <f t="shared" si="73"/>
        <v>4.74</v>
      </c>
      <c r="P25" s="88" t="str">
        <f t="shared" si="0"/>
        <v>B1_5</v>
      </c>
      <c r="Q25" s="88">
        <f t="shared" si="1"/>
        <v>270</v>
      </c>
      <c r="R25" s="88">
        <f t="shared" si="2"/>
        <v>150</v>
      </c>
      <c r="S25" s="231" t="s">
        <v>2529</v>
      </c>
      <c r="T25" s="88" t="s">
        <v>3093</v>
      </c>
      <c r="U25" s="88">
        <f>IF(RIGHT(T25,1)="K",(VLOOKUP(T25,ma_miengiam!$A$3:$B$80,2,0)*100)/2,VLOOKUP(T25,ma_miengiam!$A$3:$B$80,2,0)*100)</f>
        <v>30</v>
      </c>
      <c r="V25" s="88"/>
      <c r="W25" s="220">
        <f>IF(AND(T25="NTS",V25&gt;0),(Q25-(Q25*V25)/12)*VLOOKUP(T25,ma_miengiam!$A$3:$B$80,2,0)+(Q25-(Q25*(12-V25))/12),IF(AND(RIGHT(T25,1)="K",V25&gt;0),(VLOOKUP(T25,ma_miengiam!$A$3:$B$80,2,0)/2)*(Q25*V25)/12,IF(RIGHT(T25,1)="K",(VLOOKUP(T25,ma_miengiam!$A$3:$B$80,2,0)*Q25)/2,IF(V25&gt;0,VLOOKUP(T25,ma_miengiam!$A$3:$B$80,2,0)*Q25*V25/12,VLOOKUP(T25,ma_miengiam!$A$3:$B$80,2,0)*Q25))))</f>
        <v>81</v>
      </c>
      <c r="X25" s="220">
        <f>IF(T25="NTS",VLOOKUP(T25,ma_miengiam!$A$3:$B$80,2,0)*R25*V25,IF(AND(T25="NTS",V25=0),0,IF(AND(LEFT(T25,1)="K",V25=0),VLOOKUP(T25,ma_miengiam!$A$3:$B$80,2,0)*R25,IF(LEFT(T25,1)="K",(VLOOKUP(T25,ma_miengiam!$A$3:$B$80,2,0)*R25/12)*V25,IF(AND(LEFT(T25,1)="S",V25&gt;0),(R25/12)*V25,IF(AND(LEFT(T25,1)="S",V25=0),R25,IF(T25="DH",VLOOKUP(T25,ma_miengiam!$A$3:$B$80,2,0)*R25,0)))))))</f>
        <v>0</v>
      </c>
      <c r="Y25" s="220">
        <f>IF(AND(T25="DH",V25&gt;0),(S25*V25/12),IF(AND(T25&lt;&gt;"NTS",V25&gt;0),(Q25*V25/12)-W25,IF(AND(T25="NTS",V25&gt;0),Q25-W25,Q25-W25)))</f>
        <v>189</v>
      </c>
      <c r="Z25" s="220">
        <f t="shared" si="90"/>
        <v>150</v>
      </c>
      <c r="AA25" s="220">
        <f t="shared" si="97"/>
        <v>270</v>
      </c>
      <c r="AB25" s="220">
        <f t="shared" si="97"/>
        <v>150</v>
      </c>
      <c r="AC25" s="220">
        <f t="shared" si="100"/>
        <v>81</v>
      </c>
      <c r="AD25" s="220">
        <f t="shared" si="100"/>
        <v>0</v>
      </c>
      <c r="AE25" s="220">
        <f t="shared" si="100"/>
        <v>189</v>
      </c>
      <c r="AF25" s="220">
        <f t="shared" si="100"/>
        <v>150</v>
      </c>
      <c r="AG25" s="220">
        <f t="shared" si="92"/>
        <v>30.95</v>
      </c>
      <c r="AH25" s="220">
        <f t="shared" si="93"/>
        <v>15.95</v>
      </c>
      <c r="AI25" s="220">
        <f t="shared" si="94"/>
        <v>15</v>
      </c>
      <c r="AJ25" s="220">
        <f t="shared" si="74"/>
        <v>-119.05</v>
      </c>
      <c r="AK25" s="216">
        <f t="shared" si="8"/>
        <v>308.05</v>
      </c>
      <c r="AL25" s="220">
        <f t="shared" si="22"/>
        <v>144.5</v>
      </c>
      <c r="AM25" s="220">
        <f t="shared" si="23"/>
        <v>19.8</v>
      </c>
      <c r="AN25" s="221">
        <f t="shared" si="24"/>
        <v>164.3</v>
      </c>
      <c r="AO25" s="220">
        <f t="shared" si="25"/>
        <v>0</v>
      </c>
      <c r="AP25" s="220">
        <f t="shared" si="26"/>
        <v>0</v>
      </c>
      <c r="AQ25" s="220">
        <f t="shared" si="27"/>
        <v>60</v>
      </c>
      <c r="AR25" s="220">
        <f t="shared" si="28"/>
        <v>0</v>
      </c>
      <c r="AS25" s="220">
        <f t="shared" si="29"/>
        <v>0</v>
      </c>
      <c r="AT25" s="216">
        <f t="shared" si="30"/>
        <v>224.3</v>
      </c>
      <c r="AU25" s="222">
        <f t="shared" si="31"/>
        <v>-143.75</v>
      </c>
      <c r="AV25" s="220"/>
      <c r="AW25" s="220">
        <f t="shared" si="32"/>
        <v>-143.75</v>
      </c>
      <c r="AX25" s="216">
        <f t="shared" si="9"/>
        <v>-143.75</v>
      </c>
      <c r="AY25" s="220">
        <f t="shared" si="33"/>
        <v>0</v>
      </c>
      <c r="AZ25" s="220">
        <f t="shared" si="34"/>
        <v>0</v>
      </c>
      <c r="BA25" s="220">
        <f t="shared" si="35"/>
        <v>0</v>
      </c>
      <c r="BB25" s="220">
        <f t="shared" si="36"/>
        <v>0</v>
      </c>
      <c r="BC25" s="220">
        <f t="shared" si="37"/>
        <v>0</v>
      </c>
      <c r="BD25" s="216">
        <f t="shared" si="10"/>
        <v>0</v>
      </c>
      <c r="BE25" s="220">
        <f t="shared" si="38"/>
        <v>0</v>
      </c>
      <c r="BF25" s="220">
        <f t="shared" si="39"/>
        <v>0</v>
      </c>
      <c r="BG25" s="220">
        <f t="shared" si="40"/>
        <v>-60</v>
      </c>
      <c r="BH25" s="220">
        <f t="shared" si="41"/>
        <v>0</v>
      </c>
      <c r="BI25" s="220">
        <f t="shared" si="42"/>
        <v>0</v>
      </c>
      <c r="BJ25" s="220" t="s">
        <v>2764</v>
      </c>
      <c r="BK25" s="220"/>
      <c r="BL25" s="223">
        <f t="shared" si="11"/>
        <v>0</v>
      </c>
      <c r="BM25" s="220">
        <v>4.74</v>
      </c>
      <c r="BN25" s="220"/>
      <c r="BO25" s="220">
        <f t="shared" si="43"/>
        <v>4.74</v>
      </c>
      <c r="BP25" s="220">
        <f>IF(AND(BL25&gt;0,BL25&lt;tiet!$D$1),BL25,IF(BL25&lt;=0,0,IF(BL25&gt;tiet!$C$1,tiet!$C$1)))</f>
        <v>0</v>
      </c>
      <c r="BQ25" s="87">
        <f t="shared" si="75"/>
        <v>70000</v>
      </c>
      <c r="BR25" s="224">
        <f t="shared" si="76"/>
        <v>0</v>
      </c>
      <c r="BS25" s="220">
        <f t="shared" si="12"/>
        <v>0</v>
      </c>
      <c r="BT25" s="224">
        <f>VLOOKUP(N25,ma_dinhmuc!$A$1:$J$31,10,0)</f>
        <v>55000</v>
      </c>
      <c r="BU25" s="224">
        <f>ROUND(IF(BS25&gt;0,VLOOKUP(N25,ma_dinhmuc!$A$1:$J$31,10,0)*BS25,0),0)</f>
        <v>0</v>
      </c>
      <c r="BV25" s="224">
        <f t="shared" si="77"/>
        <v>0</v>
      </c>
      <c r="BW25" s="224"/>
      <c r="BX25" s="224">
        <v>0</v>
      </c>
      <c r="BY25" s="224"/>
      <c r="BZ25" s="224"/>
      <c r="CA25" s="224"/>
      <c r="CB25" s="224"/>
      <c r="CC25" s="225">
        <f t="shared" si="44"/>
        <v>0</v>
      </c>
      <c r="CD25" s="224">
        <f t="shared" si="45"/>
        <v>0</v>
      </c>
      <c r="CE25" s="224"/>
      <c r="CF25" s="226"/>
      <c r="CG25" s="87"/>
      <c r="CH25" s="87">
        <f t="shared" si="13"/>
        <v>14</v>
      </c>
      <c r="CI25" s="227" t="str">
        <f t="shared" si="101"/>
        <v>Trần Nguyễn</v>
      </c>
      <c r="CJ25" s="227" t="str">
        <f t="shared" si="101"/>
        <v>Hà</v>
      </c>
      <c r="CK25" s="87">
        <f>H25</f>
        <v>1</v>
      </c>
      <c r="CL25" s="227" t="str">
        <f t="shared" si="87"/>
        <v>Bệnh cây</v>
      </c>
      <c r="CM25" s="87" t="str">
        <f t="shared" si="46"/>
        <v>CS3</v>
      </c>
      <c r="CN25" s="87">
        <f t="shared" si="99"/>
        <v>270</v>
      </c>
      <c r="CO25" s="87">
        <f t="shared" si="99"/>
        <v>150</v>
      </c>
      <c r="CP25" s="229">
        <f t="shared" si="47"/>
        <v>0</v>
      </c>
      <c r="CQ25" s="229">
        <f t="shared" si="48"/>
        <v>13.2</v>
      </c>
      <c r="CR25" s="229">
        <f t="shared" si="49"/>
        <v>5.3</v>
      </c>
      <c r="CS25" s="229">
        <f t="shared" si="50"/>
        <v>0</v>
      </c>
      <c r="CT25" s="229">
        <f t="shared" si="51"/>
        <v>0</v>
      </c>
      <c r="CU25" s="229">
        <f t="shared" si="52"/>
        <v>82</v>
      </c>
      <c r="CV25" s="229">
        <f t="shared" si="53"/>
        <v>0</v>
      </c>
      <c r="CW25" s="229">
        <f t="shared" si="54"/>
        <v>44</v>
      </c>
      <c r="CX25" s="229">
        <f t="shared" si="55"/>
        <v>0</v>
      </c>
      <c r="CY25" s="229">
        <f t="shared" si="56"/>
        <v>0</v>
      </c>
      <c r="CZ25" s="229">
        <f t="shared" si="57"/>
        <v>0</v>
      </c>
      <c r="DA25" s="229">
        <f t="shared" si="58"/>
        <v>60</v>
      </c>
      <c r="DB25" s="228">
        <f t="shared" si="59"/>
        <v>204.5</v>
      </c>
      <c r="DC25" s="229"/>
      <c r="DD25" s="229"/>
      <c r="DE25" s="229"/>
      <c r="DF25" s="229"/>
      <c r="DG25" s="229"/>
      <c r="DH25" s="229"/>
      <c r="DI25" s="229"/>
      <c r="DJ25" s="229"/>
      <c r="DK25" s="229"/>
      <c r="DL25" s="229"/>
      <c r="DM25" s="229"/>
      <c r="DN25" s="229"/>
      <c r="DO25" s="228">
        <f t="shared" si="60"/>
        <v>0</v>
      </c>
      <c r="DP25" s="228">
        <f t="shared" si="61"/>
        <v>204.5</v>
      </c>
      <c r="DQ25" s="229">
        <f t="shared" si="62"/>
        <v>18</v>
      </c>
      <c r="DR25" s="229">
        <f t="shared" si="63"/>
        <v>1.3</v>
      </c>
      <c r="DS25" s="229">
        <f t="shared" si="64"/>
        <v>0</v>
      </c>
      <c r="DT25" s="229">
        <f t="shared" si="65"/>
        <v>0.5</v>
      </c>
      <c r="DU25" s="229">
        <f t="shared" si="66"/>
        <v>0</v>
      </c>
      <c r="DV25" s="229">
        <f t="shared" si="67"/>
        <v>0</v>
      </c>
      <c r="DW25" s="229">
        <f t="shared" si="68"/>
        <v>0</v>
      </c>
      <c r="DX25" s="228">
        <f t="shared" si="69"/>
        <v>19.8</v>
      </c>
      <c r="DY25" s="229"/>
      <c r="DZ25" s="229"/>
      <c r="EA25" s="229"/>
      <c r="EB25" s="229"/>
      <c r="EC25" s="229"/>
      <c r="ED25" s="229"/>
      <c r="EE25" s="229"/>
      <c r="EF25" s="228">
        <f t="shared" si="17"/>
        <v>0</v>
      </c>
      <c r="EG25" s="228">
        <f t="shared" si="70"/>
        <v>19.8</v>
      </c>
      <c r="EH25" s="229">
        <f t="shared" si="18"/>
        <v>15</v>
      </c>
      <c r="EI25" s="229">
        <v>15.95</v>
      </c>
      <c r="EJ25" s="228">
        <f>SUM(EH25:EI25)</f>
        <v>30.95</v>
      </c>
      <c r="EK25" s="229"/>
      <c r="EL25" s="229"/>
      <c r="EM25" s="228">
        <f t="shared" si="78"/>
        <v>0</v>
      </c>
      <c r="EN25" s="229">
        <f t="shared" si="71"/>
        <v>15</v>
      </c>
      <c r="EO25" s="229">
        <f t="shared" si="72"/>
        <v>15.95</v>
      </c>
      <c r="EP25" s="228">
        <f t="shared" si="88"/>
        <v>30.95</v>
      </c>
      <c r="EQ25" s="173">
        <f t="shared" si="19"/>
        <v>0</v>
      </c>
      <c r="ER25" s="189">
        <v>0</v>
      </c>
      <c r="ES25" s="189">
        <v>13.2</v>
      </c>
      <c r="ET25" s="189">
        <v>5.3</v>
      </c>
      <c r="EU25" s="189">
        <v>0</v>
      </c>
      <c r="EV25" s="189">
        <v>0</v>
      </c>
      <c r="EW25" s="189">
        <v>82</v>
      </c>
      <c r="EX25" s="189">
        <v>0</v>
      </c>
      <c r="EY25" s="189">
        <v>44</v>
      </c>
      <c r="EZ25" s="189">
        <v>0</v>
      </c>
      <c r="FA25" s="189">
        <v>0</v>
      </c>
      <c r="FB25" s="189">
        <v>0</v>
      </c>
      <c r="FC25" s="189">
        <v>60</v>
      </c>
      <c r="FD25" s="189">
        <v>18</v>
      </c>
      <c r="FE25" s="189">
        <v>1.3</v>
      </c>
      <c r="FF25" s="189">
        <v>0</v>
      </c>
      <c r="FG25" s="189">
        <v>0.5</v>
      </c>
      <c r="FH25" s="189">
        <v>0</v>
      </c>
      <c r="FI25" s="189">
        <v>0</v>
      </c>
      <c r="FJ25" s="189">
        <v>0</v>
      </c>
      <c r="FK25" s="189">
        <v>224.3</v>
      </c>
      <c r="FL25" s="189">
        <v>182</v>
      </c>
      <c r="FN25" s="132">
        <v>15</v>
      </c>
    </row>
    <row r="26" spans="1:170" ht="30">
      <c r="A26" s="88">
        <f>COUNTIF($H$12:H26,H26)</f>
        <v>15</v>
      </c>
      <c r="B26" s="88" t="s">
        <v>2243</v>
      </c>
      <c r="C26" s="88" t="s">
        <v>1838</v>
      </c>
      <c r="D26" s="88"/>
      <c r="E26" s="88"/>
      <c r="F26" s="301" t="s">
        <v>18</v>
      </c>
      <c r="G26" s="89" t="s">
        <v>19</v>
      </c>
      <c r="H26" s="88">
        <v>1</v>
      </c>
      <c r="I26" s="88">
        <v>1</v>
      </c>
      <c r="J26" s="88">
        <v>1</v>
      </c>
      <c r="K26" s="90" t="s">
        <v>3073</v>
      </c>
      <c r="L26" s="90" t="s">
        <v>3073</v>
      </c>
      <c r="M26" s="214"/>
      <c r="N26" s="88" t="s">
        <v>605</v>
      </c>
      <c r="O26" s="216">
        <f>BO26</f>
        <v>6.2</v>
      </c>
      <c r="P26" s="88" t="str">
        <f t="shared" si="0"/>
        <v>B1_6</v>
      </c>
      <c r="Q26" s="88">
        <f t="shared" si="1"/>
        <v>270</v>
      </c>
      <c r="R26" s="88">
        <f t="shared" si="2"/>
        <v>170</v>
      </c>
      <c r="S26" s="230" t="s">
        <v>3161</v>
      </c>
      <c r="T26" s="88" t="s">
        <v>3091</v>
      </c>
      <c r="U26" s="88">
        <f>IF(RIGHT(T26,1)="K",(VLOOKUP(T26,ma_miengiam!$A$3:$B$80,2,0)*100)/2,VLOOKUP(T26,ma_miengiam!$A$3:$B$80,2,0)*100)</f>
        <v>20</v>
      </c>
      <c r="V26" s="88"/>
      <c r="W26" s="220">
        <f>IF(AND(T26="NTS",V26&gt;0),(Q26-(Q26*V26)/12)*VLOOKUP(T26,ma_miengiam!$A$3:$B$80,2,0)+(Q26-(Q26*(12-V26))/12),IF(AND(RIGHT(T26,1)="K",V26&gt;0),(VLOOKUP(T26,ma_miengiam!$A$3:$B$80,2,0)/2)*(Q26*V26)/12,IF(RIGHT(T26,1)="K",(VLOOKUP(T26,ma_miengiam!$A$3:$B$80,2,0)*Q26)/2,IF(V26&gt;0,VLOOKUP(T26,ma_miengiam!$A$3:$B$80,2,0)*Q26*V26/12,VLOOKUP(T26,ma_miengiam!$A$3:$B$80,2,0)*Q26))))</f>
        <v>54</v>
      </c>
      <c r="X26" s="220">
        <f>IF(T26="NTS",VLOOKUP(T26,ma_miengiam!$A$3:$B$80,2,0)*R26*V26,IF(AND(T26="NTS",V26=0),0,IF(AND(LEFT(T26,1)="K",V26=0),VLOOKUP(T26,ma_miengiam!$A$3:$B$80,2,0)*R26,IF(LEFT(T26,1)="K",(VLOOKUP(T26,ma_miengiam!$A$3:$B$80,2,0)*R26/12)*V26,IF(AND(LEFT(T26,1)="S",V26&gt;0),(R26/12)*V26,IF(AND(LEFT(T26,1)="S",V26=0),R26,IF(T26="DH",VLOOKUP(T26,ma_miengiam!$A$3:$B$80,2,0)*R26,0)))))))</f>
        <v>0</v>
      </c>
      <c r="Y26" s="220">
        <f>IF(AND(T26="DH",V26&gt;0),(S26*V26/12),IF(AND(T26&lt;&gt;"NTS",V26&gt;0),(Q26*V26/12)-W26,IF(AND(T26="NTS",V26&gt;0),Q26-W26,Q26-W26)))</f>
        <v>216</v>
      </c>
      <c r="Z26" s="220">
        <f>IF(AND(T26="SĐH",V26&gt;0),(R26/12)*V26-X26,IF(AND(T26="DH",V26&gt;0),(R26*V26/12),IF(AND(T26&lt;&gt;"NTS",V26&gt;0),(R26*V26/12)-X26,IF(AND(T26="NTS",V26&gt;0),R26-X26,R26-X26))))</f>
        <v>170</v>
      </c>
      <c r="AA26" s="220">
        <f t="shared" si="97"/>
        <v>270</v>
      </c>
      <c r="AB26" s="220">
        <f t="shared" si="97"/>
        <v>170</v>
      </c>
      <c r="AC26" s="220">
        <f>W26</f>
        <v>54</v>
      </c>
      <c r="AD26" s="220">
        <f>X26</f>
        <v>0</v>
      </c>
      <c r="AE26" s="220">
        <f>Y26</f>
        <v>216</v>
      </c>
      <c r="AF26" s="220">
        <f>Z26</f>
        <v>170</v>
      </c>
      <c r="AG26" s="220">
        <f>AH26+AI26</f>
        <v>60.22</v>
      </c>
      <c r="AH26" s="220">
        <f>EO26</f>
        <v>22.6</v>
      </c>
      <c r="AI26" s="220">
        <f>EN26</f>
        <v>37.619999999999997</v>
      </c>
      <c r="AJ26" s="220">
        <f>IF(AG26-Z26&gt;0,0,AG26-Z26)</f>
        <v>-109.78</v>
      </c>
      <c r="AK26" s="216">
        <f t="shared" si="8"/>
        <v>325.77999999999997</v>
      </c>
      <c r="AL26" s="220">
        <f t="shared" si="22"/>
        <v>198.3</v>
      </c>
      <c r="AM26" s="220">
        <f t="shared" si="23"/>
        <v>76.800000000000011</v>
      </c>
      <c r="AN26" s="221">
        <f t="shared" si="24"/>
        <v>275.10000000000002</v>
      </c>
      <c r="AO26" s="220">
        <f t="shared" si="25"/>
        <v>0</v>
      </c>
      <c r="AP26" s="220">
        <f t="shared" si="26"/>
        <v>0</v>
      </c>
      <c r="AQ26" s="220">
        <f t="shared" si="27"/>
        <v>140</v>
      </c>
      <c r="AR26" s="220">
        <f t="shared" si="28"/>
        <v>68</v>
      </c>
      <c r="AS26" s="220">
        <f t="shared" si="29"/>
        <v>0</v>
      </c>
      <c r="AT26" s="216">
        <f t="shared" si="30"/>
        <v>483.1</v>
      </c>
      <c r="AU26" s="222">
        <f>AN26-AK26</f>
        <v>-50.67999999999995</v>
      </c>
      <c r="AV26" s="220"/>
      <c r="AW26" s="220">
        <f t="shared" si="32"/>
        <v>-50.67999999999995</v>
      </c>
      <c r="AX26" s="216">
        <f t="shared" si="9"/>
        <v>-50.67999999999995</v>
      </c>
      <c r="AY26" s="220">
        <f t="shared" si="33"/>
        <v>0</v>
      </c>
      <c r="AZ26" s="220">
        <f t="shared" si="34"/>
        <v>0</v>
      </c>
      <c r="BA26" s="220">
        <f t="shared" si="35"/>
        <v>89.32000000000005</v>
      </c>
      <c r="BB26" s="220">
        <f t="shared" si="36"/>
        <v>68</v>
      </c>
      <c r="BC26" s="220">
        <f t="shared" si="37"/>
        <v>0</v>
      </c>
      <c r="BD26" s="216">
        <f t="shared" si="10"/>
        <v>157.32000000000005</v>
      </c>
      <c r="BE26" s="220">
        <f t="shared" si="38"/>
        <v>0</v>
      </c>
      <c r="BF26" s="220">
        <f t="shared" si="39"/>
        <v>0</v>
      </c>
      <c r="BG26" s="220">
        <f t="shared" si="40"/>
        <v>-50.67999999999995</v>
      </c>
      <c r="BH26" s="220">
        <f t="shared" si="41"/>
        <v>0</v>
      </c>
      <c r="BI26" s="220">
        <f t="shared" si="42"/>
        <v>0</v>
      </c>
      <c r="BJ26" s="220" t="s">
        <v>2764</v>
      </c>
      <c r="BK26" s="220"/>
      <c r="BL26" s="223">
        <f t="shared" si="11"/>
        <v>0</v>
      </c>
      <c r="BM26" s="220">
        <v>6.2</v>
      </c>
      <c r="BN26" s="220"/>
      <c r="BO26" s="220">
        <f t="shared" si="43"/>
        <v>6.2</v>
      </c>
      <c r="BP26" s="220">
        <f>IF(AND(BL26&gt;0,BL26&lt;tiet!$D$1),BL26,IF(BL26&lt;=0,0,IF(BL26&gt;tiet!$C$1,tiet!$C$1)))</f>
        <v>0</v>
      </c>
      <c r="BQ26" s="87">
        <f>VLOOKUP(P26,ma_dinhmuc_moi,4,0)</f>
        <v>75000</v>
      </c>
      <c r="BR26" s="224">
        <f>ROUND(BQ26*BP26,0)</f>
        <v>0</v>
      </c>
      <c r="BS26" s="220">
        <f t="shared" si="12"/>
        <v>0</v>
      </c>
      <c r="BT26" s="224">
        <f>VLOOKUP(N26,ma_dinhmuc!$A$1:$J$31,10,0)</f>
        <v>65000</v>
      </c>
      <c r="BU26" s="224">
        <f>ROUND(IF(BS26&gt;0,VLOOKUP(N26,ma_dinhmuc!$A$1:$J$31,10,0)*BS26,0),0)</f>
        <v>0</v>
      </c>
      <c r="BV26" s="224">
        <f>ROUND(BU26+BR26,0)</f>
        <v>0</v>
      </c>
      <c r="BW26" s="224"/>
      <c r="BX26" s="224">
        <v>0</v>
      </c>
      <c r="BY26" s="224"/>
      <c r="BZ26" s="224"/>
      <c r="CA26" s="224"/>
      <c r="CB26" s="224"/>
      <c r="CC26" s="225">
        <f>ROUND(IF(BV26+BW26&gt;BX26+BY26+BZ26+CA26+CB26,(BW26+BV26)-(BX26+BY26+BZ26+CA26+CB26+CB26),0),0)</f>
        <v>0</v>
      </c>
      <c r="CD26" s="224">
        <f>ROUND(IF(BV26+BW26&lt;BX26+BY26+BZ26+CA26-CB26,(BX26+BY26+BZ26+CA26-CB26)-(BW26+BV26),0),0)</f>
        <v>0</v>
      </c>
      <c r="CE26" s="224"/>
      <c r="CF26" s="226"/>
      <c r="CG26" s="87"/>
      <c r="CH26" s="87">
        <f t="shared" si="13"/>
        <v>15</v>
      </c>
      <c r="CI26" s="227" t="str">
        <f t="shared" si="101"/>
        <v>Hà Viết</v>
      </c>
      <c r="CJ26" s="227" t="str">
        <f t="shared" si="101"/>
        <v>Cường</v>
      </c>
      <c r="CK26" s="87">
        <f>H26</f>
        <v>1</v>
      </c>
      <c r="CL26" s="227" t="str">
        <f>L26</f>
        <v>Bệnh cây</v>
      </c>
      <c r="CM26" s="87" t="str">
        <f t="shared" si="46"/>
        <v>CS4</v>
      </c>
      <c r="CN26" s="87">
        <f>Q26</f>
        <v>270</v>
      </c>
      <c r="CO26" s="87">
        <f>R26</f>
        <v>170</v>
      </c>
      <c r="CP26" s="229">
        <f t="shared" si="47"/>
        <v>0</v>
      </c>
      <c r="CQ26" s="229">
        <f t="shared" si="48"/>
        <v>18.8</v>
      </c>
      <c r="CR26" s="229">
        <f t="shared" si="49"/>
        <v>7.5</v>
      </c>
      <c r="CS26" s="229">
        <f t="shared" si="50"/>
        <v>0</v>
      </c>
      <c r="CT26" s="229">
        <f t="shared" si="51"/>
        <v>0</v>
      </c>
      <c r="CU26" s="229">
        <f t="shared" si="52"/>
        <v>164</v>
      </c>
      <c r="CV26" s="229">
        <f t="shared" si="53"/>
        <v>0</v>
      </c>
      <c r="CW26" s="229">
        <f t="shared" si="54"/>
        <v>8</v>
      </c>
      <c r="CX26" s="229">
        <f t="shared" si="55"/>
        <v>0</v>
      </c>
      <c r="CY26" s="229">
        <f t="shared" si="56"/>
        <v>0</v>
      </c>
      <c r="CZ26" s="229">
        <f t="shared" si="57"/>
        <v>0</v>
      </c>
      <c r="DA26" s="229">
        <f t="shared" si="58"/>
        <v>140</v>
      </c>
      <c r="DB26" s="228">
        <f t="shared" si="59"/>
        <v>338.3</v>
      </c>
      <c r="DC26" s="229"/>
      <c r="DD26" s="229"/>
      <c r="DE26" s="229"/>
      <c r="DF26" s="229"/>
      <c r="DG26" s="229"/>
      <c r="DH26" s="229"/>
      <c r="DI26" s="229"/>
      <c r="DJ26" s="229"/>
      <c r="DK26" s="229"/>
      <c r="DL26" s="229"/>
      <c r="DM26" s="229"/>
      <c r="DN26" s="229"/>
      <c r="DO26" s="228">
        <f t="shared" si="60"/>
        <v>0</v>
      </c>
      <c r="DP26" s="228">
        <f t="shared" si="61"/>
        <v>338.3</v>
      </c>
      <c r="DQ26" s="229">
        <f t="shared" si="62"/>
        <v>72</v>
      </c>
      <c r="DR26" s="229">
        <f t="shared" si="63"/>
        <v>3.4</v>
      </c>
      <c r="DS26" s="229">
        <f t="shared" si="64"/>
        <v>0</v>
      </c>
      <c r="DT26" s="229">
        <f t="shared" si="65"/>
        <v>1.4</v>
      </c>
      <c r="DU26" s="229">
        <f t="shared" si="66"/>
        <v>0</v>
      </c>
      <c r="DV26" s="229">
        <f t="shared" si="67"/>
        <v>68</v>
      </c>
      <c r="DW26" s="229">
        <f t="shared" si="68"/>
        <v>0</v>
      </c>
      <c r="DX26" s="228">
        <f t="shared" si="69"/>
        <v>144.80000000000001</v>
      </c>
      <c r="DY26" s="229"/>
      <c r="DZ26" s="229"/>
      <c r="EA26" s="229"/>
      <c r="EB26" s="229"/>
      <c r="EC26" s="229"/>
      <c r="ED26" s="229"/>
      <c r="EE26" s="229"/>
      <c r="EF26" s="228">
        <f t="shared" si="17"/>
        <v>0</v>
      </c>
      <c r="EG26" s="228">
        <f t="shared" si="70"/>
        <v>144.80000000000001</v>
      </c>
      <c r="EH26" s="229">
        <f t="shared" si="18"/>
        <v>37.619999999999997</v>
      </c>
      <c r="EI26" s="229">
        <v>22.6</v>
      </c>
      <c r="EJ26" s="228">
        <f>SUM(EH26:EI26)</f>
        <v>60.22</v>
      </c>
      <c r="EK26" s="229"/>
      <c r="EL26" s="229"/>
      <c r="EM26" s="228">
        <f>SUM(EK26:EL26)</f>
        <v>0</v>
      </c>
      <c r="EN26" s="229">
        <f t="shared" si="71"/>
        <v>37.619999999999997</v>
      </c>
      <c r="EO26" s="229">
        <f>EI26</f>
        <v>22.6</v>
      </c>
      <c r="EP26" s="228">
        <f>EM26+EJ26</f>
        <v>60.22</v>
      </c>
      <c r="EQ26" s="173">
        <f t="shared" si="19"/>
        <v>0</v>
      </c>
      <c r="ER26" s="189">
        <v>0</v>
      </c>
      <c r="ES26" s="189">
        <v>18.8</v>
      </c>
      <c r="ET26" s="189">
        <v>7.5</v>
      </c>
      <c r="EU26" s="189">
        <v>0</v>
      </c>
      <c r="EV26" s="189">
        <v>0</v>
      </c>
      <c r="EW26" s="189">
        <v>164</v>
      </c>
      <c r="EX26" s="189">
        <v>0</v>
      </c>
      <c r="EY26" s="189">
        <v>8</v>
      </c>
      <c r="EZ26" s="189">
        <v>0</v>
      </c>
      <c r="FA26" s="189">
        <v>0</v>
      </c>
      <c r="FB26" s="189">
        <v>0</v>
      </c>
      <c r="FC26" s="189">
        <v>140</v>
      </c>
      <c r="FD26" s="189">
        <v>72</v>
      </c>
      <c r="FE26" s="189">
        <v>3.4</v>
      </c>
      <c r="FF26" s="189">
        <v>0</v>
      </c>
      <c r="FG26" s="189">
        <v>1.4</v>
      </c>
      <c r="FH26" s="189">
        <v>68</v>
      </c>
      <c r="FI26" s="189">
        <v>0</v>
      </c>
      <c r="FJ26" s="189">
        <v>0</v>
      </c>
      <c r="FK26" s="189">
        <v>483.1</v>
      </c>
      <c r="FL26" s="189">
        <v>372</v>
      </c>
      <c r="FN26" s="132">
        <v>37.619999999999997</v>
      </c>
    </row>
    <row r="27" spans="1:170" ht="30" customHeight="1">
      <c r="A27" s="88">
        <f>COUNTIF($H$12:H27,H27)</f>
        <v>16</v>
      </c>
      <c r="B27" s="88" t="s">
        <v>2244</v>
      </c>
      <c r="C27" s="88" t="s">
        <v>2344</v>
      </c>
      <c r="D27" s="88"/>
      <c r="E27" s="88"/>
      <c r="F27" s="301" t="s">
        <v>21</v>
      </c>
      <c r="G27" s="89" t="s">
        <v>22</v>
      </c>
      <c r="H27" s="88">
        <v>1</v>
      </c>
      <c r="I27" s="88">
        <v>1</v>
      </c>
      <c r="J27" s="88">
        <v>1</v>
      </c>
      <c r="K27" s="90" t="s">
        <v>3074</v>
      </c>
      <c r="L27" s="90" t="s">
        <v>3074</v>
      </c>
      <c r="M27" s="214"/>
      <c r="N27" s="88" t="s">
        <v>606</v>
      </c>
      <c r="O27" s="216">
        <f t="shared" si="73"/>
        <v>6.78</v>
      </c>
      <c r="P27" s="88" t="str">
        <f t="shared" si="0"/>
        <v>B1_7</v>
      </c>
      <c r="Q27" s="88">
        <f t="shared" si="1"/>
        <v>270</v>
      </c>
      <c r="R27" s="88">
        <f t="shared" si="2"/>
        <v>200</v>
      </c>
      <c r="S27" s="232"/>
      <c r="T27" s="215" t="s">
        <v>3088</v>
      </c>
      <c r="U27" s="88">
        <f>IF(RIGHT(T27,1)="K",(VLOOKUP(T27,ma_miengiam!$A$3:$B$80,2,0)*100)/2,VLOOKUP(T27,ma_miengiam!$A$3:$B$80,2,0)*100)</f>
        <v>0</v>
      </c>
      <c r="V27" s="88"/>
      <c r="W27" s="220">
        <f>IF(AND(T27="NTS",V27&gt;0),(Q27-(Q27*V27)/12)*VLOOKUP(T27,ma_miengiam!$A$3:$B$80,2,0)+(Q27-(Q27*(12-V27))/12),IF(AND(RIGHT(T27,1)="K",V27&gt;0),(VLOOKUP(T27,ma_miengiam!$A$3:$B$80,2,0)/2)*(Q27*V27)/12,IF(RIGHT(T27,1)="K",(VLOOKUP(T27,ma_miengiam!$A$3:$B$80,2,0)*Q27)/2,IF(V27&gt;0,VLOOKUP(T27,ma_miengiam!$A$3:$B$80,2,0)*Q27*V27/12,VLOOKUP(T27,ma_miengiam!$A$3:$B$80,2,0)*Q27))))</f>
        <v>0</v>
      </c>
      <c r="X27" s="220">
        <f>IF(T27="NTS",VLOOKUP(T27,ma_miengiam!$A$3:$B$80,2,0)*R27*V27,IF(AND(T27="NTS",V27=0),0,IF(AND(LEFT(T27,1)="K",V27=0),VLOOKUP(T27,ma_miengiam!$A$3:$B$80,2,0)*R27,IF(LEFT(T27,1)="K",(VLOOKUP(T27,ma_miengiam!$A$3:$B$80,2,0)*R27/12)*V27,IF(AND(LEFT(T27,1)="S",V27&gt;0),(R27/12)*V27,IF(AND(LEFT(T27,1)="S",V27=0),R27,IF(T27="DH",VLOOKUP(T27,ma_miengiam!$A$3:$B$80,2,0)*R27,0)))))))</f>
        <v>0</v>
      </c>
      <c r="Y27" s="220">
        <f t="shared" si="96"/>
        <v>270</v>
      </c>
      <c r="Z27" s="220">
        <f t="shared" si="90"/>
        <v>200</v>
      </c>
      <c r="AA27" s="220">
        <f t="shared" ref="AA27:AB34" si="102">Q27</f>
        <v>270</v>
      </c>
      <c r="AB27" s="220">
        <f t="shared" si="102"/>
        <v>200</v>
      </c>
      <c r="AC27" s="220">
        <f t="shared" ref="AC27:AF34" si="103">W27</f>
        <v>0</v>
      </c>
      <c r="AD27" s="220">
        <f t="shared" si="103"/>
        <v>0</v>
      </c>
      <c r="AE27" s="220">
        <f t="shared" si="103"/>
        <v>270</v>
      </c>
      <c r="AF27" s="220">
        <f t="shared" si="103"/>
        <v>200</v>
      </c>
      <c r="AG27" s="220">
        <f t="shared" ref="AG27:AG34" si="104">AH27+AI27</f>
        <v>50</v>
      </c>
      <c r="AH27" s="220">
        <f t="shared" ref="AH27:AH34" si="105">EO27</f>
        <v>0</v>
      </c>
      <c r="AI27" s="220">
        <f t="shared" ref="AI27:AI34" si="106">EN27</f>
        <v>50</v>
      </c>
      <c r="AJ27" s="220">
        <f t="shared" si="74"/>
        <v>-150</v>
      </c>
      <c r="AK27" s="216">
        <f t="shared" si="8"/>
        <v>420</v>
      </c>
      <c r="AL27" s="220">
        <f t="shared" si="22"/>
        <v>114.2</v>
      </c>
      <c r="AM27" s="220">
        <f t="shared" si="23"/>
        <v>29</v>
      </c>
      <c r="AN27" s="221">
        <f t="shared" si="24"/>
        <v>143.19999999999999</v>
      </c>
      <c r="AO27" s="220">
        <f t="shared" si="25"/>
        <v>0</v>
      </c>
      <c r="AP27" s="220">
        <f t="shared" si="26"/>
        <v>0</v>
      </c>
      <c r="AQ27" s="220">
        <f t="shared" si="27"/>
        <v>40</v>
      </c>
      <c r="AR27" s="220">
        <f t="shared" si="28"/>
        <v>40</v>
      </c>
      <c r="AS27" s="220">
        <f t="shared" si="29"/>
        <v>0</v>
      </c>
      <c r="AT27" s="216">
        <f t="shared" si="30"/>
        <v>223.2</v>
      </c>
      <c r="AU27" s="222">
        <f t="shared" si="31"/>
        <v>-276.8</v>
      </c>
      <c r="AV27" s="220"/>
      <c r="AW27" s="220">
        <f t="shared" si="32"/>
        <v>-276.8</v>
      </c>
      <c r="AX27" s="216">
        <f t="shared" si="9"/>
        <v>-276.8</v>
      </c>
      <c r="AY27" s="220">
        <f t="shared" si="33"/>
        <v>0</v>
      </c>
      <c r="AZ27" s="220">
        <f t="shared" si="34"/>
        <v>0</v>
      </c>
      <c r="BA27" s="220">
        <f t="shared" si="35"/>
        <v>0</v>
      </c>
      <c r="BB27" s="220">
        <f t="shared" si="36"/>
        <v>0</v>
      </c>
      <c r="BC27" s="220">
        <f t="shared" si="37"/>
        <v>0</v>
      </c>
      <c r="BD27" s="216">
        <f t="shared" si="10"/>
        <v>0</v>
      </c>
      <c r="BE27" s="220">
        <f t="shared" si="38"/>
        <v>0</v>
      </c>
      <c r="BF27" s="220">
        <f t="shared" si="39"/>
        <v>0</v>
      </c>
      <c r="BG27" s="220">
        <f t="shared" si="40"/>
        <v>-40</v>
      </c>
      <c r="BH27" s="220">
        <f t="shared" si="41"/>
        <v>-40</v>
      </c>
      <c r="BI27" s="220">
        <f t="shared" si="42"/>
        <v>0</v>
      </c>
      <c r="BJ27" s="220" t="s">
        <v>613</v>
      </c>
      <c r="BK27" s="220"/>
      <c r="BL27" s="223">
        <f t="shared" si="11"/>
        <v>0</v>
      </c>
      <c r="BM27" s="220">
        <v>6.78</v>
      </c>
      <c r="BN27" s="220"/>
      <c r="BO27" s="220">
        <f t="shared" ref="BO27:BO47" si="107">ROUND(BM27+(BM27*BN27),2)</f>
        <v>6.78</v>
      </c>
      <c r="BP27" s="220">
        <f>IF(AND(BL27&gt;0,BL27&lt;tiet!$D$1),BL27,IF(BL27&lt;=0,0,IF(BL27&gt;tiet!$C$1,tiet!$C$1)))</f>
        <v>0</v>
      </c>
      <c r="BQ27" s="87">
        <f t="shared" si="75"/>
        <v>80000</v>
      </c>
      <c r="BR27" s="224">
        <f t="shared" si="76"/>
        <v>0</v>
      </c>
      <c r="BS27" s="220">
        <f t="shared" si="12"/>
        <v>0</v>
      </c>
      <c r="BT27" s="224">
        <f>VLOOKUP(N27,ma_dinhmuc!$A$1:$J$31,10,0)</f>
        <v>55000</v>
      </c>
      <c r="BU27" s="224">
        <f>ROUND(IF(BS27&gt;0,VLOOKUP(N27,ma_dinhmuc!$A$1:$J$31,10,0)*BS27,0),0)</f>
        <v>0</v>
      </c>
      <c r="BV27" s="224">
        <f t="shared" si="77"/>
        <v>0</v>
      </c>
      <c r="BW27" s="224"/>
      <c r="BX27" s="224">
        <v>0</v>
      </c>
      <c r="BY27" s="224"/>
      <c r="BZ27" s="224"/>
      <c r="CA27" s="224"/>
      <c r="CB27" s="224"/>
      <c r="CC27" s="225">
        <f t="shared" si="44"/>
        <v>0</v>
      </c>
      <c r="CD27" s="224">
        <f t="shared" si="45"/>
        <v>0</v>
      </c>
      <c r="CE27" s="224"/>
      <c r="CF27" s="226"/>
      <c r="CG27" s="87"/>
      <c r="CH27" s="87">
        <f t="shared" si="13"/>
        <v>16</v>
      </c>
      <c r="CI27" s="227" t="str">
        <f t="shared" si="101"/>
        <v>Vũ Đình</v>
      </c>
      <c r="CJ27" s="227" t="str">
        <f t="shared" si="101"/>
        <v>Chính</v>
      </c>
      <c r="CK27" s="87">
        <f>H27</f>
        <v>1</v>
      </c>
      <c r="CL27" s="227" t="str">
        <f t="shared" si="87"/>
        <v>Cây công nghiệp</v>
      </c>
      <c r="CM27" s="87" t="str">
        <f t="shared" si="46"/>
        <v>CS3</v>
      </c>
      <c r="CN27" s="87">
        <f>Q27</f>
        <v>270</v>
      </c>
      <c r="CO27" s="87">
        <f>R27</f>
        <v>200</v>
      </c>
      <c r="CP27" s="229">
        <f t="shared" si="47"/>
        <v>0</v>
      </c>
      <c r="CQ27" s="229">
        <f t="shared" si="48"/>
        <v>8.6</v>
      </c>
      <c r="CR27" s="229">
        <f t="shared" si="49"/>
        <v>3.6</v>
      </c>
      <c r="CS27" s="229">
        <f t="shared" si="50"/>
        <v>0</v>
      </c>
      <c r="CT27" s="229">
        <f t="shared" si="51"/>
        <v>0</v>
      </c>
      <c r="CU27" s="229">
        <f t="shared" si="52"/>
        <v>66</v>
      </c>
      <c r="CV27" s="229">
        <f t="shared" si="53"/>
        <v>0</v>
      </c>
      <c r="CW27" s="229">
        <f t="shared" si="54"/>
        <v>36</v>
      </c>
      <c r="CX27" s="229">
        <f t="shared" si="55"/>
        <v>0</v>
      </c>
      <c r="CY27" s="229">
        <f t="shared" si="56"/>
        <v>0</v>
      </c>
      <c r="CZ27" s="229">
        <f t="shared" si="57"/>
        <v>0</v>
      </c>
      <c r="DA27" s="229">
        <f t="shared" si="58"/>
        <v>40</v>
      </c>
      <c r="DB27" s="228">
        <f t="shared" si="59"/>
        <v>154.19999999999999</v>
      </c>
      <c r="DC27" s="229"/>
      <c r="DD27" s="229"/>
      <c r="DE27" s="229"/>
      <c r="DF27" s="229"/>
      <c r="DG27" s="229"/>
      <c r="DH27" s="229"/>
      <c r="DI27" s="229"/>
      <c r="DJ27" s="229"/>
      <c r="DK27" s="229"/>
      <c r="DL27" s="229"/>
      <c r="DM27" s="229"/>
      <c r="DN27" s="229"/>
      <c r="DO27" s="228">
        <f t="shared" si="60"/>
        <v>0</v>
      </c>
      <c r="DP27" s="228">
        <f t="shared" si="61"/>
        <v>154.19999999999999</v>
      </c>
      <c r="DQ27" s="229">
        <f t="shared" si="62"/>
        <v>27</v>
      </c>
      <c r="DR27" s="229">
        <f t="shared" si="63"/>
        <v>1.4</v>
      </c>
      <c r="DS27" s="229">
        <f t="shared" si="64"/>
        <v>0</v>
      </c>
      <c r="DT27" s="229">
        <f t="shared" si="65"/>
        <v>0.6</v>
      </c>
      <c r="DU27" s="229">
        <f t="shared" si="66"/>
        <v>0</v>
      </c>
      <c r="DV27" s="229">
        <f t="shared" si="67"/>
        <v>40</v>
      </c>
      <c r="DW27" s="229">
        <f t="shared" si="68"/>
        <v>0</v>
      </c>
      <c r="DX27" s="228">
        <f t="shared" si="69"/>
        <v>69</v>
      </c>
      <c r="DY27" s="229"/>
      <c r="DZ27" s="229"/>
      <c r="EA27" s="229"/>
      <c r="EB27" s="229"/>
      <c r="EC27" s="229"/>
      <c r="ED27" s="229"/>
      <c r="EE27" s="229"/>
      <c r="EF27" s="228">
        <f t="shared" si="17"/>
        <v>0</v>
      </c>
      <c r="EG27" s="228">
        <f t="shared" si="70"/>
        <v>69</v>
      </c>
      <c r="EH27" s="229">
        <f t="shared" si="18"/>
        <v>50</v>
      </c>
      <c r="EI27" s="229">
        <v>0</v>
      </c>
      <c r="EJ27" s="228">
        <f t="shared" si="84"/>
        <v>50</v>
      </c>
      <c r="EK27" s="229"/>
      <c r="EL27" s="229"/>
      <c r="EM27" s="228">
        <f t="shared" si="78"/>
        <v>0</v>
      </c>
      <c r="EN27" s="229">
        <f t="shared" si="71"/>
        <v>50</v>
      </c>
      <c r="EO27" s="229">
        <f t="shared" si="72"/>
        <v>0</v>
      </c>
      <c r="EP27" s="228">
        <f t="shared" si="88"/>
        <v>50</v>
      </c>
      <c r="EQ27" s="173">
        <f t="shared" si="19"/>
        <v>0</v>
      </c>
      <c r="ER27" s="189">
        <v>0</v>
      </c>
      <c r="ES27" s="189">
        <v>8.6</v>
      </c>
      <c r="ET27" s="189">
        <v>3.6</v>
      </c>
      <c r="EU27" s="189">
        <v>0</v>
      </c>
      <c r="EV27" s="189">
        <v>0</v>
      </c>
      <c r="EW27" s="189">
        <v>66</v>
      </c>
      <c r="EX27" s="189">
        <v>0</v>
      </c>
      <c r="EY27" s="189">
        <v>36</v>
      </c>
      <c r="EZ27" s="189">
        <v>0</v>
      </c>
      <c r="FA27" s="189">
        <v>0</v>
      </c>
      <c r="FB27" s="189">
        <v>0</v>
      </c>
      <c r="FC27" s="189">
        <v>40</v>
      </c>
      <c r="FD27" s="189">
        <v>27</v>
      </c>
      <c r="FE27" s="189">
        <v>1.4</v>
      </c>
      <c r="FF27" s="189">
        <v>0</v>
      </c>
      <c r="FG27" s="189">
        <v>0.6</v>
      </c>
      <c r="FH27" s="189">
        <v>40</v>
      </c>
      <c r="FI27" s="189">
        <v>0</v>
      </c>
      <c r="FJ27" s="189">
        <v>0</v>
      </c>
      <c r="FK27" s="189">
        <v>223.2</v>
      </c>
      <c r="FL27" s="189">
        <v>201</v>
      </c>
      <c r="FN27" s="132">
        <v>50</v>
      </c>
    </row>
    <row r="28" spans="1:170" ht="30" customHeight="1">
      <c r="A28" s="88">
        <f>COUNTIF($H$12:H28,H28)</f>
        <v>17</v>
      </c>
      <c r="B28" s="88" t="s">
        <v>2245</v>
      </c>
      <c r="C28" s="88" t="s">
        <v>2345</v>
      </c>
      <c r="D28" s="88"/>
      <c r="E28" s="88"/>
      <c r="F28" s="301" t="s">
        <v>23</v>
      </c>
      <c r="G28" s="89" t="s">
        <v>2893</v>
      </c>
      <c r="H28" s="88">
        <v>1</v>
      </c>
      <c r="I28" s="88"/>
      <c r="J28" s="88">
        <v>1</v>
      </c>
      <c r="K28" s="90"/>
      <c r="L28" s="90" t="s">
        <v>3074</v>
      </c>
      <c r="M28" s="214"/>
      <c r="N28" s="88" t="s">
        <v>1804</v>
      </c>
      <c r="O28" s="216">
        <f t="shared" si="73"/>
        <v>3.33</v>
      </c>
      <c r="P28" s="88" t="str">
        <f t="shared" si="0"/>
        <v>B1_4</v>
      </c>
      <c r="Q28" s="88">
        <f t="shared" si="1"/>
        <v>270</v>
      </c>
      <c r="R28" s="88">
        <f t="shared" si="2"/>
        <v>120</v>
      </c>
      <c r="S28" s="231"/>
      <c r="T28" s="215" t="s">
        <v>3088</v>
      </c>
      <c r="U28" s="88">
        <f>IF(RIGHT(T28,1)="K",(VLOOKUP(T28,ma_miengiam!$A$3:$B$80,2,0)*100)/2,VLOOKUP(T28,ma_miengiam!$A$3:$B$80,2,0)*100)</f>
        <v>0</v>
      </c>
      <c r="V28" s="88">
        <v>4</v>
      </c>
      <c r="W28" s="220">
        <f>IF(AND(T28="NTS",V28&gt;0),(Q28-(Q28*V28)/12)*VLOOKUP(T28,ma_miengiam!$A$3:$B$80,2,0)+(Q28-(Q28*(12-V28))/12),IF(AND(RIGHT(T28,1)="K",V28&gt;0),(VLOOKUP(T28,ma_miengiam!$A$3:$B$80,2,0)/2)*(Q28*V28)/12,IF(RIGHT(T28,1)="K",(VLOOKUP(T28,ma_miengiam!$A$3:$B$80,2,0)*Q28)/2,IF(V28&gt;0,VLOOKUP(T28,ma_miengiam!$A$3:$B$80,2,0)*Q28*V28/12,VLOOKUP(T28,ma_miengiam!$A$3:$B$80,2,0)*Q28))))</f>
        <v>0</v>
      </c>
      <c r="X28" s="220">
        <f>IF(T28="NTS",VLOOKUP(T28,ma_miengiam!$A$3:$B$80,2,0)*R28*V28,IF(AND(T28="NTS",V28=0),0,IF(AND(LEFT(T28,1)="K",V28=0),VLOOKUP(T28,ma_miengiam!$A$3:$B$80,2,0)*R28,IF(LEFT(T28,1)="K",(VLOOKUP(T28,ma_miengiam!$A$3:$B$80,2,0)*R28/12)*V28,IF(AND(LEFT(T28,1)="S",V28&gt;0),(R28/12)*V28,IF(AND(LEFT(T28,1)="S",V28=0),R28,IF(T28="DH",VLOOKUP(T28,ma_miengiam!$A$3:$B$80,2,0)*R28,0)))))))</f>
        <v>0</v>
      </c>
      <c r="Y28" s="220">
        <f t="shared" ref="Y28:Y39" si="108">IF(AND(T28="DH",V28&gt;0),(S28*V28/12),IF(AND(T28&lt;&gt;"NTS",V28&gt;0),(Q28*V28/12)-W28,IF(AND(T28="NTS",V28&gt;0),Q28-W28,Q28-W28)))</f>
        <v>90</v>
      </c>
      <c r="Z28" s="220">
        <f t="shared" si="90"/>
        <v>40</v>
      </c>
      <c r="AA28" s="220"/>
      <c r="AB28" s="220"/>
      <c r="AC28" s="220"/>
      <c r="AD28" s="220"/>
      <c r="AE28" s="220"/>
      <c r="AF28" s="220"/>
      <c r="AG28" s="220"/>
      <c r="AH28" s="220"/>
      <c r="AI28" s="220"/>
      <c r="AJ28" s="220"/>
      <c r="AK28" s="216"/>
      <c r="AL28" s="220"/>
      <c r="AM28" s="220"/>
      <c r="AN28" s="216"/>
      <c r="AO28" s="220"/>
      <c r="AP28" s="220"/>
      <c r="AQ28" s="220"/>
      <c r="AR28" s="220"/>
      <c r="AS28" s="220"/>
      <c r="AT28" s="216"/>
      <c r="AU28" s="220"/>
      <c r="AV28" s="220"/>
      <c r="AW28" s="220"/>
      <c r="AX28" s="216"/>
      <c r="AY28" s="220"/>
      <c r="AZ28" s="220"/>
      <c r="BA28" s="220"/>
      <c r="BB28" s="220"/>
      <c r="BC28" s="220"/>
      <c r="BD28" s="216"/>
      <c r="BE28" s="220"/>
      <c r="BF28" s="220"/>
      <c r="BG28" s="220"/>
      <c r="BH28" s="220"/>
      <c r="BI28" s="220"/>
      <c r="BJ28" s="220" t="s">
        <v>613</v>
      </c>
      <c r="BK28" s="220"/>
      <c r="BL28" s="223">
        <f t="shared" si="11"/>
        <v>0</v>
      </c>
      <c r="BM28" s="220">
        <v>3.33</v>
      </c>
      <c r="BN28" s="220"/>
      <c r="BO28" s="220">
        <f t="shared" si="107"/>
        <v>3.33</v>
      </c>
      <c r="BP28" s="220">
        <f>IF(AND(BL28&gt;0,BL28&lt;tiet!$D$1),BL28,IF(BL28&lt;=0,0,IF(BL28&gt;tiet!$C$1,tiet!$C$1)))</f>
        <v>0</v>
      </c>
      <c r="BQ28" s="87">
        <f t="shared" si="75"/>
        <v>65000</v>
      </c>
      <c r="BR28" s="224">
        <f t="shared" si="76"/>
        <v>0</v>
      </c>
      <c r="BS28" s="220">
        <f t="shared" si="12"/>
        <v>0</v>
      </c>
      <c r="BT28" s="224">
        <f>VLOOKUP(N28,ma_dinhmuc!$A$1:$J$31,10,0)</f>
        <v>51000</v>
      </c>
      <c r="BU28" s="224">
        <f>ROUND(IF(BS28&gt;0,VLOOKUP(N28,ma_dinhmuc!$A$1:$J$31,10,0)*BS28,0),0)</f>
        <v>0</v>
      </c>
      <c r="BV28" s="224">
        <f t="shared" si="77"/>
        <v>0</v>
      </c>
      <c r="BW28" s="224"/>
      <c r="BX28" s="224">
        <v>0</v>
      </c>
      <c r="BY28" s="224"/>
      <c r="BZ28" s="224"/>
      <c r="CA28" s="224"/>
      <c r="CB28" s="224"/>
      <c r="CC28" s="225">
        <f t="shared" si="44"/>
        <v>0</v>
      </c>
      <c r="CD28" s="224">
        <f t="shared" si="45"/>
        <v>0</v>
      </c>
      <c r="CE28" s="224"/>
      <c r="CF28" s="226"/>
      <c r="CG28" s="87"/>
      <c r="CH28" s="87">
        <f t="shared" ref="CH28:CH47" si="109">A28</f>
        <v>17</v>
      </c>
      <c r="CI28" s="227" t="str">
        <f t="shared" ref="CI28:CI39" si="110">F28</f>
        <v>Đinh Thái</v>
      </c>
      <c r="CJ28" s="227" t="str">
        <f t="shared" ref="CJ28:CJ39" si="111">G28</f>
        <v>Hoàng</v>
      </c>
      <c r="CK28" s="87">
        <f t="shared" ref="CK28:CK39" si="112">H28</f>
        <v>1</v>
      </c>
      <c r="CL28" s="227" t="str">
        <f t="shared" si="87"/>
        <v>Cây công nghiệp</v>
      </c>
      <c r="CM28" s="87" t="str">
        <f t="shared" si="46"/>
        <v>CS2</v>
      </c>
      <c r="CN28" s="87">
        <f t="shared" ref="CN28:CO32" si="113">Q28</f>
        <v>270</v>
      </c>
      <c r="CO28" s="87">
        <f t="shared" si="113"/>
        <v>120</v>
      </c>
      <c r="CP28" s="229">
        <f t="shared" si="47"/>
        <v>0</v>
      </c>
      <c r="CQ28" s="229">
        <f t="shared" si="48"/>
        <v>0</v>
      </c>
      <c r="CR28" s="229">
        <f t="shared" si="49"/>
        <v>0</v>
      </c>
      <c r="CS28" s="229">
        <f t="shared" si="50"/>
        <v>0</v>
      </c>
      <c r="CT28" s="229">
        <f t="shared" si="51"/>
        <v>0</v>
      </c>
      <c r="CU28" s="229">
        <f t="shared" si="52"/>
        <v>0</v>
      </c>
      <c r="CV28" s="229">
        <f t="shared" si="53"/>
        <v>0</v>
      </c>
      <c r="CW28" s="229">
        <f t="shared" si="54"/>
        <v>0</v>
      </c>
      <c r="CX28" s="229">
        <f t="shared" si="55"/>
        <v>0</v>
      </c>
      <c r="CY28" s="229">
        <f t="shared" si="56"/>
        <v>0</v>
      </c>
      <c r="CZ28" s="229">
        <f t="shared" si="57"/>
        <v>0</v>
      </c>
      <c r="DA28" s="229">
        <f t="shared" si="58"/>
        <v>0</v>
      </c>
      <c r="DB28" s="228">
        <f t="shared" si="59"/>
        <v>0</v>
      </c>
      <c r="DC28" s="229"/>
      <c r="DD28" s="229"/>
      <c r="DE28" s="229"/>
      <c r="DF28" s="229"/>
      <c r="DG28" s="229"/>
      <c r="DH28" s="229"/>
      <c r="DI28" s="229"/>
      <c r="DJ28" s="229"/>
      <c r="DK28" s="229"/>
      <c r="DL28" s="229"/>
      <c r="DM28" s="229"/>
      <c r="DN28" s="229"/>
      <c r="DO28" s="228">
        <f t="shared" si="60"/>
        <v>0</v>
      </c>
      <c r="DP28" s="228">
        <f t="shared" si="61"/>
        <v>0</v>
      </c>
      <c r="DQ28" s="229">
        <f t="shared" si="62"/>
        <v>0</v>
      </c>
      <c r="DR28" s="229">
        <f t="shared" si="63"/>
        <v>0</v>
      </c>
      <c r="DS28" s="229">
        <f t="shared" si="64"/>
        <v>0</v>
      </c>
      <c r="DT28" s="229">
        <f t="shared" si="65"/>
        <v>0</v>
      </c>
      <c r="DU28" s="229">
        <f t="shared" si="66"/>
        <v>0</v>
      </c>
      <c r="DV28" s="229">
        <f t="shared" si="67"/>
        <v>0</v>
      </c>
      <c r="DW28" s="229">
        <f t="shared" si="68"/>
        <v>0</v>
      </c>
      <c r="DX28" s="228">
        <f t="shared" si="69"/>
        <v>0</v>
      </c>
      <c r="DY28" s="229"/>
      <c r="DZ28" s="229"/>
      <c r="EA28" s="229"/>
      <c r="EB28" s="229"/>
      <c r="EC28" s="229"/>
      <c r="ED28" s="229"/>
      <c r="EE28" s="229"/>
      <c r="EF28" s="228">
        <f t="shared" si="17"/>
        <v>0</v>
      </c>
      <c r="EG28" s="228">
        <f t="shared" si="70"/>
        <v>0</v>
      </c>
      <c r="EH28" s="229">
        <f t="shared" si="18"/>
        <v>0</v>
      </c>
      <c r="EI28" s="229">
        <v>170</v>
      </c>
      <c r="EJ28" s="228">
        <f t="shared" si="84"/>
        <v>170</v>
      </c>
      <c r="EK28" s="229"/>
      <c r="EL28" s="229"/>
      <c r="EM28" s="228">
        <f t="shared" si="78"/>
        <v>0</v>
      </c>
      <c r="EN28" s="229">
        <f t="shared" si="71"/>
        <v>0</v>
      </c>
      <c r="EO28" s="229">
        <f t="shared" si="72"/>
        <v>170</v>
      </c>
      <c r="EP28" s="228">
        <f t="shared" si="88"/>
        <v>170</v>
      </c>
      <c r="EQ28" s="173">
        <f t="shared" si="19"/>
        <v>0</v>
      </c>
      <c r="ER28" s="189">
        <v>0</v>
      </c>
      <c r="ES28" s="189">
        <v>0</v>
      </c>
      <c r="ET28" s="189">
        <v>0</v>
      </c>
      <c r="EU28" s="189">
        <v>0</v>
      </c>
      <c r="EV28" s="189">
        <v>0</v>
      </c>
      <c r="EW28" s="189">
        <v>0</v>
      </c>
      <c r="EX28" s="189">
        <v>0</v>
      </c>
      <c r="EY28" s="189">
        <v>0</v>
      </c>
      <c r="EZ28" s="189">
        <v>0</v>
      </c>
      <c r="FA28" s="189">
        <v>0</v>
      </c>
      <c r="FB28" s="189">
        <v>0</v>
      </c>
      <c r="FC28" s="189">
        <v>0</v>
      </c>
      <c r="FD28" s="189">
        <v>0</v>
      </c>
      <c r="FE28" s="189">
        <v>0</v>
      </c>
      <c r="FF28" s="189">
        <v>0</v>
      </c>
      <c r="FG28" s="189">
        <v>0</v>
      </c>
      <c r="FH28" s="189">
        <v>0</v>
      </c>
      <c r="FI28" s="189">
        <v>0</v>
      </c>
      <c r="FJ28" s="189">
        <v>0</v>
      </c>
      <c r="FK28" s="189">
        <v>0</v>
      </c>
      <c r="FL28" s="189">
        <v>0</v>
      </c>
      <c r="FN28" s="132">
        <v>0</v>
      </c>
    </row>
    <row r="29" spans="1:170" ht="30" customHeight="1">
      <c r="A29" s="88">
        <f>COUNTIF($H$12:H29,H29)</f>
        <v>18</v>
      </c>
      <c r="B29" s="88" t="s">
        <v>2245</v>
      </c>
      <c r="C29" s="88" t="s">
        <v>2345</v>
      </c>
      <c r="D29" s="88"/>
      <c r="E29" s="88"/>
      <c r="F29" s="301" t="s">
        <v>23</v>
      </c>
      <c r="G29" s="89" t="s">
        <v>2893</v>
      </c>
      <c r="H29" s="88">
        <v>1</v>
      </c>
      <c r="I29" s="88"/>
      <c r="J29" s="88">
        <v>1</v>
      </c>
      <c r="K29" s="90"/>
      <c r="L29" s="90" t="s">
        <v>3074</v>
      </c>
      <c r="M29" s="214"/>
      <c r="N29" s="88" t="s">
        <v>1804</v>
      </c>
      <c r="O29" s="216">
        <f>BO29</f>
        <v>3.33</v>
      </c>
      <c r="P29" s="88" t="str">
        <f>IF(AND(BO29&gt;=2.34,BO29&lt;3.33),"B1_3",IF(AND(BO29&gt;=3.33,BO29&lt;4.65),"B1_4",IF(AND(BO29&gt;=4.65,BO29&lt;5.42),"B1_5",IF(AND(BO29&gt;=5.42,BO29&lt;6.44),"B1_6",IF(AND(BO29&gt;=6.44,BO29&lt;=6.92),"B1_7","B1_8")))))</f>
        <v>B1_4</v>
      </c>
      <c r="Q29" s="88">
        <f>IF(M29&gt;0,VLOOKUP(P29,ma_dinhmuc_moi,2,0)/2,VLOOKUP(P29,ma_dinhmuc_moi,2,0))</f>
        <v>270</v>
      </c>
      <c r="R29" s="88">
        <f>IF(M29&gt;0,VLOOKUP(P29,ma_dinhmuc_moi,3,0)/2,VLOOKUP(P29,ma_dinhmuc_moi,3,0))</f>
        <v>120</v>
      </c>
      <c r="S29" s="231" t="s">
        <v>1425</v>
      </c>
      <c r="T29" s="215" t="s">
        <v>3095</v>
      </c>
      <c r="U29" s="88">
        <f>IF(RIGHT(T29,1)="K",(VLOOKUP(T29,ma_miengiam!$A$3:$B$80,2,0)*100)/2,VLOOKUP(T29,ma_miengiam!$A$3:$B$80,2,0)*100)</f>
        <v>40</v>
      </c>
      <c r="V29" s="88">
        <v>8</v>
      </c>
      <c r="W29" s="220">
        <f>IF(AND(T29="NTS",V29&gt;0),(Q29-(Q29*V29)/12)*VLOOKUP(T29,ma_miengiam!$A$3:$B$80,2,0)+(Q29-(Q29*(12-V29))/12),IF(AND(RIGHT(T29,1)="K",V29&gt;0),(VLOOKUP(T29,ma_miengiam!$A$3:$B$80,2,0)/2)*(Q29*V29)/12,IF(RIGHT(T29,1)="K",(VLOOKUP(T29,ma_miengiam!$A$3:$B$80,2,0)*Q29)/2,IF(V29&gt;0,VLOOKUP(T29,ma_miengiam!$A$3:$B$80,2,0)*Q29*V29/12,VLOOKUP(T29,ma_miengiam!$A$3:$B$80,2,0)*Q29))))</f>
        <v>72</v>
      </c>
      <c r="X29" s="220">
        <f>IF(T29="NTS",VLOOKUP(T29,ma_miengiam!$A$3:$B$80,2,0)*R29*V29,IF(AND(T29="NTS",V29=0),0,IF(AND(LEFT(T29,1)="K",V29=0),VLOOKUP(T29,ma_miengiam!$A$3:$B$80,2,0)*R29,IF(LEFT(T29,1)="K",(VLOOKUP(T29,ma_miengiam!$A$3:$B$80,2,0)*R29/12)*V29,IF(AND(LEFT(T29,1)="S",V29&gt;0),(R29/12)*V29,IF(AND(LEFT(T29,1)="S",V29=0),R29,IF(T29="DH",VLOOKUP(T29,ma_miengiam!$A$3:$B$80,2,0)*R29,0)))))))</f>
        <v>0</v>
      </c>
      <c r="Y29" s="220">
        <f>IF(AND(T29="DH",V29&gt;0),(S29*V29/12),IF(AND(T29&lt;&gt;"NTS",V29&gt;0),(Q29*V29/12)-W29,IF(AND(T29="NTS",V29&gt;0),Q29-W29,Q29-W29)))</f>
        <v>108</v>
      </c>
      <c r="Z29" s="220">
        <f>IF(AND(T29="SĐH",V29&gt;0),(R29/12)*V29-X29,IF(AND(T29="DH",V29&gt;0),(R29*V29/12),IF(AND(T29&lt;&gt;"NTS",V29&gt;0),(R29*V29/12)-X29,IF(AND(T29="NTS",V29&gt;0),R29-X29,R29-X29))))</f>
        <v>80</v>
      </c>
      <c r="AA29" s="220"/>
      <c r="AB29" s="220"/>
      <c r="AC29" s="220"/>
      <c r="AD29" s="220"/>
      <c r="AE29" s="220"/>
      <c r="AF29" s="220"/>
      <c r="AG29" s="220"/>
      <c r="AH29" s="220"/>
      <c r="AI29" s="220"/>
      <c r="AJ29" s="220"/>
      <c r="AK29" s="216"/>
      <c r="AL29" s="220"/>
      <c r="AM29" s="220"/>
      <c r="AN29" s="216"/>
      <c r="AO29" s="220"/>
      <c r="AP29" s="220"/>
      <c r="AQ29" s="220"/>
      <c r="AR29" s="220"/>
      <c r="AS29" s="220"/>
      <c r="AT29" s="216"/>
      <c r="AU29" s="220"/>
      <c r="AV29" s="220"/>
      <c r="AW29" s="220"/>
      <c r="AX29" s="216"/>
      <c r="AY29" s="220"/>
      <c r="AZ29" s="220"/>
      <c r="BA29" s="220"/>
      <c r="BB29" s="220"/>
      <c r="BC29" s="220"/>
      <c r="BD29" s="216"/>
      <c r="BE29" s="220"/>
      <c r="BF29" s="220"/>
      <c r="BG29" s="220"/>
      <c r="BH29" s="220"/>
      <c r="BI29" s="220"/>
      <c r="BJ29" s="220" t="s">
        <v>613</v>
      </c>
      <c r="BK29" s="220"/>
      <c r="BL29" s="223">
        <f>IF(AW29&lt;BK29,0,IF(AND(BK29=0,AW29&gt;0),AW29,IF(AW29&lt;0,0,IF(BK29&gt;0,AW29-BK29,IF(BK29&lt;0,0,AW29)))))</f>
        <v>0</v>
      </c>
      <c r="BM29" s="220">
        <v>3.33</v>
      </c>
      <c r="BN29" s="220"/>
      <c r="BO29" s="220">
        <f>ROUND(BM29+(BM29*BN29),2)</f>
        <v>3.33</v>
      </c>
      <c r="BP29" s="220">
        <f>IF(AND(BL29&gt;0,BL29&lt;tiet!$D$1),BL29,IF(BL29&lt;=0,0,IF(BL29&gt;tiet!$C$1,tiet!$C$1)))</f>
        <v>0</v>
      </c>
      <c r="BQ29" s="87">
        <f>VLOOKUP(P29,ma_dinhmuc_moi,4,0)</f>
        <v>65000</v>
      </c>
      <c r="BR29" s="224">
        <f>ROUND(BQ29*BP29,0)</f>
        <v>0</v>
      </c>
      <c r="BS29" s="220">
        <f t="shared" si="12"/>
        <v>0</v>
      </c>
      <c r="BT29" s="224">
        <f>VLOOKUP(N29,ma_dinhmuc!$A$1:$J$31,10,0)</f>
        <v>51000</v>
      </c>
      <c r="BU29" s="224">
        <f>ROUND(IF(BS29&gt;0,VLOOKUP(N29,ma_dinhmuc!$A$1:$J$31,10,0)*BS29,0),0)</f>
        <v>0</v>
      </c>
      <c r="BV29" s="224">
        <f>ROUND(BU29+BR29,0)</f>
        <v>0</v>
      </c>
      <c r="BW29" s="224"/>
      <c r="BX29" s="224">
        <v>0</v>
      </c>
      <c r="BY29" s="224"/>
      <c r="BZ29" s="224"/>
      <c r="CA29" s="224"/>
      <c r="CB29" s="224"/>
      <c r="CC29" s="225">
        <f>ROUND(IF(BV29+BW29&gt;BX29+BY29+BZ29+CA29+CB29,(BW29+BV29)-(BX29+BY29+BZ29+CA29+CB29+CB29),0),0)</f>
        <v>0</v>
      </c>
      <c r="CD29" s="224">
        <f>ROUND(IF(BV29+BW29&lt;BX29+BY29+BZ29+CA29-CB29,(BX29+BY29+BZ29+CA29-CB29)-(BW29+BV29),0),0)</f>
        <v>0</v>
      </c>
      <c r="CE29" s="224"/>
      <c r="CF29" s="226"/>
      <c r="CG29" s="87"/>
      <c r="CH29" s="87">
        <f>A29</f>
        <v>18</v>
      </c>
      <c r="CI29" s="227" t="str">
        <f t="shared" ref="CI29:CK30" si="114">F29</f>
        <v>Đinh Thái</v>
      </c>
      <c r="CJ29" s="227" t="str">
        <f t="shared" si="114"/>
        <v>Hoàng</v>
      </c>
      <c r="CK29" s="87">
        <f t="shared" si="114"/>
        <v>1</v>
      </c>
      <c r="CL29" s="227" t="str">
        <f>L29</f>
        <v>Cây công nghiệp</v>
      </c>
      <c r="CM29" s="87" t="str">
        <f>N29</f>
        <v>CS2</v>
      </c>
      <c r="CN29" s="87">
        <f>Q29</f>
        <v>270</v>
      </c>
      <c r="CO29" s="87">
        <f>R29</f>
        <v>120</v>
      </c>
      <c r="CP29" s="229">
        <f t="shared" si="47"/>
        <v>0</v>
      </c>
      <c r="CQ29" s="229">
        <f t="shared" si="48"/>
        <v>0</v>
      </c>
      <c r="CR29" s="229">
        <f t="shared" si="49"/>
        <v>0</v>
      </c>
      <c r="CS29" s="229">
        <f t="shared" si="50"/>
        <v>0</v>
      </c>
      <c r="CT29" s="229">
        <f t="shared" si="51"/>
        <v>0</v>
      </c>
      <c r="CU29" s="229">
        <f t="shared" si="52"/>
        <v>0</v>
      </c>
      <c r="CV29" s="229">
        <f t="shared" si="53"/>
        <v>0</v>
      </c>
      <c r="CW29" s="229">
        <f t="shared" si="54"/>
        <v>0</v>
      </c>
      <c r="CX29" s="229">
        <f t="shared" si="55"/>
        <v>0</v>
      </c>
      <c r="CY29" s="229">
        <f t="shared" si="56"/>
        <v>0</v>
      </c>
      <c r="CZ29" s="229">
        <f t="shared" si="57"/>
        <v>0</v>
      </c>
      <c r="DA29" s="229">
        <f t="shared" si="58"/>
        <v>0</v>
      </c>
      <c r="DB29" s="228">
        <f>SUM(CP29:DA29)</f>
        <v>0</v>
      </c>
      <c r="DC29" s="229"/>
      <c r="DD29" s="229"/>
      <c r="DE29" s="229"/>
      <c r="DF29" s="229"/>
      <c r="DG29" s="229"/>
      <c r="DH29" s="229"/>
      <c r="DI29" s="229"/>
      <c r="DJ29" s="229"/>
      <c r="DK29" s="229"/>
      <c r="DL29" s="229"/>
      <c r="DM29" s="229"/>
      <c r="DN29" s="229"/>
      <c r="DO29" s="228">
        <f>SUM(DC29:DN29)</f>
        <v>0</v>
      </c>
      <c r="DP29" s="228">
        <f>DO29+DB29</f>
        <v>0</v>
      </c>
      <c r="DQ29" s="229">
        <f t="shared" si="62"/>
        <v>0</v>
      </c>
      <c r="DR29" s="229">
        <f t="shared" si="63"/>
        <v>0</v>
      </c>
      <c r="DS29" s="229">
        <f t="shared" si="64"/>
        <v>0</v>
      </c>
      <c r="DT29" s="229">
        <f t="shared" si="65"/>
        <v>0</v>
      </c>
      <c r="DU29" s="229">
        <f t="shared" si="66"/>
        <v>0</v>
      </c>
      <c r="DV29" s="229">
        <f t="shared" si="67"/>
        <v>0</v>
      </c>
      <c r="DW29" s="229">
        <f t="shared" si="68"/>
        <v>0</v>
      </c>
      <c r="DX29" s="228">
        <f>SUM(DQ29:DW29)</f>
        <v>0</v>
      </c>
      <c r="DY29" s="229"/>
      <c r="DZ29" s="229"/>
      <c r="EA29" s="229"/>
      <c r="EB29" s="229"/>
      <c r="EC29" s="229"/>
      <c r="ED29" s="229"/>
      <c r="EE29" s="229"/>
      <c r="EF29" s="228">
        <f t="shared" si="17"/>
        <v>0</v>
      </c>
      <c r="EG29" s="228">
        <f>EF29+DX29</f>
        <v>0</v>
      </c>
      <c r="EH29" s="229">
        <f t="shared" si="18"/>
        <v>0</v>
      </c>
      <c r="EI29" s="229">
        <v>170</v>
      </c>
      <c r="EJ29" s="228">
        <f>SUM(EH29:EI29)</f>
        <v>170</v>
      </c>
      <c r="EK29" s="229"/>
      <c r="EL29" s="229"/>
      <c r="EM29" s="228">
        <f>SUM(EK29:EL29)</f>
        <v>0</v>
      </c>
      <c r="EN29" s="229">
        <f>EK29+EH29+EL29</f>
        <v>0</v>
      </c>
      <c r="EO29" s="229">
        <f>EI29</f>
        <v>170</v>
      </c>
      <c r="EP29" s="228">
        <f>EM29+EJ29</f>
        <v>170</v>
      </c>
      <c r="EQ29" s="173">
        <f t="shared" si="19"/>
        <v>0</v>
      </c>
      <c r="ER29" s="189">
        <v>0</v>
      </c>
      <c r="ES29" s="189">
        <v>0</v>
      </c>
      <c r="ET29" s="189">
        <v>0</v>
      </c>
      <c r="EU29" s="189">
        <v>0</v>
      </c>
      <c r="EV29" s="189">
        <v>0</v>
      </c>
      <c r="EW29" s="189">
        <v>0</v>
      </c>
      <c r="EX29" s="189">
        <v>0</v>
      </c>
      <c r="EY29" s="189">
        <v>0</v>
      </c>
      <c r="EZ29" s="189">
        <v>0</v>
      </c>
      <c r="FA29" s="189">
        <v>0</v>
      </c>
      <c r="FB29" s="189">
        <v>0</v>
      </c>
      <c r="FC29" s="189">
        <v>0</v>
      </c>
      <c r="FD29" s="189">
        <v>0</v>
      </c>
      <c r="FE29" s="189">
        <v>0</v>
      </c>
      <c r="FF29" s="189">
        <v>0</v>
      </c>
      <c r="FG29" s="189">
        <v>0</v>
      </c>
      <c r="FH29" s="189">
        <v>0</v>
      </c>
      <c r="FI29" s="189">
        <v>0</v>
      </c>
      <c r="FJ29" s="189">
        <v>0</v>
      </c>
      <c r="FK29" s="189">
        <v>0</v>
      </c>
      <c r="FL29" s="189">
        <v>0</v>
      </c>
      <c r="FN29" s="132">
        <v>0</v>
      </c>
    </row>
    <row r="30" spans="1:170" ht="30" customHeight="1">
      <c r="A30" s="88">
        <f>COUNTIF($H$12:H30,H30)</f>
        <v>19</v>
      </c>
      <c r="B30" s="88" t="s">
        <v>2245</v>
      </c>
      <c r="C30" s="88" t="s">
        <v>2345</v>
      </c>
      <c r="D30" s="88"/>
      <c r="E30" s="88"/>
      <c r="F30" s="301" t="s">
        <v>23</v>
      </c>
      <c r="G30" s="89" t="s">
        <v>2893</v>
      </c>
      <c r="H30" s="88">
        <v>1</v>
      </c>
      <c r="I30" s="88">
        <v>1</v>
      </c>
      <c r="J30" s="88">
        <v>1</v>
      </c>
      <c r="K30" s="90" t="s">
        <v>3074</v>
      </c>
      <c r="L30" s="90" t="s">
        <v>3074</v>
      </c>
      <c r="M30" s="214"/>
      <c r="N30" s="88" t="s">
        <v>1804</v>
      </c>
      <c r="O30" s="216">
        <f>BO30</f>
        <v>3.33</v>
      </c>
      <c r="P30" s="88" t="str">
        <f>IF(AND(BO30&gt;=2.34,BO30&lt;3.33),"B1_3",IF(AND(BO30&gt;=3.33,BO30&lt;4.65),"B1_4",IF(AND(BO30&gt;=4.65,BO30&lt;5.42),"B1_5",IF(AND(BO30&gt;=5.42,BO30&lt;6.44),"B1_6",IF(AND(BO30&gt;=6.44,BO30&lt;=6.92),"B1_7","B1_8")))))</f>
        <v>B1_4</v>
      </c>
      <c r="Q30" s="88">
        <f>IF(M30&gt;0,VLOOKUP(P30,ma_dinhmuc_moi,2,0)/2,VLOOKUP(P30,ma_dinhmuc_moi,2,0))</f>
        <v>270</v>
      </c>
      <c r="R30" s="88">
        <f>IF(M30&gt;0,VLOOKUP(P30,ma_dinhmuc_moi,3,0)/2,VLOOKUP(P30,ma_dinhmuc_moi,3,0))</f>
        <v>120</v>
      </c>
      <c r="S30" s="231" t="s">
        <v>1425</v>
      </c>
      <c r="T30" s="215" t="s">
        <v>3095</v>
      </c>
      <c r="U30" s="88">
        <f>IF(RIGHT(T30,1)="K",(VLOOKUP(T30,ma_miengiam!$A$3:$B$80,2,0)*100)/2,VLOOKUP(T30,ma_miengiam!$A$3:$B$80,2,0)*100)</f>
        <v>40</v>
      </c>
      <c r="V30" s="88"/>
      <c r="W30" s="220">
        <f>W29+W28</f>
        <v>72</v>
      </c>
      <c r="X30" s="220">
        <f>X29+X28</f>
        <v>0</v>
      </c>
      <c r="Y30" s="220">
        <f>Y29+Y28</f>
        <v>198</v>
      </c>
      <c r="Z30" s="220">
        <f>Z29+Z28</f>
        <v>120</v>
      </c>
      <c r="AA30" s="220">
        <f>Q30</f>
        <v>270</v>
      </c>
      <c r="AB30" s="220">
        <f>R30</f>
        <v>120</v>
      </c>
      <c r="AC30" s="220">
        <f>W30</f>
        <v>72</v>
      </c>
      <c r="AD30" s="220">
        <f>X30</f>
        <v>0</v>
      </c>
      <c r="AE30" s="220">
        <f>Y30</f>
        <v>198</v>
      </c>
      <c r="AF30" s="220">
        <f>Z30</f>
        <v>120</v>
      </c>
      <c r="AG30" s="220">
        <f>AH30+AI30</f>
        <v>595.54999999999995</v>
      </c>
      <c r="AH30" s="220">
        <f>EO30</f>
        <v>170</v>
      </c>
      <c r="AI30" s="220">
        <f>EN30</f>
        <v>425.55</v>
      </c>
      <c r="AJ30" s="220">
        <f>IF(AG30-Z30&gt;0,0,AG30-Z30)</f>
        <v>0</v>
      </c>
      <c r="AK30" s="216">
        <f>IF(AJ30&gt;=0,Y30,Y30-AJ30)</f>
        <v>198</v>
      </c>
      <c r="AL30" s="220">
        <f>SUM(CP30:CX30)+SUM(DC30:DK30)</f>
        <v>88</v>
      </c>
      <c r="AM30" s="220">
        <f>SUM(DQ30:DU30)+SUM(DY30:EC30)</f>
        <v>0</v>
      </c>
      <c r="AN30" s="216">
        <f>AM30+AL30</f>
        <v>88</v>
      </c>
      <c r="AO30" s="220">
        <f>CY30+DL30</f>
        <v>0</v>
      </c>
      <c r="AP30" s="220">
        <f>CZ30+DM30</f>
        <v>0</v>
      </c>
      <c r="AQ30" s="220">
        <f>DA30+DN30</f>
        <v>100</v>
      </c>
      <c r="AR30" s="220">
        <f>DV30+ED30</f>
        <v>0</v>
      </c>
      <c r="AS30" s="220">
        <f>DW30+EE30</f>
        <v>0</v>
      </c>
      <c r="AT30" s="216">
        <f>AN30+SUM(AO30:AS30)</f>
        <v>188</v>
      </c>
      <c r="AU30" s="220">
        <f>AN30-AK30</f>
        <v>-110</v>
      </c>
      <c r="AV30" s="220"/>
      <c r="AW30" s="220">
        <f>IF(AU30&gt;0,AU30,AV30+AU30)</f>
        <v>-110</v>
      </c>
      <c r="AX30" s="216">
        <f>IF(AN30&gt;AK30,0,IF(AW30&lt;0,AN30-AK30+AV30,IF(AW30&gt;=0,0)))</f>
        <v>-110</v>
      </c>
      <c r="AY30" s="220">
        <f>IF(AN30&gt;=AK30,AO30,IF(AN30+AO30-AK30&gt;=0,AN30+AO30-AK30,0))</f>
        <v>0</v>
      </c>
      <c r="AZ30" s="220">
        <f>IF(OR(AN30&gt;=AK30,AN30+AO30&gt;=AK30),AP30,IF(AN30+AO30+AP30&gt;AK30,AN30+AO30+AP30-AK30,0))</f>
        <v>0</v>
      </c>
      <c r="BA30" s="220">
        <f>IF(OR(AN30&gt;=AK30,AN30+AO30&gt;=AK30,AN30+AO30+AP30&gt;=AK30),AQ30,IF(AN30+AO30+AP30+AQ30&gt;=AK30,AN30+AO30+AP30+AQ30-AK30,0))</f>
        <v>0</v>
      </c>
      <c r="BB30" s="220">
        <f>IF(OR(AN30&gt;=AK30,AN30+AO30&gt;=AK30,AN30+AO30+AP30&gt;=AK30,AN30+AO30+AP30+AQ30&gt;=AK30),AR30,IF(AN30+AO30+AP30+AQ30+AR30&gt;=AK30,AN30+AO30+AP30+AQ30+AR30-AK30,0))</f>
        <v>0</v>
      </c>
      <c r="BC30" s="220">
        <f>IF(OR(AN30&gt;=AK30,AN30+AO30&gt;=AK30,AN30+AO30+AP30&gt;=AK30,AN30+AO30+AP30+AQ30&gt;=AK30,AN30+AO30+AP30+AQ30+AR30&gt;=AK30),AS30,IF(AN30+AO30+AP30+AQ30+AR30+AS30&gt;=AK30,AN30+AO30+AP30+AQ30+AR30+AS30-AK30,0))</f>
        <v>0</v>
      </c>
      <c r="BD30" s="216">
        <f>SUM(AY30:BC30)</f>
        <v>0</v>
      </c>
      <c r="BE30" s="220">
        <f>AY30-AO30</f>
        <v>0</v>
      </c>
      <c r="BF30" s="220">
        <f>AZ30-AP30</f>
        <v>0</v>
      </c>
      <c r="BG30" s="220">
        <f>BA30-AQ30</f>
        <v>-100</v>
      </c>
      <c r="BH30" s="220">
        <f>BB30-AR30</f>
        <v>0</v>
      </c>
      <c r="BI30" s="220">
        <f>BC30-AS30</f>
        <v>0</v>
      </c>
      <c r="BJ30" s="220" t="s">
        <v>613</v>
      </c>
      <c r="BK30" s="220"/>
      <c r="BL30" s="223">
        <f>IF(AW30&lt;BK30,0,IF(AND(BK30=0,AW30&gt;0),AW30,IF(AW30&lt;0,0,IF(BK30&gt;0,AW30-BK30,IF(BK30&lt;0,0,AW30)))))</f>
        <v>0</v>
      </c>
      <c r="BM30" s="220">
        <v>3.33</v>
      </c>
      <c r="BN30" s="220"/>
      <c r="BO30" s="220">
        <f>ROUND(BM30+(BM30*BN30),2)</f>
        <v>3.33</v>
      </c>
      <c r="BP30" s="220">
        <f>IF(AND(BL30&gt;0,BL30&lt;tiet!$D$1),BL30,IF(BL30&lt;=0,0,IF(BL30&gt;tiet!$C$1,tiet!$C$1)))</f>
        <v>0</v>
      </c>
      <c r="BQ30" s="87">
        <f>VLOOKUP(P30,ma_dinhmuc_moi,4,0)</f>
        <v>65000</v>
      </c>
      <c r="BR30" s="224">
        <f>ROUND(BQ30*BP30,0)</f>
        <v>0</v>
      </c>
      <c r="BS30" s="220">
        <f t="shared" si="12"/>
        <v>0</v>
      </c>
      <c r="BT30" s="224">
        <f>VLOOKUP(N30,ma_dinhmuc!$A$1:$J$31,10,0)</f>
        <v>51000</v>
      </c>
      <c r="BU30" s="224">
        <f>ROUND(IF(BS30&gt;0,VLOOKUP(N30,ma_dinhmuc!$A$1:$J$31,10,0)*BS30,0),0)</f>
        <v>0</v>
      </c>
      <c r="BV30" s="224">
        <f>ROUND(BU30+BR30,0)</f>
        <v>0</v>
      </c>
      <c r="BW30" s="224"/>
      <c r="BX30" s="224">
        <v>0</v>
      </c>
      <c r="BY30" s="224"/>
      <c r="BZ30" s="224"/>
      <c r="CA30" s="224"/>
      <c r="CB30" s="224"/>
      <c r="CC30" s="225">
        <f>ROUND(IF(BV30+BW30&gt;BX30+BY30+BZ30+CA30+CB30,(BW30+BV30)-(BX30+BY30+BZ30+CA30+CB30+CB30),0),0)</f>
        <v>0</v>
      </c>
      <c r="CD30" s="224">
        <f>ROUND(IF(BV30+BW30&lt;BX30+BY30+BZ30+CA30-CB30,(BX30+BY30+BZ30+CA30-CB30)-(BW30+BV30),0),0)</f>
        <v>0</v>
      </c>
      <c r="CE30" s="224"/>
      <c r="CF30" s="226"/>
      <c r="CG30" s="87"/>
      <c r="CH30" s="87">
        <f>A30</f>
        <v>19</v>
      </c>
      <c r="CI30" s="227" t="str">
        <f t="shared" si="114"/>
        <v>Đinh Thái</v>
      </c>
      <c r="CJ30" s="227" t="str">
        <f t="shared" si="114"/>
        <v>Hoàng</v>
      </c>
      <c r="CK30" s="87">
        <f t="shared" si="114"/>
        <v>1</v>
      </c>
      <c r="CL30" s="227" t="str">
        <f>L30</f>
        <v>Cây công nghiệp</v>
      </c>
      <c r="CM30" s="87" t="str">
        <f>N30</f>
        <v>CS2</v>
      </c>
      <c r="CN30" s="87">
        <f>Q30</f>
        <v>270</v>
      </c>
      <c r="CO30" s="87">
        <f>R30</f>
        <v>120</v>
      </c>
      <c r="CP30" s="229">
        <f t="shared" si="47"/>
        <v>0</v>
      </c>
      <c r="CQ30" s="229">
        <f t="shared" si="48"/>
        <v>12.3</v>
      </c>
      <c r="CR30" s="229">
        <f t="shared" si="49"/>
        <v>4.9000000000000004</v>
      </c>
      <c r="CS30" s="229">
        <f t="shared" si="50"/>
        <v>0</v>
      </c>
      <c r="CT30" s="229">
        <f t="shared" si="51"/>
        <v>0</v>
      </c>
      <c r="CU30" s="229">
        <f t="shared" si="52"/>
        <v>30.8</v>
      </c>
      <c r="CV30" s="229">
        <f t="shared" si="53"/>
        <v>0</v>
      </c>
      <c r="CW30" s="229">
        <f t="shared" si="54"/>
        <v>40</v>
      </c>
      <c r="CX30" s="229">
        <f t="shared" si="55"/>
        <v>0</v>
      </c>
      <c r="CY30" s="229">
        <f t="shared" si="56"/>
        <v>0</v>
      </c>
      <c r="CZ30" s="229">
        <f t="shared" si="57"/>
        <v>0</v>
      </c>
      <c r="DA30" s="229">
        <f t="shared" si="58"/>
        <v>100</v>
      </c>
      <c r="DB30" s="228">
        <f>SUM(CP30:DA30)</f>
        <v>188</v>
      </c>
      <c r="DC30" s="229"/>
      <c r="DD30" s="229"/>
      <c r="DE30" s="229"/>
      <c r="DF30" s="229"/>
      <c r="DG30" s="229"/>
      <c r="DH30" s="229"/>
      <c r="DI30" s="229"/>
      <c r="DJ30" s="229"/>
      <c r="DK30" s="229"/>
      <c r="DL30" s="229"/>
      <c r="DM30" s="229"/>
      <c r="DN30" s="229"/>
      <c r="DO30" s="228">
        <f>SUM(DC30:DN30)</f>
        <v>0</v>
      </c>
      <c r="DP30" s="228">
        <f>DO30+DB30</f>
        <v>188</v>
      </c>
      <c r="DQ30" s="229">
        <f t="shared" si="62"/>
        <v>0</v>
      </c>
      <c r="DR30" s="229">
        <f t="shared" si="63"/>
        <v>0</v>
      </c>
      <c r="DS30" s="229">
        <f t="shared" si="64"/>
        <v>0</v>
      </c>
      <c r="DT30" s="229">
        <f t="shared" si="65"/>
        <v>0</v>
      </c>
      <c r="DU30" s="229">
        <f t="shared" si="66"/>
        <v>0</v>
      </c>
      <c r="DV30" s="229">
        <f t="shared" si="67"/>
        <v>0</v>
      </c>
      <c r="DW30" s="229">
        <f t="shared" si="68"/>
        <v>0</v>
      </c>
      <c r="DX30" s="228">
        <f>SUM(DQ30:DW30)</f>
        <v>0</v>
      </c>
      <c r="DY30" s="229"/>
      <c r="DZ30" s="229"/>
      <c r="EA30" s="229"/>
      <c r="EB30" s="229"/>
      <c r="EC30" s="229"/>
      <c r="ED30" s="229"/>
      <c r="EE30" s="229"/>
      <c r="EF30" s="228">
        <f t="shared" si="17"/>
        <v>0</v>
      </c>
      <c r="EG30" s="228">
        <f>EF30+DX30</f>
        <v>0</v>
      </c>
      <c r="EH30" s="229">
        <f t="shared" si="18"/>
        <v>425.55</v>
      </c>
      <c r="EI30" s="229">
        <v>170</v>
      </c>
      <c r="EJ30" s="228">
        <f>SUM(EH30:EI30)</f>
        <v>595.54999999999995</v>
      </c>
      <c r="EK30" s="229"/>
      <c r="EL30" s="229"/>
      <c r="EM30" s="228">
        <f>SUM(EK30:EL30)</f>
        <v>0</v>
      </c>
      <c r="EN30" s="229">
        <f>EK30+EH30+EL30</f>
        <v>425.55</v>
      </c>
      <c r="EO30" s="229">
        <f>EI30</f>
        <v>170</v>
      </c>
      <c r="EP30" s="228">
        <f>EM30+EJ30</f>
        <v>595.54999999999995</v>
      </c>
      <c r="EQ30" s="173">
        <f t="shared" si="19"/>
        <v>305.55</v>
      </c>
      <c r="ER30" s="189">
        <v>0</v>
      </c>
      <c r="ES30" s="189">
        <v>12.3</v>
      </c>
      <c r="ET30" s="189">
        <v>4.9000000000000004</v>
      </c>
      <c r="EU30" s="189">
        <v>0</v>
      </c>
      <c r="EV30" s="189">
        <v>0</v>
      </c>
      <c r="EW30" s="189">
        <v>30.8</v>
      </c>
      <c r="EX30" s="189">
        <v>0</v>
      </c>
      <c r="EY30" s="189">
        <v>40</v>
      </c>
      <c r="EZ30" s="189">
        <v>0</v>
      </c>
      <c r="FA30" s="189">
        <v>0</v>
      </c>
      <c r="FB30" s="189">
        <v>0</v>
      </c>
      <c r="FC30" s="189">
        <v>100</v>
      </c>
      <c r="FD30" s="189">
        <v>0</v>
      </c>
      <c r="FE30" s="189">
        <v>0</v>
      </c>
      <c r="FF30" s="189">
        <v>0</v>
      </c>
      <c r="FG30" s="189">
        <v>0</v>
      </c>
      <c r="FH30" s="189">
        <v>0</v>
      </c>
      <c r="FI30" s="189">
        <v>0</v>
      </c>
      <c r="FJ30" s="189">
        <v>0</v>
      </c>
      <c r="FK30" s="189">
        <v>188</v>
      </c>
      <c r="FL30" s="189">
        <v>164</v>
      </c>
      <c r="FN30" s="132">
        <v>425.55</v>
      </c>
    </row>
    <row r="31" spans="1:170" ht="30">
      <c r="A31" s="88">
        <f>COUNTIF($H$12:H31,H31)</f>
        <v>20</v>
      </c>
      <c r="B31" s="88" t="s">
        <v>2246</v>
      </c>
      <c r="C31" s="88" t="s">
        <v>2346</v>
      </c>
      <c r="D31" s="88"/>
      <c r="E31" s="88"/>
      <c r="F31" s="301" t="s">
        <v>2897</v>
      </c>
      <c r="G31" s="89" t="s">
        <v>24</v>
      </c>
      <c r="H31" s="88">
        <v>1</v>
      </c>
      <c r="I31" s="88">
        <v>1</v>
      </c>
      <c r="J31" s="88">
        <v>1</v>
      </c>
      <c r="K31" s="90" t="s">
        <v>3074</v>
      </c>
      <c r="L31" s="90" t="s">
        <v>3074</v>
      </c>
      <c r="M31" s="214"/>
      <c r="N31" s="88" t="s">
        <v>1804</v>
      </c>
      <c r="O31" s="216">
        <f t="shared" si="73"/>
        <v>3.66</v>
      </c>
      <c r="P31" s="88" t="str">
        <f t="shared" si="0"/>
        <v>B1_4</v>
      </c>
      <c r="Q31" s="88">
        <f t="shared" si="1"/>
        <v>270</v>
      </c>
      <c r="R31" s="88">
        <f t="shared" si="2"/>
        <v>120</v>
      </c>
      <c r="S31" s="230" t="s">
        <v>1856</v>
      </c>
      <c r="T31" s="88" t="s">
        <v>1326</v>
      </c>
      <c r="U31" s="88">
        <f>IF(RIGHT(T31,1)="K",(VLOOKUP(T31,ma_miengiam!$A$3:$B$80,2,0)*100)/2,VLOOKUP(T31,ma_miengiam!$A$3:$B$80,2,0)*100)</f>
        <v>65</v>
      </c>
      <c r="V31" s="88"/>
      <c r="W31" s="220">
        <f>IF(AND(T31="NTS",V31&gt;0),(Q31-(Q31*V31)/12)*VLOOKUP(T31,ma_miengiam!$A$3:$B$80,2,0)+(Q31-(Q31*(12-V31))/12),IF(AND(RIGHT(T31,1)="K",V31&gt;0),(VLOOKUP(T31,ma_miengiam!$A$3:$B$80,2,0)/2)*(Q31*V31)/12,IF(RIGHT(T31,1)="K",(VLOOKUP(T31,ma_miengiam!$A$3:$B$80,2,0)*Q31)/2,IF(V31&gt;0,VLOOKUP(T31,ma_miengiam!$A$3:$B$80,2,0)*Q31*V31/12,VLOOKUP(T31,ma_miengiam!$A$3:$B$80,2,0)*Q31))))</f>
        <v>175.5</v>
      </c>
      <c r="X31" s="220">
        <f>IF(T31="NTS",VLOOKUP(T31,ma_miengiam!$A$3:$B$80,2,0)*R31*V31,IF(AND(T31="NTS",V31=0),0,IF(AND(LEFT(T31,1)="K",V31=0),VLOOKUP(T31,ma_miengiam!$A$3:$B$80,2,0)*R31,IF(LEFT(T31,1)="K",(VLOOKUP(T31,ma_miengiam!$A$3:$B$80,2,0)*R31/12)*V31,IF(AND(LEFT(T31,1)="S",V31&gt;0),(R31/12)*V31,IF(AND(LEFT(T31,1)="S",V31=0),R31,IF(T31="DH",VLOOKUP(T31,ma_miengiam!$A$3:$B$80,2,0)*R31,0)))))))</f>
        <v>120</v>
      </c>
      <c r="Y31" s="220">
        <f t="shared" si="108"/>
        <v>94.5</v>
      </c>
      <c r="Z31" s="220">
        <f t="shared" si="90"/>
        <v>0</v>
      </c>
      <c r="AA31" s="220">
        <f t="shared" si="102"/>
        <v>270</v>
      </c>
      <c r="AB31" s="220">
        <f t="shared" si="102"/>
        <v>120</v>
      </c>
      <c r="AC31" s="220">
        <f t="shared" si="103"/>
        <v>175.5</v>
      </c>
      <c r="AD31" s="220">
        <f t="shared" si="103"/>
        <v>120</v>
      </c>
      <c r="AE31" s="220">
        <f t="shared" si="103"/>
        <v>94.5</v>
      </c>
      <c r="AF31" s="220">
        <f t="shared" si="103"/>
        <v>0</v>
      </c>
      <c r="AG31" s="220">
        <f t="shared" si="104"/>
        <v>255.35</v>
      </c>
      <c r="AH31" s="220">
        <f t="shared" si="105"/>
        <v>158.91999999999999</v>
      </c>
      <c r="AI31" s="220">
        <f t="shared" si="106"/>
        <v>96.43</v>
      </c>
      <c r="AJ31" s="220">
        <f t="shared" si="74"/>
        <v>0</v>
      </c>
      <c r="AK31" s="216">
        <f t="shared" si="8"/>
        <v>94.5</v>
      </c>
      <c r="AL31" s="220">
        <f t="shared" si="22"/>
        <v>81.5</v>
      </c>
      <c r="AM31" s="220">
        <f t="shared" si="23"/>
        <v>0</v>
      </c>
      <c r="AN31" s="221">
        <f t="shared" si="24"/>
        <v>81.5</v>
      </c>
      <c r="AO31" s="220">
        <f t="shared" si="25"/>
        <v>0</v>
      </c>
      <c r="AP31" s="220">
        <f t="shared" si="26"/>
        <v>0</v>
      </c>
      <c r="AQ31" s="220">
        <f t="shared" si="27"/>
        <v>60</v>
      </c>
      <c r="AR31" s="220">
        <f t="shared" si="28"/>
        <v>0</v>
      </c>
      <c r="AS31" s="220">
        <f t="shared" si="29"/>
        <v>0</v>
      </c>
      <c r="AT31" s="216">
        <f t="shared" si="30"/>
        <v>141.5</v>
      </c>
      <c r="AU31" s="222">
        <f t="shared" si="31"/>
        <v>-13</v>
      </c>
      <c r="AV31" s="220"/>
      <c r="AW31" s="220">
        <f t="shared" si="32"/>
        <v>-13</v>
      </c>
      <c r="AX31" s="216">
        <f t="shared" si="9"/>
        <v>-13</v>
      </c>
      <c r="AY31" s="220">
        <f t="shared" si="33"/>
        <v>0</v>
      </c>
      <c r="AZ31" s="220">
        <f t="shared" si="34"/>
        <v>0</v>
      </c>
      <c r="BA31" s="220">
        <f t="shared" si="35"/>
        <v>47</v>
      </c>
      <c r="BB31" s="220">
        <f t="shared" si="36"/>
        <v>0</v>
      </c>
      <c r="BC31" s="220">
        <f t="shared" si="37"/>
        <v>0</v>
      </c>
      <c r="BD31" s="216">
        <f t="shared" si="10"/>
        <v>47</v>
      </c>
      <c r="BE31" s="220">
        <f t="shared" si="38"/>
        <v>0</v>
      </c>
      <c r="BF31" s="220">
        <f t="shared" si="39"/>
        <v>0</v>
      </c>
      <c r="BG31" s="220">
        <f t="shared" si="40"/>
        <v>-13</v>
      </c>
      <c r="BH31" s="220">
        <f t="shared" si="41"/>
        <v>0</v>
      </c>
      <c r="BI31" s="220">
        <f t="shared" si="42"/>
        <v>0</v>
      </c>
      <c r="BJ31" s="220" t="s">
        <v>613</v>
      </c>
      <c r="BK31" s="220"/>
      <c r="BL31" s="223">
        <f t="shared" si="11"/>
        <v>0</v>
      </c>
      <c r="BM31" s="220">
        <v>3.66</v>
      </c>
      <c r="BN31" s="220"/>
      <c r="BO31" s="220">
        <f t="shared" si="107"/>
        <v>3.66</v>
      </c>
      <c r="BP31" s="220">
        <f>IF(AND(BL31&gt;0,BL31&lt;tiet!$D$1),BL31,IF(BL31&lt;=0,0,IF(BL31&gt;tiet!$C$1,tiet!$C$1)))</f>
        <v>0</v>
      </c>
      <c r="BQ31" s="87">
        <f t="shared" si="75"/>
        <v>65000</v>
      </c>
      <c r="BR31" s="224">
        <f t="shared" si="76"/>
        <v>0</v>
      </c>
      <c r="BS31" s="220">
        <f t="shared" si="12"/>
        <v>0</v>
      </c>
      <c r="BT31" s="224">
        <f>VLOOKUP(N31,ma_dinhmuc!$A$1:$J$31,10,0)</f>
        <v>51000</v>
      </c>
      <c r="BU31" s="224">
        <f>ROUND(IF(BS31&gt;0,VLOOKUP(N31,ma_dinhmuc!$A$1:$J$31,10,0)*BS31,0),0)</f>
        <v>0</v>
      </c>
      <c r="BV31" s="224">
        <f t="shared" si="77"/>
        <v>0</v>
      </c>
      <c r="BW31" s="224"/>
      <c r="BX31" s="224">
        <v>0</v>
      </c>
      <c r="BY31" s="224"/>
      <c r="BZ31" s="224"/>
      <c r="CA31" s="224"/>
      <c r="CB31" s="224"/>
      <c r="CC31" s="225">
        <f t="shared" si="44"/>
        <v>0</v>
      </c>
      <c r="CD31" s="224">
        <f t="shared" si="45"/>
        <v>0</v>
      </c>
      <c r="CE31" s="224"/>
      <c r="CF31" s="226"/>
      <c r="CG31" s="87"/>
      <c r="CH31" s="87">
        <f t="shared" si="109"/>
        <v>20</v>
      </c>
      <c r="CI31" s="227" t="str">
        <f t="shared" si="110"/>
        <v>Nguyễn Thị Thanh</v>
      </c>
      <c r="CJ31" s="227" t="str">
        <f t="shared" si="111"/>
        <v>Hải</v>
      </c>
      <c r="CK31" s="87">
        <f t="shared" si="112"/>
        <v>1</v>
      </c>
      <c r="CL31" s="227" t="str">
        <f t="shared" si="87"/>
        <v>Cây công nghiệp</v>
      </c>
      <c r="CM31" s="87" t="str">
        <f t="shared" si="46"/>
        <v>CS2</v>
      </c>
      <c r="CN31" s="87">
        <f t="shared" si="113"/>
        <v>270</v>
      </c>
      <c r="CO31" s="87">
        <f t="shared" si="113"/>
        <v>120</v>
      </c>
      <c r="CP31" s="229">
        <f t="shared" si="47"/>
        <v>0</v>
      </c>
      <c r="CQ31" s="229">
        <f t="shared" si="48"/>
        <v>6.8</v>
      </c>
      <c r="CR31" s="229">
        <f t="shared" si="49"/>
        <v>2.7</v>
      </c>
      <c r="CS31" s="229">
        <f t="shared" si="50"/>
        <v>0</v>
      </c>
      <c r="CT31" s="229">
        <f t="shared" si="51"/>
        <v>0</v>
      </c>
      <c r="CU31" s="229">
        <f t="shared" si="52"/>
        <v>44</v>
      </c>
      <c r="CV31" s="229">
        <f t="shared" si="53"/>
        <v>0</v>
      </c>
      <c r="CW31" s="229">
        <f t="shared" si="54"/>
        <v>28</v>
      </c>
      <c r="CX31" s="229">
        <f t="shared" si="55"/>
        <v>0</v>
      </c>
      <c r="CY31" s="229">
        <f t="shared" si="56"/>
        <v>0</v>
      </c>
      <c r="CZ31" s="229">
        <f t="shared" si="57"/>
        <v>0</v>
      </c>
      <c r="DA31" s="229">
        <f t="shared" si="58"/>
        <v>60</v>
      </c>
      <c r="DB31" s="228">
        <f t="shared" si="59"/>
        <v>141.5</v>
      </c>
      <c r="DC31" s="229"/>
      <c r="DD31" s="229"/>
      <c r="DE31" s="229"/>
      <c r="DF31" s="229"/>
      <c r="DG31" s="229"/>
      <c r="DH31" s="229"/>
      <c r="DI31" s="229"/>
      <c r="DJ31" s="229"/>
      <c r="DK31" s="229"/>
      <c r="DL31" s="229"/>
      <c r="DM31" s="229"/>
      <c r="DN31" s="229"/>
      <c r="DO31" s="228">
        <f t="shared" si="60"/>
        <v>0</v>
      </c>
      <c r="DP31" s="228">
        <f t="shared" si="61"/>
        <v>141.5</v>
      </c>
      <c r="DQ31" s="229">
        <f t="shared" si="62"/>
        <v>0</v>
      </c>
      <c r="DR31" s="229">
        <f t="shared" si="63"/>
        <v>0</v>
      </c>
      <c r="DS31" s="229">
        <f t="shared" si="64"/>
        <v>0</v>
      </c>
      <c r="DT31" s="229">
        <f t="shared" si="65"/>
        <v>0</v>
      </c>
      <c r="DU31" s="229">
        <f t="shared" si="66"/>
        <v>0</v>
      </c>
      <c r="DV31" s="229">
        <f t="shared" si="67"/>
        <v>0</v>
      </c>
      <c r="DW31" s="229">
        <f t="shared" si="68"/>
        <v>0</v>
      </c>
      <c r="DX31" s="228">
        <f t="shared" si="69"/>
        <v>0</v>
      </c>
      <c r="DY31" s="229"/>
      <c r="DZ31" s="229"/>
      <c r="EA31" s="229"/>
      <c r="EB31" s="229"/>
      <c r="EC31" s="229"/>
      <c r="ED31" s="229"/>
      <c r="EE31" s="229"/>
      <c r="EF31" s="228">
        <f t="shared" si="17"/>
        <v>0</v>
      </c>
      <c r="EG31" s="228">
        <f t="shared" si="70"/>
        <v>0</v>
      </c>
      <c r="EH31" s="229">
        <f t="shared" si="18"/>
        <v>96.43</v>
      </c>
      <c r="EI31" s="229">
        <v>158.91999999999999</v>
      </c>
      <c r="EJ31" s="228">
        <f t="shared" si="84"/>
        <v>255.35</v>
      </c>
      <c r="EK31" s="229"/>
      <c r="EL31" s="229"/>
      <c r="EM31" s="228">
        <f t="shared" si="78"/>
        <v>0</v>
      </c>
      <c r="EN31" s="229">
        <f t="shared" si="71"/>
        <v>96.43</v>
      </c>
      <c r="EO31" s="229">
        <f t="shared" si="72"/>
        <v>158.91999999999999</v>
      </c>
      <c r="EP31" s="228">
        <f t="shared" si="88"/>
        <v>255.35</v>
      </c>
      <c r="EQ31" s="173">
        <f t="shared" si="19"/>
        <v>96.43</v>
      </c>
      <c r="ER31" s="189">
        <v>0</v>
      </c>
      <c r="ES31" s="189">
        <v>6.8</v>
      </c>
      <c r="ET31" s="189">
        <v>2.7</v>
      </c>
      <c r="EU31" s="189">
        <v>0</v>
      </c>
      <c r="EV31" s="189">
        <v>0</v>
      </c>
      <c r="EW31" s="189">
        <v>44</v>
      </c>
      <c r="EX31" s="189">
        <v>0</v>
      </c>
      <c r="EY31" s="189">
        <v>28</v>
      </c>
      <c r="EZ31" s="189">
        <v>0</v>
      </c>
      <c r="FA31" s="189">
        <v>0</v>
      </c>
      <c r="FB31" s="189">
        <v>0</v>
      </c>
      <c r="FC31" s="189">
        <v>60</v>
      </c>
      <c r="FD31" s="189">
        <v>0</v>
      </c>
      <c r="FE31" s="189">
        <v>0</v>
      </c>
      <c r="FF31" s="189">
        <v>0</v>
      </c>
      <c r="FG31" s="189">
        <v>0</v>
      </c>
      <c r="FH31" s="189">
        <v>0</v>
      </c>
      <c r="FI31" s="189">
        <v>0</v>
      </c>
      <c r="FJ31" s="189">
        <v>0</v>
      </c>
      <c r="FK31" s="189">
        <v>141.5</v>
      </c>
      <c r="FL31" s="189">
        <v>132</v>
      </c>
      <c r="FN31" s="132">
        <v>96.43</v>
      </c>
    </row>
    <row r="32" spans="1:170" ht="30" customHeight="1">
      <c r="A32" s="88">
        <f>COUNTIF($H$12:H32,H32)</f>
        <v>21</v>
      </c>
      <c r="B32" s="88" t="s">
        <v>2247</v>
      </c>
      <c r="C32" s="88" t="s">
        <v>2347</v>
      </c>
      <c r="D32" s="88"/>
      <c r="E32" s="88"/>
      <c r="F32" s="301" t="s">
        <v>25</v>
      </c>
      <c r="G32" s="89" t="s">
        <v>26</v>
      </c>
      <c r="H32" s="88">
        <v>1</v>
      </c>
      <c r="I32" s="88">
        <v>1</v>
      </c>
      <c r="J32" s="88">
        <v>1</v>
      </c>
      <c r="K32" s="90" t="s">
        <v>3074</v>
      </c>
      <c r="L32" s="90" t="s">
        <v>3074</v>
      </c>
      <c r="M32" s="214"/>
      <c r="N32" s="88" t="s">
        <v>1804</v>
      </c>
      <c r="O32" s="216">
        <f t="shared" si="73"/>
        <v>3.99</v>
      </c>
      <c r="P32" s="88" t="str">
        <f t="shared" si="0"/>
        <v>B1_4</v>
      </c>
      <c r="Q32" s="88">
        <f t="shared" si="1"/>
        <v>270</v>
      </c>
      <c r="R32" s="88">
        <f t="shared" si="2"/>
        <v>120</v>
      </c>
      <c r="S32" s="230" t="s">
        <v>689</v>
      </c>
      <c r="T32" s="88" t="s">
        <v>3090</v>
      </c>
      <c r="U32" s="88">
        <f>IF(RIGHT(T32,1)="K",(VLOOKUP(T32,ma_miengiam!$A$3:$B$80,2,0)*100)/2,VLOOKUP(T32,ma_miengiam!$A$3:$B$80,2,0)*100)</f>
        <v>15</v>
      </c>
      <c r="V32" s="88"/>
      <c r="W32" s="220">
        <f>IF(AND(T32="NTS",V32&gt;0),(Q32-(Q32*V32)/12)*VLOOKUP(T32,ma_miengiam!$A$3:$B$80,2,0)+(Q32-(Q32*(12-V32))/12),IF(AND(RIGHT(T32,1)="K",V32&gt;0),(VLOOKUP(T32,ma_miengiam!$A$3:$B$80,2,0)/2)*(Q32*V32)/12,IF(RIGHT(T32,1)="K",(VLOOKUP(T32,ma_miengiam!$A$3:$B$80,2,0)*Q32)/2,IF(V32&gt;0,VLOOKUP(T32,ma_miengiam!$A$3:$B$80,2,0)*Q32*V32/12,VLOOKUP(T32,ma_miengiam!$A$3:$B$80,2,0)*Q32))))</f>
        <v>40.5</v>
      </c>
      <c r="X32" s="220">
        <f>IF(T32="NTS",VLOOKUP(T32,ma_miengiam!$A$3:$B$80,2,0)*R32*V32,IF(AND(T32="NTS",V32=0),0,IF(AND(LEFT(T32,1)="K",V32=0),VLOOKUP(T32,ma_miengiam!$A$3:$B$80,2,0)*R32,IF(LEFT(T32,1)="K",(VLOOKUP(T32,ma_miengiam!$A$3:$B$80,2,0)*R32/12)*V32,IF(AND(LEFT(T32,1)="S",V32&gt;0),(R32/12)*V32,IF(AND(LEFT(T32,1)="S",V32=0),R32,IF(T32="DH",VLOOKUP(T32,ma_miengiam!$A$3:$B$80,2,0)*R32,0)))))))</f>
        <v>0</v>
      </c>
      <c r="Y32" s="220">
        <f t="shared" si="108"/>
        <v>229.5</v>
      </c>
      <c r="Z32" s="220">
        <f t="shared" si="90"/>
        <v>120</v>
      </c>
      <c r="AA32" s="220">
        <f t="shared" si="102"/>
        <v>270</v>
      </c>
      <c r="AB32" s="220">
        <f t="shared" si="102"/>
        <v>120</v>
      </c>
      <c r="AC32" s="220">
        <f t="shared" si="103"/>
        <v>40.5</v>
      </c>
      <c r="AD32" s="220">
        <f t="shared" si="103"/>
        <v>0</v>
      </c>
      <c r="AE32" s="220">
        <f t="shared" si="103"/>
        <v>229.5</v>
      </c>
      <c r="AF32" s="220">
        <f t="shared" si="103"/>
        <v>120</v>
      </c>
      <c r="AG32" s="220">
        <f t="shared" si="104"/>
        <v>166.79</v>
      </c>
      <c r="AH32" s="220">
        <f t="shared" si="105"/>
        <v>0</v>
      </c>
      <c r="AI32" s="220">
        <f t="shared" si="106"/>
        <v>166.79</v>
      </c>
      <c r="AJ32" s="220">
        <f t="shared" si="74"/>
        <v>0</v>
      </c>
      <c r="AK32" s="216">
        <f t="shared" si="8"/>
        <v>229.5</v>
      </c>
      <c r="AL32" s="220">
        <f t="shared" si="22"/>
        <v>175.6</v>
      </c>
      <c r="AM32" s="220">
        <f t="shared" si="23"/>
        <v>0</v>
      </c>
      <c r="AN32" s="221">
        <f t="shared" si="24"/>
        <v>175.6</v>
      </c>
      <c r="AO32" s="220">
        <f t="shared" si="25"/>
        <v>0</v>
      </c>
      <c r="AP32" s="220">
        <f t="shared" si="26"/>
        <v>0</v>
      </c>
      <c r="AQ32" s="220">
        <f t="shared" si="27"/>
        <v>80</v>
      </c>
      <c r="AR32" s="220">
        <f t="shared" si="28"/>
        <v>80</v>
      </c>
      <c r="AS32" s="220">
        <f t="shared" si="29"/>
        <v>0</v>
      </c>
      <c r="AT32" s="216">
        <f t="shared" si="30"/>
        <v>335.6</v>
      </c>
      <c r="AU32" s="222">
        <f t="shared" si="31"/>
        <v>-53.900000000000006</v>
      </c>
      <c r="AV32" s="220"/>
      <c r="AW32" s="220">
        <f t="shared" si="32"/>
        <v>-53.900000000000006</v>
      </c>
      <c r="AX32" s="216">
        <f t="shared" si="9"/>
        <v>-53.900000000000006</v>
      </c>
      <c r="AY32" s="220">
        <f t="shared" si="33"/>
        <v>0</v>
      </c>
      <c r="AZ32" s="220">
        <f t="shared" si="34"/>
        <v>0</v>
      </c>
      <c r="BA32" s="220">
        <f t="shared" si="35"/>
        <v>26.099999999999994</v>
      </c>
      <c r="BB32" s="220">
        <f t="shared" si="36"/>
        <v>80</v>
      </c>
      <c r="BC32" s="220">
        <f t="shared" si="37"/>
        <v>0</v>
      </c>
      <c r="BD32" s="216">
        <f t="shared" si="10"/>
        <v>106.1</v>
      </c>
      <c r="BE32" s="220">
        <f t="shared" si="38"/>
        <v>0</v>
      </c>
      <c r="BF32" s="220">
        <f t="shared" si="39"/>
        <v>0</v>
      </c>
      <c r="BG32" s="220">
        <f t="shared" si="40"/>
        <v>-53.900000000000006</v>
      </c>
      <c r="BH32" s="220">
        <f t="shared" si="41"/>
        <v>0</v>
      </c>
      <c r="BI32" s="220">
        <f t="shared" si="42"/>
        <v>0</v>
      </c>
      <c r="BJ32" s="220" t="s">
        <v>613</v>
      </c>
      <c r="BK32" s="220"/>
      <c r="BL32" s="223">
        <f t="shared" si="11"/>
        <v>0</v>
      </c>
      <c r="BM32" s="220">
        <v>3.99</v>
      </c>
      <c r="BN32" s="220"/>
      <c r="BO32" s="220">
        <f t="shared" si="107"/>
        <v>3.99</v>
      </c>
      <c r="BP32" s="220">
        <f>IF(AND(BL32&gt;0,BL32&lt;tiet!$D$1),BL32,IF(BL32&lt;=0,0,IF(BL32&gt;tiet!$C$1,tiet!$C$1)))</f>
        <v>0</v>
      </c>
      <c r="BQ32" s="87">
        <f t="shared" si="75"/>
        <v>65000</v>
      </c>
      <c r="BR32" s="224">
        <f t="shared" si="76"/>
        <v>0</v>
      </c>
      <c r="BS32" s="220">
        <f t="shared" si="12"/>
        <v>0</v>
      </c>
      <c r="BT32" s="224">
        <f>VLOOKUP(N32,ma_dinhmuc!$A$1:$J$31,10,0)</f>
        <v>51000</v>
      </c>
      <c r="BU32" s="224">
        <f>ROUND(IF(BS32&gt;0,VLOOKUP(N32,ma_dinhmuc!$A$1:$J$31,10,0)*BS32,0),0)</f>
        <v>0</v>
      </c>
      <c r="BV32" s="224">
        <f t="shared" si="77"/>
        <v>0</v>
      </c>
      <c r="BW32" s="224"/>
      <c r="BX32" s="224">
        <v>0</v>
      </c>
      <c r="BY32" s="224"/>
      <c r="BZ32" s="224"/>
      <c r="CA32" s="224"/>
      <c r="CB32" s="224"/>
      <c r="CC32" s="225">
        <f t="shared" si="44"/>
        <v>0</v>
      </c>
      <c r="CD32" s="224">
        <f t="shared" si="45"/>
        <v>0</v>
      </c>
      <c r="CE32" s="224"/>
      <c r="CF32" s="226"/>
      <c r="CG32" s="87"/>
      <c r="CH32" s="87">
        <f t="shared" si="109"/>
        <v>21</v>
      </c>
      <c r="CI32" s="227" t="str">
        <f t="shared" si="110"/>
        <v>Vũ Ngọc</v>
      </c>
      <c r="CJ32" s="227" t="str">
        <f t="shared" si="111"/>
        <v>Thắng</v>
      </c>
      <c r="CK32" s="87">
        <f t="shared" si="112"/>
        <v>1</v>
      </c>
      <c r="CL32" s="227" t="str">
        <f t="shared" si="87"/>
        <v>Cây công nghiệp</v>
      </c>
      <c r="CM32" s="87" t="str">
        <f t="shared" si="46"/>
        <v>CS2</v>
      </c>
      <c r="CN32" s="87">
        <f t="shared" si="113"/>
        <v>270</v>
      </c>
      <c r="CO32" s="87">
        <f t="shared" si="113"/>
        <v>120</v>
      </c>
      <c r="CP32" s="229">
        <f t="shared" si="47"/>
        <v>0</v>
      </c>
      <c r="CQ32" s="229">
        <f t="shared" si="48"/>
        <v>20.7</v>
      </c>
      <c r="CR32" s="229">
        <f t="shared" si="49"/>
        <v>8.3000000000000007</v>
      </c>
      <c r="CS32" s="229">
        <f t="shared" si="50"/>
        <v>0</v>
      </c>
      <c r="CT32" s="229">
        <f t="shared" si="51"/>
        <v>0</v>
      </c>
      <c r="CU32" s="229">
        <f t="shared" si="52"/>
        <v>78.599999999999994</v>
      </c>
      <c r="CV32" s="229">
        <f t="shared" si="53"/>
        <v>0</v>
      </c>
      <c r="CW32" s="229">
        <f t="shared" si="54"/>
        <v>68</v>
      </c>
      <c r="CX32" s="229">
        <f t="shared" si="55"/>
        <v>0</v>
      </c>
      <c r="CY32" s="229">
        <f t="shared" si="56"/>
        <v>0</v>
      </c>
      <c r="CZ32" s="229">
        <f t="shared" si="57"/>
        <v>0</v>
      </c>
      <c r="DA32" s="229">
        <f t="shared" si="58"/>
        <v>80</v>
      </c>
      <c r="DB32" s="228">
        <f t="shared" si="59"/>
        <v>255.6</v>
      </c>
      <c r="DC32" s="229"/>
      <c r="DD32" s="229"/>
      <c r="DE32" s="229"/>
      <c r="DF32" s="229"/>
      <c r="DG32" s="229"/>
      <c r="DH32" s="229"/>
      <c r="DI32" s="229"/>
      <c r="DJ32" s="229"/>
      <c r="DK32" s="229"/>
      <c r="DL32" s="229"/>
      <c r="DM32" s="229"/>
      <c r="DN32" s="229"/>
      <c r="DO32" s="228">
        <f t="shared" si="60"/>
        <v>0</v>
      </c>
      <c r="DP32" s="228">
        <f t="shared" si="61"/>
        <v>255.6</v>
      </c>
      <c r="DQ32" s="229">
        <f t="shared" si="62"/>
        <v>0</v>
      </c>
      <c r="DR32" s="229">
        <f t="shared" si="63"/>
        <v>0</v>
      </c>
      <c r="DS32" s="229">
        <f t="shared" si="64"/>
        <v>0</v>
      </c>
      <c r="DT32" s="229">
        <f t="shared" si="65"/>
        <v>0</v>
      </c>
      <c r="DU32" s="229">
        <f t="shared" si="66"/>
        <v>0</v>
      </c>
      <c r="DV32" s="229">
        <f t="shared" si="67"/>
        <v>80</v>
      </c>
      <c r="DW32" s="229">
        <f t="shared" si="68"/>
        <v>0</v>
      </c>
      <c r="DX32" s="228">
        <f t="shared" si="69"/>
        <v>80</v>
      </c>
      <c r="DY32" s="229"/>
      <c r="DZ32" s="229"/>
      <c r="EA32" s="229"/>
      <c r="EB32" s="229"/>
      <c r="EC32" s="229"/>
      <c r="ED32" s="229"/>
      <c r="EE32" s="229"/>
      <c r="EF32" s="228">
        <f t="shared" si="17"/>
        <v>0</v>
      </c>
      <c r="EG32" s="228">
        <f t="shared" si="70"/>
        <v>80</v>
      </c>
      <c r="EH32" s="229">
        <f t="shared" si="18"/>
        <v>166.79</v>
      </c>
      <c r="EI32" s="229">
        <v>0</v>
      </c>
      <c r="EJ32" s="228">
        <f t="shared" si="84"/>
        <v>166.79</v>
      </c>
      <c r="EK32" s="229"/>
      <c r="EL32" s="229"/>
      <c r="EM32" s="228">
        <f t="shared" si="78"/>
        <v>0</v>
      </c>
      <c r="EN32" s="229">
        <f t="shared" si="71"/>
        <v>166.79</v>
      </c>
      <c r="EO32" s="229">
        <f t="shared" si="72"/>
        <v>0</v>
      </c>
      <c r="EP32" s="228">
        <f t="shared" si="88"/>
        <v>166.79</v>
      </c>
      <c r="EQ32" s="173">
        <f t="shared" si="19"/>
        <v>46.789999999999992</v>
      </c>
      <c r="ER32" s="189">
        <v>0</v>
      </c>
      <c r="ES32" s="189">
        <v>20.7</v>
      </c>
      <c r="ET32" s="189">
        <v>8.3000000000000007</v>
      </c>
      <c r="EU32" s="189">
        <v>0</v>
      </c>
      <c r="EV32" s="189">
        <v>0</v>
      </c>
      <c r="EW32" s="189">
        <v>78.599999999999994</v>
      </c>
      <c r="EX32" s="189">
        <v>0</v>
      </c>
      <c r="EY32" s="189">
        <v>68</v>
      </c>
      <c r="EZ32" s="189">
        <v>0</v>
      </c>
      <c r="FA32" s="189">
        <v>0</v>
      </c>
      <c r="FB32" s="189">
        <v>0</v>
      </c>
      <c r="FC32" s="189">
        <v>80</v>
      </c>
      <c r="FD32" s="189">
        <v>0</v>
      </c>
      <c r="FE32" s="189">
        <v>0</v>
      </c>
      <c r="FF32" s="189">
        <v>0</v>
      </c>
      <c r="FG32" s="189">
        <v>0</v>
      </c>
      <c r="FH32" s="189">
        <v>80</v>
      </c>
      <c r="FI32" s="189">
        <v>0</v>
      </c>
      <c r="FJ32" s="189">
        <v>0</v>
      </c>
      <c r="FK32" s="189">
        <v>335.6</v>
      </c>
      <c r="FL32" s="189">
        <v>296</v>
      </c>
      <c r="FN32" s="132">
        <v>166.79</v>
      </c>
    </row>
    <row r="33" spans="1:170" ht="30" customHeight="1">
      <c r="A33" s="88">
        <f>COUNTIF($H$12:H33,H33)</f>
        <v>22</v>
      </c>
      <c r="B33" s="88" t="s">
        <v>2248</v>
      </c>
      <c r="C33" s="88" t="s">
        <v>2348</v>
      </c>
      <c r="D33" s="88"/>
      <c r="E33" s="88"/>
      <c r="F33" s="301" t="s">
        <v>27</v>
      </c>
      <c r="G33" s="89" t="s">
        <v>1201</v>
      </c>
      <c r="H33" s="88">
        <v>1</v>
      </c>
      <c r="I33" s="88">
        <v>1</v>
      </c>
      <c r="J33" s="88">
        <v>1</v>
      </c>
      <c r="K33" s="90" t="s">
        <v>3074</v>
      </c>
      <c r="L33" s="90" t="s">
        <v>3074</v>
      </c>
      <c r="M33" s="214"/>
      <c r="N33" s="88" t="s">
        <v>1804</v>
      </c>
      <c r="O33" s="216">
        <f>BO33</f>
        <v>3</v>
      </c>
      <c r="P33" s="88" t="str">
        <f t="shared" si="0"/>
        <v>B1_3</v>
      </c>
      <c r="Q33" s="88">
        <f t="shared" si="1"/>
        <v>270</v>
      </c>
      <c r="R33" s="88">
        <f t="shared" si="2"/>
        <v>100</v>
      </c>
      <c r="S33" s="231" t="s">
        <v>2350</v>
      </c>
      <c r="T33" s="219" t="s">
        <v>2961</v>
      </c>
      <c r="U33" s="88">
        <f>IF(RIGHT(T33,1)="K",(VLOOKUP(T33,ma_miengiam!$A$3:$B$80,2,0)*100)/2,VLOOKUP(T33,ma_miengiam!$A$3:$B$80,2,0)*100)</f>
        <v>100</v>
      </c>
      <c r="V33" s="88"/>
      <c r="W33" s="220">
        <f>IF(AND(T33="NTS",V33&gt;0),(Q33-(Q33*V33)/12)*VLOOKUP(T33,ma_miengiam!$A$3:$B$80,2,0)+(Q33-(Q33*(12-V33))/12),IF(AND(RIGHT(T33,1)="K",V33&gt;0),(VLOOKUP(T33,ma_miengiam!$A$3:$B$80,2,0)/2)*(Q33*V33)/12,IF(RIGHT(T33,1)="K",(VLOOKUP(T33,ma_miengiam!$A$3:$B$80,2,0)*Q33)/2,IF(V33&gt;0,VLOOKUP(T33,ma_miengiam!$A$3:$B$80,2,0)*Q33*V33/12,VLOOKUP(T33,ma_miengiam!$A$3:$B$80,2,0)*Q33))))</f>
        <v>270</v>
      </c>
      <c r="X33" s="220">
        <f>IF(T33="NTS",VLOOKUP(T33,ma_miengiam!$A$3:$B$80,2,0)*R33*V33,IF(AND(T33="NTS",V33=0),0,IF(AND(LEFT(T33,1)="K",V33=0),VLOOKUP(T33,ma_miengiam!$A$3:$B$80,2,0)*R33,IF(LEFT(T33,1)="K",(VLOOKUP(T33,ma_miengiam!$A$3:$B$80,2,0)*R33/12)*V33,IF(AND(LEFT(T33,1)="S",V33&gt;0),(R33/12)*V33,IF(AND(LEFT(T33,1)="S",V33=0),R33,IF(T33="DH",VLOOKUP(T33,ma_miengiam!$A$3:$B$80,2,0)*R33,0)))))))</f>
        <v>100</v>
      </c>
      <c r="Y33" s="220">
        <f>IF(AND(T33="DH",V33&gt;0),(S33*V33/12),IF(AND(T33&lt;&gt;"NTS",V33&gt;0),(Q33*V33/12)-W33,IF(AND(T33="NTS",V33&gt;0),Q33-W33,Q33-W33)))</f>
        <v>0</v>
      </c>
      <c r="Z33" s="220">
        <f>IF(AND(T33="SĐH",V33&gt;0),(R33/12)*V33-X33,IF(AND(T33="DH",V33&gt;0),(R33*V33/12),IF(AND(T33&lt;&gt;"NTS",V33&gt;0),(R33*V33/12)-X33,IF(AND(T33="NTS",V33&gt;0),R33-X33,R33-X33))))</f>
        <v>0</v>
      </c>
      <c r="AA33" s="220">
        <f>Q33</f>
        <v>270</v>
      </c>
      <c r="AB33" s="220">
        <f>R33</f>
        <v>100</v>
      </c>
      <c r="AC33" s="220">
        <f>W33</f>
        <v>270</v>
      </c>
      <c r="AD33" s="220">
        <f>X33</f>
        <v>100</v>
      </c>
      <c r="AE33" s="220">
        <f>Y33</f>
        <v>0</v>
      </c>
      <c r="AF33" s="220">
        <f>Z33</f>
        <v>0</v>
      </c>
      <c r="AG33" s="220">
        <f>AH33+AI33</f>
        <v>102.43</v>
      </c>
      <c r="AH33" s="220">
        <f>EO33</f>
        <v>57.43</v>
      </c>
      <c r="AI33" s="220">
        <f>EN33</f>
        <v>45</v>
      </c>
      <c r="AJ33" s="220">
        <f>IF(AG33-Z33&gt;0,0,AG33-Z33)</f>
        <v>0</v>
      </c>
      <c r="AK33" s="216">
        <f t="shared" si="8"/>
        <v>0</v>
      </c>
      <c r="AL33" s="220">
        <f>SUM(CP33:CX33)+SUM(DC33:DK33)</f>
        <v>0</v>
      </c>
      <c r="AM33" s="220">
        <f>SUM(DQ33:DU33)+SUM(DY33:EC33)</f>
        <v>0</v>
      </c>
      <c r="AN33" s="216">
        <f>AM33+AL33</f>
        <v>0</v>
      </c>
      <c r="AO33" s="220">
        <f>CY33+DL33</f>
        <v>0</v>
      </c>
      <c r="AP33" s="220">
        <f>CZ33+DM33</f>
        <v>0</v>
      </c>
      <c r="AQ33" s="220">
        <f>DA33+DN33</f>
        <v>0</v>
      </c>
      <c r="AR33" s="220">
        <f>DV33+ED33</f>
        <v>0</v>
      </c>
      <c r="AS33" s="220">
        <f>DW33+EE33</f>
        <v>0</v>
      </c>
      <c r="AT33" s="216">
        <f>AN33+SUM(AO33:AS33)</f>
        <v>0</v>
      </c>
      <c r="AU33" s="220">
        <f>AN33-AK33</f>
        <v>0</v>
      </c>
      <c r="AV33" s="220"/>
      <c r="AW33" s="220">
        <f>IF(AU33&gt;0,AU33,AV33+AU33)</f>
        <v>0</v>
      </c>
      <c r="AX33" s="216">
        <f t="shared" si="9"/>
        <v>0</v>
      </c>
      <c r="AY33" s="220">
        <f>IF(AN33&gt;=AK33,AO33,IF(AN33+AO33-AK33&gt;=0,AN33+AO33-AK33,0))</f>
        <v>0</v>
      </c>
      <c r="AZ33" s="220">
        <f>IF(OR(AN33&gt;=AK33,AN33+AO33&gt;=AK33),AP33,IF(AN33+AO33+AP33&gt;AK33,AN33+AO33+AP33-AK33,0))</f>
        <v>0</v>
      </c>
      <c r="BA33" s="220">
        <f>IF(OR(AN33&gt;=AK33,AN33+AO33&gt;=AK33,AN33+AO33+AP33&gt;=AK33),AQ33,IF(AN33+AO33+AP33+AQ33&gt;=AK33,AN33+AO33+AP33+AQ33-AK33,0))</f>
        <v>0</v>
      </c>
      <c r="BB33" s="220">
        <f>IF(OR(AN33&gt;=AK33,AN33+AO33&gt;=AK33,AN33+AO33+AP33&gt;=AK33,AN33+AO33+AP33+AQ33&gt;=AK33),AR33,IF(AN33+AO33+AP33+AQ33+AR33&gt;=AK33,AN33+AO33+AP33+AQ33+AR33-AK33,0))</f>
        <v>0</v>
      </c>
      <c r="BC33" s="220">
        <f>IF(OR(AN33&gt;=AK33,AN33+AO33&gt;=AK33,AN33+AO33+AP33&gt;=AK33,AN33+AO33+AP33+AQ33&gt;=AK33,AN33+AO33+AP33+AQ33+AR33&gt;=AK33),AS33,IF(AN33+AO33+AP33+AQ33+AR33+AS33&gt;=AK33,AN33+AO33+AP33+AQ33+AR33+AS33-AK33,0))</f>
        <v>0</v>
      </c>
      <c r="BD33" s="216">
        <f t="shared" si="10"/>
        <v>0</v>
      </c>
      <c r="BE33" s="220">
        <f>AY33-AO33</f>
        <v>0</v>
      </c>
      <c r="BF33" s="220">
        <f>AZ33-AP33</f>
        <v>0</v>
      </c>
      <c r="BG33" s="220">
        <f>BA33-AQ33</f>
        <v>0</v>
      </c>
      <c r="BH33" s="220">
        <f>BB33-AR33</f>
        <v>0</v>
      </c>
      <c r="BI33" s="220">
        <f>BC33-AS33</f>
        <v>0</v>
      </c>
      <c r="BJ33" s="220" t="s">
        <v>613</v>
      </c>
      <c r="BK33" s="220"/>
      <c r="BL33" s="223">
        <f t="shared" si="11"/>
        <v>0</v>
      </c>
      <c r="BM33" s="220">
        <v>3</v>
      </c>
      <c r="BN33" s="220"/>
      <c r="BO33" s="220">
        <f>ROUND(BM33+(BM33*BN33),2)</f>
        <v>3</v>
      </c>
      <c r="BP33" s="220">
        <f>IF(AND(BL33&gt;0,BL33&lt;tiet!$D$1),BL33,IF(BL33&lt;=0,0,IF(BL33&gt;tiet!$C$1,tiet!$C$1)))</f>
        <v>0</v>
      </c>
      <c r="BQ33" s="87">
        <f>VLOOKUP(P33,ma_dinhmuc_moi,4,0)</f>
        <v>60000</v>
      </c>
      <c r="BR33" s="224">
        <f>ROUND(BQ33*BP33,0)</f>
        <v>0</v>
      </c>
      <c r="BS33" s="220">
        <f t="shared" si="12"/>
        <v>0</v>
      </c>
      <c r="BT33" s="224">
        <f>VLOOKUP(N33,ma_dinhmuc!$A$1:$J$31,10,0)</f>
        <v>51000</v>
      </c>
      <c r="BU33" s="224">
        <f>ROUND(IF(BS33&gt;0,VLOOKUP(N33,ma_dinhmuc!$A$1:$J$31,10,0)*BS33,0),0)</f>
        <v>0</v>
      </c>
      <c r="BV33" s="224">
        <f>ROUND(BU33+BR33,0)</f>
        <v>0</v>
      </c>
      <c r="BW33" s="224"/>
      <c r="BX33" s="224">
        <v>0</v>
      </c>
      <c r="BY33" s="224"/>
      <c r="BZ33" s="224"/>
      <c r="CA33" s="224"/>
      <c r="CB33" s="224"/>
      <c r="CC33" s="225">
        <f>ROUND(IF(BV33+BW33&gt;BX33+BY33+BZ33+CA33+CB33,(BW33+BV33)-(BX33+BY33+BZ33+CA33+CB33+CB33),0),0)</f>
        <v>0</v>
      </c>
      <c r="CD33" s="224">
        <f>ROUND(IF(BV33+BW33&lt;BX33+BY33+BZ33+CA33-CB33,(BX33+BY33+BZ33+CA33-CB33)-(BW33+BV33),0),0)</f>
        <v>0</v>
      </c>
      <c r="CE33" s="224"/>
      <c r="CF33" s="226"/>
      <c r="CG33" s="87"/>
      <c r="CH33" s="87">
        <f>A33</f>
        <v>22</v>
      </c>
      <c r="CI33" s="227" t="str">
        <f>F33</f>
        <v>Bùi Thế</v>
      </c>
      <c r="CJ33" s="227" t="str">
        <f>G33</f>
        <v>Khuynh</v>
      </c>
      <c r="CK33" s="87">
        <f>H33</f>
        <v>1</v>
      </c>
      <c r="CL33" s="227" t="str">
        <f>L33</f>
        <v>Cây công nghiệp</v>
      </c>
      <c r="CM33" s="87" t="str">
        <f>N33</f>
        <v>CS2</v>
      </c>
      <c r="CN33" s="87">
        <f t="shared" ref="CN33:CO35" si="115">Q33</f>
        <v>270</v>
      </c>
      <c r="CO33" s="87">
        <f t="shared" si="115"/>
        <v>100</v>
      </c>
      <c r="CP33" s="229">
        <f t="shared" si="47"/>
        <v>0</v>
      </c>
      <c r="CQ33" s="229">
        <f t="shared" si="48"/>
        <v>0</v>
      </c>
      <c r="CR33" s="229">
        <f t="shared" si="49"/>
        <v>0</v>
      </c>
      <c r="CS33" s="229">
        <f t="shared" si="50"/>
        <v>0</v>
      </c>
      <c r="CT33" s="229">
        <f t="shared" si="51"/>
        <v>0</v>
      </c>
      <c r="CU33" s="229">
        <f t="shared" si="52"/>
        <v>0</v>
      </c>
      <c r="CV33" s="229">
        <f t="shared" si="53"/>
        <v>0</v>
      </c>
      <c r="CW33" s="229">
        <f t="shared" si="54"/>
        <v>0</v>
      </c>
      <c r="CX33" s="229">
        <f t="shared" si="55"/>
        <v>0</v>
      </c>
      <c r="CY33" s="229">
        <f t="shared" si="56"/>
        <v>0</v>
      </c>
      <c r="CZ33" s="229">
        <f t="shared" si="57"/>
        <v>0</v>
      </c>
      <c r="DA33" s="229">
        <f t="shared" si="58"/>
        <v>0</v>
      </c>
      <c r="DB33" s="228">
        <f>SUM(CP33:DA33)</f>
        <v>0</v>
      </c>
      <c r="DC33" s="229"/>
      <c r="DD33" s="229"/>
      <c r="DE33" s="229"/>
      <c r="DF33" s="229"/>
      <c r="DG33" s="229"/>
      <c r="DH33" s="229"/>
      <c r="DI33" s="229"/>
      <c r="DJ33" s="229"/>
      <c r="DK33" s="229"/>
      <c r="DL33" s="229"/>
      <c r="DM33" s="229"/>
      <c r="DN33" s="229"/>
      <c r="DO33" s="228">
        <f>SUM(DC33:DN33)</f>
        <v>0</v>
      </c>
      <c r="DP33" s="228">
        <f>DO33+DB33</f>
        <v>0</v>
      </c>
      <c r="DQ33" s="229">
        <f t="shared" si="62"/>
        <v>0</v>
      </c>
      <c r="DR33" s="229">
        <f t="shared" si="63"/>
        <v>0</v>
      </c>
      <c r="DS33" s="229">
        <f t="shared" si="64"/>
        <v>0</v>
      </c>
      <c r="DT33" s="229">
        <f t="shared" si="65"/>
        <v>0</v>
      </c>
      <c r="DU33" s="229">
        <f t="shared" si="66"/>
        <v>0</v>
      </c>
      <c r="DV33" s="229">
        <f t="shared" si="67"/>
        <v>0</v>
      </c>
      <c r="DW33" s="229">
        <f t="shared" si="68"/>
        <v>0</v>
      </c>
      <c r="DX33" s="228">
        <f>SUM(DQ33:DW33)</f>
        <v>0</v>
      </c>
      <c r="DY33" s="229"/>
      <c r="DZ33" s="229"/>
      <c r="EA33" s="229"/>
      <c r="EB33" s="229"/>
      <c r="EC33" s="229"/>
      <c r="ED33" s="229"/>
      <c r="EE33" s="229"/>
      <c r="EF33" s="228">
        <f t="shared" si="17"/>
        <v>0</v>
      </c>
      <c r="EG33" s="228">
        <f>EF33+DX33</f>
        <v>0</v>
      </c>
      <c r="EH33" s="229">
        <f t="shared" si="18"/>
        <v>45</v>
      </c>
      <c r="EI33" s="229">
        <v>57.43</v>
      </c>
      <c r="EJ33" s="228">
        <f>SUM(EH33:EI33)</f>
        <v>102.43</v>
      </c>
      <c r="EK33" s="229"/>
      <c r="EL33" s="229"/>
      <c r="EM33" s="228">
        <f>SUM(EK33:EL33)</f>
        <v>0</v>
      </c>
      <c r="EN33" s="229">
        <f>EK33+EH33+EL33</f>
        <v>45</v>
      </c>
      <c r="EO33" s="229">
        <f>EI33</f>
        <v>57.43</v>
      </c>
      <c r="EP33" s="228">
        <f>EM33+EJ33</f>
        <v>102.43</v>
      </c>
      <c r="EQ33" s="173">
        <f t="shared" si="19"/>
        <v>45</v>
      </c>
      <c r="ER33" s="189">
        <v>0</v>
      </c>
      <c r="ES33" s="189">
        <v>0</v>
      </c>
      <c r="ET33" s="189">
        <v>0</v>
      </c>
      <c r="EU33" s="189">
        <v>0</v>
      </c>
      <c r="EV33" s="189">
        <v>0</v>
      </c>
      <c r="EW33" s="189">
        <v>0</v>
      </c>
      <c r="EX33" s="189">
        <v>0</v>
      </c>
      <c r="EY33" s="189">
        <v>0</v>
      </c>
      <c r="EZ33" s="189">
        <v>0</v>
      </c>
      <c r="FA33" s="189">
        <v>0</v>
      </c>
      <c r="FB33" s="189">
        <v>0</v>
      </c>
      <c r="FC33" s="189">
        <v>0</v>
      </c>
      <c r="FD33" s="189">
        <v>0</v>
      </c>
      <c r="FE33" s="189">
        <v>0</v>
      </c>
      <c r="FF33" s="189">
        <v>0</v>
      </c>
      <c r="FG33" s="189">
        <v>0</v>
      </c>
      <c r="FH33" s="189">
        <v>0</v>
      </c>
      <c r="FI33" s="189">
        <v>0</v>
      </c>
      <c r="FJ33" s="189">
        <v>0</v>
      </c>
      <c r="FK33" s="189">
        <v>0</v>
      </c>
      <c r="FL33" s="189">
        <v>0</v>
      </c>
      <c r="FN33" s="132">
        <v>45</v>
      </c>
    </row>
    <row r="34" spans="1:170" ht="30">
      <c r="A34" s="88">
        <f>COUNTIF($H$12:H34,H34)</f>
        <v>23</v>
      </c>
      <c r="B34" s="88" t="s">
        <v>2249</v>
      </c>
      <c r="C34" s="88" t="s">
        <v>2318</v>
      </c>
      <c r="D34" s="88"/>
      <c r="E34" s="88"/>
      <c r="F34" s="301" t="s">
        <v>28</v>
      </c>
      <c r="G34" s="89" t="s">
        <v>29</v>
      </c>
      <c r="H34" s="88">
        <v>1</v>
      </c>
      <c r="I34" s="88">
        <v>1</v>
      </c>
      <c r="J34" s="88">
        <v>1</v>
      </c>
      <c r="K34" s="90" t="s">
        <v>3074</v>
      </c>
      <c r="L34" s="90" t="s">
        <v>3074</v>
      </c>
      <c r="M34" s="214"/>
      <c r="N34" s="88" t="s">
        <v>605</v>
      </c>
      <c r="O34" s="216">
        <f t="shared" ref="O34:O49" si="116">BO34</f>
        <v>6.2</v>
      </c>
      <c r="P34" s="88" t="str">
        <f t="shared" si="0"/>
        <v>B1_6</v>
      </c>
      <c r="Q34" s="88">
        <f t="shared" si="1"/>
        <v>270</v>
      </c>
      <c r="R34" s="88">
        <f t="shared" si="2"/>
        <v>170</v>
      </c>
      <c r="S34" s="231" t="s">
        <v>2032</v>
      </c>
      <c r="T34" s="88" t="s">
        <v>3092</v>
      </c>
      <c r="U34" s="88">
        <f>IF(RIGHT(T34,1)="K",(VLOOKUP(T34,ma_miengiam!$A$3:$B$80,2,0)*100)/2,VLOOKUP(T34,ma_miengiam!$A$3:$B$80,2,0)*100)</f>
        <v>25</v>
      </c>
      <c r="V34" s="88"/>
      <c r="W34" s="220">
        <f>IF(AND(T34="NTS",V34&gt;0),(Q34-(Q34*V34)/12)*VLOOKUP(T34,ma_miengiam!$A$3:$B$80,2,0)+(Q34-(Q34*(12-V34))/12),IF(AND(RIGHT(T34,1)="K",V34&gt;0),(VLOOKUP(T34,ma_miengiam!$A$3:$B$80,2,0)/2)*(Q34*V34)/12,IF(RIGHT(T34,1)="K",(VLOOKUP(T34,ma_miengiam!$A$3:$B$80,2,0)*Q34)/2,IF(V34&gt;0,VLOOKUP(T34,ma_miengiam!$A$3:$B$80,2,0)*Q34*V34/12,VLOOKUP(T34,ma_miengiam!$A$3:$B$80,2,0)*Q34))))</f>
        <v>67.5</v>
      </c>
      <c r="X34" s="220">
        <f>IF(T34="NTS",VLOOKUP(T34,ma_miengiam!$A$3:$B$80,2,0)*R34*V34,IF(AND(T34="NTS",V34=0),0,IF(AND(LEFT(T34,1)="K",V34=0),VLOOKUP(T34,ma_miengiam!$A$3:$B$80,2,0)*R34,IF(LEFT(T34,1)="K",(VLOOKUP(T34,ma_miengiam!$A$3:$B$80,2,0)*R34/12)*V34,IF(AND(LEFT(T34,1)="S",V34&gt;0),(R34/12)*V34,IF(AND(LEFT(T34,1)="S",V34=0),R34,IF(T34="DH",VLOOKUP(T34,ma_miengiam!$A$3:$B$80,2,0)*R34,0)))))))</f>
        <v>0</v>
      </c>
      <c r="Y34" s="220">
        <f t="shared" si="108"/>
        <v>202.5</v>
      </c>
      <c r="Z34" s="220">
        <f t="shared" si="90"/>
        <v>170</v>
      </c>
      <c r="AA34" s="220">
        <f t="shared" si="102"/>
        <v>270</v>
      </c>
      <c r="AB34" s="220">
        <f t="shared" si="102"/>
        <v>170</v>
      </c>
      <c r="AC34" s="220">
        <f t="shared" si="103"/>
        <v>67.5</v>
      </c>
      <c r="AD34" s="220">
        <f t="shared" si="103"/>
        <v>0</v>
      </c>
      <c r="AE34" s="220">
        <f t="shared" si="103"/>
        <v>202.5</v>
      </c>
      <c r="AF34" s="220">
        <f t="shared" si="103"/>
        <v>170</v>
      </c>
      <c r="AG34" s="220">
        <f t="shared" si="104"/>
        <v>332.4</v>
      </c>
      <c r="AH34" s="220">
        <f t="shared" si="105"/>
        <v>55.14</v>
      </c>
      <c r="AI34" s="220">
        <f t="shared" si="106"/>
        <v>277.26</v>
      </c>
      <c r="AJ34" s="220">
        <f t="shared" si="74"/>
        <v>0</v>
      </c>
      <c r="AK34" s="216">
        <f t="shared" si="8"/>
        <v>202.5</v>
      </c>
      <c r="AL34" s="220">
        <f t="shared" si="22"/>
        <v>163.9</v>
      </c>
      <c r="AM34" s="220">
        <f t="shared" si="23"/>
        <v>0</v>
      </c>
      <c r="AN34" s="221">
        <f t="shared" si="24"/>
        <v>163.9</v>
      </c>
      <c r="AO34" s="220">
        <f t="shared" si="25"/>
        <v>20</v>
      </c>
      <c r="AP34" s="220">
        <f t="shared" si="26"/>
        <v>0</v>
      </c>
      <c r="AQ34" s="220">
        <f t="shared" si="27"/>
        <v>94</v>
      </c>
      <c r="AR34" s="220">
        <f t="shared" si="28"/>
        <v>68</v>
      </c>
      <c r="AS34" s="220">
        <f t="shared" si="29"/>
        <v>50</v>
      </c>
      <c r="AT34" s="216">
        <f t="shared" si="30"/>
        <v>395.9</v>
      </c>
      <c r="AU34" s="222">
        <f t="shared" si="31"/>
        <v>-38.599999999999994</v>
      </c>
      <c r="AV34" s="220"/>
      <c r="AW34" s="220">
        <f t="shared" si="32"/>
        <v>-38.599999999999994</v>
      </c>
      <c r="AX34" s="216">
        <f t="shared" si="9"/>
        <v>-38.599999999999994</v>
      </c>
      <c r="AY34" s="220">
        <f t="shared" si="33"/>
        <v>0</v>
      </c>
      <c r="AZ34" s="220">
        <f t="shared" si="34"/>
        <v>0</v>
      </c>
      <c r="BA34" s="220">
        <f t="shared" si="35"/>
        <v>75.399999999999977</v>
      </c>
      <c r="BB34" s="220">
        <f t="shared" si="36"/>
        <v>68</v>
      </c>
      <c r="BC34" s="220">
        <f t="shared" si="37"/>
        <v>50</v>
      </c>
      <c r="BD34" s="216">
        <f t="shared" si="10"/>
        <v>193.39999999999998</v>
      </c>
      <c r="BE34" s="220">
        <f t="shared" si="38"/>
        <v>-20</v>
      </c>
      <c r="BF34" s="220">
        <f t="shared" si="39"/>
        <v>0</v>
      </c>
      <c r="BG34" s="220">
        <f t="shared" si="40"/>
        <v>-18.600000000000023</v>
      </c>
      <c r="BH34" s="220">
        <f t="shared" si="41"/>
        <v>0</v>
      </c>
      <c r="BI34" s="220">
        <f t="shared" si="42"/>
        <v>0</v>
      </c>
      <c r="BJ34" s="220" t="s">
        <v>2559</v>
      </c>
      <c r="BK34" s="220"/>
      <c r="BL34" s="223">
        <f t="shared" si="11"/>
        <v>0</v>
      </c>
      <c r="BM34" s="220">
        <v>6.2</v>
      </c>
      <c r="BN34" s="220"/>
      <c r="BO34" s="220">
        <f t="shared" si="107"/>
        <v>6.2</v>
      </c>
      <c r="BP34" s="220">
        <f>IF(AND(BL34&gt;0,BL34&lt;tiet!$D$1),BL34,IF(BL34&lt;=0,0,IF(BL34&gt;tiet!$C$1,tiet!$C$1)))</f>
        <v>0</v>
      </c>
      <c r="BQ34" s="87">
        <f t="shared" si="75"/>
        <v>75000</v>
      </c>
      <c r="BR34" s="224">
        <f t="shared" si="76"/>
        <v>0</v>
      </c>
      <c r="BS34" s="220">
        <f t="shared" si="12"/>
        <v>0</v>
      </c>
      <c r="BT34" s="224">
        <f>VLOOKUP(N34,ma_dinhmuc!$A$1:$J$31,10,0)</f>
        <v>65000</v>
      </c>
      <c r="BU34" s="224">
        <f>ROUND(IF(BS34&gt;0,VLOOKUP(N34,ma_dinhmuc!$A$1:$J$31,10,0)*BS34,0),0)</f>
        <v>0</v>
      </c>
      <c r="BV34" s="224">
        <f t="shared" si="77"/>
        <v>0</v>
      </c>
      <c r="BW34" s="224"/>
      <c r="BX34" s="224">
        <v>0</v>
      </c>
      <c r="BY34" s="224"/>
      <c r="BZ34" s="224"/>
      <c r="CA34" s="224"/>
      <c r="CB34" s="224"/>
      <c r="CC34" s="225">
        <f t="shared" si="44"/>
        <v>0</v>
      </c>
      <c r="CD34" s="224">
        <f t="shared" si="45"/>
        <v>0</v>
      </c>
      <c r="CE34" s="224"/>
      <c r="CF34" s="226"/>
      <c r="CG34" s="87"/>
      <c r="CH34" s="87">
        <f t="shared" si="109"/>
        <v>23</v>
      </c>
      <c r="CI34" s="227" t="str">
        <f t="shared" si="110"/>
        <v>Ninh Thị</v>
      </c>
      <c r="CJ34" s="227" t="str">
        <f t="shared" si="111"/>
        <v>Phíp</v>
      </c>
      <c r="CK34" s="87">
        <f t="shared" si="112"/>
        <v>1</v>
      </c>
      <c r="CL34" s="227" t="str">
        <f t="shared" si="87"/>
        <v>Cây công nghiệp</v>
      </c>
      <c r="CM34" s="87" t="str">
        <f t="shared" si="46"/>
        <v>CS4</v>
      </c>
      <c r="CN34" s="87">
        <f t="shared" si="115"/>
        <v>270</v>
      </c>
      <c r="CO34" s="87">
        <f t="shared" si="115"/>
        <v>170</v>
      </c>
      <c r="CP34" s="229">
        <f t="shared" si="47"/>
        <v>0</v>
      </c>
      <c r="CQ34" s="229">
        <f t="shared" si="48"/>
        <v>19.2</v>
      </c>
      <c r="CR34" s="229">
        <f t="shared" si="49"/>
        <v>7.8</v>
      </c>
      <c r="CS34" s="229">
        <f t="shared" si="50"/>
        <v>0</v>
      </c>
      <c r="CT34" s="229">
        <f t="shared" si="51"/>
        <v>0</v>
      </c>
      <c r="CU34" s="229">
        <f t="shared" si="52"/>
        <v>72.900000000000006</v>
      </c>
      <c r="CV34" s="229">
        <f t="shared" si="53"/>
        <v>0</v>
      </c>
      <c r="CW34" s="229">
        <f t="shared" si="54"/>
        <v>64</v>
      </c>
      <c r="CX34" s="229">
        <f t="shared" si="55"/>
        <v>0</v>
      </c>
      <c r="CY34" s="229">
        <f t="shared" si="56"/>
        <v>20</v>
      </c>
      <c r="CZ34" s="229">
        <f t="shared" si="57"/>
        <v>0</v>
      </c>
      <c r="DA34" s="229">
        <f t="shared" si="58"/>
        <v>94</v>
      </c>
      <c r="DB34" s="228">
        <f t="shared" si="59"/>
        <v>277.89999999999998</v>
      </c>
      <c r="DC34" s="229"/>
      <c r="DD34" s="229"/>
      <c r="DE34" s="229"/>
      <c r="DF34" s="229"/>
      <c r="DG34" s="229"/>
      <c r="DH34" s="229"/>
      <c r="DI34" s="229"/>
      <c r="DJ34" s="229"/>
      <c r="DK34" s="229"/>
      <c r="DL34" s="229"/>
      <c r="DM34" s="229"/>
      <c r="DN34" s="229"/>
      <c r="DO34" s="228">
        <f t="shared" si="60"/>
        <v>0</v>
      </c>
      <c r="DP34" s="228">
        <f t="shared" si="61"/>
        <v>277.89999999999998</v>
      </c>
      <c r="DQ34" s="229">
        <f t="shared" si="62"/>
        <v>0</v>
      </c>
      <c r="DR34" s="229">
        <f t="shared" si="63"/>
        <v>0</v>
      </c>
      <c r="DS34" s="229">
        <f t="shared" si="64"/>
        <v>0</v>
      </c>
      <c r="DT34" s="229">
        <f t="shared" si="65"/>
        <v>0</v>
      </c>
      <c r="DU34" s="229">
        <f t="shared" si="66"/>
        <v>0</v>
      </c>
      <c r="DV34" s="229">
        <f t="shared" si="67"/>
        <v>68</v>
      </c>
      <c r="DW34" s="229">
        <f t="shared" si="68"/>
        <v>50</v>
      </c>
      <c r="DX34" s="228">
        <f t="shared" si="69"/>
        <v>118</v>
      </c>
      <c r="DY34" s="229"/>
      <c r="DZ34" s="229"/>
      <c r="EA34" s="229"/>
      <c r="EB34" s="229"/>
      <c r="EC34" s="229"/>
      <c r="ED34" s="229"/>
      <c r="EE34" s="229"/>
      <c r="EF34" s="228">
        <f t="shared" si="17"/>
        <v>0</v>
      </c>
      <c r="EG34" s="228">
        <f t="shared" si="70"/>
        <v>118</v>
      </c>
      <c r="EH34" s="229">
        <f t="shared" si="18"/>
        <v>277.26</v>
      </c>
      <c r="EI34" s="229">
        <v>55.14</v>
      </c>
      <c r="EJ34" s="228">
        <f t="shared" si="84"/>
        <v>332.4</v>
      </c>
      <c r="EK34" s="229"/>
      <c r="EL34" s="229"/>
      <c r="EM34" s="228">
        <f t="shared" ref="EM34:EM51" si="117">SUM(EK34:EL34)</f>
        <v>0</v>
      </c>
      <c r="EN34" s="229">
        <f t="shared" si="71"/>
        <v>277.26</v>
      </c>
      <c r="EO34" s="229">
        <f t="shared" si="72"/>
        <v>55.14</v>
      </c>
      <c r="EP34" s="228">
        <f t="shared" si="88"/>
        <v>332.4</v>
      </c>
      <c r="EQ34" s="173">
        <f t="shared" si="19"/>
        <v>107.25999999999999</v>
      </c>
      <c r="ER34" s="189">
        <v>0</v>
      </c>
      <c r="ES34" s="189">
        <v>19.2</v>
      </c>
      <c r="ET34" s="189">
        <v>7.8</v>
      </c>
      <c r="EU34" s="189">
        <v>0</v>
      </c>
      <c r="EV34" s="189">
        <v>0</v>
      </c>
      <c r="EW34" s="189">
        <v>72.900000000000006</v>
      </c>
      <c r="EX34" s="189">
        <v>0</v>
      </c>
      <c r="EY34" s="189">
        <v>64</v>
      </c>
      <c r="EZ34" s="189">
        <v>0</v>
      </c>
      <c r="FA34" s="189">
        <v>20</v>
      </c>
      <c r="FB34" s="189">
        <v>0</v>
      </c>
      <c r="FC34" s="189">
        <v>94</v>
      </c>
      <c r="FD34" s="189">
        <v>0</v>
      </c>
      <c r="FE34" s="189">
        <v>0</v>
      </c>
      <c r="FF34" s="189">
        <v>0</v>
      </c>
      <c r="FG34" s="189">
        <v>0</v>
      </c>
      <c r="FH34" s="189">
        <v>68</v>
      </c>
      <c r="FI34" s="189">
        <v>0</v>
      </c>
      <c r="FJ34" s="189">
        <v>50</v>
      </c>
      <c r="FK34" s="189">
        <v>395.9</v>
      </c>
      <c r="FL34" s="189">
        <v>360</v>
      </c>
      <c r="FN34" s="132">
        <v>277.26</v>
      </c>
    </row>
    <row r="35" spans="1:170" ht="30" customHeight="1">
      <c r="A35" s="88">
        <f>COUNTIF($H$12:H35,H35)</f>
        <v>24</v>
      </c>
      <c r="B35" s="88" t="s">
        <v>2250</v>
      </c>
      <c r="C35" s="88" t="s">
        <v>2319</v>
      </c>
      <c r="D35" s="88"/>
      <c r="E35" s="88"/>
      <c r="F35" s="301" t="s">
        <v>31</v>
      </c>
      <c r="G35" s="89" t="s">
        <v>32</v>
      </c>
      <c r="H35" s="88">
        <v>1</v>
      </c>
      <c r="I35" s="88">
        <v>1</v>
      </c>
      <c r="J35" s="88">
        <v>1</v>
      </c>
      <c r="K35" s="90" t="s">
        <v>3075</v>
      </c>
      <c r="L35" s="90" t="s">
        <v>3075</v>
      </c>
      <c r="M35" s="214"/>
      <c r="N35" s="88" t="s">
        <v>605</v>
      </c>
      <c r="O35" s="216">
        <f t="shared" si="116"/>
        <v>7.28</v>
      </c>
      <c r="P35" s="88" t="str">
        <f t="shared" si="0"/>
        <v>B1_8</v>
      </c>
      <c r="Q35" s="88">
        <f t="shared" si="1"/>
        <v>270</v>
      </c>
      <c r="R35" s="88">
        <f t="shared" si="2"/>
        <v>280</v>
      </c>
      <c r="S35" s="232"/>
      <c r="T35" s="88" t="s">
        <v>3088</v>
      </c>
      <c r="U35" s="88">
        <f>IF(RIGHT(T35,1)="K",(VLOOKUP(T35,ma_miengiam!$A$3:$B$80,2,0)*100)/2,VLOOKUP(T35,ma_miengiam!$A$3:$B$80,2,0)*100)</f>
        <v>0</v>
      </c>
      <c r="V35" s="88"/>
      <c r="W35" s="220">
        <f>IF(AND(T35="NTS",V35&gt;0),(Q35-(Q35*V35)/12)*VLOOKUP(T35,ma_miengiam!$A$3:$B$80,2,0)+(Q35-(Q35*(12-V35))/12),IF(AND(RIGHT(T35,1)="K",V35&gt;0),(VLOOKUP(T35,ma_miengiam!$A$3:$B$80,2,0)/2)*(Q35*V35)/12,IF(RIGHT(T35,1)="K",(VLOOKUP(T35,ma_miengiam!$A$3:$B$80,2,0)*Q35)/2,IF(V35&gt;0,VLOOKUP(T35,ma_miengiam!$A$3:$B$80,2,0)*Q35*V35/12,VLOOKUP(T35,ma_miengiam!$A$3:$B$80,2,0)*Q35))))</f>
        <v>0</v>
      </c>
      <c r="X35" s="220">
        <f>IF(T35="NTS",VLOOKUP(T35,ma_miengiam!$A$3:$B$80,2,0)*R35*V35,IF(AND(T35="NTS",V35=0),0,IF(AND(LEFT(T35,1)="K",V35=0),VLOOKUP(T35,ma_miengiam!$A$3:$B$80,2,0)*R35,IF(LEFT(T35,1)="K",(VLOOKUP(T35,ma_miengiam!$A$3:$B$80,2,0)*R35/12)*V35,IF(AND(LEFT(T35,1)="S",V35&gt;0),(R35/12)*V35,IF(AND(LEFT(T35,1)="S",V35=0),R35,IF(T35="DH",VLOOKUP(T35,ma_miengiam!$A$3:$B$80,2,0)*R35,0)))))))</f>
        <v>0</v>
      </c>
      <c r="Y35" s="220">
        <f t="shared" si="108"/>
        <v>270</v>
      </c>
      <c r="Z35" s="220">
        <f t="shared" si="90"/>
        <v>280</v>
      </c>
      <c r="AA35" s="220">
        <f t="shared" ref="AA35:AB41" si="118">Q35</f>
        <v>270</v>
      </c>
      <c r="AB35" s="220">
        <f t="shared" si="118"/>
        <v>280</v>
      </c>
      <c r="AC35" s="220">
        <f t="shared" ref="AC35:AF36" si="119">W35</f>
        <v>0</v>
      </c>
      <c r="AD35" s="220">
        <f t="shared" si="119"/>
        <v>0</v>
      </c>
      <c r="AE35" s="220">
        <f t="shared" si="119"/>
        <v>270</v>
      </c>
      <c r="AF35" s="220">
        <f t="shared" si="119"/>
        <v>280</v>
      </c>
      <c r="AG35" s="220">
        <f t="shared" ref="AG35:AG41" si="120">AH35+AI35</f>
        <v>216.62</v>
      </c>
      <c r="AH35" s="220">
        <f t="shared" ref="AH35:AH41" si="121">EO35</f>
        <v>123.44</v>
      </c>
      <c r="AI35" s="220">
        <f t="shared" ref="AI35:AI41" si="122">EN35</f>
        <v>93.18</v>
      </c>
      <c r="AJ35" s="220">
        <f t="shared" si="74"/>
        <v>-63.379999999999995</v>
      </c>
      <c r="AK35" s="216">
        <f t="shared" si="8"/>
        <v>333.38</v>
      </c>
      <c r="AL35" s="220">
        <f t="shared" si="22"/>
        <v>57.3</v>
      </c>
      <c r="AM35" s="220">
        <f t="shared" si="23"/>
        <v>58.8</v>
      </c>
      <c r="AN35" s="221">
        <f t="shared" si="24"/>
        <v>116.1</v>
      </c>
      <c r="AO35" s="220">
        <f t="shared" si="25"/>
        <v>0</v>
      </c>
      <c r="AP35" s="220">
        <f t="shared" si="26"/>
        <v>0</v>
      </c>
      <c r="AQ35" s="220">
        <f t="shared" si="27"/>
        <v>28</v>
      </c>
      <c r="AR35" s="220">
        <f t="shared" si="28"/>
        <v>40</v>
      </c>
      <c r="AS35" s="220">
        <f t="shared" si="29"/>
        <v>60</v>
      </c>
      <c r="AT35" s="216">
        <f t="shared" si="30"/>
        <v>244.1</v>
      </c>
      <c r="AU35" s="222">
        <f t="shared" si="31"/>
        <v>-217.28</v>
      </c>
      <c r="AV35" s="220"/>
      <c r="AW35" s="220">
        <f t="shared" si="32"/>
        <v>-217.28</v>
      </c>
      <c r="AX35" s="216">
        <f t="shared" si="9"/>
        <v>-217.28</v>
      </c>
      <c r="AY35" s="220">
        <f t="shared" si="33"/>
        <v>0</v>
      </c>
      <c r="AZ35" s="220">
        <f t="shared" si="34"/>
        <v>0</v>
      </c>
      <c r="BA35" s="220">
        <f t="shared" si="35"/>
        <v>0</v>
      </c>
      <c r="BB35" s="220">
        <f t="shared" si="36"/>
        <v>0</v>
      </c>
      <c r="BC35" s="220">
        <f t="shared" si="37"/>
        <v>0</v>
      </c>
      <c r="BD35" s="216">
        <f t="shared" si="10"/>
        <v>0</v>
      </c>
      <c r="BE35" s="220">
        <f t="shared" si="38"/>
        <v>0</v>
      </c>
      <c r="BF35" s="220">
        <f t="shared" si="39"/>
        <v>0</v>
      </c>
      <c r="BG35" s="220">
        <f t="shared" si="40"/>
        <v>-28</v>
      </c>
      <c r="BH35" s="220">
        <f t="shared" si="41"/>
        <v>-40</v>
      </c>
      <c r="BI35" s="220">
        <f t="shared" si="42"/>
        <v>-60</v>
      </c>
      <c r="BJ35" s="220" t="s">
        <v>614</v>
      </c>
      <c r="BK35" s="220"/>
      <c r="BL35" s="223">
        <f t="shared" si="11"/>
        <v>0</v>
      </c>
      <c r="BM35" s="220">
        <v>7.28</v>
      </c>
      <c r="BN35" s="220"/>
      <c r="BO35" s="220">
        <f t="shared" si="107"/>
        <v>7.28</v>
      </c>
      <c r="BP35" s="220">
        <f>IF(AND(BL35&gt;0,BL35&lt;tiet!$D$1),BL35,IF(BL35&lt;=0,0,IF(BL35&gt;tiet!$C$1,tiet!$C$1)))</f>
        <v>0</v>
      </c>
      <c r="BQ35" s="87">
        <f t="shared" si="75"/>
        <v>85000</v>
      </c>
      <c r="BR35" s="224">
        <f t="shared" si="76"/>
        <v>0</v>
      </c>
      <c r="BS35" s="220">
        <f t="shared" si="12"/>
        <v>0</v>
      </c>
      <c r="BT35" s="224">
        <f>VLOOKUP(N35,ma_dinhmuc!$A$1:$J$31,10,0)</f>
        <v>65000</v>
      </c>
      <c r="BU35" s="224">
        <f>ROUND(IF(BS35&gt;0,VLOOKUP(N35,ma_dinhmuc!$A$1:$J$31,10,0)*BS35,0),0)</f>
        <v>0</v>
      </c>
      <c r="BV35" s="224">
        <f t="shared" si="77"/>
        <v>0</v>
      </c>
      <c r="BW35" s="224"/>
      <c r="BX35" s="224">
        <v>0</v>
      </c>
      <c r="BY35" s="224"/>
      <c r="BZ35" s="224"/>
      <c r="CA35" s="224"/>
      <c r="CB35" s="224"/>
      <c r="CC35" s="225">
        <f t="shared" si="44"/>
        <v>0</v>
      </c>
      <c r="CD35" s="224">
        <f t="shared" si="45"/>
        <v>0</v>
      </c>
      <c r="CE35" s="224"/>
      <c r="CF35" s="226"/>
      <c r="CG35" s="87"/>
      <c r="CH35" s="87">
        <f t="shared" si="109"/>
        <v>24</v>
      </c>
      <c r="CI35" s="227" t="str">
        <f>F35</f>
        <v>Nguyễn Thế</v>
      </c>
      <c r="CJ35" s="227" t="str">
        <f>G35</f>
        <v>Hùng</v>
      </c>
      <c r="CK35" s="87">
        <f>H35</f>
        <v>1</v>
      </c>
      <c r="CL35" s="227" t="str">
        <f t="shared" si="87"/>
        <v>Cây lương thực</v>
      </c>
      <c r="CM35" s="87" t="str">
        <f t="shared" si="46"/>
        <v>CS4</v>
      </c>
      <c r="CN35" s="87">
        <f t="shared" si="115"/>
        <v>270</v>
      </c>
      <c r="CO35" s="87">
        <f t="shared" si="115"/>
        <v>280</v>
      </c>
      <c r="CP35" s="229">
        <f t="shared" si="47"/>
        <v>0</v>
      </c>
      <c r="CQ35" s="229">
        <f t="shared" si="48"/>
        <v>8.8000000000000007</v>
      </c>
      <c r="CR35" s="229">
        <f t="shared" si="49"/>
        <v>3.5</v>
      </c>
      <c r="CS35" s="229">
        <f t="shared" si="50"/>
        <v>0</v>
      </c>
      <c r="CT35" s="229">
        <f t="shared" si="51"/>
        <v>0</v>
      </c>
      <c r="CU35" s="229">
        <f t="shared" si="52"/>
        <v>37</v>
      </c>
      <c r="CV35" s="229">
        <f t="shared" si="53"/>
        <v>0</v>
      </c>
      <c r="CW35" s="229">
        <f t="shared" si="54"/>
        <v>8</v>
      </c>
      <c r="CX35" s="229">
        <f t="shared" si="55"/>
        <v>0</v>
      </c>
      <c r="CY35" s="229">
        <f t="shared" si="56"/>
        <v>0</v>
      </c>
      <c r="CZ35" s="229">
        <f t="shared" si="57"/>
        <v>0</v>
      </c>
      <c r="DA35" s="229">
        <f t="shared" si="58"/>
        <v>28</v>
      </c>
      <c r="DB35" s="228">
        <f t="shared" si="59"/>
        <v>85.3</v>
      </c>
      <c r="DC35" s="229"/>
      <c r="DD35" s="229"/>
      <c r="DE35" s="229"/>
      <c r="DF35" s="229"/>
      <c r="DG35" s="229"/>
      <c r="DH35" s="229"/>
      <c r="DI35" s="229"/>
      <c r="DJ35" s="229"/>
      <c r="DK35" s="229"/>
      <c r="DL35" s="229"/>
      <c r="DM35" s="229"/>
      <c r="DN35" s="229"/>
      <c r="DO35" s="228">
        <f t="shared" si="60"/>
        <v>0</v>
      </c>
      <c r="DP35" s="228">
        <f t="shared" si="61"/>
        <v>85.3</v>
      </c>
      <c r="DQ35" s="229">
        <f t="shared" si="62"/>
        <v>54</v>
      </c>
      <c r="DR35" s="229">
        <f t="shared" si="63"/>
        <v>3.4</v>
      </c>
      <c r="DS35" s="229">
        <f t="shared" si="64"/>
        <v>0</v>
      </c>
      <c r="DT35" s="229">
        <f t="shared" si="65"/>
        <v>1.4</v>
      </c>
      <c r="DU35" s="229">
        <f t="shared" si="66"/>
        <v>0</v>
      </c>
      <c r="DV35" s="229">
        <f t="shared" si="67"/>
        <v>40</v>
      </c>
      <c r="DW35" s="229">
        <f t="shared" si="68"/>
        <v>60</v>
      </c>
      <c r="DX35" s="228">
        <f t="shared" si="69"/>
        <v>158.80000000000001</v>
      </c>
      <c r="DY35" s="229"/>
      <c r="DZ35" s="229"/>
      <c r="EA35" s="229"/>
      <c r="EB35" s="229"/>
      <c r="EC35" s="229"/>
      <c r="ED35" s="229"/>
      <c r="EE35" s="229"/>
      <c r="EF35" s="228">
        <f t="shared" si="17"/>
        <v>0</v>
      </c>
      <c r="EG35" s="228">
        <f t="shared" si="70"/>
        <v>158.80000000000001</v>
      </c>
      <c r="EH35" s="229">
        <f t="shared" si="18"/>
        <v>93.18</v>
      </c>
      <c r="EI35" s="229">
        <v>123.44</v>
      </c>
      <c r="EJ35" s="228">
        <f t="shared" si="84"/>
        <v>216.62</v>
      </c>
      <c r="EK35" s="229"/>
      <c r="EL35" s="229"/>
      <c r="EM35" s="228">
        <f t="shared" si="117"/>
        <v>0</v>
      </c>
      <c r="EN35" s="229">
        <f t="shared" si="71"/>
        <v>93.18</v>
      </c>
      <c r="EO35" s="229">
        <f t="shared" si="72"/>
        <v>123.44</v>
      </c>
      <c r="EP35" s="228">
        <f t="shared" si="88"/>
        <v>216.62</v>
      </c>
      <c r="EQ35" s="173">
        <f t="shared" si="19"/>
        <v>0</v>
      </c>
      <c r="ER35" s="189">
        <v>0</v>
      </c>
      <c r="ES35" s="189">
        <v>8.8000000000000007</v>
      </c>
      <c r="ET35" s="189">
        <v>3.5</v>
      </c>
      <c r="EU35" s="189">
        <v>0</v>
      </c>
      <c r="EV35" s="189">
        <v>0</v>
      </c>
      <c r="EW35" s="189">
        <v>37</v>
      </c>
      <c r="EX35" s="189">
        <v>0</v>
      </c>
      <c r="EY35" s="189">
        <v>8</v>
      </c>
      <c r="EZ35" s="189">
        <v>0</v>
      </c>
      <c r="FA35" s="189">
        <v>0</v>
      </c>
      <c r="FB35" s="189">
        <v>0</v>
      </c>
      <c r="FC35" s="189">
        <v>28</v>
      </c>
      <c r="FD35" s="189">
        <v>54</v>
      </c>
      <c r="FE35" s="189">
        <v>3.4</v>
      </c>
      <c r="FF35" s="189">
        <v>0</v>
      </c>
      <c r="FG35" s="189">
        <v>1.4</v>
      </c>
      <c r="FH35" s="189">
        <v>40</v>
      </c>
      <c r="FI35" s="189">
        <v>0</v>
      </c>
      <c r="FJ35" s="189">
        <v>60</v>
      </c>
      <c r="FK35" s="189">
        <v>244.1</v>
      </c>
      <c r="FL35" s="189">
        <v>209</v>
      </c>
      <c r="FN35" s="132">
        <v>93.18</v>
      </c>
    </row>
    <row r="36" spans="1:170" ht="30" customHeight="1">
      <c r="A36" s="88">
        <f>COUNTIF($H$12:H36,H36)</f>
        <v>25</v>
      </c>
      <c r="B36" s="88" t="s">
        <v>2251</v>
      </c>
      <c r="C36" s="88" t="s">
        <v>2320</v>
      </c>
      <c r="D36" s="88"/>
      <c r="E36" s="88"/>
      <c r="F36" s="301" t="s">
        <v>2895</v>
      </c>
      <c r="G36" s="89" t="s">
        <v>33</v>
      </c>
      <c r="H36" s="88">
        <v>1</v>
      </c>
      <c r="I36" s="88">
        <v>1</v>
      </c>
      <c r="J36" s="88">
        <v>1</v>
      </c>
      <c r="K36" s="90" t="s">
        <v>3075</v>
      </c>
      <c r="L36" s="90" t="s">
        <v>3075</v>
      </c>
      <c r="M36" s="214"/>
      <c r="N36" s="88" t="s">
        <v>1804</v>
      </c>
      <c r="O36" s="216">
        <f t="shared" si="116"/>
        <v>3.33</v>
      </c>
      <c r="P36" s="88" t="str">
        <f t="shared" si="0"/>
        <v>B1_4</v>
      </c>
      <c r="Q36" s="88">
        <f t="shared" si="1"/>
        <v>270</v>
      </c>
      <c r="R36" s="88">
        <f t="shared" si="2"/>
        <v>120</v>
      </c>
      <c r="S36" s="231"/>
      <c r="T36" s="88" t="s">
        <v>3088</v>
      </c>
      <c r="U36" s="88">
        <f>IF(RIGHT(T36,1)="K",(VLOOKUP(T36,ma_miengiam!$A$3:$B$80,2,0)*100)/2,VLOOKUP(T36,ma_miengiam!$A$3:$B$80,2,0)*100)</f>
        <v>0</v>
      </c>
      <c r="V36" s="88"/>
      <c r="W36" s="220">
        <f>IF(AND(T36="NTS",V36&gt;0),(Q36-(Q36*V36)/12)*VLOOKUP(T36,ma_miengiam!$A$3:$B$80,2,0)+(Q36-(Q36*(12-V36))/12),IF(AND(RIGHT(T36,1)="K",V36&gt;0),(VLOOKUP(T36,ma_miengiam!$A$3:$B$80,2,0)/2)*(Q36*V36)/12,IF(RIGHT(T36,1)="K",(VLOOKUP(T36,ma_miengiam!$A$3:$B$80,2,0)*Q36)/2,IF(V36&gt;0,VLOOKUP(T36,ma_miengiam!$A$3:$B$80,2,0)*Q36*V36/12,VLOOKUP(T36,ma_miengiam!$A$3:$B$80,2,0)*Q36))))</f>
        <v>0</v>
      </c>
      <c r="X36" s="220">
        <f>IF(T36="NTS",VLOOKUP(T36,ma_miengiam!$A$3:$B$80,2,0)*R36*V36,IF(AND(T36="NTS",V36=0),0,IF(AND(LEFT(T36,1)="K",V36=0),VLOOKUP(T36,ma_miengiam!$A$3:$B$80,2,0)*R36,IF(LEFT(T36,1)="K",(VLOOKUP(T36,ma_miengiam!$A$3:$B$80,2,0)*R36/12)*V36,IF(AND(LEFT(T36,1)="S",V36&gt;0),(R36/12)*V36,IF(AND(LEFT(T36,1)="S",V36=0),R36,IF(T36="DH",VLOOKUP(T36,ma_miengiam!$A$3:$B$80,2,0)*R36,0)))))))</f>
        <v>0</v>
      </c>
      <c r="Y36" s="220">
        <f t="shared" si="108"/>
        <v>270</v>
      </c>
      <c r="Z36" s="220">
        <f t="shared" si="90"/>
        <v>120</v>
      </c>
      <c r="AA36" s="220">
        <f t="shared" si="118"/>
        <v>270</v>
      </c>
      <c r="AB36" s="220">
        <f t="shared" si="118"/>
        <v>120</v>
      </c>
      <c r="AC36" s="220">
        <f t="shared" si="119"/>
        <v>0</v>
      </c>
      <c r="AD36" s="220">
        <f t="shared" si="119"/>
        <v>0</v>
      </c>
      <c r="AE36" s="220">
        <f t="shared" si="119"/>
        <v>270</v>
      </c>
      <c r="AF36" s="220">
        <f t="shared" si="119"/>
        <v>120</v>
      </c>
      <c r="AG36" s="220">
        <f t="shared" si="120"/>
        <v>326.04999999999995</v>
      </c>
      <c r="AH36" s="220">
        <f t="shared" si="121"/>
        <v>52.9</v>
      </c>
      <c r="AI36" s="220">
        <f t="shared" si="122"/>
        <v>273.14999999999998</v>
      </c>
      <c r="AJ36" s="220">
        <f t="shared" si="74"/>
        <v>0</v>
      </c>
      <c r="AK36" s="216">
        <f t="shared" si="8"/>
        <v>270</v>
      </c>
      <c r="AL36" s="220">
        <f t="shared" si="22"/>
        <v>209.6</v>
      </c>
      <c r="AM36" s="220">
        <f t="shared" si="23"/>
        <v>0</v>
      </c>
      <c r="AN36" s="221">
        <f t="shared" si="24"/>
        <v>209.6</v>
      </c>
      <c r="AO36" s="220">
        <f t="shared" si="25"/>
        <v>0</v>
      </c>
      <c r="AP36" s="220">
        <f t="shared" si="26"/>
        <v>15</v>
      </c>
      <c r="AQ36" s="220">
        <f t="shared" si="27"/>
        <v>60</v>
      </c>
      <c r="AR36" s="220">
        <f t="shared" si="28"/>
        <v>0</v>
      </c>
      <c r="AS36" s="220">
        <f t="shared" si="29"/>
        <v>0</v>
      </c>
      <c r="AT36" s="216">
        <f t="shared" si="30"/>
        <v>284.60000000000002</v>
      </c>
      <c r="AU36" s="220">
        <f t="shared" si="31"/>
        <v>-60.400000000000006</v>
      </c>
      <c r="AV36" s="220"/>
      <c r="AW36" s="220">
        <f t="shared" si="32"/>
        <v>-60.400000000000006</v>
      </c>
      <c r="AX36" s="216">
        <f t="shared" si="9"/>
        <v>-60.400000000000006</v>
      </c>
      <c r="AY36" s="220">
        <f t="shared" si="33"/>
        <v>0</v>
      </c>
      <c r="AZ36" s="220">
        <f t="shared" si="34"/>
        <v>0</v>
      </c>
      <c r="BA36" s="220">
        <f t="shared" si="35"/>
        <v>14.600000000000023</v>
      </c>
      <c r="BB36" s="220">
        <f t="shared" si="36"/>
        <v>0</v>
      </c>
      <c r="BC36" s="220">
        <f t="shared" si="37"/>
        <v>0</v>
      </c>
      <c r="BD36" s="216">
        <f t="shared" si="10"/>
        <v>14.600000000000023</v>
      </c>
      <c r="BE36" s="220">
        <f t="shared" si="38"/>
        <v>0</v>
      </c>
      <c r="BF36" s="220">
        <f t="shared" si="39"/>
        <v>-15</v>
      </c>
      <c r="BG36" s="220">
        <f t="shared" si="40"/>
        <v>-45.399999999999977</v>
      </c>
      <c r="BH36" s="220">
        <f t="shared" si="41"/>
        <v>0</v>
      </c>
      <c r="BI36" s="220">
        <f t="shared" si="42"/>
        <v>0</v>
      </c>
      <c r="BJ36" s="220" t="s">
        <v>614</v>
      </c>
      <c r="BK36" s="220"/>
      <c r="BL36" s="223">
        <f t="shared" si="11"/>
        <v>0</v>
      </c>
      <c r="BM36" s="220">
        <v>3.33</v>
      </c>
      <c r="BN36" s="220"/>
      <c r="BO36" s="220">
        <f t="shared" si="107"/>
        <v>3.33</v>
      </c>
      <c r="BP36" s="220">
        <f>IF(AND(BL36&gt;0,BL36&lt;tiet!$D$1),BL36,IF(BL36&lt;=0,0,IF(BL36&gt;tiet!$C$1,tiet!$C$1)))</f>
        <v>0</v>
      </c>
      <c r="BQ36" s="87">
        <f t="shared" si="75"/>
        <v>65000</v>
      </c>
      <c r="BR36" s="224">
        <f t="shared" si="76"/>
        <v>0</v>
      </c>
      <c r="BS36" s="220">
        <f t="shared" si="12"/>
        <v>0</v>
      </c>
      <c r="BT36" s="224">
        <f>VLOOKUP(N36,ma_dinhmuc!$A$1:$J$31,10,0)</f>
        <v>51000</v>
      </c>
      <c r="BU36" s="224">
        <f>ROUND(IF(BS36&gt;0,VLOOKUP(N36,ma_dinhmuc!$A$1:$J$31,10,0)*BS36,0),0)</f>
        <v>0</v>
      </c>
      <c r="BV36" s="224">
        <f t="shared" si="77"/>
        <v>0</v>
      </c>
      <c r="BW36" s="224"/>
      <c r="BX36" s="224">
        <v>0</v>
      </c>
      <c r="BY36" s="224"/>
      <c r="BZ36" s="224"/>
      <c r="CA36" s="224"/>
      <c r="CB36" s="224"/>
      <c r="CC36" s="225">
        <f t="shared" si="44"/>
        <v>0</v>
      </c>
      <c r="CD36" s="224">
        <f t="shared" si="45"/>
        <v>0</v>
      </c>
      <c r="CE36" s="224"/>
      <c r="CF36" s="226"/>
      <c r="CG36" s="87"/>
      <c r="CH36" s="87">
        <f t="shared" si="109"/>
        <v>25</v>
      </c>
      <c r="CI36" s="227" t="str">
        <f t="shared" si="110"/>
        <v>Nguyễn Văn</v>
      </c>
      <c r="CJ36" s="227" t="str">
        <f t="shared" si="111"/>
        <v>Lộc</v>
      </c>
      <c r="CK36" s="87">
        <f t="shared" si="112"/>
        <v>1</v>
      </c>
      <c r="CL36" s="227" t="str">
        <f t="shared" si="87"/>
        <v>Cây lương thực</v>
      </c>
      <c r="CM36" s="87" t="str">
        <f t="shared" si="46"/>
        <v>CS2</v>
      </c>
      <c r="CN36" s="87">
        <f t="shared" ref="CN36:CO39" si="123">Q36</f>
        <v>270</v>
      </c>
      <c r="CO36" s="87">
        <f t="shared" si="123"/>
        <v>120</v>
      </c>
      <c r="CP36" s="229">
        <f t="shared" si="47"/>
        <v>0</v>
      </c>
      <c r="CQ36" s="229">
        <f t="shared" si="48"/>
        <v>24.3</v>
      </c>
      <c r="CR36" s="229">
        <f t="shared" si="49"/>
        <v>9.6999999999999993</v>
      </c>
      <c r="CS36" s="229">
        <f t="shared" si="50"/>
        <v>0</v>
      </c>
      <c r="CT36" s="229">
        <f t="shared" si="51"/>
        <v>0</v>
      </c>
      <c r="CU36" s="229">
        <f t="shared" si="52"/>
        <v>90.6</v>
      </c>
      <c r="CV36" s="229">
        <f t="shared" si="53"/>
        <v>0</v>
      </c>
      <c r="CW36" s="229">
        <f t="shared" si="54"/>
        <v>85</v>
      </c>
      <c r="CX36" s="229">
        <f t="shared" si="55"/>
        <v>0</v>
      </c>
      <c r="CY36" s="229">
        <f t="shared" si="56"/>
        <v>0</v>
      </c>
      <c r="CZ36" s="229">
        <f t="shared" si="57"/>
        <v>15</v>
      </c>
      <c r="DA36" s="229">
        <f t="shared" si="58"/>
        <v>60</v>
      </c>
      <c r="DB36" s="228">
        <f t="shared" si="59"/>
        <v>284.60000000000002</v>
      </c>
      <c r="DC36" s="229"/>
      <c r="DD36" s="229"/>
      <c r="DE36" s="229"/>
      <c r="DF36" s="229"/>
      <c r="DG36" s="229"/>
      <c r="DH36" s="229"/>
      <c r="DI36" s="229"/>
      <c r="DJ36" s="229"/>
      <c r="DK36" s="229"/>
      <c r="DL36" s="229"/>
      <c r="DM36" s="229"/>
      <c r="DN36" s="229"/>
      <c r="DO36" s="228">
        <f t="shared" si="60"/>
        <v>0</v>
      </c>
      <c r="DP36" s="228">
        <f t="shared" si="61"/>
        <v>284.60000000000002</v>
      </c>
      <c r="DQ36" s="229">
        <f t="shared" si="62"/>
        <v>0</v>
      </c>
      <c r="DR36" s="229">
        <f t="shared" si="63"/>
        <v>0</v>
      </c>
      <c r="DS36" s="229">
        <f t="shared" si="64"/>
        <v>0</v>
      </c>
      <c r="DT36" s="229">
        <f t="shared" si="65"/>
        <v>0</v>
      </c>
      <c r="DU36" s="229">
        <f t="shared" si="66"/>
        <v>0</v>
      </c>
      <c r="DV36" s="229">
        <f t="shared" si="67"/>
        <v>0</v>
      </c>
      <c r="DW36" s="229">
        <f t="shared" si="68"/>
        <v>0</v>
      </c>
      <c r="DX36" s="228">
        <f t="shared" si="69"/>
        <v>0</v>
      </c>
      <c r="DY36" s="229"/>
      <c r="DZ36" s="229"/>
      <c r="EA36" s="229"/>
      <c r="EB36" s="229"/>
      <c r="EC36" s="229"/>
      <c r="ED36" s="229"/>
      <c r="EE36" s="229"/>
      <c r="EF36" s="228">
        <f t="shared" si="17"/>
        <v>0</v>
      </c>
      <c r="EG36" s="228">
        <f t="shared" si="70"/>
        <v>0</v>
      </c>
      <c r="EH36" s="229">
        <f t="shared" si="18"/>
        <v>273.14999999999998</v>
      </c>
      <c r="EI36" s="229">
        <v>52.9</v>
      </c>
      <c r="EJ36" s="228">
        <f t="shared" si="84"/>
        <v>326.04999999999995</v>
      </c>
      <c r="EK36" s="229"/>
      <c r="EL36" s="229"/>
      <c r="EM36" s="228">
        <f t="shared" si="117"/>
        <v>0</v>
      </c>
      <c r="EN36" s="229">
        <f t="shared" si="71"/>
        <v>273.14999999999998</v>
      </c>
      <c r="EO36" s="229">
        <f t="shared" si="72"/>
        <v>52.9</v>
      </c>
      <c r="EP36" s="228">
        <f t="shared" si="88"/>
        <v>326.04999999999995</v>
      </c>
      <c r="EQ36" s="173">
        <f t="shared" si="19"/>
        <v>153.14999999999998</v>
      </c>
      <c r="ER36" s="189">
        <v>0</v>
      </c>
      <c r="ES36" s="189">
        <v>24.3</v>
      </c>
      <c r="ET36" s="189">
        <v>9.6999999999999993</v>
      </c>
      <c r="EU36" s="189">
        <v>0</v>
      </c>
      <c r="EV36" s="189">
        <v>0</v>
      </c>
      <c r="EW36" s="189">
        <v>90.6</v>
      </c>
      <c r="EX36" s="189">
        <v>0</v>
      </c>
      <c r="EY36" s="189">
        <v>85</v>
      </c>
      <c r="EZ36" s="189">
        <v>0</v>
      </c>
      <c r="FA36" s="189">
        <v>0</v>
      </c>
      <c r="FB36" s="189">
        <v>15</v>
      </c>
      <c r="FC36" s="189">
        <v>60</v>
      </c>
      <c r="FD36" s="189">
        <v>0</v>
      </c>
      <c r="FE36" s="189">
        <v>0</v>
      </c>
      <c r="FF36" s="189">
        <v>0</v>
      </c>
      <c r="FG36" s="189">
        <v>0</v>
      </c>
      <c r="FH36" s="189">
        <v>0</v>
      </c>
      <c r="FI36" s="189">
        <v>0</v>
      </c>
      <c r="FJ36" s="189">
        <v>0</v>
      </c>
      <c r="FK36" s="189">
        <v>284.60000000000002</v>
      </c>
      <c r="FL36" s="189">
        <v>196</v>
      </c>
      <c r="FN36" s="132">
        <v>273.14999999999998</v>
      </c>
    </row>
    <row r="37" spans="1:170" ht="25.5" customHeight="1">
      <c r="A37" s="88">
        <f>COUNTIF($H$12:H37,H37)</f>
        <v>26</v>
      </c>
      <c r="B37" s="88" t="s">
        <v>2252</v>
      </c>
      <c r="C37" s="88" t="s">
        <v>2321</v>
      </c>
      <c r="D37" s="88"/>
      <c r="E37" s="88"/>
      <c r="F37" s="301" t="s">
        <v>34</v>
      </c>
      <c r="G37" s="89" t="s">
        <v>35</v>
      </c>
      <c r="H37" s="88">
        <v>1</v>
      </c>
      <c r="I37" s="88">
        <v>1</v>
      </c>
      <c r="J37" s="88">
        <v>1</v>
      </c>
      <c r="K37" s="90" t="s">
        <v>3075</v>
      </c>
      <c r="L37" s="90" t="s">
        <v>3075</v>
      </c>
      <c r="M37" s="214"/>
      <c r="N37" s="88" t="s">
        <v>1804</v>
      </c>
      <c r="O37" s="216">
        <f t="shared" si="116"/>
        <v>3.33</v>
      </c>
      <c r="P37" s="88" t="str">
        <f t="shared" si="0"/>
        <v>B1_4</v>
      </c>
      <c r="Q37" s="88">
        <f t="shared" si="1"/>
        <v>270</v>
      </c>
      <c r="R37" s="88">
        <f t="shared" si="2"/>
        <v>120</v>
      </c>
      <c r="S37" s="231" t="s">
        <v>1509</v>
      </c>
      <c r="T37" s="88" t="s">
        <v>2961</v>
      </c>
      <c r="U37" s="88">
        <f>IF(RIGHT(T37,1)="K",(VLOOKUP(T37,ma_miengiam!$A$3:$B$80,2,0)*100)/2,VLOOKUP(T37,ma_miengiam!$A$3:$B$80,2,0)*100)</f>
        <v>100</v>
      </c>
      <c r="V37" s="88"/>
      <c r="W37" s="220">
        <f>IF(AND(T37="NTS",V37&gt;0),(Q37-(Q37*V37)/12)*VLOOKUP(T37,ma_miengiam!$A$3:$B$80,2,0)+(Q37-(Q37*(12-V37))/12),IF(AND(RIGHT(T37,1)="K",V37&gt;0),(VLOOKUP(T37,ma_miengiam!$A$3:$B$80,2,0)/2)*(Q37*V37)/12,IF(RIGHT(T37,1)="K",(VLOOKUP(T37,ma_miengiam!$A$3:$B$80,2,0)*Q37)/2,IF(V37&gt;0,VLOOKUP(T37,ma_miengiam!$A$3:$B$80,2,0)*Q37*V37/12,VLOOKUP(T37,ma_miengiam!$A$3:$B$80,2,0)*Q37))))</f>
        <v>270</v>
      </c>
      <c r="X37" s="220">
        <f>IF(T37="NTS",VLOOKUP(T37,ma_miengiam!$A$3:$B$80,2,0)*R37*V37,IF(AND(T37="NTS",V37=0),0,IF(AND(LEFT(T37,1)="K",V37=0),VLOOKUP(T37,ma_miengiam!$A$3:$B$80,2,0)*R37,IF(LEFT(T37,1)="K",(VLOOKUP(T37,ma_miengiam!$A$3:$B$80,2,0)*R37/12)*V37,IF(AND(LEFT(T37,1)="S",V37&gt;0),(R37/12)*V37,IF(AND(LEFT(T37,1)="S",V37=0),R37,IF(T37="DH",VLOOKUP(T37,ma_miengiam!$A$3:$B$80,2,0)*R37,0)))))))</f>
        <v>120</v>
      </c>
      <c r="Y37" s="220">
        <f>IF(AND(T37="DH",V37&gt;0),(S37*V37/12),IF(AND(T37&lt;&gt;"NTS",V37&gt;0),(Q37*V37/12)-W37,IF(AND(T37="NTS",V37&gt;0),Q37-W37,Q37-W37)))</f>
        <v>0</v>
      </c>
      <c r="Z37" s="220">
        <f t="shared" si="90"/>
        <v>0</v>
      </c>
      <c r="AA37" s="220">
        <f t="shared" si="118"/>
        <v>270</v>
      </c>
      <c r="AB37" s="220">
        <f t="shared" si="118"/>
        <v>120</v>
      </c>
      <c r="AC37" s="220">
        <f>W37</f>
        <v>270</v>
      </c>
      <c r="AD37" s="220">
        <f>X37</f>
        <v>120</v>
      </c>
      <c r="AE37" s="220">
        <f>Y37</f>
        <v>0</v>
      </c>
      <c r="AF37" s="220">
        <f>Z37</f>
        <v>0</v>
      </c>
      <c r="AG37" s="220">
        <f t="shared" si="120"/>
        <v>284.83000000000004</v>
      </c>
      <c r="AH37" s="220">
        <f t="shared" si="121"/>
        <v>172.9</v>
      </c>
      <c r="AI37" s="220">
        <f t="shared" si="122"/>
        <v>111.93</v>
      </c>
      <c r="AJ37" s="220">
        <f t="shared" si="74"/>
        <v>0</v>
      </c>
      <c r="AK37" s="216">
        <f t="shared" si="8"/>
        <v>0</v>
      </c>
      <c r="AL37" s="220">
        <f t="shared" si="22"/>
        <v>0</v>
      </c>
      <c r="AM37" s="220">
        <f t="shared" si="23"/>
        <v>0</v>
      </c>
      <c r="AN37" s="221">
        <f t="shared" si="24"/>
        <v>0</v>
      </c>
      <c r="AO37" s="220">
        <f t="shared" si="25"/>
        <v>0</v>
      </c>
      <c r="AP37" s="220">
        <f t="shared" si="26"/>
        <v>0</v>
      </c>
      <c r="AQ37" s="220">
        <f t="shared" si="27"/>
        <v>0</v>
      </c>
      <c r="AR37" s="220">
        <f t="shared" si="28"/>
        <v>0</v>
      </c>
      <c r="AS37" s="220">
        <f t="shared" si="29"/>
        <v>0</v>
      </c>
      <c r="AT37" s="216">
        <f t="shared" si="30"/>
        <v>0</v>
      </c>
      <c r="AU37" s="222">
        <f t="shared" si="31"/>
        <v>0</v>
      </c>
      <c r="AV37" s="220"/>
      <c r="AW37" s="220">
        <f t="shared" si="32"/>
        <v>0</v>
      </c>
      <c r="AX37" s="216">
        <f t="shared" si="9"/>
        <v>0</v>
      </c>
      <c r="AY37" s="220">
        <f t="shared" si="33"/>
        <v>0</v>
      </c>
      <c r="AZ37" s="220">
        <f t="shared" si="34"/>
        <v>0</v>
      </c>
      <c r="BA37" s="220">
        <f t="shared" si="35"/>
        <v>0</v>
      </c>
      <c r="BB37" s="220">
        <f t="shared" si="36"/>
        <v>0</v>
      </c>
      <c r="BC37" s="220">
        <f t="shared" si="37"/>
        <v>0</v>
      </c>
      <c r="BD37" s="216">
        <f t="shared" si="10"/>
        <v>0</v>
      </c>
      <c r="BE37" s="220">
        <f t="shared" si="38"/>
        <v>0</v>
      </c>
      <c r="BF37" s="220">
        <f t="shared" si="39"/>
        <v>0</v>
      </c>
      <c r="BG37" s="220">
        <f t="shared" si="40"/>
        <v>0</v>
      </c>
      <c r="BH37" s="220">
        <f t="shared" si="41"/>
        <v>0</v>
      </c>
      <c r="BI37" s="220">
        <f t="shared" si="42"/>
        <v>0</v>
      </c>
      <c r="BJ37" s="220" t="s">
        <v>614</v>
      </c>
      <c r="BK37" s="220"/>
      <c r="BL37" s="223">
        <f t="shared" si="11"/>
        <v>0</v>
      </c>
      <c r="BM37" s="220">
        <v>3.33</v>
      </c>
      <c r="BN37" s="220"/>
      <c r="BO37" s="220">
        <f>ROUND(BM37+(BM37*BN37),2)</f>
        <v>3.33</v>
      </c>
      <c r="BP37" s="220">
        <f>IF(AND(BL37&gt;0,BL37&lt;tiet!$D$1),BL37,IF(BL37&lt;=0,0,IF(BL37&gt;tiet!$C$1,tiet!$C$1)))</f>
        <v>0</v>
      </c>
      <c r="BQ37" s="87">
        <f t="shared" si="75"/>
        <v>65000</v>
      </c>
      <c r="BR37" s="224">
        <f t="shared" si="76"/>
        <v>0</v>
      </c>
      <c r="BS37" s="220">
        <f t="shared" si="12"/>
        <v>0</v>
      </c>
      <c r="BT37" s="224">
        <f>VLOOKUP(N37,ma_dinhmuc!$A$1:$J$31,10,0)</f>
        <v>51000</v>
      </c>
      <c r="BU37" s="224">
        <f>ROUND(IF(BS37&gt;0,VLOOKUP(N37,ma_dinhmuc!$A$1:$J$31,10,0)*BS37,0),0)</f>
        <v>0</v>
      </c>
      <c r="BV37" s="224">
        <f t="shared" si="77"/>
        <v>0</v>
      </c>
      <c r="BW37" s="224"/>
      <c r="BX37" s="224">
        <v>0</v>
      </c>
      <c r="BY37" s="224"/>
      <c r="BZ37" s="224"/>
      <c r="CA37" s="224"/>
      <c r="CB37" s="224"/>
      <c r="CC37" s="225">
        <f t="shared" si="44"/>
        <v>0</v>
      </c>
      <c r="CD37" s="224">
        <f t="shared" si="45"/>
        <v>0</v>
      </c>
      <c r="CE37" s="224"/>
      <c r="CF37" s="226"/>
      <c r="CG37" s="87"/>
      <c r="CH37" s="87">
        <f t="shared" si="109"/>
        <v>26</v>
      </c>
      <c r="CI37" s="227" t="str">
        <f t="shared" ref="CI37:CK38" si="124">F37</f>
        <v>Dương Thị Thu</v>
      </c>
      <c r="CJ37" s="227" t="str">
        <f t="shared" si="124"/>
        <v>Hằng</v>
      </c>
      <c r="CK37" s="87">
        <f t="shared" si="124"/>
        <v>1</v>
      </c>
      <c r="CL37" s="227" t="str">
        <f t="shared" si="87"/>
        <v>Cây lương thực</v>
      </c>
      <c r="CM37" s="87" t="str">
        <f t="shared" si="46"/>
        <v>CS2</v>
      </c>
      <c r="CN37" s="87">
        <f>Q37</f>
        <v>270</v>
      </c>
      <c r="CO37" s="87">
        <f>R37</f>
        <v>120</v>
      </c>
      <c r="CP37" s="229">
        <f t="shared" si="47"/>
        <v>0</v>
      </c>
      <c r="CQ37" s="229">
        <f t="shared" si="48"/>
        <v>0</v>
      </c>
      <c r="CR37" s="229">
        <f t="shared" si="49"/>
        <v>0</v>
      </c>
      <c r="CS37" s="229">
        <f t="shared" si="50"/>
        <v>0</v>
      </c>
      <c r="CT37" s="229">
        <f t="shared" si="51"/>
        <v>0</v>
      </c>
      <c r="CU37" s="229">
        <f t="shared" si="52"/>
        <v>0</v>
      </c>
      <c r="CV37" s="229">
        <f t="shared" si="53"/>
        <v>0</v>
      </c>
      <c r="CW37" s="229">
        <f t="shared" si="54"/>
        <v>0</v>
      </c>
      <c r="CX37" s="229">
        <f t="shared" si="55"/>
        <v>0</v>
      </c>
      <c r="CY37" s="229">
        <f t="shared" si="56"/>
        <v>0</v>
      </c>
      <c r="CZ37" s="229">
        <f t="shared" si="57"/>
        <v>0</v>
      </c>
      <c r="DA37" s="229">
        <f t="shared" si="58"/>
        <v>0</v>
      </c>
      <c r="DB37" s="228">
        <f t="shared" si="59"/>
        <v>0</v>
      </c>
      <c r="DC37" s="229"/>
      <c r="DD37" s="229"/>
      <c r="DE37" s="229"/>
      <c r="DF37" s="229"/>
      <c r="DG37" s="229"/>
      <c r="DH37" s="229"/>
      <c r="DI37" s="229"/>
      <c r="DJ37" s="229"/>
      <c r="DK37" s="229"/>
      <c r="DL37" s="229"/>
      <c r="DM37" s="229"/>
      <c r="DN37" s="229"/>
      <c r="DO37" s="228">
        <f t="shared" si="60"/>
        <v>0</v>
      </c>
      <c r="DP37" s="228">
        <f t="shared" si="61"/>
        <v>0</v>
      </c>
      <c r="DQ37" s="229">
        <f t="shared" si="62"/>
        <v>0</v>
      </c>
      <c r="DR37" s="229">
        <f t="shared" si="63"/>
        <v>0</v>
      </c>
      <c r="DS37" s="229">
        <f t="shared" si="64"/>
        <v>0</v>
      </c>
      <c r="DT37" s="229">
        <f t="shared" si="65"/>
        <v>0</v>
      </c>
      <c r="DU37" s="229">
        <f t="shared" si="66"/>
        <v>0</v>
      </c>
      <c r="DV37" s="229">
        <f t="shared" si="67"/>
        <v>0</v>
      </c>
      <c r="DW37" s="229">
        <f t="shared" si="68"/>
        <v>0</v>
      </c>
      <c r="DX37" s="228">
        <f t="shared" si="69"/>
        <v>0</v>
      </c>
      <c r="DY37" s="229"/>
      <c r="DZ37" s="229"/>
      <c r="EA37" s="229"/>
      <c r="EB37" s="229"/>
      <c r="EC37" s="229"/>
      <c r="ED37" s="229"/>
      <c r="EE37" s="229"/>
      <c r="EF37" s="228">
        <f t="shared" si="17"/>
        <v>0</v>
      </c>
      <c r="EG37" s="228">
        <f t="shared" si="70"/>
        <v>0</v>
      </c>
      <c r="EH37" s="229">
        <f t="shared" si="18"/>
        <v>111.93</v>
      </c>
      <c r="EI37" s="229">
        <v>172.9</v>
      </c>
      <c r="EJ37" s="228">
        <f>SUM(EH37:EI37)</f>
        <v>284.83000000000004</v>
      </c>
      <c r="EK37" s="229"/>
      <c r="EL37" s="229"/>
      <c r="EM37" s="228">
        <f t="shared" si="117"/>
        <v>0</v>
      </c>
      <c r="EN37" s="229">
        <f t="shared" si="71"/>
        <v>111.93</v>
      </c>
      <c r="EO37" s="229">
        <f t="shared" si="72"/>
        <v>172.9</v>
      </c>
      <c r="EP37" s="228">
        <f t="shared" si="88"/>
        <v>284.83000000000004</v>
      </c>
      <c r="EQ37" s="173">
        <f t="shared" si="19"/>
        <v>111.93</v>
      </c>
      <c r="ER37" s="189">
        <v>0</v>
      </c>
      <c r="ES37" s="189">
        <v>0</v>
      </c>
      <c r="ET37" s="189">
        <v>0</v>
      </c>
      <c r="EU37" s="189">
        <v>0</v>
      </c>
      <c r="EV37" s="189">
        <v>0</v>
      </c>
      <c r="EW37" s="189">
        <v>0</v>
      </c>
      <c r="EX37" s="189">
        <v>0</v>
      </c>
      <c r="EY37" s="189">
        <v>0</v>
      </c>
      <c r="EZ37" s="189">
        <v>0</v>
      </c>
      <c r="FA37" s="189">
        <v>0</v>
      </c>
      <c r="FB37" s="189">
        <v>0</v>
      </c>
      <c r="FC37" s="189">
        <v>0</v>
      </c>
      <c r="FD37" s="189">
        <v>0</v>
      </c>
      <c r="FE37" s="189">
        <v>0</v>
      </c>
      <c r="FF37" s="189">
        <v>0</v>
      </c>
      <c r="FG37" s="189">
        <v>0</v>
      </c>
      <c r="FH37" s="189">
        <v>0</v>
      </c>
      <c r="FI37" s="189">
        <v>0</v>
      </c>
      <c r="FJ37" s="189">
        <v>0</v>
      </c>
      <c r="FK37" s="189">
        <v>0</v>
      </c>
      <c r="FL37" s="189">
        <v>0</v>
      </c>
      <c r="FN37" s="132">
        <v>111.93</v>
      </c>
    </row>
    <row r="38" spans="1:170" ht="30">
      <c r="A38" s="88">
        <f>COUNTIF($H$12:H38,H38)</f>
        <v>27</v>
      </c>
      <c r="B38" s="88" t="s">
        <v>2253</v>
      </c>
      <c r="C38" s="88" t="s">
        <v>2322</v>
      </c>
      <c r="D38" s="88"/>
      <c r="E38" s="88"/>
      <c r="F38" s="301" t="s">
        <v>1598</v>
      </c>
      <c r="G38" s="303" t="s">
        <v>3022</v>
      </c>
      <c r="H38" s="88">
        <v>1</v>
      </c>
      <c r="I38" s="88">
        <v>1</v>
      </c>
      <c r="J38" s="88">
        <v>1</v>
      </c>
      <c r="K38" s="90" t="s">
        <v>3075</v>
      </c>
      <c r="L38" s="90" t="s">
        <v>3075</v>
      </c>
      <c r="M38" s="214"/>
      <c r="N38" s="88" t="s">
        <v>605</v>
      </c>
      <c r="O38" s="216">
        <f t="shared" si="116"/>
        <v>6.2</v>
      </c>
      <c r="P38" s="88" t="str">
        <f t="shared" si="0"/>
        <v>B1_6</v>
      </c>
      <c r="Q38" s="88">
        <f t="shared" si="1"/>
        <v>270</v>
      </c>
      <c r="R38" s="88">
        <f t="shared" si="2"/>
        <v>170</v>
      </c>
      <c r="S38" s="231" t="s">
        <v>2033</v>
      </c>
      <c r="T38" s="88" t="s">
        <v>1753</v>
      </c>
      <c r="U38" s="88">
        <f>IF(RIGHT(T38,1)="K",(VLOOKUP(T38,ma_miengiam!$A$3:$B$80,2,0)*100)/2,VLOOKUP(T38,ma_miengiam!$A$3:$B$80,2,0)*100)</f>
        <v>70</v>
      </c>
      <c r="V38" s="88"/>
      <c r="W38" s="220">
        <f>IF(AND(T38="NTS",V38&gt;0),(Q38-(Q38*V38)/12)*VLOOKUP(T38,ma_miengiam!$A$3:$B$80,2,0)+(Q38-(Q38*(12-V38))/12),IF(AND(RIGHT(T38,1)="K",V38&gt;0),(VLOOKUP(T38,ma_miengiam!$A$3:$B$80,2,0)/2)*(Q38*V38)/12,IF(RIGHT(T38,1)="K",(VLOOKUP(T38,ma_miengiam!$A$3:$B$80,2,0)*Q38)/2,IF(V38&gt;0,VLOOKUP(T38,ma_miengiam!$A$3:$B$80,2,0)*Q38*V38/12,VLOOKUP(T38,ma_miengiam!$A$3:$B$80,2,0)*Q38))))</f>
        <v>189</v>
      </c>
      <c r="X38" s="220">
        <f>IF(T38="NTS",VLOOKUP(T38,ma_miengiam!$A$3:$B$80,2,0)*R38*V38,IF(AND(T38="NTS",V38=0),0,IF(AND(LEFT(T38,1)="K",V38=0),VLOOKUP(T38,ma_miengiam!$A$3:$B$80,2,0)*R38,IF(LEFT(T38,1)="K",(VLOOKUP(T38,ma_miengiam!$A$3:$B$80,2,0)*R38/12)*V38,IF(AND(LEFT(T38,1)="S",V38&gt;0),(R38/12)*V38,IF(AND(LEFT(T38,1)="S",V38=0),R38,IF(T38="DH",VLOOKUP(T38,ma_miengiam!$A$3:$B$80,2,0)*R38,0)))))))</f>
        <v>118.99999999999999</v>
      </c>
      <c r="Y38" s="220">
        <f>IF(AND(T38="DH",V38&gt;0),(S38*V38/12),IF(AND(T38&lt;&gt;"NTS",V38&gt;0),(Q38*V38/12)-W38,IF(AND(T38="NTS",V38&gt;0),Q38-W38,Q38-W38)))</f>
        <v>81</v>
      </c>
      <c r="Z38" s="220">
        <f t="shared" si="90"/>
        <v>51.000000000000014</v>
      </c>
      <c r="AA38" s="220">
        <f t="shared" si="118"/>
        <v>270</v>
      </c>
      <c r="AB38" s="220">
        <f t="shared" si="118"/>
        <v>170</v>
      </c>
      <c r="AC38" s="220">
        <f t="shared" ref="AC38:AF39" si="125">W38</f>
        <v>189</v>
      </c>
      <c r="AD38" s="220">
        <f t="shared" si="125"/>
        <v>118.99999999999999</v>
      </c>
      <c r="AE38" s="220">
        <f t="shared" si="125"/>
        <v>81</v>
      </c>
      <c r="AF38" s="220">
        <f t="shared" si="125"/>
        <v>51.000000000000014</v>
      </c>
      <c r="AG38" s="220">
        <f t="shared" si="120"/>
        <v>551.17000000000007</v>
      </c>
      <c r="AH38" s="220">
        <f t="shared" si="121"/>
        <v>193.95</v>
      </c>
      <c r="AI38" s="220">
        <f t="shared" si="122"/>
        <v>357.22</v>
      </c>
      <c r="AJ38" s="220">
        <f t="shared" si="74"/>
        <v>0</v>
      </c>
      <c r="AK38" s="216">
        <f t="shared" si="8"/>
        <v>81</v>
      </c>
      <c r="AL38" s="220">
        <f t="shared" si="22"/>
        <v>96</v>
      </c>
      <c r="AM38" s="220">
        <f t="shared" si="23"/>
        <v>10.8</v>
      </c>
      <c r="AN38" s="221">
        <f t="shared" si="24"/>
        <v>106.8</v>
      </c>
      <c r="AO38" s="220">
        <f t="shared" si="25"/>
        <v>20</v>
      </c>
      <c r="AP38" s="220">
        <f t="shared" si="26"/>
        <v>0</v>
      </c>
      <c r="AQ38" s="220">
        <f t="shared" si="27"/>
        <v>60</v>
      </c>
      <c r="AR38" s="220">
        <f t="shared" si="28"/>
        <v>40</v>
      </c>
      <c r="AS38" s="220">
        <f t="shared" si="29"/>
        <v>20</v>
      </c>
      <c r="AT38" s="216">
        <f t="shared" si="30"/>
        <v>246.8</v>
      </c>
      <c r="AU38" s="220">
        <f t="shared" si="31"/>
        <v>25.799999999999997</v>
      </c>
      <c r="AV38" s="220"/>
      <c r="AW38" s="220">
        <f t="shared" si="32"/>
        <v>25.799999999999997</v>
      </c>
      <c r="AX38" s="216">
        <f t="shared" si="9"/>
        <v>0</v>
      </c>
      <c r="AY38" s="220">
        <f t="shared" si="33"/>
        <v>20</v>
      </c>
      <c r="AZ38" s="220">
        <f t="shared" si="34"/>
        <v>0</v>
      </c>
      <c r="BA38" s="220">
        <f t="shared" si="35"/>
        <v>60</v>
      </c>
      <c r="BB38" s="220">
        <f t="shared" si="36"/>
        <v>40</v>
      </c>
      <c r="BC38" s="220">
        <f t="shared" si="37"/>
        <v>20</v>
      </c>
      <c r="BD38" s="216">
        <f t="shared" si="10"/>
        <v>140</v>
      </c>
      <c r="BE38" s="220">
        <f t="shared" si="38"/>
        <v>0</v>
      </c>
      <c r="BF38" s="220">
        <f t="shared" si="39"/>
        <v>0</v>
      </c>
      <c r="BG38" s="220">
        <f t="shared" si="40"/>
        <v>0</v>
      </c>
      <c r="BH38" s="220">
        <f t="shared" si="41"/>
        <v>0</v>
      </c>
      <c r="BI38" s="220">
        <f t="shared" si="42"/>
        <v>0</v>
      </c>
      <c r="BJ38" s="220" t="s">
        <v>614</v>
      </c>
      <c r="BK38" s="220"/>
      <c r="BL38" s="223">
        <f t="shared" si="11"/>
        <v>25.799999999999997</v>
      </c>
      <c r="BM38" s="220">
        <v>6.2</v>
      </c>
      <c r="BN38" s="220"/>
      <c r="BO38" s="220">
        <f>ROUND(BM38+(BM38*BN38),2)</f>
        <v>6.2</v>
      </c>
      <c r="BP38" s="220">
        <f>IF(AND(BL38&gt;0,BL38&lt;tiet!$D$1),BL38,IF(BL38&lt;=0,0,IF(BL38&gt;tiet!$C$1,tiet!$C$1)))</f>
        <v>25.799999999999997</v>
      </c>
      <c r="BQ38" s="87">
        <f t="shared" si="75"/>
        <v>75000</v>
      </c>
      <c r="BR38" s="224">
        <f t="shared" si="76"/>
        <v>1935000</v>
      </c>
      <c r="BS38" s="220">
        <f t="shared" si="12"/>
        <v>0</v>
      </c>
      <c r="BT38" s="224">
        <f>VLOOKUP(N38,ma_dinhmuc!$A$1:$J$31,10,0)</f>
        <v>65000</v>
      </c>
      <c r="BU38" s="224">
        <f>ROUND(IF(BS38&gt;0,VLOOKUP(N38,ma_dinhmuc!$A$1:$J$31,10,0)*BS38,0),0)</f>
        <v>0</v>
      </c>
      <c r="BV38" s="224">
        <f t="shared" si="77"/>
        <v>1935000</v>
      </c>
      <c r="BW38" s="224"/>
      <c r="BX38" s="224">
        <v>0</v>
      </c>
      <c r="BY38" s="224"/>
      <c r="BZ38" s="224"/>
      <c r="CA38" s="224"/>
      <c r="CB38" s="224"/>
      <c r="CC38" s="225">
        <f t="shared" si="44"/>
        <v>1935000</v>
      </c>
      <c r="CD38" s="224">
        <f t="shared" si="45"/>
        <v>0</v>
      </c>
      <c r="CE38" s="224"/>
      <c r="CF38" s="226"/>
      <c r="CG38" s="87"/>
      <c r="CH38" s="87">
        <f t="shared" si="109"/>
        <v>27</v>
      </c>
      <c r="CI38" s="227" t="str">
        <f t="shared" si="124"/>
        <v>Nguyễn Việt</v>
      </c>
      <c r="CJ38" s="227" t="str">
        <f t="shared" si="124"/>
        <v>Long</v>
      </c>
      <c r="CK38" s="87">
        <f t="shared" si="124"/>
        <v>1</v>
      </c>
      <c r="CL38" s="227" t="str">
        <f t="shared" si="87"/>
        <v>Cây lương thực</v>
      </c>
      <c r="CM38" s="87" t="str">
        <f t="shared" si="46"/>
        <v>CS4</v>
      </c>
      <c r="CN38" s="87">
        <f t="shared" si="123"/>
        <v>270</v>
      </c>
      <c r="CO38" s="87">
        <f t="shared" si="123"/>
        <v>170</v>
      </c>
      <c r="CP38" s="229">
        <f t="shared" si="47"/>
        <v>0</v>
      </c>
      <c r="CQ38" s="229">
        <f t="shared" si="48"/>
        <v>5</v>
      </c>
      <c r="CR38" s="229">
        <f t="shared" si="49"/>
        <v>2</v>
      </c>
      <c r="CS38" s="229">
        <f t="shared" si="50"/>
        <v>0</v>
      </c>
      <c r="CT38" s="229">
        <f t="shared" si="51"/>
        <v>0</v>
      </c>
      <c r="CU38" s="229">
        <f t="shared" si="52"/>
        <v>66</v>
      </c>
      <c r="CV38" s="229">
        <f t="shared" si="53"/>
        <v>0</v>
      </c>
      <c r="CW38" s="229">
        <f t="shared" si="54"/>
        <v>23</v>
      </c>
      <c r="CX38" s="229">
        <f t="shared" si="55"/>
        <v>0</v>
      </c>
      <c r="CY38" s="229">
        <f t="shared" si="56"/>
        <v>20</v>
      </c>
      <c r="CZ38" s="229">
        <f t="shared" si="57"/>
        <v>0</v>
      </c>
      <c r="DA38" s="229">
        <f t="shared" si="58"/>
        <v>60</v>
      </c>
      <c r="DB38" s="228">
        <f t="shared" si="59"/>
        <v>176</v>
      </c>
      <c r="DC38" s="229"/>
      <c r="DD38" s="229"/>
      <c r="DE38" s="229"/>
      <c r="DF38" s="229"/>
      <c r="DG38" s="229"/>
      <c r="DH38" s="229"/>
      <c r="DI38" s="229"/>
      <c r="DJ38" s="229"/>
      <c r="DK38" s="229"/>
      <c r="DL38" s="229"/>
      <c r="DM38" s="229"/>
      <c r="DN38" s="229"/>
      <c r="DO38" s="228">
        <f t="shared" si="60"/>
        <v>0</v>
      </c>
      <c r="DP38" s="228">
        <f t="shared" si="61"/>
        <v>176</v>
      </c>
      <c r="DQ38" s="229">
        <f t="shared" si="62"/>
        <v>9</v>
      </c>
      <c r="DR38" s="229">
        <f t="shared" si="63"/>
        <v>1.3</v>
      </c>
      <c r="DS38" s="229">
        <f t="shared" si="64"/>
        <v>0</v>
      </c>
      <c r="DT38" s="229">
        <f t="shared" si="65"/>
        <v>0.5</v>
      </c>
      <c r="DU38" s="229">
        <f t="shared" si="66"/>
        <v>0</v>
      </c>
      <c r="DV38" s="229">
        <f t="shared" si="67"/>
        <v>40</v>
      </c>
      <c r="DW38" s="229">
        <f t="shared" si="68"/>
        <v>20</v>
      </c>
      <c r="DX38" s="228">
        <f t="shared" si="69"/>
        <v>70.8</v>
      </c>
      <c r="DY38" s="229"/>
      <c r="DZ38" s="229"/>
      <c r="EA38" s="229"/>
      <c r="EB38" s="229"/>
      <c r="EC38" s="229"/>
      <c r="ED38" s="229"/>
      <c r="EE38" s="229"/>
      <c r="EF38" s="228">
        <f t="shared" si="17"/>
        <v>0</v>
      </c>
      <c r="EG38" s="228">
        <f t="shared" si="70"/>
        <v>70.8</v>
      </c>
      <c r="EH38" s="229">
        <f t="shared" si="18"/>
        <v>357.22</v>
      </c>
      <c r="EI38" s="229">
        <v>193.95</v>
      </c>
      <c r="EJ38" s="228">
        <f>SUM(EH38:EI38)</f>
        <v>551.17000000000007</v>
      </c>
      <c r="EK38" s="229"/>
      <c r="EL38" s="229"/>
      <c r="EM38" s="228">
        <f t="shared" si="117"/>
        <v>0</v>
      </c>
      <c r="EN38" s="229">
        <f t="shared" si="71"/>
        <v>357.22</v>
      </c>
      <c r="EO38" s="229">
        <f t="shared" si="72"/>
        <v>193.95</v>
      </c>
      <c r="EP38" s="228">
        <f t="shared" si="88"/>
        <v>551.17000000000007</v>
      </c>
      <c r="EQ38" s="173">
        <f t="shared" si="19"/>
        <v>306.22000000000003</v>
      </c>
      <c r="ER38" s="189">
        <v>0</v>
      </c>
      <c r="ES38" s="189">
        <v>5</v>
      </c>
      <c r="ET38" s="189">
        <v>2</v>
      </c>
      <c r="EU38" s="189">
        <v>0</v>
      </c>
      <c r="EV38" s="189">
        <v>0</v>
      </c>
      <c r="EW38" s="189">
        <v>66</v>
      </c>
      <c r="EX38" s="189">
        <v>0</v>
      </c>
      <c r="EY38" s="189">
        <v>23</v>
      </c>
      <c r="EZ38" s="189">
        <v>0</v>
      </c>
      <c r="FA38" s="189">
        <v>20</v>
      </c>
      <c r="FB38" s="189">
        <v>0</v>
      </c>
      <c r="FC38" s="189">
        <v>60</v>
      </c>
      <c r="FD38" s="189">
        <v>9</v>
      </c>
      <c r="FE38" s="189">
        <v>1.3</v>
      </c>
      <c r="FF38" s="189">
        <v>0</v>
      </c>
      <c r="FG38" s="189">
        <v>0.5</v>
      </c>
      <c r="FH38" s="189">
        <v>40</v>
      </c>
      <c r="FI38" s="189">
        <v>0</v>
      </c>
      <c r="FJ38" s="189">
        <v>20</v>
      </c>
      <c r="FK38" s="189">
        <v>246.8</v>
      </c>
      <c r="FL38" s="189">
        <v>205</v>
      </c>
      <c r="FN38" s="132">
        <v>357.22</v>
      </c>
    </row>
    <row r="39" spans="1:170" ht="25.5" customHeight="1">
      <c r="A39" s="88">
        <f>COUNTIF($H$12:H39,H39)</f>
        <v>28</v>
      </c>
      <c r="B39" s="88" t="s">
        <v>2254</v>
      </c>
      <c r="C39" s="88" t="s">
        <v>2323</v>
      </c>
      <c r="D39" s="88"/>
      <c r="E39" s="88"/>
      <c r="F39" s="301" t="s">
        <v>1599</v>
      </c>
      <c r="G39" s="89" t="s">
        <v>1600</v>
      </c>
      <c r="H39" s="88">
        <v>1</v>
      </c>
      <c r="I39" s="88">
        <v>1</v>
      </c>
      <c r="J39" s="88">
        <v>1</v>
      </c>
      <c r="K39" s="90" t="s">
        <v>3075</v>
      </c>
      <c r="L39" s="90" t="s">
        <v>3075</v>
      </c>
      <c r="M39" s="214"/>
      <c r="N39" s="88" t="s">
        <v>605</v>
      </c>
      <c r="O39" s="216">
        <f t="shared" si="116"/>
        <v>6.56</v>
      </c>
      <c r="P39" s="88" t="str">
        <f t="shared" si="0"/>
        <v>B1_7</v>
      </c>
      <c r="Q39" s="88">
        <f t="shared" si="1"/>
        <v>270</v>
      </c>
      <c r="R39" s="88">
        <f t="shared" si="2"/>
        <v>200</v>
      </c>
      <c r="S39" s="230" t="s">
        <v>2031</v>
      </c>
      <c r="T39" s="88" t="s">
        <v>3091</v>
      </c>
      <c r="U39" s="88">
        <f>IF(RIGHT(T39,1)="K",(VLOOKUP(T39,ma_miengiam!$A$3:$B$80,2,0)*100)/2,VLOOKUP(T39,ma_miengiam!$A$3:$B$80,2,0)*100)</f>
        <v>20</v>
      </c>
      <c r="V39" s="88"/>
      <c r="W39" s="220">
        <f>IF(AND(T39="NTS",V39&gt;0),(Q39-(Q39*V39)/12)*VLOOKUP(T39,ma_miengiam!$A$3:$B$80,2,0)+(Q39-(Q39*(12-V39))/12),IF(AND(RIGHT(T39,1)="K",V39&gt;0),(VLOOKUP(T39,ma_miengiam!$A$3:$B$80,2,0)/2)*(Q39*V39)/12,IF(RIGHT(T39,1)="K",(VLOOKUP(T39,ma_miengiam!$A$3:$B$80,2,0)*Q39)/2,IF(V39&gt;0,VLOOKUP(T39,ma_miengiam!$A$3:$B$80,2,0)*Q39*V39/12,VLOOKUP(T39,ma_miengiam!$A$3:$B$80,2,0)*Q39))))</f>
        <v>54</v>
      </c>
      <c r="X39" s="220">
        <f>IF(T39="NTS",VLOOKUP(T39,ma_miengiam!$A$3:$B$80,2,0)*R39*V39,IF(AND(T39="NTS",V39=0),0,IF(AND(LEFT(T39,1)="K",V39=0),VLOOKUP(T39,ma_miengiam!$A$3:$B$80,2,0)*R39,IF(LEFT(T39,1)="K",(VLOOKUP(T39,ma_miengiam!$A$3:$B$80,2,0)*R39/12)*V39,IF(AND(LEFT(T39,1)="S",V39&gt;0),(R39/12)*V39,IF(AND(LEFT(T39,1)="S",V39=0),R39,IF(T39="DH",VLOOKUP(T39,ma_miengiam!$A$3:$B$80,2,0)*R39,0)))))))</f>
        <v>0</v>
      </c>
      <c r="Y39" s="220">
        <f t="shared" si="108"/>
        <v>216</v>
      </c>
      <c r="Z39" s="220">
        <f t="shared" si="90"/>
        <v>200</v>
      </c>
      <c r="AA39" s="220">
        <f t="shared" si="118"/>
        <v>270</v>
      </c>
      <c r="AB39" s="220">
        <f t="shared" si="118"/>
        <v>200</v>
      </c>
      <c r="AC39" s="220">
        <f t="shared" si="125"/>
        <v>54</v>
      </c>
      <c r="AD39" s="220">
        <f t="shared" si="125"/>
        <v>0</v>
      </c>
      <c r="AE39" s="220">
        <f t="shared" si="125"/>
        <v>216</v>
      </c>
      <c r="AF39" s="220">
        <f t="shared" si="125"/>
        <v>200</v>
      </c>
      <c r="AG39" s="220">
        <f t="shared" si="120"/>
        <v>308.13</v>
      </c>
      <c r="AH39" s="220">
        <f t="shared" si="121"/>
        <v>74.95</v>
      </c>
      <c r="AI39" s="220">
        <f t="shared" si="122"/>
        <v>233.18</v>
      </c>
      <c r="AJ39" s="220">
        <f t="shared" si="74"/>
        <v>0</v>
      </c>
      <c r="AK39" s="216">
        <f t="shared" si="8"/>
        <v>216</v>
      </c>
      <c r="AL39" s="220">
        <f t="shared" si="22"/>
        <v>69.900000000000006</v>
      </c>
      <c r="AM39" s="220">
        <f t="shared" si="23"/>
        <v>50.6</v>
      </c>
      <c r="AN39" s="221">
        <f t="shared" si="24"/>
        <v>120.5</v>
      </c>
      <c r="AO39" s="220">
        <f t="shared" si="25"/>
        <v>0</v>
      </c>
      <c r="AP39" s="220">
        <f t="shared" si="26"/>
        <v>0</v>
      </c>
      <c r="AQ39" s="220">
        <f t="shared" si="27"/>
        <v>80</v>
      </c>
      <c r="AR39" s="220">
        <f t="shared" si="28"/>
        <v>80</v>
      </c>
      <c r="AS39" s="220">
        <f t="shared" si="29"/>
        <v>0</v>
      </c>
      <c r="AT39" s="216">
        <f t="shared" si="30"/>
        <v>280.5</v>
      </c>
      <c r="AU39" s="222">
        <f t="shared" si="31"/>
        <v>-95.5</v>
      </c>
      <c r="AV39" s="220"/>
      <c r="AW39" s="220">
        <f t="shared" si="32"/>
        <v>-95.5</v>
      </c>
      <c r="AX39" s="216">
        <f t="shared" si="9"/>
        <v>-95.5</v>
      </c>
      <c r="AY39" s="220">
        <f t="shared" si="33"/>
        <v>0</v>
      </c>
      <c r="AZ39" s="220">
        <f t="shared" si="34"/>
        <v>0</v>
      </c>
      <c r="BA39" s="220">
        <f t="shared" si="35"/>
        <v>0</v>
      </c>
      <c r="BB39" s="220">
        <f t="shared" si="36"/>
        <v>64.5</v>
      </c>
      <c r="BC39" s="220">
        <f t="shared" si="37"/>
        <v>0</v>
      </c>
      <c r="BD39" s="216">
        <f t="shared" si="10"/>
        <v>64.5</v>
      </c>
      <c r="BE39" s="220">
        <f t="shared" si="38"/>
        <v>0</v>
      </c>
      <c r="BF39" s="220">
        <f t="shared" si="39"/>
        <v>0</v>
      </c>
      <c r="BG39" s="220">
        <f t="shared" si="40"/>
        <v>-80</v>
      </c>
      <c r="BH39" s="220">
        <f t="shared" si="41"/>
        <v>-15.5</v>
      </c>
      <c r="BI39" s="220">
        <f t="shared" si="42"/>
        <v>0</v>
      </c>
      <c r="BJ39" s="220" t="s">
        <v>614</v>
      </c>
      <c r="BK39" s="220"/>
      <c r="BL39" s="223">
        <f t="shared" si="11"/>
        <v>0</v>
      </c>
      <c r="BM39" s="220">
        <v>6.56</v>
      </c>
      <c r="BN39" s="220"/>
      <c r="BO39" s="220">
        <f t="shared" si="107"/>
        <v>6.56</v>
      </c>
      <c r="BP39" s="220">
        <f>IF(AND(BL39&gt;0,BL39&lt;tiet!$D$1),BL39,IF(BL39&lt;=0,0,IF(BL39&gt;tiet!$C$1,tiet!$C$1)))</f>
        <v>0</v>
      </c>
      <c r="BQ39" s="87">
        <f t="shared" si="75"/>
        <v>80000</v>
      </c>
      <c r="BR39" s="224">
        <f t="shared" si="76"/>
        <v>0</v>
      </c>
      <c r="BS39" s="220">
        <f t="shared" si="12"/>
        <v>0</v>
      </c>
      <c r="BT39" s="224">
        <f>VLOOKUP(N39,ma_dinhmuc!$A$1:$J$31,10,0)</f>
        <v>65000</v>
      </c>
      <c r="BU39" s="224">
        <f>ROUND(IF(BS39&gt;0,VLOOKUP(N39,ma_dinhmuc!$A$1:$J$31,10,0)*BS39,0),0)</f>
        <v>0</v>
      </c>
      <c r="BV39" s="224">
        <f t="shared" si="77"/>
        <v>0</v>
      </c>
      <c r="BW39" s="224"/>
      <c r="BX39" s="224">
        <v>0</v>
      </c>
      <c r="BY39" s="224"/>
      <c r="BZ39" s="224"/>
      <c r="CA39" s="224"/>
      <c r="CB39" s="224"/>
      <c r="CC39" s="225">
        <f t="shared" si="44"/>
        <v>0</v>
      </c>
      <c r="CD39" s="224">
        <f t="shared" si="45"/>
        <v>0</v>
      </c>
      <c r="CE39" s="224"/>
      <c r="CF39" s="226"/>
      <c r="CG39" s="87"/>
      <c r="CH39" s="87">
        <f t="shared" si="109"/>
        <v>28</v>
      </c>
      <c r="CI39" s="227" t="str">
        <f t="shared" si="110"/>
        <v>Tăng Thị</v>
      </c>
      <c r="CJ39" s="227" t="str">
        <f t="shared" si="111"/>
        <v>Hạnh</v>
      </c>
      <c r="CK39" s="87">
        <f t="shared" si="112"/>
        <v>1</v>
      </c>
      <c r="CL39" s="227" t="str">
        <f t="shared" si="87"/>
        <v>Cây lương thực</v>
      </c>
      <c r="CM39" s="87" t="str">
        <f t="shared" si="46"/>
        <v>CS4</v>
      </c>
      <c r="CN39" s="87">
        <f t="shared" si="123"/>
        <v>270</v>
      </c>
      <c r="CO39" s="87">
        <f t="shared" si="123"/>
        <v>200</v>
      </c>
      <c r="CP39" s="229">
        <f t="shared" si="47"/>
        <v>0</v>
      </c>
      <c r="CQ39" s="229">
        <f t="shared" si="48"/>
        <v>12.8</v>
      </c>
      <c r="CR39" s="229">
        <f t="shared" si="49"/>
        <v>5.0999999999999996</v>
      </c>
      <c r="CS39" s="229">
        <f t="shared" si="50"/>
        <v>0</v>
      </c>
      <c r="CT39" s="229">
        <f t="shared" si="51"/>
        <v>0</v>
      </c>
      <c r="CU39" s="229">
        <f t="shared" si="52"/>
        <v>52</v>
      </c>
      <c r="CV39" s="229">
        <f t="shared" si="53"/>
        <v>0</v>
      </c>
      <c r="CW39" s="229">
        <f t="shared" si="54"/>
        <v>0</v>
      </c>
      <c r="CX39" s="229">
        <f t="shared" si="55"/>
        <v>0</v>
      </c>
      <c r="CY39" s="229">
        <f t="shared" si="56"/>
        <v>0</v>
      </c>
      <c r="CZ39" s="229">
        <f t="shared" si="57"/>
        <v>0</v>
      </c>
      <c r="DA39" s="229">
        <f t="shared" si="58"/>
        <v>80</v>
      </c>
      <c r="DB39" s="228">
        <f t="shared" si="59"/>
        <v>149.9</v>
      </c>
      <c r="DC39" s="229"/>
      <c r="DD39" s="229"/>
      <c r="DE39" s="229"/>
      <c r="DF39" s="229"/>
      <c r="DG39" s="229"/>
      <c r="DH39" s="229"/>
      <c r="DI39" s="229"/>
      <c r="DJ39" s="229"/>
      <c r="DK39" s="229"/>
      <c r="DL39" s="229"/>
      <c r="DM39" s="229"/>
      <c r="DN39" s="229"/>
      <c r="DO39" s="228">
        <f t="shared" si="60"/>
        <v>0</v>
      </c>
      <c r="DP39" s="228">
        <f t="shared" si="61"/>
        <v>149.9</v>
      </c>
      <c r="DQ39" s="229">
        <f t="shared" si="62"/>
        <v>45</v>
      </c>
      <c r="DR39" s="229">
        <f t="shared" si="63"/>
        <v>4</v>
      </c>
      <c r="DS39" s="229">
        <f t="shared" si="64"/>
        <v>0</v>
      </c>
      <c r="DT39" s="229">
        <f t="shared" si="65"/>
        <v>1.6</v>
      </c>
      <c r="DU39" s="229">
        <f t="shared" si="66"/>
        <v>0</v>
      </c>
      <c r="DV39" s="229">
        <f t="shared" si="67"/>
        <v>80</v>
      </c>
      <c r="DW39" s="229">
        <f t="shared" si="68"/>
        <v>0</v>
      </c>
      <c r="DX39" s="228">
        <f t="shared" si="69"/>
        <v>130.6</v>
      </c>
      <c r="DY39" s="229"/>
      <c r="DZ39" s="229"/>
      <c r="EA39" s="229"/>
      <c r="EB39" s="229"/>
      <c r="EC39" s="229"/>
      <c r="ED39" s="229"/>
      <c r="EE39" s="229"/>
      <c r="EF39" s="228">
        <f t="shared" si="17"/>
        <v>0</v>
      </c>
      <c r="EG39" s="228">
        <f t="shared" si="70"/>
        <v>130.6</v>
      </c>
      <c r="EH39" s="229">
        <f t="shared" si="18"/>
        <v>233.18</v>
      </c>
      <c r="EI39" s="229">
        <v>74.95</v>
      </c>
      <c r="EJ39" s="228">
        <f t="shared" si="84"/>
        <v>308.13</v>
      </c>
      <c r="EK39" s="229"/>
      <c r="EL39" s="229"/>
      <c r="EM39" s="228">
        <f t="shared" si="117"/>
        <v>0</v>
      </c>
      <c r="EN39" s="229">
        <f t="shared" si="71"/>
        <v>233.18</v>
      </c>
      <c r="EO39" s="229">
        <f t="shared" si="72"/>
        <v>74.95</v>
      </c>
      <c r="EP39" s="228">
        <f t="shared" si="88"/>
        <v>308.13</v>
      </c>
      <c r="EQ39" s="173">
        <f t="shared" si="19"/>
        <v>33.180000000000007</v>
      </c>
      <c r="ER39" s="189">
        <v>0</v>
      </c>
      <c r="ES39" s="189">
        <v>12.8</v>
      </c>
      <c r="ET39" s="189">
        <v>5.0999999999999996</v>
      </c>
      <c r="EU39" s="189">
        <v>0</v>
      </c>
      <c r="EV39" s="189">
        <v>0</v>
      </c>
      <c r="EW39" s="189">
        <v>52</v>
      </c>
      <c r="EX39" s="189">
        <v>0</v>
      </c>
      <c r="EY39" s="189">
        <v>0</v>
      </c>
      <c r="EZ39" s="189">
        <v>0</v>
      </c>
      <c r="FA39" s="189">
        <v>0</v>
      </c>
      <c r="FB39" s="189">
        <v>0</v>
      </c>
      <c r="FC39" s="189">
        <v>80</v>
      </c>
      <c r="FD39" s="189">
        <v>45</v>
      </c>
      <c r="FE39" s="189">
        <v>4</v>
      </c>
      <c r="FF39" s="189">
        <v>0</v>
      </c>
      <c r="FG39" s="189">
        <v>1.6</v>
      </c>
      <c r="FH39" s="189">
        <v>80</v>
      </c>
      <c r="FI39" s="189">
        <v>0</v>
      </c>
      <c r="FJ39" s="189">
        <v>0</v>
      </c>
      <c r="FK39" s="189">
        <v>280.5</v>
      </c>
      <c r="FL39" s="189">
        <v>230</v>
      </c>
      <c r="FN39" s="132">
        <v>233.18</v>
      </c>
    </row>
    <row r="40" spans="1:170" ht="45">
      <c r="A40" s="88">
        <f>COUNTIF($H$12:H40,H40)</f>
        <v>29</v>
      </c>
      <c r="B40" s="88" t="s">
        <v>2255</v>
      </c>
      <c r="C40" s="88" t="s">
        <v>400</v>
      </c>
      <c r="D40" s="88"/>
      <c r="E40" s="88"/>
      <c r="F40" s="301" t="s">
        <v>1601</v>
      </c>
      <c r="G40" s="89" t="s">
        <v>19</v>
      </c>
      <c r="H40" s="88">
        <v>1</v>
      </c>
      <c r="I40" s="88">
        <v>1</v>
      </c>
      <c r="J40" s="88">
        <v>1</v>
      </c>
      <c r="K40" s="90" t="s">
        <v>3075</v>
      </c>
      <c r="L40" s="90" t="s">
        <v>3075</v>
      </c>
      <c r="M40" s="214"/>
      <c r="N40" s="88" t="s">
        <v>605</v>
      </c>
      <c r="O40" s="216">
        <f t="shared" si="116"/>
        <v>6.92</v>
      </c>
      <c r="P40" s="88" t="str">
        <f t="shared" si="0"/>
        <v>B1_7</v>
      </c>
      <c r="Q40" s="88">
        <f t="shared" si="1"/>
        <v>270</v>
      </c>
      <c r="R40" s="88">
        <f t="shared" si="2"/>
        <v>200</v>
      </c>
      <c r="S40" s="231" t="s">
        <v>2034</v>
      </c>
      <c r="T40" s="219" t="s">
        <v>1755</v>
      </c>
      <c r="U40" s="88">
        <f>IF(RIGHT(T40,1)="K",(VLOOKUP(T40,ma_miengiam!$A$3:$B$80,2,0)*100)/2,VLOOKUP(T40,ma_miengiam!$A$3:$B$80,2,0)*100)</f>
        <v>80</v>
      </c>
      <c r="V40" s="88"/>
      <c r="W40" s="220">
        <f>IF(AND(T40="NTS",V40&gt;0),(Q40-(Q40*V40)/12)*VLOOKUP(T40,ma_miengiam!$A$3:$B$80,2,0)+(Q40-(Q40*(12-V40))/12),IF(AND(RIGHT(T40,1)="K",V40&gt;0),(VLOOKUP(T40,ma_miengiam!$A$3:$B$80,2,0)/2)*(Q40*V40)/12,IF(RIGHT(T40,1)="K",(VLOOKUP(T40,ma_miengiam!$A$3:$B$80,2,0)*Q40)/2,IF(V40&gt;0,VLOOKUP(T40,ma_miengiam!$A$3:$B$80,2,0)*Q40*V40/12,VLOOKUP(T40,ma_miengiam!$A$3:$B$80,2,0)*Q40))))</f>
        <v>216</v>
      </c>
      <c r="X40" s="220">
        <f>IF(T40="NTS",VLOOKUP(T40,ma_miengiam!$A$3:$B$80,2,0)*R40*V40,IF(AND(T40="NTS",V40=0),0,IF(AND(LEFT(T40,1)="K",V40=0),VLOOKUP(T40,ma_miengiam!$A$3:$B$80,2,0)*R40,IF(LEFT(T40,1)="K",(VLOOKUP(T40,ma_miengiam!$A$3:$B$80,2,0)*R40/12)*V40,IF(AND(LEFT(T40,1)="S",V40&gt;0),(R40/12)*V40,IF(AND(LEFT(T40,1)="S",V40=0),R40,IF(T40="DH",VLOOKUP(T40,ma_miengiam!$A$3:$B$80,2,0)*R40,0)))))))</f>
        <v>160</v>
      </c>
      <c r="Y40" s="220">
        <f>IF(AND(T40="DH",V40&gt;0),(S40*V40/12),IF(AND(T40&lt;&gt;"NTS",V40&gt;0),(Q40*V40/12)-W40,IF(AND(T40="NTS",V40&gt;0),Q40-W40,Q40-W40)))</f>
        <v>54</v>
      </c>
      <c r="Z40" s="220">
        <f t="shared" si="90"/>
        <v>40</v>
      </c>
      <c r="AA40" s="220">
        <f t="shared" si="118"/>
        <v>270</v>
      </c>
      <c r="AB40" s="220">
        <f t="shared" si="118"/>
        <v>200</v>
      </c>
      <c r="AC40" s="220">
        <f t="shared" ref="AC40:AF41" si="126">W40</f>
        <v>216</v>
      </c>
      <c r="AD40" s="220">
        <f t="shared" si="126"/>
        <v>160</v>
      </c>
      <c r="AE40" s="220">
        <f t="shared" si="126"/>
        <v>54</v>
      </c>
      <c r="AF40" s="220">
        <f t="shared" si="126"/>
        <v>40</v>
      </c>
      <c r="AG40" s="220">
        <f t="shared" si="120"/>
        <v>528.97</v>
      </c>
      <c r="AH40" s="220">
        <f t="shared" si="121"/>
        <v>220.79</v>
      </c>
      <c r="AI40" s="220">
        <f t="shared" si="122"/>
        <v>308.18</v>
      </c>
      <c r="AJ40" s="220">
        <f t="shared" si="74"/>
        <v>0</v>
      </c>
      <c r="AK40" s="216">
        <f t="shared" si="8"/>
        <v>54</v>
      </c>
      <c r="AL40" s="220">
        <f t="shared" si="22"/>
        <v>8.5</v>
      </c>
      <c r="AM40" s="220">
        <f t="shared" si="23"/>
        <v>29.8</v>
      </c>
      <c r="AN40" s="221">
        <f t="shared" si="24"/>
        <v>38.299999999999997</v>
      </c>
      <c r="AO40" s="220">
        <f t="shared" si="25"/>
        <v>0</v>
      </c>
      <c r="AP40" s="220">
        <f t="shared" si="26"/>
        <v>0</v>
      </c>
      <c r="AQ40" s="220">
        <f t="shared" si="27"/>
        <v>80</v>
      </c>
      <c r="AR40" s="220">
        <f t="shared" si="28"/>
        <v>0</v>
      </c>
      <c r="AS40" s="220">
        <f t="shared" si="29"/>
        <v>0</v>
      </c>
      <c r="AT40" s="216">
        <f t="shared" si="30"/>
        <v>118.3</v>
      </c>
      <c r="AU40" s="222">
        <f t="shared" si="31"/>
        <v>-15.700000000000003</v>
      </c>
      <c r="AV40" s="220"/>
      <c r="AW40" s="220">
        <f t="shared" si="32"/>
        <v>-15.700000000000003</v>
      </c>
      <c r="AX40" s="216">
        <f t="shared" si="9"/>
        <v>-15.700000000000003</v>
      </c>
      <c r="AY40" s="220">
        <f t="shared" si="33"/>
        <v>0</v>
      </c>
      <c r="AZ40" s="220">
        <f t="shared" si="34"/>
        <v>0</v>
      </c>
      <c r="BA40" s="220">
        <f t="shared" si="35"/>
        <v>64.3</v>
      </c>
      <c r="BB40" s="220">
        <f t="shared" si="36"/>
        <v>0</v>
      </c>
      <c r="BC40" s="220">
        <f t="shared" si="37"/>
        <v>0</v>
      </c>
      <c r="BD40" s="216">
        <f t="shared" si="10"/>
        <v>64.3</v>
      </c>
      <c r="BE40" s="220">
        <f t="shared" si="38"/>
        <v>0</v>
      </c>
      <c r="BF40" s="220">
        <f t="shared" si="39"/>
        <v>0</v>
      </c>
      <c r="BG40" s="220">
        <f t="shared" si="40"/>
        <v>-15.700000000000003</v>
      </c>
      <c r="BH40" s="220">
        <f t="shared" si="41"/>
        <v>0</v>
      </c>
      <c r="BI40" s="220">
        <f t="shared" si="42"/>
        <v>0</v>
      </c>
      <c r="BJ40" s="220" t="s">
        <v>614</v>
      </c>
      <c r="BK40" s="220"/>
      <c r="BL40" s="223">
        <f t="shared" si="11"/>
        <v>0</v>
      </c>
      <c r="BM40" s="220">
        <v>6.92</v>
      </c>
      <c r="BN40" s="220"/>
      <c r="BO40" s="220">
        <f>ROUND(BM40+(BM40*BN40),2)</f>
        <v>6.92</v>
      </c>
      <c r="BP40" s="220">
        <f>IF(AND(BL40&gt;0,BL40&lt;tiet!$D$1),BL40,IF(BL40&lt;=0,0,IF(BL40&gt;tiet!$C$1,tiet!$C$1)))</f>
        <v>0</v>
      </c>
      <c r="BQ40" s="87">
        <f t="shared" si="75"/>
        <v>80000</v>
      </c>
      <c r="BR40" s="224">
        <f t="shared" si="76"/>
        <v>0</v>
      </c>
      <c r="BS40" s="220">
        <f t="shared" si="12"/>
        <v>0</v>
      </c>
      <c r="BT40" s="224">
        <f>VLOOKUP(N40,ma_dinhmuc!$A$1:$J$31,10,0)</f>
        <v>65000</v>
      </c>
      <c r="BU40" s="224">
        <f>ROUND(IF(BS40&gt;0,VLOOKUP(N40,ma_dinhmuc!$A$1:$J$31,10,0)*BS40,0),0)</f>
        <v>0</v>
      </c>
      <c r="BV40" s="224">
        <f t="shared" si="77"/>
        <v>0</v>
      </c>
      <c r="BW40" s="224"/>
      <c r="BX40" s="224">
        <v>0</v>
      </c>
      <c r="BY40" s="224"/>
      <c r="BZ40" s="224"/>
      <c r="CA40" s="224"/>
      <c r="CB40" s="224"/>
      <c r="CC40" s="225">
        <f t="shared" si="44"/>
        <v>0</v>
      </c>
      <c r="CD40" s="224">
        <f t="shared" si="45"/>
        <v>0</v>
      </c>
      <c r="CE40" s="224"/>
      <c r="CF40" s="226"/>
      <c r="CG40" s="87"/>
      <c r="CH40" s="87">
        <f t="shared" si="109"/>
        <v>29</v>
      </c>
      <c r="CI40" s="227" t="str">
        <f t="shared" ref="CI40:CI48" si="127">F40</f>
        <v>Phạm Văn</v>
      </c>
      <c r="CJ40" s="227" t="str">
        <f t="shared" ref="CJ40:CJ48" si="128">G40</f>
        <v>Cường</v>
      </c>
      <c r="CK40" s="87">
        <f>H40</f>
        <v>1</v>
      </c>
      <c r="CL40" s="227" t="str">
        <f t="shared" si="87"/>
        <v>Cây lương thực</v>
      </c>
      <c r="CM40" s="87" t="str">
        <f t="shared" si="46"/>
        <v>CS4</v>
      </c>
      <c r="CN40" s="87">
        <f t="shared" ref="CN40:CO42" si="129">Q40</f>
        <v>270</v>
      </c>
      <c r="CO40" s="87">
        <f t="shared" si="129"/>
        <v>200</v>
      </c>
      <c r="CP40" s="229">
        <f t="shared" si="47"/>
        <v>0</v>
      </c>
      <c r="CQ40" s="229">
        <f t="shared" si="48"/>
        <v>8.5</v>
      </c>
      <c r="CR40" s="229">
        <f t="shared" si="49"/>
        <v>0</v>
      </c>
      <c r="CS40" s="229">
        <f t="shared" si="50"/>
        <v>0</v>
      </c>
      <c r="CT40" s="229">
        <f t="shared" si="51"/>
        <v>0</v>
      </c>
      <c r="CU40" s="229">
        <f t="shared" si="52"/>
        <v>0</v>
      </c>
      <c r="CV40" s="229">
        <f t="shared" si="53"/>
        <v>0</v>
      </c>
      <c r="CW40" s="229">
        <f t="shared" si="54"/>
        <v>0</v>
      </c>
      <c r="CX40" s="229">
        <f t="shared" si="55"/>
        <v>0</v>
      </c>
      <c r="CY40" s="229">
        <f t="shared" si="56"/>
        <v>0</v>
      </c>
      <c r="CZ40" s="229">
        <f t="shared" si="57"/>
        <v>0</v>
      </c>
      <c r="DA40" s="229">
        <f t="shared" si="58"/>
        <v>80</v>
      </c>
      <c r="DB40" s="228">
        <f t="shared" si="59"/>
        <v>88.5</v>
      </c>
      <c r="DC40" s="229"/>
      <c r="DD40" s="229"/>
      <c r="DE40" s="229"/>
      <c r="DF40" s="229"/>
      <c r="DG40" s="229"/>
      <c r="DH40" s="229"/>
      <c r="DI40" s="229"/>
      <c r="DJ40" s="229"/>
      <c r="DK40" s="229"/>
      <c r="DL40" s="229"/>
      <c r="DM40" s="229"/>
      <c r="DN40" s="229"/>
      <c r="DO40" s="228">
        <f t="shared" si="60"/>
        <v>0</v>
      </c>
      <c r="DP40" s="228">
        <f t="shared" si="61"/>
        <v>88.5</v>
      </c>
      <c r="DQ40" s="229">
        <f t="shared" si="62"/>
        <v>27</v>
      </c>
      <c r="DR40" s="229">
        <f t="shared" si="63"/>
        <v>2</v>
      </c>
      <c r="DS40" s="229">
        <f t="shared" si="64"/>
        <v>0</v>
      </c>
      <c r="DT40" s="229">
        <f t="shared" si="65"/>
        <v>0.8</v>
      </c>
      <c r="DU40" s="229">
        <f t="shared" si="66"/>
        <v>0</v>
      </c>
      <c r="DV40" s="229">
        <f t="shared" si="67"/>
        <v>0</v>
      </c>
      <c r="DW40" s="229">
        <f t="shared" si="68"/>
        <v>0</v>
      </c>
      <c r="DX40" s="228">
        <f t="shared" si="69"/>
        <v>29.8</v>
      </c>
      <c r="DY40" s="229"/>
      <c r="DZ40" s="229"/>
      <c r="EA40" s="229"/>
      <c r="EB40" s="229"/>
      <c r="EC40" s="229"/>
      <c r="ED40" s="229"/>
      <c r="EE40" s="229"/>
      <c r="EF40" s="228">
        <f t="shared" si="17"/>
        <v>0</v>
      </c>
      <c r="EG40" s="228">
        <f t="shared" si="70"/>
        <v>29.8</v>
      </c>
      <c r="EH40" s="229">
        <f t="shared" si="18"/>
        <v>308.18</v>
      </c>
      <c r="EI40" s="229">
        <v>220.79</v>
      </c>
      <c r="EJ40" s="228">
        <f>SUM(EH40:EI40)</f>
        <v>528.97</v>
      </c>
      <c r="EK40" s="229"/>
      <c r="EL40" s="229"/>
      <c r="EM40" s="228">
        <f t="shared" si="117"/>
        <v>0</v>
      </c>
      <c r="EN40" s="229">
        <f t="shared" si="71"/>
        <v>308.18</v>
      </c>
      <c r="EO40" s="229">
        <f t="shared" si="72"/>
        <v>220.79</v>
      </c>
      <c r="EP40" s="228">
        <f t="shared" si="88"/>
        <v>528.97</v>
      </c>
      <c r="EQ40" s="173">
        <f t="shared" si="19"/>
        <v>268.18</v>
      </c>
      <c r="ER40" s="189">
        <v>0</v>
      </c>
      <c r="ES40" s="189">
        <v>8.5</v>
      </c>
      <c r="ET40" s="189">
        <v>0</v>
      </c>
      <c r="EU40" s="189">
        <v>0</v>
      </c>
      <c r="EV40" s="189">
        <v>0</v>
      </c>
      <c r="EW40" s="189">
        <v>0</v>
      </c>
      <c r="EX40" s="189">
        <v>0</v>
      </c>
      <c r="EY40" s="189">
        <v>0</v>
      </c>
      <c r="EZ40" s="189">
        <v>0</v>
      </c>
      <c r="FA40" s="189">
        <v>0</v>
      </c>
      <c r="FB40" s="189">
        <v>0</v>
      </c>
      <c r="FC40" s="189">
        <v>80</v>
      </c>
      <c r="FD40" s="189">
        <v>27</v>
      </c>
      <c r="FE40" s="189">
        <v>2</v>
      </c>
      <c r="FF40" s="189">
        <v>0</v>
      </c>
      <c r="FG40" s="189">
        <v>0.8</v>
      </c>
      <c r="FH40" s="189">
        <v>0</v>
      </c>
      <c r="FI40" s="189">
        <v>0</v>
      </c>
      <c r="FJ40" s="189">
        <v>0</v>
      </c>
      <c r="FK40" s="189">
        <v>118.3</v>
      </c>
      <c r="FL40" s="189">
        <v>98</v>
      </c>
      <c r="FN40" s="132">
        <v>308.18</v>
      </c>
    </row>
    <row r="41" spans="1:170" ht="45">
      <c r="A41" s="88">
        <f>COUNTIF($H$12:H41,H41)</f>
        <v>30</v>
      </c>
      <c r="B41" s="88" t="s">
        <v>2256</v>
      </c>
      <c r="C41" s="88" t="s">
        <v>401</v>
      </c>
      <c r="D41" s="88"/>
      <c r="E41" s="88"/>
      <c r="F41" s="301" t="s">
        <v>1602</v>
      </c>
      <c r="G41" s="303" t="s">
        <v>1651</v>
      </c>
      <c r="H41" s="88">
        <v>1</v>
      </c>
      <c r="I41" s="88">
        <v>1</v>
      </c>
      <c r="J41" s="88">
        <v>1</v>
      </c>
      <c r="K41" s="90" t="s">
        <v>3075</v>
      </c>
      <c r="L41" s="90" t="s">
        <v>3075</v>
      </c>
      <c r="M41" s="214"/>
      <c r="N41" s="88" t="s">
        <v>1804</v>
      </c>
      <c r="O41" s="216">
        <f>BO41</f>
        <v>3</v>
      </c>
      <c r="P41" s="88" t="str">
        <f t="shared" si="0"/>
        <v>B1_3</v>
      </c>
      <c r="Q41" s="88">
        <f t="shared" si="1"/>
        <v>270</v>
      </c>
      <c r="R41" s="88">
        <f t="shared" si="2"/>
        <v>100</v>
      </c>
      <c r="S41" s="218" t="s">
        <v>0</v>
      </c>
      <c r="T41" s="215" t="s">
        <v>2961</v>
      </c>
      <c r="U41" s="88">
        <f>IF(RIGHT(T41,1)="K",(VLOOKUP(T41,ma_miengiam!$A$3:$B$80,2,0)*100)/2,VLOOKUP(T41,ma_miengiam!$A$3:$B$80,2,0)*100)</f>
        <v>100</v>
      </c>
      <c r="V41" s="88"/>
      <c r="W41" s="220">
        <f>IF(AND(T41="NTS",V41&gt;0),(Q41-(Q41*V41)/12)*VLOOKUP(T41,ma_miengiam!$A$3:$B$80,2,0)+(Q41-(Q41*(12-V41))/12),IF(AND(RIGHT(T41,1)="K",V41&gt;0),(VLOOKUP(T41,ma_miengiam!$A$3:$B$80,2,0)/2)*(Q41*V41)/12,IF(RIGHT(T41,1)="K",(VLOOKUP(T41,ma_miengiam!$A$3:$B$80,2,0)*Q41)/2,IF(V41&gt;0,VLOOKUP(T41,ma_miengiam!$A$3:$B$80,2,0)*Q41*V41/12,VLOOKUP(T41,ma_miengiam!$A$3:$B$80,2,0)*Q41))))</f>
        <v>270</v>
      </c>
      <c r="X41" s="220">
        <f>IF(T41="NTS",VLOOKUP(T41,ma_miengiam!$A$3:$B$80,2,0)*R41*V41,IF(AND(T41="NTS",V41=0),0,IF(AND(LEFT(T41,1)="K",V41=0),VLOOKUP(T41,ma_miengiam!$A$3:$B$80,2,0)*R41,IF(LEFT(T41,1)="K",(VLOOKUP(T41,ma_miengiam!$A$3:$B$80,2,0)*R41/12)*V41,IF(AND(LEFT(T41,1)="S",V41&gt;0),(R41/12)*V41,IF(AND(LEFT(T41,1)="S",V41=0),R41,IF(T41="DH",VLOOKUP(T41,ma_miengiam!$A$3:$B$80,2,0)*R41,0)))))))</f>
        <v>100</v>
      </c>
      <c r="Y41" s="220">
        <f>IF(AND(T41="DH",V41&gt;0),(S41*V41/12),IF(AND(T41&lt;&gt;"NTS",V41&gt;0),(Q41*V41/12)-W41,IF(AND(T41="NTS",V41&gt;0),Q41-W41,Q41-W41)))</f>
        <v>0</v>
      </c>
      <c r="Z41" s="220">
        <f t="shared" si="90"/>
        <v>0</v>
      </c>
      <c r="AA41" s="220">
        <f t="shared" si="118"/>
        <v>270</v>
      </c>
      <c r="AB41" s="220">
        <f t="shared" si="118"/>
        <v>100</v>
      </c>
      <c r="AC41" s="220">
        <f t="shared" si="126"/>
        <v>270</v>
      </c>
      <c r="AD41" s="220">
        <f t="shared" si="126"/>
        <v>100</v>
      </c>
      <c r="AE41" s="220">
        <f t="shared" si="126"/>
        <v>0</v>
      </c>
      <c r="AF41" s="220">
        <f t="shared" si="126"/>
        <v>0</v>
      </c>
      <c r="AG41" s="220">
        <f t="shared" si="120"/>
        <v>231.02</v>
      </c>
      <c r="AH41" s="220">
        <f t="shared" si="121"/>
        <v>144.09</v>
      </c>
      <c r="AI41" s="220">
        <f t="shared" si="122"/>
        <v>86.93</v>
      </c>
      <c r="AJ41" s="220">
        <f>IF(AG41-Z41&gt;0,0,AG41-Z41)</f>
        <v>0</v>
      </c>
      <c r="AK41" s="216">
        <f t="shared" si="8"/>
        <v>0</v>
      </c>
      <c r="AL41" s="220">
        <f t="shared" si="22"/>
        <v>0</v>
      </c>
      <c r="AM41" s="220">
        <f t="shared" si="23"/>
        <v>0</v>
      </c>
      <c r="AN41" s="216">
        <f t="shared" si="24"/>
        <v>0</v>
      </c>
      <c r="AO41" s="220">
        <f t="shared" si="25"/>
        <v>0</v>
      </c>
      <c r="AP41" s="220">
        <f t="shared" si="26"/>
        <v>0</v>
      </c>
      <c r="AQ41" s="220">
        <f t="shared" si="27"/>
        <v>0</v>
      </c>
      <c r="AR41" s="220">
        <f t="shared" si="28"/>
        <v>0</v>
      </c>
      <c r="AS41" s="220">
        <f t="shared" si="29"/>
        <v>0</v>
      </c>
      <c r="AT41" s="216">
        <f t="shared" si="30"/>
        <v>0</v>
      </c>
      <c r="AU41" s="220">
        <f t="shared" si="31"/>
        <v>0</v>
      </c>
      <c r="AV41" s="220"/>
      <c r="AW41" s="220">
        <f t="shared" si="32"/>
        <v>0</v>
      </c>
      <c r="AX41" s="216">
        <f t="shared" si="9"/>
        <v>0</v>
      </c>
      <c r="AY41" s="220">
        <f t="shared" si="33"/>
        <v>0</v>
      </c>
      <c r="AZ41" s="220">
        <f t="shared" si="34"/>
        <v>0</v>
      </c>
      <c r="BA41" s="220">
        <f t="shared" si="35"/>
        <v>0</v>
      </c>
      <c r="BB41" s="220">
        <f t="shared" si="36"/>
        <v>0</v>
      </c>
      <c r="BC41" s="220">
        <f t="shared" si="37"/>
        <v>0</v>
      </c>
      <c r="BD41" s="216">
        <f t="shared" si="10"/>
        <v>0</v>
      </c>
      <c r="BE41" s="220">
        <f t="shared" si="38"/>
        <v>0</v>
      </c>
      <c r="BF41" s="220">
        <f t="shared" si="39"/>
        <v>0</v>
      </c>
      <c r="BG41" s="220">
        <f t="shared" si="40"/>
        <v>0</v>
      </c>
      <c r="BH41" s="220">
        <f t="shared" si="41"/>
        <v>0</v>
      </c>
      <c r="BI41" s="220">
        <f t="shared" si="42"/>
        <v>0</v>
      </c>
      <c r="BJ41" s="220" t="s">
        <v>614</v>
      </c>
      <c r="BK41" s="220"/>
      <c r="BL41" s="223">
        <f t="shared" si="11"/>
        <v>0</v>
      </c>
      <c r="BM41" s="220">
        <v>3</v>
      </c>
      <c r="BN41" s="220"/>
      <c r="BO41" s="220">
        <f>ROUND(BM41+(BM41*BN41),2)</f>
        <v>3</v>
      </c>
      <c r="BP41" s="220">
        <f>IF(AND(BL41&gt;0,BL41&lt;tiet!$D$1),BL41,IF(BL41&lt;=0,0,IF(BL41&gt;tiet!$C$1,tiet!$C$1)))</f>
        <v>0</v>
      </c>
      <c r="BQ41" s="87">
        <f>VLOOKUP(P41,ma_dinhmuc_moi,4,0)</f>
        <v>60000</v>
      </c>
      <c r="BR41" s="224">
        <f>ROUND(BQ41*BP41,0)</f>
        <v>0</v>
      </c>
      <c r="BS41" s="220">
        <f t="shared" si="12"/>
        <v>0</v>
      </c>
      <c r="BT41" s="224">
        <f>VLOOKUP(N41,ma_dinhmuc!$A$1:$J$31,10,0)</f>
        <v>51000</v>
      </c>
      <c r="BU41" s="224">
        <f>ROUND(IF(BS41&gt;0,VLOOKUP(N41,ma_dinhmuc!$A$1:$J$31,10,0)*BS41,0),0)</f>
        <v>0</v>
      </c>
      <c r="BV41" s="224">
        <f>ROUND(BU41+BR41,0)</f>
        <v>0</v>
      </c>
      <c r="BW41" s="224"/>
      <c r="BX41" s="224">
        <v>0</v>
      </c>
      <c r="BY41" s="224"/>
      <c r="BZ41" s="224"/>
      <c r="CA41" s="224"/>
      <c r="CB41" s="224"/>
      <c r="CC41" s="225">
        <f t="shared" si="44"/>
        <v>0</v>
      </c>
      <c r="CD41" s="224">
        <f t="shared" si="45"/>
        <v>0</v>
      </c>
      <c r="CE41" s="224"/>
      <c r="CF41" s="226"/>
      <c r="CG41" s="87"/>
      <c r="CH41" s="87">
        <f t="shared" si="109"/>
        <v>30</v>
      </c>
      <c r="CI41" s="227" t="str">
        <f t="shared" si="127"/>
        <v>Phan Thị Hồng</v>
      </c>
      <c r="CJ41" s="227" t="str">
        <f t="shared" si="128"/>
        <v>Nhung</v>
      </c>
      <c r="CK41" s="87">
        <f>H41</f>
        <v>1</v>
      </c>
      <c r="CL41" s="227" t="str">
        <f t="shared" ref="CL41:CL49" si="130">L41</f>
        <v>Cây lương thực</v>
      </c>
      <c r="CM41" s="87" t="str">
        <f t="shared" si="46"/>
        <v>CS2</v>
      </c>
      <c r="CN41" s="87">
        <f t="shared" si="129"/>
        <v>270</v>
      </c>
      <c r="CO41" s="87">
        <f t="shared" si="129"/>
        <v>100</v>
      </c>
      <c r="CP41" s="229">
        <f t="shared" si="47"/>
        <v>0</v>
      </c>
      <c r="CQ41" s="229">
        <f t="shared" si="48"/>
        <v>0</v>
      </c>
      <c r="CR41" s="229">
        <f t="shared" si="49"/>
        <v>0</v>
      </c>
      <c r="CS41" s="229">
        <f t="shared" si="50"/>
        <v>0</v>
      </c>
      <c r="CT41" s="229">
        <f t="shared" si="51"/>
        <v>0</v>
      </c>
      <c r="CU41" s="229">
        <f t="shared" si="52"/>
        <v>0</v>
      </c>
      <c r="CV41" s="229">
        <f t="shared" si="53"/>
        <v>0</v>
      </c>
      <c r="CW41" s="229">
        <f t="shared" si="54"/>
        <v>0</v>
      </c>
      <c r="CX41" s="229">
        <f t="shared" si="55"/>
        <v>0</v>
      </c>
      <c r="CY41" s="229">
        <f t="shared" si="56"/>
        <v>0</v>
      </c>
      <c r="CZ41" s="229">
        <f t="shared" si="57"/>
        <v>0</v>
      </c>
      <c r="DA41" s="229">
        <f t="shared" si="58"/>
        <v>0</v>
      </c>
      <c r="DB41" s="228">
        <f t="shared" si="59"/>
        <v>0</v>
      </c>
      <c r="DC41" s="229"/>
      <c r="DD41" s="229"/>
      <c r="DE41" s="229"/>
      <c r="DF41" s="229"/>
      <c r="DG41" s="229"/>
      <c r="DH41" s="229"/>
      <c r="DI41" s="229"/>
      <c r="DJ41" s="229"/>
      <c r="DK41" s="229"/>
      <c r="DL41" s="229"/>
      <c r="DM41" s="229"/>
      <c r="DN41" s="229"/>
      <c r="DO41" s="228">
        <f t="shared" si="60"/>
        <v>0</v>
      </c>
      <c r="DP41" s="228">
        <f t="shared" si="61"/>
        <v>0</v>
      </c>
      <c r="DQ41" s="229">
        <f t="shared" si="62"/>
        <v>0</v>
      </c>
      <c r="DR41" s="229">
        <f t="shared" si="63"/>
        <v>0</v>
      </c>
      <c r="DS41" s="229">
        <f t="shared" si="64"/>
        <v>0</v>
      </c>
      <c r="DT41" s="229">
        <f t="shared" si="65"/>
        <v>0</v>
      </c>
      <c r="DU41" s="229">
        <f t="shared" si="66"/>
        <v>0</v>
      </c>
      <c r="DV41" s="229">
        <f t="shared" si="67"/>
        <v>0</v>
      </c>
      <c r="DW41" s="229">
        <f t="shared" si="68"/>
        <v>0</v>
      </c>
      <c r="DX41" s="228">
        <f t="shared" si="69"/>
        <v>0</v>
      </c>
      <c r="DY41" s="229"/>
      <c r="DZ41" s="229"/>
      <c r="EA41" s="229"/>
      <c r="EB41" s="229"/>
      <c r="EC41" s="229"/>
      <c r="ED41" s="229"/>
      <c r="EE41" s="229"/>
      <c r="EF41" s="228">
        <f t="shared" si="17"/>
        <v>0</v>
      </c>
      <c r="EG41" s="228">
        <f t="shared" si="70"/>
        <v>0</v>
      </c>
      <c r="EH41" s="229">
        <f t="shared" si="18"/>
        <v>86.93</v>
      </c>
      <c r="EI41" s="229">
        <v>144.09</v>
      </c>
      <c r="EJ41" s="228">
        <f>SUM(EH41:EI41)</f>
        <v>231.02</v>
      </c>
      <c r="EK41" s="229"/>
      <c r="EL41" s="229"/>
      <c r="EM41" s="228">
        <f>SUM(EK41:EL41)</f>
        <v>0</v>
      </c>
      <c r="EN41" s="229">
        <f t="shared" si="71"/>
        <v>86.93</v>
      </c>
      <c r="EO41" s="229">
        <f t="shared" si="72"/>
        <v>144.09</v>
      </c>
      <c r="EP41" s="228">
        <f>EM41+EJ41</f>
        <v>231.02</v>
      </c>
      <c r="EQ41" s="173">
        <f t="shared" si="19"/>
        <v>86.93</v>
      </c>
      <c r="ER41" s="189">
        <v>0</v>
      </c>
      <c r="ES41" s="189">
        <v>0</v>
      </c>
      <c r="ET41" s="189">
        <v>0</v>
      </c>
      <c r="EU41" s="189">
        <v>0</v>
      </c>
      <c r="EV41" s="189">
        <v>0</v>
      </c>
      <c r="EW41" s="189">
        <v>0</v>
      </c>
      <c r="EX41" s="189">
        <v>0</v>
      </c>
      <c r="EY41" s="189">
        <v>0</v>
      </c>
      <c r="EZ41" s="189">
        <v>0</v>
      </c>
      <c r="FA41" s="189">
        <v>0</v>
      </c>
      <c r="FB41" s="189">
        <v>0</v>
      </c>
      <c r="FC41" s="189">
        <v>0</v>
      </c>
      <c r="FD41" s="189">
        <v>0</v>
      </c>
      <c r="FE41" s="189">
        <v>0</v>
      </c>
      <c r="FF41" s="189">
        <v>0</v>
      </c>
      <c r="FG41" s="189">
        <v>0</v>
      </c>
      <c r="FH41" s="189">
        <v>0</v>
      </c>
      <c r="FI41" s="189">
        <v>0</v>
      </c>
      <c r="FJ41" s="189">
        <v>0</v>
      </c>
      <c r="FK41" s="189">
        <v>0</v>
      </c>
      <c r="FL41" s="189">
        <v>0</v>
      </c>
      <c r="FN41" s="132">
        <v>86.93</v>
      </c>
    </row>
    <row r="42" spans="1:170" ht="33" customHeight="1">
      <c r="A42" s="88">
        <f>COUNTIF($H$12:H42,H42)</f>
        <v>31</v>
      </c>
      <c r="B42" s="88" t="s">
        <v>2257</v>
      </c>
      <c r="C42" s="88" t="s">
        <v>402</v>
      </c>
      <c r="D42" s="88"/>
      <c r="E42" s="88"/>
      <c r="F42" s="301" t="s">
        <v>1906</v>
      </c>
      <c r="G42" s="89" t="s">
        <v>1907</v>
      </c>
      <c r="H42" s="88">
        <v>1</v>
      </c>
      <c r="I42" s="88"/>
      <c r="J42" s="88">
        <v>1</v>
      </c>
      <c r="K42" s="90"/>
      <c r="L42" s="90" t="s">
        <v>3076</v>
      </c>
      <c r="M42" s="214"/>
      <c r="N42" s="88" t="s">
        <v>605</v>
      </c>
      <c r="O42" s="216">
        <f t="shared" si="116"/>
        <v>6.2</v>
      </c>
      <c r="P42" s="88" t="str">
        <f t="shared" si="0"/>
        <v>B1_6</v>
      </c>
      <c r="Q42" s="88">
        <f t="shared" si="1"/>
        <v>270</v>
      </c>
      <c r="R42" s="88">
        <f t="shared" si="2"/>
        <v>170</v>
      </c>
      <c r="S42" s="231" t="s">
        <v>2525</v>
      </c>
      <c r="T42" s="88" t="s">
        <v>3090</v>
      </c>
      <c r="U42" s="88">
        <f>IF(RIGHT(T42,1)="K",(VLOOKUP(T42,ma_miengiam!$A$3:$B$80,2,0)*100)/2,VLOOKUP(T42,ma_miengiam!$A$3:$B$80,2,0)*100)</f>
        <v>15</v>
      </c>
      <c r="V42" s="88">
        <v>6</v>
      </c>
      <c r="W42" s="220">
        <f>IF(AND(T42="NTS",V42&gt;0),(Q42-(Q42*V42)/12)*VLOOKUP(T42,ma_miengiam!$A$3:$B$80,2,0)+(Q42-(Q42*(12-V42))/12),IF(AND(RIGHT(T42,1)="K",V42&gt;0),(VLOOKUP(T42,ma_miengiam!$A$3:$B$80,2,0)/2)*(Q42*V42)/12,IF(RIGHT(T42,1)="K",(VLOOKUP(T42,ma_miengiam!$A$3:$B$80,2,0)*Q42)/2,IF(V42&gt;0,VLOOKUP(T42,ma_miengiam!$A$3:$B$80,2,0)*Q42*V42/12,VLOOKUP(T42,ma_miengiam!$A$3:$B$80,2,0)*Q42))))</f>
        <v>20.25</v>
      </c>
      <c r="X42" s="220">
        <f>IF(T42="NTS",VLOOKUP(T42,ma_miengiam!$A$3:$B$80,2,0)*R42*V42,IF(AND(T42="NTS",V42=0),0,IF(AND(LEFT(T42,1)="K",V42=0),VLOOKUP(T42,ma_miengiam!$A$3:$B$80,2,0)*R42,IF(LEFT(T42,1)="K",(VLOOKUP(T42,ma_miengiam!$A$3:$B$80,2,0)*R42/12)*V42,IF(AND(LEFT(T42,1)="S",V42&gt;0),(R42/12)*V42,IF(AND(LEFT(T42,1)="S",V42=0),R42,IF(T42="DH",VLOOKUP(T42,ma_miengiam!$A$3:$B$80,2,0)*R42,0)))))))</f>
        <v>0</v>
      </c>
      <c r="Y42" s="220">
        <f t="shared" ref="Y42:Y73" si="131">IF(AND(T42="DH",V42&gt;0),(S42*V42/12),IF(AND(T42&lt;&gt;"NTS",V42&gt;0),(Q42*V42/12)-W42,IF(AND(T42="NTS",V42&gt;0),Q42-W42,Q42-W42)))</f>
        <v>114.75</v>
      </c>
      <c r="Z42" s="220">
        <f t="shared" si="90"/>
        <v>85</v>
      </c>
      <c r="AA42" s="220"/>
      <c r="AB42" s="220"/>
      <c r="AC42" s="220"/>
      <c r="AD42" s="220"/>
      <c r="AE42" s="220"/>
      <c r="AF42" s="220"/>
      <c r="AG42" s="220"/>
      <c r="AH42" s="220"/>
      <c r="AI42" s="220"/>
      <c r="AJ42" s="220"/>
      <c r="AK42" s="216"/>
      <c r="AL42" s="220"/>
      <c r="AM42" s="220"/>
      <c r="AN42" s="221"/>
      <c r="AO42" s="220"/>
      <c r="AP42" s="220"/>
      <c r="AQ42" s="220"/>
      <c r="AR42" s="220"/>
      <c r="AS42" s="220"/>
      <c r="AT42" s="216"/>
      <c r="AU42" s="220"/>
      <c r="AV42" s="220"/>
      <c r="AW42" s="220"/>
      <c r="AX42" s="216"/>
      <c r="AY42" s="220"/>
      <c r="AZ42" s="220"/>
      <c r="BA42" s="220"/>
      <c r="BB42" s="220"/>
      <c r="BC42" s="220"/>
      <c r="BD42" s="216"/>
      <c r="BE42" s="220"/>
      <c r="BF42" s="220"/>
      <c r="BG42" s="220"/>
      <c r="BH42" s="220"/>
      <c r="BI42" s="220"/>
      <c r="BJ42" s="220" t="s">
        <v>615</v>
      </c>
      <c r="BK42" s="220"/>
      <c r="BL42" s="223">
        <f t="shared" si="11"/>
        <v>0</v>
      </c>
      <c r="BM42" s="220">
        <v>6.2</v>
      </c>
      <c r="BN42" s="220"/>
      <c r="BO42" s="220">
        <f>ROUND(BM42+(BM42*BN42),2)</f>
        <v>6.2</v>
      </c>
      <c r="BP42" s="220">
        <f>IF(AND(BL42&gt;0,BL42&lt;tiet!$D$1),BL42,IF(BL42&lt;=0,0,IF(BL42&gt;tiet!$C$1,tiet!$C$1)))</f>
        <v>0</v>
      </c>
      <c r="BQ42" s="87">
        <f t="shared" si="75"/>
        <v>75000</v>
      </c>
      <c r="BR42" s="224">
        <f t="shared" si="76"/>
        <v>0</v>
      </c>
      <c r="BS42" s="220">
        <f t="shared" si="12"/>
        <v>0</v>
      </c>
      <c r="BT42" s="224">
        <f>VLOOKUP(N42,ma_dinhmuc!$A$1:$J$31,10,0)</f>
        <v>65000</v>
      </c>
      <c r="BU42" s="224">
        <f>ROUND(IF(BS42&gt;0,VLOOKUP(N42,ma_dinhmuc!$A$1:$J$31,10,0)*BS42,0),0)</f>
        <v>0</v>
      </c>
      <c r="BV42" s="224">
        <f t="shared" si="77"/>
        <v>0</v>
      </c>
      <c r="BW42" s="224"/>
      <c r="BX42" s="224">
        <v>0</v>
      </c>
      <c r="BY42" s="224"/>
      <c r="BZ42" s="224"/>
      <c r="CA42" s="224"/>
      <c r="CB42" s="224"/>
      <c r="CC42" s="225">
        <f t="shared" si="44"/>
        <v>0</v>
      </c>
      <c r="CD42" s="224">
        <f t="shared" si="45"/>
        <v>0</v>
      </c>
      <c r="CE42" s="224"/>
      <c r="CF42" s="226"/>
      <c r="CG42" s="87"/>
      <c r="CH42" s="87">
        <f t="shared" si="109"/>
        <v>31</v>
      </c>
      <c r="CI42" s="227" t="str">
        <f t="shared" si="127"/>
        <v>Phạm Hồng</v>
      </c>
      <c r="CJ42" s="227" t="str">
        <f t="shared" si="128"/>
        <v>Thái</v>
      </c>
      <c r="CK42" s="87">
        <f t="shared" ref="CK42:CK48" si="132">H42</f>
        <v>1</v>
      </c>
      <c r="CL42" s="227" t="str">
        <f t="shared" si="130"/>
        <v>Côn trùng</v>
      </c>
      <c r="CM42" s="87" t="str">
        <f t="shared" si="46"/>
        <v>CS4</v>
      </c>
      <c r="CN42" s="87">
        <f t="shared" si="129"/>
        <v>270</v>
      </c>
      <c r="CO42" s="87">
        <f t="shared" si="129"/>
        <v>170</v>
      </c>
      <c r="CP42" s="229">
        <f t="shared" si="47"/>
        <v>0</v>
      </c>
      <c r="CQ42" s="229">
        <f t="shared" si="48"/>
        <v>0</v>
      </c>
      <c r="CR42" s="229">
        <f t="shared" si="49"/>
        <v>0</v>
      </c>
      <c r="CS42" s="229">
        <f t="shared" si="50"/>
        <v>0</v>
      </c>
      <c r="CT42" s="229">
        <f t="shared" si="51"/>
        <v>0</v>
      </c>
      <c r="CU42" s="229">
        <f t="shared" si="52"/>
        <v>0</v>
      </c>
      <c r="CV42" s="229">
        <f t="shared" si="53"/>
        <v>0</v>
      </c>
      <c r="CW42" s="229">
        <f t="shared" si="54"/>
        <v>0</v>
      </c>
      <c r="CX42" s="229">
        <f t="shared" si="55"/>
        <v>0</v>
      </c>
      <c r="CY42" s="229">
        <f t="shared" si="56"/>
        <v>0</v>
      </c>
      <c r="CZ42" s="229">
        <f t="shared" si="57"/>
        <v>0</v>
      </c>
      <c r="DA42" s="229">
        <f t="shared" si="58"/>
        <v>0</v>
      </c>
      <c r="DB42" s="228">
        <f t="shared" si="59"/>
        <v>0</v>
      </c>
      <c r="DC42" s="229"/>
      <c r="DD42" s="229"/>
      <c r="DE42" s="229"/>
      <c r="DF42" s="229"/>
      <c r="DG42" s="229"/>
      <c r="DH42" s="229"/>
      <c r="DI42" s="229"/>
      <c r="DJ42" s="229"/>
      <c r="DK42" s="229"/>
      <c r="DL42" s="229"/>
      <c r="DM42" s="229"/>
      <c r="DN42" s="229"/>
      <c r="DO42" s="228">
        <f t="shared" si="60"/>
        <v>0</v>
      </c>
      <c r="DP42" s="228">
        <f t="shared" si="61"/>
        <v>0</v>
      </c>
      <c r="DQ42" s="229">
        <f t="shared" si="62"/>
        <v>0</v>
      </c>
      <c r="DR42" s="229">
        <f t="shared" si="63"/>
        <v>0</v>
      </c>
      <c r="DS42" s="229">
        <f t="shared" si="64"/>
        <v>0</v>
      </c>
      <c r="DT42" s="229">
        <f t="shared" si="65"/>
        <v>0</v>
      </c>
      <c r="DU42" s="229">
        <f t="shared" si="66"/>
        <v>0</v>
      </c>
      <c r="DV42" s="229">
        <f t="shared" si="67"/>
        <v>0</v>
      </c>
      <c r="DW42" s="229">
        <f t="shared" si="68"/>
        <v>0</v>
      </c>
      <c r="DX42" s="228">
        <f t="shared" si="69"/>
        <v>0</v>
      </c>
      <c r="DY42" s="229"/>
      <c r="DZ42" s="229"/>
      <c r="EA42" s="229"/>
      <c r="EB42" s="229"/>
      <c r="EC42" s="229"/>
      <c r="ED42" s="229"/>
      <c r="EE42" s="229"/>
      <c r="EF42" s="228">
        <f t="shared" si="17"/>
        <v>0</v>
      </c>
      <c r="EG42" s="228">
        <f t="shared" si="70"/>
        <v>0</v>
      </c>
      <c r="EH42" s="229">
        <f t="shared" si="18"/>
        <v>0</v>
      </c>
      <c r="EI42" s="229">
        <v>25.16</v>
      </c>
      <c r="EJ42" s="228">
        <f>SUM(EH42:EI42)</f>
        <v>25.16</v>
      </c>
      <c r="EK42" s="229"/>
      <c r="EL42" s="229"/>
      <c r="EM42" s="228">
        <f t="shared" si="117"/>
        <v>0</v>
      </c>
      <c r="EN42" s="229">
        <f t="shared" si="71"/>
        <v>0</v>
      </c>
      <c r="EO42" s="229">
        <f t="shared" si="72"/>
        <v>25.16</v>
      </c>
      <c r="EP42" s="228">
        <f t="shared" si="88"/>
        <v>25.16</v>
      </c>
      <c r="EQ42" s="173">
        <f t="shared" si="19"/>
        <v>0</v>
      </c>
      <c r="ER42" s="189">
        <v>0</v>
      </c>
      <c r="ES42" s="189">
        <v>0</v>
      </c>
      <c r="ET42" s="189">
        <v>0</v>
      </c>
      <c r="EU42" s="189">
        <v>0</v>
      </c>
      <c r="EV42" s="189">
        <v>0</v>
      </c>
      <c r="EW42" s="189">
        <v>0</v>
      </c>
      <c r="EX42" s="189">
        <v>0</v>
      </c>
      <c r="EY42" s="189">
        <v>0</v>
      </c>
      <c r="EZ42" s="189">
        <v>0</v>
      </c>
      <c r="FA42" s="189">
        <v>0</v>
      </c>
      <c r="FB42" s="189">
        <v>0</v>
      </c>
      <c r="FC42" s="189">
        <v>0</v>
      </c>
      <c r="FD42" s="189">
        <v>0</v>
      </c>
      <c r="FE42" s="189">
        <v>0</v>
      </c>
      <c r="FF42" s="189">
        <v>0</v>
      </c>
      <c r="FG42" s="189">
        <v>0</v>
      </c>
      <c r="FH42" s="189">
        <v>0</v>
      </c>
      <c r="FI42" s="189">
        <v>0</v>
      </c>
      <c r="FJ42" s="189">
        <v>0</v>
      </c>
      <c r="FK42" s="189">
        <v>0</v>
      </c>
      <c r="FL42" s="189">
        <v>0</v>
      </c>
      <c r="FN42" s="132">
        <v>0</v>
      </c>
    </row>
    <row r="43" spans="1:170" ht="33" customHeight="1">
      <c r="A43" s="88">
        <f>COUNTIF($H$12:H43,H43)</f>
        <v>32</v>
      </c>
      <c r="B43" s="88" t="s">
        <v>2257</v>
      </c>
      <c r="C43" s="88" t="s">
        <v>402</v>
      </c>
      <c r="D43" s="88"/>
      <c r="E43" s="88"/>
      <c r="F43" s="301" t="s">
        <v>1906</v>
      </c>
      <c r="G43" s="89" t="s">
        <v>1907</v>
      </c>
      <c r="H43" s="88">
        <v>1</v>
      </c>
      <c r="I43" s="88"/>
      <c r="J43" s="88">
        <v>1</v>
      </c>
      <c r="K43" s="90"/>
      <c r="L43" s="90" t="s">
        <v>3076</v>
      </c>
      <c r="M43" s="214"/>
      <c r="N43" s="88" t="s">
        <v>605</v>
      </c>
      <c r="O43" s="216">
        <f>BO43</f>
        <v>6.2</v>
      </c>
      <c r="P43" s="88" t="str">
        <f>IF(AND(BO43&gt;=2.34,BO43&lt;3.33),"B1_3",IF(AND(BO43&gt;=3.33,BO43&lt;4.65),"B1_4",IF(AND(BO43&gt;=4.65,BO43&lt;5.42),"B1_5",IF(AND(BO43&gt;=5.42,BO43&lt;6.44),"B1_6",IF(AND(BO43&gt;=6.44,BO43&lt;=6.92),"B1_7","B1_8")))))</f>
        <v>B1_6</v>
      </c>
      <c r="Q43" s="88">
        <f>IF(M43&gt;0,VLOOKUP(P43,ma_dinhmuc_moi,2,0)/2,VLOOKUP(P43,ma_dinhmuc_moi,2,0))</f>
        <v>270</v>
      </c>
      <c r="R43" s="88">
        <f>IF(M43&gt;0,VLOOKUP(P43,ma_dinhmuc_moi,3,0)/2,VLOOKUP(P43,ma_dinhmuc_moi,3,0))</f>
        <v>170</v>
      </c>
      <c r="S43" s="231" t="s">
        <v>484</v>
      </c>
      <c r="T43" s="88" t="s">
        <v>3091</v>
      </c>
      <c r="U43" s="88">
        <f>IF(RIGHT(T43,1)="K",(VLOOKUP(T43,ma_miengiam!$A$3:$B$80,2,0)*100)/2,VLOOKUP(T43,ma_miengiam!$A$3:$B$80,2,0)*100)</f>
        <v>20</v>
      </c>
      <c r="V43" s="88">
        <v>6</v>
      </c>
      <c r="W43" s="220">
        <f>IF(AND(T43="NTS",V43&gt;0),(Q43-(Q43*V43)/12)*VLOOKUP(T43,ma_miengiam!$A$3:$B$80,2,0)+(Q43-(Q43*(12-V43))/12),IF(AND(RIGHT(T43,1)="K",V43&gt;0),(VLOOKUP(T43,ma_miengiam!$A$3:$B$80,2,0)/2)*(Q43*V43)/12,IF(RIGHT(T43,1)="K",(VLOOKUP(T43,ma_miengiam!$A$3:$B$80,2,0)*Q43)/2,IF(V43&gt;0,VLOOKUP(T43,ma_miengiam!$A$3:$B$80,2,0)*Q43*V43/12,VLOOKUP(T43,ma_miengiam!$A$3:$B$80,2,0)*Q43))))</f>
        <v>27</v>
      </c>
      <c r="X43" s="220">
        <f>IF(T43="NTS",VLOOKUP(T43,ma_miengiam!$A$3:$B$80,2,0)*R43*V43,IF(AND(T43="NTS",V43=0),0,IF(AND(LEFT(T43,1)="K",V43=0),VLOOKUP(T43,ma_miengiam!$A$3:$B$80,2,0)*R43,IF(LEFT(T43,1)="K",(VLOOKUP(T43,ma_miengiam!$A$3:$B$80,2,0)*R43/12)*V43,IF(AND(LEFT(T43,1)="S",V43&gt;0),(R43/12)*V43,IF(AND(LEFT(T43,1)="S",V43=0),R43,IF(T43="DH",VLOOKUP(T43,ma_miengiam!$A$3:$B$80,2,0)*R43,0)))))))</f>
        <v>0</v>
      </c>
      <c r="Y43" s="220">
        <f>IF(AND(T43="DH",V43&gt;0),(S43*V43/12),IF(AND(T43&lt;&gt;"NTS",V43&gt;0),(Q43*V43/12)-W43,IF(AND(T43="NTS",V43&gt;0),Q43-W43,Q43-W43)))</f>
        <v>108</v>
      </c>
      <c r="Z43" s="220">
        <f>IF(AND(T43="SĐH",V43&gt;0),(R43/12)*V43-X43,IF(AND(T43="DH",V43&gt;0),(R43*V43/12),IF(AND(T43&lt;&gt;"NTS",V43&gt;0),(R43*V43/12)-X43,IF(AND(T43="NTS",V43&gt;0),R43-X43,R43-X43))))</f>
        <v>85</v>
      </c>
      <c r="AA43" s="220"/>
      <c r="AB43" s="220"/>
      <c r="AC43" s="220"/>
      <c r="AD43" s="220"/>
      <c r="AE43" s="220"/>
      <c r="AF43" s="220"/>
      <c r="AG43" s="220"/>
      <c r="AH43" s="220"/>
      <c r="AI43" s="220"/>
      <c r="AJ43" s="220"/>
      <c r="AK43" s="216"/>
      <c r="AL43" s="220"/>
      <c r="AM43" s="220"/>
      <c r="AN43" s="221"/>
      <c r="AO43" s="220"/>
      <c r="AP43" s="220"/>
      <c r="AQ43" s="220"/>
      <c r="AR43" s="220"/>
      <c r="AS43" s="220"/>
      <c r="AT43" s="216"/>
      <c r="AU43" s="220"/>
      <c r="AV43" s="220"/>
      <c r="AW43" s="220"/>
      <c r="AX43" s="216"/>
      <c r="AY43" s="220"/>
      <c r="AZ43" s="220"/>
      <c r="BA43" s="220"/>
      <c r="BB43" s="220"/>
      <c r="BC43" s="220"/>
      <c r="BD43" s="216"/>
      <c r="BE43" s="220"/>
      <c r="BF43" s="220"/>
      <c r="BG43" s="220"/>
      <c r="BH43" s="220"/>
      <c r="BI43" s="220"/>
      <c r="BJ43" s="220" t="s">
        <v>615</v>
      </c>
      <c r="BK43" s="220"/>
      <c r="BL43" s="223">
        <f>IF(AW43&lt;BK43,0,IF(AND(BK43=0,AW43&gt;0),AW43,IF(AW43&lt;0,0,IF(BK43&gt;0,AW43-BK43,IF(BK43&lt;0,0,AW43)))))</f>
        <v>0</v>
      </c>
      <c r="BM43" s="220">
        <v>6.2</v>
      </c>
      <c r="BN43" s="220"/>
      <c r="BO43" s="220">
        <f>ROUND(BM43+(BM43*BN43),2)</f>
        <v>6.2</v>
      </c>
      <c r="BP43" s="220">
        <f>IF(AND(BL43&gt;0,BL43&lt;tiet!$D$1),BL43,IF(BL43&lt;=0,0,IF(BL43&gt;tiet!$C$1,tiet!$C$1)))</f>
        <v>0</v>
      </c>
      <c r="BQ43" s="87">
        <f>VLOOKUP(P43,ma_dinhmuc_moi,4,0)</f>
        <v>75000</v>
      </c>
      <c r="BR43" s="224">
        <f>ROUND(BQ43*BP43,0)</f>
        <v>0</v>
      </c>
      <c r="BS43" s="220">
        <f t="shared" si="12"/>
        <v>0</v>
      </c>
      <c r="BT43" s="224">
        <f>VLOOKUP(N43,ma_dinhmuc!$A$1:$J$31,10,0)</f>
        <v>65000</v>
      </c>
      <c r="BU43" s="224">
        <f>ROUND(IF(BS43&gt;0,VLOOKUP(N43,ma_dinhmuc!$A$1:$J$31,10,0)*BS43,0),0)</f>
        <v>0</v>
      </c>
      <c r="BV43" s="224">
        <f>ROUND(BU43+BR43,0)</f>
        <v>0</v>
      </c>
      <c r="BW43" s="224"/>
      <c r="BX43" s="224">
        <v>0</v>
      </c>
      <c r="BY43" s="224"/>
      <c r="BZ43" s="224"/>
      <c r="CA43" s="224"/>
      <c r="CB43" s="224"/>
      <c r="CC43" s="225">
        <f>ROUND(IF(BV43+BW43&gt;BX43+BY43+BZ43+CA43+CB43,(BW43+BV43)-(BX43+BY43+BZ43+CA43+CB43+CB43),0),0)</f>
        <v>0</v>
      </c>
      <c r="CD43" s="224">
        <f>ROUND(IF(BV43+BW43&lt;BX43+BY43+BZ43+CA43-CB43,(BX43+BY43+BZ43+CA43-CB43)-(BW43+BV43),0),0)</f>
        <v>0</v>
      </c>
      <c r="CE43" s="224"/>
      <c r="CF43" s="226"/>
      <c r="CG43" s="87"/>
      <c r="CH43" s="87">
        <f>A43</f>
        <v>32</v>
      </c>
      <c r="CI43" s="227" t="str">
        <f t="shared" si="127"/>
        <v>Phạm Hồng</v>
      </c>
      <c r="CJ43" s="227" t="str">
        <f t="shared" si="128"/>
        <v>Thái</v>
      </c>
      <c r="CK43" s="87">
        <f>H43</f>
        <v>1</v>
      </c>
      <c r="CL43" s="227" t="str">
        <f>L43</f>
        <v>Côn trùng</v>
      </c>
      <c r="CM43" s="87" t="str">
        <f>N43</f>
        <v>CS4</v>
      </c>
      <c r="CN43" s="87">
        <f>Q43</f>
        <v>270</v>
      </c>
      <c r="CO43" s="87">
        <f>R43</f>
        <v>170</v>
      </c>
      <c r="CP43" s="229">
        <f t="shared" si="47"/>
        <v>0</v>
      </c>
      <c r="CQ43" s="229">
        <f t="shared" si="48"/>
        <v>0</v>
      </c>
      <c r="CR43" s="229">
        <f t="shared" si="49"/>
        <v>0</v>
      </c>
      <c r="CS43" s="229">
        <f t="shared" si="50"/>
        <v>0</v>
      </c>
      <c r="CT43" s="229">
        <f t="shared" si="51"/>
        <v>0</v>
      </c>
      <c r="CU43" s="229">
        <f t="shared" si="52"/>
        <v>0</v>
      </c>
      <c r="CV43" s="229">
        <f t="shared" si="53"/>
        <v>0</v>
      </c>
      <c r="CW43" s="229">
        <f t="shared" si="54"/>
        <v>0</v>
      </c>
      <c r="CX43" s="229">
        <f t="shared" si="55"/>
        <v>0</v>
      </c>
      <c r="CY43" s="229">
        <f t="shared" si="56"/>
        <v>0</v>
      </c>
      <c r="CZ43" s="229">
        <f t="shared" si="57"/>
        <v>0</v>
      </c>
      <c r="DA43" s="229">
        <f t="shared" si="58"/>
        <v>0</v>
      </c>
      <c r="DB43" s="228">
        <f>SUM(CP43:DA43)</f>
        <v>0</v>
      </c>
      <c r="DC43" s="229"/>
      <c r="DD43" s="229"/>
      <c r="DE43" s="229"/>
      <c r="DF43" s="229"/>
      <c r="DG43" s="229"/>
      <c r="DH43" s="229"/>
      <c r="DI43" s="229"/>
      <c r="DJ43" s="229"/>
      <c r="DK43" s="229"/>
      <c r="DL43" s="229"/>
      <c r="DM43" s="229"/>
      <c r="DN43" s="229"/>
      <c r="DO43" s="228">
        <f>SUM(DC43:DN43)</f>
        <v>0</v>
      </c>
      <c r="DP43" s="228">
        <f>DO43+DB43</f>
        <v>0</v>
      </c>
      <c r="DQ43" s="229">
        <f t="shared" si="62"/>
        <v>0</v>
      </c>
      <c r="DR43" s="229">
        <f t="shared" si="63"/>
        <v>0</v>
      </c>
      <c r="DS43" s="229">
        <f t="shared" si="64"/>
        <v>0</v>
      </c>
      <c r="DT43" s="229">
        <f t="shared" si="65"/>
        <v>0</v>
      </c>
      <c r="DU43" s="229">
        <f t="shared" si="66"/>
        <v>0</v>
      </c>
      <c r="DV43" s="229">
        <f t="shared" si="67"/>
        <v>0</v>
      </c>
      <c r="DW43" s="229">
        <f t="shared" si="68"/>
        <v>0</v>
      </c>
      <c r="DX43" s="228">
        <f>SUM(DQ43:DW43)</f>
        <v>0</v>
      </c>
      <c r="DY43" s="229"/>
      <c r="DZ43" s="229"/>
      <c r="EA43" s="229"/>
      <c r="EB43" s="229"/>
      <c r="EC43" s="229"/>
      <c r="ED43" s="229"/>
      <c r="EE43" s="229"/>
      <c r="EF43" s="228">
        <f t="shared" si="17"/>
        <v>0</v>
      </c>
      <c r="EG43" s="228">
        <f>EF43+DX43</f>
        <v>0</v>
      </c>
      <c r="EH43" s="229">
        <f t="shared" si="18"/>
        <v>0</v>
      </c>
      <c r="EI43" s="229">
        <v>25.16</v>
      </c>
      <c r="EJ43" s="228">
        <f>SUM(EH43:EI43)</f>
        <v>25.16</v>
      </c>
      <c r="EK43" s="229"/>
      <c r="EL43" s="229"/>
      <c r="EM43" s="228">
        <f>SUM(EK43:EL43)</f>
        <v>0</v>
      </c>
      <c r="EN43" s="229">
        <f>EK43+EH43+EL43</f>
        <v>0</v>
      </c>
      <c r="EO43" s="229">
        <f>EI43</f>
        <v>25.16</v>
      </c>
      <c r="EP43" s="228">
        <f>EM43+EJ43</f>
        <v>25.16</v>
      </c>
      <c r="EQ43" s="173">
        <f t="shared" si="19"/>
        <v>0</v>
      </c>
      <c r="ER43" s="189">
        <v>0</v>
      </c>
      <c r="ES43" s="189">
        <v>0</v>
      </c>
      <c r="ET43" s="189">
        <v>0</v>
      </c>
      <c r="EU43" s="189">
        <v>0</v>
      </c>
      <c r="EV43" s="189">
        <v>0</v>
      </c>
      <c r="EW43" s="189">
        <v>0</v>
      </c>
      <c r="EX43" s="189">
        <v>0</v>
      </c>
      <c r="EY43" s="189">
        <v>0</v>
      </c>
      <c r="EZ43" s="189">
        <v>0</v>
      </c>
      <c r="FA43" s="189">
        <v>0</v>
      </c>
      <c r="FB43" s="189">
        <v>0</v>
      </c>
      <c r="FC43" s="189">
        <v>0</v>
      </c>
      <c r="FD43" s="189">
        <v>0</v>
      </c>
      <c r="FE43" s="189">
        <v>0</v>
      </c>
      <c r="FF43" s="189">
        <v>0</v>
      </c>
      <c r="FG43" s="189">
        <v>0</v>
      </c>
      <c r="FH43" s="189">
        <v>0</v>
      </c>
      <c r="FI43" s="189">
        <v>0</v>
      </c>
      <c r="FJ43" s="189">
        <v>0</v>
      </c>
      <c r="FK43" s="189">
        <v>0</v>
      </c>
      <c r="FL43" s="189">
        <v>0</v>
      </c>
      <c r="FN43" s="132">
        <v>0</v>
      </c>
    </row>
    <row r="44" spans="1:170" ht="33" customHeight="1">
      <c r="A44" s="88">
        <f>COUNTIF($H$12:H44,H44)</f>
        <v>33</v>
      </c>
      <c r="B44" s="88" t="s">
        <v>2257</v>
      </c>
      <c r="C44" s="88" t="s">
        <v>402</v>
      </c>
      <c r="D44" s="88"/>
      <c r="E44" s="88"/>
      <c r="F44" s="301" t="s">
        <v>1906</v>
      </c>
      <c r="G44" s="89" t="s">
        <v>1907</v>
      </c>
      <c r="H44" s="88">
        <v>1</v>
      </c>
      <c r="I44" s="88">
        <v>1</v>
      </c>
      <c r="J44" s="88">
        <v>1</v>
      </c>
      <c r="K44" s="90" t="s">
        <v>3076</v>
      </c>
      <c r="L44" s="90" t="s">
        <v>3076</v>
      </c>
      <c r="M44" s="214"/>
      <c r="N44" s="88" t="s">
        <v>605</v>
      </c>
      <c r="O44" s="216">
        <f>BO44</f>
        <v>6.2</v>
      </c>
      <c r="P44" s="88" t="str">
        <f>IF(AND(BO44&gt;=2.34,BO44&lt;3.33),"B1_3",IF(AND(BO44&gt;=3.33,BO44&lt;4.65),"B1_4",IF(AND(BO44&gt;=4.65,BO44&lt;5.42),"B1_5",IF(AND(BO44&gt;=5.42,BO44&lt;6.44),"B1_6",IF(AND(BO44&gt;=6.44,BO44&lt;=6.92),"B1_7","B1_8")))))</f>
        <v>B1_6</v>
      </c>
      <c r="Q44" s="88">
        <f>IF(M44&gt;0,VLOOKUP(P44,ma_dinhmuc_moi,2,0)/2,VLOOKUP(P44,ma_dinhmuc_moi,2,0))</f>
        <v>270</v>
      </c>
      <c r="R44" s="88">
        <f>IF(M44&gt;0,VLOOKUP(P44,ma_dinhmuc_moi,3,0)/2,VLOOKUP(P44,ma_dinhmuc_moi,3,0))</f>
        <v>170</v>
      </c>
      <c r="S44" s="231" t="s">
        <v>484</v>
      </c>
      <c r="T44" s="88" t="s">
        <v>3091</v>
      </c>
      <c r="U44" s="88">
        <f>IF(RIGHT(T44,1)="K",(VLOOKUP(T44,ma_miengiam!$A$3:$B$80,2,0)*100)/2,VLOOKUP(T44,ma_miengiam!$A$3:$B$80,2,0)*100)</f>
        <v>20</v>
      </c>
      <c r="V44" s="88"/>
      <c r="W44" s="220">
        <f>W43+W42</f>
        <v>47.25</v>
      </c>
      <c r="X44" s="220">
        <f>X43+X42</f>
        <v>0</v>
      </c>
      <c r="Y44" s="220">
        <f>Y43+Y42</f>
        <v>222.75</v>
      </c>
      <c r="Z44" s="220">
        <f>Z43+Z42</f>
        <v>170</v>
      </c>
      <c r="AA44" s="220">
        <f>Q44</f>
        <v>270</v>
      </c>
      <c r="AB44" s="220">
        <f>R44</f>
        <v>170</v>
      </c>
      <c r="AC44" s="220">
        <f>W44</f>
        <v>47.25</v>
      </c>
      <c r="AD44" s="220">
        <f>X44</f>
        <v>0</v>
      </c>
      <c r="AE44" s="220">
        <f>Y44</f>
        <v>222.75</v>
      </c>
      <c r="AF44" s="220">
        <f>Z44</f>
        <v>170</v>
      </c>
      <c r="AG44" s="220">
        <f>AH44+AI44</f>
        <v>140.99</v>
      </c>
      <c r="AH44" s="220">
        <f>EO44</f>
        <v>25.16</v>
      </c>
      <c r="AI44" s="220">
        <f>EN44</f>
        <v>115.83</v>
      </c>
      <c r="AJ44" s="220">
        <f>IF(AG44-Z44&gt;0,0,AG44-Z44)</f>
        <v>-29.009999999999991</v>
      </c>
      <c r="AK44" s="216">
        <f>IF(AJ44&gt;=0,Y44,Y44-AJ44)</f>
        <v>251.76</v>
      </c>
      <c r="AL44" s="220">
        <f>SUM(CP44:CX44)+SUM(DC44:DK44)</f>
        <v>316.3</v>
      </c>
      <c r="AM44" s="220">
        <f>SUM(DQ44:DU44)+SUM(DY44:EC44)</f>
        <v>0</v>
      </c>
      <c r="AN44" s="221">
        <f>AM44+AL44</f>
        <v>316.3</v>
      </c>
      <c r="AO44" s="220">
        <f>CY44+DL44</f>
        <v>0</v>
      </c>
      <c r="AP44" s="220">
        <f>CZ44+DM44</f>
        <v>0</v>
      </c>
      <c r="AQ44" s="220">
        <f>DA44+DN44</f>
        <v>120</v>
      </c>
      <c r="AR44" s="220">
        <f>DV44+ED44</f>
        <v>0</v>
      </c>
      <c r="AS44" s="220">
        <f>DW44+EE44</f>
        <v>0</v>
      </c>
      <c r="AT44" s="216">
        <f>AN44+SUM(AO44:AS44)</f>
        <v>436.3</v>
      </c>
      <c r="AU44" s="220">
        <f>AN44-AK44</f>
        <v>64.54000000000002</v>
      </c>
      <c r="AV44" s="220"/>
      <c r="AW44" s="220">
        <f>IF(AU44&gt;0,AU44,AV44+AU44)</f>
        <v>64.54000000000002</v>
      </c>
      <c r="AX44" s="216">
        <f>IF(AN44&gt;AK44,0,IF(AW44&lt;0,AN44-AK44+AV44,IF(AW44&gt;=0,0)))</f>
        <v>0</v>
      </c>
      <c r="AY44" s="220">
        <f>IF(AN44&gt;=AK44,AO44,IF(AN44+AO44-AK44&gt;=0,AN44+AO44-AK44,0))</f>
        <v>0</v>
      </c>
      <c r="AZ44" s="220">
        <f>IF(OR(AN44&gt;=AK44,AN44+AO44&gt;=AK44),AP44,IF(AN44+AO44+AP44&gt;AK44,AN44+AO44+AP44-AK44,0))</f>
        <v>0</v>
      </c>
      <c r="BA44" s="220">
        <f>IF(OR(AN44&gt;=AK44,AN44+AO44&gt;=AK44,AN44+AO44+AP44&gt;=AK44),AQ44,IF(AN44+AO44+AP44+AQ44&gt;=AK44,AN44+AO44+AP44+AQ44-AK44,0))</f>
        <v>120</v>
      </c>
      <c r="BB44" s="220">
        <f>IF(OR(AN44&gt;=AK44,AN44+AO44&gt;=AK44,AN44+AO44+AP44&gt;=AK44,AN44+AO44+AP44+AQ44&gt;=AK44),AR44,IF(AN44+AO44+AP44+AQ44+AR44&gt;=AK44,AN44+AO44+AP44+AQ44+AR44-AK44,0))</f>
        <v>0</v>
      </c>
      <c r="BC44" s="220">
        <f>IF(OR(AN44&gt;=AK44,AN44+AO44&gt;=AK44,AN44+AO44+AP44&gt;=AK44,AN44+AO44+AP44+AQ44&gt;=AK44,AN44+AO44+AP44+AQ44+AR44&gt;=AK44),AS44,IF(AN44+AO44+AP44+AQ44+AR44+AS44&gt;=AK44,AN44+AO44+AP44+AQ44+AR44+AS44-AK44,0))</f>
        <v>0</v>
      </c>
      <c r="BD44" s="216">
        <f>SUM(AY44:BC44)</f>
        <v>120</v>
      </c>
      <c r="BE44" s="220">
        <f>AY44-AO44</f>
        <v>0</v>
      </c>
      <c r="BF44" s="220">
        <f>AZ44-AP44</f>
        <v>0</v>
      </c>
      <c r="BG44" s="220">
        <f>BA44-AQ44</f>
        <v>0</v>
      </c>
      <c r="BH44" s="220">
        <f>BB44-AR44</f>
        <v>0</v>
      </c>
      <c r="BI44" s="220">
        <f>BC44-AS44</f>
        <v>0</v>
      </c>
      <c r="BJ44" s="220" t="s">
        <v>615</v>
      </c>
      <c r="BK44" s="220"/>
      <c r="BL44" s="223">
        <f>IF(AW44&lt;BK44,0,IF(AND(BK44=0,AW44&gt;0),AW44,IF(AW44&lt;0,0,IF(BK44&gt;0,AW44-BK44,IF(BK44&lt;0,0,AW44)))))</f>
        <v>64.54000000000002</v>
      </c>
      <c r="BM44" s="220">
        <v>6.2</v>
      </c>
      <c r="BN44" s="220"/>
      <c r="BO44" s="220">
        <f>ROUND(BM44+(BM44*BN44),2)</f>
        <v>6.2</v>
      </c>
      <c r="BP44" s="220">
        <f>IF(AND(BL44&gt;0,BL44&lt;tiet!$D$1),BL44,IF(BL44&lt;=0,0,IF(BL44&gt;tiet!$C$1,tiet!$C$1)))</f>
        <v>64.54000000000002</v>
      </c>
      <c r="BQ44" s="87">
        <f>VLOOKUP(P44,ma_dinhmuc_moi,4,0)</f>
        <v>75000</v>
      </c>
      <c r="BR44" s="224">
        <f>ROUND(BQ44*BP44,0)</f>
        <v>4840500</v>
      </c>
      <c r="BS44" s="220">
        <f t="shared" si="12"/>
        <v>0</v>
      </c>
      <c r="BT44" s="224">
        <f>VLOOKUP(N44,ma_dinhmuc!$A$1:$J$31,10,0)</f>
        <v>65000</v>
      </c>
      <c r="BU44" s="224">
        <f>ROUND(IF(BS44&gt;0,VLOOKUP(N44,ma_dinhmuc!$A$1:$J$31,10,0)*BS44,0),0)</f>
        <v>0</v>
      </c>
      <c r="BV44" s="224">
        <f>ROUND(BU44+BR44,0)</f>
        <v>4840500</v>
      </c>
      <c r="BW44" s="224"/>
      <c r="BX44" s="224">
        <v>0</v>
      </c>
      <c r="BY44" s="224"/>
      <c r="BZ44" s="224"/>
      <c r="CA44" s="224"/>
      <c r="CB44" s="224"/>
      <c r="CC44" s="225">
        <f>ROUND(IF(BV44+BW44&gt;BX44+BY44+BZ44+CA44+CB44,(BW44+BV44)-(BX44+BY44+BZ44+CA44+CB44+CB44),0),0)</f>
        <v>4840500</v>
      </c>
      <c r="CD44" s="224">
        <f>ROUND(IF(BV44+BW44&lt;BX44+BY44+BZ44+CA44-CB44,(BX44+BY44+BZ44+CA44-CB44)-(BW44+BV44),0),0)</f>
        <v>0</v>
      </c>
      <c r="CE44" s="224"/>
      <c r="CF44" s="226"/>
      <c r="CG44" s="87"/>
      <c r="CH44" s="87">
        <f>A44</f>
        <v>33</v>
      </c>
      <c r="CI44" s="227" t="str">
        <f t="shared" si="127"/>
        <v>Phạm Hồng</v>
      </c>
      <c r="CJ44" s="227" t="str">
        <f t="shared" si="128"/>
        <v>Thái</v>
      </c>
      <c r="CK44" s="87">
        <f>H44</f>
        <v>1</v>
      </c>
      <c r="CL44" s="227" t="str">
        <f>L44</f>
        <v>Côn trùng</v>
      </c>
      <c r="CM44" s="87" t="str">
        <f>N44</f>
        <v>CS4</v>
      </c>
      <c r="CN44" s="87">
        <f>Q44</f>
        <v>270</v>
      </c>
      <c r="CO44" s="87">
        <f>R44</f>
        <v>170</v>
      </c>
      <c r="CP44" s="229">
        <f t="shared" si="47"/>
        <v>0</v>
      </c>
      <c r="CQ44" s="229">
        <f t="shared" si="48"/>
        <v>35.200000000000003</v>
      </c>
      <c r="CR44" s="229">
        <f t="shared" si="49"/>
        <v>14</v>
      </c>
      <c r="CS44" s="229">
        <f t="shared" si="50"/>
        <v>63</v>
      </c>
      <c r="CT44" s="229">
        <f t="shared" si="51"/>
        <v>0</v>
      </c>
      <c r="CU44" s="229">
        <f t="shared" si="52"/>
        <v>120.1</v>
      </c>
      <c r="CV44" s="229">
        <f t="shared" si="53"/>
        <v>0</v>
      </c>
      <c r="CW44" s="229">
        <f t="shared" si="54"/>
        <v>84</v>
      </c>
      <c r="CX44" s="229">
        <f t="shared" si="55"/>
        <v>0</v>
      </c>
      <c r="CY44" s="229">
        <f t="shared" si="56"/>
        <v>0</v>
      </c>
      <c r="CZ44" s="229">
        <f t="shared" si="57"/>
        <v>0</v>
      </c>
      <c r="DA44" s="229">
        <f t="shared" si="58"/>
        <v>120</v>
      </c>
      <c r="DB44" s="228">
        <f>SUM(CP44:DA44)</f>
        <v>436.3</v>
      </c>
      <c r="DC44" s="229"/>
      <c r="DD44" s="229"/>
      <c r="DE44" s="229"/>
      <c r="DF44" s="229"/>
      <c r="DG44" s="229"/>
      <c r="DH44" s="229"/>
      <c r="DI44" s="229"/>
      <c r="DJ44" s="229"/>
      <c r="DK44" s="229"/>
      <c r="DL44" s="229"/>
      <c r="DM44" s="229"/>
      <c r="DN44" s="229"/>
      <c r="DO44" s="228">
        <f>SUM(DC44:DN44)</f>
        <v>0</v>
      </c>
      <c r="DP44" s="228">
        <f>DO44+DB44</f>
        <v>436.3</v>
      </c>
      <c r="DQ44" s="229">
        <f t="shared" si="62"/>
        <v>0</v>
      </c>
      <c r="DR44" s="229">
        <f t="shared" si="63"/>
        <v>0</v>
      </c>
      <c r="DS44" s="229">
        <f t="shared" si="64"/>
        <v>0</v>
      </c>
      <c r="DT44" s="229">
        <f t="shared" si="65"/>
        <v>0</v>
      </c>
      <c r="DU44" s="229">
        <f t="shared" si="66"/>
        <v>0</v>
      </c>
      <c r="DV44" s="229">
        <f t="shared" si="67"/>
        <v>0</v>
      </c>
      <c r="DW44" s="229">
        <f t="shared" si="68"/>
        <v>0</v>
      </c>
      <c r="DX44" s="228">
        <f>SUM(DQ44:DW44)</f>
        <v>0</v>
      </c>
      <c r="DY44" s="229"/>
      <c r="DZ44" s="229"/>
      <c r="EA44" s="229"/>
      <c r="EB44" s="229"/>
      <c r="EC44" s="229"/>
      <c r="ED44" s="229"/>
      <c r="EE44" s="229"/>
      <c r="EF44" s="228">
        <f t="shared" si="17"/>
        <v>0</v>
      </c>
      <c r="EG44" s="228">
        <f>EF44+DX44</f>
        <v>0</v>
      </c>
      <c r="EH44" s="229">
        <f t="shared" si="18"/>
        <v>115.83</v>
      </c>
      <c r="EI44" s="229">
        <v>25.16</v>
      </c>
      <c r="EJ44" s="228">
        <f>SUM(EH44:EI44)</f>
        <v>140.99</v>
      </c>
      <c r="EK44" s="229"/>
      <c r="EL44" s="229"/>
      <c r="EM44" s="228">
        <f>SUM(EK44:EL44)</f>
        <v>0</v>
      </c>
      <c r="EN44" s="229">
        <f>EK44+EH44+EL44</f>
        <v>115.83</v>
      </c>
      <c r="EO44" s="229">
        <f>EI44</f>
        <v>25.16</v>
      </c>
      <c r="EP44" s="228">
        <f>EM44+EJ44</f>
        <v>140.99</v>
      </c>
      <c r="EQ44" s="173">
        <f t="shared" si="19"/>
        <v>0</v>
      </c>
      <c r="ER44" s="189">
        <v>0</v>
      </c>
      <c r="ES44" s="189">
        <v>35.200000000000003</v>
      </c>
      <c r="ET44" s="189">
        <v>14</v>
      </c>
      <c r="EU44" s="189">
        <v>63</v>
      </c>
      <c r="EV44" s="189">
        <v>0</v>
      </c>
      <c r="EW44" s="189">
        <v>120.1</v>
      </c>
      <c r="EX44" s="189">
        <v>0</v>
      </c>
      <c r="EY44" s="189">
        <v>84</v>
      </c>
      <c r="EZ44" s="189">
        <v>0</v>
      </c>
      <c r="FA44" s="189">
        <v>0</v>
      </c>
      <c r="FB44" s="189">
        <v>0</v>
      </c>
      <c r="FC44" s="189">
        <v>120</v>
      </c>
      <c r="FD44" s="189">
        <v>0</v>
      </c>
      <c r="FE44" s="189">
        <v>0</v>
      </c>
      <c r="FF44" s="189">
        <v>0</v>
      </c>
      <c r="FG44" s="189">
        <v>0</v>
      </c>
      <c r="FH44" s="189">
        <v>0</v>
      </c>
      <c r="FI44" s="189">
        <v>0</v>
      </c>
      <c r="FJ44" s="189">
        <v>0</v>
      </c>
      <c r="FK44" s="189">
        <v>436.3</v>
      </c>
      <c r="FL44" s="189">
        <v>353</v>
      </c>
      <c r="FN44" s="132">
        <v>115.83</v>
      </c>
    </row>
    <row r="45" spans="1:170" ht="30" customHeight="1">
      <c r="A45" s="88">
        <f>COUNTIF($H$12:H45,H45)</f>
        <v>34</v>
      </c>
      <c r="B45" s="88" t="s">
        <v>2258</v>
      </c>
      <c r="C45" s="88" t="s">
        <v>403</v>
      </c>
      <c r="D45" s="88"/>
      <c r="E45" s="88"/>
      <c r="F45" s="301" t="s">
        <v>1908</v>
      </c>
      <c r="G45" s="89" t="s">
        <v>1909</v>
      </c>
      <c r="H45" s="88">
        <v>1</v>
      </c>
      <c r="I45" s="88">
        <v>1</v>
      </c>
      <c r="J45" s="88">
        <v>1</v>
      </c>
      <c r="K45" s="90" t="s">
        <v>3076</v>
      </c>
      <c r="L45" s="90" t="s">
        <v>3076</v>
      </c>
      <c r="M45" s="214"/>
      <c r="N45" s="88" t="s">
        <v>1804</v>
      </c>
      <c r="O45" s="216">
        <f t="shared" si="116"/>
        <v>3.33</v>
      </c>
      <c r="P45" s="88" t="str">
        <f t="shared" si="0"/>
        <v>B1_4</v>
      </c>
      <c r="Q45" s="88">
        <f t="shared" si="1"/>
        <v>270</v>
      </c>
      <c r="R45" s="88">
        <f t="shared" si="2"/>
        <v>120</v>
      </c>
      <c r="S45" s="231" t="s">
        <v>518</v>
      </c>
      <c r="T45" s="88" t="s">
        <v>2961</v>
      </c>
      <c r="U45" s="88">
        <f>IF(RIGHT(T45,1)="K",(VLOOKUP(T45,ma_miengiam!$A$3:$B$80,2,0)*100)/2,VLOOKUP(T45,ma_miengiam!$A$3:$B$80,2,0)*100)</f>
        <v>100</v>
      </c>
      <c r="V45" s="88"/>
      <c r="W45" s="220">
        <f>IF(AND(T45="NTS",V45&gt;0),(Q45-(Q45*V45)/12)*VLOOKUP(T45,ma_miengiam!$A$3:$B$80,2,0)+(Q45-(Q45*(12-V45))/12),IF(AND(RIGHT(T45,1)="K",V45&gt;0),(VLOOKUP(T45,ma_miengiam!$A$3:$B$80,2,0)/2)*(Q45*V45)/12,IF(RIGHT(T45,1)="K",(VLOOKUP(T45,ma_miengiam!$A$3:$B$80,2,0)*Q45)/2,IF(V45&gt;0,VLOOKUP(T45,ma_miengiam!$A$3:$B$80,2,0)*Q45*V45/12,VLOOKUP(T45,ma_miengiam!$A$3:$B$80,2,0)*Q45))))</f>
        <v>270</v>
      </c>
      <c r="X45" s="220">
        <f>IF(T45="NTS",VLOOKUP(T45,ma_miengiam!$A$3:$B$80,2,0)*R45*V45,IF(AND(T45="NTS",V45=0),0,IF(AND(LEFT(T45,1)="K",V45=0),VLOOKUP(T45,ma_miengiam!$A$3:$B$80,2,0)*R45,IF(LEFT(T45,1)="K",(VLOOKUP(T45,ma_miengiam!$A$3:$B$80,2,0)*R45/12)*V45,IF(AND(LEFT(T45,1)="S",V45&gt;0),(R45/12)*V45,IF(AND(LEFT(T45,1)="S",V45=0),R45,IF(T45="DH",VLOOKUP(T45,ma_miengiam!$A$3:$B$80,2,0)*R45,0)))))))</f>
        <v>120</v>
      </c>
      <c r="Y45" s="220">
        <f t="shared" si="131"/>
        <v>0</v>
      </c>
      <c r="Z45" s="220">
        <f t="shared" si="90"/>
        <v>0</v>
      </c>
      <c r="AA45" s="220">
        <f t="shared" ref="AA45:AB47" si="133">Q45</f>
        <v>270</v>
      </c>
      <c r="AB45" s="220">
        <f t="shared" si="133"/>
        <v>120</v>
      </c>
      <c r="AC45" s="220">
        <f t="shared" ref="AC45:AF47" si="134">W45</f>
        <v>270</v>
      </c>
      <c r="AD45" s="220">
        <f t="shared" si="134"/>
        <v>120</v>
      </c>
      <c r="AE45" s="220">
        <f t="shared" si="134"/>
        <v>0</v>
      </c>
      <c r="AF45" s="220">
        <f t="shared" si="134"/>
        <v>0</v>
      </c>
      <c r="AG45" s="220">
        <f>AH45+AI45</f>
        <v>0</v>
      </c>
      <c r="AH45" s="220">
        <f>EO45</f>
        <v>0</v>
      </c>
      <c r="AI45" s="220">
        <f>EN45</f>
        <v>0</v>
      </c>
      <c r="AJ45" s="220">
        <f t="shared" si="74"/>
        <v>0</v>
      </c>
      <c r="AK45" s="216">
        <f t="shared" si="8"/>
        <v>0</v>
      </c>
      <c r="AL45" s="220">
        <f t="shared" si="22"/>
        <v>0</v>
      </c>
      <c r="AM45" s="220">
        <f t="shared" si="23"/>
        <v>0</v>
      </c>
      <c r="AN45" s="221">
        <f t="shared" si="24"/>
        <v>0</v>
      </c>
      <c r="AO45" s="220">
        <f t="shared" si="25"/>
        <v>0</v>
      </c>
      <c r="AP45" s="220">
        <f t="shared" si="26"/>
        <v>0</v>
      </c>
      <c r="AQ45" s="220">
        <f t="shared" si="27"/>
        <v>0</v>
      </c>
      <c r="AR45" s="220">
        <f t="shared" si="28"/>
        <v>0</v>
      </c>
      <c r="AS45" s="220">
        <f t="shared" si="29"/>
        <v>0</v>
      </c>
      <c r="AT45" s="216">
        <f t="shared" si="30"/>
        <v>0</v>
      </c>
      <c r="AU45" s="222">
        <f t="shared" si="31"/>
        <v>0</v>
      </c>
      <c r="AV45" s="220"/>
      <c r="AW45" s="220">
        <f t="shared" si="32"/>
        <v>0</v>
      </c>
      <c r="AX45" s="216">
        <f t="shared" si="9"/>
        <v>0</v>
      </c>
      <c r="AY45" s="220">
        <f t="shared" si="33"/>
        <v>0</v>
      </c>
      <c r="AZ45" s="220">
        <f t="shared" si="34"/>
        <v>0</v>
      </c>
      <c r="BA45" s="220">
        <f t="shared" si="35"/>
        <v>0</v>
      </c>
      <c r="BB45" s="220">
        <f t="shared" si="36"/>
        <v>0</v>
      </c>
      <c r="BC45" s="220">
        <f t="shared" si="37"/>
        <v>0</v>
      </c>
      <c r="BD45" s="216">
        <f t="shared" si="10"/>
        <v>0</v>
      </c>
      <c r="BE45" s="220">
        <f t="shared" si="38"/>
        <v>0</v>
      </c>
      <c r="BF45" s="220">
        <f t="shared" si="39"/>
        <v>0</v>
      </c>
      <c r="BG45" s="220">
        <f t="shared" si="40"/>
        <v>0</v>
      </c>
      <c r="BH45" s="220">
        <f t="shared" si="41"/>
        <v>0</v>
      </c>
      <c r="BI45" s="220">
        <f t="shared" si="42"/>
        <v>0</v>
      </c>
      <c r="BJ45" s="220" t="s">
        <v>615</v>
      </c>
      <c r="BK45" s="220"/>
      <c r="BL45" s="223">
        <f t="shared" si="11"/>
        <v>0</v>
      </c>
      <c r="BM45" s="220">
        <v>3.33</v>
      </c>
      <c r="BN45" s="220"/>
      <c r="BO45" s="220">
        <f t="shared" si="107"/>
        <v>3.33</v>
      </c>
      <c r="BP45" s="220">
        <f>IF(AND(BL45&gt;0,BL45&lt;tiet!$D$1),BL45,IF(BL45&lt;=0,0,IF(BL45&gt;tiet!$C$1,tiet!$C$1)))</f>
        <v>0</v>
      </c>
      <c r="BQ45" s="87">
        <f t="shared" si="75"/>
        <v>65000</v>
      </c>
      <c r="BR45" s="224">
        <f t="shared" si="76"/>
        <v>0</v>
      </c>
      <c r="BS45" s="220">
        <f t="shared" si="12"/>
        <v>0</v>
      </c>
      <c r="BT45" s="224">
        <f>VLOOKUP(N45,ma_dinhmuc!$A$1:$J$31,10,0)</f>
        <v>51000</v>
      </c>
      <c r="BU45" s="224">
        <f>ROUND(IF(BS45&gt;0,VLOOKUP(N45,ma_dinhmuc!$A$1:$J$31,10,0)*BS45,0),0)</f>
        <v>0</v>
      </c>
      <c r="BV45" s="224">
        <f t="shared" si="77"/>
        <v>0</v>
      </c>
      <c r="BW45" s="224"/>
      <c r="BX45" s="224">
        <v>0</v>
      </c>
      <c r="BY45" s="224"/>
      <c r="BZ45" s="224"/>
      <c r="CA45" s="224"/>
      <c r="CB45" s="224"/>
      <c r="CC45" s="225">
        <f t="shared" si="44"/>
        <v>0</v>
      </c>
      <c r="CD45" s="224">
        <f t="shared" si="45"/>
        <v>0</v>
      </c>
      <c r="CE45" s="224"/>
      <c r="CF45" s="226"/>
      <c r="CG45" s="87"/>
      <c r="CH45" s="87">
        <f t="shared" si="109"/>
        <v>34</v>
      </c>
      <c r="CI45" s="227" t="str">
        <f t="shared" si="127"/>
        <v>Phạm Thị</v>
      </c>
      <c r="CJ45" s="227" t="str">
        <f t="shared" si="128"/>
        <v>Hiếu</v>
      </c>
      <c r="CK45" s="87">
        <f t="shared" si="132"/>
        <v>1</v>
      </c>
      <c r="CL45" s="227" t="str">
        <f t="shared" si="130"/>
        <v>Côn trùng</v>
      </c>
      <c r="CM45" s="87" t="str">
        <f t="shared" si="46"/>
        <v>CS2</v>
      </c>
      <c r="CN45" s="87">
        <f t="shared" ref="CN45:CO47" si="135">Q45</f>
        <v>270</v>
      </c>
      <c r="CO45" s="87">
        <f t="shared" si="135"/>
        <v>120</v>
      </c>
      <c r="CP45" s="229">
        <f t="shared" si="47"/>
        <v>0</v>
      </c>
      <c r="CQ45" s="229">
        <f t="shared" si="48"/>
        <v>0</v>
      </c>
      <c r="CR45" s="229">
        <f t="shared" si="49"/>
        <v>0</v>
      </c>
      <c r="CS45" s="229">
        <f t="shared" si="50"/>
        <v>0</v>
      </c>
      <c r="CT45" s="229">
        <f t="shared" si="51"/>
        <v>0</v>
      </c>
      <c r="CU45" s="229">
        <f t="shared" si="52"/>
        <v>0</v>
      </c>
      <c r="CV45" s="229">
        <f t="shared" si="53"/>
        <v>0</v>
      </c>
      <c r="CW45" s="229">
        <f t="shared" si="54"/>
        <v>0</v>
      </c>
      <c r="CX45" s="229">
        <f t="shared" si="55"/>
        <v>0</v>
      </c>
      <c r="CY45" s="229">
        <f t="shared" si="56"/>
        <v>0</v>
      </c>
      <c r="CZ45" s="229">
        <f t="shared" si="57"/>
        <v>0</v>
      </c>
      <c r="DA45" s="229">
        <f t="shared" si="58"/>
        <v>0</v>
      </c>
      <c r="DB45" s="228">
        <f t="shared" si="59"/>
        <v>0</v>
      </c>
      <c r="DC45" s="229"/>
      <c r="DD45" s="229"/>
      <c r="DE45" s="229"/>
      <c r="DF45" s="229"/>
      <c r="DG45" s="229"/>
      <c r="DH45" s="229"/>
      <c r="DI45" s="229"/>
      <c r="DJ45" s="229"/>
      <c r="DK45" s="229"/>
      <c r="DL45" s="229"/>
      <c r="DM45" s="229"/>
      <c r="DN45" s="229"/>
      <c r="DO45" s="228">
        <f t="shared" si="60"/>
        <v>0</v>
      </c>
      <c r="DP45" s="228">
        <f t="shared" si="61"/>
        <v>0</v>
      </c>
      <c r="DQ45" s="229">
        <f t="shared" si="62"/>
        <v>0</v>
      </c>
      <c r="DR45" s="229">
        <f t="shared" si="63"/>
        <v>0</v>
      </c>
      <c r="DS45" s="229">
        <f t="shared" si="64"/>
        <v>0</v>
      </c>
      <c r="DT45" s="229">
        <f t="shared" si="65"/>
        <v>0</v>
      </c>
      <c r="DU45" s="229">
        <f t="shared" si="66"/>
        <v>0</v>
      </c>
      <c r="DV45" s="229">
        <f t="shared" si="67"/>
        <v>0</v>
      </c>
      <c r="DW45" s="229">
        <f t="shared" si="68"/>
        <v>0</v>
      </c>
      <c r="DX45" s="228">
        <f t="shared" si="69"/>
        <v>0</v>
      </c>
      <c r="DY45" s="229"/>
      <c r="DZ45" s="229"/>
      <c r="EA45" s="229"/>
      <c r="EB45" s="229"/>
      <c r="EC45" s="229"/>
      <c r="ED45" s="229"/>
      <c r="EE45" s="229"/>
      <c r="EF45" s="228">
        <f t="shared" si="17"/>
        <v>0</v>
      </c>
      <c r="EG45" s="228">
        <f t="shared" si="70"/>
        <v>0</v>
      </c>
      <c r="EH45" s="229">
        <f t="shared" si="18"/>
        <v>0</v>
      </c>
      <c r="EI45" s="229">
        <v>0</v>
      </c>
      <c r="EJ45" s="228">
        <f t="shared" si="84"/>
        <v>0</v>
      </c>
      <c r="EK45" s="229"/>
      <c r="EL45" s="229"/>
      <c r="EM45" s="228">
        <f t="shared" si="117"/>
        <v>0</v>
      </c>
      <c r="EN45" s="229">
        <f t="shared" si="71"/>
        <v>0</v>
      </c>
      <c r="EO45" s="229">
        <f t="shared" si="72"/>
        <v>0</v>
      </c>
      <c r="EP45" s="228">
        <f t="shared" si="88"/>
        <v>0</v>
      </c>
      <c r="EQ45" s="173">
        <f t="shared" si="19"/>
        <v>0</v>
      </c>
      <c r="ER45" s="189">
        <v>0</v>
      </c>
      <c r="ES45" s="189">
        <v>0</v>
      </c>
      <c r="ET45" s="189">
        <v>0</v>
      </c>
      <c r="EU45" s="189">
        <v>0</v>
      </c>
      <c r="EV45" s="189">
        <v>0</v>
      </c>
      <c r="EW45" s="189">
        <v>0</v>
      </c>
      <c r="EX45" s="189">
        <v>0</v>
      </c>
      <c r="EY45" s="189">
        <v>0</v>
      </c>
      <c r="EZ45" s="189">
        <v>0</v>
      </c>
      <c r="FA45" s="189">
        <v>0</v>
      </c>
      <c r="FB45" s="189">
        <v>0</v>
      </c>
      <c r="FC45" s="189">
        <v>0</v>
      </c>
      <c r="FD45" s="189">
        <v>0</v>
      </c>
      <c r="FE45" s="189">
        <v>0</v>
      </c>
      <c r="FF45" s="189">
        <v>0</v>
      </c>
      <c r="FG45" s="189">
        <v>0</v>
      </c>
      <c r="FH45" s="189">
        <v>0</v>
      </c>
      <c r="FI45" s="189">
        <v>0</v>
      </c>
      <c r="FJ45" s="189">
        <v>0</v>
      </c>
      <c r="FK45" s="189">
        <v>0</v>
      </c>
      <c r="FL45" s="189">
        <v>0</v>
      </c>
      <c r="FN45" s="132">
        <v>0</v>
      </c>
    </row>
    <row r="46" spans="1:170" ht="27" customHeight="1">
      <c r="A46" s="88">
        <f>COUNTIF($H$12:H46,H46)</f>
        <v>35</v>
      </c>
      <c r="B46" s="88" t="s">
        <v>2259</v>
      </c>
      <c r="C46" s="88" t="s">
        <v>404</v>
      </c>
      <c r="D46" s="88"/>
      <c r="E46" s="88"/>
      <c r="F46" s="301" t="s">
        <v>1162</v>
      </c>
      <c r="G46" s="89" t="s">
        <v>1910</v>
      </c>
      <c r="H46" s="88">
        <v>1</v>
      </c>
      <c r="I46" s="88">
        <v>1</v>
      </c>
      <c r="J46" s="88">
        <v>1</v>
      </c>
      <c r="K46" s="90" t="s">
        <v>3076</v>
      </c>
      <c r="L46" s="90" t="s">
        <v>3076</v>
      </c>
      <c r="M46" s="214"/>
      <c r="N46" s="88" t="s">
        <v>1804</v>
      </c>
      <c r="O46" s="216">
        <f>BO46</f>
        <v>3.66</v>
      </c>
      <c r="P46" s="88" t="str">
        <f t="shared" si="0"/>
        <v>B1_4</v>
      </c>
      <c r="Q46" s="88">
        <f t="shared" si="1"/>
        <v>270</v>
      </c>
      <c r="R46" s="88">
        <f t="shared" si="2"/>
        <v>120</v>
      </c>
      <c r="S46" s="231" t="s">
        <v>2661</v>
      </c>
      <c r="T46" s="214" t="s">
        <v>3088</v>
      </c>
      <c r="U46" s="88">
        <f>IF(RIGHT(T46,1)="K",(VLOOKUP(T46,ma_miengiam!$A$3:$B$80,2,0)*100)/2,VLOOKUP(T46,ma_miengiam!$A$3:$B$80,2,0)*100)</f>
        <v>0</v>
      </c>
      <c r="V46" s="88">
        <v>2</v>
      </c>
      <c r="W46" s="220">
        <f>IF(AND(T46="NTS",V46&gt;0),(Q46-(Q46*V46)/12)*VLOOKUP(T46,ma_miengiam!$A$3:$B$80,2,0)+(Q46-(Q46*(12-V46))/12),IF(AND(RIGHT(T46,1)="K",V46&gt;0),(VLOOKUP(T46,ma_miengiam!$A$3:$B$80,2,0)/2)*(Q46*V46)/12,IF(RIGHT(T46,1)="K",(VLOOKUP(T46,ma_miengiam!$A$3:$B$80,2,0)*Q46)/2,IF(V46&gt;0,VLOOKUP(T46,ma_miengiam!$A$3:$B$80,2,0)*Q46*V46/12,VLOOKUP(T46,ma_miengiam!$A$3:$B$80,2,0)*Q46))))</f>
        <v>0</v>
      </c>
      <c r="X46" s="220">
        <f>IF(T46="NTS",VLOOKUP(T46,ma_miengiam!$A$3:$B$80,2,0)*R46*V46,IF(AND(T46="NTS",V46=0),0,IF(AND(LEFT(T46,1)="K",V46=0),VLOOKUP(T46,ma_miengiam!$A$3:$B$80,2,0)*R46,IF(LEFT(T46,1)="K",(VLOOKUP(T46,ma_miengiam!$A$3:$B$80,2,0)*R46/12)*V46,IF(AND(LEFT(T46,1)="S",V46&gt;0),(R46/12)*V46,IF(AND(LEFT(T46,1)="S",V46=0),R46,IF(T46="DH",VLOOKUP(T46,ma_miengiam!$A$3:$B$80,2,0)*R46,0)))))))</f>
        <v>0</v>
      </c>
      <c r="Y46" s="220">
        <f t="shared" si="131"/>
        <v>45</v>
      </c>
      <c r="Z46" s="220">
        <f>IF(AND(T46="SĐH",V46&gt;0),(R46/12)*V46-X46,IF(AND(T46="DH",V46&gt;0),(R46*V46/12),IF(AND(T46&lt;&gt;"NTS",V46&gt;0),(R46*V46/12)-X46,IF(AND(T46="NTS",V46&gt;0),R46-X46,R46-X46))))</f>
        <v>20</v>
      </c>
      <c r="AA46" s="220">
        <f t="shared" si="133"/>
        <v>270</v>
      </c>
      <c r="AB46" s="220">
        <f t="shared" si="133"/>
        <v>120</v>
      </c>
      <c r="AC46" s="220">
        <f t="shared" si="134"/>
        <v>0</v>
      </c>
      <c r="AD46" s="220">
        <f t="shared" si="134"/>
        <v>0</v>
      </c>
      <c r="AE46" s="220">
        <f t="shared" si="134"/>
        <v>45</v>
      </c>
      <c r="AF46" s="220">
        <f t="shared" si="134"/>
        <v>20</v>
      </c>
      <c r="AG46" s="220">
        <f>AH46+AI46</f>
        <v>70.69</v>
      </c>
      <c r="AH46" s="220">
        <f>EO46</f>
        <v>1.52</v>
      </c>
      <c r="AI46" s="220">
        <f>EN46</f>
        <v>69.17</v>
      </c>
      <c r="AJ46" s="220">
        <f>IF(AG46-Z46&gt;0,0,AG46-Z46)</f>
        <v>0</v>
      </c>
      <c r="AK46" s="216">
        <f t="shared" si="8"/>
        <v>45</v>
      </c>
      <c r="AL46" s="220">
        <f t="shared" si="22"/>
        <v>31</v>
      </c>
      <c r="AM46" s="220">
        <f t="shared" si="23"/>
        <v>0</v>
      </c>
      <c r="AN46" s="221">
        <f t="shared" si="24"/>
        <v>31</v>
      </c>
      <c r="AO46" s="220">
        <f t="shared" si="25"/>
        <v>20</v>
      </c>
      <c r="AP46" s="220">
        <f t="shared" si="26"/>
        <v>0</v>
      </c>
      <c r="AQ46" s="220">
        <f t="shared" si="27"/>
        <v>20</v>
      </c>
      <c r="AR46" s="220">
        <f t="shared" si="28"/>
        <v>0</v>
      </c>
      <c r="AS46" s="220">
        <f t="shared" si="29"/>
        <v>0</v>
      </c>
      <c r="AT46" s="216">
        <f t="shared" si="30"/>
        <v>71</v>
      </c>
      <c r="AU46" s="222">
        <f>AN46-AK46</f>
        <v>-14</v>
      </c>
      <c r="AV46" s="220"/>
      <c r="AW46" s="220">
        <f t="shared" si="32"/>
        <v>-14</v>
      </c>
      <c r="AX46" s="216">
        <f t="shared" si="9"/>
        <v>-14</v>
      </c>
      <c r="AY46" s="220">
        <f t="shared" si="33"/>
        <v>6</v>
      </c>
      <c r="AZ46" s="220">
        <f t="shared" si="34"/>
        <v>0</v>
      </c>
      <c r="BA46" s="220">
        <f t="shared" si="35"/>
        <v>20</v>
      </c>
      <c r="BB46" s="220">
        <f t="shared" si="36"/>
        <v>0</v>
      </c>
      <c r="BC46" s="220">
        <f t="shared" si="37"/>
        <v>0</v>
      </c>
      <c r="BD46" s="216">
        <f t="shared" si="10"/>
        <v>26</v>
      </c>
      <c r="BE46" s="220">
        <f t="shared" si="38"/>
        <v>-14</v>
      </c>
      <c r="BF46" s="220">
        <f t="shared" si="39"/>
        <v>0</v>
      </c>
      <c r="BG46" s="220">
        <f t="shared" si="40"/>
        <v>0</v>
      </c>
      <c r="BH46" s="220">
        <f t="shared" si="41"/>
        <v>0</v>
      </c>
      <c r="BI46" s="220">
        <f t="shared" si="42"/>
        <v>0</v>
      </c>
      <c r="BJ46" s="220" t="s">
        <v>615</v>
      </c>
      <c r="BK46" s="220"/>
      <c r="BL46" s="223">
        <f t="shared" si="11"/>
        <v>0</v>
      </c>
      <c r="BM46" s="220">
        <v>3.66</v>
      </c>
      <c r="BN46" s="220"/>
      <c r="BO46" s="220">
        <f>ROUND(BM46+(BM46*BN46),2)</f>
        <v>3.66</v>
      </c>
      <c r="BP46" s="220">
        <f>IF(AND(BL46&gt;0,BL46&lt;tiet!$D$1),BL46,IF(BL46&lt;=0,0,IF(BL46&gt;tiet!$C$1,tiet!$C$1)))</f>
        <v>0</v>
      </c>
      <c r="BQ46" s="87">
        <f>VLOOKUP(P46,ma_dinhmuc_moi,4,0)</f>
        <v>65000</v>
      </c>
      <c r="BR46" s="224">
        <f>ROUND(BQ46*BP46,0)</f>
        <v>0</v>
      </c>
      <c r="BS46" s="220">
        <f t="shared" si="12"/>
        <v>0</v>
      </c>
      <c r="BT46" s="224">
        <f>VLOOKUP(N46,ma_dinhmuc!$A$1:$J$31,10,0)</f>
        <v>51000</v>
      </c>
      <c r="BU46" s="224">
        <f>ROUND(IF(BS46&gt;0,VLOOKUP(N46,ma_dinhmuc!$A$1:$J$31,10,0)*BS46,0),0)</f>
        <v>0</v>
      </c>
      <c r="BV46" s="224">
        <f>ROUND(BU46+BR46,0)</f>
        <v>0</v>
      </c>
      <c r="BW46" s="224"/>
      <c r="BX46" s="224">
        <v>0</v>
      </c>
      <c r="BY46" s="224"/>
      <c r="BZ46" s="224"/>
      <c r="CA46" s="224"/>
      <c r="CB46" s="224"/>
      <c r="CC46" s="225">
        <f>ROUND(IF(BV46+BW46&gt;BX46+BY46+BZ46+CA46+CB46,(BW46+BV46)-(BX46+BY46+BZ46+CA46+CB46+CB46),0),0)</f>
        <v>0</v>
      </c>
      <c r="CD46" s="224">
        <f>ROUND(IF(BV46+BW46&lt;BX46+BY46+BZ46+CA46-CB46,(BX46+BY46+BZ46+CA46-CB46)-(BW46+BV46),0),0)</f>
        <v>0</v>
      </c>
      <c r="CE46" s="224"/>
      <c r="CF46" s="226"/>
      <c r="CG46" s="87"/>
      <c r="CH46" s="87">
        <f>A46</f>
        <v>35</v>
      </c>
      <c r="CI46" s="227" t="str">
        <f t="shared" si="127"/>
        <v>Nguyễn Đức</v>
      </c>
      <c r="CJ46" s="227" t="str">
        <f t="shared" si="128"/>
        <v>Khánh</v>
      </c>
      <c r="CK46" s="87">
        <f t="shared" si="132"/>
        <v>1</v>
      </c>
      <c r="CL46" s="227" t="str">
        <f t="shared" si="130"/>
        <v>Côn trùng</v>
      </c>
      <c r="CM46" s="87" t="str">
        <f t="shared" si="46"/>
        <v>CS2</v>
      </c>
      <c r="CN46" s="87">
        <f>Q46</f>
        <v>270</v>
      </c>
      <c r="CO46" s="87">
        <f>R46</f>
        <v>120</v>
      </c>
      <c r="CP46" s="229">
        <f t="shared" si="47"/>
        <v>0</v>
      </c>
      <c r="CQ46" s="229">
        <f t="shared" si="48"/>
        <v>0</v>
      </c>
      <c r="CR46" s="229">
        <f t="shared" si="49"/>
        <v>0</v>
      </c>
      <c r="CS46" s="229">
        <f t="shared" si="50"/>
        <v>0</v>
      </c>
      <c r="CT46" s="229">
        <f t="shared" si="51"/>
        <v>0</v>
      </c>
      <c r="CU46" s="229">
        <f t="shared" si="52"/>
        <v>31</v>
      </c>
      <c r="CV46" s="229">
        <f t="shared" si="53"/>
        <v>0</v>
      </c>
      <c r="CW46" s="229">
        <f t="shared" si="54"/>
        <v>0</v>
      </c>
      <c r="CX46" s="229">
        <f t="shared" si="55"/>
        <v>0</v>
      </c>
      <c r="CY46" s="229">
        <f t="shared" si="56"/>
        <v>20</v>
      </c>
      <c r="CZ46" s="229">
        <f t="shared" si="57"/>
        <v>0</v>
      </c>
      <c r="DA46" s="229">
        <f t="shared" si="58"/>
        <v>20</v>
      </c>
      <c r="DB46" s="228">
        <f t="shared" si="59"/>
        <v>71</v>
      </c>
      <c r="DC46" s="229"/>
      <c r="DD46" s="229"/>
      <c r="DE46" s="229"/>
      <c r="DF46" s="229"/>
      <c r="DG46" s="229"/>
      <c r="DH46" s="229"/>
      <c r="DI46" s="229"/>
      <c r="DJ46" s="229"/>
      <c r="DK46" s="229"/>
      <c r="DL46" s="229"/>
      <c r="DM46" s="229"/>
      <c r="DN46" s="229"/>
      <c r="DO46" s="228">
        <f t="shared" si="60"/>
        <v>0</v>
      </c>
      <c r="DP46" s="228">
        <f t="shared" si="61"/>
        <v>71</v>
      </c>
      <c r="DQ46" s="229">
        <f t="shared" si="62"/>
        <v>0</v>
      </c>
      <c r="DR46" s="229">
        <f t="shared" si="63"/>
        <v>0</v>
      </c>
      <c r="DS46" s="229">
        <f t="shared" si="64"/>
        <v>0</v>
      </c>
      <c r="DT46" s="229">
        <f t="shared" si="65"/>
        <v>0</v>
      </c>
      <c r="DU46" s="229">
        <f t="shared" si="66"/>
        <v>0</v>
      </c>
      <c r="DV46" s="229">
        <f t="shared" si="67"/>
        <v>0</v>
      </c>
      <c r="DW46" s="229">
        <f t="shared" si="68"/>
        <v>0</v>
      </c>
      <c r="DX46" s="228">
        <f t="shared" si="69"/>
        <v>0</v>
      </c>
      <c r="DY46" s="229"/>
      <c r="DZ46" s="229"/>
      <c r="EA46" s="229"/>
      <c r="EB46" s="229"/>
      <c r="EC46" s="229"/>
      <c r="ED46" s="229"/>
      <c r="EE46" s="229"/>
      <c r="EF46" s="228">
        <f t="shared" si="17"/>
        <v>0</v>
      </c>
      <c r="EG46" s="228">
        <f t="shared" si="70"/>
        <v>0</v>
      </c>
      <c r="EH46" s="229">
        <f t="shared" si="18"/>
        <v>69.17</v>
      </c>
      <c r="EI46" s="229">
        <v>1.52</v>
      </c>
      <c r="EJ46" s="228">
        <f>SUM(EH46:EI46)</f>
        <v>70.69</v>
      </c>
      <c r="EK46" s="229"/>
      <c r="EL46" s="229"/>
      <c r="EM46" s="228">
        <f>SUM(EK46:EL46)</f>
        <v>0</v>
      </c>
      <c r="EN46" s="229">
        <f t="shared" si="71"/>
        <v>69.17</v>
      </c>
      <c r="EO46" s="229">
        <f>EI46</f>
        <v>1.52</v>
      </c>
      <c r="EP46" s="228">
        <f>EM46+EJ46</f>
        <v>70.69</v>
      </c>
      <c r="EQ46" s="173">
        <f t="shared" si="19"/>
        <v>49.17</v>
      </c>
      <c r="ER46" s="189">
        <v>0</v>
      </c>
      <c r="ES46" s="189">
        <v>0</v>
      </c>
      <c r="ET46" s="189">
        <v>0</v>
      </c>
      <c r="EU46" s="189">
        <v>0</v>
      </c>
      <c r="EV46" s="189">
        <v>0</v>
      </c>
      <c r="EW46" s="189">
        <v>31</v>
      </c>
      <c r="EX46" s="189">
        <v>0</v>
      </c>
      <c r="EY46" s="189">
        <v>0</v>
      </c>
      <c r="EZ46" s="189">
        <v>0</v>
      </c>
      <c r="FA46" s="189">
        <v>20</v>
      </c>
      <c r="FB46" s="189">
        <v>0</v>
      </c>
      <c r="FC46" s="189">
        <v>20</v>
      </c>
      <c r="FD46" s="189">
        <v>0</v>
      </c>
      <c r="FE46" s="189">
        <v>0</v>
      </c>
      <c r="FF46" s="189">
        <v>0</v>
      </c>
      <c r="FG46" s="189">
        <v>0</v>
      </c>
      <c r="FH46" s="189">
        <v>0</v>
      </c>
      <c r="FI46" s="189">
        <v>0</v>
      </c>
      <c r="FJ46" s="189">
        <v>0</v>
      </c>
      <c r="FK46" s="189">
        <v>71</v>
      </c>
      <c r="FL46" s="189">
        <v>71</v>
      </c>
      <c r="FN46" s="132">
        <v>69.17</v>
      </c>
    </row>
    <row r="47" spans="1:170" ht="30" customHeight="1">
      <c r="A47" s="88">
        <f>COUNTIF($H$12:H47,H47)</f>
        <v>36</v>
      </c>
      <c r="B47" s="88" t="s">
        <v>2260</v>
      </c>
      <c r="C47" s="88" t="s">
        <v>405</v>
      </c>
      <c r="D47" s="88"/>
      <c r="E47" s="88"/>
      <c r="F47" s="301" t="s">
        <v>1162</v>
      </c>
      <c r="G47" s="89" t="s">
        <v>2809</v>
      </c>
      <c r="H47" s="88">
        <v>1</v>
      </c>
      <c r="I47" s="88">
        <v>1</v>
      </c>
      <c r="J47" s="88">
        <v>1</v>
      </c>
      <c r="K47" s="90" t="s">
        <v>3076</v>
      </c>
      <c r="L47" s="90" t="s">
        <v>3076</v>
      </c>
      <c r="M47" s="214"/>
      <c r="N47" s="88" t="s">
        <v>1804</v>
      </c>
      <c r="O47" s="216">
        <f t="shared" si="116"/>
        <v>3.66</v>
      </c>
      <c r="P47" s="88" t="str">
        <f t="shared" si="0"/>
        <v>B1_4</v>
      </c>
      <c r="Q47" s="88">
        <f t="shared" si="1"/>
        <v>270</v>
      </c>
      <c r="R47" s="88">
        <f t="shared" si="2"/>
        <v>120</v>
      </c>
      <c r="S47" s="231"/>
      <c r="T47" s="214" t="s">
        <v>3088</v>
      </c>
      <c r="U47" s="88">
        <f>IF(RIGHT(T47,1)="K",(VLOOKUP(T47,ma_miengiam!$A$3:$B$80,2,0)*100)/2,VLOOKUP(T47,ma_miengiam!$A$3:$B$80,2,0)*100)</f>
        <v>0</v>
      </c>
      <c r="V47" s="88"/>
      <c r="W47" s="220">
        <f>IF(AND(T47="NTS",V47&gt;0),(Q47-(Q47*V47)/12)*VLOOKUP(T47,ma_miengiam!$A$3:$B$80,2,0)+(Q47-(Q47*(12-V47))/12),IF(AND(RIGHT(T47,1)="K",V47&gt;0),(VLOOKUP(T47,ma_miengiam!$A$3:$B$80,2,0)/2)*(Q47*V47)/12,IF(RIGHT(T47,1)="K",(VLOOKUP(T47,ma_miengiam!$A$3:$B$80,2,0)*Q47)/2,IF(V47&gt;0,VLOOKUP(T47,ma_miengiam!$A$3:$B$80,2,0)*Q47*V47/12,VLOOKUP(T47,ma_miengiam!$A$3:$B$80,2,0)*Q47))))</f>
        <v>0</v>
      </c>
      <c r="X47" s="220">
        <f>IF(T47="NTS",VLOOKUP(T47,ma_miengiam!$A$3:$B$80,2,0)*R47*V47,IF(AND(T47="NTS",V47=0),0,IF(AND(LEFT(T47,1)="K",V47=0),VLOOKUP(T47,ma_miengiam!$A$3:$B$80,2,0)*R47,IF(LEFT(T47,1)="K",(VLOOKUP(T47,ma_miengiam!$A$3:$B$80,2,0)*R47/12)*V47,IF(AND(LEFT(T47,1)="S",V47&gt;0),(R47/12)*V47,IF(AND(LEFT(T47,1)="S",V47=0),R47,IF(T47="DH",VLOOKUP(T47,ma_miengiam!$A$3:$B$80,2,0)*R47,0)))))))</f>
        <v>0</v>
      </c>
      <c r="Y47" s="220">
        <f t="shared" si="131"/>
        <v>270</v>
      </c>
      <c r="Z47" s="220">
        <f t="shared" si="90"/>
        <v>120</v>
      </c>
      <c r="AA47" s="220">
        <f t="shared" si="133"/>
        <v>270</v>
      </c>
      <c r="AB47" s="220">
        <f t="shared" si="133"/>
        <v>120</v>
      </c>
      <c r="AC47" s="220">
        <f t="shared" si="134"/>
        <v>0</v>
      </c>
      <c r="AD47" s="220">
        <f t="shared" si="134"/>
        <v>0</v>
      </c>
      <c r="AE47" s="220">
        <f t="shared" si="134"/>
        <v>270</v>
      </c>
      <c r="AF47" s="220">
        <f t="shared" si="134"/>
        <v>120</v>
      </c>
      <c r="AG47" s="220">
        <f>AH47+AI47</f>
        <v>578.58000000000004</v>
      </c>
      <c r="AH47" s="220">
        <f>EO47</f>
        <v>0</v>
      </c>
      <c r="AI47" s="220">
        <f>EN47</f>
        <v>578.58000000000004</v>
      </c>
      <c r="AJ47" s="220">
        <f t="shared" si="74"/>
        <v>0</v>
      </c>
      <c r="AK47" s="216">
        <f t="shared" si="8"/>
        <v>270</v>
      </c>
      <c r="AL47" s="220">
        <f t="shared" si="22"/>
        <v>178.3</v>
      </c>
      <c r="AM47" s="220">
        <f t="shared" si="23"/>
        <v>58.2</v>
      </c>
      <c r="AN47" s="221">
        <f t="shared" si="24"/>
        <v>236.5</v>
      </c>
      <c r="AO47" s="220">
        <f t="shared" si="25"/>
        <v>0</v>
      </c>
      <c r="AP47" s="220">
        <f t="shared" si="26"/>
        <v>0</v>
      </c>
      <c r="AQ47" s="220">
        <f t="shared" si="27"/>
        <v>100</v>
      </c>
      <c r="AR47" s="220">
        <f t="shared" si="28"/>
        <v>80</v>
      </c>
      <c r="AS47" s="220">
        <f t="shared" si="29"/>
        <v>0</v>
      </c>
      <c r="AT47" s="216">
        <f t="shared" si="30"/>
        <v>416.5</v>
      </c>
      <c r="AU47" s="222">
        <f t="shared" si="31"/>
        <v>-33.5</v>
      </c>
      <c r="AV47" s="220"/>
      <c r="AW47" s="220">
        <f t="shared" si="32"/>
        <v>-33.5</v>
      </c>
      <c r="AX47" s="216">
        <f t="shared" si="9"/>
        <v>-33.5</v>
      </c>
      <c r="AY47" s="220">
        <f t="shared" si="33"/>
        <v>0</v>
      </c>
      <c r="AZ47" s="220">
        <f t="shared" si="34"/>
        <v>0</v>
      </c>
      <c r="BA47" s="220">
        <f t="shared" si="35"/>
        <v>66.5</v>
      </c>
      <c r="BB47" s="220">
        <f t="shared" si="36"/>
        <v>80</v>
      </c>
      <c r="BC47" s="220">
        <f t="shared" si="37"/>
        <v>0</v>
      </c>
      <c r="BD47" s="216">
        <f t="shared" si="10"/>
        <v>146.5</v>
      </c>
      <c r="BE47" s="220">
        <f t="shared" si="38"/>
        <v>0</v>
      </c>
      <c r="BF47" s="220">
        <f t="shared" si="39"/>
        <v>0</v>
      </c>
      <c r="BG47" s="220">
        <f t="shared" si="40"/>
        <v>-33.5</v>
      </c>
      <c r="BH47" s="220">
        <f t="shared" si="41"/>
        <v>0</v>
      </c>
      <c r="BI47" s="220">
        <f t="shared" si="42"/>
        <v>0</v>
      </c>
      <c r="BJ47" s="220" t="s">
        <v>615</v>
      </c>
      <c r="BK47" s="220"/>
      <c r="BL47" s="223">
        <f t="shared" si="11"/>
        <v>0</v>
      </c>
      <c r="BM47" s="220">
        <v>3.66</v>
      </c>
      <c r="BN47" s="220"/>
      <c r="BO47" s="220">
        <f t="shared" si="107"/>
        <v>3.66</v>
      </c>
      <c r="BP47" s="220">
        <f>IF(AND(BL47&gt;0,BL47&lt;tiet!$D$1),BL47,IF(BL47&lt;=0,0,IF(BL47&gt;tiet!$C$1,tiet!$C$1)))</f>
        <v>0</v>
      </c>
      <c r="BQ47" s="87">
        <f t="shared" si="75"/>
        <v>65000</v>
      </c>
      <c r="BR47" s="224">
        <f t="shared" si="76"/>
        <v>0</v>
      </c>
      <c r="BS47" s="220">
        <f t="shared" si="12"/>
        <v>0</v>
      </c>
      <c r="BT47" s="224">
        <f>VLOOKUP(N47,ma_dinhmuc!$A$1:$J$31,10,0)</f>
        <v>51000</v>
      </c>
      <c r="BU47" s="224">
        <f>ROUND(IF(BS47&gt;0,VLOOKUP(N47,ma_dinhmuc!$A$1:$J$31,10,0)*BS47,0),0)</f>
        <v>0</v>
      </c>
      <c r="BV47" s="224">
        <f t="shared" si="77"/>
        <v>0</v>
      </c>
      <c r="BW47" s="224"/>
      <c r="BX47" s="224">
        <v>0</v>
      </c>
      <c r="BY47" s="224"/>
      <c r="BZ47" s="224"/>
      <c r="CA47" s="224"/>
      <c r="CB47" s="224"/>
      <c r="CC47" s="225">
        <f t="shared" si="44"/>
        <v>0</v>
      </c>
      <c r="CD47" s="224">
        <f t="shared" si="45"/>
        <v>0</v>
      </c>
      <c r="CE47" s="224"/>
      <c r="CF47" s="226"/>
      <c r="CG47" s="87"/>
      <c r="CH47" s="87">
        <f t="shared" si="109"/>
        <v>36</v>
      </c>
      <c r="CI47" s="227" t="str">
        <f t="shared" si="127"/>
        <v>Nguyễn Đức</v>
      </c>
      <c r="CJ47" s="227" t="str">
        <f t="shared" si="128"/>
        <v>Tùng</v>
      </c>
      <c r="CK47" s="87">
        <f t="shared" si="132"/>
        <v>1</v>
      </c>
      <c r="CL47" s="227" t="str">
        <f t="shared" si="130"/>
        <v>Côn trùng</v>
      </c>
      <c r="CM47" s="87" t="str">
        <f t="shared" si="46"/>
        <v>CS2</v>
      </c>
      <c r="CN47" s="87">
        <f t="shared" si="135"/>
        <v>270</v>
      </c>
      <c r="CO47" s="87">
        <f t="shared" si="135"/>
        <v>120</v>
      </c>
      <c r="CP47" s="229">
        <f t="shared" si="47"/>
        <v>0</v>
      </c>
      <c r="CQ47" s="229">
        <f t="shared" si="48"/>
        <v>15.6</v>
      </c>
      <c r="CR47" s="229">
        <f t="shared" si="49"/>
        <v>6.3</v>
      </c>
      <c r="CS47" s="229">
        <f t="shared" si="50"/>
        <v>0</v>
      </c>
      <c r="CT47" s="229">
        <f t="shared" si="51"/>
        <v>0</v>
      </c>
      <c r="CU47" s="229">
        <f t="shared" si="52"/>
        <v>73.400000000000006</v>
      </c>
      <c r="CV47" s="229">
        <f t="shared" si="53"/>
        <v>0</v>
      </c>
      <c r="CW47" s="229">
        <f t="shared" si="54"/>
        <v>83</v>
      </c>
      <c r="CX47" s="229">
        <f t="shared" si="55"/>
        <v>0</v>
      </c>
      <c r="CY47" s="229">
        <f t="shared" si="56"/>
        <v>0</v>
      </c>
      <c r="CZ47" s="229">
        <f t="shared" si="57"/>
        <v>0</v>
      </c>
      <c r="DA47" s="229">
        <f t="shared" si="58"/>
        <v>100</v>
      </c>
      <c r="DB47" s="228">
        <f t="shared" si="59"/>
        <v>278.3</v>
      </c>
      <c r="DC47" s="229"/>
      <c r="DD47" s="229"/>
      <c r="DE47" s="229"/>
      <c r="DF47" s="229"/>
      <c r="DG47" s="229"/>
      <c r="DH47" s="229"/>
      <c r="DI47" s="229"/>
      <c r="DJ47" s="229"/>
      <c r="DK47" s="229"/>
      <c r="DL47" s="229"/>
      <c r="DM47" s="229"/>
      <c r="DN47" s="229"/>
      <c r="DO47" s="228">
        <f t="shared" si="60"/>
        <v>0</v>
      </c>
      <c r="DP47" s="228">
        <f t="shared" si="61"/>
        <v>278.3</v>
      </c>
      <c r="DQ47" s="229">
        <f t="shared" si="62"/>
        <v>54</v>
      </c>
      <c r="DR47" s="229">
        <f t="shared" si="63"/>
        <v>3</v>
      </c>
      <c r="DS47" s="229">
        <f t="shared" si="64"/>
        <v>0</v>
      </c>
      <c r="DT47" s="229">
        <f t="shared" si="65"/>
        <v>1.2</v>
      </c>
      <c r="DU47" s="229">
        <f t="shared" si="66"/>
        <v>0</v>
      </c>
      <c r="DV47" s="229">
        <f t="shared" si="67"/>
        <v>80</v>
      </c>
      <c r="DW47" s="229">
        <f t="shared" si="68"/>
        <v>0</v>
      </c>
      <c r="DX47" s="228">
        <f t="shared" si="69"/>
        <v>138.19999999999999</v>
      </c>
      <c r="DY47" s="229"/>
      <c r="DZ47" s="229"/>
      <c r="EA47" s="229"/>
      <c r="EB47" s="229"/>
      <c r="EC47" s="229"/>
      <c r="ED47" s="229"/>
      <c r="EE47" s="229"/>
      <c r="EF47" s="228">
        <f t="shared" si="17"/>
        <v>0</v>
      </c>
      <c r="EG47" s="228">
        <f t="shared" si="70"/>
        <v>138.19999999999999</v>
      </c>
      <c r="EH47" s="229">
        <f t="shared" si="18"/>
        <v>578.58000000000004</v>
      </c>
      <c r="EI47" s="229">
        <v>0</v>
      </c>
      <c r="EJ47" s="228">
        <f t="shared" si="84"/>
        <v>578.58000000000004</v>
      </c>
      <c r="EK47" s="229"/>
      <c r="EL47" s="229"/>
      <c r="EM47" s="228">
        <f t="shared" si="117"/>
        <v>0</v>
      </c>
      <c r="EN47" s="229">
        <f t="shared" si="71"/>
        <v>578.58000000000004</v>
      </c>
      <c r="EO47" s="229">
        <f t="shared" si="72"/>
        <v>0</v>
      </c>
      <c r="EP47" s="228">
        <f t="shared" si="88"/>
        <v>578.58000000000004</v>
      </c>
      <c r="EQ47" s="173">
        <f t="shared" si="19"/>
        <v>458.58000000000004</v>
      </c>
      <c r="ER47" s="189">
        <v>0</v>
      </c>
      <c r="ES47" s="189">
        <v>15.6</v>
      </c>
      <c r="ET47" s="189">
        <v>6.3</v>
      </c>
      <c r="EU47" s="189">
        <v>0</v>
      </c>
      <c r="EV47" s="189">
        <v>0</v>
      </c>
      <c r="EW47" s="189">
        <v>73.400000000000006</v>
      </c>
      <c r="EX47" s="189">
        <v>0</v>
      </c>
      <c r="EY47" s="189">
        <v>83</v>
      </c>
      <c r="EZ47" s="189">
        <v>0</v>
      </c>
      <c r="FA47" s="189">
        <v>0</v>
      </c>
      <c r="FB47" s="189">
        <v>0</v>
      </c>
      <c r="FC47" s="189">
        <v>100</v>
      </c>
      <c r="FD47" s="189">
        <v>54</v>
      </c>
      <c r="FE47" s="189">
        <v>3</v>
      </c>
      <c r="FF47" s="189">
        <v>0</v>
      </c>
      <c r="FG47" s="189">
        <v>1.2</v>
      </c>
      <c r="FH47" s="189">
        <v>80</v>
      </c>
      <c r="FI47" s="189">
        <v>0</v>
      </c>
      <c r="FJ47" s="189">
        <v>0</v>
      </c>
      <c r="FK47" s="189">
        <v>416.5</v>
      </c>
      <c r="FL47" s="189">
        <v>323</v>
      </c>
      <c r="FN47" s="132">
        <v>578.58000000000004</v>
      </c>
    </row>
    <row r="48" spans="1:170" ht="30" customHeight="1">
      <c r="A48" s="88">
        <f>COUNTIF($H$12:H48,H48)</f>
        <v>37</v>
      </c>
      <c r="B48" s="88" t="s">
        <v>2261</v>
      </c>
      <c r="C48" s="88" t="s">
        <v>406</v>
      </c>
      <c r="D48" s="88"/>
      <c r="E48" s="88"/>
      <c r="F48" s="301" t="s">
        <v>2810</v>
      </c>
      <c r="G48" s="303" t="s">
        <v>2086</v>
      </c>
      <c r="H48" s="88">
        <v>1</v>
      </c>
      <c r="I48" s="88">
        <v>1</v>
      </c>
      <c r="J48" s="88">
        <v>1</v>
      </c>
      <c r="K48" s="90" t="s">
        <v>3076</v>
      </c>
      <c r="L48" s="90" t="s">
        <v>3076</v>
      </c>
      <c r="M48" s="214"/>
      <c r="N48" s="88" t="s">
        <v>605</v>
      </c>
      <c r="O48" s="216">
        <f>BO48</f>
        <v>6.2</v>
      </c>
      <c r="P48" s="88" t="str">
        <f t="shared" si="0"/>
        <v>B1_6</v>
      </c>
      <c r="Q48" s="88">
        <f t="shared" si="1"/>
        <v>270</v>
      </c>
      <c r="R48" s="88">
        <f t="shared" si="2"/>
        <v>170</v>
      </c>
      <c r="S48" s="231" t="s">
        <v>2035</v>
      </c>
      <c r="T48" s="215" t="s">
        <v>3090</v>
      </c>
      <c r="U48" s="88">
        <f>IF(RIGHT(T48,1)="K",(VLOOKUP(T48,ma_miengiam!$A$3:$B$80,2,0)*100)/2,VLOOKUP(T48,ma_miengiam!$A$3:$B$80,2,0)*100)</f>
        <v>15</v>
      </c>
      <c r="V48" s="88"/>
      <c r="W48" s="220">
        <f>IF(AND(T48="NTS",V48&gt;0),(Q48-(Q48*V48)/12)*VLOOKUP(T48,ma_miengiam!$A$3:$B$80,2,0)+(Q48-(Q48*(12-V48))/12),IF(AND(RIGHT(T48,1)="K",V48&gt;0),(VLOOKUP(T48,ma_miengiam!$A$3:$B$80,2,0)/2)*(Q48*V48)/12,IF(RIGHT(T48,1)="K",(VLOOKUP(T48,ma_miengiam!$A$3:$B$80,2,0)*Q48)/2,IF(V48&gt;0,VLOOKUP(T48,ma_miengiam!$A$3:$B$80,2,0)*Q48*V48/12,VLOOKUP(T48,ma_miengiam!$A$3:$B$80,2,0)*Q48))))</f>
        <v>40.5</v>
      </c>
      <c r="X48" s="220">
        <f>IF(T48="NTS",VLOOKUP(T48,ma_miengiam!$A$3:$B$80,2,0)*R48*V48,IF(AND(T48="NTS",V48=0),0,IF(AND(LEFT(T48,1)="K",V48=0),VLOOKUP(T48,ma_miengiam!$A$3:$B$80,2,0)*R48,IF(LEFT(T48,1)="K",(VLOOKUP(T48,ma_miengiam!$A$3:$B$80,2,0)*R48/12)*V48,IF(AND(LEFT(T48,1)="S",V48&gt;0),(R48/12)*V48,IF(AND(LEFT(T48,1)="S",V48=0),R48,IF(T48="DH",VLOOKUP(T48,ma_miengiam!$A$3:$B$80,2,0)*R48,0)))))))</f>
        <v>0</v>
      </c>
      <c r="Y48" s="220">
        <f t="shared" si="131"/>
        <v>229.5</v>
      </c>
      <c r="Z48" s="220">
        <f>IF(AND(T48="SĐH",V48&gt;0),(R48/12)*V48-X48,IF(AND(T48="DH",V48&gt;0),(R48*V48/12),IF(AND(T48&lt;&gt;"NTS",V48&gt;0),(R48*V48/12)-X48,IF(AND(T48="NTS",V48&gt;0),R48-X48,R48-X48))))</f>
        <v>170</v>
      </c>
      <c r="AA48" s="220">
        <f t="shared" ref="AA48:AB50" si="136">Q48</f>
        <v>270</v>
      </c>
      <c r="AB48" s="220">
        <f t="shared" si="136"/>
        <v>170</v>
      </c>
      <c r="AC48" s="220">
        <f t="shared" ref="AC48:AF49" si="137">W48</f>
        <v>40.5</v>
      </c>
      <c r="AD48" s="220">
        <f t="shared" si="137"/>
        <v>0</v>
      </c>
      <c r="AE48" s="220">
        <f t="shared" si="137"/>
        <v>229.5</v>
      </c>
      <c r="AF48" s="220">
        <f t="shared" si="137"/>
        <v>170</v>
      </c>
      <c r="AG48" s="220">
        <f t="shared" ref="AG48:AG54" si="138">AH48+AI48</f>
        <v>80</v>
      </c>
      <c r="AH48" s="220">
        <f t="shared" ref="AH48:AH54" si="139">EO48</f>
        <v>0</v>
      </c>
      <c r="AI48" s="220">
        <f t="shared" ref="AI48:AI54" si="140">EN48</f>
        <v>80</v>
      </c>
      <c r="AJ48" s="220">
        <f>IF(AG48-Z48&gt;0,0,AG48-Z48)</f>
        <v>-90</v>
      </c>
      <c r="AK48" s="216">
        <f t="shared" si="8"/>
        <v>319.5</v>
      </c>
      <c r="AL48" s="220">
        <f t="shared" si="22"/>
        <v>248.1</v>
      </c>
      <c r="AM48" s="220">
        <f t="shared" si="23"/>
        <v>0</v>
      </c>
      <c r="AN48" s="221">
        <f t="shared" si="24"/>
        <v>248.1</v>
      </c>
      <c r="AO48" s="220">
        <f t="shared" si="25"/>
        <v>0</v>
      </c>
      <c r="AP48" s="220">
        <f t="shared" si="26"/>
        <v>0</v>
      </c>
      <c r="AQ48" s="220">
        <f t="shared" si="27"/>
        <v>100</v>
      </c>
      <c r="AR48" s="220">
        <f t="shared" si="28"/>
        <v>68</v>
      </c>
      <c r="AS48" s="220">
        <f t="shared" si="29"/>
        <v>0</v>
      </c>
      <c r="AT48" s="216">
        <f t="shared" si="30"/>
        <v>416.1</v>
      </c>
      <c r="AU48" s="222">
        <f t="shared" si="31"/>
        <v>-71.400000000000006</v>
      </c>
      <c r="AV48" s="220"/>
      <c r="AW48" s="220">
        <f t="shared" si="32"/>
        <v>-71.400000000000006</v>
      </c>
      <c r="AX48" s="216">
        <f t="shared" si="9"/>
        <v>-71.400000000000006</v>
      </c>
      <c r="AY48" s="220">
        <f t="shared" si="33"/>
        <v>0</v>
      </c>
      <c r="AZ48" s="220">
        <f t="shared" si="34"/>
        <v>0</v>
      </c>
      <c r="BA48" s="220">
        <f t="shared" si="35"/>
        <v>28.600000000000023</v>
      </c>
      <c r="BB48" s="220">
        <f t="shared" si="36"/>
        <v>68</v>
      </c>
      <c r="BC48" s="220">
        <f t="shared" si="37"/>
        <v>0</v>
      </c>
      <c r="BD48" s="216">
        <f t="shared" si="10"/>
        <v>96.600000000000023</v>
      </c>
      <c r="BE48" s="220">
        <f t="shared" si="38"/>
        <v>0</v>
      </c>
      <c r="BF48" s="220">
        <f t="shared" si="39"/>
        <v>0</v>
      </c>
      <c r="BG48" s="220">
        <f t="shared" si="40"/>
        <v>-71.399999999999977</v>
      </c>
      <c r="BH48" s="220">
        <f t="shared" si="41"/>
        <v>0</v>
      </c>
      <c r="BI48" s="220">
        <f t="shared" si="42"/>
        <v>0</v>
      </c>
      <c r="BJ48" s="220" t="s">
        <v>615</v>
      </c>
      <c r="BK48" s="220"/>
      <c r="BL48" s="223">
        <f t="shared" si="11"/>
        <v>0</v>
      </c>
      <c r="BM48" s="220">
        <v>6.2</v>
      </c>
      <c r="BN48" s="220"/>
      <c r="BO48" s="220">
        <f>ROUND(BM48+(BM48*BN48),2)</f>
        <v>6.2</v>
      </c>
      <c r="BP48" s="220">
        <f>IF(AND(BL48&gt;0,BL48&lt;tiet!$D$1),BL48,IF(BL48&lt;=0,0,IF(BL48&gt;tiet!$C$1,tiet!$C$1)))</f>
        <v>0</v>
      </c>
      <c r="BQ48" s="87">
        <f>VLOOKUP(P48,ma_dinhmuc_moi,4,0)</f>
        <v>75000</v>
      </c>
      <c r="BR48" s="224">
        <f>ROUND(BQ48*BP48,0)</f>
        <v>0</v>
      </c>
      <c r="BS48" s="220">
        <f t="shared" si="12"/>
        <v>0</v>
      </c>
      <c r="BT48" s="224">
        <f>VLOOKUP(N48,ma_dinhmuc!$A$1:$J$31,10,0)</f>
        <v>65000</v>
      </c>
      <c r="BU48" s="224">
        <f>ROUND(IF(BS48&gt;0,VLOOKUP(N48,ma_dinhmuc!$A$1:$J$31,10,0)*BS48,0),0)</f>
        <v>0</v>
      </c>
      <c r="BV48" s="224">
        <f>ROUND(BU48+BR48,0)</f>
        <v>0</v>
      </c>
      <c r="BW48" s="224"/>
      <c r="BX48" s="224">
        <v>0</v>
      </c>
      <c r="BY48" s="224"/>
      <c r="BZ48" s="224"/>
      <c r="CA48" s="224"/>
      <c r="CB48" s="224"/>
      <c r="CC48" s="225">
        <f>ROUND(IF(BV48+BW48&gt;BX48+BY48+BZ48+CA48+CB48,(BW48+BV48)-(BX48+BY48+BZ48+CA48+CB48+CB48),0),0)</f>
        <v>0</v>
      </c>
      <c r="CD48" s="224">
        <f>ROUND(IF(BV48+BW48&lt;BX48+BY48+BZ48+CA48-CB48,(BX48+BY48+BZ48+CA48-CB48)-(BW48+BV48),0),0)</f>
        <v>0</v>
      </c>
      <c r="CE48" s="224"/>
      <c r="CF48" s="226"/>
      <c r="CG48" s="87"/>
      <c r="CH48" s="87">
        <f>A48</f>
        <v>37</v>
      </c>
      <c r="CI48" s="227" t="str">
        <f t="shared" si="127"/>
        <v>Lê Ngọc</v>
      </c>
      <c r="CJ48" s="227" t="str">
        <f t="shared" si="128"/>
        <v>Anh</v>
      </c>
      <c r="CK48" s="87">
        <f t="shared" si="132"/>
        <v>1</v>
      </c>
      <c r="CL48" s="227" t="str">
        <f t="shared" si="130"/>
        <v>Côn trùng</v>
      </c>
      <c r="CM48" s="87" t="str">
        <f t="shared" si="46"/>
        <v>CS4</v>
      </c>
      <c r="CN48" s="87">
        <f t="shared" ref="CN48:CO51" si="141">Q48</f>
        <v>270</v>
      </c>
      <c r="CO48" s="87">
        <f t="shared" si="141"/>
        <v>170</v>
      </c>
      <c r="CP48" s="229">
        <f t="shared" si="47"/>
        <v>0</v>
      </c>
      <c r="CQ48" s="229">
        <f t="shared" si="48"/>
        <v>29.9</v>
      </c>
      <c r="CR48" s="229">
        <f t="shared" si="49"/>
        <v>12.1</v>
      </c>
      <c r="CS48" s="229">
        <f t="shared" si="50"/>
        <v>63</v>
      </c>
      <c r="CT48" s="229">
        <f t="shared" si="51"/>
        <v>0</v>
      </c>
      <c r="CU48" s="229">
        <f t="shared" si="52"/>
        <v>89.6</v>
      </c>
      <c r="CV48" s="229">
        <f t="shared" si="53"/>
        <v>0</v>
      </c>
      <c r="CW48" s="229">
        <f t="shared" si="54"/>
        <v>53.5</v>
      </c>
      <c r="CX48" s="229">
        <f t="shared" si="55"/>
        <v>0</v>
      </c>
      <c r="CY48" s="229">
        <f t="shared" si="56"/>
        <v>0</v>
      </c>
      <c r="CZ48" s="229">
        <f t="shared" si="57"/>
        <v>0</v>
      </c>
      <c r="DA48" s="229">
        <f t="shared" si="58"/>
        <v>100</v>
      </c>
      <c r="DB48" s="228">
        <f t="shared" si="59"/>
        <v>348.1</v>
      </c>
      <c r="DC48" s="229"/>
      <c r="DD48" s="229"/>
      <c r="DE48" s="229"/>
      <c r="DF48" s="229"/>
      <c r="DG48" s="229"/>
      <c r="DH48" s="229"/>
      <c r="DI48" s="229"/>
      <c r="DJ48" s="229"/>
      <c r="DK48" s="229"/>
      <c r="DL48" s="229"/>
      <c r="DM48" s="229"/>
      <c r="DN48" s="229"/>
      <c r="DO48" s="228">
        <f t="shared" si="60"/>
        <v>0</v>
      </c>
      <c r="DP48" s="228">
        <f t="shared" si="61"/>
        <v>348.1</v>
      </c>
      <c r="DQ48" s="229">
        <f t="shared" si="62"/>
        <v>0</v>
      </c>
      <c r="DR48" s="229">
        <f t="shared" si="63"/>
        <v>0</v>
      </c>
      <c r="DS48" s="229">
        <f t="shared" si="64"/>
        <v>0</v>
      </c>
      <c r="DT48" s="229">
        <f t="shared" si="65"/>
        <v>0</v>
      </c>
      <c r="DU48" s="229">
        <f t="shared" si="66"/>
        <v>0</v>
      </c>
      <c r="DV48" s="229">
        <f t="shared" si="67"/>
        <v>68</v>
      </c>
      <c r="DW48" s="229">
        <f t="shared" si="68"/>
        <v>0</v>
      </c>
      <c r="DX48" s="228">
        <f t="shared" si="69"/>
        <v>68</v>
      </c>
      <c r="DY48" s="229"/>
      <c r="DZ48" s="229"/>
      <c r="EA48" s="229"/>
      <c r="EB48" s="229"/>
      <c r="EC48" s="229"/>
      <c r="ED48" s="229"/>
      <c r="EE48" s="229"/>
      <c r="EF48" s="228">
        <f t="shared" si="17"/>
        <v>0</v>
      </c>
      <c r="EG48" s="228">
        <f t="shared" si="70"/>
        <v>68</v>
      </c>
      <c r="EH48" s="229">
        <f t="shared" si="18"/>
        <v>80</v>
      </c>
      <c r="EI48" s="229">
        <v>0</v>
      </c>
      <c r="EJ48" s="228">
        <f>SUM(EH48:EI48)</f>
        <v>80</v>
      </c>
      <c r="EK48" s="229"/>
      <c r="EL48" s="229"/>
      <c r="EM48" s="228">
        <f>SUM(EK48:EL48)</f>
        <v>0</v>
      </c>
      <c r="EN48" s="229">
        <f t="shared" si="71"/>
        <v>80</v>
      </c>
      <c r="EO48" s="229">
        <f t="shared" si="72"/>
        <v>0</v>
      </c>
      <c r="EP48" s="228">
        <f>EM48+EJ48</f>
        <v>80</v>
      </c>
      <c r="EQ48" s="173">
        <f t="shared" si="19"/>
        <v>0</v>
      </c>
      <c r="ER48" s="189">
        <v>0</v>
      </c>
      <c r="ES48" s="189">
        <v>29.9</v>
      </c>
      <c r="ET48" s="189">
        <v>12.1</v>
      </c>
      <c r="EU48" s="189">
        <v>63</v>
      </c>
      <c r="EV48" s="189">
        <v>0</v>
      </c>
      <c r="EW48" s="189">
        <v>89.6</v>
      </c>
      <c r="EX48" s="189">
        <v>0</v>
      </c>
      <c r="EY48" s="189">
        <v>53.5</v>
      </c>
      <c r="EZ48" s="189">
        <v>0</v>
      </c>
      <c r="FA48" s="189">
        <v>0</v>
      </c>
      <c r="FB48" s="189">
        <v>0</v>
      </c>
      <c r="FC48" s="189">
        <v>100</v>
      </c>
      <c r="FD48" s="189">
        <v>0</v>
      </c>
      <c r="FE48" s="189">
        <v>0</v>
      </c>
      <c r="FF48" s="189">
        <v>0</v>
      </c>
      <c r="FG48" s="189">
        <v>0</v>
      </c>
      <c r="FH48" s="189">
        <v>68</v>
      </c>
      <c r="FI48" s="189">
        <v>0</v>
      </c>
      <c r="FJ48" s="189">
        <v>0</v>
      </c>
      <c r="FK48" s="189">
        <v>416.1</v>
      </c>
      <c r="FL48" s="189">
        <v>362</v>
      </c>
      <c r="FN48" s="132">
        <v>80</v>
      </c>
    </row>
    <row r="49" spans="1:170" ht="30" customHeight="1">
      <c r="A49" s="88">
        <f>COUNTIF($H$12:H49,H49)</f>
        <v>38</v>
      </c>
      <c r="B49" s="88" t="s">
        <v>2262</v>
      </c>
      <c r="C49" s="88" t="s">
        <v>407</v>
      </c>
      <c r="D49" s="88"/>
      <c r="E49" s="88"/>
      <c r="F49" s="301" t="s">
        <v>2811</v>
      </c>
      <c r="G49" s="303" t="s">
        <v>2088</v>
      </c>
      <c r="H49" s="88">
        <v>1</v>
      </c>
      <c r="I49" s="88">
        <v>1</v>
      </c>
      <c r="J49" s="88">
        <v>1</v>
      </c>
      <c r="K49" s="90" t="s">
        <v>3076</v>
      </c>
      <c r="L49" s="90" t="s">
        <v>3076</v>
      </c>
      <c r="M49" s="214"/>
      <c r="N49" s="88" t="s">
        <v>605</v>
      </c>
      <c r="O49" s="216">
        <f t="shared" si="116"/>
        <v>6.2</v>
      </c>
      <c r="P49" s="88" t="str">
        <f t="shared" si="0"/>
        <v>B1_6</v>
      </c>
      <c r="Q49" s="88">
        <f t="shared" si="1"/>
        <v>270</v>
      </c>
      <c r="R49" s="88">
        <f t="shared" si="2"/>
        <v>170</v>
      </c>
      <c r="S49" s="230" t="s">
        <v>2031</v>
      </c>
      <c r="T49" s="88" t="s">
        <v>3091</v>
      </c>
      <c r="U49" s="88">
        <f>IF(RIGHT(T49,1)="K",(VLOOKUP(T49,ma_miengiam!$A$3:$B$80,2,0)*100)/2,VLOOKUP(T49,ma_miengiam!$A$3:$B$80,2,0)*100)</f>
        <v>20</v>
      </c>
      <c r="V49" s="88"/>
      <c r="W49" s="220">
        <f>IF(AND(T49="NTS",V49&gt;0),(Q49-(Q49*V49)/12)*VLOOKUP(T49,ma_miengiam!$A$3:$B$80,2,0)+(Q49-(Q49*(12-V49))/12),IF(AND(RIGHT(T49,1)="K",V49&gt;0),(VLOOKUP(T49,ma_miengiam!$A$3:$B$80,2,0)/2)*(Q49*V49)/12,IF(RIGHT(T49,1)="K",(VLOOKUP(T49,ma_miengiam!$A$3:$B$80,2,0)*Q49)/2,IF(V49&gt;0,VLOOKUP(T49,ma_miengiam!$A$3:$B$80,2,0)*Q49*V49/12,VLOOKUP(T49,ma_miengiam!$A$3:$B$80,2,0)*Q49))))</f>
        <v>54</v>
      </c>
      <c r="X49" s="220">
        <f>IF(T49="NTS",VLOOKUP(T49,ma_miengiam!$A$3:$B$80,2,0)*R49*V49,IF(AND(T49="NTS",V49=0),0,IF(AND(LEFT(T49,1)="K",V49=0),VLOOKUP(T49,ma_miengiam!$A$3:$B$80,2,0)*R49,IF(LEFT(T49,1)="K",(VLOOKUP(T49,ma_miengiam!$A$3:$B$80,2,0)*R49/12)*V49,IF(AND(LEFT(T49,1)="S",V49&gt;0),(R49/12)*V49,IF(AND(LEFT(T49,1)="S",V49=0),R49,IF(T49="DH",VLOOKUP(T49,ma_miengiam!$A$3:$B$80,2,0)*R49,0)))))))</f>
        <v>0</v>
      </c>
      <c r="Y49" s="220">
        <f t="shared" si="131"/>
        <v>216</v>
      </c>
      <c r="Z49" s="220">
        <f t="shared" si="90"/>
        <v>170</v>
      </c>
      <c r="AA49" s="220">
        <f t="shared" si="136"/>
        <v>270</v>
      </c>
      <c r="AB49" s="220">
        <f t="shared" si="136"/>
        <v>170</v>
      </c>
      <c r="AC49" s="220">
        <f t="shared" si="137"/>
        <v>54</v>
      </c>
      <c r="AD49" s="220">
        <f t="shared" si="137"/>
        <v>0</v>
      </c>
      <c r="AE49" s="220">
        <f t="shared" si="137"/>
        <v>216</v>
      </c>
      <c r="AF49" s="220">
        <f t="shared" si="137"/>
        <v>170</v>
      </c>
      <c r="AG49" s="220">
        <f t="shared" si="138"/>
        <v>103.33</v>
      </c>
      <c r="AH49" s="220">
        <f t="shared" si="139"/>
        <v>0</v>
      </c>
      <c r="AI49" s="220">
        <f t="shared" si="140"/>
        <v>103.33</v>
      </c>
      <c r="AJ49" s="220">
        <f t="shared" si="74"/>
        <v>-66.67</v>
      </c>
      <c r="AK49" s="216">
        <f t="shared" si="8"/>
        <v>282.67</v>
      </c>
      <c r="AL49" s="220">
        <f t="shared" si="22"/>
        <v>160.4</v>
      </c>
      <c r="AM49" s="220">
        <f t="shared" si="23"/>
        <v>57.6</v>
      </c>
      <c r="AN49" s="221">
        <f t="shared" si="24"/>
        <v>218</v>
      </c>
      <c r="AO49" s="220">
        <f t="shared" si="25"/>
        <v>20</v>
      </c>
      <c r="AP49" s="220">
        <f t="shared" si="26"/>
        <v>0</v>
      </c>
      <c r="AQ49" s="220">
        <f t="shared" si="27"/>
        <v>100</v>
      </c>
      <c r="AR49" s="220">
        <f t="shared" si="28"/>
        <v>80</v>
      </c>
      <c r="AS49" s="220">
        <f t="shared" si="29"/>
        <v>15</v>
      </c>
      <c r="AT49" s="216">
        <f t="shared" si="30"/>
        <v>433</v>
      </c>
      <c r="AU49" s="222">
        <f t="shared" si="31"/>
        <v>-64.670000000000016</v>
      </c>
      <c r="AV49" s="220"/>
      <c r="AW49" s="220">
        <f t="shared" si="32"/>
        <v>-64.670000000000016</v>
      </c>
      <c r="AX49" s="216">
        <f t="shared" si="9"/>
        <v>-64.670000000000016</v>
      </c>
      <c r="AY49" s="220">
        <f t="shared" si="33"/>
        <v>0</v>
      </c>
      <c r="AZ49" s="220">
        <f t="shared" si="34"/>
        <v>0</v>
      </c>
      <c r="BA49" s="220">
        <f t="shared" si="35"/>
        <v>55.329999999999984</v>
      </c>
      <c r="BB49" s="220">
        <f t="shared" si="36"/>
        <v>80</v>
      </c>
      <c r="BC49" s="220">
        <f t="shared" si="37"/>
        <v>15</v>
      </c>
      <c r="BD49" s="216">
        <f t="shared" si="10"/>
        <v>150.32999999999998</v>
      </c>
      <c r="BE49" s="220">
        <f t="shared" si="38"/>
        <v>-20</v>
      </c>
      <c r="BF49" s="220">
        <f t="shared" si="39"/>
        <v>0</v>
      </c>
      <c r="BG49" s="220">
        <f t="shared" si="40"/>
        <v>-44.670000000000016</v>
      </c>
      <c r="BH49" s="220">
        <f t="shared" si="41"/>
        <v>0</v>
      </c>
      <c r="BI49" s="220">
        <f t="shared" si="42"/>
        <v>0</v>
      </c>
      <c r="BJ49" s="220" t="s">
        <v>615</v>
      </c>
      <c r="BK49" s="220"/>
      <c r="BL49" s="223">
        <f t="shared" si="11"/>
        <v>0</v>
      </c>
      <c r="BM49" s="220">
        <v>6.2</v>
      </c>
      <c r="BN49" s="220"/>
      <c r="BO49" s="220">
        <f t="shared" ref="BO49:BO57" si="142">ROUND(BM49+(BM49*BN49),2)</f>
        <v>6.2</v>
      </c>
      <c r="BP49" s="220">
        <f>IF(AND(BL49&gt;0,BL49&lt;tiet!$D$1),BL49,IF(BL49&lt;=0,0,IF(BL49&gt;tiet!$C$1,tiet!$C$1)))</f>
        <v>0</v>
      </c>
      <c r="BQ49" s="87">
        <f t="shared" si="75"/>
        <v>75000</v>
      </c>
      <c r="BR49" s="224">
        <f t="shared" si="76"/>
        <v>0</v>
      </c>
      <c r="BS49" s="220">
        <f t="shared" si="12"/>
        <v>0</v>
      </c>
      <c r="BT49" s="224">
        <f>VLOOKUP(N49,ma_dinhmuc!$A$1:$J$31,10,0)</f>
        <v>65000</v>
      </c>
      <c r="BU49" s="224">
        <f>ROUND(IF(BS49&gt;0,VLOOKUP(N49,ma_dinhmuc!$A$1:$J$31,10,0)*BS49,0),0)</f>
        <v>0</v>
      </c>
      <c r="BV49" s="224">
        <f t="shared" si="77"/>
        <v>0</v>
      </c>
      <c r="BW49" s="224"/>
      <c r="BX49" s="224">
        <v>0</v>
      </c>
      <c r="BY49" s="224"/>
      <c r="BZ49" s="224"/>
      <c r="CA49" s="224"/>
      <c r="CB49" s="224"/>
      <c r="CC49" s="225">
        <f t="shared" si="44"/>
        <v>0</v>
      </c>
      <c r="CD49" s="224">
        <f t="shared" si="45"/>
        <v>0</v>
      </c>
      <c r="CE49" s="224"/>
      <c r="CF49" s="226"/>
      <c r="CG49" s="87"/>
      <c r="CH49" s="87">
        <f t="shared" ref="CH49:CH57" si="143">A49</f>
        <v>38</v>
      </c>
      <c r="CI49" s="227" t="str">
        <f t="shared" ref="CI49:CI68" si="144">F49</f>
        <v>Hồ Thị Thu</v>
      </c>
      <c r="CJ49" s="227" t="str">
        <f t="shared" ref="CJ49:CJ68" si="145">G49</f>
        <v>Giang</v>
      </c>
      <c r="CK49" s="87">
        <f t="shared" ref="CK49:CK68" si="146">H49</f>
        <v>1</v>
      </c>
      <c r="CL49" s="227" t="str">
        <f t="shared" si="130"/>
        <v>Côn trùng</v>
      </c>
      <c r="CM49" s="87" t="str">
        <f t="shared" si="46"/>
        <v>CS4</v>
      </c>
      <c r="CN49" s="87">
        <f t="shared" si="141"/>
        <v>270</v>
      </c>
      <c r="CO49" s="87">
        <f t="shared" si="141"/>
        <v>170</v>
      </c>
      <c r="CP49" s="229">
        <f t="shared" si="47"/>
        <v>0</v>
      </c>
      <c r="CQ49" s="229">
        <f t="shared" si="48"/>
        <v>19.3</v>
      </c>
      <c r="CR49" s="229">
        <f t="shared" si="49"/>
        <v>7.9</v>
      </c>
      <c r="CS49" s="229">
        <f t="shared" si="50"/>
        <v>0</v>
      </c>
      <c r="CT49" s="229">
        <f t="shared" si="51"/>
        <v>0</v>
      </c>
      <c r="CU49" s="229">
        <f t="shared" si="52"/>
        <v>59.7</v>
      </c>
      <c r="CV49" s="229">
        <f t="shared" si="53"/>
        <v>0</v>
      </c>
      <c r="CW49" s="229">
        <f t="shared" si="54"/>
        <v>73.5</v>
      </c>
      <c r="CX49" s="229">
        <f t="shared" si="55"/>
        <v>0</v>
      </c>
      <c r="CY49" s="229">
        <f t="shared" si="56"/>
        <v>20</v>
      </c>
      <c r="CZ49" s="229">
        <f t="shared" si="57"/>
        <v>0</v>
      </c>
      <c r="DA49" s="229">
        <f t="shared" si="58"/>
        <v>100</v>
      </c>
      <c r="DB49" s="228">
        <f t="shared" si="59"/>
        <v>280.39999999999998</v>
      </c>
      <c r="DC49" s="229"/>
      <c r="DD49" s="229"/>
      <c r="DE49" s="229"/>
      <c r="DF49" s="229"/>
      <c r="DG49" s="229"/>
      <c r="DH49" s="229"/>
      <c r="DI49" s="229"/>
      <c r="DJ49" s="229"/>
      <c r="DK49" s="229"/>
      <c r="DL49" s="229"/>
      <c r="DM49" s="229"/>
      <c r="DN49" s="229"/>
      <c r="DO49" s="228">
        <f t="shared" si="60"/>
        <v>0</v>
      </c>
      <c r="DP49" s="228">
        <f t="shared" si="61"/>
        <v>280.39999999999998</v>
      </c>
      <c r="DQ49" s="229">
        <f t="shared" si="62"/>
        <v>54</v>
      </c>
      <c r="DR49" s="229">
        <f t="shared" si="63"/>
        <v>2.6</v>
      </c>
      <c r="DS49" s="229">
        <f t="shared" si="64"/>
        <v>0</v>
      </c>
      <c r="DT49" s="229">
        <f t="shared" si="65"/>
        <v>1</v>
      </c>
      <c r="DU49" s="229">
        <f t="shared" si="66"/>
        <v>0</v>
      </c>
      <c r="DV49" s="229">
        <f t="shared" si="67"/>
        <v>80</v>
      </c>
      <c r="DW49" s="229">
        <f t="shared" si="68"/>
        <v>15</v>
      </c>
      <c r="DX49" s="228">
        <f t="shared" si="69"/>
        <v>152.6</v>
      </c>
      <c r="DY49" s="229"/>
      <c r="DZ49" s="229"/>
      <c r="EA49" s="229"/>
      <c r="EB49" s="229"/>
      <c r="EC49" s="229"/>
      <c r="ED49" s="229"/>
      <c r="EE49" s="229"/>
      <c r="EF49" s="228">
        <f t="shared" si="17"/>
        <v>0</v>
      </c>
      <c r="EG49" s="228">
        <f t="shared" si="70"/>
        <v>152.6</v>
      </c>
      <c r="EH49" s="229">
        <f t="shared" si="18"/>
        <v>103.33</v>
      </c>
      <c r="EI49" s="229">
        <v>0</v>
      </c>
      <c r="EJ49" s="228">
        <f t="shared" si="84"/>
        <v>103.33</v>
      </c>
      <c r="EK49" s="229"/>
      <c r="EL49" s="229"/>
      <c r="EM49" s="228">
        <f t="shared" si="117"/>
        <v>0</v>
      </c>
      <c r="EN49" s="229">
        <f t="shared" si="71"/>
        <v>103.33</v>
      </c>
      <c r="EO49" s="229">
        <f t="shared" si="72"/>
        <v>0</v>
      </c>
      <c r="EP49" s="228">
        <f t="shared" si="88"/>
        <v>103.33</v>
      </c>
      <c r="EQ49" s="173">
        <f t="shared" si="19"/>
        <v>0</v>
      </c>
      <c r="ER49" s="189">
        <v>0</v>
      </c>
      <c r="ES49" s="189">
        <v>19.3</v>
      </c>
      <c r="ET49" s="189">
        <v>7.9</v>
      </c>
      <c r="EU49" s="189">
        <v>0</v>
      </c>
      <c r="EV49" s="189">
        <v>0</v>
      </c>
      <c r="EW49" s="189">
        <v>59.7</v>
      </c>
      <c r="EX49" s="189">
        <v>0</v>
      </c>
      <c r="EY49" s="189">
        <v>73.5</v>
      </c>
      <c r="EZ49" s="189">
        <v>0</v>
      </c>
      <c r="FA49" s="189">
        <v>20</v>
      </c>
      <c r="FB49" s="189">
        <v>0</v>
      </c>
      <c r="FC49" s="189">
        <v>100</v>
      </c>
      <c r="FD49" s="189">
        <v>54</v>
      </c>
      <c r="FE49" s="189">
        <v>2.6</v>
      </c>
      <c r="FF49" s="189">
        <v>0</v>
      </c>
      <c r="FG49" s="189">
        <v>1</v>
      </c>
      <c r="FH49" s="189">
        <v>80</v>
      </c>
      <c r="FI49" s="189">
        <v>0</v>
      </c>
      <c r="FJ49" s="189">
        <v>15</v>
      </c>
      <c r="FK49" s="189">
        <v>433</v>
      </c>
      <c r="FL49" s="189">
        <v>352</v>
      </c>
      <c r="FN49" s="132">
        <v>103.33</v>
      </c>
    </row>
    <row r="50" spans="1:170" ht="30" customHeight="1">
      <c r="A50" s="88">
        <f>COUNTIF($H$12:H53,H50)</f>
        <v>42</v>
      </c>
      <c r="B50" s="88" t="s">
        <v>429</v>
      </c>
      <c r="C50" s="88" t="s">
        <v>409</v>
      </c>
      <c r="D50" s="88"/>
      <c r="E50" s="88"/>
      <c r="F50" s="301" t="s">
        <v>2199</v>
      </c>
      <c r="G50" s="89" t="s">
        <v>13</v>
      </c>
      <c r="H50" s="88">
        <v>1</v>
      </c>
      <c r="I50" s="88">
        <v>1</v>
      </c>
      <c r="J50" s="88">
        <v>1</v>
      </c>
      <c r="K50" s="90" t="s">
        <v>3076</v>
      </c>
      <c r="L50" s="90" t="s">
        <v>3076</v>
      </c>
      <c r="M50" s="214"/>
      <c r="N50" s="88" t="s">
        <v>1804</v>
      </c>
      <c r="O50" s="216">
        <f t="shared" ref="O50:O55" si="147">BO50</f>
        <v>3.33</v>
      </c>
      <c r="P50" s="88" t="str">
        <f t="shared" si="0"/>
        <v>B1_4</v>
      </c>
      <c r="Q50" s="88">
        <f>IF(M50&gt;0,M50,VLOOKUP(P50,ma_dinhmuc_moi,2,0))</f>
        <v>270</v>
      </c>
      <c r="R50" s="88">
        <f t="shared" si="2"/>
        <v>120</v>
      </c>
      <c r="S50" s="230" t="s">
        <v>2324</v>
      </c>
      <c r="T50" s="88" t="s">
        <v>3088</v>
      </c>
      <c r="U50" s="88">
        <f>IF(RIGHT(T50,1)="K",(VLOOKUP(T50,ma_miengiam!$A$3:$B$80,2,0)*100)/2,VLOOKUP(T50,ma_miengiam!$A$3:$B$80,2,0)*100)</f>
        <v>0</v>
      </c>
      <c r="V50" s="88"/>
      <c r="W50" s="220">
        <f>IF(AND(T50="NTS",V50&gt;0),(Q50-(Q50*V50)/12)*VLOOKUP(T50,ma_miengiam!$A$3:$B$80,2,0)+(Q50-(Q50*(12-V50))/12),IF(AND(RIGHT(T50,1)="K",V50&gt;0),(VLOOKUP(T50,ma_miengiam!$A$3:$B$80,2,0)/2)*(Q50*V50)/12,IF(RIGHT(T50,1)="K",(VLOOKUP(T50,ma_miengiam!$A$3:$B$80,2,0)*Q50)/2,IF(V50&gt;0,VLOOKUP(T50,ma_miengiam!$A$3:$B$80,2,0)*Q50*V50/12,VLOOKUP(T50,ma_miengiam!$A$3:$B$80,2,0)*Q50))))</f>
        <v>0</v>
      </c>
      <c r="X50" s="220">
        <f>IF(T50="NTS",VLOOKUP(T50,ma_miengiam!$A$3:$B$80,2,0)*R50*V50,IF(AND(T50="NTS",V50=0),0,IF(AND(LEFT(T50,1)="K",V50=0),VLOOKUP(T50,ma_miengiam!$A$3:$B$80,2,0)*R50,IF(LEFT(T50,1)="K",(VLOOKUP(T50,ma_miengiam!$A$3:$B$80,2,0)*R50/12)*V50,IF(AND(LEFT(T50,1)="S",V50&gt;0),(R50/12)*V50,IF(AND(LEFT(T50,1)="S",V50=0),R50,IF(T50="DH",VLOOKUP(T50,ma_miengiam!$A$3:$B$80,2,0)*R50,0)))))))</f>
        <v>0</v>
      </c>
      <c r="Y50" s="220">
        <f>IF(AND(T50="DH",V50&gt;0),(S50*V50/12),IF(AND(T50&lt;&gt;"NTS",V50&gt;0),(Q50*V50/12)-W50,IF(AND(T50="NTS",V50&gt;0),Q50-W50,Q50-W50)))</f>
        <v>270</v>
      </c>
      <c r="Z50" s="220">
        <f>IF(AND(T50="SĐH",V50&gt;0),(R50/12)*V50-X50,IF(AND(T50="DH",V50&gt;0),(R50*V50/12),IF(AND(T50&lt;&gt;"NTS",V50&gt;0),(R50*V50/12)-X50,IF(AND(T50="NTS",V50&gt;0),R50-X50,R50-X50))))</f>
        <v>120</v>
      </c>
      <c r="AA50" s="220">
        <f t="shared" si="136"/>
        <v>270</v>
      </c>
      <c r="AB50" s="220">
        <f t="shared" si="136"/>
        <v>120</v>
      </c>
      <c r="AC50" s="220">
        <f>W50</f>
        <v>0</v>
      </c>
      <c r="AD50" s="220">
        <f>X50</f>
        <v>0</v>
      </c>
      <c r="AE50" s="220">
        <f>Y50</f>
        <v>270</v>
      </c>
      <c r="AF50" s="220">
        <f>Z50</f>
        <v>120</v>
      </c>
      <c r="AG50" s="220">
        <f>AH50+AI50</f>
        <v>145</v>
      </c>
      <c r="AH50" s="220">
        <f>EO50</f>
        <v>40</v>
      </c>
      <c r="AI50" s="220">
        <f>EN50</f>
        <v>105</v>
      </c>
      <c r="AJ50" s="220">
        <f>IF(AG50-Z50&gt;0,0,AG50-Z50)</f>
        <v>0</v>
      </c>
      <c r="AK50" s="216">
        <f t="shared" si="8"/>
        <v>270</v>
      </c>
      <c r="AL50" s="220">
        <f>SUM(CP50:CX50)+SUM(DC50:DK50)</f>
        <v>159.9</v>
      </c>
      <c r="AM50" s="220">
        <f>SUM(DQ50:DU50)+SUM(DY50:EC50)</f>
        <v>0</v>
      </c>
      <c r="AN50" s="221">
        <f>AM50+AL50</f>
        <v>159.9</v>
      </c>
      <c r="AO50" s="220">
        <f>CY50+DL50</f>
        <v>0</v>
      </c>
      <c r="AP50" s="220">
        <f>CZ50+DM50</f>
        <v>0</v>
      </c>
      <c r="AQ50" s="220">
        <f>DA50+DN50</f>
        <v>80</v>
      </c>
      <c r="AR50" s="220">
        <f>DV50+ED50</f>
        <v>0</v>
      </c>
      <c r="AS50" s="220">
        <f>DW50+EE50</f>
        <v>0</v>
      </c>
      <c r="AT50" s="216">
        <f>AN50+SUM(AO50:AS50)</f>
        <v>239.9</v>
      </c>
      <c r="AU50" s="220">
        <f>AN50-AK50</f>
        <v>-110.1</v>
      </c>
      <c r="AV50" s="220"/>
      <c r="AW50" s="220">
        <f>IF(AU50&gt;0,AU50,AV50+AU50)</f>
        <v>-110.1</v>
      </c>
      <c r="AX50" s="216">
        <f t="shared" si="9"/>
        <v>-110.1</v>
      </c>
      <c r="AY50" s="220">
        <f>IF(AN50&gt;=AK50,AO50,IF(AN50+AO50-AK50&gt;=0,AN50+AO50-AK50,0))</f>
        <v>0</v>
      </c>
      <c r="AZ50" s="220">
        <f>IF(OR(AN50&gt;=AK50,AN50+AO50&gt;=AK50),AP50,IF(AN50+AO50+AP50&gt;AK50,AN50+AO50+AP50-AK50,0))</f>
        <v>0</v>
      </c>
      <c r="BA50" s="220">
        <f>IF(OR(AN50&gt;=AK50,AN50+AO50&gt;=AK50,AN50+AO50+AP50&gt;=AK50),AQ50,IF(AN50+AO50+AP50+AQ50&gt;=AK50,AN50+AO50+AP50+AQ50-AK50,0))</f>
        <v>0</v>
      </c>
      <c r="BB50" s="220">
        <f>IF(OR(AN50&gt;=AK50,AN50+AO50&gt;=AK50,AN50+AO50+AP50&gt;=AK50,AN50+AO50+AP50+AQ50&gt;=AK50),AR50,IF(AN50+AO50+AP50+AQ50+AR50&gt;=AK50,AN50+AO50+AP50+AQ50+AR50-AK50,0))</f>
        <v>0</v>
      </c>
      <c r="BC50" s="220">
        <f>IF(OR(AN50&gt;=AK50,AN50+AO50&gt;=AK50,AN50+AO50+AP50&gt;=AK50,AN50+AO50+AP50+AQ50&gt;=AK50,AN50+AO50+AP50+AQ50+AR50&gt;=AK50),AS50,IF(AN50+AO50+AP50+AQ50+AR50+AS50&gt;=AK50,AN50+AO50+AP50+AQ50+AR50+AS50-AK50,0))</f>
        <v>0</v>
      </c>
      <c r="BD50" s="216">
        <f t="shared" si="10"/>
        <v>0</v>
      </c>
      <c r="BE50" s="220">
        <f>AY50-AO50</f>
        <v>0</v>
      </c>
      <c r="BF50" s="220">
        <f>AZ50-AP50</f>
        <v>0</v>
      </c>
      <c r="BG50" s="220">
        <f>BA50-AQ50</f>
        <v>-80</v>
      </c>
      <c r="BH50" s="220">
        <f>BB50-AR50</f>
        <v>0</v>
      </c>
      <c r="BI50" s="220">
        <f>BC50-AS50</f>
        <v>0</v>
      </c>
      <c r="BJ50" s="220" t="s">
        <v>615</v>
      </c>
      <c r="BK50" s="220"/>
      <c r="BL50" s="223">
        <f t="shared" si="11"/>
        <v>0</v>
      </c>
      <c r="BM50" s="220">
        <v>3.33</v>
      </c>
      <c r="BN50" s="220"/>
      <c r="BO50" s="220">
        <f>ROUND(BM50+(BM50*BN50),2)</f>
        <v>3.33</v>
      </c>
      <c r="BP50" s="220">
        <f>IF(AND(BL50&gt;0,BL50&lt;tiet!$D$1),BL50,IF(BL50&lt;=0,0,IF(BL50&gt;tiet!$C$1,tiet!$C$1)))</f>
        <v>0</v>
      </c>
      <c r="BQ50" s="87">
        <f>VLOOKUP(P50,ma_dinhmuc_moi,4,0)</f>
        <v>65000</v>
      </c>
      <c r="BR50" s="224">
        <f>ROUND(BQ50*BP50,0)</f>
        <v>0</v>
      </c>
      <c r="BS50" s="220">
        <f t="shared" si="12"/>
        <v>0</v>
      </c>
      <c r="BT50" s="224">
        <f>VLOOKUP(N50,ma_dinhmuc!$A$1:$J$31,10,0)</f>
        <v>51000</v>
      </c>
      <c r="BU50" s="224">
        <f>ROUND(IF(BS50&gt;0,VLOOKUP(N50,ma_dinhmuc!$A$1:$J$31,10,0)*BS50,0),0)</f>
        <v>0</v>
      </c>
      <c r="BV50" s="224">
        <f>ROUND(BU50+BR50,0)</f>
        <v>0</v>
      </c>
      <c r="BW50" s="224"/>
      <c r="BX50" s="224">
        <v>0</v>
      </c>
      <c r="BY50" s="224"/>
      <c r="BZ50" s="224"/>
      <c r="CA50" s="224"/>
      <c r="CB50" s="224"/>
      <c r="CC50" s="225">
        <f>ROUND(IF(BV50+BW50&gt;BX50+BY50+BZ50+CA50+CB50,(BW50+BV50)-(BX50+BY50+BZ50+CA50+CB50+CB50),0),0)</f>
        <v>0</v>
      </c>
      <c r="CD50" s="224">
        <f>ROUND(IF(BV50+BW50&lt;BX50+BY50+BZ50+CA50-CB50,(BX50+BY50+BZ50+CA50-CB50)-(BW50+BV50),0),0)</f>
        <v>0</v>
      </c>
      <c r="CE50" s="224"/>
      <c r="CF50" s="226"/>
      <c r="CG50" s="87"/>
      <c r="CH50" s="87">
        <f>A50</f>
        <v>42</v>
      </c>
      <c r="CI50" s="227" t="str">
        <f t="shared" ref="CI50:CK51" si="148">F50</f>
        <v>Trần Thị Thu</v>
      </c>
      <c r="CJ50" s="227" t="str">
        <f t="shared" si="148"/>
        <v>Phương</v>
      </c>
      <c r="CK50" s="87">
        <f t="shared" si="148"/>
        <v>1</v>
      </c>
      <c r="CL50" s="227" t="str">
        <f>L50</f>
        <v>Côn trùng</v>
      </c>
      <c r="CM50" s="87" t="str">
        <f>N50</f>
        <v>CS2</v>
      </c>
      <c r="CN50" s="87">
        <f t="shared" si="141"/>
        <v>270</v>
      </c>
      <c r="CO50" s="87">
        <f t="shared" si="141"/>
        <v>120</v>
      </c>
      <c r="CP50" s="229">
        <f t="shared" si="47"/>
        <v>0</v>
      </c>
      <c r="CQ50" s="229">
        <f t="shared" si="48"/>
        <v>5.6</v>
      </c>
      <c r="CR50" s="229">
        <f t="shared" si="49"/>
        <v>2.2999999999999998</v>
      </c>
      <c r="CS50" s="229">
        <f t="shared" si="50"/>
        <v>0</v>
      </c>
      <c r="CT50" s="229">
        <f t="shared" si="51"/>
        <v>0</v>
      </c>
      <c r="CU50" s="229">
        <f t="shared" si="52"/>
        <v>16</v>
      </c>
      <c r="CV50" s="229">
        <f t="shared" si="53"/>
        <v>0</v>
      </c>
      <c r="CW50" s="229">
        <f t="shared" si="54"/>
        <v>136</v>
      </c>
      <c r="CX50" s="229">
        <f t="shared" si="55"/>
        <v>0</v>
      </c>
      <c r="CY50" s="229">
        <f t="shared" si="56"/>
        <v>0</v>
      </c>
      <c r="CZ50" s="229">
        <f t="shared" si="57"/>
        <v>0</v>
      </c>
      <c r="DA50" s="229">
        <f t="shared" si="58"/>
        <v>80</v>
      </c>
      <c r="DB50" s="228">
        <f>SUM(CP50:DA50)</f>
        <v>239.9</v>
      </c>
      <c r="DC50" s="229"/>
      <c r="DD50" s="229"/>
      <c r="DE50" s="229"/>
      <c r="DF50" s="229"/>
      <c r="DG50" s="229"/>
      <c r="DH50" s="229"/>
      <c r="DI50" s="229"/>
      <c r="DJ50" s="229"/>
      <c r="DK50" s="229"/>
      <c r="DL50" s="229"/>
      <c r="DM50" s="229"/>
      <c r="DN50" s="229"/>
      <c r="DO50" s="228">
        <f>SUM(DC50:DN50)</f>
        <v>0</v>
      </c>
      <c r="DP50" s="228">
        <f>DO50+DB50</f>
        <v>239.9</v>
      </c>
      <c r="DQ50" s="229">
        <f t="shared" si="62"/>
        <v>0</v>
      </c>
      <c r="DR50" s="229">
        <f t="shared" si="63"/>
        <v>0</v>
      </c>
      <c r="DS50" s="229">
        <f t="shared" si="64"/>
        <v>0</v>
      </c>
      <c r="DT50" s="229">
        <f t="shared" si="65"/>
        <v>0</v>
      </c>
      <c r="DU50" s="229">
        <f t="shared" si="66"/>
        <v>0</v>
      </c>
      <c r="DV50" s="229">
        <f t="shared" si="67"/>
        <v>0</v>
      </c>
      <c r="DW50" s="229">
        <f t="shared" si="68"/>
        <v>0</v>
      </c>
      <c r="DX50" s="228">
        <f>SUM(DQ50:DW50)</f>
        <v>0</v>
      </c>
      <c r="DY50" s="229"/>
      <c r="DZ50" s="229"/>
      <c r="EA50" s="229"/>
      <c r="EB50" s="229"/>
      <c r="EC50" s="229"/>
      <c r="ED50" s="229"/>
      <c r="EE50" s="229"/>
      <c r="EF50" s="228">
        <f t="shared" si="17"/>
        <v>0</v>
      </c>
      <c r="EG50" s="228">
        <f>EF50+DX50</f>
        <v>0</v>
      </c>
      <c r="EH50" s="229">
        <f t="shared" si="18"/>
        <v>105</v>
      </c>
      <c r="EI50" s="229">
        <v>40</v>
      </c>
      <c r="EJ50" s="228">
        <f>SUM(EH50:EI50)</f>
        <v>145</v>
      </c>
      <c r="EK50" s="229"/>
      <c r="EL50" s="229"/>
      <c r="EM50" s="228">
        <f>SUM(EK50:EL50)</f>
        <v>0</v>
      </c>
      <c r="EN50" s="229">
        <f>EK50+EH50+EL50</f>
        <v>105</v>
      </c>
      <c r="EO50" s="229">
        <f>EI50</f>
        <v>40</v>
      </c>
      <c r="EP50" s="228">
        <f>EM50+EJ50</f>
        <v>145</v>
      </c>
      <c r="EQ50" s="173">
        <f t="shared" si="19"/>
        <v>0</v>
      </c>
      <c r="ER50" s="189">
        <v>0</v>
      </c>
      <c r="ES50" s="189">
        <v>5.6</v>
      </c>
      <c r="ET50" s="189">
        <v>2.2999999999999998</v>
      </c>
      <c r="EU50" s="189">
        <v>0</v>
      </c>
      <c r="EV50" s="189">
        <v>0</v>
      </c>
      <c r="EW50" s="189">
        <v>16</v>
      </c>
      <c r="EX50" s="189">
        <v>0</v>
      </c>
      <c r="EY50" s="189">
        <v>136</v>
      </c>
      <c r="EZ50" s="189">
        <v>0</v>
      </c>
      <c r="FA50" s="189">
        <v>0</v>
      </c>
      <c r="FB50" s="189">
        <v>0</v>
      </c>
      <c r="FC50" s="189">
        <v>80</v>
      </c>
      <c r="FD50" s="189">
        <v>0</v>
      </c>
      <c r="FE50" s="189">
        <v>0</v>
      </c>
      <c r="FF50" s="189">
        <v>0</v>
      </c>
      <c r="FG50" s="189">
        <v>0</v>
      </c>
      <c r="FH50" s="189">
        <v>0</v>
      </c>
      <c r="FI50" s="189">
        <v>0</v>
      </c>
      <c r="FJ50" s="189">
        <v>0</v>
      </c>
      <c r="FK50" s="189">
        <v>239.9</v>
      </c>
      <c r="FL50" s="189">
        <v>226</v>
      </c>
      <c r="FN50" s="132">
        <v>105</v>
      </c>
    </row>
    <row r="51" spans="1:170" ht="30" customHeight="1">
      <c r="A51" s="88">
        <f>COUNTIF($H$12:H51,H51)</f>
        <v>40</v>
      </c>
      <c r="B51" s="88" t="s">
        <v>2263</v>
      </c>
      <c r="C51" s="88" t="s">
        <v>408</v>
      </c>
      <c r="D51" s="88"/>
      <c r="E51" s="88"/>
      <c r="F51" s="301" t="s">
        <v>618</v>
      </c>
      <c r="G51" s="89" t="s">
        <v>2086</v>
      </c>
      <c r="H51" s="88">
        <v>1</v>
      </c>
      <c r="I51" s="88">
        <v>1</v>
      </c>
      <c r="J51" s="88">
        <v>1</v>
      </c>
      <c r="K51" s="90" t="s">
        <v>3076</v>
      </c>
      <c r="L51" s="90" t="s">
        <v>3076</v>
      </c>
      <c r="M51" s="214"/>
      <c r="N51" s="88" t="s">
        <v>1804</v>
      </c>
      <c r="O51" s="216">
        <f t="shared" si="147"/>
        <v>2.67</v>
      </c>
      <c r="P51" s="88" t="str">
        <f t="shared" si="0"/>
        <v>B1_3</v>
      </c>
      <c r="Q51" s="88">
        <f t="shared" ref="Q51:Q109" si="149">IF(M51&gt;0,VLOOKUP(P51,ma_dinhmuc_moi,2,0)/2,VLOOKUP(P51,ma_dinhmuc_moi,2,0))</f>
        <v>270</v>
      </c>
      <c r="R51" s="88">
        <f t="shared" ref="R51:R109" si="150">IF(M51&gt;0,VLOOKUP(P51,ma_dinhmuc_moi,3,0)/2,VLOOKUP(P51,ma_dinhmuc_moi,3,0))</f>
        <v>100</v>
      </c>
      <c r="S51" s="231" t="s">
        <v>1</v>
      </c>
      <c r="T51" s="214" t="s">
        <v>2961</v>
      </c>
      <c r="U51" s="88">
        <f>IF(RIGHT(T51,1)="K",(VLOOKUP(T51,ma_miengiam!$A$3:$B$80,2,0)*100)/2,VLOOKUP(T51,ma_miengiam!$A$3:$B$80,2,0)*100)</f>
        <v>100</v>
      </c>
      <c r="V51" s="88"/>
      <c r="W51" s="220">
        <f>IF(AND(T51="NTS",V51&gt;0),(Q51-(Q51*V51)/12)*VLOOKUP(T51,ma_miengiam!$A$3:$B$80,2,0)+(Q51-(Q51*(12-V51))/12),IF(AND(RIGHT(T51,1)="K",V51&gt;0),(VLOOKUP(T51,ma_miengiam!$A$3:$B$80,2,0)/2)*(Q51*V51)/12,IF(RIGHT(T51,1)="K",(VLOOKUP(T51,ma_miengiam!$A$3:$B$80,2,0)*Q51)/2,IF(V51&gt;0,VLOOKUP(T51,ma_miengiam!$A$3:$B$80,2,0)*Q51*V51/12,VLOOKUP(T51,ma_miengiam!$A$3:$B$80,2,0)*Q51))))</f>
        <v>270</v>
      </c>
      <c r="X51" s="220">
        <f>IF(T51="NTS",VLOOKUP(T51,ma_miengiam!$A$3:$B$80,2,0)*R51*V51,IF(AND(T51="NTS",V51=0),0,IF(AND(LEFT(T51,1)="K",V51=0),VLOOKUP(T51,ma_miengiam!$A$3:$B$80,2,0)*R51,IF(LEFT(T51,1)="K",(VLOOKUP(T51,ma_miengiam!$A$3:$B$80,2,0)*R51/12)*V51,IF(AND(LEFT(T51,1)="S",V51&gt;0),(R51/12)*V51,IF(AND(LEFT(T51,1)="S",V51=0),R51,IF(T51="DH",VLOOKUP(T51,ma_miengiam!$A$3:$B$80,2,0)*R51,0)))))))</f>
        <v>100</v>
      </c>
      <c r="Y51" s="220">
        <f t="shared" si="131"/>
        <v>0</v>
      </c>
      <c r="Z51" s="220">
        <f t="shared" si="90"/>
        <v>0</v>
      </c>
      <c r="AA51" s="220">
        <f t="shared" ref="AA51:AB54" si="151">Q51</f>
        <v>270</v>
      </c>
      <c r="AB51" s="220">
        <f t="shared" si="151"/>
        <v>100</v>
      </c>
      <c r="AC51" s="220">
        <f t="shared" ref="AC51:AF54" si="152">W51</f>
        <v>270</v>
      </c>
      <c r="AD51" s="220">
        <f t="shared" si="152"/>
        <v>100</v>
      </c>
      <c r="AE51" s="220">
        <f t="shared" si="152"/>
        <v>0</v>
      </c>
      <c r="AF51" s="220">
        <f t="shared" si="152"/>
        <v>0</v>
      </c>
      <c r="AG51" s="220">
        <f t="shared" si="138"/>
        <v>165</v>
      </c>
      <c r="AH51" s="220">
        <f t="shared" si="139"/>
        <v>140</v>
      </c>
      <c r="AI51" s="220">
        <f t="shared" si="140"/>
        <v>25</v>
      </c>
      <c r="AJ51" s="220">
        <f t="shared" si="74"/>
        <v>0</v>
      </c>
      <c r="AK51" s="216">
        <f t="shared" si="8"/>
        <v>0</v>
      </c>
      <c r="AL51" s="220">
        <f t="shared" si="22"/>
        <v>0</v>
      </c>
      <c r="AM51" s="220">
        <f t="shared" si="23"/>
        <v>0</v>
      </c>
      <c r="AN51" s="221">
        <f t="shared" si="24"/>
        <v>0</v>
      </c>
      <c r="AO51" s="220">
        <f t="shared" si="25"/>
        <v>0</v>
      </c>
      <c r="AP51" s="220">
        <f t="shared" si="26"/>
        <v>0</v>
      </c>
      <c r="AQ51" s="220">
        <f t="shared" si="27"/>
        <v>0</v>
      </c>
      <c r="AR51" s="220">
        <f t="shared" si="28"/>
        <v>0</v>
      </c>
      <c r="AS51" s="220">
        <f t="shared" si="29"/>
        <v>0</v>
      </c>
      <c r="AT51" s="216">
        <f t="shared" si="30"/>
        <v>0</v>
      </c>
      <c r="AU51" s="220">
        <f t="shared" si="31"/>
        <v>0</v>
      </c>
      <c r="AV51" s="220"/>
      <c r="AW51" s="220">
        <f t="shared" si="32"/>
        <v>0</v>
      </c>
      <c r="AX51" s="216">
        <f t="shared" si="9"/>
        <v>0</v>
      </c>
      <c r="AY51" s="220">
        <f t="shared" si="33"/>
        <v>0</v>
      </c>
      <c r="AZ51" s="220">
        <f t="shared" si="34"/>
        <v>0</v>
      </c>
      <c r="BA51" s="220">
        <f t="shared" si="35"/>
        <v>0</v>
      </c>
      <c r="BB51" s="220">
        <f t="shared" si="36"/>
        <v>0</v>
      </c>
      <c r="BC51" s="220">
        <f t="shared" si="37"/>
        <v>0</v>
      </c>
      <c r="BD51" s="216">
        <f t="shared" si="10"/>
        <v>0</v>
      </c>
      <c r="BE51" s="220">
        <f t="shared" si="38"/>
        <v>0</v>
      </c>
      <c r="BF51" s="220">
        <f t="shared" si="39"/>
        <v>0</v>
      </c>
      <c r="BG51" s="220">
        <f t="shared" si="40"/>
        <v>0</v>
      </c>
      <c r="BH51" s="220">
        <f t="shared" si="41"/>
        <v>0</v>
      </c>
      <c r="BI51" s="220">
        <f t="shared" si="42"/>
        <v>0</v>
      </c>
      <c r="BJ51" s="220" t="s">
        <v>615</v>
      </c>
      <c r="BK51" s="220"/>
      <c r="BL51" s="223">
        <f t="shared" si="11"/>
        <v>0</v>
      </c>
      <c r="BM51" s="220">
        <v>2.67</v>
      </c>
      <c r="BN51" s="220"/>
      <c r="BO51" s="220">
        <f>ROUND(BM51+(BM51*BN51),2)</f>
        <v>2.67</v>
      </c>
      <c r="BP51" s="220">
        <f>IF(AND(BL51&gt;0,BL51&lt;tiet!$D$1),BL51,IF(BL51&lt;=0,0,IF(BL51&gt;tiet!$C$1,tiet!$C$1)))</f>
        <v>0</v>
      </c>
      <c r="BQ51" s="87">
        <f t="shared" si="75"/>
        <v>60000</v>
      </c>
      <c r="BR51" s="224">
        <f t="shared" si="76"/>
        <v>0</v>
      </c>
      <c r="BS51" s="220">
        <f t="shared" si="12"/>
        <v>0</v>
      </c>
      <c r="BT51" s="224">
        <f>VLOOKUP(N51,ma_dinhmuc!$A$1:$J$31,10,0)</f>
        <v>51000</v>
      </c>
      <c r="BU51" s="224">
        <f>ROUND(IF(BS51&gt;0,VLOOKUP(N51,ma_dinhmuc!$A$1:$J$31,10,0)*BS51,0),0)</f>
        <v>0</v>
      </c>
      <c r="BV51" s="224">
        <f t="shared" si="77"/>
        <v>0</v>
      </c>
      <c r="BW51" s="224"/>
      <c r="BX51" s="224">
        <v>0</v>
      </c>
      <c r="BY51" s="224"/>
      <c r="BZ51" s="224"/>
      <c r="CA51" s="224"/>
      <c r="CB51" s="224"/>
      <c r="CC51" s="225">
        <f t="shared" si="44"/>
        <v>0</v>
      </c>
      <c r="CD51" s="224">
        <f t="shared" si="45"/>
        <v>0</v>
      </c>
      <c r="CE51" s="224"/>
      <c r="CF51" s="226"/>
      <c r="CG51" s="87"/>
      <c r="CH51" s="87">
        <f>A51</f>
        <v>40</v>
      </c>
      <c r="CI51" s="227" t="str">
        <f t="shared" si="148"/>
        <v>Thân Thế</v>
      </c>
      <c r="CJ51" s="227" t="str">
        <f t="shared" si="148"/>
        <v>Anh</v>
      </c>
      <c r="CK51" s="87">
        <f t="shared" si="148"/>
        <v>1</v>
      </c>
      <c r="CL51" s="227" t="str">
        <f t="shared" ref="CL51:CL61" si="153">L51</f>
        <v>Côn trùng</v>
      </c>
      <c r="CM51" s="87" t="str">
        <f t="shared" si="46"/>
        <v>CS2</v>
      </c>
      <c r="CN51" s="87">
        <f t="shared" si="141"/>
        <v>270</v>
      </c>
      <c r="CO51" s="87">
        <f t="shared" si="141"/>
        <v>100</v>
      </c>
      <c r="CP51" s="229">
        <f t="shared" si="47"/>
        <v>0</v>
      </c>
      <c r="CQ51" s="229">
        <f t="shared" si="48"/>
        <v>0</v>
      </c>
      <c r="CR51" s="229">
        <f t="shared" si="49"/>
        <v>0</v>
      </c>
      <c r="CS51" s="229">
        <f t="shared" si="50"/>
        <v>0</v>
      </c>
      <c r="CT51" s="229">
        <f t="shared" si="51"/>
        <v>0</v>
      </c>
      <c r="CU51" s="229">
        <f t="shared" si="52"/>
        <v>0</v>
      </c>
      <c r="CV51" s="229">
        <f t="shared" si="53"/>
        <v>0</v>
      </c>
      <c r="CW51" s="229">
        <f t="shared" si="54"/>
        <v>0</v>
      </c>
      <c r="CX51" s="229">
        <f t="shared" si="55"/>
        <v>0</v>
      </c>
      <c r="CY51" s="229">
        <f t="shared" si="56"/>
        <v>0</v>
      </c>
      <c r="CZ51" s="229">
        <f t="shared" si="57"/>
        <v>0</v>
      </c>
      <c r="DA51" s="229">
        <f t="shared" si="58"/>
        <v>0</v>
      </c>
      <c r="DB51" s="228">
        <f t="shared" si="59"/>
        <v>0</v>
      </c>
      <c r="DC51" s="229"/>
      <c r="DD51" s="229"/>
      <c r="DE51" s="229"/>
      <c r="DF51" s="229"/>
      <c r="DG51" s="229"/>
      <c r="DH51" s="229"/>
      <c r="DI51" s="229"/>
      <c r="DJ51" s="229"/>
      <c r="DK51" s="229"/>
      <c r="DL51" s="229"/>
      <c r="DM51" s="229"/>
      <c r="DN51" s="229"/>
      <c r="DO51" s="228">
        <f t="shared" si="60"/>
        <v>0</v>
      </c>
      <c r="DP51" s="228">
        <f t="shared" si="61"/>
        <v>0</v>
      </c>
      <c r="DQ51" s="229">
        <f t="shared" si="62"/>
        <v>0</v>
      </c>
      <c r="DR51" s="229">
        <f t="shared" si="63"/>
        <v>0</v>
      </c>
      <c r="DS51" s="229">
        <f t="shared" si="64"/>
        <v>0</v>
      </c>
      <c r="DT51" s="229">
        <f t="shared" si="65"/>
        <v>0</v>
      </c>
      <c r="DU51" s="229">
        <f t="shared" si="66"/>
        <v>0</v>
      </c>
      <c r="DV51" s="229">
        <f t="shared" si="67"/>
        <v>0</v>
      </c>
      <c r="DW51" s="229">
        <f t="shared" si="68"/>
        <v>0</v>
      </c>
      <c r="DX51" s="228">
        <f t="shared" si="69"/>
        <v>0</v>
      </c>
      <c r="DY51" s="229"/>
      <c r="DZ51" s="229"/>
      <c r="EA51" s="229"/>
      <c r="EB51" s="229"/>
      <c r="EC51" s="229"/>
      <c r="ED51" s="229"/>
      <c r="EE51" s="229"/>
      <c r="EF51" s="228">
        <f t="shared" si="17"/>
        <v>0</v>
      </c>
      <c r="EG51" s="228">
        <f t="shared" si="70"/>
        <v>0</v>
      </c>
      <c r="EH51" s="229">
        <f t="shared" si="18"/>
        <v>25</v>
      </c>
      <c r="EI51" s="229">
        <v>140</v>
      </c>
      <c r="EJ51" s="228">
        <f>SUM(EH51:EI51)</f>
        <v>165</v>
      </c>
      <c r="EK51" s="229"/>
      <c r="EL51" s="229"/>
      <c r="EM51" s="228">
        <f t="shared" si="117"/>
        <v>0</v>
      </c>
      <c r="EN51" s="229">
        <f t="shared" si="71"/>
        <v>25</v>
      </c>
      <c r="EO51" s="229">
        <f t="shared" si="72"/>
        <v>140</v>
      </c>
      <c r="EP51" s="228">
        <f t="shared" si="88"/>
        <v>165</v>
      </c>
      <c r="EQ51" s="173">
        <f t="shared" si="19"/>
        <v>25</v>
      </c>
      <c r="ER51" s="189">
        <v>0</v>
      </c>
      <c r="ES51" s="189">
        <v>0</v>
      </c>
      <c r="ET51" s="189">
        <v>0</v>
      </c>
      <c r="EU51" s="189">
        <v>0</v>
      </c>
      <c r="EV51" s="189">
        <v>0</v>
      </c>
      <c r="EW51" s="189">
        <v>0</v>
      </c>
      <c r="EX51" s="189">
        <v>0</v>
      </c>
      <c r="EY51" s="189">
        <v>0</v>
      </c>
      <c r="EZ51" s="189">
        <v>0</v>
      </c>
      <c r="FA51" s="189">
        <v>0</v>
      </c>
      <c r="FB51" s="189">
        <v>0</v>
      </c>
      <c r="FC51" s="189">
        <v>0</v>
      </c>
      <c r="FD51" s="189">
        <v>0</v>
      </c>
      <c r="FE51" s="189">
        <v>0</v>
      </c>
      <c r="FF51" s="189">
        <v>0</v>
      </c>
      <c r="FG51" s="189">
        <v>0</v>
      </c>
      <c r="FH51" s="189">
        <v>0</v>
      </c>
      <c r="FI51" s="189">
        <v>0</v>
      </c>
      <c r="FJ51" s="189">
        <v>0</v>
      </c>
      <c r="FK51" s="189">
        <v>0</v>
      </c>
      <c r="FL51" s="189">
        <v>0</v>
      </c>
      <c r="FN51" s="132">
        <v>25</v>
      </c>
    </row>
    <row r="52" spans="1:170" ht="30.75" customHeight="1">
      <c r="A52" s="88">
        <f>COUNTIF($H$12:H52,H52)</f>
        <v>41</v>
      </c>
      <c r="B52" s="88" t="s">
        <v>1340</v>
      </c>
      <c r="C52" s="88" t="s">
        <v>410</v>
      </c>
      <c r="D52" s="88"/>
      <c r="E52" s="88"/>
      <c r="F52" s="301" t="s">
        <v>2812</v>
      </c>
      <c r="G52" s="303" t="s">
        <v>1600</v>
      </c>
      <c r="H52" s="88">
        <v>1</v>
      </c>
      <c r="I52" s="88">
        <v>1</v>
      </c>
      <c r="J52" s="88">
        <v>1</v>
      </c>
      <c r="K52" s="90" t="s">
        <v>2830</v>
      </c>
      <c r="L52" s="90" t="s">
        <v>2830</v>
      </c>
      <c r="M52" s="214"/>
      <c r="N52" s="88" t="s">
        <v>1804</v>
      </c>
      <c r="O52" s="216">
        <f t="shared" si="147"/>
        <v>3.66</v>
      </c>
      <c r="P52" s="88" t="str">
        <f t="shared" si="0"/>
        <v>B1_4</v>
      </c>
      <c r="Q52" s="88">
        <f t="shared" si="149"/>
        <v>270</v>
      </c>
      <c r="R52" s="88">
        <f t="shared" si="150"/>
        <v>120</v>
      </c>
      <c r="S52" s="218" t="s">
        <v>2036</v>
      </c>
      <c r="T52" s="88" t="s">
        <v>1326</v>
      </c>
      <c r="U52" s="88">
        <f>IF(RIGHT(T52,1)="K",(VLOOKUP(T52,ma_miengiam!$A$3:$B$80,2,0)*100)/2,VLOOKUP(T52,ma_miengiam!$A$3:$B$80,2,0)*100)</f>
        <v>65</v>
      </c>
      <c r="V52" s="88"/>
      <c r="W52" s="220">
        <f>IF(AND(T52="NTS",V52&gt;0),(Q52-(Q52*V52)/12)*VLOOKUP(T52,ma_miengiam!$A$3:$B$80,2,0)+(Q52-(Q52*(12-V52))/12),IF(AND(RIGHT(T52,1)="K",V52&gt;0),(VLOOKUP(T52,ma_miengiam!$A$3:$B$80,2,0)/2)*(Q52*V52)/12,IF(RIGHT(T52,1)="K",(VLOOKUP(T52,ma_miengiam!$A$3:$B$80,2,0)*Q52)/2,IF(V52&gt;0,VLOOKUP(T52,ma_miengiam!$A$3:$B$80,2,0)*Q52*V52/12,VLOOKUP(T52,ma_miengiam!$A$3:$B$80,2,0)*Q52))))</f>
        <v>175.5</v>
      </c>
      <c r="X52" s="220">
        <f>IF(T52="NTS",VLOOKUP(T52,ma_miengiam!$A$3:$B$80,2,0)*R52*V52,IF(AND(T52="NTS",V52=0),0,IF(AND(LEFT(T52,1)="K",V52=0),VLOOKUP(T52,ma_miengiam!$A$3:$B$80,2,0)*R52,IF(LEFT(T52,1)="K",(VLOOKUP(T52,ma_miengiam!$A$3:$B$80,2,0)*R52/12)*V52,IF(AND(LEFT(T52,1)="S",V52&gt;0),(R52/12)*V52,IF(AND(LEFT(T52,1)="S",V52=0),R52,IF(T52="DH",VLOOKUP(T52,ma_miengiam!$A$3:$B$80,2,0)*R52,0)))))))</f>
        <v>120</v>
      </c>
      <c r="Y52" s="220">
        <f t="shared" si="131"/>
        <v>94.5</v>
      </c>
      <c r="Z52" s="220">
        <f t="shared" si="90"/>
        <v>0</v>
      </c>
      <c r="AA52" s="220">
        <f t="shared" si="151"/>
        <v>270</v>
      </c>
      <c r="AB52" s="220">
        <f t="shared" si="151"/>
        <v>120</v>
      </c>
      <c r="AC52" s="220">
        <f t="shared" si="152"/>
        <v>175.5</v>
      </c>
      <c r="AD52" s="220">
        <f t="shared" si="152"/>
        <v>120</v>
      </c>
      <c r="AE52" s="220">
        <f t="shared" si="152"/>
        <v>94.5</v>
      </c>
      <c r="AF52" s="220">
        <f t="shared" si="152"/>
        <v>0</v>
      </c>
      <c r="AG52" s="220">
        <f t="shared" si="138"/>
        <v>191.11</v>
      </c>
      <c r="AH52" s="220">
        <f t="shared" si="139"/>
        <v>121.76</v>
      </c>
      <c r="AI52" s="220">
        <f t="shared" si="140"/>
        <v>69.349999999999994</v>
      </c>
      <c r="AJ52" s="220">
        <f t="shared" si="74"/>
        <v>0</v>
      </c>
      <c r="AK52" s="216">
        <f t="shared" si="8"/>
        <v>94.5</v>
      </c>
      <c r="AL52" s="220">
        <f t="shared" si="22"/>
        <v>165.10000000000002</v>
      </c>
      <c r="AM52" s="220">
        <f t="shared" si="23"/>
        <v>0</v>
      </c>
      <c r="AN52" s="221">
        <f t="shared" si="24"/>
        <v>165.10000000000002</v>
      </c>
      <c r="AO52" s="220">
        <f t="shared" si="25"/>
        <v>0</v>
      </c>
      <c r="AP52" s="220">
        <f t="shared" si="26"/>
        <v>0</v>
      </c>
      <c r="AQ52" s="220">
        <f t="shared" si="27"/>
        <v>60</v>
      </c>
      <c r="AR52" s="220">
        <f t="shared" si="28"/>
        <v>0</v>
      </c>
      <c r="AS52" s="220">
        <f t="shared" si="29"/>
        <v>0</v>
      </c>
      <c r="AT52" s="216">
        <f t="shared" si="30"/>
        <v>225.10000000000002</v>
      </c>
      <c r="AU52" s="222">
        <f t="shared" si="31"/>
        <v>70.600000000000023</v>
      </c>
      <c r="AV52" s="220"/>
      <c r="AW52" s="220">
        <f t="shared" si="32"/>
        <v>70.600000000000023</v>
      </c>
      <c r="AX52" s="216">
        <f t="shared" si="9"/>
        <v>0</v>
      </c>
      <c r="AY52" s="220">
        <f t="shared" si="33"/>
        <v>0</v>
      </c>
      <c r="AZ52" s="220">
        <f t="shared" si="34"/>
        <v>0</v>
      </c>
      <c r="BA52" s="220">
        <f t="shared" si="35"/>
        <v>60</v>
      </c>
      <c r="BB52" s="220">
        <f t="shared" si="36"/>
        <v>0</v>
      </c>
      <c r="BC52" s="220">
        <f t="shared" si="37"/>
        <v>0</v>
      </c>
      <c r="BD52" s="216">
        <f t="shared" si="10"/>
        <v>60</v>
      </c>
      <c r="BE52" s="220">
        <f t="shared" si="38"/>
        <v>0</v>
      </c>
      <c r="BF52" s="220">
        <f t="shared" si="39"/>
        <v>0</v>
      </c>
      <c r="BG52" s="220">
        <f t="shared" si="40"/>
        <v>0</v>
      </c>
      <c r="BH52" s="220">
        <f t="shared" si="41"/>
        <v>0</v>
      </c>
      <c r="BI52" s="220">
        <f t="shared" si="42"/>
        <v>0</v>
      </c>
      <c r="BJ52" s="220" t="s">
        <v>2560</v>
      </c>
      <c r="BK52" s="220"/>
      <c r="BL52" s="223">
        <f t="shared" si="11"/>
        <v>70.600000000000023</v>
      </c>
      <c r="BM52" s="220">
        <v>3.66</v>
      </c>
      <c r="BN52" s="220"/>
      <c r="BO52" s="220">
        <f>ROUND(BM52+(BM52*BN52),2)</f>
        <v>3.66</v>
      </c>
      <c r="BP52" s="220">
        <f>IF(AND(BL52&gt;0,BL52&lt;tiet!$D$1),BL52,IF(BL52&lt;=0,0,IF(BL52&gt;tiet!$C$1,tiet!$C$1)))</f>
        <v>70.600000000000023</v>
      </c>
      <c r="BQ52" s="87">
        <f t="shared" si="75"/>
        <v>65000</v>
      </c>
      <c r="BR52" s="224">
        <f t="shared" si="76"/>
        <v>4589000</v>
      </c>
      <c r="BS52" s="220">
        <f t="shared" si="12"/>
        <v>0</v>
      </c>
      <c r="BT52" s="224">
        <f>VLOOKUP(N52,ma_dinhmuc!$A$1:$J$31,10,0)</f>
        <v>51000</v>
      </c>
      <c r="BU52" s="224">
        <f>ROUND(IF(BS52&gt;0,VLOOKUP(N52,ma_dinhmuc!$A$1:$J$31,10,0)*BS52,0),0)</f>
        <v>0</v>
      </c>
      <c r="BV52" s="224">
        <f t="shared" si="77"/>
        <v>4589000</v>
      </c>
      <c r="BW52" s="224"/>
      <c r="BX52" s="224">
        <v>0</v>
      </c>
      <c r="BY52" s="224"/>
      <c r="BZ52" s="224"/>
      <c r="CA52" s="224"/>
      <c r="CB52" s="224"/>
      <c r="CC52" s="225">
        <f t="shared" si="44"/>
        <v>4589000</v>
      </c>
      <c r="CD52" s="224">
        <f t="shared" si="45"/>
        <v>0</v>
      </c>
      <c r="CE52" s="224"/>
      <c r="CF52" s="226"/>
      <c r="CG52" s="87"/>
      <c r="CH52" s="87">
        <f t="shared" si="143"/>
        <v>41</v>
      </c>
      <c r="CI52" s="227" t="str">
        <f t="shared" si="144"/>
        <v>Nguyễn Hồng</v>
      </c>
      <c r="CJ52" s="227" t="str">
        <f t="shared" si="145"/>
        <v>Hạnh</v>
      </c>
      <c r="CK52" s="87">
        <f t="shared" si="146"/>
        <v>1</v>
      </c>
      <c r="CL52" s="227" t="str">
        <f t="shared" si="153"/>
        <v>PPTN và TKSH</v>
      </c>
      <c r="CM52" s="87" t="str">
        <f t="shared" si="46"/>
        <v>CS2</v>
      </c>
      <c r="CN52" s="87">
        <f t="shared" ref="CN52:CO55" si="154">Q52</f>
        <v>270</v>
      </c>
      <c r="CO52" s="87">
        <f t="shared" si="154"/>
        <v>120</v>
      </c>
      <c r="CP52" s="229">
        <f t="shared" si="47"/>
        <v>0</v>
      </c>
      <c r="CQ52" s="229">
        <f t="shared" si="48"/>
        <v>23.3</v>
      </c>
      <c r="CR52" s="229">
        <f t="shared" si="49"/>
        <v>9.4</v>
      </c>
      <c r="CS52" s="229">
        <f t="shared" si="50"/>
        <v>0</v>
      </c>
      <c r="CT52" s="229">
        <f t="shared" si="51"/>
        <v>0</v>
      </c>
      <c r="CU52" s="229">
        <f t="shared" si="52"/>
        <v>76.400000000000006</v>
      </c>
      <c r="CV52" s="229">
        <f t="shared" si="53"/>
        <v>0</v>
      </c>
      <c r="CW52" s="229">
        <f t="shared" si="54"/>
        <v>56</v>
      </c>
      <c r="CX52" s="229">
        <f t="shared" si="55"/>
        <v>0</v>
      </c>
      <c r="CY52" s="229">
        <f t="shared" si="56"/>
        <v>0</v>
      </c>
      <c r="CZ52" s="229">
        <f t="shared" si="57"/>
        <v>0</v>
      </c>
      <c r="DA52" s="229">
        <f t="shared" si="58"/>
        <v>60</v>
      </c>
      <c r="DB52" s="228">
        <f t="shared" si="59"/>
        <v>225.10000000000002</v>
      </c>
      <c r="DC52" s="229"/>
      <c r="DD52" s="229"/>
      <c r="DE52" s="229"/>
      <c r="DF52" s="229"/>
      <c r="DG52" s="229"/>
      <c r="DH52" s="229"/>
      <c r="DI52" s="229"/>
      <c r="DJ52" s="229"/>
      <c r="DK52" s="229"/>
      <c r="DL52" s="229"/>
      <c r="DM52" s="229"/>
      <c r="DN52" s="229"/>
      <c r="DO52" s="228">
        <f t="shared" si="60"/>
        <v>0</v>
      </c>
      <c r="DP52" s="228">
        <f t="shared" si="61"/>
        <v>225.10000000000002</v>
      </c>
      <c r="DQ52" s="229">
        <f t="shared" si="62"/>
        <v>0</v>
      </c>
      <c r="DR52" s="229">
        <f t="shared" si="63"/>
        <v>0</v>
      </c>
      <c r="DS52" s="229">
        <f t="shared" si="64"/>
        <v>0</v>
      </c>
      <c r="DT52" s="229">
        <f t="shared" si="65"/>
        <v>0</v>
      </c>
      <c r="DU52" s="229">
        <f t="shared" si="66"/>
        <v>0</v>
      </c>
      <c r="DV52" s="229">
        <f t="shared" si="67"/>
        <v>0</v>
      </c>
      <c r="DW52" s="229">
        <f t="shared" si="68"/>
        <v>0</v>
      </c>
      <c r="DX52" s="228">
        <f t="shared" si="69"/>
        <v>0</v>
      </c>
      <c r="DY52" s="229"/>
      <c r="DZ52" s="229"/>
      <c r="EA52" s="229"/>
      <c r="EB52" s="229"/>
      <c r="EC52" s="229"/>
      <c r="ED52" s="229"/>
      <c r="EE52" s="229"/>
      <c r="EF52" s="228">
        <f t="shared" si="17"/>
        <v>0</v>
      </c>
      <c r="EG52" s="228">
        <f t="shared" si="70"/>
        <v>0</v>
      </c>
      <c r="EH52" s="229">
        <f t="shared" si="18"/>
        <v>69.349999999999994</v>
      </c>
      <c r="EI52" s="229">
        <v>121.76</v>
      </c>
      <c r="EJ52" s="228">
        <f t="shared" si="84"/>
        <v>191.11</v>
      </c>
      <c r="EK52" s="229"/>
      <c r="EL52" s="229"/>
      <c r="EM52" s="228">
        <f t="shared" ref="EM52:EM61" si="155">SUM(EK52:EL52)</f>
        <v>0</v>
      </c>
      <c r="EN52" s="229">
        <f t="shared" si="71"/>
        <v>69.349999999999994</v>
      </c>
      <c r="EO52" s="229">
        <f t="shared" si="72"/>
        <v>121.76</v>
      </c>
      <c r="EP52" s="228">
        <f t="shared" ref="EP52:EP61" si="156">EM52+EJ52</f>
        <v>191.11</v>
      </c>
      <c r="EQ52" s="173">
        <f t="shared" si="19"/>
        <v>69.349999999999994</v>
      </c>
      <c r="ER52" s="189">
        <v>0</v>
      </c>
      <c r="ES52" s="189">
        <v>23.3</v>
      </c>
      <c r="ET52" s="189">
        <v>9.4</v>
      </c>
      <c r="EU52" s="189">
        <v>0</v>
      </c>
      <c r="EV52" s="189">
        <v>0</v>
      </c>
      <c r="EW52" s="189">
        <v>76.400000000000006</v>
      </c>
      <c r="EX52" s="189">
        <v>0</v>
      </c>
      <c r="EY52" s="189">
        <v>56</v>
      </c>
      <c r="EZ52" s="189">
        <v>0</v>
      </c>
      <c r="FA52" s="189">
        <v>0</v>
      </c>
      <c r="FB52" s="189">
        <v>0</v>
      </c>
      <c r="FC52" s="189">
        <v>60</v>
      </c>
      <c r="FD52" s="189">
        <v>0</v>
      </c>
      <c r="FE52" s="189">
        <v>0</v>
      </c>
      <c r="FF52" s="189">
        <v>0</v>
      </c>
      <c r="FG52" s="189">
        <v>0</v>
      </c>
      <c r="FH52" s="189">
        <v>0</v>
      </c>
      <c r="FI52" s="189">
        <v>0</v>
      </c>
      <c r="FJ52" s="189">
        <v>0</v>
      </c>
      <c r="FK52" s="189">
        <v>225.1</v>
      </c>
      <c r="FL52" s="189">
        <v>188</v>
      </c>
      <c r="FN52" s="132">
        <v>69.349999999999994</v>
      </c>
    </row>
    <row r="53" spans="1:170" ht="26.25" customHeight="1">
      <c r="A53" s="88">
        <f>COUNTIF($H$12:H53,H53)</f>
        <v>42</v>
      </c>
      <c r="B53" s="88" t="s">
        <v>1341</v>
      </c>
      <c r="C53" s="88" t="s">
        <v>411</v>
      </c>
      <c r="D53" s="88"/>
      <c r="E53" s="88"/>
      <c r="F53" s="301" t="s">
        <v>2813</v>
      </c>
      <c r="G53" s="303" t="s">
        <v>2762</v>
      </c>
      <c r="H53" s="88">
        <v>1</v>
      </c>
      <c r="I53" s="88">
        <v>1</v>
      </c>
      <c r="J53" s="88">
        <v>1</v>
      </c>
      <c r="K53" s="90" t="s">
        <v>2830</v>
      </c>
      <c r="L53" s="90" t="s">
        <v>2830</v>
      </c>
      <c r="M53" s="214"/>
      <c r="N53" s="88" t="s">
        <v>1804</v>
      </c>
      <c r="O53" s="216">
        <f t="shared" si="147"/>
        <v>3.33</v>
      </c>
      <c r="P53" s="88" t="str">
        <f t="shared" si="0"/>
        <v>B1_4</v>
      </c>
      <c r="Q53" s="88">
        <f t="shared" si="149"/>
        <v>270</v>
      </c>
      <c r="R53" s="88">
        <f t="shared" si="150"/>
        <v>120</v>
      </c>
      <c r="S53" s="218"/>
      <c r="T53" s="88" t="s">
        <v>3088</v>
      </c>
      <c r="U53" s="88">
        <f>IF(RIGHT(T53,1)="K",(VLOOKUP(T53,ma_miengiam!$A$3:$B$80,2,0)*100)/2,VLOOKUP(T53,ma_miengiam!$A$3:$B$80,2,0)*100)</f>
        <v>0</v>
      </c>
      <c r="V53" s="88"/>
      <c r="W53" s="220">
        <f>IF(AND(T53="NTS",V53&gt;0),(Q53-(Q53*V53)/12)*VLOOKUP(T53,ma_miengiam!$A$3:$B$80,2,0)+(Q53-(Q53*(12-V53))/12),IF(AND(RIGHT(T53,1)="K",V53&gt;0),(VLOOKUP(T53,ma_miengiam!$A$3:$B$80,2,0)/2)*(Q53*V53)/12,IF(RIGHT(T53,1)="K",(VLOOKUP(T53,ma_miengiam!$A$3:$B$80,2,0)*Q53)/2,IF(V53&gt;0,VLOOKUP(T53,ma_miengiam!$A$3:$B$80,2,0)*Q53*V53/12,VLOOKUP(T53,ma_miengiam!$A$3:$B$80,2,0)*Q53))))</f>
        <v>0</v>
      </c>
      <c r="X53" s="220">
        <f>IF(T53="NTS",VLOOKUP(T53,ma_miengiam!$A$3:$B$80,2,0)*R53*V53,IF(AND(T53="NTS",V53=0),0,IF(AND(LEFT(T53,1)="K",V53=0),VLOOKUP(T53,ma_miengiam!$A$3:$B$80,2,0)*R53,IF(LEFT(T53,1)="K",(VLOOKUP(T53,ma_miengiam!$A$3:$B$80,2,0)*R53/12)*V53,IF(AND(LEFT(T53,1)="S",V53&gt;0),(R53/12)*V53,IF(AND(LEFT(T53,1)="S",V53=0),R53,IF(T53="DH",VLOOKUP(T53,ma_miengiam!$A$3:$B$80,2,0)*R53,0)))))))</f>
        <v>0</v>
      </c>
      <c r="Y53" s="220">
        <f t="shared" si="131"/>
        <v>270</v>
      </c>
      <c r="Z53" s="220">
        <f t="shared" si="90"/>
        <v>120</v>
      </c>
      <c r="AA53" s="220">
        <f t="shared" si="151"/>
        <v>270</v>
      </c>
      <c r="AB53" s="220">
        <f t="shared" si="151"/>
        <v>120</v>
      </c>
      <c r="AC53" s="220">
        <f t="shared" si="152"/>
        <v>0</v>
      </c>
      <c r="AD53" s="220">
        <f t="shared" si="152"/>
        <v>0</v>
      </c>
      <c r="AE53" s="220">
        <f t="shared" si="152"/>
        <v>270</v>
      </c>
      <c r="AF53" s="220">
        <f t="shared" si="152"/>
        <v>120</v>
      </c>
      <c r="AG53" s="220">
        <f t="shared" si="138"/>
        <v>52.69</v>
      </c>
      <c r="AH53" s="220">
        <f t="shared" si="139"/>
        <v>0</v>
      </c>
      <c r="AI53" s="220">
        <f t="shared" si="140"/>
        <v>52.69</v>
      </c>
      <c r="AJ53" s="220">
        <f t="shared" si="74"/>
        <v>-67.31</v>
      </c>
      <c r="AK53" s="216">
        <f t="shared" si="8"/>
        <v>337.31</v>
      </c>
      <c r="AL53" s="220">
        <f t="shared" si="22"/>
        <v>144.80000000000001</v>
      </c>
      <c r="AM53" s="220">
        <f t="shared" si="23"/>
        <v>0</v>
      </c>
      <c r="AN53" s="216">
        <f t="shared" si="24"/>
        <v>144.80000000000001</v>
      </c>
      <c r="AO53" s="220">
        <f t="shared" si="25"/>
        <v>0</v>
      </c>
      <c r="AP53" s="220">
        <f t="shared" si="26"/>
        <v>0</v>
      </c>
      <c r="AQ53" s="220">
        <f t="shared" si="27"/>
        <v>96</v>
      </c>
      <c r="AR53" s="220">
        <f t="shared" si="28"/>
        <v>0</v>
      </c>
      <c r="AS53" s="220">
        <f t="shared" si="29"/>
        <v>0</v>
      </c>
      <c r="AT53" s="216">
        <f t="shared" si="30"/>
        <v>240.8</v>
      </c>
      <c r="AU53" s="220">
        <f t="shared" si="31"/>
        <v>-192.51</v>
      </c>
      <c r="AV53" s="220"/>
      <c r="AW53" s="220">
        <f t="shared" si="32"/>
        <v>-192.51</v>
      </c>
      <c r="AX53" s="216">
        <f t="shared" si="9"/>
        <v>-192.51</v>
      </c>
      <c r="AY53" s="220">
        <f t="shared" si="33"/>
        <v>0</v>
      </c>
      <c r="AZ53" s="220">
        <f t="shared" si="34"/>
        <v>0</v>
      </c>
      <c r="BA53" s="220">
        <f t="shared" si="35"/>
        <v>0</v>
      </c>
      <c r="BB53" s="220">
        <f t="shared" si="36"/>
        <v>0</v>
      </c>
      <c r="BC53" s="220">
        <f t="shared" si="37"/>
        <v>0</v>
      </c>
      <c r="BD53" s="216">
        <f t="shared" si="10"/>
        <v>0</v>
      </c>
      <c r="BE53" s="220">
        <f t="shared" si="38"/>
        <v>0</v>
      </c>
      <c r="BF53" s="220">
        <f t="shared" si="39"/>
        <v>0</v>
      </c>
      <c r="BG53" s="220">
        <f t="shared" si="40"/>
        <v>-96</v>
      </c>
      <c r="BH53" s="220">
        <f t="shared" si="41"/>
        <v>0</v>
      </c>
      <c r="BI53" s="220">
        <f t="shared" si="42"/>
        <v>0</v>
      </c>
      <c r="BJ53" s="220" t="s">
        <v>2560</v>
      </c>
      <c r="BK53" s="220"/>
      <c r="BL53" s="223">
        <f t="shared" si="11"/>
        <v>0</v>
      </c>
      <c r="BM53" s="220">
        <v>3.33</v>
      </c>
      <c r="BN53" s="220"/>
      <c r="BO53" s="220">
        <f t="shared" si="142"/>
        <v>3.33</v>
      </c>
      <c r="BP53" s="220">
        <f>IF(AND(BL53&gt;0,BL53&lt;tiet!$D$1),BL53,IF(BL53&lt;=0,0,IF(BL53&gt;tiet!$C$1,tiet!$C$1)))</f>
        <v>0</v>
      </c>
      <c r="BQ53" s="87">
        <f t="shared" si="75"/>
        <v>65000</v>
      </c>
      <c r="BR53" s="224">
        <f t="shared" si="76"/>
        <v>0</v>
      </c>
      <c r="BS53" s="220">
        <f t="shared" si="12"/>
        <v>0</v>
      </c>
      <c r="BT53" s="224">
        <f>VLOOKUP(N53,ma_dinhmuc!$A$1:$J$31,10,0)</f>
        <v>51000</v>
      </c>
      <c r="BU53" s="224">
        <f>ROUND(IF(BS53&gt;0,VLOOKUP(N53,ma_dinhmuc!$A$1:$J$31,10,0)*BS53,0),0)</f>
        <v>0</v>
      </c>
      <c r="BV53" s="224">
        <f t="shared" si="77"/>
        <v>0</v>
      </c>
      <c r="BW53" s="224"/>
      <c r="BX53" s="224">
        <v>0</v>
      </c>
      <c r="BY53" s="224"/>
      <c r="BZ53" s="224"/>
      <c r="CA53" s="224"/>
      <c r="CB53" s="224"/>
      <c r="CC53" s="225">
        <f t="shared" si="44"/>
        <v>0</v>
      </c>
      <c r="CD53" s="224">
        <f t="shared" si="45"/>
        <v>0</v>
      </c>
      <c r="CE53" s="224"/>
      <c r="CF53" s="226"/>
      <c r="CG53" s="87"/>
      <c r="CH53" s="87">
        <f t="shared" si="143"/>
        <v>42</v>
      </c>
      <c r="CI53" s="227" t="str">
        <f t="shared" si="144"/>
        <v>Nguyễn Thị Ngọc</v>
      </c>
      <c r="CJ53" s="227" t="str">
        <f t="shared" si="145"/>
        <v>Dinh</v>
      </c>
      <c r="CK53" s="87">
        <f t="shared" si="146"/>
        <v>1</v>
      </c>
      <c r="CL53" s="227" t="str">
        <f t="shared" si="153"/>
        <v>PPTN và TKSH</v>
      </c>
      <c r="CM53" s="87" t="str">
        <f t="shared" si="46"/>
        <v>CS2</v>
      </c>
      <c r="CN53" s="87">
        <f t="shared" si="154"/>
        <v>270</v>
      </c>
      <c r="CO53" s="87">
        <f t="shared" si="154"/>
        <v>120</v>
      </c>
      <c r="CP53" s="229">
        <f t="shared" si="47"/>
        <v>0</v>
      </c>
      <c r="CQ53" s="229">
        <f t="shared" si="48"/>
        <v>12</v>
      </c>
      <c r="CR53" s="229">
        <f t="shared" si="49"/>
        <v>4.8</v>
      </c>
      <c r="CS53" s="229">
        <f t="shared" si="50"/>
        <v>0</v>
      </c>
      <c r="CT53" s="229">
        <f t="shared" si="51"/>
        <v>0</v>
      </c>
      <c r="CU53" s="229">
        <f t="shared" si="52"/>
        <v>44</v>
      </c>
      <c r="CV53" s="229">
        <f t="shared" si="53"/>
        <v>0</v>
      </c>
      <c r="CW53" s="229">
        <f t="shared" si="54"/>
        <v>84</v>
      </c>
      <c r="CX53" s="229">
        <f t="shared" si="55"/>
        <v>0</v>
      </c>
      <c r="CY53" s="229">
        <f t="shared" si="56"/>
        <v>0</v>
      </c>
      <c r="CZ53" s="229">
        <f t="shared" si="57"/>
        <v>0</v>
      </c>
      <c r="DA53" s="229">
        <f t="shared" si="58"/>
        <v>96</v>
      </c>
      <c r="DB53" s="228">
        <f t="shared" si="59"/>
        <v>240.8</v>
      </c>
      <c r="DC53" s="229"/>
      <c r="DD53" s="229"/>
      <c r="DE53" s="229"/>
      <c r="DF53" s="229"/>
      <c r="DG53" s="229"/>
      <c r="DH53" s="229"/>
      <c r="DI53" s="229"/>
      <c r="DJ53" s="229"/>
      <c r="DK53" s="229"/>
      <c r="DL53" s="229"/>
      <c r="DM53" s="229"/>
      <c r="DN53" s="229"/>
      <c r="DO53" s="228">
        <f t="shared" si="60"/>
        <v>0</v>
      </c>
      <c r="DP53" s="228">
        <f t="shared" si="61"/>
        <v>240.8</v>
      </c>
      <c r="DQ53" s="229">
        <f t="shared" si="62"/>
        <v>0</v>
      </c>
      <c r="DR53" s="229">
        <f t="shared" si="63"/>
        <v>0</v>
      </c>
      <c r="DS53" s="229">
        <f t="shared" si="64"/>
        <v>0</v>
      </c>
      <c r="DT53" s="229">
        <f t="shared" si="65"/>
        <v>0</v>
      </c>
      <c r="DU53" s="229">
        <f t="shared" si="66"/>
        <v>0</v>
      </c>
      <c r="DV53" s="229">
        <f t="shared" si="67"/>
        <v>0</v>
      </c>
      <c r="DW53" s="229">
        <f t="shared" si="68"/>
        <v>0</v>
      </c>
      <c r="DX53" s="228">
        <f t="shared" si="69"/>
        <v>0</v>
      </c>
      <c r="DY53" s="229"/>
      <c r="DZ53" s="229"/>
      <c r="EA53" s="229"/>
      <c r="EB53" s="229"/>
      <c r="EC53" s="229"/>
      <c r="ED53" s="229"/>
      <c r="EE53" s="229"/>
      <c r="EF53" s="228">
        <f t="shared" si="17"/>
        <v>0</v>
      </c>
      <c r="EG53" s="228">
        <f t="shared" si="70"/>
        <v>0</v>
      </c>
      <c r="EH53" s="229">
        <f t="shared" si="18"/>
        <v>52.69</v>
      </c>
      <c r="EI53" s="229">
        <v>0</v>
      </c>
      <c r="EJ53" s="228">
        <f t="shared" si="84"/>
        <v>52.69</v>
      </c>
      <c r="EK53" s="229"/>
      <c r="EL53" s="229"/>
      <c r="EM53" s="228">
        <f t="shared" si="155"/>
        <v>0</v>
      </c>
      <c r="EN53" s="229">
        <f t="shared" si="71"/>
        <v>52.69</v>
      </c>
      <c r="EO53" s="229">
        <f t="shared" si="72"/>
        <v>0</v>
      </c>
      <c r="EP53" s="228">
        <f t="shared" si="156"/>
        <v>52.69</v>
      </c>
      <c r="EQ53" s="173">
        <f t="shared" si="19"/>
        <v>0</v>
      </c>
      <c r="ER53" s="189">
        <v>0</v>
      </c>
      <c r="ES53" s="189">
        <v>12</v>
      </c>
      <c r="ET53" s="189">
        <v>4.8</v>
      </c>
      <c r="EU53" s="189">
        <v>0</v>
      </c>
      <c r="EV53" s="189">
        <v>0</v>
      </c>
      <c r="EW53" s="189">
        <v>44</v>
      </c>
      <c r="EX53" s="189">
        <v>0</v>
      </c>
      <c r="EY53" s="189">
        <v>84</v>
      </c>
      <c r="EZ53" s="189">
        <v>0</v>
      </c>
      <c r="FA53" s="189">
        <v>0</v>
      </c>
      <c r="FB53" s="189">
        <v>0</v>
      </c>
      <c r="FC53" s="189">
        <v>96</v>
      </c>
      <c r="FD53" s="189">
        <v>0</v>
      </c>
      <c r="FE53" s="189">
        <v>0</v>
      </c>
      <c r="FF53" s="189">
        <v>0</v>
      </c>
      <c r="FG53" s="189">
        <v>0</v>
      </c>
      <c r="FH53" s="189">
        <v>0</v>
      </c>
      <c r="FI53" s="189">
        <v>0</v>
      </c>
      <c r="FJ53" s="189">
        <v>0</v>
      </c>
      <c r="FK53" s="189">
        <v>240.8</v>
      </c>
      <c r="FL53" s="189">
        <v>216</v>
      </c>
      <c r="FN53" s="132">
        <v>52.69</v>
      </c>
    </row>
    <row r="54" spans="1:170" ht="30.75" customHeight="1">
      <c r="A54" s="88">
        <f>COUNTIF($H$12:H54,H54)</f>
        <v>43</v>
      </c>
      <c r="B54" s="88" t="s">
        <v>1342</v>
      </c>
      <c r="C54" s="88" t="s">
        <v>412</v>
      </c>
      <c r="D54" s="88"/>
      <c r="E54" s="88"/>
      <c r="F54" s="301" t="s">
        <v>1859</v>
      </c>
      <c r="G54" s="89" t="s">
        <v>2815</v>
      </c>
      <c r="H54" s="88">
        <v>1</v>
      </c>
      <c r="I54" s="88">
        <v>1</v>
      </c>
      <c r="J54" s="88">
        <v>1</v>
      </c>
      <c r="K54" s="90" t="s">
        <v>2830</v>
      </c>
      <c r="L54" s="90" t="s">
        <v>2830</v>
      </c>
      <c r="M54" s="214"/>
      <c r="N54" s="88" t="s">
        <v>1804</v>
      </c>
      <c r="O54" s="216">
        <f t="shared" si="147"/>
        <v>3.33</v>
      </c>
      <c r="P54" s="88" t="str">
        <f t="shared" si="0"/>
        <v>B1_4</v>
      </c>
      <c r="Q54" s="88">
        <f t="shared" si="149"/>
        <v>270</v>
      </c>
      <c r="R54" s="88">
        <f t="shared" si="150"/>
        <v>120</v>
      </c>
      <c r="S54" s="218"/>
      <c r="T54" s="88" t="s">
        <v>3088</v>
      </c>
      <c r="U54" s="88">
        <f>IF(RIGHT(T54,1)="K",(VLOOKUP(T54,ma_miengiam!$A$3:$B$80,2,0)*100)/2,VLOOKUP(T54,ma_miengiam!$A$3:$B$80,2,0)*100)</f>
        <v>0</v>
      </c>
      <c r="V54" s="88"/>
      <c r="W54" s="220">
        <f>IF(AND(T54="NTS",V54&gt;0),(Q54-(Q54*V54)/12)*VLOOKUP(T54,ma_miengiam!$A$3:$B$80,2,0)+(Q54-(Q54*(12-V54))/12),IF(AND(RIGHT(T54,1)="K",V54&gt;0),(VLOOKUP(T54,ma_miengiam!$A$3:$B$80,2,0)/2)*(Q54*V54)/12,IF(RIGHT(T54,1)="K",(VLOOKUP(T54,ma_miengiam!$A$3:$B$80,2,0)*Q54)/2,IF(V54&gt;0,VLOOKUP(T54,ma_miengiam!$A$3:$B$80,2,0)*Q54*V54/12,VLOOKUP(T54,ma_miengiam!$A$3:$B$80,2,0)*Q54))))</f>
        <v>0</v>
      </c>
      <c r="X54" s="220">
        <f>IF(T54="NTS",VLOOKUP(T54,ma_miengiam!$A$3:$B$80,2,0)*R54*V54,IF(AND(T54="NTS",V54=0),0,IF(AND(LEFT(T54,1)="K",V54=0),VLOOKUP(T54,ma_miengiam!$A$3:$B$80,2,0)*R54,IF(LEFT(T54,1)="K",(VLOOKUP(T54,ma_miengiam!$A$3:$B$80,2,0)*R54/12)*V54,IF(AND(LEFT(T54,1)="S",V54&gt;0),(R54/12)*V54,IF(AND(LEFT(T54,1)="S",V54=0),R54,IF(T54="DH",VLOOKUP(T54,ma_miengiam!$A$3:$B$80,2,0)*R54,0)))))))</f>
        <v>0</v>
      </c>
      <c r="Y54" s="220">
        <f t="shared" si="131"/>
        <v>270</v>
      </c>
      <c r="Z54" s="220">
        <f t="shared" si="90"/>
        <v>120</v>
      </c>
      <c r="AA54" s="220">
        <f t="shared" si="151"/>
        <v>270</v>
      </c>
      <c r="AB54" s="220">
        <f t="shared" si="151"/>
        <v>120</v>
      </c>
      <c r="AC54" s="220">
        <f t="shared" si="152"/>
        <v>0</v>
      </c>
      <c r="AD54" s="220">
        <f t="shared" si="152"/>
        <v>0</v>
      </c>
      <c r="AE54" s="220">
        <f t="shared" si="152"/>
        <v>270</v>
      </c>
      <c r="AF54" s="220">
        <f t="shared" si="152"/>
        <v>120</v>
      </c>
      <c r="AG54" s="220">
        <f t="shared" si="138"/>
        <v>67.87</v>
      </c>
      <c r="AH54" s="220">
        <f t="shared" si="139"/>
        <v>1.7600000000000051</v>
      </c>
      <c r="AI54" s="220">
        <f t="shared" si="140"/>
        <v>66.11</v>
      </c>
      <c r="AJ54" s="220">
        <f t="shared" si="74"/>
        <v>-52.129999999999995</v>
      </c>
      <c r="AK54" s="216">
        <f t="shared" si="8"/>
        <v>322.13</v>
      </c>
      <c r="AL54" s="220">
        <f t="shared" si="22"/>
        <v>155.1</v>
      </c>
      <c r="AM54" s="220">
        <f t="shared" si="23"/>
        <v>27.599999999999998</v>
      </c>
      <c r="AN54" s="221">
        <f t="shared" si="24"/>
        <v>182.7</v>
      </c>
      <c r="AO54" s="220">
        <f t="shared" si="25"/>
        <v>0</v>
      </c>
      <c r="AP54" s="220">
        <f t="shared" si="26"/>
        <v>0</v>
      </c>
      <c r="AQ54" s="220">
        <f t="shared" si="27"/>
        <v>80</v>
      </c>
      <c r="AR54" s="220">
        <f t="shared" si="28"/>
        <v>56</v>
      </c>
      <c r="AS54" s="220">
        <f t="shared" si="29"/>
        <v>0</v>
      </c>
      <c r="AT54" s="216">
        <f t="shared" si="30"/>
        <v>318.7</v>
      </c>
      <c r="AU54" s="222">
        <f t="shared" si="31"/>
        <v>-139.43</v>
      </c>
      <c r="AV54" s="220"/>
      <c r="AW54" s="220">
        <f t="shared" si="32"/>
        <v>-139.43</v>
      </c>
      <c r="AX54" s="216">
        <f t="shared" si="9"/>
        <v>-139.43</v>
      </c>
      <c r="AY54" s="220">
        <f t="shared" si="33"/>
        <v>0</v>
      </c>
      <c r="AZ54" s="220">
        <f t="shared" si="34"/>
        <v>0</v>
      </c>
      <c r="BA54" s="220">
        <f t="shared" si="35"/>
        <v>0</v>
      </c>
      <c r="BB54" s="220">
        <f t="shared" si="36"/>
        <v>0</v>
      </c>
      <c r="BC54" s="220">
        <f t="shared" si="37"/>
        <v>0</v>
      </c>
      <c r="BD54" s="216">
        <f t="shared" si="10"/>
        <v>0</v>
      </c>
      <c r="BE54" s="220">
        <f t="shared" si="38"/>
        <v>0</v>
      </c>
      <c r="BF54" s="220">
        <f t="shared" si="39"/>
        <v>0</v>
      </c>
      <c r="BG54" s="220">
        <f t="shared" si="40"/>
        <v>-80</v>
      </c>
      <c r="BH54" s="220">
        <f t="shared" si="41"/>
        <v>-56</v>
      </c>
      <c r="BI54" s="220">
        <f t="shared" si="42"/>
        <v>0</v>
      </c>
      <c r="BJ54" s="220" t="s">
        <v>2561</v>
      </c>
      <c r="BK54" s="220"/>
      <c r="BL54" s="223">
        <f t="shared" si="11"/>
        <v>0</v>
      </c>
      <c r="BM54" s="220">
        <v>3.33</v>
      </c>
      <c r="BN54" s="220"/>
      <c r="BO54" s="220">
        <f t="shared" si="142"/>
        <v>3.33</v>
      </c>
      <c r="BP54" s="220">
        <f>IF(AND(BL54&gt;0,BL54&lt;tiet!$D$1),BL54,IF(BL54&lt;=0,0,IF(BL54&gt;tiet!$C$1,tiet!$C$1)))</f>
        <v>0</v>
      </c>
      <c r="BQ54" s="87">
        <f t="shared" si="75"/>
        <v>65000</v>
      </c>
      <c r="BR54" s="224">
        <f t="shared" si="76"/>
        <v>0</v>
      </c>
      <c r="BS54" s="220">
        <f t="shared" si="12"/>
        <v>0</v>
      </c>
      <c r="BT54" s="224">
        <f>VLOOKUP(N54,ma_dinhmuc!$A$1:$J$31,10,0)</f>
        <v>51000</v>
      </c>
      <c r="BU54" s="224">
        <f>ROUND(IF(BS54&gt;0,VLOOKUP(N54,ma_dinhmuc!$A$1:$J$31,10,0)*BS54,0),0)</f>
        <v>0</v>
      </c>
      <c r="BV54" s="224">
        <f t="shared" si="77"/>
        <v>0</v>
      </c>
      <c r="BW54" s="224"/>
      <c r="BX54" s="224">
        <v>0</v>
      </c>
      <c r="BY54" s="224"/>
      <c r="BZ54" s="224"/>
      <c r="CA54" s="224"/>
      <c r="CB54" s="224"/>
      <c r="CC54" s="225">
        <f t="shared" si="44"/>
        <v>0</v>
      </c>
      <c r="CD54" s="224">
        <f t="shared" si="45"/>
        <v>0</v>
      </c>
      <c r="CE54" s="224"/>
      <c r="CF54" s="226"/>
      <c r="CG54" s="87"/>
      <c r="CH54" s="87">
        <f t="shared" si="143"/>
        <v>43</v>
      </c>
      <c r="CI54" s="227" t="str">
        <f t="shared" si="144"/>
        <v>Nguyễn Thị Ái</v>
      </c>
      <c r="CJ54" s="227" t="str">
        <f t="shared" si="145"/>
        <v>Nghĩa</v>
      </c>
      <c r="CK54" s="87">
        <f t="shared" si="146"/>
        <v>1</v>
      </c>
      <c r="CL54" s="227" t="str">
        <f t="shared" si="153"/>
        <v>PPTN và TKSH</v>
      </c>
      <c r="CM54" s="87" t="str">
        <f t="shared" si="46"/>
        <v>CS2</v>
      </c>
      <c r="CN54" s="87">
        <f t="shared" si="154"/>
        <v>270</v>
      </c>
      <c r="CO54" s="87">
        <f t="shared" si="154"/>
        <v>120</v>
      </c>
      <c r="CP54" s="229">
        <f t="shared" si="47"/>
        <v>0</v>
      </c>
      <c r="CQ54" s="229">
        <f t="shared" si="48"/>
        <v>22.5</v>
      </c>
      <c r="CR54" s="229">
        <f t="shared" si="49"/>
        <v>9</v>
      </c>
      <c r="CS54" s="229">
        <f t="shared" si="50"/>
        <v>0</v>
      </c>
      <c r="CT54" s="229">
        <f t="shared" si="51"/>
        <v>0</v>
      </c>
      <c r="CU54" s="229">
        <f t="shared" si="52"/>
        <v>83.6</v>
      </c>
      <c r="CV54" s="229">
        <f t="shared" si="53"/>
        <v>0</v>
      </c>
      <c r="CW54" s="229">
        <f t="shared" si="54"/>
        <v>40</v>
      </c>
      <c r="CX54" s="229">
        <f t="shared" si="55"/>
        <v>0</v>
      </c>
      <c r="CY54" s="229">
        <f t="shared" si="56"/>
        <v>0</v>
      </c>
      <c r="CZ54" s="229">
        <f t="shared" si="57"/>
        <v>0</v>
      </c>
      <c r="DA54" s="229">
        <f t="shared" si="58"/>
        <v>80</v>
      </c>
      <c r="DB54" s="228">
        <f t="shared" si="59"/>
        <v>235.1</v>
      </c>
      <c r="DC54" s="229"/>
      <c r="DD54" s="229"/>
      <c r="DE54" s="229"/>
      <c r="DF54" s="229"/>
      <c r="DG54" s="229"/>
      <c r="DH54" s="229"/>
      <c r="DI54" s="229"/>
      <c r="DJ54" s="229"/>
      <c r="DK54" s="229"/>
      <c r="DL54" s="229"/>
      <c r="DM54" s="229"/>
      <c r="DN54" s="229"/>
      <c r="DO54" s="228">
        <f t="shared" si="60"/>
        <v>0</v>
      </c>
      <c r="DP54" s="228">
        <f t="shared" si="61"/>
        <v>235.1</v>
      </c>
      <c r="DQ54" s="229">
        <f t="shared" si="62"/>
        <v>27</v>
      </c>
      <c r="DR54" s="229">
        <f t="shared" si="63"/>
        <v>0.4</v>
      </c>
      <c r="DS54" s="229">
        <f t="shared" si="64"/>
        <v>0</v>
      </c>
      <c r="DT54" s="229">
        <f t="shared" si="65"/>
        <v>0.2</v>
      </c>
      <c r="DU54" s="229">
        <f t="shared" si="66"/>
        <v>0</v>
      </c>
      <c r="DV54" s="229">
        <f t="shared" si="67"/>
        <v>56</v>
      </c>
      <c r="DW54" s="229">
        <f t="shared" si="68"/>
        <v>0</v>
      </c>
      <c r="DX54" s="228">
        <f t="shared" si="69"/>
        <v>83.6</v>
      </c>
      <c r="DY54" s="229"/>
      <c r="DZ54" s="229"/>
      <c r="EA54" s="229"/>
      <c r="EB54" s="229"/>
      <c r="EC54" s="229"/>
      <c r="ED54" s="229"/>
      <c r="EE54" s="229"/>
      <c r="EF54" s="228">
        <f t="shared" si="17"/>
        <v>0</v>
      </c>
      <c r="EG54" s="228">
        <f t="shared" si="70"/>
        <v>83.6</v>
      </c>
      <c r="EH54" s="229">
        <f t="shared" si="18"/>
        <v>66.11</v>
      </c>
      <c r="EI54" s="229">
        <v>1.7600000000000051</v>
      </c>
      <c r="EJ54" s="228">
        <f t="shared" si="84"/>
        <v>67.87</v>
      </c>
      <c r="EK54" s="229"/>
      <c r="EL54" s="229"/>
      <c r="EM54" s="228">
        <f t="shared" si="155"/>
        <v>0</v>
      </c>
      <c r="EN54" s="229">
        <f t="shared" si="71"/>
        <v>66.11</v>
      </c>
      <c r="EO54" s="229">
        <f t="shared" si="72"/>
        <v>1.7600000000000051</v>
      </c>
      <c r="EP54" s="228">
        <f t="shared" si="156"/>
        <v>67.87</v>
      </c>
      <c r="EQ54" s="173">
        <f t="shared" si="19"/>
        <v>0</v>
      </c>
      <c r="ER54" s="189">
        <v>0</v>
      </c>
      <c r="ES54" s="189">
        <v>22.5</v>
      </c>
      <c r="ET54" s="189">
        <v>9</v>
      </c>
      <c r="EU54" s="189">
        <v>0</v>
      </c>
      <c r="EV54" s="189">
        <v>0</v>
      </c>
      <c r="EW54" s="189">
        <v>83.6</v>
      </c>
      <c r="EX54" s="189">
        <v>0</v>
      </c>
      <c r="EY54" s="189">
        <v>40</v>
      </c>
      <c r="EZ54" s="189">
        <v>0</v>
      </c>
      <c r="FA54" s="189">
        <v>0</v>
      </c>
      <c r="FB54" s="189">
        <v>0</v>
      </c>
      <c r="FC54" s="189">
        <v>80</v>
      </c>
      <c r="FD54" s="189">
        <v>27</v>
      </c>
      <c r="FE54" s="189">
        <v>0.4</v>
      </c>
      <c r="FF54" s="189">
        <v>0</v>
      </c>
      <c r="FG54" s="189">
        <v>0.2</v>
      </c>
      <c r="FH54" s="189">
        <v>56</v>
      </c>
      <c r="FI54" s="189">
        <v>0</v>
      </c>
      <c r="FJ54" s="189">
        <v>0</v>
      </c>
      <c r="FK54" s="189">
        <v>318.7</v>
      </c>
      <c r="FL54" s="189">
        <v>265</v>
      </c>
      <c r="FN54" s="132">
        <v>66.11</v>
      </c>
    </row>
    <row r="55" spans="1:170" ht="30" customHeight="1">
      <c r="A55" s="88">
        <f>COUNTIF($H$12:H55,H55)</f>
        <v>44</v>
      </c>
      <c r="B55" s="88" t="s">
        <v>452</v>
      </c>
      <c r="C55" s="88" t="s">
        <v>413</v>
      </c>
      <c r="D55" s="88"/>
      <c r="E55" s="88"/>
      <c r="F55" s="301" t="s">
        <v>2816</v>
      </c>
      <c r="G55" s="89" t="s">
        <v>2901</v>
      </c>
      <c r="H55" s="88">
        <v>1</v>
      </c>
      <c r="I55" s="88">
        <v>1</v>
      </c>
      <c r="J55" s="88">
        <v>1</v>
      </c>
      <c r="K55" s="90" t="s">
        <v>2830</v>
      </c>
      <c r="L55" s="90" t="s">
        <v>2830</v>
      </c>
      <c r="M55" s="214"/>
      <c r="N55" s="88" t="s">
        <v>605</v>
      </c>
      <c r="O55" s="216">
        <f t="shared" si="147"/>
        <v>7.28</v>
      </c>
      <c r="P55" s="88" t="str">
        <f t="shared" si="0"/>
        <v>B1_8</v>
      </c>
      <c r="Q55" s="88">
        <f t="shared" si="149"/>
        <v>270</v>
      </c>
      <c r="R55" s="88">
        <f t="shared" si="150"/>
        <v>280</v>
      </c>
      <c r="S55" s="231" t="s">
        <v>2525</v>
      </c>
      <c r="T55" s="88" t="s">
        <v>3090</v>
      </c>
      <c r="U55" s="88">
        <f>IF(RIGHT(T55,1)="K",(VLOOKUP(T55,ma_miengiam!$A$3:$B$80,2,0)*100)/2,VLOOKUP(T55,ma_miengiam!$A$3:$B$80,2,0)*100)</f>
        <v>15</v>
      </c>
      <c r="V55" s="88"/>
      <c r="W55" s="220">
        <f>IF(AND(T55="NTS",V55&gt;0),(Q55-(Q55*V55)/12)*VLOOKUP(T55,ma_miengiam!$A$3:$B$80,2,0)+(Q55-(Q55*(12-V55))/12),IF(AND(RIGHT(T55,1)="K",V55&gt;0),(VLOOKUP(T55,ma_miengiam!$A$3:$B$80,2,0)/2)*(Q55*V55)/12,IF(RIGHT(T55,1)="K",(VLOOKUP(T55,ma_miengiam!$A$3:$B$80,2,0)*Q55)/2,IF(V55&gt;0,VLOOKUP(T55,ma_miengiam!$A$3:$B$80,2,0)*Q55*V55/12,VLOOKUP(T55,ma_miengiam!$A$3:$B$80,2,0)*Q55))))</f>
        <v>40.5</v>
      </c>
      <c r="X55" s="220">
        <f>IF(T55="NTS",VLOOKUP(T55,ma_miengiam!$A$3:$B$80,2,0)*R55*V55,IF(AND(T55="NTS",V55=0),0,IF(AND(LEFT(T55,1)="K",V55=0),VLOOKUP(T55,ma_miengiam!$A$3:$B$80,2,0)*R55,IF(LEFT(T55,1)="K",(VLOOKUP(T55,ma_miengiam!$A$3:$B$80,2,0)*R55/12)*V55,IF(AND(LEFT(T55,1)="S",V55&gt;0),(R55/12)*V55,IF(AND(LEFT(T55,1)="S",V55=0),R55,IF(T55="DH",VLOOKUP(T55,ma_miengiam!$A$3:$B$80,2,0)*R55,0)))))))</f>
        <v>0</v>
      </c>
      <c r="Y55" s="220">
        <f t="shared" si="131"/>
        <v>229.5</v>
      </c>
      <c r="Z55" s="220">
        <f t="shared" si="90"/>
        <v>280</v>
      </c>
      <c r="AA55" s="220">
        <f t="shared" ref="AA55:AB57" si="157">Q55</f>
        <v>270</v>
      </c>
      <c r="AB55" s="220">
        <f t="shared" si="157"/>
        <v>280</v>
      </c>
      <c r="AC55" s="220">
        <f t="shared" ref="AC55:AF57" si="158">W55</f>
        <v>40.5</v>
      </c>
      <c r="AD55" s="220">
        <f t="shared" si="158"/>
        <v>0</v>
      </c>
      <c r="AE55" s="220">
        <f t="shared" si="158"/>
        <v>229.5</v>
      </c>
      <c r="AF55" s="220">
        <f t="shared" si="158"/>
        <v>280</v>
      </c>
      <c r="AG55" s="220">
        <f t="shared" ref="AG55:AG62" si="159">AH55+AI55</f>
        <v>52.449999999999996</v>
      </c>
      <c r="AH55" s="220">
        <f t="shared" ref="AH55:AH62" si="160">EO55</f>
        <v>4.12</v>
      </c>
      <c r="AI55" s="220">
        <f t="shared" ref="AI55:AI62" si="161">EN55</f>
        <v>48.33</v>
      </c>
      <c r="AJ55" s="220">
        <f t="shared" si="74"/>
        <v>-227.55</v>
      </c>
      <c r="AK55" s="216">
        <f t="shared" si="8"/>
        <v>457.05</v>
      </c>
      <c r="AL55" s="220">
        <f t="shared" si="22"/>
        <v>120.6</v>
      </c>
      <c r="AM55" s="220">
        <f t="shared" si="23"/>
        <v>113.1</v>
      </c>
      <c r="AN55" s="221">
        <f t="shared" si="24"/>
        <v>233.7</v>
      </c>
      <c r="AO55" s="220">
        <f t="shared" si="25"/>
        <v>0</v>
      </c>
      <c r="AP55" s="220">
        <f t="shared" si="26"/>
        <v>0</v>
      </c>
      <c r="AQ55" s="220">
        <f t="shared" si="27"/>
        <v>60</v>
      </c>
      <c r="AR55" s="220">
        <f t="shared" si="28"/>
        <v>80</v>
      </c>
      <c r="AS55" s="220">
        <f t="shared" si="29"/>
        <v>30</v>
      </c>
      <c r="AT55" s="216">
        <f t="shared" si="30"/>
        <v>403.7</v>
      </c>
      <c r="AU55" s="222">
        <f t="shared" si="31"/>
        <v>-223.35000000000002</v>
      </c>
      <c r="AV55" s="220"/>
      <c r="AW55" s="220">
        <f t="shared" si="32"/>
        <v>-223.35000000000002</v>
      </c>
      <c r="AX55" s="216">
        <f t="shared" si="9"/>
        <v>-223.35000000000002</v>
      </c>
      <c r="AY55" s="220">
        <f t="shared" si="33"/>
        <v>0</v>
      </c>
      <c r="AZ55" s="220">
        <f t="shared" si="34"/>
        <v>0</v>
      </c>
      <c r="BA55" s="220">
        <f t="shared" si="35"/>
        <v>0</v>
      </c>
      <c r="BB55" s="220">
        <f t="shared" si="36"/>
        <v>0</v>
      </c>
      <c r="BC55" s="220">
        <f t="shared" si="37"/>
        <v>0</v>
      </c>
      <c r="BD55" s="216">
        <f t="shared" si="10"/>
        <v>0</v>
      </c>
      <c r="BE55" s="220">
        <f t="shared" si="38"/>
        <v>0</v>
      </c>
      <c r="BF55" s="220">
        <f t="shared" si="39"/>
        <v>0</v>
      </c>
      <c r="BG55" s="220">
        <f t="shared" si="40"/>
        <v>-60</v>
      </c>
      <c r="BH55" s="220">
        <f t="shared" si="41"/>
        <v>-80</v>
      </c>
      <c r="BI55" s="220">
        <f t="shared" si="42"/>
        <v>-30</v>
      </c>
      <c r="BJ55" s="220" t="s">
        <v>2562</v>
      </c>
      <c r="BK55" s="220"/>
      <c r="BL55" s="223">
        <f t="shared" si="11"/>
        <v>0</v>
      </c>
      <c r="BM55" s="220">
        <v>7.28</v>
      </c>
      <c r="BN55" s="220"/>
      <c r="BO55" s="220">
        <f t="shared" si="142"/>
        <v>7.28</v>
      </c>
      <c r="BP55" s="220">
        <f>IF(AND(BL55&gt;0,BL55&lt;tiet!$D$1),BL55,IF(BL55&lt;=0,0,IF(BL55&gt;tiet!$C$1,tiet!$C$1)))</f>
        <v>0</v>
      </c>
      <c r="BQ55" s="87">
        <f t="shared" si="75"/>
        <v>85000</v>
      </c>
      <c r="BR55" s="224">
        <f t="shared" si="76"/>
        <v>0</v>
      </c>
      <c r="BS55" s="220">
        <f t="shared" si="12"/>
        <v>0</v>
      </c>
      <c r="BT55" s="224">
        <f>VLOOKUP(N55,ma_dinhmuc!$A$1:$J$31,10,0)</f>
        <v>65000</v>
      </c>
      <c r="BU55" s="224">
        <f>ROUND(IF(BS55&gt;0,VLOOKUP(N55,ma_dinhmuc!$A$1:$J$31,10,0)*BS55,0),0)</f>
        <v>0</v>
      </c>
      <c r="BV55" s="224">
        <f t="shared" si="77"/>
        <v>0</v>
      </c>
      <c r="BW55" s="224"/>
      <c r="BX55" s="224">
        <v>0</v>
      </c>
      <c r="BY55" s="224"/>
      <c r="BZ55" s="224"/>
      <c r="CA55" s="224"/>
      <c r="CB55" s="224"/>
      <c r="CC55" s="225">
        <f t="shared" si="44"/>
        <v>0</v>
      </c>
      <c r="CD55" s="224">
        <f t="shared" si="45"/>
        <v>0</v>
      </c>
      <c r="CE55" s="224"/>
      <c r="CF55" s="226"/>
      <c r="CG55" s="87"/>
      <c r="CH55" s="87">
        <f t="shared" si="143"/>
        <v>44</v>
      </c>
      <c r="CI55" s="227" t="str">
        <f t="shared" si="144"/>
        <v>Phạm Tiến</v>
      </c>
      <c r="CJ55" s="227" t="str">
        <f t="shared" si="145"/>
        <v>Dũng</v>
      </c>
      <c r="CK55" s="87">
        <f t="shared" si="146"/>
        <v>1</v>
      </c>
      <c r="CL55" s="227" t="str">
        <f t="shared" si="153"/>
        <v>PPTN và TKSH</v>
      </c>
      <c r="CM55" s="87" t="str">
        <f t="shared" si="46"/>
        <v>CS4</v>
      </c>
      <c r="CN55" s="87">
        <f t="shared" si="154"/>
        <v>270</v>
      </c>
      <c r="CO55" s="87">
        <f t="shared" si="154"/>
        <v>280</v>
      </c>
      <c r="CP55" s="229">
        <f t="shared" si="47"/>
        <v>0</v>
      </c>
      <c r="CQ55" s="229">
        <f t="shared" si="48"/>
        <v>11.8</v>
      </c>
      <c r="CR55" s="229">
        <f t="shared" si="49"/>
        <v>4.8</v>
      </c>
      <c r="CS55" s="229">
        <f t="shared" si="50"/>
        <v>0</v>
      </c>
      <c r="CT55" s="229">
        <f t="shared" si="51"/>
        <v>0</v>
      </c>
      <c r="CU55" s="229">
        <f t="shared" si="52"/>
        <v>44</v>
      </c>
      <c r="CV55" s="229">
        <f t="shared" si="53"/>
        <v>0</v>
      </c>
      <c r="CW55" s="229">
        <f t="shared" si="54"/>
        <v>60</v>
      </c>
      <c r="CX55" s="229">
        <f t="shared" si="55"/>
        <v>0</v>
      </c>
      <c r="CY55" s="229">
        <f t="shared" si="56"/>
        <v>0</v>
      </c>
      <c r="CZ55" s="229">
        <f t="shared" si="57"/>
        <v>0</v>
      </c>
      <c r="DA55" s="229">
        <f t="shared" si="58"/>
        <v>60</v>
      </c>
      <c r="DB55" s="228">
        <f t="shared" si="59"/>
        <v>180.6</v>
      </c>
      <c r="DC55" s="229"/>
      <c r="DD55" s="229"/>
      <c r="DE55" s="229"/>
      <c r="DF55" s="229"/>
      <c r="DG55" s="229"/>
      <c r="DH55" s="229"/>
      <c r="DI55" s="229"/>
      <c r="DJ55" s="229"/>
      <c r="DK55" s="229"/>
      <c r="DL55" s="229"/>
      <c r="DM55" s="229"/>
      <c r="DN55" s="229"/>
      <c r="DO55" s="228">
        <f t="shared" si="60"/>
        <v>0</v>
      </c>
      <c r="DP55" s="228">
        <f t="shared" si="61"/>
        <v>180.6</v>
      </c>
      <c r="DQ55" s="229">
        <f t="shared" si="62"/>
        <v>108</v>
      </c>
      <c r="DR55" s="229">
        <f t="shared" si="63"/>
        <v>3.6</v>
      </c>
      <c r="DS55" s="229">
        <f t="shared" si="64"/>
        <v>0</v>
      </c>
      <c r="DT55" s="229">
        <f t="shared" si="65"/>
        <v>1.5</v>
      </c>
      <c r="DU55" s="229">
        <f t="shared" si="66"/>
        <v>0</v>
      </c>
      <c r="DV55" s="229">
        <f t="shared" si="67"/>
        <v>80</v>
      </c>
      <c r="DW55" s="229">
        <f t="shared" si="68"/>
        <v>30</v>
      </c>
      <c r="DX55" s="228">
        <f t="shared" si="69"/>
        <v>223.1</v>
      </c>
      <c r="DY55" s="229"/>
      <c r="DZ55" s="229"/>
      <c r="EA55" s="229"/>
      <c r="EB55" s="229"/>
      <c r="EC55" s="229"/>
      <c r="ED55" s="229"/>
      <c r="EE55" s="229"/>
      <c r="EF55" s="228">
        <f t="shared" si="17"/>
        <v>0</v>
      </c>
      <c r="EG55" s="228">
        <f t="shared" si="70"/>
        <v>223.1</v>
      </c>
      <c r="EH55" s="229">
        <f t="shared" si="18"/>
        <v>48.33</v>
      </c>
      <c r="EI55" s="229">
        <v>4.12</v>
      </c>
      <c r="EJ55" s="228">
        <f t="shared" si="84"/>
        <v>52.449999999999996</v>
      </c>
      <c r="EK55" s="229"/>
      <c r="EL55" s="229"/>
      <c r="EM55" s="228">
        <f t="shared" si="155"/>
        <v>0</v>
      </c>
      <c r="EN55" s="229">
        <f t="shared" si="71"/>
        <v>48.33</v>
      </c>
      <c r="EO55" s="229">
        <f t="shared" si="72"/>
        <v>4.12</v>
      </c>
      <c r="EP55" s="228">
        <f t="shared" si="156"/>
        <v>52.449999999999996</v>
      </c>
      <c r="EQ55" s="173">
        <f t="shared" si="19"/>
        <v>0</v>
      </c>
      <c r="ER55" s="189">
        <v>0</v>
      </c>
      <c r="ES55" s="189">
        <v>11.8</v>
      </c>
      <c r="ET55" s="189">
        <v>4.8</v>
      </c>
      <c r="EU55" s="189">
        <v>0</v>
      </c>
      <c r="EV55" s="189">
        <v>0</v>
      </c>
      <c r="EW55" s="189">
        <v>44</v>
      </c>
      <c r="EX55" s="189">
        <v>0</v>
      </c>
      <c r="EY55" s="189">
        <v>60</v>
      </c>
      <c r="EZ55" s="189">
        <v>0</v>
      </c>
      <c r="FA55" s="189">
        <v>0</v>
      </c>
      <c r="FB55" s="189">
        <v>0</v>
      </c>
      <c r="FC55" s="189">
        <v>60</v>
      </c>
      <c r="FD55" s="189">
        <v>108</v>
      </c>
      <c r="FE55" s="189">
        <v>3.6</v>
      </c>
      <c r="FF55" s="189">
        <v>0</v>
      </c>
      <c r="FG55" s="189">
        <v>1.5</v>
      </c>
      <c r="FH55" s="189">
        <v>80</v>
      </c>
      <c r="FI55" s="189">
        <v>0</v>
      </c>
      <c r="FJ55" s="189">
        <v>30</v>
      </c>
      <c r="FK55" s="189">
        <v>403.7</v>
      </c>
      <c r="FL55" s="189">
        <v>340</v>
      </c>
      <c r="FN55" s="132">
        <v>48.33</v>
      </c>
    </row>
    <row r="56" spans="1:170" ht="31.5" customHeight="1">
      <c r="A56" s="88">
        <f>COUNTIF($H$12:H56,H56)</f>
        <v>45</v>
      </c>
      <c r="B56" s="88" t="s">
        <v>453</v>
      </c>
      <c r="C56" s="88" t="s">
        <v>414</v>
      </c>
      <c r="D56" s="88"/>
      <c r="E56" s="88"/>
      <c r="F56" s="301" t="s">
        <v>2817</v>
      </c>
      <c r="G56" s="89" t="s">
        <v>2818</v>
      </c>
      <c r="H56" s="88">
        <v>1</v>
      </c>
      <c r="I56" s="88">
        <v>1</v>
      </c>
      <c r="J56" s="88">
        <v>1</v>
      </c>
      <c r="K56" s="90" t="s">
        <v>2830</v>
      </c>
      <c r="L56" s="90" t="s">
        <v>2830</v>
      </c>
      <c r="M56" s="214"/>
      <c r="N56" s="88" t="s">
        <v>1804</v>
      </c>
      <c r="O56" s="216">
        <f t="shared" ref="O56:O69" si="162">BO56</f>
        <v>3.99</v>
      </c>
      <c r="P56" s="88" t="str">
        <f t="shared" si="0"/>
        <v>B1_4</v>
      </c>
      <c r="Q56" s="88">
        <f t="shared" si="149"/>
        <v>270</v>
      </c>
      <c r="R56" s="88">
        <f t="shared" si="150"/>
        <v>120</v>
      </c>
      <c r="S56" s="218" t="s">
        <v>2037</v>
      </c>
      <c r="T56" s="214" t="s">
        <v>3091</v>
      </c>
      <c r="U56" s="88">
        <f>IF(RIGHT(T56,1)="K",(VLOOKUP(T56,ma_miengiam!$A$3:$B$80,2,0)*100)/2,VLOOKUP(T56,ma_miengiam!$A$3:$B$80,2,0)*100)</f>
        <v>20</v>
      </c>
      <c r="V56" s="88"/>
      <c r="W56" s="220">
        <f>IF(AND(T56="NTS",V56&gt;0),(Q56-(Q56*V56)/12)*VLOOKUP(T56,ma_miengiam!$A$3:$B$80,2,0)+(Q56-(Q56*(12-V56))/12),IF(AND(RIGHT(T56,1)="K",V56&gt;0),(VLOOKUP(T56,ma_miengiam!$A$3:$B$80,2,0)/2)*(Q56*V56)/12,IF(RIGHT(T56,1)="K",(VLOOKUP(T56,ma_miengiam!$A$3:$B$80,2,0)*Q56)/2,IF(V56&gt;0,VLOOKUP(T56,ma_miengiam!$A$3:$B$80,2,0)*Q56*V56/12,VLOOKUP(T56,ma_miengiam!$A$3:$B$80,2,0)*Q56))))</f>
        <v>54</v>
      </c>
      <c r="X56" s="220">
        <f>IF(T56="NTS",VLOOKUP(T56,ma_miengiam!$A$3:$B$80,2,0)*R56*V56,IF(AND(T56="NTS",V56=0),0,IF(AND(LEFT(T56,1)="K",V56=0),VLOOKUP(T56,ma_miengiam!$A$3:$B$80,2,0)*R56,IF(LEFT(T56,1)="K",(VLOOKUP(T56,ma_miengiam!$A$3:$B$80,2,0)*R56/12)*V56,IF(AND(LEFT(T56,1)="S",V56&gt;0),(R56/12)*V56,IF(AND(LEFT(T56,1)="S",V56=0),R56,IF(T56="DH",VLOOKUP(T56,ma_miengiam!$A$3:$B$80,2,0)*R56,0)))))))</f>
        <v>0</v>
      </c>
      <c r="Y56" s="220">
        <f t="shared" si="131"/>
        <v>216</v>
      </c>
      <c r="Z56" s="220">
        <f t="shared" si="90"/>
        <v>120</v>
      </c>
      <c r="AA56" s="220">
        <f t="shared" si="157"/>
        <v>270</v>
      </c>
      <c r="AB56" s="220">
        <f t="shared" si="157"/>
        <v>120</v>
      </c>
      <c r="AC56" s="220">
        <f t="shared" si="158"/>
        <v>54</v>
      </c>
      <c r="AD56" s="220">
        <f t="shared" si="158"/>
        <v>0</v>
      </c>
      <c r="AE56" s="220">
        <f t="shared" si="158"/>
        <v>216</v>
      </c>
      <c r="AF56" s="220">
        <f t="shared" si="158"/>
        <v>120</v>
      </c>
      <c r="AG56" s="220">
        <f t="shared" si="159"/>
        <v>63.190000000000005</v>
      </c>
      <c r="AH56" s="220">
        <f t="shared" si="160"/>
        <v>1.7600000000000051</v>
      </c>
      <c r="AI56" s="220">
        <f t="shared" si="161"/>
        <v>61.43</v>
      </c>
      <c r="AJ56" s="220">
        <f t="shared" si="74"/>
        <v>-56.809999999999995</v>
      </c>
      <c r="AK56" s="216">
        <f t="shared" si="8"/>
        <v>272.81</v>
      </c>
      <c r="AL56" s="220">
        <f t="shared" si="22"/>
        <v>230.60000000000002</v>
      </c>
      <c r="AM56" s="220">
        <f t="shared" si="23"/>
        <v>0</v>
      </c>
      <c r="AN56" s="221">
        <f t="shared" si="24"/>
        <v>230.60000000000002</v>
      </c>
      <c r="AO56" s="220">
        <f t="shared" si="25"/>
        <v>0</v>
      </c>
      <c r="AP56" s="220">
        <f t="shared" si="26"/>
        <v>0</v>
      </c>
      <c r="AQ56" s="220">
        <f t="shared" si="27"/>
        <v>80</v>
      </c>
      <c r="AR56" s="220">
        <f t="shared" si="28"/>
        <v>12</v>
      </c>
      <c r="AS56" s="220">
        <f t="shared" si="29"/>
        <v>0</v>
      </c>
      <c r="AT56" s="216">
        <f t="shared" si="30"/>
        <v>322.60000000000002</v>
      </c>
      <c r="AU56" s="222">
        <f t="shared" si="31"/>
        <v>-42.20999999999998</v>
      </c>
      <c r="AV56" s="220"/>
      <c r="AW56" s="220">
        <f t="shared" si="32"/>
        <v>-42.20999999999998</v>
      </c>
      <c r="AX56" s="216">
        <f t="shared" si="9"/>
        <v>-42.20999999999998</v>
      </c>
      <c r="AY56" s="220">
        <f t="shared" si="33"/>
        <v>0</v>
      </c>
      <c r="AZ56" s="220">
        <f t="shared" si="34"/>
        <v>0</v>
      </c>
      <c r="BA56" s="220">
        <f t="shared" si="35"/>
        <v>37.79000000000002</v>
      </c>
      <c r="BB56" s="220">
        <f t="shared" si="36"/>
        <v>12</v>
      </c>
      <c r="BC56" s="220">
        <f t="shared" si="37"/>
        <v>0</v>
      </c>
      <c r="BD56" s="216">
        <f t="shared" si="10"/>
        <v>49.79000000000002</v>
      </c>
      <c r="BE56" s="220">
        <f t="shared" si="38"/>
        <v>0</v>
      </c>
      <c r="BF56" s="220">
        <f t="shared" si="39"/>
        <v>0</v>
      </c>
      <c r="BG56" s="220">
        <f t="shared" si="40"/>
        <v>-42.20999999999998</v>
      </c>
      <c r="BH56" s="220">
        <f t="shared" si="41"/>
        <v>0</v>
      </c>
      <c r="BI56" s="220">
        <f t="shared" si="42"/>
        <v>0</v>
      </c>
      <c r="BJ56" s="220" t="s">
        <v>2562</v>
      </c>
      <c r="BK56" s="220"/>
      <c r="BL56" s="223">
        <f t="shared" si="11"/>
        <v>0</v>
      </c>
      <c r="BM56" s="220">
        <v>3.99</v>
      </c>
      <c r="BN56" s="220"/>
      <c r="BO56" s="220">
        <f t="shared" si="142"/>
        <v>3.99</v>
      </c>
      <c r="BP56" s="220">
        <f>IF(AND(BL56&gt;0,BL56&lt;tiet!$D$1),BL56,IF(BL56&lt;=0,0,IF(BL56&gt;tiet!$C$1,tiet!$C$1)))</f>
        <v>0</v>
      </c>
      <c r="BQ56" s="87">
        <f t="shared" si="75"/>
        <v>65000</v>
      </c>
      <c r="BR56" s="224">
        <f t="shared" si="76"/>
        <v>0</v>
      </c>
      <c r="BS56" s="220">
        <f t="shared" si="12"/>
        <v>0</v>
      </c>
      <c r="BT56" s="224">
        <f>VLOOKUP(N56,ma_dinhmuc!$A$1:$J$31,10,0)</f>
        <v>51000</v>
      </c>
      <c r="BU56" s="224">
        <f>ROUND(IF(BS56&gt;0,VLOOKUP(N56,ma_dinhmuc!$A$1:$J$31,10,0)*BS56,0),0)</f>
        <v>0</v>
      </c>
      <c r="BV56" s="224">
        <f t="shared" si="77"/>
        <v>0</v>
      </c>
      <c r="BW56" s="224"/>
      <c r="BX56" s="224">
        <v>0</v>
      </c>
      <c r="BY56" s="224"/>
      <c r="BZ56" s="224"/>
      <c r="CA56" s="224"/>
      <c r="CB56" s="224"/>
      <c r="CC56" s="225">
        <f t="shared" si="44"/>
        <v>0</v>
      </c>
      <c r="CD56" s="224">
        <f t="shared" si="45"/>
        <v>0</v>
      </c>
      <c r="CE56" s="224"/>
      <c r="CF56" s="226"/>
      <c r="CG56" s="87"/>
      <c r="CH56" s="87">
        <f t="shared" si="143"/>
        <v>45</v>
      </c>
      <c r="CI56" s="227" t="str">
        <f t="shared" si="144"/>
        <v>Đỗ Thị</v>
      </c>
      <c r="CJ56" s="227" t="str">
        <f t="shared" si="145"/>
        <v>Hường</v>
      </c>
      <c r="CK56" s="87">
        <f t="shared" si="146"/>
        <v>1</v>
      </c>
      <c r="CL56" s="227" t="str">
        <f t="shared" si="153"/>
        <v>PPTN và TKSH</v>
      </c>
      <c r="CM56" s="87" t="str">
        <f t="shared" si="46"/>
        <v>CS2</v>
      </c>
      <c r="CN56" s="87">
        <f t="shared" ref="CN56:CN61" si="163">Q56</f>
        <v>270</v>
      </c>
      <c r="CO56" s="87">
        <f t="shared" ref="CO56:CO61" si="164">R56</f>
        <v>120</v>
      </c>
      <c r="CP56" s="229">
        <f t="shared" si="47"/>
        <v>0</v>
      </c>
      <c r="CQ56" s="229">
        <f t="shared" si="48"/>
        <v>26.5</v>
      </c>
      <c r="CR56" s="229">
        <f t="shared" si="49"/>
        <v>10.7</v>
      </c>
      <c r="CS56" s="229">
        <f t="shared" si="50"/>
        <v>0</v>
      </c>
      <c r="CT56" s="229">
        <f t="shared" si="51"/>
        <v>0</v>
      </c>
      <c r="CU56" s="229">
        <f t="shared" si="52"/>
        <v>90.9</v>
      </c>
      <c r="CV56" s="229">
        <f t="shared" si="53"/>
        <v>0</v>
      </c>
      <c r="CW56" s="229">
        <f t="shared" si="54"/>
        <v>102.5</v>
      </c>
      <c r="CX56" s="229">
        <f t="shared" si="55"/>
        <v>0</v>
      </c>
      <c r="CY56" s="229">
        <f t="shared" si="56"/>
        <v>0</v>
      </c>
      <c r="CZ56" s="229">
        <f t="shared" si="57"/>
        <v>0</v>
      </c>
      <c r="DA56" s="229">
        <f t="shared" si="58"/>
        <v>80</v>
      </c>
      <c r="DB56" s="228">
        <f t="shared" si="59"/>
        <v>310.60000000000002</v>
      </c>
      <c r="DC56" s="229"/>
      <c r="DD56" s="229"/>
      <c r="DE56" s="229"/>
      <c r="DF56" s="229"/>
      <c r="DG56" s="229"/>
      <c r="DH56" s="229"/>
      <c r="DI56" s="229"/>
      <c r="DJ56" s="229"/>
      <c r="DK56" s="229"/>
      <c r="DL56" s="229"/>
      <c r="DM56" s="229"/>
      <c r="DN56" s="229"/>
      <c r="DO56" s="228">
        <f t="shared" si="60"/>
        <v>0</v>
      </c>
      <c r="DP56" s="228">
        <f t="shared" si="61"/>
        <v>310.60000000000002</v>
      </c>
      <c r="DQ56" s="229">
        <f t="shared" si="62"/>
        <v>0</v>
      </c>
      <c r="DR56" s="229">
        <f t="shared" si="63"/>
        <v>0</v>
      </c>
      <c r="DS56" s="229">
        <f t="shared" si="64"/>
        <v>0</v>
      </c>
      <c r="DT56" s="229">
        <f t="shared" si="65"/>
        <v>0</v>
      </c>
      <c r="DU56" s="229">
        <f t="shared" si="66"/>
        <v>0</v>
      </c>
      <c r="DV56" s="229">
        <f t="shared" si="67"/>
        <v>12</v>
      </c>
      <c r="DW56" s="229">
        <f t="shared" si="68"/>
        <v>0</v>
      </c>
      <c r="DX56" s="228">
        <f t="shared" si="69"/>
        <v>12</v>
      </c>
      <c r="DY56" s="229"/>
      <c r="DZ56" s="229"/>
      <c r="EA56" s="229"/>
      <c r="EB56" s="229"/>
      <c r="EC56" s="229"/>
      <c r="ED56" s="229"/>
      <c r="EE56" s="229"/>
      <c r="EF56" s="228">
        <f t="shared" si="17"/>
        <v>0</v>
      </c>
      <c r="EG56" s="228">
        <f t="shared" si="70"/>
        <v>12</v>
      </c>
      <c r="EH56" s="229">
        <f t="shared" si="18"/>
        <v>61.43</v>
      </c>
      <c r="EI56" s="229">
        <v>1.7600000000000051</v>
      </c>
      <c r="EJ56" s="228">
        <f t="shared" si="84"/>
        <v>63.190000000000005</v>
      </c>
      <c r="EK56" s="229"/>
      <c r="EL56" s="229"/>
      <c r="EM56" s="228">
        <f t="shared" si="155"/>
        <v>0</v>
      </c>
      <c r="EN56" s="229">
        <f t="shared" si="71"/>
        <v>61.43</v>
      </c>
      <c r="EO56" s="229">
        <f t="shared" si="72"/>
        <v>1.7600000000000051</v>
      </c>
      <c r="EP56" s="228">
        <f t="shared" si="156"/>
        <v>63.190000000000005</v>
      </c>
      <c r="EQ56" s="173">
        <f t="shared" si="19"/>
        <v>0</v>
      </c>
      <c r="ER56" s="189">
        <v>0</v>
      </c>
      <c r="ES56" s="189">
        <v>26.5</v>
      </c>
      <c r="ET56" s="189">
        <v>10.7</v>
      </c>
      <c r="EU56" s="189">
        <v>0</v>
      </c>
      <c r="EV56" s="189">
        <v>0</v>
      </c>
      <c r="EW56" s="189">
        <v>90.9</v>
      </c>
      <c r="EX56" s="189">
        <v>0</v>
      </c>
      <c r="EY56" s="189">
        <v>102.5</v>
      </c>
      <c r="EZ56" s="189">
        <v>0</v>
      </c>
      <c r="FA56" s="189">
        <v>0</v>
      </c>
      <c r="FB56" s="189">
        <v>0</v>
      </c>
      <c r="FC56" s="189">
        <v>80</v>
      </c>
      <c r="FD56" s="189">
        <v>0</v>
      </c>
      <c r="FE56" s="189">
        <v>0</v>
      </c>
      <c r="FF56" s="189">
        <v>0</v>
      </c>
      <c r="FG56" s="189">
        <v>0</v>
      </c>
      <c r="FH56" s="189">
        <v>12</v>
      </c>
      <c r="FI56" s="189">
        <v>0</v>
      </c>
      <c r="FJ56" s="189">
        <v>0</v>
      </c>
      <c r="FK56" s="189">
        <v>322.60000000000002</v>
      </c>
      <c r="FL56" s="189">
        <v>276</v>
      </c>
      <c r="FN56" s="132">
        <v>61.43</v>
      </c>
    </row>
    <row r="57" spans="1:170" ht="33" customHeight="1">
      <c r="A57" s="88">
        <f>COUNTIF($H$12:H57,H57)</f>
        <v>46</v>
      </c>
      <c r="B57" s="88" t="s">
        <v>454</v>
      </c>
      <c r="C57" s="88" t="s">
        <v>415</v>
      </c>
      <c r="D57" s="88"/>
      <c r="E57" s="88"/>
      <c r="F57" s="302" t="s">
        <v>2431</v>
      </c>
      <c r="G57" s="89" t="s">
        <v>2819</v>
      </c>
      <c r="H57" s="88">
        <v>1</v>
      </c>
      <c r="I57" s="88">
        <v>1</v>
      </c>
      <c r="J57" s="88">
        <v>1</v>
      </c>
      <c r="K57" s="90" t="s">
        <v>2830</v>
      </c>
      <c r="L57" s="90" t="s">
        <v>2830</v>
      </c>
      <c r="M57" s="214"/>
      <c r="N57" s="88" t="s">
        <v>1804</v>
      </c>
      <c r="O57" s="216">
        <f t="shared" si="162"/>
        <v>3</v>
      </c>
      <c r="P57" s="88" t="str">
        <f t="shared" si="0"/>
        <v>B1_3</v>
      </c>
      <c r="Q57" s="88">
        <f t="shared" si="149"/>
        <v>270</v>
      </c>
      <c r="R57" s="88">
        <f t="shared" si="150"/>
        <v>100</v>
      </c>
      <c r="S57" s="218" t="s">
        <v>659</v>
      </c>
      <c r="T57" s="214" t="s">
        <v>2961</v>
      </c>
      <c r="U57" s="88">
        <f>IF(RIGHT(T57,1)="K",(VLOOKUP(T57,ma_miengiam!$A$3:$B$80,2,0)*100)/2,VLOOKUP(T57,ma_miengiam!$A$3:$B$80,2,0)*100)</f>
        <v>100</v>
      </c>
      <c r="V57" s="88"/>
      <c r="W57" s="220">
        <f>IF(AND(T57="NTS",V57&gt;0),(Q57-(Q57*V57)/12)*VLOOKUP(T57,ma_miengiam!$A$3:$B$80,2,0)+(Q57-(Q57*(12-V57))/12),IF(AND(RIGHT(T57,1)="K",V57&gt;0),(VLOOKUP(T57,ma_miengiam!$A$3:$B$80,2,0)/2)*(Q57*V57)/12,IF(RIGHT(T57,1)="K",(VLOOKUP(T57,ma_miengiam!$A$3:$B$80,2,0)*Q57)/2,IF(V57&gt;0,VLOOKUP(T57,ma_miengiam!$A$3:$B$80,2,0)*Q57*V57/12,VLOOKUP(T57,ma_miengiam!$A$3:$B$80,2,0)*Q57))))</f>
        <v>270</v>
      </c>
      <c r="X57" s="220">
        <f>IF(T57="NTS",VLOOKUP(T57,ma_miengiam!$A$3:$B$80,2,0)*R57*V57,IF(AND(T57="NTS",V57=0),0,IF(AND(LEFT(T57,1)="K",V57=0),VLOOKUP(T57,ma_miengiam!$A$3:$B$80,2,0)*R57,IF(LEFT(T57,1)="K",(VLOOKUP(T57,ma_miengiam!$A$3:$B$80,2,0)*R57/12)*V57,IF(AND(LEFT(T57,1)="S",V57&gt;0),(R57/12)*V57,IF(AND(LEFT(T57,1)="S",V57=0),R57,IF(T57="DH",VLOOKUP(T57,ma_miengiam!$A$3:$B$80,2,0)*R57,0)))))))</f>
        <v>100</v>
      </c>
      <c r="Y57" s="220">
        <f t="shared" si="131"/>
        <v>0</v>
      </c>
      <c r="Z57" s="220">
        <f t="shared" si="90"/>
        <v>0</v>
      </c>
      <c r="AA57" s="220">
        <f t="shared" si="157"/>
        <v>270</v>
      </c>
      <c r="AB57" s="220">
        <f t="shared" si="157"/>
        <v>100</v>
      </c>
      <c r="AC57" s="220">
        <f t="shared" si="158"/>
        <v>270</v>
      </c>
      <c r="AD57" s="220">
        <f t="shared" si="158"/>
        <v>100</v>
      </c>
      <c r="AE57" s="220">
        <f t="shared" si="158"/>
        <v>0</v>
      </c>
      <c r="AF57" s="220">
        <f t="shared" si="158"/>
        <v>0</v>
      </c>
      <c r="AG57" s="220">
        <f t="shared" si="159"/>
        <v>40</v>
      </c>
      <c r="AH57" s="220">
        <f t="shared" si="160"/>
        <v>40</v>
      </c>
      <c r="AI57" s="220">
        <f t="shared" si="161"/>
        <v>0</v>
      </c>
      <c r="AJ57" s="220">
        <f t="shared" si="74"/>
        <v>0</v>
      </c>
      <c r="AK57" s="216">
        <f t="shared" si="8"/>
        <v>0</v>
      </c>
      <c r="AL57" s="220">
        <f t="shared" si="22"/>
        <v>0</v>
      </c>
      <c r="AM57" s="220">
        <f t="shared" si="23"/>
        <v>0</v>
      </c>
      <c r="AN57" s="221">
        <f t="shared" si="24"/>
        <v>0</v>
      </c>
      <c r="AO57" s="220">
        <f t="shared" si="25"/>
        <v>0</v>
      </c>
      <c r="AP57" s="220">
        <f t="shared" si="26"/>
        <v>0</v>
      </c>
      <c r="AQ57" s="220">
        <f t="shared" si="27"/>
        <v>0</v>
      </c>
      <c r="AR57" s="220">
        <f t="shared" si="28"/>
        <v>0</v>
      </c>
      <c r="AS57" s="220">
        <f t="shared" si="29"/>
        <v>0</v>
      </c>
      <c r="AT57" s="216">
        <f t="shared" si="30"/>
        <v>0</v>
      </c>
      <c r="AU57" s="220">
        <f t="shared" si="31"/>
        <v>0</v>
      </c>
      <c r="AV57" s="220"/>
      <c r="AW57" s="220">
        <f t="shared" si="32"/>
        <v>0</v>
      </c>
      <c r="AX57" s="216">
        <f t="shared" si="9"/>
        <v>0</v>
      </c>
      <c r="AY57" s="220">
        <f t="shared" si="33"/>
        <v>0</v>
      </c>
      <c r="AZ57" s="220">
        <f t="shared" si="34"/>
        <v>0</v>
      </c>
      <c r="BA57" s="220">
        <f t="shared" si="35"/>
        <v>0</v>
      </c>
      <c r="BB57" s="220">
        <f t="shared" si="36"/>
        <v>0</v>
      </c>
      <c r="BC57" s="220">
        <f t="shared" si="37"/>
        <v>0</v>
      </c>
      <c r="BD57" s="216">
        <f t="shared" si="10"/>
        <v>0</v>
      </c>
      <c r="BE57" s="220">
        <f t="shared" si="38"/>
        <v>0</v>
      </c>
      <c r="BF57" s="220">
        <f t="shared" si="39"/>
        <v>0</v>
      </c>
      <c r="BG57" s="220">
        <f t="shared" si="40"/>
        <v>0</v>
      </c>
      <c r="BH57" s="220">
        <f t="shared" si="41"/>
        <v>0</v>
      </c>
      <c r="BI57" s="220">
        <f t="shared" si="42"/>
        <v>0</v>
      </c>
      <c r="BJ57" s="220" t="s">
        <v>2562</v>
      </c>
      <c r="BK57" s="220"/>
      <c r="BL57" s="223">
        <f t="shared" si="11"/>
        <v>0</v>
      </c>
      <c r="BM57" s="220">
        <v>3</v>
      </c>
      <c r="BN57" s="220"/>
      <c r="BO57" s="220">
        <f t="shared" si="142"/>
        <v>3</v>
      </c>
      <c r="BP57" s="220">
        <f>IF(AND(BL57&gt;0,BL57&lt;tiet!$D$1),BL57,IF(BL57&lt;=0,0,IF(BL57&gt;tiet!$C$1,tiet!$C$1)))</f>
        <v>0</v>
      </c>
      <c r="BQ57" s="87">
        <f t="shared" si="75"/>
        <v>60000</v>
      </c>
      <c r="BR57" s="224">
        <f t="shared" si="76"/>
        <v>0</v>
      </c>
      <c r="BS57" s="220">
        <f t="shared" si="12"/>
        <v>0</v>
      </c>
      <c r="BT57" s="224">
        <f>VLOOKUP(N57,ma_dinhmuc!$A$1:$J$31,10,0)</f>
        <v>51000</v>
      </c>
      <c r="BU57" s="224">
        <f>ROUND(IF(BS57&gt;0,VLOOKUP(N57,ma_dinhmuc!$A$1:$J$31,10,0)*BS57,0),0)</f>
        <v>0</v>
      </c>
      <c r="BV57" s="224">
        <f t="shared" si="77"/>
        <v>0</v>
      </c>
      <c r="BW57" s="224"/>
      <c r="BX57" s="224">
        <v>0</v>
      </c>
      <c r="BY57" s="224"/>
      <c r="BZ57" s="224"/>
      <c r="CA57" s="224"/>
      <c r="CB57" s="224"/>
      <c r="CC57" s="225">
        <f t="shared" si="44"/>
        <v>0</v>
      </c>
      <c r="CD57" s="224">
        <f t="shared" si="45"/>
        <v>0</v>
      </c>
      <c r="CE57" s="224"/>
      <c r="CF57" s="226"/>
      <c r="CG57" s="87"/>
      <c r="CH57" s="87">
        <f t="shared" si="143"/>
        <v>46</v>
      </c>
      <c r="CI57" s="227" t="str">
        <f t="shared" si="144"/>
        <v>Phan Thị</v>
      </c>
      <c r="CJ57" s="227" t="str">
        <f t="shared" si="145"/>
        <v>Thủy</v>
      </c>
      <c r="CK57" s="87">
        <f t="shared" si="146"/>
        <v>1</v>
      </c>
      <c r="CL57" s="227" t="str">
        <f t="shared" si="153"/>
        <v>PPTN và TKSH</v>
      </c>
      <c r="CM57" s="87" t="str">
        <f t="shared" si="46"/>
        <v>CS2</v>
      </c>
      <c r="CN57" s="87">
        <f t="shared" si="163"/>
        <v>270</v>
      </c>
      <c r="CO57" s="87">
        <f t="shared" si="164"/>
        <v>100</v>
      </c>
      <c r="CP57" s="229">
        <f t="shared" si="47"/>
        <v>0</v>
      </c>
      <c r="CQ57" s="229">
        <f t="shared" si="48"/>
        <v>0</v>
      </c>
      <c r="CR57" s="229">
        <f t="shared" si="49"/>
        <v>0</v>
      </c>
      <c r="CS57" s="229">
        <f t="shared" si="50"/>
        <v>0</v>
      </c>
      <c r="CT57" s="229">
        <f t="shared" si="51"/>
        <v>0</v>
      </c>
      <c r="CU57" s="229">
        <f t="shared" si="52"/>
        <v>0</v>
      </c>
      <c r="CV57" s="229">
        <f t="shared" si="53"/>
        <v>0</v>
      </c>
      <c r="CW57" s="229">
        <f t="shared" si="54"/>
        <v>0</v>
      </c>
      <c r="CX57" s="229">
        <f t="shared" si="55"/>
        <v>0</v>
      </c>
      <c r="CY57" s="229">
        <f t="shared" si="56"/>
        <v>0</v>
      </c>
      <c r="CZ57" s="229">
        <f t="shared" si="57"/>
        <v>0</v>
      </c>
      <c r="DA57" s="229">
        <f t="shared" si="58"/>
        <v>0</v>
      </c>
      <c r="DB57" s="228">
        <f t="shared" si="59"/>
        <v>0</v>
      </c>
      <c r="DC57" s="229"/>
      <c r="DD57" s="229"/>
      <c r="DE57" s="229"/>
      <c r="DF57" s="229"/>
      <c r="DG57" s="229"/>
      <c r="DH57" s="229"/>
      <c r="DI57" s="229"/>
      <c r="DJ57" s="229"/>
      <c r="DK57" s="229"/>
      <c r="DL57" s="229"/>
      <c r="DM57" s="229"/>
      <c r="DN57" s="229"/>
      <c r="DO57" s="228">
        <f t="shared" si="60"/>
        <v>0</v>
      </c>
      <c r="DP57" s="228">
        <f t="shared" si="61"/>
        <v>0</v>
      </c>
      <c r="DQ57" s="229">
        <f t="shared" si="62"/>
        <v>0</v>
      </c>
      <c r="DR57" s="229">
        <f t="shared" si="63"/>
        <v>0</v>
      </c>
      <c r="DS57" s="229">
        <f t="shared" si="64"/>
        <v>0</v>
      </c>
      <c r="DT57" s="229">
        <f t="shared" si="65"/>
        <v>0</v>
      </c>
      <c r="DU57" s="229">
        <f t="shared" si="66"/>
        <v>0</v>
      </c>
      <c r="DV57" s="229">
        <f t="shared" si="67"/>
        <v>0</v>
      </c>
      <c r="DW57" s="229">
        <f t="shared" si="68"/>
        <v>0</v>
      </c>
      <c r="DX57" s="228">
        <f t="shared" si="69"/>
        <v>0</v>
      </c>
      <c r="DY57" s="229"/>
      <c r="DZ57" s="229"/>
      <c r="EA57" s="229"/>
      <c r="EB57" s="229"/>
      <c r="EC57" s="229"/>
      <c r="ED57" s="229"/>
      <c r="EE57" s="229"/>
      <c r="EF57" s="228">
        <f t="shared" si="17"/>
        <v>0</v>
      </c>
      <c r="EG57" s="228">
        <f t="shared" si="70"/>
        <v>0</v>
      </c>
      <c r="EH57" s="229">
        <f t="shared" si="18"/>
        <v>0</v>
      </c>
      <c r="EI57" s="229">
        <v>40</v>
      </c>
      <c r="EJ57" s="228">
        <f t="shared" si="84"/>
        <v>40</v>
      </c>
      <c r="EK57" s="229"/>
      <c r="EL57" s="229"/>
      <c r="EM57" s="228">
        <f t="shared" si="155"/>
        <v>0</v>
      </c>
      <c r="EN57" s="229">
        <f t="shared" si="71"/>
        <v>0</v>
      </c>
      <c r="EO57" s="229">
        <f t="shared" si="72"/>
        <v>40</v>
      </c>
      <c r="EP57" s="228">
        <f t="shared" si="156"/>
        <v>40</v>
      </c>
      <c r="EQ57" s="173">
        <f t="shared" si="19"/>
        <v>0</v>
      </c>
      <c r="ER57" s="189">
        <v>0</v>
      </c>
      <c r="ES57" s="189">
        <v>0</v>
      </c>
      <c r="ET57" s="189">
        <v>0</v>
      </c>
      <c r="EU57" s="189">
        <v>0</v>
      </c>
      <c r="EV57" s="189">
        <v>0</v>
      </c>
      <c r="EW57" s="189">
        <v>0</v>
      </c>
      <c r="EX57" s="189">
        <v>0</v>
      </c>
      <c r="EY57" s="189">
        <v>0</v>
      </c>
      <c r="EZ57" s="189">
        <v>0</v>
      </c>
      <c r="FA57" s="189">
        <v>0</v>
      </c>
      <c r="FB57" s="189">
        <v>0</v>
      </c>
      <c r="FC57" s="189">
        <v>0</v>
      </c>
      <c r="FD57" s="189">
        <v>0</v>
      </c>
      <c r="FE57" s="189">
        <v>0</v>
      </c>
      <c r="FF57" s="189">
        <v>0</v>
      </c>
      <c r="FG57" s="189">
        <v>0</v>
      </c>
      <c r="FH57" s="189">
        <v>0</v>
      </c>
      <c r="FI57" s="189">
        <v>0</v>
      </c>
      <c r="FJ57" s="189">
        <v>0</v>
      </c>
      <c r="FK57" s="189">
        <v>0</v>
      </c>
      <c r="FL57" s="189">
        <v>0</v>
      </c>
      <c r="FN57" s="132">
        <v>0</v>
      </c>
    </row>
    <row r="58" spans="1:170" ht="30.75" customHeight="1">
      <c r="A58" s="88">
        <f>COUNTIF($H$12:H58,H58)</f>
        <v>47</v>
      </c>
      <c r="B58" s="88" t="s">
        <v>455</v>
      </c>
      <c r="C58" s="88" t="s">
        <v>416</v>
      </c>
      <c r="D58" s="88"/>
      <c r="E58" s="88"/>
      <c r="F58" s="301" t="s">
        <v>2820</v>
      </c>
      <c r="G58" s="89" t="s">
        <v>2821</v>
      </c>
      <c r="H58" s="88">
        <v>1</v>
      </c>
      <c r="I58" s="88">
        <v>1</v>
      </c>
      <c r="J58" s="88">
        <v>1</v>
      </c>
      <c r="K58" s="90" t="s">
        <v>2831</v>
      </c>
      <c r="L58" s="90" t="s">
        <v>2831</v>
      </c>
      <c r="M58" s="214"/>
      <c r="N58" s="88" t="s">
        <v>605</v>
      </c>
      <c r="O58" s="216">
        <f t="shared" si="162"/>
        <v>7.28</v>
      </c>
      <c r="P58" s="88" t="str">
        <f t="shared" si="0"/>
        <v>B1_8</v>
      </c>
      <c r="Q58" s="88">
        <f t="shared" si="149"/>
        <v>270</v>
      </c>
      <c r="R58" s="88">
        <f t="shared" si="150"/>
        <v>280</v>
      </c>
      <c r="S58" s="218" t="s">
        <v>681</v>
      </c>
      <c r="T58" s="219" t="s">
        <v>2268</v>
      </c>
      <c r="U58" s="88">
        <f>IF(RIGHT(T58,1)="K",(VLOOKUP(T58,ma_miengiam!$A$3:$B$80,2,0)*100)/2,VLOOKUP(T58,ma_miengiam!$A$3:$B$80,2,0)*100)</f>
        <v>75</v>
      </c>
      <c r="V58" s="88"/>
      <c r="W58" s="220">
        <f>IF(AND(T58="NTS",V58&gt;0),(Q58-(Q58*V58)/12)*VLOOKUP(T58,ma_miengiam!$A$3:$B$80,2,0)+(Q58-(Q58*(12-V58))/12),IF(AND(RIGHT(T58,1)="K",V58&gt;0),(VLOOKUP(T58,ma_miengiam!$A$3:$B$80,2,0)/2)*(Q58*V58)/12,IF(RIGHT(T58,1)="K",(VLOOKUP(T58,ma_miengiam!$A$3:$B$80,2,0)*Q58)/2,IF(V58&gt;0,VLOOKUP(T58,ma_miengiam!$A$3:$B$80,2,0)*Q58*V58/12,VLOOKUP(T58,ma_miengiam!$A$3:$B$80,2,0)*Q58))))</f>
        <v>202.5</v>
      </c>
      <c r="X58" s="220">
        <f>IF(T58="NTS",VLOOKUP(T58,ma_miengiam!$A$3:$B$80,2,0)*R58*V58,IF(AND(T58="NTS",V58=0),0,IF(AND(LEFT(T58,1)="K",V58=0),VLOOKUP(T58,ma_miengiam!$A$3:$B$80,2,0)*R58,IF(LEFT(T58,1)="K",(VLOOKUP(T58,ma_miengiam!$A$3:$B$80,2,0)*R58/12)*V58,IF(AND(LEFT(T58,1)="S",V58&gt;0),(R58/12)*V58,IF(AND(LEFT(T58,1)="S",V58=0),R58,IF(T58="DH",VLOOKUP(T58,ma_miengiam!$A$3:$B$80,2,0)*R58,0)))))))</f>
        <v>210</v>
      </c>
      <c r="Y58" s="220">
        <f t="shared" si="131"/>
        <v>67.5</v>
      </c>
      <c r="Z58" s="220">
        <f t="shared" si="90"/>
        <v>70</v>
      </c>
      <c r="AA58" s="220">
        <f>Q58</f>
        <v>270</v>
      </c>
      <c r="AB58" s="220">
        <f>R58</f>
        <v>280</v>
      </c>
      <c r="AC58" s="220">
        <f t="shared" ref="AC58:AF59" si="165">W58</f>
        <v>202.5</v>
      </c>
      <c r="AD58" s="220">
        <f t="shared" si="165"/>
        <v>210</v>
      </c>
      <c r="AE58" s="220">
        <f t="shared" si="165"/>
        <v>67.5</v>
      </c>
      <c r="AF58" s="220">
        <f t="shared" si="165"/>
        <v>70</v>
      </c>
      <c r="AG58" s="220">
        <f t="shared" si="159"/>
        <v>531.65</v>
      </c>
      <c r="AH58" s="220">
        <f t="shared" si="160"/>
        <v>333.44</v>
      </c>
      <c r="AI58" s="220">
        <f t="shared" si="161"/>
        <v>198.21</v>
      </c>
      <c r="AJ58" s="220">
        <f t="shared" si="74"/>
        <v>0</v>
      </c>
      <c r="AK58" s="216">
        <f t="shared" si="8"/>
        <v>67.5</v>
      </c>
      <c r="AL58" s="220">
        <f t="shared" si="22"/>
        <v>26.4</v>
      </c>
      <c r="AM58" s="220">
        <f t="shared" si="23"/>
        <v>0</v>
      </c>
      <c r="AN58" s="221">
        <f t="shared" si="24"/>
        <v>26.4</v>
      </c>
      <c r="AO58" s="220">
        <f t="shared" si="25"/>
        <v>0</v>
      </c>
      <c r="AP58" s="220">
        <f t="shared" si="26"/>
        <v>0</v>
      </c>
      <c r="AQ58" s="220">
        <f t="shared" si="27"/>
        <v>48</v>
      </c>
      <c r="AR58" s="220">
        <f t="shared" si="28"/>
        <v>88</v>
      </c>
      <c r="AS58" s="220">
        <f t="shared" si="29"/>
        <v>50</v>
      </c>
      <c r="AT58" s="216">
        <f t="shared" si="30"/>
        <v>212.4</v>
      </c>
      <c r="AU58" s="222">
        <f t="shared" si="31"/>
        <v>-41.1</v>
      </c>
      <c r="AV58" s="220"/>
      <c r="AW58" s="220">
        <f t="shared" si="32"/>
        <v>-41.1</v>
      </c>
      <c r="AX58" s="216">
        <f t="shared" si="9"/>
        <v>-41.1</v>
      </c>
      <c r="AY58" s="220">
        <f t="shared" si="33"/>
        <v>0</v>
      </c>
      <c r="AZ58" s="220">
        <f t="shared" si="34"/>
        <v>0</v>
      </c>
      <c r="BA58" s="220">
        <f t="shared" si="35"/>
        <v>6.9000000000000057</v>
      </c>
      <c r="BB58" s="220">
        <f t="shared" si="36"/>
        <v>88</v>
      </c>
      <c r="BC58" s="220">
        <f t="shared" si="37"/>
        <v>50</v>
      </c>
      <c r="BD58" s="216">
        <f t="shared" si="10"/>
        <v>144.9</v>
      </c>
      <c r="BE58" s="220">
        <f t="shared" si="38"/>
        <v>0</v>
      </c>
      <c r="BF58" s="220">
        <f t="shared" si="39"/>
        <v>0</v>
      </c>
      <c r="BG58" s="220">
        <f t="shared" si="40"/>
        <v>-41.099999999999994</v>
      </c>
      <c r="BH58" s="220">
        <f t="shared" si="41"/>
        <v>0</v>
      </c>
      <c r="BI58" s="220">
        <f t="shared" si="42"/>
        <v>0</v>
      </c>
      <c r="BJ58" s="220" t="s">
        <v>616</v>
      </c>
      <c r="BK58" s="220"/>
      <c r="BL58" s="223">
        <f t="shared" si="11"/>
        <v>0</v>
      </c>
      <c r="BM58" s="220">
        <v>7.28</v>
      </c>
      <c r="BN58" s="220"/>
      <c r="BO58" s="220">
        <f>ROUND(BM58+(BM58*BN58),2)</f>
        <v>7.28</v>
      </c>
      <c r="BP58" s="220">
        <f>IF(AND(BL58&gt;0,BL58&lt;tiet!$D$1),BL58,IF(BL58&lt;=0,0,IF(BL58&gt;tiet!$C$1,tiet!$C$1)))</f>
        <v>0</v>
      </c>
      <c r="BQ58" s="87">
        <f t="shared" si="75"/>
        <v>85000</v>
      </c>
      <c r="BR58" s="224">
        <f t="shared" si="76"/>
        <v>0</v>
      </c>
      <c r="BS58" s="220">
        <f t="shared" si="12"/>
        <v>0</v>
      </c>
      <c r="BT58" s="224">
        <f>VLOOKUP(N58,ma_dinhmuc!$A$1:$J$31,10,0)</f>
        <v>65000</v>
      </c>
      <c r="BU58" s="224">
        <f>ROUND(IF(BS58&gt;0,VLOOKUP(N58,ma_dinhmuc!$A$1:$J$31,10,0)*BS58,0),0)</f>
        <v>0</v>
      </c>
      <c r="BV58" s="224">
        <f t="shared" si="77"/>
        <v>0</v>
      </c>
      <c r="BW58" s="224"/>
      <c r="BX58" s="224">
        <v>0</v>
      </c>
      <c r="BY58" s="224"/>
      <c r="BZ58" s="224"/>
      <c r="CA58" s="224"/>
      <c r="CB58" s="224"/>
      <c r="CC58" s="225">
        <f t="shared" si="44"/>
        <v>0</v>
      </c>
      <c r="CD58" s="224">
        <f t="shared" si="45"/>
        <v>0</v>
      </c>
      <c r="CE58" s="224"/>
      <c r="CF58" s="226"/>
      <c r="CG58" s="87"/>
      <c r="CH58" s="87">
        <f t="shared" ref="CH58:CH88" si="166">A58</f>
        <v>47</v>
      </c>
      <c r="CI58" s="227" t="str">
        <f>F58</f>
        <v>Vũ Văn</v>
      </c>
      <c r="CJ58" s="227" t="str">
        <f>G58</f>
        <v>Liết</v>
      </c>
      <c r="CK58" s="87">
        <f>H58</f>
        <v>1</v>
      </c>
      <c r="CL58" s="227" t="str">
        <f t="shared" si="153"/>
        <v>Di truyền giống</v>
      </c>
      <c r="CM58" s="87" t="str">
        <f t="shared" si="46"/>
        <v>CS4</v>
      </c>
      <c r="CN58" s="87">
        <f>Q58</f>
        <v>270</v>
      </c>
      <c r="CO58" s="87">
        <f>R58</f>
        <v>280</v>
      </c>
      <c r="CP58" s="229">
        <f t="shared" si="47"/>
        <v>0</v>
      </c>
      <c r="CQ58" s="229">
        <f t="shared" si="48"/>
        <v>3.1</v>
      </c>
      <c r="CR58" s="229">
        <f t="shared" si="49"/>
        <v>1.3</v>
      </c>
      <c r="CS58" s="229">
        <f t="shared" si="50"/>
        <v>0</v>
      </c>
      <c r="CT58" s="229">
        <f t="shared" si="51"/>
        <v>0</v>
      </c>
      <c r="CU58" s="229">
        <f t="shared" si="52"/>
        <v>22</v>
      </c>
      <c r="CV58" s="229">
        <f t="shared" si="53"/>
        <v>0</v>
      </c>
      <c r="CW58" s="229">
        <f t="shared" si="54"/>
        <v>0</v>
      </c>
      <c r="CX58" s="229">
        <f t="shared" si="55"/>
        <v>0</v>
      </c>
      <c r="CY58" s="229">
        <f t="shared" si="56"/>
        <v>0</v>
      </c>
      <c r="CZ58" s="229">
        <f t="shared" si="57"/>
        <v>0</v>
      </c>
      <c r="DA58" s="229">
        <f t="shared" si="58"/>
        <v>48</v>
      </c>
      <c r="DB58" s="228">
        <f t="shared" si="59"/>
        <v>74.400000000000006</v>
      </c>
      <c r="DC58" s="229"/>
      <c r="DD58" s="229"/>
      <c r="DE58" s="229"/>
      <c r="DF58" s="229"/>
      <c r="DG58" s="229"/>
      <c r="DH58" s="229"/>
      <c r="DI58" s="229"/>
      <c r="DJ58" s="229"/>
      <c r="DK58" s="229"/>
      <c r="DL58" s="229"/>
      <c r="DM58" s="229"/>
      <c r="DN58" s="229"/>
      <c r="DO58" s="228">
        <f t="shared" si="60"/>
        <v>0</v>
      </c>
      <c r="DP58" s="228">
        <f t="shared" si="61"/>
        <v>74.400000000000006</v>
      </c>
      <c r="DQ58" s="229">
        <f t="shared" si="62"/>
        <v>0</v>
      </c>
      <c r="DR58" s="229">
        <f t="shared" si="63"/>
        <v>0</v>
      </c>
      <c r="DS58" s="229">
        <f t="shared" si="64"/>
        <v>0</v>
      </c>
      <c r="DT58" s="229">
        <f t="shared" si="65"/>
        <v>0</v>
      </c>
      <c r="DU58" s="229">
        <f t="shared" si="66"/>
        <v>0</v>
      </c>
      <c r="DV58" s="229">
        <f t="shared" si="67"/>
        <v>88</v>
      </c>
      <c r="DW58" s="229">
        <f t="shared" si="68"/>
        <v>50</v>
      </c>
      <c r="DX58" s="228">
        <f t="shared" si="69"/>
        <v>138</v>
      </c>
      <c r="DY58" s="229"/>
      <c r="DZ58" s="229"/>
      <c r="EA58" s="229"/>
      <c r="EB58" s="229"/>
      <c r="EC58" s="229"/>
      <c r="ED58" s="229"/>
      <c r="EE58" s="229"/>
      <c r="EF58" s="228">
        <f t="shared" si="17"/>
        <v>0</v>
      </c>
      <c r="EG58" s="228">
        <f t="shared" si="70"/>
        <v>138</v>
      </c>
      <c r="EH58" s="229">
        <f t="shared" si="18"/>
        <v>198.21</v>
      </c>
      <c r="EI58" s="229">
        <v>333.44</v>
      </c>
      <c r="EJ58" s="228">
        <f>SUM(EH58:EI58)</f>
        <v>531.65</v>
      </c>
      <c r="EK58" s="229"/>
      <c r="EL58" s="229"/>
      <c r="EM58" s="228">
        <f>SUM(EK58:EL58)</f>
        <v>0</v>
      </c>
      <c r="EN58" s="229">
        <f t="shared" si="71"/>
        <v>198.21</v>
      </c>
      <c r="EO58" s="229">
        <f t="shared" si="72"/>
        <v>333.44</v>
      </c>
      <c r="EP58" s="228">
        <f>EM58+EJ58</f>
        <v>531.65</v>
      </c>
      <c r="EQ58" s="173">
        <f t="shared" si="19"/>
        <v>128.21</v>
      </c>
      <c r="ER58" s="189">
        <v>0</v>
      </c>
      <c r="ES58" s="189">
        <v>3.1</v>
      </c>
      <c r="ET58" s="189">
        <v>1.3</v>
      </c>
      <c r="EU58" s="189">
        <v>0</v>
      </c>
      <c r="EV58" s="189">
        <v>0</v>
      </c>
      <c r="EW58" s="189">
        <v>22</v>
      </c>
      <c r="EX58" s="189">
        <v>0</v>
      </c>
      <c r="EY58" s="189">
        <v>0</v>
      </c>
      <c r="EZ58" s="189">
        <v>0</v>
      </c>
      <c r="FA58" s="189">
        <v>0</v>
      </c>
      <c r="FB58" s="189">
        <v>0</v>
      </c>
      <c r="FC58" s="189">
        <v>48</v>
      </c>
      <c r="FD58" s="189">
        <v>0</v>
      </c>
      <c r="FE58" s="189">
        <v>0</v>
      </c>
      <c r="FF58" s="189">
        <v>0</v>
      </c>
      <c r="FG58" s="189">
        <v>0</v>
      </c>
      <c r="FH58" s="189">
        <v>88</v>
      </c>
      <c r="FI58" s="189">
        <v>0</v>
      </c>
      <c r="FJ58" s="189">
        <v>50</v>
      </c>
      <c r="FK58" s="189">
        <v>212.4</v>
      </c>
      <c r="FL58" s="189">
        <v>210</v>
      </c>
      <c r="FN58" s="132">
        <v>198.21</v>
      </c>
    </row>
    <row r="59" spans="1:170" ht="30" customHeight="1">
      <c r="A59" s="88">
        <f>COUNTIF($H$12:H59,H59)</f>
        <v>48</v>
      </c>
      <c r="B59" s="88" t="s">
        <v>456</v>
      </c>
      <c r="C59" s="88" t="s">
        <v>417</v>
      </c>
      <c r="D59" s="88"/>
      <c r="E59" s="88"/>
      <c r="F59" s="301" t="s">
        <v>2822</v>
      </c>
      <c r="G59" s="303" t="s">
        <v>2086</v>
      </c>
      <c r="H59" s="88">
        <v>1</v>
      </c>
      <c r="I59" s="88">
        <v>1</v>
      </c>
      <c r="J59" s="88">
        <v>1</v>
      </c>
      <c r="K59" s="90" t="s">
        <v>2831</v>
      </c>
      <c r="L59" s="90" t="s">
        <v>2831</v>
      </c>
      <c r="M59" s="214"/>
      <c r="N59" s="88" t="s">
        <v>1804</v>
      </c>
      <c r="O59" s="216">
        <f t="shared" si="162"/>
        <v>3.33</v>
      </c>
      <c r="P59" s="88" t="str">
        <f t="shared" si="0"/>
        <v>B1_4</v>
      </c>
      <c r="Q59" s="88">
        <f t="shared" si="149"/>
        <v>270</v>
      </c>
      <c r="R59" s="88">
        <f t="shared" si="150"/>
        <v>120</v>
      </c>
      <c r="S59" s="218" t="s">
        <v>3131</v>
      </c>
      <c r="T59" s="88" t="s">
        <v>3088</v>
      </c>
      <c r="U59" s="88">
        <f>IF(RIGHT(T59,1)="K",(VLOOKUP(T59,ma_miengiam!$A$3:$B$80,2,0)*100)/2,VLOOKUP(T59,ma_miengiam!$A$3:$B$80,2,0)*100)</f>
        <v>0</v>
      </c>
      <c r="V59" s="88"/>
      <c r="W59" s="220">
        <f>IF(AND(T59="NTS",V59&gt;0),(Q59-(Q59*V59)/12)*VLOOKUP(T59,ma_miengiam!$A$3:$B$80,2,0)+(Q59-(Q59*(12-V59))/12),IF(AND(RIGHT(T59,1)="K",V59&gt;0),(VLOOKUP(T59,ma_miengiam!$A$3:$B$80,2,0)/2)*(Q59*V59)/12,IF(RIGHT(T59,1)="K",(VLOOKUP(T59,ma_miengiam!$A$3:$B$80,2,0)*Q59)/2,IF(V59&gt;0,VLOOKUP(T59,ma_miengiam!$A$3:$B$80,2,0)*Q59*V59/12,VLOOKUP(T59,ma_miengiam!$A$3:$B$80,2,0)*Q59))))</f>
        <v>0</v>
      </c>
      <c r="X59" s="220">
        <f>IF(T59="NTS",VLOOKUP(T59,ma_miengiam!$A$3:$B$80,2,0)*R59*V59,IF(AND(T59="NTS",V59=0),0,IF(AND(LEFT(T59,1)="K",V59=0),VLOOKUP(T59,ma_miengiam!$A$3:$B$80,2,0)*R59,IF(LEFT(T59,1)="K",(VLOOKUP(T59,ma_miengiam!$A$3:$B$80,2,0)*R59/12)*V59,IF(AND(LEFT(T59,1)="S",V59&gt;0),(R59/12)*V59,IF(AND(LEFT(T59,1)="S",V59=0),R59,IF(T59="DH",VLOOKUP(T59,ma_miengiam!$A$3:$B$80,2,0)*R59,0)))))))</f>
        <v>0</v>
      </c>
      <c r="Y59" s="220">
        <f t="shared" si="131"/>
        <v>270</v>
      </c>
      <c r="Z59" s="220">
        <f t="shared" si="90"/>
        <v>120</v>
      </c>
      <c r="AA59" s="220">
        <f>Q59</f>
        <v>270</v>
      </c>
      <c r="AB59" s="220">
        <f>R59</f>
        <v>120</v>
      </c>
      <c r="AC59" s="220">
        <f t="shared" si="165"/>
        <v>0</v>
      </c>
      <c r="AD59" s="220">
        <f t="shared" si="165"/>
        <v>0</v>
      </c>
      <c r="AE59" s="220">
        <f t="shared" si="165"/>
        <v>270</v>
      </c>
      <c r="AF59" s="220">
        <f t="shared" si="165"/>
        <v>120</v>
      </c>
      <c r="AG59" s="220">
        <f t="shared" si="159"/>
        <v>101.52</v>
      </c>
      <c r="AH59" s="220">
        <f t="shared" si="160"/>
        <v>31.52</v>
      </c>
      <c r="AI59" s="220">
        <f t="shared" si="161"/>
        <v>70</v>
      </c>
      <c r="AJ59" s="220">
        <f t="shared" si="74"/>
        <v>-18.480000000000004</v>
      </c>
      <c r="AK59" s="216">
        <f t="shared" si="8"/>
        <v>288.48</v>
      </c>
      <c r="AL59" s="220">
        <f t="shared" si="22"/>
        <v>105.1</v>
      </c>
      <c r="AM59" s="220">
        <f t="shared" si="23"/>
        <v>0</v>
      </c>
      <c r="AN59" s="216">
        <f t="shared" si="24"/>
        <v>105.1</v>
      </c>
      <c r="AO59" s="220">
        <f t="shared" si="25"/>
        <v>0</v>
      </c>
      <c r="AP59" s="220">
        <f t="shared" si="26"/>
        <v>0</v>
      </c>
      <c r="AQ59" s="220">
        <f t="shared" si="27"/>
        <v>60</v>
      </c>
      <c r="AR59" s="220">
        <f t="shared" si="28"/>
        <v>0</v>
      </c>
      <c r="AS59" s="220">
        <f t="shared" si="29"/>
        <v>0</v>
      </c>
      <c r="AT59" s="216">
        <f t="shared" si="30"/>
        <v>165.1</v>
      </c>
      <c r="AU59" s="220">
        <f t="shared" si="31"/>
        <v>-183.38000000000002</v>
      </c>
      <c r="AV59" s="220"/>
      <c r="AW59" s="220">
        <f t="shared" si="32"/>
        <v>-183.38000000000002</v>
      </c>
      <c r="AX59" s="216">
        <f t="shared" si="9"/>
        <v>-183.38000000000002</v>
      </c>
      <c r="AY59" s="220">
        <f t="shared" si="33"/>
        <v>0</v>
      </c>
      <c r="AZ59" s="220">
        <f t="shared" si="34"/>
        <v>0</v>
      </c>
      <c r="BA59" s="220">
        <f t="shared" si="35"/>
        <v>0</v>
      </c>
      <c r="BB59" s="220">
        <f t="shared" si="36"/>
        <v>0</v>
      </c>
      <c r="BC59" s="220">
        <f t="shared" si="37"/>
        <v>0</v>
      </c>
      <c r="BD59" s="216">
        <f t="shared" si="10"/>
        <v>0</v>
      </c>
      <c r="BE59" s="220">
        <f t="shared" si="38"/>
        <v>0</v>
      </c>
      <c r="BF59" s="220">
        <f t="shared" si="39"/>
        <v>0</v>
      </c>
      <c r="BG59" s="220">
        <f t="shared" si="40"/>
        <v>-60</v>
      </c>
      <c r="BH59" s="220">
        <f t="shared" si="41"/>
        <v>0</v>
      </c>
      <c r="BI59" s="220">
        <f t="shared" si="42"/>
        <v>0</v>
      </c>
      <c r="BJ59" s="220" t="s">
        <v>616</v>
      </c>
      <c r="BK59" s="220"/>
      <c r="BL59" s="223">
        <f t="shared" si="11"/>
        <v>0</v>
      </c>
      <c r="BM59" s="220">
        <v>3.33</v>
      </c>
      <c r="BN59" s="220"/>
      <c r="BO59" s="220">
        <f t="shared" ref="BO59:BO68" si="167">ROUND(BM59+(BM59*BN59),2)</f>
        <v>3.33</v>
      </c>
      <c r="BP59" s="220">
        <f>IF(AND(BL59&gt;0,BL59&lt;tiet!$D$1),BL59,IF(BL59&lt;=0,0,IF(BL59&gt;tiet!$C$1,tiet!$C$1)))</f>
        <v>0</v>
      </c>
      <c r="BQ59" s="87">
        <f t="shared" si="75"/>
        <v>65000</v>
      </c>
      <c r="BR59" s="224">
        <f t="shared" si="76"/>
        <v>0</v>
      </c>
      <c r="BS59" s="220">
        <f t="shared" si="12"/>
        <v>0</v>
      </c>
      <c r="BT59" s="224">
        <f>VLOOKUP(N59,ma_dinhmuc!$A$1:$J$31,10,0)</f>
        <v>51000</v>
      </c>
      <c r="BU59" s="224">
        <f>ROUND(IF(BS59&gt;0,VLOOKUP(N59,ma_dinhmuc!$A$1:$J$31,10,0)*BS59,0),0)</f>
        <v>0</v>
      </c>
      <c r="BV59" s="224">
        <f t="shared" si="77"/>
        <v>0</v>
      </c>
      <c r="BW59" s="224"/>
      <c r="BX59" s="224">
        <v>0</v>
      </c>
      <c r="BY59" s="224"/>
      <c r="BZ59" s="224"/>
      <c r="CA59" s="224"/>
      <c r="CB59" s="224"/>
      <c r="CC59" s="225">
        <f t="shared" si="44"/>
        <v>0</v>
      </c>
      <c r="CD59" s="224">
        <f t="shared" si="45"/>
        <v>0</v>
      </c>
      <c r="CE59" s="224"/>
      <c r="CF59" s="226"/>
      <c r="CG59" s="87"/>
      <c r="CH59" s="87">
        <f t="shared" si="166"/>
        <v>48</v>
      </c>
      <c r="CI59" s="227" t="str">
        <f t="shared" si="144"/>
        <v>Nguyễn Tuấn</v>
      </c>
      <c r="CJ59" s="227" t="str">
        <f t="shared" si="145"/>
        <v>Anh</v>
      </c>
      <c r="CK59" s="87">
        <f t="shared" si="146"/>
        <v>1</v>
      </c>
      <c r="CL59" s="227" t="str">
        <f t="shared" si="153"/>
        <v>Di truyền giống</v>
      </c>
      <c r="CM59" s="87" t="str">
        <f t="shared" si="46"/>
        <v>CS2</v>
      </c>
      <c r="CN59" s="87">
        <f t="shared" si="163"/>
        <v>270</v>
      </c>
      <c r="CO59" s="87">
        <f t="shared" si="164"/>
        <v>120</v>
      </c>
      <c r="CP59" s="229">
        <f t="shared" si="47"/>
        <v>0</v>
      </c>
      <c r="CQ59" s="229">
        <f t="shared" si="48"/>
        <v>10.5</v>
      </c>
      <c r="CR59" s="229">
        <f t="shared" si="49"/>
        <v>4.2</v>
      </c>
      <c r="CS59" s="229">
        <f t="shared" si="50"/>
        <v>0</v>
      </c>
      <c r="CT59" s="229">
        <f t="shared" si="51"/>
        <v>0</v>
      </c>
      <c r="CU59" s="229">
        <f t="shared" si="52"/>
        <v>26.4</v>
      </c>
      <c r="CV59" s="229">
        <f t="shared" si="53"/>
        <v>0</v>
      </c>
      <c r="CW59" s="229">
        <f t="shared" si="54"/>
        <v>64</v>
      </c>
      <c r="CX59" s="229">
        <f t="shared" si="55"/>
        <v>0</v>
      </c>
      <c r="CY59" s="229">
        <f t="shared" si="56"/>
        <v>0</v>
      </c>
      <c r="CZ59" s="229">
        <f t="shared" si="57"/>
        <v>0</v>
      </c>
      <c r="DA59" s="229">
        <f t="shared" si="58"/>
        <v>60</v>
      </c>
      <c r="DB59" s="228">
        <f t="shared" si="59"/>
        <v>165.1</v>
      </c>
      <c r="DC59" s="229"/>
      <c r="DD59" s="229"/>
      <c r="DE59" s="229"/>
      <c r="DF59" s="229"/>
      <c r="DG59" s="229"/>
      <c r="DH59" s="229"/>
      <c r="DI59" s="229"/>
      <c r="DJ59" s="229"/>
      <c r="DK59" s="229"/>
      <c r="DL59" s="229"/>
      <c r="DM59" s="229"/>
      <c r="DN59" s="229"/>
      <c r="DO59" s="228">
        <f t="shared" si="60"/>
        <v>0</v>
      </c>
      <c r="DP59" s="228">
        <f t="shared" si="61"/>
        <v>165.1</v>
      </c>
      <c r="DQ59" s="229">
        <f t="shared" si="62"/>
        <v>0</v>
      </c>
      <c r="DR59" s="229">
        <f t="shared" si="63"/>
        <v>0</v>
      </c>
      <c r="DS59" s="229">
        <f t="shared" si="64"/>
        <v>0</v>
      </c>
      <c r="DT59" s="229">
        <f t="shared" si="65"/>
        <v>0</v>
      </c>
      <c r="DU59" s="229">
        <f t="shared" si="66"/>
        <v>0</v>
      </c>
      <c r="DV59" s="229">
        <f t="shared" si="67"/>
        <v>0</v>
      </c>
      <c r="DW59" s="229">
        <f t="shared" si="68"/>
        <v>0</v>
      </c>
      <c r="DX59" s="228">
        <f t="shared" si="69"/>
        <v>0</v>
      </c>
      <c r="DY59" s="229"/>
      <c r="DZ59" s="229"/>
      <c r="EA59" s="229"/>
      <c r="EB59" s="229"/>
      <c r="EC59" s="229"/>
      <c r="ED59" s="229"/>
      <c r="EE59" s="229"/>
      <c r="EF59" s="228">
        <f t="shared" si="17"/>
        <v>0</v>
      </c>
      <c r="EG59" s="228">
        <f t="shared" si="70"/>
        <v>0</v>
      </c>
      <c r="EH59" s="229">
        <f t="shared" si="18"/>
        <v>70</v>
      </c>
      <c r="EI59" s="229">
        <v>31.52</v>
      </c>
      <c r="EJ59" s="228">
        <f t="shared" si="84"/>
        <v>101.52</v>
      </c>
      <c r="EK59" s="229"/>
      <c r="EL59" s="229"/>
      <c r="EM59" s="228">
        <f t="shared" si="155"/>
        <v>0</v>
      </c>
      <c r="EN59" s="229">
        <f t="shared" si="71"/>
        <v>70</v>
      </c>
      <c r="EO59" s="229">
        <f t="shared" si="72"/>
        <v>31.52</v>
      </c>
      <c r="EP59" s="228">
        <f t="shared" si="156"/>
        <v>101.52</v>
      </c>
      <c r="EQ59" s="173">
        <f t="shared" si="19"/>
        <v>0</v>
      </c>
      <c r="ER59" s="189">
        <v>0</v>
      </c>
      <c r="ES59" s="189">
        <v>10.5</v>
      </c>
      <c r="ET59" s="189">
        <v>4.2</v>
      </c>
      <c r="EU59" s="189">
        <v>0</v>
      </c>
      <c r="EV59" s="189">
        <v>0</v>
      </c>
      <c r="EW59" s="189">
        <v>26.4</v>
      </c>
      <c r="EX59" s="189">
        <v>0</v>
      </c>
      <c r="EY59" s="189">
        <v>64</v>
      </c>
      <c r="EZ59" s="189">
        <v>0</v>
      </c>
      <c r="FA59" s="189">
        <v>0</v>
      </c>
      <c r="FB59" s="189">
        <v>0</v>
      </c>
      <c r="FC59" s="189">
        <v>60</v>
      </c>
      <c r="FD59" s="189">
        <v>0</v>
      </c>
      <c r="FE59" s="189">
        <v>0</v>
      </c>
      <c r="FF59" s="189">
        <v>0</v>
      </c>
      <c r="FG59" s="189">
        <v>0</v>
      </c>
      <c r="FH59" s="189">
        <v>0</v>
      </c>
      <c r="FI59" s="189">
        <v>0</v>
      </c>
      <c r="FJ59" s="189">
        <v>0</v>
      </c>
      <c r="FK59" s="189">
        <v>165.1</v>
      </c>
      <c r="FL59" s="189">
        <v>140</v>
      </c>
      <c r="FN59" s="132">
        <v>70</v>
      </c>
    </row>
    <row r="60" spans="1:170" ht="30" customHeight="1">
      <c r="A60" s="88">
        <f>COUNTIF($H$12:H60,H60)</f>
        <v>49</v>
      </c>
      <c r="B60" s="88" t="s">
        <v>457</v>
      </c>
      <c r="C60" s="88" t="s">
        <v>418</v>
      </c>
      <c r="D60" s="88"/>
      <c r="E60" s="88"/>
      <c r="F60" s="301" t="s">
        <v>2823</v>
      </c>
      <c r="G60" s="89" t="s">
        <v>35</v>
      </c>
      <c r="H60" s="88">
        <v>1</v>
      </c>
      <c r="I60" s="88">
        <v>1</v>
      </c>
      <c r="J60" s="88">
        <v>1</v>
      </c>
      <c r="K60" s="90" t="s">
        <v>2831</v>
      </c>
      <c r="L60" s="90" t="s">
        <v>2831</v>
      </c>
      <c r="M60" s="214"/>
      <c r="N60" s="88" t="s">
        <v>1804</v>
      </c>
      <c r="O60" s="216">
        <f t="shared" si="162"/>
        <v>3.66</v>
      </c>
      <c r="P60" s="88" t="str">
        <f t="shared" si="0"/>
        <v>B1_4</v>
      </c>
      <c r="Q60" s="88">
        <f t="shared" si="149"/>
        <v>270</v>
      </c>
      <c r="R60" s="88">
        <f t="shared" si="150"/>
        <v>120</v>
      </c>
      <c r="S60" s="218" t="s">
        <v>2264</v>
      </c>
      <c r="T60" s="88" t="s">
        <v>1753</v>
      </c>
      <c r="U60" s="88">
        <f>IF(RIGHT(T60,1)="K",(VLOOKUP(T60,ma_miengiam!$A$3:$B$80,2,0)*100)/2,VLOOKUP(T60,ma_miengiam!$A$3:$B$80,2,0)*100)</f>
        <v>70</v>
      </c>
      <c r="V60" s="88"/>
      <c r="W60" s="220">
        <f>IF(AND(T60="NTS",V60&gt;0),(Q60-(Q60*V60)/12)*VLOOKUP(T60,ma_miengiam!$A$3:$B$80,2,0)+(Q60-(Q60*(12-V60))/12),IF(AND(RIGHT(T60,1)="K",V60&gt;0),(VLOOKUP(T60,ma_miengiam!$A$3:$B$80,2,0)/2)*(Q60*V60)/12,IF(RIGHT(T60,1)="K",(VLOOKUP(T60,ma_miengiam!$A$3:$B$80,2,0)*Q60)/2,IF(V60&gt;0,VLOOKUP(T60,ma_miengiam!$A$3:$B$80,2,0)*Q60*V60/12,VLOOKUP(T60,ma_miengiam!$A$3:$B$80,2,0)*Q60))))</f>
        <v>189</v>
      </c>
      <c r="X60" s="220">
        <f>IF(T60="NTS",VLOOKUP(T60,ma_miengiam!$A$3:$B$80,2,0)*R60*V60,IF(AND(T60="NTS",V60=0),0,IF(AND(LEFT(T60,1)="K",V60=0),VLOOKUP(T60,ma_miengiam!$A$3:$B$80,2,0)*R60,IF(LEFT(T60,1)="K",(VLOOKUP(T60,ma_miengiam!$A$3:$B$80,2,0)*R60/12)*V60,IF(AND(LEFT(T60,1)="S",V60&gt;0),(R60/12)*V60,IF(AND(LEFT(T60,1)="S",V60=0),R60,IF(T60="DH",VLOOKUP(T60,ma_miengiam!$A$3:$B$80,2,0)*R60,0)))))))</f>
        <v>84</v>
      </c>
      <c r="Y60" s="220">
        <f t="shared" si="131"/>
        <v>81</v>
      </c>
      <c r="Z60" s="220">
        <f t="shared" si="90"/>
        <v>36</v>
      </c>
      <c r="AA60" s="220">
        <f t="shared" ref="AA60:AB62" si="168">Q60</f>
        <v>270</v>
      </c>
      <c r="AB60" s="220">
        <f t="shared" si="168"/>
        <v>120</v>
      </c>
      <c r="AC60" s="220">
        <f t="shared" ref="AC60:AF61" si="169">W60</f>
        <v>189</v>
      </c>
      <c r="AD60" s="220">
        <f t="shared" si="169"/>
        <v>84</v>
      </c>
      <c r="AE60" s="220">
        <f t="shared" si="169"/>
        <v>81</v>
      </c>
      <c r="AF60" s="220">
        <f t="shared" si="169"/>
        <v>36</v>
      </c>
      <c r="AG60" s="220">
        <f t="shared" si="159"/>
        <v>175.07</v>
      </c>
      <c r="AH60" s="220">
        <f t="shared" si="160"/>
        <v>145.9</v>
      </c>
      <c r="AI60" s="220">
        <f t="shared" si="161"/>
        <v>29.17</v>
      </c>
      <c r="AJ60" s="220">
        <f>IF(AG60-Z60&gt;0,0,AG60-Z60)</f>
        <v>0</v>
      </c>
      <c r="AK60" s="216">
        <f t="shared" si="8"/>
        <v>81</v>
      </c>
      <c r="AL60" s="220">
        <f t="shared" si="22"/>
        <v>43.6</v>
      </c>
      <c r="AM60" s="220">
        <f t="shared" si="23"/>
        <v>0</v>
      </c>
      <c r="AN60" s="221">
        <f t="shared" si="24"/>
        <v>43.6</v>
      </c>
      <c r="AO60" s="220">
        <f t="shared" si="25"/>
        <v>0</v>
      </c>
      <c r="AP60" s="220">
        <f t="shared" si="26"/>
        <v>0</v>
      </c>
      <c r="AQ60" s="220">
        <f t="shared" si="27"/>
        <v>60</v>
      </c>
      <c r="AR60" s="220">
        <f t="shared" si="28"/>
        <v>0</v>
      </c>
      <c r="AS60" s="220">
        <f t="shared" si="29"/>
        <v>0</v>
      </c>
      <c r="AT60" s="216">
        <f t="shared" si="30"/>
        <v>103.6</v>
      </c>
      <c r="AU60" s="222">
        <f t="shared" si="31"/>
        <v>-37.4</v>
      </c>
      <c r="AV60" s="220"/>
      <c r="AW60" s="220">
        <f t="shared" si="32"/>
        <v>-37.4</v>
      </c>
      <c r="AX60" s="216">
        <f t="shared" si="9"/>
        <v>-37.4</v>
      </c>
      <c r="AY60" s="220">
        <f t="shared" si="33"/>
        <v>0</v>
      </c>
      <c r="AZ60" s="220">
        <f t="shared" si="34"/>
        <v>0</v>
      </c>
      <c r="BA60" s="220">
        <f t="shared" si="35"/>
        <v>22.599999999999994</v>
      </c>
      <c r="BB60" s="220">
        <f t="shared" si="36"/>
        <v>0</v>
      </c>
      <c r="BC60" s="220">
        <f t="shared" si="37"/>
        <v>0</v>
      </c>
      <c r="BD60" s="216">
        <f t="shared" si="10"/>
        <v>22.599999999999994</v>
      </c>
      <c r="BE60" s="220">
        <f t="shared" si="38"/>
        <v>0</v>
      </c>
      <c r="BF60" s="220">
        <f t="shared" si="39"/>
        <v>0</v>
      </c>
      <c r="BG60" s="220">
        <f t="shared" si="40"/>
        <v>-37.400000000000006</v>
      </c>
      <c r="BH60" s="220">
        <f t="shared" si="41"/>
        <v>0</v>
      </c>
      <c r="BI60" s="220">
        <f t="shared" si="42"/>
        <v>0</v>
      </c>
      <c r="BJ60" s="220" t="s">
        <v>616</v>
      </c>
      <c r="BK60" s="220"/>
      <c r="BL60" s="223">
        <f t="shared" si="11"/>
        <v>0</v>
      </c>
      <c r="BM60" s="220">
        <v>3.66</v>
      </c>
      <c r="BN60" s="220"/>
      <c r="BO60" s="220">
        <f>ROUND(BM60+(BM60*BN60),2)</f>
        <v>3.66</v>
      </c>
      <c r="BP60" s="220">
        <f>IF(AND(BL60&gt;0,BL60&lt;tiet!$D$1),BL60,IF(BL60&lt;=0,0,IF(BL60&gt;tiet!$C$1,tiet!$C$1)))</f>
        <v>0</v>
      </c>
      <c r="BQ60" s="87">
        <f t="shared" ref="BQ60:BQ93" si="170">VLOOKUP(P60,ma_dinhmuc_moi,4,0)</f>
        <v>65000</v>
      </c>
      <c r="BR60" s="224">
        <f t="shared" ref="BR60:BR93" si="171">ROUND(BQ60*BP60,0)</f>
        <v>0</v>
      </c>
      <c r="BS60" s="220">
        <f t="shared" si="12"/>
        <v>0</v>
      </c>
      <c r="BT60" s="224">
        <f>VLOOKUP(N60,ma_dinhmuc!$A$1:$J$31,10,0)</f>
        <v>51000</v>
      </c>
      <c r="BU60" s="224">
        <f>ROUND(IF(BS60&gt;0,VLOOKUP(N60,ma_dinhmuc!$A$1:$J$31,10,0)*BS60,0),0)</f>
        <v>0</v>
      </c>
      <c r="BV60" s="224">
        <f t="shared" ref="BV60:BV93" si="172">ROUND(BU60+BR60,0)</f>
        <v>0</v>
      </c>
      <c r="BW60" s="224"/>
      <c r="BX60" s="224">
        <v>0</v>
      </c>
      <c r="BY60" s="224"/>
      <c r="BZ60" s="224"/>
      <c r="CA60" s="224"/>
      <c r="CB60" s="224"/>
      <c r="CC60" s="225">
        <f t="shared" si="44"/>
        <v>0</v>
      </c>
      <c r="CD60" s="224">
        <f t="shared" si="45"/>
        <v>0</v>
      </c>
      <c r="CE60" s="224"/>
      <c r="CF60" s="226"/>
      <c r="CG60" s="87"/>
      <c r="CH60" s="87">
        <f t="shared" si="166"/>
        <v>49</v>
      </c>
      <c r="CI60" s="227" t="str">
        <f>F60</f>
        <v>Vũ Thị Thuý</v>
      </c>
      <c r="CJ60" s="227" t="str">
        <f>G60</f>
        <v>Hằng</v>
      </c>
      <c r="CK60" s="87">
        <f>H60</f>
        <v>1</v>
      </c>
      <c r="CL60" s="227" t="str">
        <f t="shared" si="153"/>
        <v>Di truyền giống</v>
      </c>
      <c r="CM60" s="87" t="str">
        <f t="shared" si="46"/>
        <v>CS2</v>
      </c>
      <c r="CN60" s="87">
        <f t="shared" si="163"/>
        <v>270</v>
      </c>
      <c r="CO60" s="87">
        <f t="shared" si="164"/>
        <v>120</v>
      </c>
      <c r="CP60" s="229">
        <f t="shared" si="47"/>
        <v>0</v>
      </c>
      <c r="CQ60" s="229">
        <f t="shared" si="48"/>
        <v>4</v>
      </c>
      <c r="CR60" s="229">
        <f t="shared" si="49"/>
        <v>1.6</v>
      </c>
      <c r="CS60" s="229">
        <f t="shared" si="50"/>
        <v>0</v>
      </c>
      <c r="CT60" s="229">
        <f t="shared" si="51"/>
        <v>0</v>
      </c>
      <c r="CU60" s="229">
        <f t="shared" si="52"/>
        <v>22</v>
      </c>
      <c r="CV60" s="229">
        <f t="shared" si="53"/>
        <v>0</v>
      </c>
      <c r="CW60" s="229">
        <f t="shared" si="54"/>
        <v>16</v>
      </c>
      <c r="CX60" s="229">
        <f t="shared" si="55"/>
        <v>0</v>
      </c>
      <c r="CY60" s="229">
        <f t="shared" si="56"/>
        <v>0</v>
      </c>
      <c r="CZ60" s="229">
        <f t="shared" si="57"/>
        <v>0</v>
      </c>
      <c r="DA60" s="229">
        <f t="shared" si="58"/>
        <v>60</v>
      </c>
      <c r="DB60" s="228">
        <f t="shared" si="59"/>
        <v>103.6</v>
      </c>
      <c r="DC60" s="229"/>
      <c r="DD60" s="229"/>
      <c r="DE60" s="229"/>
      <c r="DF60" s="229"/>
      <c r="DG60" s="229"/>
      <c r="DH60" s="229"/>
      <c r="DI60" s="229"/>
      <c r="DJ60" s="229"/>
      <c r="DK60" s="229"/>
      <c r="DL60" s="229"/>
      <c r="DM60" s="229"/>
      <c r="DN60" s="229"/>
      <c r="DO60" s="228">
        <f t="shared" si="60"/>
        <v>0</v>
      </c>
      <c r="DP60" s="228">
        <f t="shared" si="61"/>
        <v>103.6</v>
      </c>
      <c r="DQ60" s="229">
        <f t="shared" si="62"/>
        <v>0</v>
      </c>
      <c r="DR60" s="229">
        <f t="shared" si="63"/>
        <v>0</v>
      </c>
      <c r="DS60" s="229">
        <f t="shared" si="64"/>
        <v>0</v>
      </c>
      <c r="DT60" s="229">
        <f t="shared" si="65"/>
        <v>0</v>
      </c>
      <c r="DU60" s="229">
        <f t="shared" si="66"/>
        <v>0</v>
      </c>
      <c r="DV60" s="229">
        <f t="shared" si="67"/>
        <v>0</v>
      </c>
      <c r="DW60" s="229">
        <f t="shared" si="68"/>
        <v>0</v>
      </c>
      <c r="DX60" s="228">
        <f t="shared" si="69"/>
        <v>0</v>
      </c>
      <c r="DY60" s="229"/>
      <c r="DZ60" s="229"/>
      <c r="EA60" s="229"/>
      <c r="EB60" s="229"/>
      <c r="EC60" s="229"/>
      <c r="ED60" s="229"/>
      <c r="EE60" s="229"/>
      <c r="EF60" s="228">
        <f t="shared" si="17"/>
        <v>0</v>
      </c>
      <c r="EG60" s="228">
        <f t="shared" si="70"/>
        <v>0</v>
      </c>
      <c r="EH60" s="229">
        <f t="shared" si="18"/>
        <v>29.17</v>
      </c>
      <c r="EI60" s="229">
        <v>145.9</v>
      </c>
      <c r="EJ60" s="228">
        <f>SUM(EH60:EI60)</f>
        <v>175.07</v>
      </c>
      <c r="EK60" s="229"/>
      <c r="EL60" s="229"/>
      <c r="EM60" s="228">
        <f>SUM(EK60:EL60)</f>
        <v>0</v>
      </c>
      <c r="EN60" s="229">
        <f t="shared" si="71"/>
        <v>29.17</v>
      </c>
      <c r="EO60" s="229">
        <f t="shared" si="72"/>
        <v>145.9</v>
      </c>
      <c r="EP60" s="228">
        <f>EM60+EJ60</f>
        <v>175.07</v>
      </c>
      <c r="EQ60" s="173">
        <f t="shared" si="19"/>
        <v>0</v>
      </c>
      <c r="ER60" s="189">
        <v>0</v>
      </c>
      <c r="ES60" s="189">
        <v>4</v>
      </c>
      <c r="ET60" s="189">
        <v>1.6</v>
      </c>
      <c r="EU60" s="189">
        <v>0</v>
      </c>
      <c r="EV60" s="189">
        <v>0</v>
      </c>
      <c r="EW60" s="189">
        <v>22</v>
      </c>
      <c r="EX60" s="189">
        <v>0</v>
      </c>
      <c r="EY60" s="189">
        <v>16</v>
      </c>
      <c r="EZ60" s="189">
        <v>0</v>
      </c>
      <c r="FA60" s="189">
        <v>0</v>
      </c>
      <c r="FB60" s="189">
        <v>0</v>
      </c>
      <c r="FC60" s="189">
        <v>60</v>
      </c>
      <c r="FD60" s="189">
        <v>0</v>
      </c>
      <c r="FE60" s="189">
        <v>0</v>
      </c>
      <c r="FF60" s="189">
        <v>0</v>
      </c>
      <c r="FG60" s="189">
        <v>0</v>
      </c>
      <c r="FH60" s="189">
        <v>0</v>
      </c>
      <c r="FI60" s="189">
        <v>0</v>
      </c>
      <c r="FJ60" s="189">
        <v>0</v>
      </c>
      <c r="FK60" s="189">
        <v>103.6</v>
      </c>
      <c r="FL60" s="189">
        <v>100</v>
      </c>
      <c r="FN60" s="132">
        <v>29.17</v>
      </c>
    </row>
    <row r="61" spans="1:170" ht="37.5" customHeight="1">
      <c r="A61" s="88">
        <f>COUNTIF($H$12:H61,H61)</f>
        <v>50</v>
      </c>
      <c r="B61" s="88" t="s">
        <v>2095</v>
      </c>
      <c r="C61" s="88" t="s">
        <v>419</v>
      </c>
      <c r="D61" s="88"/>
      <c r="E61" s="88"/>
      <c r="F61" s="301" t="s">
        <v>2824</v>
      </c>
      <c r="G61" s="89" t="s">
        <v>646</v>
      </c>
      <c r="H61" s="88">
        <v>1</v>
      </c>
      <c r="I61" s="88">
        <v>1</v>
      </c>
      <c r="J61" s="88">
        <v>1</v>
      </c>
      <c r="K61" s="90" t="s">
        <v>2831</v>
      </c>
      <c r="L61" s="90" t="s">
        <v>2831</v>
      </c>
      <c r="M61" s="214"/>
      <c r="N61" s="88" t="s">
        <v>605</v>
      </c>
      <c r="O61" s="216">
        <f t="shared" si="162"/>
        <v>6.2</v>
      </c>
      <c r="P61" s="88" t="str">
        <f t="shared" si="0"/>
        <v>B1_6</v>
      </c>
      <c r="Q61" s="88">
        <f t="shared" si="149"/>
        <v>270</v>
      </c>
      <c r="R61" s="88">
        <f t="shared" si="150"/>
        <v>170</v>
      </c>
      <c r="S61" s="230" t="s">
        <v>2031</v>
      </c>
      <c r="T61" s="88" t="s">
        <v>3091</v>
      </c>
      <c r="U61" s="88">
        <f>IF(RIGHT(T61,1)="K",(VLOOKUP(T61,ma_miengiam!$A$3:$B$80,2,0)*100)/2,VLOOKUP(T61,ma_miengiam!$A$3:$B$80,2,0)*100)</f>
        <v>20</v>
      </c>
      <c r="V61" s="88"/>
      <c r="W61" s="220">
        <f>IF(AND(T61="NTS",V61&gt;0),(Q61-(Q61*V61)/12)*VLOOKUP(T61,ma_miengiam!$A$3:$B$80,2,0)+(Q61-(Q61*(12-V61))/12),IF(AND(RIGHT(T61,1)="K",V61&gt;0),(VLOOKUP(T61,ma_miengiam!$A$3:$B$80,2,0)/2)*(Q61*V61)/12,IF(RIGHT(T61,1)="K",(VLOOKUP(T61,ma_miengiam!$A$3:$B$80,2,0)*Q61)/2,IF(V61&gt;0,VLOOKUP(T61,ma_miengiam!$A$3:$B$80,2,0)*Q61*V61/12,VLOOKUP(T61,ma_miengiam!$A$3:$B$80,2,0)*Q61))))</f>
        <v>54</v>
      </c>
      <c r="X61" s="220">
        <f>IF(T61="NTS",VLOOKUP(T61,ma_miengiam!$A$3:$B$80,2,0)*R61*V61,IF(AND(T61="NTS",V61=0),0,IF(AND(LEFT(T61,1)="K",V61=0),VLOOKUP(T61,ma_miengiam!$A$3:$B$80,2,0)*R61,IF(LEFT(T61,1)="K",(VLOOKUP(T61,ma_miengiam!$A$3:$B$80,2,0)*R61/12)*V61,IF(AND(LEFT(T61,1)="S",V61&gt;0),(R61/12)*V61,IF(AND(LEFT(T61,1)="S",V61=0),R61,IF(T61="DH",VLOOKUP(T61,ma_miengiam!$A$3:$B$80,2,0)*R61,0)))))))</f>
        <v>0</v>
      </c>
      <c r="Y61" s="220">
        <f t="shared" si="131"/>
        <v>216</v>
      </c>
      <c r="Z61" s="220">
        <f t="shared" si="90"/>
        <v>170</v>
      </c>
      <c r="AA61" s="220">
        <f t="shared" si="168"/>
        <v>270</v>
      </c>
      <c r="AB61" s="220">
        <f t="shared" si="168"/>
        <v>170</v>
      </c>
      <c r="AC61" s="220">
        <f t="shared" si="169"/>
        <v>54</v>
      </c>
      <c r="AD61" s="220">
        <f t="shared" si="169"/>
        <v>0</v>
      </c>
      <c r="AE61" s="220">
        <f t="shared" si="169"/>
        <v>216</v>
      </c>
      <c r="AF61" s="220">
        <f t="shared" si="169"/>
        <v>170</v>
      </c>
      <c r="AG61" s="220">
        <f t="shared" si="159"/>
        <v>73.11</v>
      </c>
      <c r="AH61" s="220">
        <f t="shared" si="160"/>
        <v>2.1500000000000057</v>
      </c>
      <c r="AI61" s="220">
        <f t="shared" si="161"/>
        <v>70.959999999999994</v>
      </c>
      <c r="AJ61" s="220">
        <f>IF(AG61-Z61&gt;0,0,AG61-Z61)</f>
        <v>-96.89</v>
      </c>
      <c r="AK61" s="216">
        <f t="shared" si="8"/>
        <v>312.89</v>
      </c>
      <c r="AL61" s="220">
        <f t="shared" si="22"/>
        <v>186</v>
      </c>
      <c r="AM61" s="220">
        <f t="shared" si="23"/>
        <v>29.8</v>
      </c>
      <c r="AN61" s="221">
        <f t="shared" si="24"/>
        <v>215.8</v>
      </c>
      <c r="AO61" s="220">
        <f t="shared" si="25"/>
        <v>20</v>
      </c>
      <c r="AP61" s="220">
        <f t="shared" si="26"/>
        <v>0</v>
      </c>
      <c r="AQ61" s="220">
        <f t="shared" si="27"/>
        <v>60</v>
      </c>
      <c r="AR61" s="220">
        <f t="shared" si="28"/>
        <v>80</v>
      </c>
      <c r="AS61" s="220">
        <f t="shared" si="29"/>
        <v>0</v>
      </c>
      <c r="AT61" s="216">
        <f t="shared" si="30"/>
        <v>375.8</v>
      </c>
      <c r="AU61" s="222">
        <f t="shared" si="31"/>
        <v>-97.089999999999975</v>
      </c>
      <c r="AV61" s="220"/>
      <c r="AW61" s="220">
        <f t="shared" si="32"/>
        <v>-97.089999999999975</v>
      </c>
      <c r="AX61" s="216">
        <f t="shared" si="9"/>
        <v>-97.089999999999975</v>
      </c>
      <c r="AY61" s="220">
        <f t="shared" si="33"/>
        <v>0</v>
      </c>
      <c r="AZ61" s="220">
        <f t="shared" si="34"/>
        <v>0</v>
      </c>
      <c r="BA61" s="220">
        <f t="shared" si="35"/>
        <v>0</v>
      </c>
      <c r="BB61" s="220">
        <f t="shared" si="36"/>
        <v>62.910000000000025</v>
      </c>
      <c r="BC61" s="220">
        <f t="shared" si="37"/>
        <v>0</v>
      </c>
      <c r="BD61" s="216">
        <f t="shared" si="10"/>
        <v>62.910000000000025</v>
      </c>
      <c r="BE61" s="220">
        <f t="shared" si="38"/>
        <v>-20</v>
      </c>
      <c r="BF61" s="220">
        <f t="shared" si="39"/>
        <v>0</v>
      </c>
      <c r="BG61" s="220">
        <f t="shared" si="40"/>
        <v>-60</v>
      </c>
      <c r="BH61" s="220">
        <f t="shared" si="41"/>
        <v>-17.089999999999975</v>
      </c>
      <c r="BI61" s="220">
        <f t="shared" si="42"/>
        <v>0</v>
      </c>
      <c r="BJ61" s="220" t="s">
        <v>616</v>
      </c>
      <c r="BK61" s="220"/>
      <c r="BL61" s="223">
        <f t="shared" si="11"/>
        <v>0</v>
      </c>
      <c r="BM61" s="220">
        <v>6.2</v>
      </c>
      <c r="BN61" s="220"/>
      <c r="BO61" s="220">
        <f t="shared" si="167"/>
        <v>6.2</v>
      </c>
      <c r="BP61" s="220">
        <f>IF(AND(BL61&gt;0,BL61&lt;tiet!$D$1),BL61,IF(BL61&lt;=0,0,IF(BL61&gt;tiet!$C$1,tiet!$C$1)))</f>
        <v>0</v>
      </c>
      <c r="BQ61" s="87">
        <f t="shared" si="170"/>
        <v>75000</v>
      </c>
      <c r="BR61" s="224">
        <f t="shared" si="171"/>
        <v>0</v>
      </c>
      <c r="BS61" s="220">
        <f t="shared" si="12"/>
        <v>0</v>
      </c>
      <c r="BT61" s="224">
        <f>VLOOKUP(N61,ma_dinhmuc!$A$1:$J$31,10,0)</f>
        <v>65000</v>
      </c>
      <c r="BU61" s="224">
        <f>ROUND(IF(BS61&gt;0,VLOOKUP(N61,ma_dinhmuc!$A$1:$J$31,10,0)*BS61,0),0)</f>
        <v>0</v>
      </c>
      <c r="BV61" s="224">
        <f t="shared" si="172"/>
        <v>0</v>
      </c>
      <c r="BW61" s="224"/>
      <c r="BX61" s="224">
        <v>0</v>
      </c>
      <c r="BY61" s="224"/>
      <c r="BZ61" s="224"/>
      <c r="CA61" s="224"/>
      <c r="CB61" s="224"/>
      <c r="CC61" s="225">
        <f t="shared" si="44"/>
        <v>0</v>
      </c>
      <c r="CD61" s="224">
        <f t="shared" si="45"/>
        <v>0</v>
      </c>
      <c r="CE61" s="224"/>
      <c r="CF61" s="226"/>
      <c r="CG61" s="87"/>
      <c r="CH61" s="87">
        <f t="shared" si="166"/>
        <v>50</v>
      </c>
      <c r="CI61" s="227" t="str">
        <f t="shared" si="144"/>
        <v>Vũ Thị Thu</v>
      </c>
      <c r="CJ61" s="227" t="str">
        <f t="shared" si="145"/>
        <v>Hiền</v>
      </c>
      <c r="CK61" s="87">
        <f t="shared" si="146"/>
        <v>1</v>
      </c>
      <c r="CL61" s="227" t="str">
        <f t="shared" si="153"/>
        <v>Di truyền giống</v>
      </c>
      <c r="CM61" s="87" t="str">
        <f t="shared" si="46"/>
        <v>CS4</v>
      </c>
      <c r="CN61" s="87">
        <f t="shared" si="163"/>
        <v>270</v>
      </c>
      <c r="CO61" s="87">
        <f t="shared" si="164"/>
        <v>170</v>
      </c>
      <c r="CP61" s="229">
        <f t="shared" si="47"/>
        <v>0</v>
      </c>
      <c r="CQ61" s="229">
        <f t="shared" si="48"/>
        <v>14.3</v>
      </c>
      <c r="CR61" s="229">
        <f t="shared" si="49"/>
        <v>5.7</v>
      </c>
      <c r="CS61" s="229">
        <f t="shared" si="50"/>
        <v>0</v>
      </c>
      <c r="CT61" s="229">
        <f t="shared" si="51"/>
        <v>0</v>
      </c>
      <c r="CU61" s="229">
        <f t="shared" si="52"/>
        <v>120</v>
      </c>
      <c r="CV61" s="229">
        <f t="shared" si="53"/>
        <v>0</v>
      </c>
      <c r="CW61" s="229">
        <f t="shared" si="54"/>
        <v>46</v>
      </c>
      <c r="CX61" s="229">
        <f t="shared" si="55"/>
        <v>0</v>
      </c>
      <c r="CY61" s="229">
        <f t="shared" si="56"/>
        <v>20</v>
      </c>
      <c r="CZ61" s="229">
        <f t="shared" si="57"/>
        <v>0</v>
      </c>
      <c r="DA61" s="229">
        <f t="shared" si="58"/>
        <v>60</v>
      </c>
      <c r="DB61" s="228">
        <f t="shared" si="59"/>
        <v>266</v>
      </c>
      <c r="DC61" s="229"/>
      <c r="DD61" s="229"/>
      <c r="DE61" s="229"/>
      <c r="DF61" s="229"/>
      <c r="DG61" s="229"/>
      <c r="DH61" s="229"/>
      <c r="DI61" s="229"/>
      <c r="DJ61" s="229"/>
      <c r="DK61" s="229"/>
      <c r="DL61" s="229"/>
      <c r="DM61" s="229"/>
      <c r="DN61" s="229"/>
      <c r="DO61" s="228">
        <f t="shared" si="60"/>
        <v>0</v>
      </c>
      <c r="DP61" s="228">
        <f t="shared" si="61"/>
        <v>266</v>
      </c>
      <c r="DQ61" s="229">
        <f t="shared" si="62"/>
        <v>27</v>
      </c>
      <c r="DR61" s="229">
        <f t="shared" si="63"/>
        <v>2</v>
      </c>
      <c r="DS61" s="229">
        <f t="shared" si="64"/>
        <v>0</v>
      </c>
      <c r="DT61" s="229">
        <f t="shared" si="65"/>
        <v>0.8</v>
      </c>
      <c r="DU61" s="229">
        <f t="shared" si="66"/>
        <v>0</v>
      </c>
      <c r="DV61" s="229">
        <f t="shared" si="67"/>
        <v>80</v>
      </c>
      <c r="DW61" s="229">
        <f t="shared" si="68"/>
        <v>0</v>
      </c>
      <c r="DX61" s="228">
        <f t="shared" si="69"/>
        <v>109.8</v>
      </c>
      <c r="DY61" s="229"/>
      <c r="DZ61" s="229"/>
      <c r="EA61" s="229"/>
      <c r="EB61" s="229"/>
      <c r="EC61" s="229"/>
      <c r="ED61" s="229"/>
      <c r="EE61" s="229"/>
      <c r="EF61" s="228">
        <f t="shared" si="17"/>
        <v>0</v>
      </c>
      <c r="EG61" s="228">
        <f t="shared" si="70"/>
        <v>109.8</v>
      </c>
      <c r="EH61" s="229">
        <f t="shared" si="18"/>
        <v>70.959999999999994</v>
      </c>
      <c r="EI61" s="229">
        <v>2.1500000000000057</v>
      </c>
      <c r="EJ61" s="228">
        <f t="shared" si="84"/>
        <v>73.11</v>
      </c>
      <c r="EK61" s="229"/>
      <c r="EL61" s="229"/>
      <c r="EM61" s="228">
        <f t="shared" si="155"/>
        <v>0</v>
      </c>
      <c r="EN61" s="229">
        <f t="shared" si="71"/>
        <v>70.959999999999994</v>
      </c>
      <c r="EO61" s="229">
        <f t="shared" si="72"/>
        <v>2.1500000000000057</v>
      </c>
      <c r="EP61" s="228">
        <f t="shared" si="156"/>
        <v>73.11</v>
      </c>
      <c r="EQ61" s="173">
        <f t="shared" si="19"/>
        <v>0</v>
      </c>
      <c r="ER61" s="189">
        <v>0</v>
      </c>
      <c r="ES61" s="189">
        <v>14.3</v>
      </c>
      <c r="ET61" s="189">
        <v>5.7</v>
      </c>
      <c r="EU61" s="189">
        <v>0</v>
      </c>
      <c r="EV61" s="189">
        <v>0</v>
      </c>
      <c r="EW61" s="189">
        <v>120</v>
      </c>
      <c r="EX61" s="189">
        <v>0</v>
      </c>
      <c r="EY61" s="189">
        <v>46</v>
      </c>
      <c r="EZ61" s="189">
        <v>0</v>
      </c>
      <c r="FA61" s="189">
        <v>20</v>
      </c>
      <c r="FB61" s="189">
        <v>0</v>
      </c>
      <c r="FC61" s="189">
        <v>60</v>
      </c>
      <c r="FD61" s="189">
        <v>27</v>
      </c>
      <c r="FE61" s="189">
        <v>2</v>
      </c>
      <c r="FF61" s="189">
        <v>0</v>
      </c>
      <c r="FG61" s="189">
        <v>0.8</v>
      </c>
      <c r="FH61" s="189">
        <v>80</v>
      </c>
      <c r="FI61" s="189">
        <v>0</v>
      </c>
      <c r="FJ61" s="189">
        <v>0</v>
      </c>
      <c r="FK61" s="189">
        <v>375.8</v>
      </c>
      <c r="FL61" s="189">
        <v>272</v>
      </c>
      <c r="FN61" s="132">
        <v>70.959999999999994</v>
      </c>
    </row>
    <row r="62" spans="1:170" ht="45">
      <c r="A62" s="88">
        <f>COUNTIF($H$12:H62,H62)</f>
        <v>51</v>
      </c>
      <c r="B62" s="88" t="s">
        <v>2096</v>
      </c>
      <c r="C62" s="88" t="s">
        <v>420</v>
      </c>
      <c r="D62" s="88"/>
      <c r="E62" s="88"/>
      <c r="F62" s="301" t="s">
        <v>647</v>
      </c>
      <c r="G62" s="303" t="s">
        <v>955</v>
      </c>
      <c r="H62" s="88">
        <v>1</v>
      </c>
      <c r="I62" s="88">
        <v>1</v>
      </c>
      <c r="J62" s="88">
        <v>1</v>
      </c>
      <c r="K62" s="90" t="s">
        <v>2831</v>
      </c>
      <c r="L62" s="90" t="s">
        <v>2831</v>
      </c>
      <c r="M62" s="214"/>
      <c r="N62" s="88" t="s">
        <v>605</v>
      </c>
      <c r="O62" s="216">
        <f>BO62</f>
        <v>6.56</v>
      </c>
      <c r="P62" s="88" t="str">
        <f t="shared" si="0"/>
        <v>B1_7</v>
      </c>
      <c r="Q62" s="88">
        <f t="shared" si="149"/>
        <v>270</v>
      </c>
      <c r="R62" s="88">
        <f t="shared" si="150"/>
        <v>200</v>
      </c>
      <c r="S62" s="218" t="s">
        <v>2526</v>
      </c>
      <c r="T62" s="88" t="s">
        <v>3093</v>
      </c>
      <c r="U62" s="88">
        <f>IF(RIGHT(T62,1)="K",(VLOOKUP(T62,ma_miengiam!$A$3:$B$80,2,0)*100)/2,VLOOKUP(T62,ma_miengiam!$A$3:$B$80,2,0)*100)</f>
        <v>30</v>
      </c>
      <c r="V62" s="88"/>
      <c r="W62" s="220">
        <f>IF(AND(T62="NTS",V62&gt;0),(Q62-(Q62*V62)/12)*VLOOKUP(T62,ma_miengiam!$A$3:$B$80,2,0)+(Q62-(Q62*(12-V62))/12),IF(AND(RIGHT(T62,1)="K",V62&gt;0),(VLOOKUP(T62,ma_miengiam!$A$3:$B$80,2,0)/2)*(Q62*V62)/12,IF(RIGHT(T62,1)="K",(VLOOKUP(T62,ma_miengiam!$A$3:$B$80,2,0)*Q62)/2,IF(V62&gt;0,VLOOKUP(T62,ma_miengiam!$A$3:$B$80,2,0)*Q62*V62/12,VLOOKUP(T62,ma_miengiam!$A$3:$B$80,2,0)*Q62))))</f>
        <v>81</v>
      </c>
      <c r="X62" s="220">
        <f>IF(T62="NTS",VLOOKUP(T62,ma_miengiam!$A$3:$B$80,2,0)*R62*V62,IF(AND(T62="NTS",V62=0),0,IF(AND(LEFT(T62,1)="K",V62=0),VLOOKUP(T62,ma_miengiam!$A$3:$B$80,2,0)*R62,IF(LEFT(T62,1)="K",(VLOOKUP(T62,ma_miengiam!$A$3:$B$80,2,0)*R62/12)*V62,IF(AND(LEFT(T62,1)="S",V62&gt;0),(R62/12)*V62,IF(AND(LEFT(T62,1)="S",V62=0),R62,IF(T62="DH",VLOOKUP(T62,ma_miengiam!$A$3:$B$80,2,0)*R62,0)))))))</f>
        <v>0</v>
      </c>
      <c r="Y62" s="220">
        <f t="shared" si="131"/>
        <v>189</v>
      </c>
      <c r="Z62" s="220">
        <f>IF(AND(T62="SĐH",V62&gt;0),(R62/12)*V62-X62,IF(AND(T62="DH",V62&gt;0),(R62*V62/12),IF(AND(T62&lt;&gt;"NTS",V62&gt;0),(R62*V62/12)-X62,IF(AND(T62="NTS",V62&gt;0),R62-X62,R62-X62))))</f>
        <v>200</v>
      </c>
      <c r="AA62" s="220">
        <f t="shared" si="168"/>
        <v>270</v>
      </c>
      <c r="AB62" s="220">
        <f t="shared" si="168"/>
        <v>200</v>
      </c>
      <c r="AC62" s="220">
        <f>W62</f>
        <v>81</v>
      </c>
      <c r="AD62" s="220">
        <f>X62</f>
        <v>0</v>
      </c>
      <c r="AE62" s="220">
        <f>Y62</f>
        <v>189</v>
      </c>
      <c r="AF62" s="220">
        <f>Z62</f>
        <v>200</v>
      </c>
      <c r="AG62" s="220">
        <f t="shared" si="159"/>
        <v>364.22</v>
      </c>
      <c r="AH62" s="220">
        <f t="shared" si="160"/>
        <v>2.1500000000000057</v>
      </c>
      <c r="AI62" s="220">
        <f t="shared" si="161"/>
        <v>362.07</v>
      </c>
      <c r="AJ62" s="220">
        <f>IF(AG62-Z62&gt;0,0,AG62-Z62)</f>
        <v>0</v>
      </c>
      <c r="AK62" s="216">
        <f t="shared" si="8"/>
        <v>189</v>
      </c>
      <c r="AL62" s="220">
        <f t="shared" si="22"/>
        <v>29.2</v>
      </c>
      <c r="AM62" s="220">
        <f t="shared" si="23"/>
        <v>0</v>
      </c>
      <c r="AN62" s="221">
        <f t="shared" si="24"/>
        <v>29.2</v>
      </c>
      <c r="AO62" s="220">
        <f t="shared" si="25"/>
        <v>0</v>
      </c>
      <c r="AP62" s="220">
        <f t="shared" si="26"/>
        <v>0</v>
      </c>
      <c r="AQ62" s="220">
        <f t="shared" si="27"/>
        <v>60</v>
      </c>
      <c r="AR62" s="220">
        <f t="shared" si="28"/>
        <v>52</v>
      </c>
      <c r="AS62" s="220">
        <f t="shared" si="29"/>
        <v>50</v>
      </c>
      <c r="AT62" s="216">
        <f t="shared" si="30"/>
        <v>191.2</v>
      </c>
      <c r="AU62" s="222">
        <f t="shared" si="31"/>
        <v>-159.80000000000001</v>
      </c>
      <c r="AV62" s="220"/>
      <c r="AW62" s="220">
        <f t="shared" si="32"/>
        <v>-159.80000000000001</v>
      </c>
      <c r="AX62" s="216">
        <f t="shared" si="9"/>
        <v>-159.80000000000001</v>
      </c>
      <c r="AY62" s="220">
        <f t="shared" si="33"/>
        <v>0</v>
      </c>
      <c r="AZ62" s="220">
        <f t="shared" si="34"/>
        <v>0</v>
      </c>
      <c r="BA62" s="220">
        <f t="shared" si="35"/>
        <v>0</v>
      </c>
      <c r="BB62" s="220">
        <f t="shared" si="36"/>
        <v>0</v>
      </c>
      <c r="BC62" s="220">
        <f t="shared" si="37"/>
        <v>2.1999999999999886</v>
      </c>
      <c r="BD62" s="216">
        <f>SUM(AY62:BC62)</f>
        <v>2.1999999999999886</v>
      </c>
      <c r="BE62" s="220">
        <f t="shared" si="38"/>
        <v>0</v>
      </c>
      <c r="BF62" s="220">
        <f t="shared" si="39"/>
        <v>0</v>
      </c>
      <c r="BG62" s="220">
        <f t="shared" si="40"/>
        <v>-60</v>
      </c>
      <c r="BH62" s="220">
        <f t="shared" si="41"/>
        <v>-52</v>
      </c>
      <c r="BI62" s="220">
        <f t="shared" si="42"/>
        <v>-47.800000000000011</v>
      </c>
      <c r="BJ62" s="220" t="s">
        <v>616</v>
      </c>
      <c r="BK62" s="220"/>
      <c r="BL62" s="223">
        <f t="shared" si="11"/>
        <v>0</v>
      </c>
      <c r="BM62" s="220">
        <v>6.56</v>
      </c>
      <c r="BN62" s="220"/>
      <c r="BO62" s="220">
        <f>ROUND(BM62+(BM62*BN62),2)</f>
        <v>6.56</v>
      </c>
      <c r="BP62" s="220">
        <f>IF(AND(BL62&gt;0,BL62&lt;tiet!$D$1),BL62,IF(BL62&lt;=0,0,IF(BL62&gt;tiet!$C$1,tiet!$C$1)))</f>
        <v>0</v>
      </c>
      <c r="BQ62" s="87">
        <f t="shared" si="170"/>
        <v>80000</v>
      </c>
      <c r="BR62" s="224">
        <f t="shared" si="171"/>
        <v>0</v>
      </c>
      <c r="BS62" s="220">
        <f t="shared" si="12"/>
        <v>0</v>
      </c>
      <c r="BT62" s="224">
        <f>VLOOKUP(N62,ma_dinhmuc!$A$1:$J$31,10,0)</f>
        <v>65000</v>
      </c>
      <c r="BU62" s="224">
        <f>ROUND(IF(BS62&gt;0,VLOOKUP(N62,ma_dinhmuc!$A$1:$J$31,10,0)*BS62,0),0)</f>
        <v>0</v>
      </c>
      <c r="BV62" s="224">
        <f t="shared" si="172"/>
        <v>0</v>
      </c>
      <c r="BW62" s="224"/>
      <c r="BX62" s="224">
        <v>0</v>
      </c>
      <c r="BY62" s="224"/>
      <c r="BZ62" s="224"/>
      <c r="CA62" s="224"/>
      <c r="CB62" s="224"/>
      <c r="CC62" s="225">
        <f t="shared" si="44"/>
        <v>0</v>
      </c>
      <c r="CD62" s="224">
        <f t="shared" si="45"/>
        <v>0</v>
      </c>
      <c r="CE62" s="224"/>
      <c r="CF62" s="226"/>
      <c r="CG62" s="87"/>
      <c r="CH62" s="87">
        <f t="shared" si="166"/>
        <v>51</v>
      </c>
      <c r="CI62" s="227" t="str">
        <f t="shared" ref="CI62:CJ65" si="173">F62</f>
        <v>Trần Văn</v>
      </c>
      <c r="CJ62" s="227" t="str">
        <f t="shared" si="173"/>
        <v>Quang</v>
      </c>
      <c r="CK62" s="87">
        <f>H62</f>
        <v>1</v>
      </c>
      <c r="CL62" s="227" t="str">
        <f t="shared" ref="CL62:CL72" si="174">L62</f>
        <v>Di truyền giống</v>
      </c>
      <c r="CM62" s="87" t="str">
        <f t="shared" si="46"/>
        <v>CS4</v>
      </c>
      <c r="CN62" s="87">
        <f t="shared" ref="CN62:CO65" si="175">Q62</f>
        <v>270</v>
      </c>
      <c r="CO62" s="87">
        <f t="shared" si="175"/>
        <v>200</v>
      </c>
      <c r="CP62" s="229">
        <f t="shared" si="47"/>
        <v>0</v>
      </c>
      <c r="CQ62" s="229">
        <f t="shared" si="48"/>
        <v>5.0999999999999996</v>
      </c>
      <c r="CR62" s="229">
        <f t="shared" si="49"/>
        <v>2.1</v>
      </c>
      <c r="CS62" s="229">
        <f t="shared" si="50"/>
        <v>0</v>
      </c>
      <c r="CT62" s="229">
        <f t="shared" si="51"/>
        <v>0</v>
      </c>
      <c r="CU62" s="229">
        <f t="shared" si="52"/>
        <v>22</v>
      </c>
      <c r="CV62" s="229">
        <f t="shared" si="53"/>
        <v>0</v>
      </c>
      <c r="CW62" s="229">
        <f t="shared" si="54"/>
        <v>0</v>
      </c>
      <c r="CX62" s="229">
        <f t="shared" si="55"/>
        <v>0</v>
      </c>
      <c r="CY62" s="229">
        <f t="shared" si="56"/>
        <v>0</v>
      </c>
      <c r="CZ62" s="229">
        <f t="shared" si="57"/>
        <v>0</v>
      </c>
      <c r="DA62" s="229">
        <f t="shared" si="58"/>
        <v>60</v>
      </c>
      <c r="DB62" s="228">
        <f t="shared" si="59"/>
        <v>89.2</v>
      </c>
      <c r="DC62" s="229"/>
      <c r="DD62" s="229"/>
      <c r="DE62" s="229"/>
      <c r="DF62" s="229"/>
      <c r="DG62" s="229"/>
      <c r="DH62" s="229"/>
      <c r="DI62" s="229"/>
      <c r="DJ62" s="229"/>
      <c r="DK62" s="229"/>
      <c r="DL62" s="229"/>
      <c r="DM62" s="229"/>
      <c r="DN62" s="229"/>
      <c r="DO62" s="228">
        <f t="shared" si="60"/>
        <v>0</v>
      </c>
      <c r="DP62" s="228">
        <f t="shared" si="61"/>
        <v>89.2</v>
      </c>
      <c r="DQ62" s="229">
        <f t="shared" si="62"/>
        <v>0</v>
      </c>
      <c r="DR62" s="229">
        <f t="shared" si="63"/>
        <v>0</v>
      </c>
      <c r="DS62" s="229">
        <f t="shared" si="64"/>
        <v>0</v>
      </c>
      <c r="DT62" s="229">
        <f t="shared" si="65"/>
        <v>0</v>
      </c>
      <c r="DU62" s="229">
        <f t="shared" si="66"/>
        <v>0</v>
      </c>
      <c r="DV62" s="229">
        <f t="shared" si="67"/>
        <v>52</v>
      </c>
      <c r="DW62" s="229">
        <f t="shared" si="68"/>
        <v>50</v>
      </c>
      <c r="DX62" s="228">
        <f t="shared" si="69"/>
        <v>102</v>
      </c>
      <c r="DY62" s="229"/>
      <c r="DZ62" s="229"/>
      <c r="EA62" s="229"/>
      <c r="EB62" s="229"/>
      <c r="EC62" s="229"/>
      <c r="ED62" s="229"/>
      <c r="EE62" s="229"/>
      <c r="EF62" s="228">
        <f t="shared" si="17"/>
        <v>0</v>
      </c>
      <c r="EG62" s="228">
        <f t="shared" si="70"/>
        <v>102</v>
      </c>
      <c r="EH62" s="229">
        <f t="shared" si="18"/>
        <v>362.07</v>
      </c>
      <c r="EI62" s="229">
        <v>2.1500000000000057</v>
      </c>
      <c r="EJ62" s="228">
        <f>SUM(EH62:EI62)</f>
        <v>364.22</v>
      </c>
      <c r="EK62" s="229"/>
      <c r="EL62" s="229"/>
      <c r="EM62" s="228">
        <f t="shared" ref="EM62:EM88" si="176">SUM(EK62:EL62)</f>
        <v>0</v>
      </c>
      <c r="EN62" s="229">
        <f t="shared" si="71"/>
        <v>362.07</v>
      </c>
      <c r="EO62" s="229">
        <f t="shared" si="72"/>
        <v>2.1500000000000057</v>
      </c>
      <c r="EP62" s="228">
        <f t="shared" ref="EP62:EP88" si="177">EM62+EJ62</f>
        <v>364.22</v>
      </c>
      <c r="EQ62" s="173">
        <f t="shared" si="19"/>
        <v>162.07</v>
      </c>
      <c r="ER62" s="189">
        <v>0</v>
      </c>
      <c r="ES62" s="189">
        <v>5.0999999999999996</v>
      </c>
      <c r="ET62" s="189">
        <v>2.1</v>
      </c>
      <c r="EU62" s="189">
        <v>0</v>
      </c>
      <c r="EV62" s="189">
        <v>0</v>
      </c>
      <c r="EW62" s="189">
        <v>22</v>
      </c>
      <c r="EX62" s="189">
        <v>0</v>
      </c>
      <c r="EY62" s="189">
        <v>0</v>
      </c>
      <c r="EZ62" s="189">
        <v>0</v>
      </c>
      <c r="FA62" s="189">
        <v>0</v>
      </c>
      <c r="FB62" s="189">
        <v>0</v>
      </c>
      <c r="FC62" s="189">
        <v>60</v>
      </c>
      <c r="FD62" s="189">
        <v>0</v>
      </c>
      <c r="FE62" s="189">
        <v>0</v>
      </c>
      <c r="FF62" s="189">
        <v>0</v>
      </c>
      <c r="FG62" s="189">
        <v>0</v>
      </c>
      <c r="FH62" s="189">
        <v>52</v>
      </c>
      <c r="FI62" s="189">
        <v>0</v>
      </c>
      <c r="FJ62" s="189">
        <v>50</v>
      </c>
      <c r="FK62" s="189">
        <v>191.2</v>
      </c>
      <c r="FL62" s="189">
        <v>186</v>
      </c>
      <c r="FN62" s="132">
        <v>362.07</v>
      </c>
    </row>
    <row r="63" spans="1:170" ht="30" customHeight="1">
      <c r="A63" s="88">
        <f>COUNTIF($H$12:H63,H63)</f>
        <v>52</v>
      </c>
      <c r="B63" s="88" t="s">
        <v>2097</v>
      </c>
      <c r="C63" s="88" t="s">
        <v>2064</v>
      </c>
      <c r="D63" s="88" t="s">
        <v>623</v>
      </c>
      <c r="E63" s="88"/>
      <c r="F63" s="301" t="s">
        <v>814</v>
      </c>
      <c r="G63" s="89" t="s">
        <v>2819</v>
      </c>
      <c r="H63" s="88">
        <v>1</v>
      </c>
      <c r="I63" s="88"/>
      <c r="J63" s="88">
        <v>1</v>
      </c>
      <c r="K63" s="90"/>
      <c r="L63" s="90" t="s">
        <v>2831</v>
      </c>
      <c r="M63" s="214"/>
      <c r="N63" s="88" t="s">
        <v>1804</v>
      </c>
      <c r="O63" s="216">
        <f>BO63</f>
        <v>3.33</v>
      </c>
      <c r="P63" s="88" t="str">
        <f t="shared" si="0"/>
        <v>B1_4</v>
      </c>
      <c r="Q63" s="88">
        <f t="shared" si="149"/>
        <v>270</v>
      </c>
      <c r="R63" s="88">
        <f t="shared" si="150"/>
        <v>120</v>
      </c>
      <c r="S63" s="231" t="s">
        <v>3160</v>
      </c>
      <c r="T63" s="214" t="s">
        <v>1956</v>
      </c>
      <c r="U63" s="88">
        <f>IF(RIGHT(T63,1)="K",(VLOOKUP(T63,ma_miengiam!$A$3:$B$80,2,0)*100)/2,VLOOKUP(T63,ma_miengiam!$A$3:$B$80,2,0)*100)</f>
        <v>60</v>
      </c>
      <c r="V63" s="88">
        <v>6</v>
      </c>
      <c r="W63" s="220">
        <f>IF(AND(T63="NTS",V63&gt;0),(Q63-(Q63*V63)/12)*VLOOKUP(T63,ma_miengiam!$A$3:$B$80,2,0)+(Q63-(Q63*(12-V63))/12),IF(AND(RIGHT(T63,1)="K",V63&gt;0),(VLOOKUP(T63,ma_miengiam!$A$3:$B$80,2,0)/2)*(Q63*V63)/12,IF(RIGHT(T63,1)="K",(VLOOKUP(T63,ma_miengiam!$A$3:$B$80,2,0)*Q63)/2,IF(V63&gt;0,VLOOKUP(T63,ma_miengiam!$A$3:$B$80,2,0)*Q63*V63/12,VLOOKUP(T63,ma_miengiam!$A$3:$B$80,2,0)*Q63))))</f>
        <v>81</v>
      </c>
      <c r="X63" s="220">
        <f>IF(T63="NTS",VLOOKUP(T63,ma_miengiam!$A$3:$B$80,2,0)*R63*V63,IF(AND(T63="NTS",V63=0),0,IF(AND(LEFT(T63,1)="K",V63=0),VLOOKUP(T63,ma_miengiam!$A$3:$B$80,2,0)*R63,IF(LEFT(T63,1)="K",(VLOOKUP(T63,ma_miengiam!$A$3:$B$80,2,0)*R63/12)*V63,IF(AND(LEFT(T63,1)="S",V63&gt;0),(R63/12)*V63,IF(AND(LEFT(T63,1)="S",V63=0),R63,IF(T63="DH",VLOOKUP(T63,ma_miengiam!$A$3:$B$80,2,0)*R63,0)))))))</f>
        <v>36</v>
      </c>
      <c r="Y63" s="220">
        <f t="shared" si="131"/>
        <v>54</v>
      </c>
      <c r="Z63" s="220">
        <f>IF(AND(T63="SĐH",V63&gt;0),(R63/12)*V63-X63,IF(AND(T63="DH",V63&gt;0),(R63*V63/12),IF(AND(T63&lt;&gt;"NTS",V63&gt;0),(R63*V63/12)-X63,IF(AND(T63="NTS",V63&gt;0),R63-X63,R63-X63))))</f>
        <v>24</v>
      </c>
      <c r="AA63" s="220"/>
      <c r="AB63" s="220"/>
      <c r="AC63" s="220"/>
      <c r="AD63" s="220"/>
      <c r="AE63" s="220"/>
      <c r="AF63" s="220"/>
      <c r="AG63" s="220"/>
      <c r="AH63" s="220"/>
      <c r="AI63" s="220"/>
      <c r="AJ63" s="220"/>
      <c r="AK63" s="216"/>
      <c r="AL63" s="220"/>
      <c r="AM63" s="220"/>
      <c r="AN63" s="221"/>
      <c r="AO63" s="220"/>
      <c r="AP63" s="220"/>
      <c r="AQ63" s="220"/>
      <c r="AR63" s="220"/>
      <c r="AS63" s="220"/>
      <c r="AT63" s="216"/>
      <c r="AU63" s="222"/>
      <c r="AV63" s="220"/>
      <c r="AW63" s="220"/>
      <c r="AX63" s="216"/>
      <c r="AY63" s="220"/>
      <c r="AZ63" s="220"/>
      <c r="BA63" s="220"/>
      <c r="BB63" s="220"/>
      <c r="BC63" s="220"/>
      <c r="BD63" s="216"/>
      <c r="BE63" s="220"/>
      <c r="BF63" s="220"/>
      <c r="BG63" s="220"/>
      <c r="BH63" s="220"/>
      <c r="BI63" s="220"/>
      <c r="BJ63" s="220" t="s">
        <v>616</v>
      </c>
      <c r="BK63" s="220"/>
      <c r="BL63" s="223">
        <f t="shared" si="11"/>
        <v>0</v>
      </c>
      <c r="BM63" s="220">
        <v>3.33</v>
      </c>
      <c r="BN63" s="220"/>
      <c r="BO63" s="220">
        <f>ROUND(BM63+(BM63*BN63),2)</f>
        <v>3.33</v>
      </c>
      <c r="BP63" s="220">
        <f>IF(AND(BL63&gt;0,BL63&lt;tiet!$D$1),BL63,IF(BL63&lt;=0,0,IF(BL63&gt;tiet!$C$1,tiet!$C$1)))</f>
        <v>0</v>
      </c>
      <c r="BQ63" s="87">
        <f t="shared" si="170"/>
        <v>65000</v>
      </c>
      <c r="BR63" s="224">
        <f t="shared" si="171"/>
        <v>0</v>
      </c>
      <c r="BS63" s="220">
        <f t="shared" si="12"/>
        <v>0</v>
      </c>
      <c r="BT63" s="224">
        <f>VLOOKUP(N63,ma_dinhmuc!$A$1:$J$31,10,0)</f>
        <v>51000</v>
      </c>
      <c r="BU63" s="224">
        <f>ROUND(IF(BS63&gt;0,VLOOKUP(N63,ma_dinhmuc!$A$1:$J$31,10,0)*BS63,0),0)</f>
        <v>0</v>
      </c>
      <c r="BV63" s="224">
        <f t="shared" si="172"/>
        <v>0</v>
      </c>
      <c r="BW63" s="224"/>
      <c r="BX63" s="224">
        <v>0</v>
      </c>
      <c r="BY63" s="224"/>
      <c r="BZ63" s="224"/>
      <c r="CA63" s="224"/>
      <c r="CB63" s="224"/>
      <c r="CC63" s="225">
        <f>ROUND(IF(BV63+BW63&gt;BX63+BY63+BZ63+CA63+CB63,(BW63+BV63)-(BX63+BY63+BZ63+CA63+CB63+CB63),0),0)</f>
        <v>0</v>
      </c>
      <c r="CD63" s="224">
        <f>ROUND(IF(BV63+BW63&lt;BX63+BY63+BZ63+CA63-CB63,(BX63+BY63+BZ63+CA63-CB63)-(BW63+BV63),0),0)</f>
        <v>0</v>
      </c>
      <c r="CE63" s="224"/>
      <c r="CF63" s="226"/>
      <c r="CG63" s="87"/>
      <c r="CH63" s="87">
        <f t="shared" si="166"/>
        <v>52</v>
      </c>
      <c r="CI63" s="227" t="str">
        <f t="shared" si="173"/>
        <v>Đoàn Thu</v>
      </c>
      <c r="CJ63" s="227" t="str">
        <f t="shared" si="173"/>
        <v>Thủy</v>
      </c>
      <c r="CK63" s="87">
        <f>H63</f>
        <v>1</v>
      </c>
      <c r="CL63" s="227" t="str">
        <f t="shared" si="174"/>
        <v>Di truyền giống</v>
      </c>
      <c r="CM63" s="87" t="str">
        <f t="shared" si="46"/>
        <v>CS2</v>
      </c>
      <c r="CN63" s="87">
        <f t="shared" si="175"/>
        <v>270</v>
      </c>
      <c r="CO63" s="87">
        <f t="shared" si="175"/>
        <v>120</v>
      </c>
      <c r="CP63" s="229">
        <f t="shared" si="47"/>
        <v>0</v>
      </c>
      <c r="CQ63" s="229">
        <f t="shared" si="48"/>
        <v>0</v>
      </c>
      <c r="CR63" s="229">
        <f t="shared" si="49"/>
        <v>0</v>
      </c>
      <c r="CS63" s="229">
        <f t="shared" si="50"/>
        <v>0</v>
      </c>
      <c r="CT63" s="229">
        <f t="shared" si="51"/>
        <v>0</v>
      </c>
      <c r="CU63" s="229">
        <f t="shared" si="52"/>
        <v>0</v>
      </c>
      <c r="CV63" s="229">
        <f t="shared" si="53"/>
        <v>0</v>
      </c>
      <c r="CW63" s="229">
        <f t="shared" si="54"/>
        <v>0</v>
      </c>
      <c r="CX63" s="229">
        <f t="shared" si="55"/>
        <v>0</v>
      </c>
      <c r="CY63" s="229">
        <f t="shared" si="56"/>
        <v>0</v>
      </c>
      <c r="CZ63" s="229">
        <f t="shared" si="57"/>
        <v>0</v>
      </c>
      <c r="DA63" s="229">
        <f t="shared" si="58"/>
        <v>0</v>
      </c>
      <c r="DB63" s="228">
        <f t="shared" si="59"/>
        <v>0</v>
      </c>
      <c r="DC63" s="229"/>
      <c r="DD63" s="229"/>
      <c r="DE63" s="229"/>
      <c r="DF63" s="229"/>
      <c r="DG63" s="229"/>
      <c r="DH63" s="229"/>
      <c r="DI63" s="229"/>
      <c r="DJ63" s="229"/>
      <c r="DK63" s="229"/>
      <c r="DL63" s="229"/>
      <c r="DM63" s="229"/>
      <c r="DN63" s="229"/>
      <c r="DO63" s="228">
        <f t="shared" si="60"/>
        <v>0</v>
      </c>
      <c r="DP63" s="228">
        <f t="shared" si="61"/>
        <v>0</v>
      </c>
      <c r="DQ63" s="229">
        <f t="shared" si="62"/>
        <v>0</v>
      </c>
      <c r="DR63" s="229">
        <f t="shared" si="63"/>
        <v>0</v>
      </c>
      <c r="DS63" s="229">
        <f t="shared" si="64"/>
        <v>0</v>
      </c>
      <c r="DT63" s="229">
        <f t="shared" si="65"/>
        <v>0</v>
      </c>
      <c r="DU63" s="229">
        <f t="shared" si="66"/>
        <v>0</v>
      </c>
      <c r="DV63" s="229">
        <f t="shared" si="67"/>
        <v>0</v>
      </c>
      <c r="DW63" s="229">
        <f t="shared" si="68"/>
        <v>0</v>
      </c>
      <c r="DX63" s="228">
        <f t="shared" si="69"/>
        <v>0</v>
      </c>
      <c r="DY63" s="229"/>
      <c r="DZ63" s="229"/>
      <c r="EA63" s="229"/>
      <c r="EB63" s="229"/>
      <c r="EC63" s="229"/>
      <c r="ED63" s="229"/>
      <c r="EE63" s="229"/>
      <c r="EF63" s="228">
        <f t="shared" si="17"/>
        <v>0</v>
      </c>
      <c r="EG63" s="228">
        <f t="shared" si="70"/>
        <v>0</v>
      </c>
      <c r="EH63" s="229">
        <f t="shared" si="18"/>
        <v>0</v>
      </c>
      <c r="EI63" s="229">
        <v>43.8</v>
      </c>
      <c r="EJ63" s="228">
        <f>SUM(EH63:EI63)</f>
        <v>43.8</v>
      </c>
      <c r="EK63" s="229"/>
      <c r="EL63" s="229"/>
      <c r="EM63" s="228">
        <f t="shared" si="176"/>
        <v>0</v>
      </c>
      <c r="EN63" s="229">
        <f t="shared" si="71"/>
        <v>0</v>
      </c>
      <c r="EO63" s="229">
        <f t="shared" si="72"/>
        <v>43.8</v>
      </c>
      <c r="EP63" s="228">
        <f t="shared" si="177"/>
        <v>43.8</v>
      </c>
      <c r="EQ63" s="173">
        <f t="shared" si="19"/>
        <v>0</v>
      </c>
      <c r="ER63" s="189">
        <v>0</v>
      </c>
      <c r="ES63" s="189">
        <v>0</v>
      </c>
      <c r="ET63" s="189">
        <v>0</v>
      </c>
      <c r="EU63" s="189">
        <v>0</v>
      </c>
      <c r="EV63" s="189">
        <v>0</v>
      </c>
      <c r="EW63" s="189">
        <v>0</v>
      </c>
      <c r="EX63" s="189">
        <v>0</v>
      </c>
      <c r="EY63" s="189">
        <v>0</v>
      </c>
      <c r="EZ63" s="189">
        <v>0</v>
      </c>
      <c r="FA63" s="189">
        <v>0</v>
      </c>
      <c r="FB63" s="189">
        <v>0</v>
      </c>
      <c r="FC63" s="189">
        <v>0</v>
      </c>
      <c r="FD63" s="189">
        <v>0</v>
      </c>
      <c r="FE63" s="189">
        <v>0</v>
      </c>
      <c r="FF63" s="189">
        <v>0</v>
      </c>
      <c r="FG63" s="189">
        <v>0</v>
      </c>
      <c r="FH63" s="189">
        <v>0</v>
      </c>
      <c r="FI63" s="189">
        <v>0</v>
      </c>
      <c r="FJ63" s="189">
        <v>0</v>
      </c>
      <c r="FK63" s="189">
        <v>0</v>
      </c>
      <c r="FL63" s="189">
        <v>0</v>
      </c>
      <c r="FN63" s="132">
        <v>0</v>
      </c>
    </row>
    <row r="64" spans="1:170" ht="30" customHeight="1">
      <c r="A64" s="88">
        <f>COUNTIF($H$12:H64,H64)</f>
        <v>53</v>
      </c>
      <c r="B64" s="88" t="s">
        <v>2097</v>
      </c>
      <c r="C64" s="88" t="s">
        <v>2064</v>
      </c>
      <c r="D64" s="88" t="s">
        <v>623</v>
      </c>
      <c r="E64" s="88"/>
      <c r="F64" s="301" t="s">
        <v>814</v>
      </c>
      <c r="G64" s="89" t="s">
        <v>2819</v>
      </c>
      <c r="H64" s="88">
        <v>1</v>
      </c>
      <c r="I64" s="88"/>
      <c r="J64" s="88">
        <v>1</v>
      </c>
      <c r="K64" s="90"/>
      <c r="L64" s="90" t="s">
        <v>2831</v>
      </c>
      <c r="M64" s="214"/>
      <c r="N64" s="88" t="s">
        <v>1804</v>
      </c>
      <c r="O64" s="216">
        <f>BO64</f>
        <v>3.33</v>
      </c>
      <c r="P64" s="88" t="str">
        <f>IF(AND(BO64&gt;=2.34,BO64&lt;3.33),"B1_3",IF(AND(BO64&gt;=3.33,BO64&lt;4.65),"B1_4",IF(AND(BO64&gt;=4.65,BO64&lt;5.42),"B1_5",IF(AND(BO64&gt;=5.42,BO64&lt;6.44),"B1_6",IF(AND(BO64&gt;=6.44,BO64&lt;=6.92),"B1_7","B1_8")))))</f>
        <v>B1_4</v>
      </c>
      <c r="Q64" s="88">
        <f>IF(M64&gt;0,VLOOKUP(P64,ma_dinhmuc_moi,2,0)/2,VLOOKUP(P64,ma_dinhmuc_moi,2,0))</f>
        <v>270</v>
      </c>
      <c r="R64" s="88">
        <f>IF(M64&gt;0,VLOOKUP(P64,ma_dinhmuc_moi,3,0)/2,VLOOKUP(P64,ma_dinhmuc_moi,3,0))</f>
        <v>120</v>
      </c>
      <c r="S64" s="231"/>
      <c r="T64" s="214" t="s">
        <v>3088</v>
      </c>
      <c r="U64" s="88">
        <f>IF(RIGHT(T64,1)="K",(VLOOKUP(T64,ma_miengiam!$A$3:$B$80,2,0)*100)/2,VLOOKUP(T64,ma_miengiam!$A$3:$B$80,2,0)*100)</f>
        <v>0</v>
      </c>
      <c r="V64" s="88">
        <v>6</v>
      </c>
      <c r="W64" s="220">
        <f>IF(AND(T64="NTS",V64&gt;0),(Q64-(Q64*V64)/12)*VLOOKUP(T64,ma_miengiam!$A$3:$B$80,2,0)+(Q64-(Q64*(12-V64))/12),IF(AND(RIGHT(T64,1)="K",V64&gt;0),(VLOOKUP(T64,ma_miengiam!$A$3:$B$80,2,0)/2)*(Q64*V64)/12,IF(RIGHT(T64,1)="K",(VLOOKUP(T64,ma_miengiam!$A$3:$B$80,2,0)*Q64)/2,IF(V64&gt;0,VLOOKUP(T64,ma_miengiam!$A$3:$B$80,2,0)*Q64*V64/12,VLOOKUP(T64,ma_miengiam!$A$3:$B$80,2,0)*Q64))))</f>
        <v>0</v>
      </c>
      <c r="X64" s="220">
        <f>IF(T64="NTS",VLOOKUP(T64,ma_miengiam!$A$3:$B$80,2,0)*R64*V64,IF(AND(T64="NTS",V64=0),0,IF(AND(LEFT(T64,1)="K",V64=0),VLOOKUP(T64,ma_miengiam!$A$3:$B$80,2,0)*R64,IF(LEFT(T64,1)="K",(VLOOKUP(T64,ma_miengiam!$A$3:$B$80,2,0)*R64/12)*V64,IF(AND(LEFT(T64,1)="S",V64&gt;0),(R64/12)*V64,IF(AND(LEFT(T64,1)="S",V64=0),R64,IF(T64="DH",VLOOKUP(T64,ma_miengiam!$A$3:$B$80,2,0)*R64,0)))))))</f>
        <v>0</v>
      </c>
      <c r="Y64" s="220">
        <f>IF(AND(T64="DH",V64&gt;0),(S64*V64/12),IF(AND(T64&lt;&gt;"NTS",V64&gt;0),(Q64*V64/12)-W64,IF(AND(T64="NTS",V64&gt;0),Q64-W64,Q64-W64)))</f>
        <v>135</v>
      </c>
      <c r="Z64" s="220">
        <f>IF(AND(T64="SĐH",V64&gt;0),(R64/12)*V64-X64,IF(AND(T64="DH",V64&gt;0),(R64*V64/12),IF(AND(T64&lt;&gt;"NTS",V64&gt;0),(R64*V64/12)-X64,IF(AND(T64="NTS",V64&gt;0),R64-X64,R64-X64))))</f>
        <v>60</v>
      </c>
      <c r="AA64" s="220"/>
      <c r="AB64" s="220"/>
      <c r="AC64" s="220"/>
      <c r="AD64" s="220"/>
      <c r="AE64" s="220"/>
      <c r="AF64" s="220"/>
      <c r="AG64" s="220"/>
      <c r="AH64" s="220"/>
      <c r="AI64" s="220"/>
      <c r="AJ64" s="220"/>
      <c r="AK64" s="216"/>
      <c r="AL64" s="220"/>
      <c r="AM64" s="220"/>
      <c r="AN64" s="221"/>
      <c r="AO64" s="220"/>
      <c r="AP64" s="220"/>
      <c r="AQ64" s="220"/>
      <c r="AR64" s="220"/>
      <c r="AS64" s="220"/>
      <c r="AT64" s="216"/>
      <c r="AU64" s="222"/>
      <c r="AV64" s="220"/>
      <c r="AW64" s="220"/>
      <c r="AX64" s="216"/>
      <c r="AY64" s="220"/>
      <c r="AZ64" s="220"/>
      <c r="BA64" s="220"/>
      <c r="BB64" s="220"/>
      <c r="BC64" s="220"/>
      <c r="BD64" s="216"/>
      <c r="BE64" s="220"/>
      <c r="BF64" s="220"/>
      <c r="BG64" s="220"/>
      <c r="BH64" s="220"/>
      <c r="BI64" s="220"/>
      <c r="BJ64" s="220" t="s">
        <v>616</v>
      </c>
      <c r="BK64" s="220"/>
      <c r="BL64" s="223">
        <f>IF(AW64&lt;BK64,0,IF(AND(BK64=0,AW64&gt;0),AW64,IF(AW64&lt;0,0,IF(BK64&gt;0,AW64-BK64,IF(BK64&lt;0,0,AW64)))))</f>
        <v>0</v>
      </c>
      <c r="BM64" s="220">
        <v>3.33</v>
      </c>
      <c r="BN64" s="220"/>
      <c r="BO64" s="220">
        <f>ROUND(BM64+(BM64*BN64),2)</f>
        <v>3.33</v>
      </c>
      <c r="BP64" s="220">
        <f>IF(AND(BL64&gt;0,BL64&lt;tiet!$D$1),BL64,IF(BL64&lt;=0,0,IF(BL64&gt;tiet!$C$1,tiet!$C$1)))</f>
        <v>0</v>
      </c>
      <c r="BQ64" s="87">
        <f t="shared" si="170"/>
        <v>65000</v>
      </c>
      <c r="BR64" s="224">
        <f t="shared" si="171"/>
        <v>0</v>
      </c>
      <c r="BS64" s="220">
        <f t="shared" si="12"/>
        <v>0</v>
      </c>
      <c r="BT64" s="224">
        <f>VLOOKUP(N64,ma_dinhmuc!$A$1:$J$31,10,0)</f>
        <v>51000</v>
      </c>
      <c r="BU64" s="224">
        <f>ROUND(IF(BS64&gt;0,VLOOKUP(N64,ma_dinhmuc!$A$1:$J$31,10,0)*BS64,0),0)</f>
        <v>0</v>
      </c>
      <c r="BV64" s="224">
        <f t="shared" si="172"/>
        <v>0</v>
      </c>
      <c r="BW64" s="224"/>
      <c r="BX64" s="224">
        <v>0</v>
      </c>
      <c r="BY64" s="224"/>
      <c r="BZ64" s="224"/>
      <c r="CA64" s="224"/>
      <c r="CB64" s="224"/>
      <c r="CC64" s="225">
        <f>ROUND(IF(BV64+BW64&gt;BX64+BY64+BZ64+CA64+CB64,(BW64+BV64)-(BX64+BY64+BZ64+CA64+CB64+CB64),0),0)</f>
        <v>0</v>
      </c>
      <c r="CD64" s="224">
        <f>ROUND(IF(BV64+BW64&lt;BX64+BY64+BZ64+CA64-CB64,(BX64+BY64+BZ64+CA64-CB64)-(BW64+BV64),0),0)</f>
        <v>0</v>
      </c>
      <c r="CE64" s="224"/>
      <c r="CF64" s="226"/>
      <c r="CG64" s="87"/>
      <c r="CH64" s="87">
        <f t="shared" si="166"/>
        <v>53</v>
      </c>
      <c r="CI64" s="227" t="str">
        <f t="shared" si="173"/>
        <v>Đoàn Thu</v>
      </c>
      <c r="CJ64" s="227" t="str">
        <f t="shared" si="173"/>
        <v>Thủy</v>
      </c>
      <c r="CK64" s="87">
        <f>H64</f>
        <v>1</v>
      </c>
      <c r="CL64" s="227" t="str">
        <f>L64</f>
        <v>Di truyền giống</v>
      </c>
      <c r="CM64" s="87" t="str">
        <f>N64</f>
        <v>CS2</v>
      </c>
      <c r="CN64" s="87">
        <f t="shared" si="175"/>
        <v>270</v>
      </c>
      <c r="CO64" s="87">
        <f t="shared" si="175"/>
        <v>120</v>
      </c>
      <c r="CP64" s="229">
        <f t="shared" si="47"/>
        <v>0</v>
      </c>
      <c r="CQ64" s="229">
        <f t="shared" si="48"/>
        <v>0</v>
      </c>
      <c r="CR64" s="229">
        <f t="shared" si="49"/>
        <v>0</v>
      </c>
      <c r="CS64" s="229">
        <f t="shared" si="50"/>
        <v>0</v>
      </c>
      <c r="CT64" s="229">
        <f t="shared" si="51"/>
        <v>0</v>
      </c>
      <c r="CU64" s="229">
        <f t="shared" si="52"/>
        <v>0</v>
      </c>
      <c r="CV64" s="229">
        <f t="shared" si="53"/>
        <v>0</v>
      </c>
      <c r="CW64" s="229">
        <f t="shared" si="54"/>
        <v>0</v>
      </c>
      <c r="CX64" s="229">
        <f t="shared" si="55"/>
        <v>0</v>
      </c>
      <c r="CY64" s="229">
        <f t="shared" si="56"/>
        <v>0</v>
      </c>
      <c r="CZ64" s="229">
        <f t="shared" si="57"/>
        <v>0</v>
      </c>
      <c r="DA64" s="229">
        <f t="shared" si="58"/>
        <v>0</v>
      </c>
      <c r="DB64" s="228">
        <f>SUM(CP64:DA64)</f>
        <v>0</v>
      </c>
      <c r="DC64" s="229"/>
      <c r="DD64" s="229"/>
      <c r="DE64" s="229"/>
      <c r="DF64" s="229"/>
      <c r="DG64" s="229"/>
      <c r="DH64" s="229"/>
      <c r="DI64" s="229"/>
      <c r="DJ64" s="229"/>
      <c r="DK64" s="229"/>
      <c r="DL64" s="229"/>
      <c r="DM64" s="229"/>
      <c r="DN64" s="229"/>
      <c r="DO64" s="228">
        <f>SUM(DC64:DN64)</f>
        <v>0</v>
      </c>
      <c r="DP64" s="228">
        <f>DO64+DB64</f>
        <v>0</v>
      </c>
      <c r="DQ64" s="229">
        <f t="shared" si="62"/>
        <v>0</v>
      </c>
      <c r="DR64" s="229">
        <f t="shared" si="63"/>
        <v>0</v>
      </c>
      <c r="DS64" s="229">
        <f t="shared" si="64"/>
        <v>0</v>
      </c>
      <c r="DT64" s="229">
        <f t="shared" si="65"/>
        <v>0</v>
      </c>
      <c r="DU64" s="229">
        <f t="shared" si="66"/>
        <v>0</v>
      </c>
      <c r="DV64" s="229">
        <f t="shared" si="67"/>
        <v>0</v>
      </c>
      <c r="DW64" s="229">
        <f t="shared" si="68"/>
        <v>0</v>
      </c>
      <c r="DX64" s="228">
        <f>SUM(DQ64:DW64)</f>
        <v>0</v>
      </c>
      <c r="DY64" s="229"/>
      <c r="DZ64" s="229"/>
      <c r="EA64" s="229"/>
      <c r="EB64" s="229"/>
      <c r="EC64" s="229"/>
      <c r="ED64" s="229"/>
      <c r="EE64" s="229"/>
      <c r="EF64" s="228">
        <f t="shared" si="17"/>
        <v>0</v>
      </c>
      <c r="EG64" s="228">
        <f>EF64+DX64</f>
        <v>0</v>
      </c>
      <c r="EH64" s="229">
        <f t="shared" si="18"/>
        <v>0</v>
      </c>
      <c r="EI64" s="229">
        <v>43.8</v>
      </c>
      <c r="EJ64" s="228">
        <f>SUM(EH64:EI64)</f>
        <v>43.8</v>
      </c>
      <c r="EK64" s="229"/>
      <c r="EL64" s="229"/>
      <c r="EM64" s="228">
        <f t="shared" si="176"/>
        <v>0</v>
      </c>
      <c r="EN64" s="229">
        <f>EK64+EH64+EL64</f>
        <v>0</v>
      </c>
      <c r="EO64" s="229">
        <f>EI64</f>
        <v>43.8</v>
      </c>
      <c r="EP64" s="228">
        <f t="shared" si="177"/>
        <v>43.8</v>
      </c>
      <c r="EQ64" s="173">
        <f t="shared" si="19"/>
        <v>0</v>
      </c>
      <c r="ER64" s="189">
        <v>0</v>
      </c>
      <c r="ES64" s="189">
        <v>0</v>
      </c>
      <c r="ET64" s="189">
        <v>0</v>
      </c>
      <c r="EU64" s="189">
        <v>0</v>
      </c>
      <c r="EV64" s="189">
        <v>0</v>
      </c>
      <c r="EW64" s="189">
        <v>0</v>
      </c>
      <c r="EX64" s="189">
        <v>0</v>
      </c>
      <c r="EY64" s="189">
        <v>0</v>
      </c>
      <c r="EZ64" s="189">
        <v>0</v>
      </c>
      <c r="FA64" s="189">
        <v>0</v>
      </c>
      <c r="FB64" s="189">
        <v>0</v>
      </c>
      <c r="FC64" s="189">
        <v>0</v>
      </c>
      <c r="FD64" s="189">
        <v>0</v>
      </c>
      <c r="FE64" s="189">
        <v>0</v>
      </c>
      <c r="FF64" s="189">
        <v>0</v>
      </c>
      <c r="FG64" s="189">
        <v>0</v>
      </c>
      <c r="FH64" s="189">
        <v>0</v>
      </c>
      <c r="FI64" s="189">
        <v>0</v>
      </c>
      <c r="FJ64" s="189">
        <v>0</v>
      </c>
      <c r="FK64" s="189">
        <v>0</v>
      </c>
      <c r="FL64" s="189">
        <v>0</v>
      </c>
      <c r="FN64" s="132">
        <v>0</v>
      </c>
    </row>
    <row r="65" spans="1:170" ht="30" customHeight="1">
      <c r="A65" s="88">
        <f>COUNTIF($H$12:H65,H65)</f>
        <v>54</v>
      </c>
      <c r="B65" s="88" t="s">
        <v>2097</v>
      </c>
      <c r="C65" s="88" t="s">
        <v>2064</v>
      </c>
      <c r="D65" s="88" t="s">
        <v>623</v>
      </c>
      <c r="E65" s="88"/>
      <c r="F65" s="301" t="s">
        <v>814</v>
      </c>
      <c r="G65" s="89" t="s">
        <v>2819</v>
      </c>
      <c r="H65" s="88">
        <v>1</v>
      </c>
      <c r="I65" s="88">
        <v>1</v>
      </c>
      <c r="J65" s="88">
        <v>1</v>
      </c>
      <c r="K65" s="90" t="s">
        <v>2831</v>
      </c>
      <c r="L65" s="90" t="s">
        <v>2831</v>
      </c>
      <c r="M65" s="214"/>
      <c r="N65" s="88" t="s">
        <v>1804</v>
      </c>
      <c r="O65" s="216">
        <f>BO65</f>
        <v>3.33</v>
      </c>
      <c r="P65" s="88" t="str">
        <f>IF(AND(BO65&gt;=2.34,BO65&lt;3.33),"B1_3",IF(AND(BO65&gt;=3.33,BO65&lt;4.65),"B1_4",IF(AND(BO65&gt;=4.65,BO65&lt;5.42),"B1_5",IF(AND(BO65&gt;=5.42,BO65&lt;6.44),"B1_6",IF(AND(BO65&gt;=6.44,BO65&lt;=6.92),"B1_7","B1_8")))))</f>
        <v>B1_4</v>
      </c>
      <c r="Q65" s="88">
        <f>IF(M65&gt;0,VLOOKUP(P65,ma_dinhmuc_moi,2,0)/2,VLOOKUP(P65,ma_dinhmuc_moi,2,0))</f>
        <v>270</v>
      </c>
      <c r="R65" s="88">
        <f>IF(M65&gt;0,VLOOKUP(P65,ma_dinhmuc_moi,3,0)/2,VLOOKUP(P65,ma_dinhmuc_moi,3,0))</f>
        <v>120</v>
      </c>
      <c r="S65" s="231"/>
      <c r="T65" s="214" t="s">
        <v>3088</v>
      </c>
      <c r="U65" s="88">
        <f>IF(RIGHT(T65,1)="K",(VLOOKUP(T65,ma_miengiam!$A$3:$B$80,2,0)*100)/2,VLOOKUP(T65,ma_miengiam!$A$3:$B$80,2,0)*100)</f>
        <v>0</v>
      </c>
      <c r="V65" s="88"/>
      <c r="W65" s="220">
        <f>W64+W63</f>
        <v>81</v>
      </c>
      <c r="X65" s="220">
        <f>X64+X63</f>
        <v>36</v>
      </c>
      <c r="Y65" s="220">
        <f>Y64+Y63</f>
        <v>189</v>
      </c>
      <c r="Z65" s="220">
        <f>Z64+Z63</f>
        <v>84</v>
      </c>
      <c r="AA65" s="220">
        <f>Q65</f>
        <v>270</v>
      </c>
      <c r="AB65" s="220">
        <f>R65</f>
        <v>120</v>
      </c>
      <c r="AC65" s="220">
        <f>W65</f>
        <v>81</v>
      </c>
      <c r="AD65" s="220">
        <f>X65</f>
        <v>36</v>
      </c>
      <c r="AE65" s="220">
        <f>Y65</f>
        <v>189</v>
      </c>
      <c r="AF65" s="220">
        <f>Z65</f>
        <v>84</v>
      </c>
      <c r="AG65" s="220">
        <f t="shared" ref="AG65:AG73" si="178">AH65+AI65</f>
        <v>194.43</v>
      </c>
      <c r="AH65" s="220">
        <f t="shared" ref="AH65:AH73" si="179">EO65</f>
        <v>43.8</v>
      </c>
      <c r="AI65" s="220">
        <f t="shared" ref="AI65:AI73" si="180">EN65</f>
        <v>150.63</v>
      </c>
      <c r="AJ65" s="220">
        <f>IF(AG65-Z65&gt;0,0,AG65-Z65)</f>
        <v>0</v>
      </c>
      <c r="AK65" s="216">
        <f>IF(AJ65&gt;=0,Y65,Y65-AJ65)</f>
        <v>189</v>
      </c>
      <c r="AL65" s="220">
        <f>SUM(CP65:CX65)+SUM(DC65:DK65)</f>
        <v>93.3</v>
      </c>
      <c r="AM65" s="220">
        <f>SUM(DQ65:DU65)+SUM(DY65:EC65)</f>
        <v>0</v>
      </c>
      <c r="AN65" s="221">
        <f>AM65+AL65</f>
        <v>93.3</v>
      </c>
      <c r="AO65" s="220">
        <f>CY65+DL65</f>
        <v>0</v>
      </c>
      <c r="AP65" s="220">
        <f>CZ65+DM65</f>
        <v>0</v>
      </c>
      <c r="AQ65" s="220">
        <f>DA65+DN65</f>
        <v>40</v>
      </c>
      <c r="AR65" s="220">
        <f>DV65+ED65</f>
        <v>12</v>
      </c>
      <c r="AS65" s="220">
        <f>DW65+EE65</f>
        <v>0</v>
      </c>
      <c r="AT65" s="216">
        <f>AN65+SUM(AO65:AS65)</f>
        <v>145.30000000000001</v>
      </c>
      <c r="AU65" s="222">
        <f>AN65-AK65</f>
        <v>-95.7</v>
      </c>
      <c r="AV65" s="220"/>
      <c r="AW65" s="220">
        <f>IF(AU65&gt;0,AU65,AV65+AU65)</f>
        <v>-95.7</v>
      </c>
      <c r="AX65" s="216">
        <f>IF(AN65&gt;AK65,0,IF(AW65&lt;0,AN65-AK65+AV65,IF(AW65&gt;=0,0)))</f>
        <v>-95.7</v>
      </c>
      <c r="AY65" s="220">
        <f>IF(AN65&gt;=AK65,AO65,IF(AN65+AO65-AK65&gt;=0,AN65+AO65-AK65,0))</f>
        <v>0</v>
      </c>
      <c r="AZ65" s="220">
        <f>IF(OR(AN65&gt;=AK65,AN65+AO65&gt;=AK65),AP65,IF(AN65+AO65+AP65&gt;AK65,AN65+AO65+AP65-AK65,0))</f>
        <v>0</v>
      </c>
      <c r="BA65" s="220">
        <f>IF(OR(AN65&gt;=AK65,AN65+AO65&gt;=AK65,AN65+AO65+AP65&gt;=AK65),AQ65,IF(AN65+AO65+AP65+AQ65&gt;=AK65,AN65+AO65+AP65+AQ65-AK65,0))</f>
        <v>0</v>
      </c>
      <c r="BB65" s="220">
        <f>IF(OR(AN65&gt;=AK65,AN65+AO65&gt;=AK65,AN65+AO65+AP65&gt;=AK65,AN65+AO65+AP65+AQ65&gt;=AK65),AR65,IF(AN65+AO65+AP65+AQ65+AR65&gt;=AK65,AN65+AO65+AP65+AQ65+AR65-AK65,0))</f>
        <v>0</v>
      </c>
      <c r="BC65" s="220">
        <f>IF(OR(AN65&gt;=AK65,AN65+AO65&gt;=AK65,AN65+AO65+AP65&gt;=AK65,AN65+AO65+AP65+AQ65&gt;=AK65,AN65+AO65+AP65+AQ65+AR65&gt;=AK65),AS65,IF(AN65+AO65+AP65+AQ65+AR65+AS65&gt;=AK65,AN65+AO65+AP65+AQ65+AR65+AS65-AK65,0))</f>
        <v>0</v>
      </c>
      <c r="BD65" s="216">
        <f>SUM(AY65:BC65)</f>
        <v>0</v>
      </c>
      <c r="BE65" s="220">
        <f>AY65-AO65</f>
        <v>0</v>
      </c>
      <c r="BF65" s="220">
        <f>AZ65-AP65</f>
        <v>0</v>
      </c>
      <c r="BG65" s="220">
        <f>BA65-AQ65</f>
        <v>-40</v>
      </c>
      <c r="BH65" s="220">
        <f>BB65-AR65</f>
        <v>-12</v>
      </c>
      <c r="BI65" s="220">
        <f>BC65-AS65</f>
        <v>0</v>
      </c>
      <c r="BJ65" s="220" t="s">
        <v>616</v>
      </c>
      <c r="BK65" s="220"/>
      <c r="BL65" s="223">
        <f>IF(AW65&lt;BK65,0,IF(AND(BK65=0,AW65&gt;0),AW65,IF(AW65&lt;0,0,IF(BK65&gt;0,AW65-BK65,IF(BK65&lt;0,0,AW65)))))</f>
        <v>0</v>
      </c>
      <c r="BM65" s="220">
        <v>3.33</v>
      </c>
      <c r="BN65" s="220"/>
      <c r="BO65" s="220">
        <f>ROUND(BM65+(BM65*BN65),2)</f>
        <v>3.33</v>
      </c>
      <c r="BP65" s="220">
        <f>IF(AND(BL65&gt;0,BL65&lt;tiet!$D$1),BL65,IF(BL65&lt;=0,0,IF(BL65&gt;tiet!$C$1,tiet!$C$1)))</f>
        <v>0</v>
      </c>
      <c r="BQ65" s="87">
        <f t="shared" si="170"/>
        <v>65000</v>
      </c>
      <c r="BR65" s="224">
        <f t="shared" si="171"/>
        <v>0</v>
      </c>
      <c r="BS65" s="220">
        <f t="shared" si="12"/>
        <v>0</v>
      </c>
      <c r="BT65" s="224">
        <f>VLOOKUP(N65,ma_dinhmuc!$A$1:$J$31,10,0)</f>
        <v>51000</v>
      </c>
      <c r="BU65" s="224">
        <f>ROUND(IF(BS65&gt;0,VLOOKUP(N65,ma_dinhmuc!$A$1:$J$31,10,0)*BS65,0),0)</f>
        <v>0</v>
      </c>
      <c r="BV65" s="224">
        <f t="shared" si="172"/>
        <v>0</v>
      </c>
      <c r="BW65" s="224"/>
      <c r="BX65" s="224">
        <v>0</v>
      </c>
      <c r="BY65" s="224"/>
      <c r="BZ65" s="224"/>
      <c r="CA65" s="224"/>
      <c r="CB65" s="224"/>
      <c r="CC65" s="225">
        <f>ROUND(IF(BV65+BW65&gt;BX65+BY65+BZ65+CA65+CB65,(BW65+BV65)-(BX65+BY65+BZ65+CA65+CB65+CB65),0),0)</f>
        <v>0</v>
      </c>
      <c r="CD65" s="224">
        <f>ROUND(IF(BV65+BW65&lt;BX65+BY65+BZ65+CA65-CB65,(BX65+BY65+BZ65+CA65-CB65)-(BW65+BV65),0),0)</f>
        <v>0</v>
      </c>
      <c r="CE65" s="224"/>
      <c r="CF65" s="226"/>
      <c r="CG65" s="87"/>
      <c r="CH65" s="87">
        <f t="shared" si="166"/>
        <v>54</v>
      </c>
      <c r="CI65" s="227" t="str">
        <f t="shared" si="173"/>
        <v>Đoàn Thu</v>
      </c>
      <c r="CJ65" s="227" t="str">
        <f t="shared" si="173"/>
        <v>Thủy</v>
      </c>
      <c r="CK65" s="87">
        <f>H65</f>
        <v>1</v>
      </c>
      <c r="CL65" s="227" t="str">
        <f>L65</f>
        <v>Di truyền giống</v>
      </c>
      <c r="CM65" s="87" t="str">
        <f>N65</f>
        <v>CS2</v>
      </c>
      <c r="CN65" s="87">
        <f t="shared" si="175"/>
        <v>270</v>
      </c>
      <c r="CO65" s="87">
        <f t="shared" si="175"/>
        <v>120</v>
      </c>
      <c r="CP65" s="229">
        <f t="shared" si="47"/>
        <v>0</v>
      </c>
      <c r="CQ65" s="229">
        <f t="shared" si="48"/>
        <v>12.3</v>
      </c>
      <c r="CR65" s="229">
        <f t="shared" si="49"/>
        <v>5</v>
      </c>
      <c r="CS65" s="229">
        <f t="shared" si="50"/>
        <v>0</v>
      </c>
      <c r="CT65" s="229">
        <f t="shared" si="51"/>
        <v>0</v>
      </c>
      <c r="CU65" s="229">
        <f t="shared" si="52"/>
        <v>44</v>
      </c>
      <c r="CV65" s="229">
        <f t="shared" si="53"/>
        <v>0</v>
      </c>
      <c r="CW65" s="229">
        <f t="shared" si="54"/>
        <v>32</v>
      </c>
      <c r="CX65" s="229">
        <f t="shared" si="55"/>
        <v>0</v>
      </c>
      <c r="CY65" s="229">
        <f t="shared" si="56"/>
        <v>0</v>
      </c>
      <c r="CZ65" s="229">
        <f t="shared" si="57"/>
        <v>0</v>
      </c>
      <c r="DA65" s="229">
        <f t="shared" si="58"/>
        <v>40</v>
      </c>
      <c r="DB65" s="228">
        <f>SUM(CP65:DA65)</f>
        <v>133.30000000000001</v>
      </c>
      <c r="DC65" s="229"/>
      <c r="DD65" s="229"/>
      <c r="DE65" s="229"/>
      <c r="DF65" s="229"/>
      <c r="DG65" s="229"/>
      <c r="DH65" s="229"/>
      <c r="DI65" s="229"/>
      <c r="DJ65" s="229"/>
      <c r="DK65" s="229"/>
      <c r="DL65" s="229"/>
      <c r="DM65" s="229"/>
      <c r="DN65" s="229"/>
      <c r="DO65" s="228">
        <f>SUM(DC65:DN65)</f>
        <v>0</v>
      </c>
      <c r="DP65" s="228">
        <f>DO65+DB65</f>
        <v>133.30000000000001</v>
      </c>
      <c r="DQ65" s="229">
        <f t="shared" si="62"/>
        <v>0</v>
      </c>
      <c r="DR65" s="229">
        <f t="shared" si="63"/>
        <v>0</v>
      </c>
      <c r="DS65" s="229">
        <f t="shared" si="64"/>
        <v>0</v>
      </c>
      <c r="DT65" s="229">
        <f t="shared" si="65"/>
        <v>0</v>
      </c>
      <c r="DU65" s="229">
        <f t="shared" si="66"/>
        <v>0</v>
      </c>
      <c r="DV65" s="229">
        <f t="shared" si="67"/>
        <v>12</v>
      </c>
      <c r="DW65" s="229">
        <f t="shared" si="68"/>
        <v>0</v>
      </c>
      <c r="DX65" s="228">
        <f>SUM(DQ65:DW65)</f>
        <v>12</v>
      </c>
      <c r="DY65" s="229"/>
      <c r="DZ65" s="229"/>
      <c r="EA65" s="229"/>
      <c r="EB65" s="229"/>
      <c r="EC65" s="229"/>
      <c r="ED65" s="229"/>
      <c r="EE65" s="229"/>
      <c r="EF65" s="228">
        <f t="shared" si="17"/>
        <v>0</v>
      </c>
      <c r="EG65" s="228">
        <f>EF65+DX65</f>
        <v>12</v>
      </c>
      <c r="EH65" s="229">
        <f t="shared" si="18"/>
        <v>150.63</v>
      </c>
      <c r="EI65" s="229">
        <v>43.8</v>
      </c>
      <c r="EJ65" s="228">
        <f>SUM(EH65:EI65)</f>
        <v>194.43</v>
      </c>
      <c r="EK65" s="229"/>
      <c r="EL65" s="229"/>
      <c r="EM65" s="228">
        <f t="shared" si="176"/>
        <v>0</v>
      </c>
      <c r="EN65" s="229">
        <f>EK65+EH65+EL65</f>
        <v>150.63</v>
      </c>
      <c r="EO65" s="229">
        <f>EI65</f>
        <v>43.8</v>
      </c>
      <c r="EP65" s="228">
        <f t="shared" si="177"/>
        <v>194.43</v>
      </c>
      <c r="EQ65" s="173">
        <f t="shared" si="19"/>
        <v>66.63</v>
      </c>
      <c r="ER65" s="189">
        <v>0</v>
      </c>
      <c r="ES65" s="189">
        <v>12.3</v>
      </c>
      <c r="ET65" s="189">
        <v>5</v>
      </c>
      <c r="EU65" s="189">
        <v>0</v>
      </c>
      <c r="EV65" s="189">
        <v>0</v>
      </c>
      <c r="EW65" s="189">
        <v>44</v>
      </c>
      <c r="EX65" s="189">
        <v>0</v>
      </c>
      <c r="EY65" s="189">
        <v>32</v>
      </c>
      <c r="EZ65" s="189">
        <v>0</v>
      </c>
      <c r="FA65" s="189">
        <v>0</v>
      </c>
      <c r="FB65" s="189">
        <v>0</v>
      </c>
      <c r="FC65" s="189">
        <v>40</v>
      </c>
      <c r="FD65" s="189">
        <v>0</v>
      </c>
      <c r="FE65" s="189">
        <v>0</v>
      </c>
      <c r="FF65" s="189">
        <v>0</v>
      </c>
      <c r="FG65" s="189">
        <v>0</v>
      </c>
      <c r="FH65" s="189">
        <v>12</v>
      </c>
      <c r="FI65" s="189">
        <v>0</v>
      </c>
      <c r="FJ65" s="189">
        <v>0</v>
      </c>
      <c r="FK65" s="189">
        <v>145.30000000000001</v>
      </c>
      <c r="FL65" s="189">
        <v>124</v>
      </c>
      <c r="FN65" s="132">
        <v>150.63</v>
      </c>
    </row>
    <row r="66" spans="1:170" ht="30.75" customHeight="1">
      <c r="A66" s="88">
        <f>COUNTIF($H$12:H66,H66)</f>
        <v>55</v>
      </c>
      <c r="B66" s="88" t="s">
        <v>2098</v>
      </c>
      <c r="C66" s="88" t="s">
        <v>2065</v>
      </c>
      <c r="D66" s="88"/>
      <c r="E66" s="88"/>
      <c r="F66" s="301" t="s">
        <v>1908</v>
      </c>
      <c r="G66" s="89" t="s">
        <v>2814</v>
      </c>
      <c r="H66" s="88">
        <v>1</v>
      </c>
      <c r="I66" s="88">
        <v>1</v>
      </c>
      <c r="J66" s="88">
        <v>1</v>
      </c>
      <c r="K66" s="90" t="s">
        <v>2831</v>
      </c>
      <c r="L66" s="90" t="s">
        <v>2831</v>
      </c>
      <c r="M66" s="214"/>
      <c r="N66" s="88" t="s">
        <v>1804</v>
      </c>
      <c r="O66" s="216">
        <f t="shared" si="162"/>
        <v>3</v>
      </c>
      <c r="P66" s="88" t="str">
        <f t="shared" si="0"/>
        <v>B1_3</v>
      </c>
      <c r="Q66" s="88">
        <f t="shared" si="149"/>
        <v>270</v>
      </c>
      <c r="R66" s="88">
        <f t="shared" si="150"/>
        <v>100</v>
      </c>
      <c r="S66" s="231"/>
      <c r="T66" s="214" t="s">
        <v>3088</v>
      </c>
      <c r="U66" s="88">
        <f>IF(RIGHT(T66,1)="K",(VLOOKUP(T66,ma_miengiam!$A$3:$B$80,2,0)*100)/2,VLOOKUP(T66,ma_miengiam!$A$3:$B$80,2,0)*100)</f>
        <v>0</v>
      </c>
      <c r="V66" s="88"/>
      <c r="W66" s="220">
        <f>IF(AND(T66="NTS",V66&gt;0),(Q66-(Q66*V66)/12)*VLOOKUP(T66,ma_miengiam!$A$3:$B$80,2,0)+(Q66-(Q66*(12-V66))/12),IF(AND(RIGHT(T66,1)="K",V66&gt;0),(VLOOKUP(T66,ma_miengiam!$A$3:$B$80,2,0)/2)*(Q66*V66)/12,IF(RIGHT(T66,1)="K",(VLOOKUP(T66,ma_miengiam!$A$3:$B$80,2,0)*Q66)/2,IF(V66&gt;0,VLOOKUP(T66,ma_miengiam!$A$3:$B$80,2,0)*Q66*V66/12,VLOOKUP(T66,ma_miengiam!$A$3:$B$80,2,0)*Q66))))</f>
        <v>0</v>
      </c>
      <c r="X66" s="220">
        <f>IF(T66="NTS",VLOOKUP(T66,ma_miengiam!$A$3:$B$80,2,0)*R66*V66,IF(AND(T66="NTS",V66=0),0,IF(AND(LEFT(T66,1)="K",V66=0),VLOOKUP(T66,ma_miengiam!$A$3:$B$80,2,0)*R66,IF(LEFT(T66,1)="K",(VLOOKUP(T66,ma_miengiam!$A$3:$B$80,2,0)*R66/12)*V66,IF(AND(LEFT(T66,1)="S",V66&gt;0),(R66/12)*V66,IF(AND(LEFT(T66,1)="S",V66=0),R66,IF(T66="DH",VLOOKUP(T66,ma_miengiam!$A$3:$B$80,2,0)*R66,0)))))))</f>
        <v>0</v>
      </c>
      <c r="Y66" s="220">
        <f t="shared" si="131"/>
        <v>270</v>
      </c>
      <c r="Z66" s="220">
        <f t="shared" si="90"/>
        <v>100</v>
      </c>
      <c r="AA66" s="220">
        <f t="shared" ref="AA66:AB68" si="181">Q66</f>
        <v>270</v>
      </c>
      <c r="AB66" s="220">
        <f t="shared" si="181"/>
        <v>100</v>
      </c>
      <c r="AC66" s="220">
        <f t="shared" ref="AC66:AF68" si="182">W66</f>
        <v>0</v>
      </c>
      <c r="AD66" s="220">
        <f t="shared" si="182"/>
        <v>0</v>
      </c>
      <c r="AE66" s="220">
        <f t="shared" si="182"/>
        <v>270</v>
      </c>
      <c r="AF66" s="220">
        <f t="shared" si="182"/>
        <v>100</v>
      </c>
      <c r="AG66" s="220">
        <f t="shared" si="178"/>
        <v>49.17</v>
      </c>
      <c r="AH66" s="220">
        <f t="shared" si="179"/>
        <v>0</v>
      </c>
      <c r="AI66" s="220">
        <f t="shared" si="180"/>
        <v>49.17</v>
      </c>
      <c r="AJ66" s="220">
        <f>IF(AG66-Z66&gt;0,0,AG66-Z66)</f>
        <v>-50.83</v>
      </c>
      <c r="AK66" s="216">
        <f t="shared" si="8"/>
        <v>320.83</v>
      </c>
      <c r="AL66" s="220">
        <f t="shared" si="22"/>
        <v>141.9</v>
      </c>
      <c r="AM66" s="220">
        <f t="shared" si="23"/>
        <v>0</v>
      </c>
      <c r="AN66" s="221">
        <f t="shared" si="24"/>
        <v>141.9</v>
      </c>
      <c r="AO66" s="220">
        <f t="shared" si="25"/>
        <v>0</v>
      </c>
      <c r="AP66" s="220">
        <f t="shared" si="26"/>
        <v>0</v>
      </c>
      <c r="AQ66" s="220">
        <f t="shared" si="27"/>
        <v>40</v>
      </c>
      <c r="AR66" s="220">
        <f t="shared" si="28"/>
        <v>0</v>
      </c>
      <c r="AS66" s="220">
        <f t="shared" si="29"/>
        <v>0</v>
      </c>
      <c r="AT66" s="216">
        <f t="shared" si="30"/>
        <v>181.9</v>
      </c>
      <c r="AU66" s="222">
        <f t="shared" si="31"/>
        <v>-178.92999999999998</v>
      </c>
      <c r="AV66" s="220"/>
      <c r="AW66" s="220">
        <f t="shared" ref="AW66:AW114" si="183">IF(AU66&gt;0,AU66,AV66+AU66)</f>
        <v>-178.92999999999998</v>
      </c>
      <c r="AX66" s="216">
        <f t="shared" si="9"/>
        <v>-178.92999999999998</v>
      </c>
      <c r="AY66" s="220">
        <f t="shared" si="33"/>
        <v>0</v>
      </c>
      <c r="AZ66" s="220">
        <f t="shared" si="34"/>
        <v>0</v>
      </c>
      <c r="BA66" s="220">
        <f t="shared" si="35"/>
        <v>0</v>
      </c>
      <c r="BB66" s="220">
        <f t="shared" si="36"/>
        <v>0</v>
      </c>
      <c r="BC66" s="220">
        <f t="shared" si="37"/>
        <v>0</v>
      </c>
      <c r="BD66" s="216">
        <f t="shared" ref="BD66:BD119" si="184">SUM(AY66:BC66)</f>
        <v>0</v>
      </c>
      <c r="BE66" s="220">
        <f t="shared" ref="BE66:BE114" si="185">AY66-AO66</f>
        <v>0</v>
      </c>
      <c r="BF66" s="220">
        <f t="shared" ref="BF66:BF114" si="186">AZ66-AP66</f>
        <v>0</v>
      </c>
      <c r="BG66" s="220">
        <f t="shared" ref="BG66:BG114" si="187">BA66-AQ66</f>
        <v>-40</v>
      </c>
      <c r="BH66" s="220">
        <f t="shared" ref="BH66:BH114" si="188">BB66-AR66</f>
        <v>0</v>
      </c>
      <c r="BI66" s="220">
        <f t="shared" ref="BI66:BI114" si="189">BC66-AS66</f>
        <v>0</v>
      </c>
      <c r="BJ66" s="220" t="s">
        <v>617</v>
      </c>
      <c r="BK66" s="220"/>
      <c r="BL66" s="223">
        <f t="shared" si="11"/>
        <v>0</v>
      </c>
      <c r="BM66" s="220">
        <v>3</v>
      </c>
      <c r="BN66" s="220"/>
      <c r="BO66" s="220">
        <f t="shared" si="167"/>
        <v>3</v>
      </c>
      <c r="BP66" s="220">
        <f>IF(AND(BL66&gt;0,BL66&lt;tiet!$D$1),BL66,IF(BL66&lt;=0,0,IF(BL66&gt;tiet!$C$1,tiet!$C$1)))</f>
        <v>0</v>
      </c>
      <c r="BQ66" s="87">
        <f t="shared" si="170"/>
        <v>60000</v>
      </c>
      <c r="BR66" s="224">
        <f t="shared" si="171"/>
        <v>0</v>
      </c>
      <c r="BS66" s="220">
        <f t="shared" si="12"/>
        <v>0</v>
      </c>
      <c r="BT66" s="224">
        <f>VLOOKUP(N66,ma_dinhmuc!$A$1:$J$31,10,0)</f>
        <v>51000</v>
      </c>
      <c r="BU66" s="224">
        <f>ROUND(IF(BS66&gt;0,VLOOKUP(N66,ma_dinhmuc!$A$1:$J$31,10,0)*BS66,0),0)</f>
        <v>0</v>
      </c>
      <c r="BV66" s="224">
        <f t="shared" si="172"/>
        <v>0</v>
      </c>
      <c r="BW66" s="224"/>
      <c r="BX66" s="224">
        <v>0</v>
      </c>
      <c r="BY66" s="224"/>
      <c r="BZ66" s="224"/>
      <c r="CA66" s="224"/>
      <c r="CB66" s="224"/>
      <c r="CC66" s="225">
        <f t="shared" si="44"/>
        <v>0</v>
      </c>
      <c r="CD66" s="224">
        <f t="shared" si="45"/>
        <v>0</v>
      </c>
      <c r="CE66" s="224"/>
      <c r="CF66" s="226"/>
      <c r="CG66" s="87"/>
      <c r="CH66" s="87">
        <f t="shared" si="166"/>
        <v>55</v>
      </c>
      <c r="CI66" s="227" t="str">
        <f t="shared" si="144"/>
        <v>Phạm Thị</v>
      </c>
      <c r="CJ66" s="227" t="str">
        <f t="shared" si="145"/>
        <v>Ngọc</v>
      </c>
      <c r="CK66" s="87">
        <f t="shared" si="146"/>
        <v>1</v>
      </c>
      <c r="CL66" s="227" t="str">
        <f t="shared" si="174"/>
        <v>Di truyền giống</v>
      </c>
      <c r="CM66" s="87" t="str">
        <f t="shared" ref="CM66:CM114" si="190">N66</f>
        <v>CS2</v>
      </c>
      <c r="CN66" s="87">
        <f t="shared" ref="CN66:CO68" si="191">Q66</f>
        <v>270</v>
      </c>
      <c r="CO66" s="87">
        <f t="shared" si="191"/>
        <v>100</v>
      </c>
      <c r="CP66" s="229">
        <f t="shared" si="47"/>
        <v>0</v>
      </c>
      <c r="CQ66" s="229">
        <f t="shared" si="48"/>
        <v>10.3</v>
      </c>
      <c r="CR66" s="229">
        <f t="shared" si="49"/>
        <v>4.0999999999999996</v>
      </c>
      <c r="CS66" s="229">
        <f t="shared" si="50"/>
        <v>0</v>
      </c>
      <c r="CT66" s="229">
        <f t="shared" si="51"/>
        <v>0</v>
      </c>
      <c r="CU66" s="229">
        <f t="shared" si="52"/>
        <v>52</v>
      </c>
      <c r="CV66" s="229">
        <f t="shared" si="53"/>
        <v>0</v>
      </c>
      <c r="CW66" s="229">
        <f t="shared" si="54"/>
        <v>75.5</v>
      </c>
      <c r="CX66" s="229">
        <f t="shared" si="55"/>
        <v>0</v>
      </c>
      <c r="CY66" s="229">
        <f t="shared" si="56"/>
        <v>0</v>
      </c>
      <c r="CZ66" s="229">
        <f t="shared" si="57"/>
        <v>0</v>
      </c>
      <c r="DA66" s="229">
        <f t="shared" si="58"/>
        <v>40</v>
      </c>
      <c r="DB66" s="228">
        <f t="shared" si="59"/>
        <v>181.9</v>
      </c>
      <c r="DC66" s="229"/>
      <c r="DD66" s="229"/>
      <c r="DE66" s="229"/>
      <c r="DF66" s="229"/>
      <c r="DG66" s="229"/>
      <c r="DH66" s="229"/>
      <c r="DI66" s="229"/>
      <c r="DJ66" s="229"/>
      <c r="DK66" s="229"/>
      <c r="DL66" s="229"/>
      <c r="DM66" s="229"/>
      <c r="DN66" s="229"/>
      <c r="DO66" s="228">
        <f t="shared" si="60"/>
        <v>0</v>
      </c>
      <c r="DP66" s="228">
        <f t="shared" si="61"/>
        <v>181.9</v>
      </c>
      <c r="DQ66" s="229">
        <f t="shared" si="62"/>
        <v>0</v>
      </c>
      <c r="DR66" s="229">
        <f t="shared" si="63"/>
        <v>0</v>
      </c>
      <c r="DS66" s="229">
        <f t="shared" si="64"/>
        <v>0</v>
      </c>
      <c r="DT66" s="229">
        <f t="shared" si="65"/>
        <v>0</v>
      </c>
      <c r="DU66" s="229">
        <f t="shared" si="66"/>
        <v>0</v>
      </c>
      <c r="DV66" s="229">
        <f t="shared" si="67"/>
        <v>0</v>
      </c>
      <c r="DW66" s="229">
        <f t="shared" si="68"/>
        <v>0</v>
      </c>
      <c r="DX66" s="228">
        <f t="shared" si="69"/>
        <v>0</v>
      </c>
      <c r="DY66" s="229"/>
      <c r="DZ66" s="229"/>
      <c r="EA66" s="229"/>
      <c r="EB66" s="229"/>
      <c r="EC66" s="229"/>
      <c r="ED66" s="229"/>
      <c r="EE66" s="229"/>
      <c r="EF66" s="228">
        <f t="shared" si="17"/>
        <v>0</v>
      </c>
      <c r="EG66" s="228">
        <f t="shared" si="70"/>
        <v>0</v>
      </c>
      <c r="EH66" s="229">
        <f t="shared" si="18"/>
        <v>49.17</v>
      </c>
      <c r="EI66" s="229">
        <v>0</v>
      </c>
      <c r="EJ66" s="228">
        <f t="shared" si="84"/>
        <v>49.17</v>
      </c>
      <c r="EK66" s="229"/>
      <c r="EL66" s="229"/>
      <c r="EM66" s="228">
        <f t="shared" si="176"/>
        <v>0</v>
      </c>
      <c r="EN66" s="229">
        <f t="shared" ref="EN66:EN114" si="192">EK66+EH66+EL66</f>
        <v>49.17</v>
      </c>
      <c r="EO66" s="229">
        <f t="shared" si="72"/>
        <v>0</v>
      </c>
      <c r="EP66" s="228">
        <f t="shared" si="177"/>
        <v>49.17</v>
      </c>
      <c r="EQ66" s="173">
        <f t="shared" si="19"/>
        <v>0</v>
      </c>
      <c r="ER66" s="189">
        <v>0</v>
      </c>
      <c r="ES66" s="189">
        <v>10.3</v>
      </c>
      <c r="ET66" s="189">
        <v>4.0999999999999996</v>
      </c>
      <c r="EU66" s="189">
        <v>0</v>
      </c>
      <c r="EV66" s="189">
        <v>0</v>
      </c>
      <c r="EW66" s="189">
        <v>52</v>
      </c>
      <c r="EX66" s="189">
        <v>0</v>
      </c>
      <c r="EY66" s="189">
        <v>75.5</v>
      </c>
      <c r="EZ66" s="189">
        <v>0</v>
      </c>
      <c r="FA66" s="189">
        <v>0</v>
      </c>
      <c r="FB66" s="189">
        <v>0</v>
      </c>
      <c r="FC66" s="189">
        <v>40</v>
      </c>
      <c r="FD66" s="189">
        <v>0</v>
      </c>
      <c r="FE66" s="189">
        <v>0</v>
      </c>
      <c r="FF66" s="189">
        <v>0</v>
      </c>
      <c r="FG66" s="189">
        <v>0</v>
      </c>
      <c r="FH66" s="189">
        <v>0</v>
      </c>
      <c r="FI66" s="189">
        <v>0</v>
      </c>
      <c r="FJ66" s="189">
        <v>0</v>
      </c>
      <c r="FK66" s="189">
        <v>181.9</v>
      </c>
      <c r="FL66" s="189">
        <v>164</v>
      </c>
      <c r="FN66" s="132">
        <v>49.17</v>
      </c>
    </row>
    <row r="67" spans="1:170" ht="30" customHeight="1">
      <c r="A67" s="88">
        <f>COUNTIF($H$12:H67,H67)</f>
        <v>56</v>
      </c>
      <c r="B67" s="88" t="s">
        <v>2099</v>
      </c>
      <c r="C67" s="88" t="s">
        <v>2066</v>
      </c>
      <c r="D67" s="88"/>
      <c r="E67" s="88"/>
      <c r="F67" s="301" t="s">
        <v>188</v>
      </c>
      <c r="G67" s="89" t="s">
        <v>189</v>
      </c>
      <c r="H67" s="88">
        <v>1</v>
      </c>
      <c r="I67" s="88">
        <v>1</v>
      </c>
      <c r="J67" s="88">
        <v>1</v>
      </c>
      <c r="K67" s="90" t="s">
        <v>2831</v>
      </c>
      <c r="L67" s="90" t="s">
        <v>2831</v>
      </c>
      <c r="M67" s="214"/>
      <c r="N67" s="88" t="s">
        <v>606</v>
      </c>
      <c r="O67" s="216">
        <f t="shared" si="162"/>
        <v>4.4000000000000004</v>
      </c>
      <c r="P67" s="88" t="str">
        <f t="shared" si="0"/>
        <v>B1_4</v>
      </c>
      <c r="Q67" s="88">
        <f t="shared" si="149"/>
        <v>270</v>
      </c>
      <c r="R67" s="88">
        <f t="shared" si="150"/>
        <v>120</v>
      </c>
      <c r="S67" s="218"/>
      <c r="T67" s="88" t="s">
        <v>3088</v>
      </c>
      <c r="U67" s="88">
        <f>IF(RIGHT(T67,1)="K",(VLOOKUP(T67,ma_miengiam!$A$3:$B$80,2,0)*100)/2,VLOOKUP(T67,ma_miengiam!$A$3:$B$80,2,0)*100)</f>
        <v>0</v>
      </c>
      <c r="V67" s="88"/>
      <c r="W67" s="220">
        <f>IF(AND(T67="NTS",V67&gt;0),(Q67-(Q67*V67)/12)*VLOOKUP(T67,ma_miengiam!$A$3:$B$80,2,0)+(Q67-(Q67*(12-V67))/12),IF(AND(RIGHT(T67,1)="K",V67&gt;0),(VLOOKUP(T67,ma_miengiam!$A$3:$B$80,2,0)/2)*(Q67*V67)/12,IF(RIGHT(T67,1)="K",(VLOOKUP(T67,ma_miengiam!$A$3:$B$80,2,0)*Q67)/2,IF(V67&gt;0,VLOOKUP(T67,ma_miengiam!$A$3:$B$80,2,0)*Q67*V67/12,VLOOKUP(T67,ma_miengiam!$A$3:$B$80,2,0)*Q67))))</f>
        <v>0</v>
      </c>
      <c r="X67" s="220">
        <f>IF(T67="NTS",VLOOKUP(T67,ma_miengiam!$A$3:$B$80,2,0)*R67*V67,IF(AND(T67="NTS",V67=0),0,IF(AND(LEFT(T67,1)="K",V67=0),VLOOKUP(T67,ma_miengiam!$A$3:$B$80,2,0)*R67,IF(LEFT(T67,1)="K",(VLOOKUP(T67,ma_miengiam!$A$3:$B$80,2,0)*R67/12)*V67,IF(AND(LEFT(T67,1)="S",V67&gt;0),(R67/12)*V67,IF(AND(LEFT(T67,1)="S",V67=0),R67,IF(T67="DH",VLOOKUP(T67,ma_miengiam!$A$3:$B$80,2,0)*R67,0)))))))</f>
        <v>0</v>
      </c>
      <c r="Y67" s="220">
        <f t="shared" si="131"/>
        <v>270</v>
      </c>
      <c r="Z67" s="220">
        <f t="shared" si="90"/>
        <v>120</v>
      </c>
      <c r="AA67" s="220">
        <f t="shared" si="181"/>
        <v>270</v>
      </c>
      <c r="AB67" s="220">
        <f t="shared" si="181"/>
        <v>120</v>
      </c>
      <c r="AC67" s="220">
        <f t="shared" si="182"/>
        <v>0</v>
      </c>
      <c r="AD67" s="220">
        <f t="shared" si="182"/>
        <v>0</v>
      </c>
      <c r="AE67" s="220">
        <f t="shared" si="182"/>
        <v>270</v>
      </c>
      <c r="AF67" s="220">
        <f t="shared" si="182"/>
        <v>120</v>
      </c>
      <c r="AG67" s="220">
        <f t="shared" si="178"/>
        <v>145.69</v>
      </c>
      <c r="AH67" s="220">
        <f t="shared" si="179"/>
        <v>1.52</v>
      </c>
      <c r="AI67" s="220">
        <f t="shared" si="180"/>
        <v>144.16999999999999</v>
      </c>
      <c r="AJ67" s="220">
        <f>IF(AG67-Z67&gt;0,0,AG67-Z67)</f>
        <v>0</v>
      </c>
      <c r="AK67" s="216">
        <f t="shared" si="8"/>
        <v>270</v>
      </c>
      <c r="AL67" s="220">
        <f t="shared" si="22"/>
        <v>157.4</v>
      </c>
      <c r="AM67" s="220">
        <f t="shared" si="23"/>
        <v>0</v>
      </c>
      <c r="AN67" s="221">
        <f t="shared" si="24"/>
        <v>157.4</v>
      </c>
      <c r="AO67" s="220">
        <f t="shared" si="25"/>
        <v>0</v>
      </c>
      <c r="AP67" s="220">
        <f t="shared" si="26"/>
        <v>0</v>
      </c>
      <c r="AQ67" s="220">
        <f t="shared" si="27"/>
        <v>60</v>
      </c>
      <c r="AR67" s="220">
        <f t="shared" si="28"/>
        <v>80</v>
      </c>
      <c r="AS67" s="220">
        <f t="shared" si="29"/>
        <v>0</v>
      </c>
      <c r="AT67" s="216">
        <f t="shared" si="30"/>
        <v>297.39999999999998</v>
      </c>
      <c r="AU67" s="222">
        <f t="shared" si="31"/>
        <v>-112.6</v>
      </c>
      <c r="AV67" s="220"/>
      <c r="AW67" s="220">
        <f t="shared" si="183"/>
        <v>-112.6</v>
      </c>
      <c r="AX67" s="216">
        <f t="shared" si="9"/>
        <v>-112.6</v>
      </c>
      <c r="AY67" s="220">
        <f t="shared" ref="AY67:AY116" si="193">IF(AN67&gt;=AK67,AO67,IF(AN67+AO67-AK67&gt;=0,AN67+AO67-AK67,0))</f>
        <v>0</v>
      </c>
      <c r="AZ67" s="220">
        <f t="shared" ref="AZ67:AZ116" si="194">IF(OR(AN67&gt;=AK67,AN67+AO67&gt;=AK67),AP67,IF(AN67+AO67+AP67&gt;AK67,AN67+AO67+AP67-AK67,0))</f>
        <v>0</v>
      </c>
      <c r="BA67" s="220">
        <f t="shared" ref="BA67:BA116" si="195">IF(OR(AN67&gt;=AK67,AN67+AO67&gt;=AK67,AN67+AO67+AP67&gt;=AK67),AQ67,IF(AN67+AO67+AP67+AQ67&gt;=AK67,AN67+AO67+AP67+AQ67-AK67,0))</f>
        <v>0</v>
      </c>
      <c r="BB67" s="220">
        <f t="shared" ref="BB67:BB116" si="196">IF(OR(AN67&gt;=AK67,AN67+AO67&gt;=AK67,AN67+AO67+AP67&gt;=AK67,AN67+AO67+AP67+AQ67&gt;=AK67),AR67,IF(AN67+AO67+AP67+AQ67+AR67&gt;=AK67,AN67+AO67+AP67+AQ67+AR67-AK67,0))</f>
        <v>27.399999999999977</v>
      </c>
      <c r="BC67" s="220">
        <f t="shared" ref="BC67:BC116" si="197">IF(OR(AN67&gt;=AK67,AN67+AO67&gt;=AK67,AN67+AO67+AP67&gt;=AK67,AN67+AO67+AP67+AQ67&gt;=AK67,AN67+AO67+AP67+AQ67+AR67&gt;=AK67),AS67,IF(AN67+AO67+AP67+AQ67+AR67+AS67&gt;=AK67,AN67+AO67+AP67+AQ67+AR67+AS67-AK67,0))</f>
        <v>0</v>
      </c>
      <c r="BD67" s="216">
        <f t="shared" si="184"/>
        <v>27.399999999999977</v>
      </c>
      <c r="BE67" s="220">
        <f t="shared" si="185"/>
        <v>0</v>
      </c>
      <c r="BF67" s="220">
        <f t="shared" si="186"/>
        <v>0</v>
      </c>
      <c r="BG67" s="220">
        <f t="shared" si="187"/>
        <v>-60</v>
      </c>
      <c r="BH67" s="220">
        <f t="shared" si="188"/>
        <v>-52.600000000000023</v>
      </c>
      <c r="BI67" s="220">
        <f t="shared" si="189"/>
        <v>0</v>
      </c>
      <c r="BJ67" s="220" t="s">
        <v>617</v>
      </c>
      <c r="BK67" s="220"/>
      <c r="BL67" s="223">
        <f t="shared" si="11"/>
        <v>0</v>
      </c>
      <c r="BM67" s="220">
        <v>4.4000000000000004</v>
      </c>
      <c r="BN67" s="220"/>
      <c r="BO67" s="220">
        <f t="shared" si="167"/>
        <v>4.4000000000000004</v>
      </c>
      <c r="BP67" s="220">
        <f>IF(AND(BL67&gt;0,BL67&lt;tiet!$D$1),BL67,IF(BL67&lt;=0,0,IF(BL67&gt;tiet!$C$1,tiet!$C$1)))</f>
        <v>0</v>
      </c>
      <c r="BQ67" s="87">
        <f t="shared" si="170"/>
        <v>65000</v>
      </c>
      <c r="BR67" s="224">
        <f t="shared" si="171"/>
        <v>0</v>
      </c>
      <c r="BS67" s="220">
        <f t="shared" si="12"/>
        <v>0</v>
      </c>
      <c r="BT67" s="224">
        <f>VLOOKUP(N67,ma_dinhmuc!$A$1:$J$31,10,0)</f>
        <v>55000</v>
      </c>
      <c r="BU67" s="224">
        <f>ROUND(IF(BS67&gt;0,VLOOKUP(N67,ma_dinhmuc!$A$1:$J$31,10,0)*BS67,0),0)</f>
        <v>0</v>
      </c>
      <c r="BV67" s="224">
        <f t="shared" si="172"/>
        <v>0</v>
      </c>
      <c r="BW67" s="224"/>
      <c r="BX67" s="224">
        <v>0</v>
      </c>
      <c r="BY67" s="224"/>
      <c r="BZ67" s="224"/>
      <c r="CA67" s="224"/>
      <c r="CB67" s="224"/>
      <c r="CC67" s="225">
        <f t="shared" ref="CC67:CC123" si="198">ROUND(IF(BV67+BW67&gt;BX67+BY67+BZ67+CA67+CB67,(BW67+BV67)-(BX67+BY67+BZ67+CA67+CB67+CB67),0),0)</f>
        <v>0</v>
      </c>
      <c r="CD67" s="224">
        <f t="shared" ref="CD67:CD123" si="199">ROUND(IF(BV67+BW67&lt;BX67+BY67+BZ67+CA67-CB67,(BX67+BY67+BZ67+CA67-CB67)-(BW67+BV67),0),0)</f>
        <v>0</v>
      </c>
      <c r="CE67" s="224"/>
      <c r="CF67" s="226"/>
      <c r="CG67" s="87"/>
      <c r="CH67" s="87">
        <f t="shared" si="166"/>
        <v>56</v>
      </c>
      <c r="CI67" s="227" t="str">
        <f t="shared" si="144"/>
        <v>Ngô Thị Hồng</v>
      </c>
      <c r="CJ67" s="227" t="str">
        <f t="shared" si="145"/>
        <v>Tươi</v>
      </c>
      <c r="CK67" s="87">
        <f t="shared" si="146"/>
        <v>1</v>
      </c>
      <c r="CL67" s="227" t="str">
        <f t="shared" si="174"/>
        <v>Di truyền giống</v>
      </c>
      <c r="CM67" s="87" t="str">
        <f t="shared" si="190"/>
        <v>CS3</v>
      </c>
      <c r="CN67" s="87">
        <f t="shared" si="191"/>
        <v>270</v>
      </c>
      <c r="CO67" s="87">
        <f t="shared" si="191"/>
        <v>120</v>
      </c>
      <c r="CP67" s="229">
        <f t="shared" si="47"/>
        <v>0</v>
      </c>
      <c r="CQ67" s="229">
        <f t="shared" si="48"/>
        <v>14.6</v>
      </c>
      <c r="CR67" s="229">
        <f t="shared" si="49"/>
        <v>5.9</v>
      </c>
      <c r="CS67" s="229">
        <f t="shared" si="50"/>
        <v>0</v>
      </c>
      <c r="CT67" s="229">
        <f t="shared" si="51"/>
        <v>0</v>
      </c>
      <c r="CU67" s="229">
        <f t="shared" si="52"/>
        <v>64.900000000000006</v>
      </c>
      <c r="CV67" s="229">
        <f t="shared" si="53"/>
        <v>0</v>
      </c>
      <c r="CW67" s="229">
        <f t="shared" si="54"/>
        <v>72</v>
      </c>
      <c r="CX67" s="229">
        <f t="shared" si="55"/>
        <v>0</v>
      </c>
      <c r="CY67" s="229">
        <f t="shared" si="56"/>
        <v>0</v>
      </c>
      <c r="CZ67" s="229">
        <f t="shared" si="57"/>
        <v>0</v>
      </c>
      <c r="DA67" s="229">
        <f t="shared" si="58"/>
        <v>60</v>
      </c>
      <c r="DB67" s="228">
        <f t="shared" si="59"/>
        <v>217.4</v>
      </c>
      <c r="DC67" s="229"/>
      <c r="DD67" s="229"/>
      <c r="DE67" s="229"/>
      <c r="DF67" s="229"/>
      <c r="DG67" s="229"/>
      <c r="DH67" s="229"/>
      <c r="DI67" s="229"/>
      <c r="DJ67" s="229"/>
      <c r="DK67" s="229"/>
      <c r="DL67" s="229"/>
      <c r="DM67" s="229"/>
      <c r="DN67" s="229"/>
      <c r="DO67" s="228">
        <f t="shared" si="60"/>
        <v>0</v>
      </c>
      <c r="DP67" s="228">
        <f t="shared" si="61"/>
        <v>217.4</v>
      </c>
      <c r="DQ67" s="229">
        <f t="shared" si="62"/>
        <v>0</v>
      </c>
      <c r="DR67" s="229">
        <f t="shared" si="63"/>
        <v>0</v>
      </c>
      <c r="DS67" s="229">
        <f t="shared" si="64"/>
        <v>0</v>
      </c>
      <c r="DT67" s="229">
        <f t="shared" si="65"/>
        <v>0</v>
      </c>
      <c r="DU67" s="229">
        <f t="shared" si="66"/>
        <v>0</v>
      </c>
      <c r="DV67" s="229">
        <f t="shared" si="67"/>
        <v>80</v>
      </c>
      <c r="DW67" s="229">
        <f t="shared" si="68"/>
        <v>0</v>
      </c>
      <c r="DX67" s="228">
        <f t="shared" si="69"/>
        <v>80</v>
      </c>
      <c r="DY67" s="229"/>
      <c r="DZ67" s="229"/>
      <c r="EA67" s="229"/>
      <c r="EB67" s="229"/>
      <c r="EC67" s="229"/>
      <c r="ED67" s="229"/>
      <c r="EE67" s="229"/>
      <c r="EF67" s="228">
        <f t="shared" si="17"/>
        <v>0</v>
      </c>
      <c r="EG67" s="228">
        <f t="shared" si="70"/>
        <v>80</v>
      </c>
      <c r="EH67" s="229">
        <f t="shared" si="18"/>
        <v>144.16999999999999</v>
      </c>
      <c r="EI67" s="229">
        <v>1.52</v>
      </c>
      <c r="EJ67" s="228">
        <f t="shared" si="84"/>
        <v>145.69</v>
      </c>
      <c r="EK67" s="229"/>
      <c r="EL67" s="229"/>
      <c r="EM67" s="228">
        <f t="shared" si="176"/>
        <v>0</v>
      </c>
      <c r="EN67" s="229">
        <f t="shared" si="192"/>
        <v>144.16999999999999</v>
      </c>
      <c r="EO67" s="229">
        <f t="shared" si="72"/>
        <v>1.52</v>
      </c>
      <c r="EP67" s="228">
        <f t="shared" si="177"/>
        <v>145.69</v>
      </c>
      <c r="EQ67" s="173">
        <f t="shared" si="19"/>
        <v>24.169999999999987</v>
      </c>
      <c r="ER67" s="189">
        <v>0</v>
      </c>
      <c r="ES67" s="189">
        <v>14.6</v>
      </c>
      <c r="ET67" s="189">
        <v>5.9</v>
      </c>
      <c r="EU67" s="189">
        <v>0</v>
      </c>
      <c r="EV67" s="189">
        <v>0</v>
      </c>
      <c r="EW67" s="189">
        <v>64.900000000000006</v>
      </c>
      <c r="EX67" s="189">
        <v>0</v>
      </c>
      <c r="EY67" s="189">
        <v>72</v>
      </c>
      <c r="EZ67" s="189">
        <v>0</v>
      </c>
      <c r="FA67" s="189">
        <v>0</v>
      </c>
      <c r="FB67" s="189">
        <v>0</v>
      </c>
      <c r="FC67" s="189">
        <v>60</v>
      </c>
      <c r="FD67" s="189">
        <v>0</v>
      </c>
      <c r="FE67" s="189">
        <v>0</v>
      </c>
      <c r="FF67" s="189">
        <v>0</v>
      </c>
      <c r="FG67" s="189">
        <v>0</v>
      </c>
      <c r="FH67" s="189">
        <v>80</v>
      </c>
      <c r="FI67" s="189">
        <v>0</v>
      </c>
      <c r="FJ67" s="189">
        <v>0</v>
      </c>
      <c r="FK67" s="189">
        <v>297.39999999999998</v>
      </c>
      <c r="FL67" s="189">
        <v>264</v>
      </c>
      <c r="FN67" s="132">
        <v>144.16999999999999</v>
      </c>
    </row>
    <row r="68" spans="1:170" ht="30" customHeight="1">
      <c r="A68" s="88">
        <f>COUNTIF($H$12:H68,H68)</f>
        <v>57</v>
      </c>
      <c r="B68" s="88" t="s">
        <v>2100</v>
      </c>
      <c r="C68" s="88" t="s">
        <v>2067</v>
      </c>
      <c r="D68" s="88"/>
      <c r="E68" s="88"/>
      <c r="F68" s="301" t="s">
        <v>2078</v>
      </c>
      <c r="G68" s="89" t="s">
        <v>2079</v>
      </c>
      <c r="H68" s="88">
        <v>1</v>
      </c>
      <c r="I68" s="88">
        <v>1</v>
      </c>
      <c r="J68" s="88">
        <v>1</v>
      </c>
      <c r="K68" s="90" t="s">
        <v>2831</v>
      </c>
      <c r="L68" s="90" t="s">
        <v>2831</v>
      </c>
      <c r="M68" s="214"/>
      <c r="N68" s="88" t="s">
        <v>1804</v>
      </c>
      <c r="O68" s="216">
        <f t="shared" si="162"/>
        <v>3.99</v>
      </c>
      <c r="P68" s="88" t="str">
        <f t="shared" si="0"/>
        <v>B1_4</v>
      </c>
      <c r="Q68" s="88">
        <f t="shared" si="149"/>
        <v>270</v>
      </c>
      <c r="R68" s="88">
        <f t="shared" si="150"/>
        <v>120</v>
      </c>
      <c r="S68" s="218" t="s">
        <v>1860</v>
      </c>
      <c r="T68" s="88" t="s">
        <v>3091</v>
      </c>
      <c r="U68" s="88">
        <f>IF(RIGHT(T68,1)="K",(VLOOKUP(T68,ma_miengiam!$A$3:$B$80,2,0)*100)/2,VLOOKUP(T68,ma_miengiam!$A$3:$B$80,2,0)*100)</f>
        <v>20</v>
      </c>
      <c r="V68" s="88"/>
      <c r="W68" s="220">
        <f>IF(AND(T68="NTS",V68&gt;0),(Q68-(Q68*V68)/12)*VLOOKUP(T68,ma_miengiam!$A$3:$B$80,2,0)+(Q68-(Q68*(12-V68))/12),IF(AND(RIGHT(T68,1)="K",V68&gt;0),(VLOOKUP(T68,ma_miengiam!$A$3:$B$80,2,0)/2)*(Q68*V68)/12,IF(RIGHT(T68,1)="K",(VLOOKUP(T68,ma_miengiam!$A$3:$B$80,2,0)*Q68)/2,IF(V68&gt;0,VLOOKUP(T68,ma_miengiam!$A$3:$B$80,2,0)*Q68*V68/12,VLOOKUP(T68,ma_miengiam!$A$3:$B$80,2,0)*Q68))))</f>
        <v>54</v>
      </c>
      <c r="X68" s="220">
        <f>IF(T68="NTS",VLOOKUP(T68,ma_miengiam!$A$3:$B$80,2,0)*R68*V68,IF(AND(T68="NTS",V68=0),0,IF(AND(LEFT(T68,1)="K",V68=0),VLOOKUP(T68,ma_miengiam!$A$3:$B$80,2,0)*R68,IF(LEFT(T68,1)="K",(VLOOKUP(T68,ma_miengiam!$A$3:$B$80,2,0)*R68/12)*V68,IF(AND(LEFT(T68,1)="S",V68&gt;0),(R68/12)*V68,IF(AND(LEFT(T68,1)="S",V68=0),R68,IF(T68="DH",VLOOKUP(T68,ma_miengiam!$A$3:$B$80,2,0)*R68,0)))))))</f>
        <v>0</v>
      </c>
      <c r="Y68" s="220">
        <f t="shared" si="131"/>
        <v>216</v>
      </c>
      <c r="Z68" s="220">
        <f t="shared" si="90"/>
        <v>120</v>
      </c>
      <c r="AA68" s="220">
        <f t="shared" si="181"/>
        <v>270</v>
      </c>
      <c r="AB68" s="220">
        <f t="shared" si="181"/>
        <v>120</v>
      </c>
      <c r="AC68" s="220">
        <f t="shared" si="182"/>
        <v>54</v>
      </c>
      <c r="AD68" s="220">
        <f t="shared" si="182"/>
        <v>0</v>
      </c>
      <c r="AE68" s="220">
        <f t="shared" si="182"/>
        <v>216</v>
      </c>
      <c r="AF68" s="220">
        <f t="shared" si="182"/>
        <v>120</v>
      </c>
      <c r="AG68" s="220">
        <f t="shared" si="178"/>
        <v>67.62</v>
      </c>
      <c r="AH68" s="220">
        <f t="shared" si="179"/>
        <v>0</v>
      </c>
      <c r="AI68" s="220">
        <f t="shared" si="180"/>
        <v>67.62</v>
      </c>
      <c r="AJ68" s="220">
        <f>IF(AG68-Z68&gt;0,0,AG68-Z68)</f>
        <v>-52.379999999999995</v>
      </c>
      <c r="AK68" s="216">
        <f t="shared" si="8"/>
        <v>268.38</v>
      </c>
      <c r="AL68" s="220">
        <f t="shared" si="22"/>
        <v>281.7</v>
      </c>
      <c r="AM68" s="220">
        <f t="shared" si="23"/>
        <v>0</v>
      </c>
      <c r="AN68" s="221">
        <f t="shared" si="24"/>
        <v>281.7</v>
      </c>
      <c r="AO68" s="220">
        <f t="shared" si="25"/>
        <v>20</v>
      </c>
      <c r="AP68" s="220">
        <f t="shared" si="26"/>
        <v>0</v>
      </c>
      <c r="AQ68" s="220">
        <f t="shared" si="27"/>
        <v>40</v>
      </c>
      <c r="AR68" s="220">
        <f t="shared" si="28"/>
        <v>40</v>
      </c>
      <c r="AS68" s="220">
        <f t="shared" si="29"/>
        <v>0</v>
      </c>
      <c r="AT68" s="216">
        <f t="shared" si="30"/>
        <v>381.7</v>
      </c>
      <c r="AU68" s="222">
        <f t="shared" si="31"/>
        <v>13.319999999999993</v>
      </c>
      <c r="AV68" s="220"/>
      <c r="AW68" s="220">
        <f t="shared" si="183"/>
        <v>13.319999999999993</v>
      </c>
      <c r="AX68" s="216">
        <f t="shared" si="9"/>
        <v>0</v>
      </c>
      <c r="AY68" s="220">
        <f t="shared" si="193"/>
        <v>20</v>
      </c>
      <c r="AZ68" s="220">
        <f t="shared" si="194"/>
        <v>0</v>
      </c>
      <c r="BA68" s="220">
        <f t="shared" si="195"/>
        <v>40</v>
      </c>
      <c r="BB68" s="220">
        <f t="shared" si="196"/>
        <v>40</v>
      </c>
      <c r="BC68" s="220">
        <f t="shared" si="197"/>
        <v>0</v>
      </c>
      <c r="BD68" s="216">
        <f t="shared" si="184"/>
        <v>100</v>
      </c>
      <c r="BE68" s="220">
        <f t="shared" si="185"/>
        <v>0</v>
      </c>
      <c r="BF68" s="220">
        <f t="shared" si="186"/>
        <v>0</v>
      </c>
      <c r="BG68" s="220">
        <f t="shared" si="187"/>
        <v>0</v>
      </c>
      <c r="BH68" s="220">
        <f t="shared" si="188"/>
        <v>0</v>
      </c>
      <c r="BI68" s="220">
        <f t="shared" si="189"/>
        <v>0</v>
      </c>
      <c r="BJ68" s="220" t="s">
        <v>617</v>
      </c>
      <c r="BK68" s="220"/>
      <c r="BL68" s="223">
        <f t="shared" si="11"/>
        <v>13.319999999999993</v>
      </c>
      <c r="BM68" s="220">
        <v>3.99</v>
      </c>
      <c r="BN68" s="220"/>
      <c r="BO68" s="220">
        <f t="shared" si="167"/>
        <v>3.99</v>
      </c>
      <c r="BP68" s="220">
        <f>IF(AND(BL68&gt;0,BL68&lt;tiet!$D$1),BL68,IF(BL68&lt;=0,0,IF(BL68&gt;tiet!$C$1,tiet!$C$1)))</f>
        <v>13.319999999999993</v>
      </c>
      <c r="BQ68" s="87">
        <f t="shared" si="170"/>
        <v>65000</v>
      </c>
      <c r="BR68" s="224">
        <f t="shared" si="171"/>
        <v>865800</v>
      </c>
      <c r="BS68" s="220">
        <f t="shared" si="12"/>
        <v>0</v>
      </c>
      <c r="BT68" s="224">
        <f>VLOOKUP(N68,ma_dinhmuc!$A$1:$J$31,10,0)</f>
        <v>51000</v>
      </c>
      <c r="BU68" s="224">
        <f>ROUND(IF(BS68&gt;0,VLOOKUP(N68,ma_dinhmuc!$A$1:$J$31,10,0)*BS68,0),0)</f>
        <v>0</v>
      </c>
      <c r="BV68" s="224">
        <f t="shared" si="172"/>
        <v>865800</v>
      </c>
      <c r="BW68" s="224"/>
      <c r="BX68" s="224">
        <v>0</v>
      </c>
      <c r="BY68" s="224"/>
      <c r="BZ68" s="224"/>
      <c r="CA68" s="224"/>
      <c r="CB68" s="224"/>
      <c r="CC68" s="225">
        <f t="shared" si="198"/>
        <v>865800</v>
      </c>
      <c r="CD68" s="224">
        <f t="shared" si="199"/>
        <v>0</v>
      </c>
      <c r="CE68" s="224"/>
      <c r="CF68" s="226"/>
      <c r="CG68" s="87"/>
      <c r="CH68" s="87">
        <f t="shared" si="166"/>
        <v>57</v>
      </c>
      <c r="CI68" s="227" t="str">
        <f t="shared" si="144"/>
        <v>Lê Thị Tuyết</v>
      </c>
      <c r="CJ68" s="227" t="str">
        <f t="shared" si="145"/>
        <v>Châm</v>
      </c>
      <c r="CK68" s="87">
        <f t="shared" si="146"/>
        <v>1</v>
      </c>
      <c r="CL68" s="227" t="str">
        <f t="shared" si="174"/>
        <v>Di truyền giống</v>
      </c>
      <c r="CM68" s="87" t="str">
        <f t="shared" si="190"/>
        <v>CS2</v>
      </c>
      <c r="CN68" s="87">
        <f t="shared" si="191"/>
        <v>270</v>
      </c>
      <c r="CO68" s="87">
        <f t="shared" si="191"/>
        <v>120</v>
      </c>
      <c r="CP68" s="229">
        <f t="shared" si="47"/>
        <v>0</v>
      </c>
      <c r="CQ68" s="229">
        <f t="shared" si="48"/>
        <v>15.5</v>
      </c>
      <c r="CR68" s="229">
        <f t="shared" si="49"/>
        <v>6.2</v>
      </c>
      <c r="CS68" s="229">
        <f t="shared" si="50"/>
        <v>0</v>
      </c>
      <c r="CT68" s="229">
        <f t="shared" si="51"/>
        <v>0</v>
      </c>
      <c r="CU68" s="229">
        <f t="shared" si="52"/>
        <v>208</v>
      </c>
      <c r="CV68" s="229">
        <f t="shared" si="53"/>
        <v>0</v>
      </c>
      <c r="CW68" s="229">
        <f t="shared" si="54"/>
        <v>52</v>
      </c>
      <c r="CX68" s="229">
        <f t="shared" si="55"/>
        <v>0</v>
      </c>
      <c r="CY68" s="229">
        <f t="shared" si="56"/>
        <v>20</v>
      </c>
      <c r="CZ68" s="229">
        <f t="shared" si="57"/>
        <v>0</v>
      </c>
      <c r="DA68" s="229">
        <f t="shared" si="58"/>
        <v>40</v>
      </c>
      <c r="DB68" s="228">
        <f t="shared" si="59"/>
        <v>341.7</v>
      </c>
      <c r="DC68" s="229"/>
      <c r="DD68" s="229"/>
      <c r="DE68" s="229"/>
      <c r="DF68" s="229"/>
      <c r="DG68" s="229"/>
      <c r="DH68" s="229"/>
      <c r="DI68" s="229"/>
      <c r="DJ68" s="229"/>
      <c r="DK68" s="229"/>
      <c r="DL68" s="229"/>
      <c r="DM68" s="229"/>
      <c r="DN68" s="229"/>
      <c r="DO68" s="228">
        <f t="shared" si="60"/>
        <v>0</v>
      </c>
      <c r="DP68" s="228">
        <f t="shared" si="61"/>
        <v>341.7</v>
      </c>
      <c r="DQ68" s="229">
        <f t="shared" si="62"/>
        <v>0</v>
      </c>
      <c r="DR68" s="229">
        <f t="shared" si="63"/>
        <v>0</v>
      </c>
      <c r="DS68" s="229">
        <f t="shared" si="64"/>
        <v>0</v>
      </c>
      <c r="DT68" s="229">
        <f t="shared" si="65"/>
        <v>0</v>
      </c>
      <c r="DU68" s="229">
        <f t="shared" si="66"/>
        <v>0</v>
      </c>
      <c r="DV68" s="229">
        <f t="shared" si="67"/>
        <v>40</v>
      </c>
      <c r="DW68" s="229">
        <f t="shared" si="68"/>
        <v>0</v>
      </c>
      <c r="DX68" s="228">
        <f t="shared" si="69"/>
        <v>40</v>
      </c>
      <c r="DY68" s="229"/>
      <c r="DZ68" s="229"/>
      <c r="EA68" s="229"/>
      <c r="EB68" s="229"/>
      <c r="EC68" s="229"/>
      <c r="ED68" s="229"/>
      <c r="EE68" s="229"/>
      <c r="EF68" s="228">
        <f t="shared" si="17"/>
        <v>0</v>
      </c>
      <c r="EG68" s="228">
        <f t="shared" si="70"/>
        <v>40</v>
      </c>
      <c r="EH68" s="229">
        <f t="shared" si="18"/>
        <v>67.62</v>
      </c>
      <c r="EI68" s="229">
        <v>0</v>
      </c>
      <c r="EJ68" s="228">
        <f t="shared" si="84"/>
        <v>67.62</v>
      </c>
      <c r="EK68" s="229"/>
      <c r="EL68" s="229"/>
      <c r="EM68" s="228">
        <f t="shared" si="176"/>
        <v>0</v>
      </c>
      <c r="EN68" s="229">
        <f t="shared" si="192"/>
        <v>67.62</v>
      </c>
      <c r="EO68" s="229">
        <f t="shared" si="72"/>
        <v>0</v>
      </c>
      <c r="EP68" s="228">
        <f t="shared" si="177"/>
        <v>67.62</v>
      </c>
      <c r="EQ68" s="173">
        <f t="shared" si="19"/>
        <v>0</v>
      </c>
      <c r="ER68" s="189">
        <v>0</v>
      </c>
      <c r="ES68" s="189">
        <v>15.5</v>
      </c>
      <c r="ET68" s="189">
        <v>6.2</v>
      </c>
      <c r="EU68" s="189">
        <v>0</v>
      </c>
      <c r="EV68" s="189">
        <v>0</v>
      </c>
      <c r="EW68" s="189">
        <v>208</v>
      </c>
      <c r="EX68" s="189">
        <v>0</v>
      </c>
      <c r="EY68" s="189">
        <v>52</v>
      </c>
      <c r="EZ68" s="189">
        <v>0</v>
      </c>
      <c r="FA68" s="189">
        <v>20</v>
      </c>
      <c r="FB68" s="189">
        <v>0</v>
      </c>
      <c r="FC68" s="189">
        <v>40</v>
      </c>
      <c r="FD68" s="189">
        <v>0</v>
      </c>
      <c r="FE68" s="189">
        <v>0</v>
      </c>
      <c r="FF68" s="189">
        <v>0</v>
      </c>
      <c r="FG68" s="189">
        <v>0</v>
      </c>
      <c r="FH68" s="189">
        <v>40</v>
      </c>
      <c r="FI68" s="189">
        <v>0</v>
      </c>
      <c r="FJ68" s="189">
        <v>0</v>
      </c>
      <c r="FK68" s="189">
        <v>381.7</v>
      </c>
      <c r="FL68" s="189">
        <v>232</v>
      </c>
      <c r="FN68" s="132">
        <v>67.62</v>
      </c>
    </row>
    <row r="69" spans="1:170" ht="30" customHeight="1">
      <c r="A69" s="88">
        <f>COUNTIF($H$12:H69,H69)</f>
        <v>58</v>
      </c>
      <c r="B69" s="88" t="s">
        <v>2101</v>
      </c>
      <c r="C69" s="88" t="s">
        <v>2068</v>
      </c>
      <c r="D69" s="88"/>
      <c r="E69" s="88"/>
      <c r="F69" s="301" t="s">
        <v>2080</v>
      </c>
      <c r="G69" s="303" t="s">
        <v>3022</v>
      </c>
      <c r="H69" s="88">
        <v>1</v>
      </c>
      <c r="I69" s="88"/>
      <c r="J69" s="88">
        <v>1</v>
      </c>
      <c r="K69" s="90"/>
      <c r="L69" s="90" t="s">
        <v>2831</v>
      </c>
      <c r="M69" s="214"/>
      <c r="N69" s="88" t="s">
        <v>1804</v>
      </c>
      <c r="O69" s="216">
        <f t="shared" si="162"/>
        <v>3</v>
      </c>
      <c r="P69" s="88" t="str">
        <f t="shared" si="0"/>
        <v>B1_3</v>
      </c>
      <c r="Q69" s="88">
        <f t="shared" si="149"/>
        <v>270</v>
      </c>
      <c r="R69" s="88">
        <f t="shared" si="150"/>
        <v>100</v>
      </c>
      <c r="S69" s="218" t="s">
        <v>1424</v>
      </c>
      <c r="T69" s="88" t="s">
        <v>3095</v>
      </c>
      <c r="U69" s="88">
        <f>IF(RIGHT(T69,1)="K",(VLOOKUP(T69,ma_miengiam!$A$3:$B$80,2,0)*100)/2,VLOOKUP(T69,ma_miengiam!$A$3:$B$80,2,0)*100)</f>
        <v>40</v>
      </c>
      <c r="V69" s="88">
        <v>3</v>
      </c>
      <c r="W69" s="220">
        <f>IF(AND(T69="NTS",V69&gt;0),(Q69-(Q69*V69)/12)*VLOOKUP(T69,ma_miengiam!$A$3:$B$80,2,0)+(Q69-(Q69*(12-V69))/12),IF(AND(RIGHT(T69,1)="K",V69&gt;0),(VLOOKUP(T69,ma_miengiam!$A$3:$B$80,2,0)/2)*(Q69*V69)/12,IF(RIGHT(T69,1)="K",(VLOOKUP(T69,ma_miengiam!$A$3:$B$80,2,0)*Q69)/2,IF(V69&gt;0,VLOOKUP(T69,ma_miengiam!$A$3:$B$80,2,0)*Q69*V69/12,VLOOKUP(T69,ma_miengiam!$A$3:$B$80,2,0)*Q69))))</f>
        <v>27</v>
      </c>
      <c r="X69" s="220">
        <f>IF(T69="NTS",VLOOKUP(T69,ma_miengiam!$A$3:$B$80,2,0)*R69*V69,IF(AND(T69="NTS",V69=0),0,IF(AND(LEFT(T69,1)="K",V69=0),VLOOKUP(T69,ma_miengiam!$A$3:$B$80,2,0)*R69,IF(LEFT(T69,1)="K",(VLOOKUP(T69,ma_miengiam!$A$3:$B$80,2,0)*R69/12)*V69,IF(AND(LEFT(T69,1)="S",V69&gt;0),(R69/12)*V69,IF(AND(LEFT(T69,1)="S",V69=0),R69,IF(T69="DH",VLOOKUP(T69,ma_miengiam!$A$3:$B$80,2,0)*R69,0)))))))</f>
        <v>0</v>
      </c>
      <c r="Y69" s="220">
        <f t="shared" si="131"/>
        <v>40.5</v>
      </c>
      <c r="Z69" s="220">
        <f t="shared" si="90"/>
        <v>25</v>
      </c>
      <c r="AA69" s="220"/>
      <c r="AB69" s="220"/>
      <c r="AC69" s="220"/>
      <c r="AD69" s="220"/>
      <c r="AE69" s="220"/>
      <c r="AF69" s="220"/>
      <c r="AG69" s="220"/>
      <c r="AH69" s="220"/>
      <c r="AI69" s="220"/>
      <c r="AJ69" s="220"/>
      <c r="AK69" s="216"/>
      <c r="AL69" s="220"/>
      <c r="AM69" s="220"/>
      <c r="AN69" s="216"/>
      <c r="AO69" s="220"/>
      <c r="AP69" s="220"/>
      <c r="AQ69" s="220"/>
      <c r="AR69" s="220"/>
      <c r="AS69" s="220"/>
      <c r="AT69" s="216"/>
      <c r="AU69" s="220"/>
      <c r="AV69" s="220"/>
      <c r="AW69" s="220"/>
      <c r="AX69" s="216"/>
      <c r="AY69" s="220"/>
      <c r="AZ69" s="220"/>
      <c r="BA69" s="220"/>
      <c r="BB69" s="220"/>
      <c r="BC69" s="220"/>
      <c r="BD69" s="216"/>
      <c r="BE69" s="220"/>
      <c r="BF69" s="220"/>
      <c r="BG69" s="220"/>
      <c r="BH69" s="220"/>
      <c r="BI69" s="220"/>
      <c r="BJ69" s="220" t="s">
        <v>617</v>
      </c>
      <c r="BK69" s="220"/>
      <c r="BL69" s="223">
        <f t="shared" si="11"/>
        <v>0</v>
      </c>
      <c r="BM69" s="220">
        <v>3</v>
      </c>
      <c r="BN69" s="220"/>
      <c r="BO69" s="220">
        <f t="shared" ref="BO69:BO90" si="200">ROUND(BM69+(BM69*BN69),2)</f>
        <v>3</v>
      </c>
      <c r="BP69" s="220">
        <f>IF(AND(BL69&gt;0,BL69&lt;tiet!$D$1),BL69,IF(BL69&lt;=0,0,IF(BL69&gt;tiet!$C$1,tiet!$C$1)))</f>
        <v>0</v>
      </c>
      <c r="BQ69" s="87">
        <f t="shared" si="170"/>
        <v>60000</v>
      </c>
      <c r="BR69" s="224">
        <f t="shared" si="171"/>
        <v>0</v>
      </c>
      <c r="BS69" s="220">
        <f t="shared" si="12"/>
        <v>0</v>
      </c>
      <c r="BT69" s="224">
        <f>VLOOKUP(N69,ma_dinhmuc!$A$1:$J$31,10,0)</f>
        <v>51000</v>
      </c>
      <c r="BU69" s="224">
        <f>ROUND(IF(BS69&gt;0,VLOOKUP(N69,ma_dinhmuc!$A$1:$J$31,10,0)*BS69,0),0)</f>
        <v>0</v>
      </c>
      <c r="BV69" s="224">
        <f t="shared" si="172"/>
        <v>0</v>
      </c>
      <c r="BW69" s="224"/>
      <c r="BX69" s="224">
        <v>0</v>
      </c>
      <c r="BY69" s="224"/>
      <c r="BZ69" s="224"/>
      <c r="CA69" s="224"/>
      <c r="CB69" s="224"/>
      <c r="CC69" s="225">
        <f t="shared" si="198"/>
        <v>0</v>
      </c>
      <c r="CD69" s="224">
        <f t="shared" si="199"/>
        <v>0</v>
      </c>
      <c r="CE69" s="224"/>
      <c r="CF69" s="226"/>
      <c r="CG69" s="87"/>
      <c r="CH69" s="87">
        <f t="shared" si="166"/>
        <v>58</v>
      </c>
      <c r="CI69" s="227" t="str">
        <f t="shared" ref="CI69:CI79" si="201">F69</f>
        <v>Trần Thiện</v>
      </c>
      <c r="CJ69" s="227" t="str">
        <f t="shared" ref="CJ69:CJ79" si="202">G69</f>
        <v>Long</v>
      </c>
      <c r="CK69" s="87">
        <f t="shared" ref="CK69:CK77" si="203">H69</f>
        <v>1</v>
      </c>
      <c r="CL69" s="227" t="str">
        <f t="shared" si="174"/>
        <v>Di truyền giống</v>
      </c>
      <c r="CM69" s="87" t="str">
        <f t="shared" si="190"/>
        <v>CS2</v>
      </c>
      <c r="CN69" s="87">
        <f t="shared" ref="CN69:CO72" si="204">Q69</f>
        <v>270</v>
      </c>
      <c r="CO69" s="87">
        <f t="shared" si="204"/>
        <v>100</v>
      </c>
      <c r="CP69" s="229">
        <f t="shared" si="47"/>
        <v>0</v>
      </c>
      <c r="CQ69" s="229">
        <f t="shared" si="48"/>
        <v>0</v>
      </c>
      <c r="CR69" s="229">
        <f t="shared" si="49"/>
        <v>0</v>
      </c>
      <c r="CS69" s="229">
        <f t="shared" si="50"/>
        <v>0</v>
      </c>
      <c r="CT69" s="229">
        <f t="shared" si="51"/>
        <v>0</v>
      </c>
      <c r="CU69" s="229">
        <f t="shared" si="52"/>
        <v>0</v>
      </c>
      <c r="CV69" s="229">
        <f t="shared" si="53"/>
        <v>0</v>
      </c>
      <c r="CW69" s="229">
        <f t="shared" si="54"/>
        <v>0</v>
      </c>
      <c r="CX69" s="229">
        <f t="shared" si="55"/>
        <v>0</v>
      </c>
      <c r="CY69" s="229">
        <f t="shared" si="56"/>
        <v>0</v>
      </c>
      <c r="CZ69" s="229">
        <f t="shared" si="57"/>
        <v>0</v>
      </c>
      <c r="DA69" s="229">
        <f t="shared" si="58"/>
        <v>0</v>
      </c>
      <c r="DB69" s="228">
        <f t="shared" si="59"/>
        <v>0</v>
      </c>
      <c r="DC69" s="229"/>
      <c r="DD69" s="229"/>
      <c r="DE69" s="229"/>
      <c r="DF69" s="229"/>
      <c r="DG69" s="229"/>
      <c r="DH69" s="229"/>
      <c r="DI69" s="229"/>
      <c r="DJ69" s="229"/>
      <c r="DK69" s="229"/>
      <c r="DL69" s="229"/>
      <c r="DM69" s="229"/>
      <c r="DN69" s="229"/>
      <c r="DO69" s="228">
        <f t="shared" si="60"/>
        <v>0</v>
      </c>
      <c r="DP69" s="228">
        <f t="shared" si="61"/>
        <v>0</v>
      </c>
      <c r="DQ69" s="229">
        <f t="shared" si="62"/>
        <v>0</v>
      </c>
      <c r="DR69" s="229">
        <f t="shared" si="63"/>
        <v>0</v>
      </c>
      <c r="DS69" s="229">
        <f t="shared" si="64"/>
        <v>0</v>
      </c>
      <c r="DT69" s="229">
        <f t="shared" si="65"/>
        <v>0</v>
      </c>
      <c r="DU69" s="229">
        <f t="shared" si="66"/>
        <v>0</v>
      </c>
      <c r="DV69" s="229">
        <f t="shared" si="67"/>
        <v>0</v>
      </c>
      <c r="DW69" s="229">
        <f t="shared" si="68"/>
        <v>0</v>
      </c>
      <c r="DX69" s="228">
        <f t="shared" si="69"/>
        <v>0</v>
      </c>
      <c r="DY69" s="229"/>
      <c r="DZ69" s="229"/>
      <c r="EA69" s="229"/>
      <c r="EB69" s="229"/>
      <c r="EC69" s="229"/>
      <c r="ED69" s="229"/>
      <c r="EE69" s="229"/>
      <c r="EF69" s="228">
        <f t="shared" si="17"/>
        <v>0</v>
      </c>
      <c r="EG69" s="228">
        <f t="shared" si="70"/>
        <v>0</v>
      </c>
      <c r="EH69" s="229">
        <f t="shared" si="18"/>
        <v>0</v>
      </c>
      <c r="EI69" s="229">
        <v>6.76</v>
      </c>
      <c r="EJ69" s="228">
        <f t="shared" si="84"/>
        <v>6.76</v>
      </c>
      <c r="EK69" s="229"/>
      <c r="EL69" s="229"/>
      <c r="EM69" s="228">
        <f t="shared" si="176"/>
        <v>0</v>
      </c>
      <c r="EN69" s="229">
        <f t="shared" si="192"/>
        <v>0</v>
      </c>
      <c r="EO69" s="229">
        <f t="shared" si="72"/>
        <v>6.76</v>
      </c>
      <c r="EP69" s="228">
        <f t="shared" si="177"/>
        <v>6.76</v>
      </c>
      <c r="EQ69" s="173">
        <f t="shared" si="19"/>
        <v>0</v>
      </c>
      <c r="ER69" s="189">
        <v>0</v>
      </c>
      <c r="ES69" s="189">
        <v>0</v>
      </c>
      <c r="ET69" s="189">
        <v>0</v>
      </c>
      <c r="EU69" s="189">
        <v>0</v>
      </c>
      <c r="EV69" s="189">
        <v>0</v>
      </c>
      <c r="EW69" s="189">
        <v>0</v>
      </c>
      <c r="EX69" s="189">
        <v>0</v>
      </c>
      <c r="EY69" s="189">
        <v>0</v>
      </c>
      <c r="EZ69" s="189">
        <v>0</v>
      </c>
      <c r="FA69" s="189">
        <v>0</v>
      </c>
      <c r="FB69" s="189">
        <v>0</v>
      </c>
      <c r="FC69" s="189">
        <v>0</v>
      </c>
      <c r="FD69" s="189">
        <v>0</v>
      </c>
      <c r="FE69" s="189">
        <v>0</v>
      </c>
      <c r="FF69" s="189">
        <v>0</v>
      </c>
      <c r="FG69" s="189">
        <v>0</v>
      </c>
      <c r="FH69" s="189">
        <v>0</v>
      </c>
      <c r="FI69" s="189">
        <v>0</v>
      </c>
      <c r="FJ69" s="189">
        <v>0</v>
      </c>
      <c r="FK69" s="189">
        <v>0</v>
      </c>
      <c r="FL69" s="189">
        <v>0</v>
      </c>
      <c r="FN69" s="132">
        <v>0</v>
      </c>
    </row>
    <row r="70" spans="1:170" ht="30" customHeight="1">
      <c r="A70" s="88">
        <f>COUNTIF($H$12:H70,H70)</f>
        <v>59</v>
      </c>
      <c r="B70" s="88" t="s">
        <v>2101</v>
      </c>
      <c r="C70" s="88" t="s">
        <v>2068</v>
      </c>
      <c r="D70" s="88"/>
      <c r="E70" s="88"/>
      <c r="F70" s="301" t="s">
        <v>2080</v>
      </c>
      <c r="G70" s="303" t="s">
        <v>3022</v>
      </c>
      <c r="H70" s="88">
        <v>1</v>
      </c>
      <c r="I70" s="88"/>
      <c r="J70" s="88">
        <v>1</v>
      </c>
      <c r="K70" s="90"/>
      <c r="L70" s="90" t="s">
        <v>2831</v>
      </c>
      <c r="M70" s="214"/>
      <c r="N70" s="88" t="s">
        <v>1804</v>
      </c>
      <c r="O70" s="216">
        <f t="shared" ref="O70:O105" si="205">BO70</f>
        <v>3</v>
      </c>
      <c r="P70" s="88" t="str">
        <f>IF(AND(BO70&gt;=2.34,BO70&lt;3.33),"B1_3",IF(AND(BO70&gt;=3.33,BO70&lt;4.65),"B1_4",IF(AND(BO70&gt;=4.65,BO70&lt;5.42),"B1_5",IF(AND(BO70&gt;=5.42,BO70&lt;6.44),"B1_6",IF(AND(BO70&gt;=6.44,BO70&lt;=6.92),"B1_7","B1_8")))))</f>
        <v>B1_3</v>
      </c>
      <c r="Q70" s="88">
        <f>IF(M70&gt;0,VLOOKUP(P70,ma_dinhmuc_moi,2,0)/2,VLOOKUP(P70,ma_dinhmuc_moi,2,0))</f>
        <v>270</v>
      </c>
      <c r="R70" s="88">
        <f>IF(M70&gt;0,VLOOKUP(P70,ma_dinhmuc_moi,3,0)/2,VLOOKUP(P70,ma_dinhmuc_moi,3,0))</f>
        <v>100</v>
      </c>
      <c r="S70" s="218"/>
      <c r="T70" s="88" t="s">
        <v>3088</v>
      </c>
      <c r="U70" s="88">
        <f>IF(RIGHT(T70,1)="K",(VLOOKUP(T70,ma_miengiam!$A$3:$B$80,2,0)*100)/2,VLOOKUP(T70,ma_miengiam!$A$3:$B$80,2,0)*100)</f>
        <v>0</v>
      </c>
      <c r="V70" s="88">
        <v>9</v>
      </c>
      <c r="W70" s="220">
        <f>IF(AND(T70="NTS",V70&gt;0),(Q70-(Q70*V70)/12)*VLOOKUP(T70,ma_miengiam!$A$3:$B$80,2,0)+(Q70-(Q70*(12-V70))/12),IF(AND(RIGHT(T70,1)="K",V70&gt;0),(VLOOKUP(T70,ma_miengiam!$A$3:$B$80,2,0)/2)*(Q70*V70)/12,IF(RIGHT(T70,1)="K",(VLOOKUP(T70,ma_miengiam!$A$3:$B$80,2,0)*Q70)/2,IF(V70&gt;0,VLOOKUP(T70,ma_miengiam!$A$3:$B$80,2,0)*Q70*V70/12,VLOOKUP(T70,ma_miengiam!$A$3:$B$80,2,0)*Q70))))</f>
        <v>0</v>
      </c>
      <c r="X70" s="220">
        <f>IF(T70="NTS",VLOOKUP(T70,ma_miengiam!$A$3:$B$80,2,0)*R70*V70,IF(AND(T70="NTS",V70=0),0,IF(AND(LEFT(T70,1)="K",V70=0),VLOOKUP(T70,ma_miengiam!$A$3:$B$80,2,0)*R70,IF(LEFT(T70,1)="K",(VLOOKUP(T70,ma_miengiam!$A$3:$B$80,2,0)*R70/12)*V70,IF(AND(LEFT(T70,1)="S",V70&gt;0),(R70/12)*V70,IF(AND(LEFT(T70,1)="S",V70=0),R70,IF(T70="DH",VLOOKUP(T70,ma_miengiam!$A$3:$B$80,2,0)*R70,0)))))))</f>
        <v>0</v>
      </c>
      <c r="Y70" s="220">
        <f>IF(AND(T70="DH",V70&gt;0),(S70*V70/12),IF(AND(T70&lt;&gt;"NTS",V70&gt;0),(Q70*V70/12)-W70,IF(AND(T70="NTS",V70&gt;0),Q70-W70,Q70-W70)))</f>
        <v>202.5</v>
      </c>
      <c r="Z70" s="220">
        <f>IF(AND(T70="SĐH",V70&gt;0),(R70/12)*V70-X70,IF(AND(T70="DH",V70&gt;0),(R70*V70/12),IF(AND(T70&lt;&gt;"NTS",V70&gt;0),(R70*V70/12)-X70,IF(AND(T70="NTS",V70&gt;0),R70-X70,R70-X70))))</f>
        <v>75</v>
      </c>
      <c r="AA70" s="220"/>
      <c r="AB70" s="220"/>
      <c r="AC70" s="220"/>
      <c r="AD70" s="220"/>
      <c r="AE70" s="220"/>
      <c r="AF70" s="220"/>
      <c r="AG70" s="220"/>
      <c r="AH70" s="220"/>
      <c r="AI70" s="220"/>
      <c r="AJ70" s="220"/>
      <c r="AK70" s="216"/>
      <c r="AL70" s="220"/>
      <c r="AM70" s="220"/>
      <c r="AN70" s="216"/>
      <c r="AO70" s="220"/>
      <c r="AP70" s="220"/>
      <c r="AQ70" s="220"/>
      <c r="AR70" s="220"/>
      <c r="AS70" s="220"/>
      <c r="AT70" s="216"/>
      <c r="AU70" s="220"/>
      <c r="AV70" s="220"/>
      <c r="AW70" s="220"/>
      <c r="AX70" s="216"/>
      <c r="AY70" s="220"/>
      <c r="AZ70" s="220"/>
      <c r="BA70" s="220"/>
      <c r="BB70" s="220"/>
      <c r="BC70" s="220"/>
      <c r="BD70" s="216"/>
      <c r="BE70" s="220"/>
      <c r="BF70" s="220"/>
      <c r="BG70" s="220"/>
      <c r="BH70" s="220"/>
      <c r="BI70" s="220"/>
      <c r="BJ70" s="220" t="s">
        <v>617</v>
      </c>
      <c r="BK70" s="220"/>
      <c r="BL70" s="223">
        <f>IF(AW70&lt;BK70,0,IF(AND(BK70=0,AW70&gt;0),AW70,IF(AW70&lt;0,0,IF(BK70&gt;0,AW70-BK70,IF(BK70&lt;0,0,AW70)))))</f>
        <v>0</v>
      </c>
      <c r="BM70" s="220">
        <v>3</v>
      </c>
      <c r="BN70" s="220"/>
      <c r="BO70" s="220">
        <f>ROUND(BM70+(BM70*BN70),2)</f>
        <v>3</v>
      </c>
      <c r="BP70" s="220">
        <f>IF(AND(BL70&gt;0,BL70&lt;tiet!$D$1),BL70,IF(BL70&lt;=0,0,IF(BL70&gt;tiet!$C$1,tiet!$C$1)))</f>
        <v>0</v>
      </c>
      <c r="BQ70" s="87">
        <f>VLOOKUP(P70,ma_dinhmuc_moi,4,0)</f>
        <v>60000</v>
      </c>
      <c r="BR70" s="224">
        <f>ROUND(BQ70*BP70,0)</f>
        <v>0</v>
      </c>
      <c r="BS70" s="220">
        <f t="shared" si="12"/>
        <v>0</v>
      </c>
      <c r="BT70" s="224">
        <f>VLOOKUP(N70,ma_dinhmuc!$A$1:$J$31,10,0)</f>
        <v>51000</v>
      </c>
      <c r="BU70" s="224">
        <f>ROUND(IF(BS70&gt;0,VLOOKUP(N70,ma_dinhmuc!$A$1:$J$31,10,0)*BS70,0),0)</f>
        <v>0</v>
      </c>
      <c r="BV70" s="224">
        <f>ROUND(BU70+BR70,0)</f>
        <v>0</v>
      </c>
      <c r="BW70" s="224"/>
      <c r="BX70" s="224">
        <v>0</v>
      </c>
      <c r="BY70" s="224"/>
      <c r="BZ70" s="224"/>
      <c r="CA70" s="224"/>
      <c r="CB70" s="224"/>
      <c r="CC70" s="225">
        <f>ROUND(IF(BV70+BW70&gt;BX70+BY70+BZ70+CA70+CB70,(BW70+BV70)-(BX70+BY70+BZ70+CA70+CB70+CB70),0),0)</f>
        <v>0</v>
      </c>
      <c r="CD70" s="224">
        <f>ROUND(IF(BV70+BW70&lt;BX70+BY70+BZ70+CA70-CB70,(BX70+BY70+BZ70+CA70-CB70)-(BW70+BV70),0),0)</f>
        <v>0</v>
      </c>
      <c r="CE70" s="224"/>
      <c r="CF70" s="226"/>
      <c r="CG70" s="87"/>
      <c r="CH70" s="87">
        <f>A70</f>
        <v>59</v>
      </c>
      <c r="CI70" s="227" t="str">
        <f t="shared" si="201"/>
        <v>Trần Thiện</v>
      </c>
      <c r="CJ70" s="227" t="str">
        <f t="shared" si="202"/>
        <v>Long</v>
      </c>
      <c r="CK70" s="87">
        <f t="shared" si="203"/>
        <v>1</v>
      </c>
      <c r="CL70" s="227" t="str">
        <f>L70</f>
        <v>Di truyền giống</v>
      </c>
      <c r="CM70" s="87" t="str">
        <f>N70</f>
        <v>CS2</v>
      </c>
      <c r="CN70" s="87">
        <f t="shared" si="204"/>
        <v>270</v>
      </c>
      <c r="CO70" s="87">
        <f t="shared" si="204"/>
        <v>100</v>
      </c>
      <c r="CP70" s="229">
        <f t="shared" si="47"/>
        <v>0</v>
      </c>
      <c r="CQ70" s="229">
        <f t="shared" si="48"/>
        <v>0</v>
      </c>
      <c r="CR70" s="229">
        <f t="shared" si="49"/>
        <v>0</v>
      </c>
      <c r="CS70" s="229">
        <f t="shared" si="50"/>
        <v>0</v>
      </c>
      <c r="CT70" s="229">
        <f t="shared" si="51"/>
        <v>0</v>
      </c>
      <c r="CU70" s="229">
        <f t="shared" si="52"/>
        <v>0</v>
      </c>
      <c r="CV70" s="229">
        <f t="shared" si="53"/>
        <v>0</v>
      </c>
      <c r="CW70" s="229">
        <f t="shared" si="54"/>
        <v>0</v>
      </c>
      <c r="CX70" s="229">
        <f t="shared" si="55"/>
        <v>0</v>
      </c>
      <c r="CY70" s="229">
        <f t="shared" si="56"/>
        <v>0</v>
      </c>
      <c r="CZ70" s="229">
        <f t="shared" si="57"/>
        <v>0</v>
      </c>
      <c r="DA70" s="229">
        <f t="shared" si="58"/>
        <v>0</v>
      </c>
      <c r="DB70" s="228">
        <f>SUM(CP70:DA70)</f>
        <v>0</v>
      </c>
      <c r="DC70" s="229"/>
      <c r="DD70" s="229"/>
      <c r="DE70" s="229"/>
      <c r="DF70" s="229"/>
      <c r="DG70" s="229"/>
      <c r="DH70" s="229"/>
      <c r="DI70" s="229"/>
      <c r="DJ70" s="229"/>
      <c r="DK70" s="229"/>
      <c r="DL70" s="229"/>
      <c r="DM70" s="229"/>
      <c r="DN70" s="229"/>
      <c r="DO70" s="228">
        <f>SUM(DC70:DN70)</f>
        <v>0</v>
      </c>
      <c r="DP70" s="228">
        <f>DO70+DB70</f>
        <v>0</v>
      </c>
      <c r="DQ70" s="229">
        <f t="shared" si="62"/>
        <v>0</v>
      </c>
      <c r="DR70" s="229">
        <f t="shared" si="63"/>
        <v>0</v>
      </c>
      <c r="DS70" s="229">
        <f t="shared" si="64"/>
        <v>0</v>
      </c>
      <c r="DT70" s="229">
        <f t="shared" si="65"/>
        <v>0</v>
      </c>
      <c r="DU70" s="229">
        <f t="shared" si="66"/>
        <v>0</v>
      </c>
      <c r="DV70" s="229">
        <f t="shared" si="67"/>
        <v>0</v>
      </c>
      <c r="DW70" s="229">
        <f t="shared" si="68"/>
        <v>0</v>
      </c>
      <c r="DX70" s="228">
        <f>SUM(DQ70:DW70)</f>
        <v>0</v>
      </c>
      <c r="DY70" s="229"/>
      <c r="DZ70" s="229"/>
      <c r="EA70" s="229"/>
      <c r="EB70" s="229"/>
      <c r="EC70" s="229"/>
      <c r="ED70" s="229"/>
      <c r="EE70" s="229"/>
      <c r="EF70" s="228">
        <f t="shared" si="17"/>
        <v>0</v>
      </c>
      <c r="EG70" s="228">
        <f>EF70+DX70</f>
        <v>0</v>
      </c>
      <c r="EH70" s="229">
        <f t="shared" si="18"/>
        <v>0</v>
      </c>
      <c r="EI70" s="229">
        <v>6.76</v>
      </c>
      <c r="EJ70" s="228">
        <f t="shared" ref="EJ70:EJ90" si="206">SUM(EH70:EI70)</f>
        <v>6.76</v>
      </c>
      <c r="EK70" s="229"/>
      <c r="EL70" s="229"/>
      <c r="EM70" s="228">
        <f t="shared" si="176"/>
        <v>0</v>
      </c>
      <c r="EN70" s="229">
        <f>EK70+EH70+EL70</f>
        <v>0</v>
      </c>
      <c r="EO70" s="229">
        <f>EI70</f>
        <v>6.76</v>
      </c>
      <c r="EP70" s="228">
        <f>EM70+EJ70</f>
        <v>6.76</v>
      </c>
      <c r="EQ70" s="173">
        <f t="shared" si="19"/>
        <v>0</v>
      </c>
      <c r="ER70" s="189">
        <v>0</v>
      </c>
      <c r="ES70" s="189">
        <v>0</v>
      </c>
      <c r="ET70" s="189">
        <v>0</v>
      </c>
      <c r="EU70" s="189">
        <v>0</v>
      </c>
      <c r="EV70" s="189">
        <v>0</v>
      </c>
      <c r="EW70" s="189">
        <v>0</v>
      </c>
      <c r="EX70" s="189">
        <v>0</v>
      </c>
      <c r="EY70" s="189">
        <v>0</v>
      </c>
      <c r="EZ70" s="189">
        <v>0</v>
      </c>
      <c r="FA70" s="189">
        <v>0</v>
      </c>
      <c r="FB70" s="189">
        <v>0</v>
      </c>
      <c r="FC70" s="189">
        <v>0</v>
      </c>
      <c r="FD70" s="189">
        <v>0</v>
      </c>
      <c r="FE70" s="189">
        <v>0</v>
      </c>
      <c r="FF70" s="189">
        <v>0</v>
      </c>
      <c r="FG70" s="189">
        <v>0</v>
      </c>
      <c r="FH70" s="189">
        <v>0</v>
      </c>
      <c r="FI70" s="189">
        <v>0</v>
      </c>
      <c r="FJ70" s="189">
        <v>0</v>
      </c>
      <c r="FK70" s="189">
        <v>0</v>
      </c>
      <c r="FL70" s="189">
        <v>0</v>
      </c>
      <c r="FN70" s="132">
        <v>0</v>
      </c>
    </row>
    <row r="71" spans="1:170" ht="30" customHeight="1">
      <c r="A71" s="88">
        <f>COUNTIF($H$12:H71,H71)</f>
        <v>60</v>
      </c>
      <c r="B71" s="88" t="s">
        <v>2101</v>
      </c>
      <c r="C71" s="88" t="s">
        <v>2068</v>
      </c>
      <c r="D71" s="88"/>
      <c r="E71" s="88"/>
      <c r="F71" s="301" t="s">
        <v>2080</v>
      </c>
      <c r="G71" s="303" t="s">
        <v>3022</v>
      </c>
      <c r="H71" s="88">
        <v>1</v>
      </c>
      <c r="I71" s="88">
        <v>1</v>
      </c>
      <c r="J71" s="88">
        <v>1</v>
      </c>
      <c r="K71" s="90" t="s">
        <v>2831</v>
      </c>
      <c r="L71" s="90" t="s">
        <v>2831</v>
      </c>
      <c r="M71" s="214"/>
      <c r="N71" s="88" t="s">
        <v>1804</v>
      </c>
      <c r="O71" s="216">
        <f t="shared" si="205"/>
        <v>3</v>
      </c>
      <c r="P71" s="88" t="str">
        <f>IF(AND(BO71&gt;=2.34,BO71&lt;3.33),"B1_3",IF(AND(BO71&gt;=3.33,BO71&lt;4.65),"B1_4",IF(AND(BO71&gt;=4.65,BO71&lt;5.42),"B1_5",IF(AND(BO71&gt;=5.42,BO71&lt;6.44),"B1_6",IF(AND(BO71&gt;=6.44,BO71&lt;=6.92),"B1_7","B1_8")))))</f>
        <v>B1_3</v>
      </c>
      <c r="Q71" s="88">
        <f>IF(M71&gt;0,VLOOKUP(P71,ma_dinhmuc_moi,2,0)/2,VLOOKUP(P71,ma_dinhmuc_moi,2,0))</f>
        <v>270</v>
      </c>
      <c r="R71" s="88">
        <f>IF(M71&gt;0,VLOOKUP(P71,ma_dinhmuc_moi,3,0)/2,VLOOKUP(P71,ma_dinhmuc_moi,3,0))</f>
        <v>100</v>
      </c>
      <c r="S71" s="218" t="s">
        <v>1424</v>
      </c>
      <c r="T71" s="88" t="s">
        <v>3088</v>
      </c>
      <c r="U71" s="88">
        <f>IF(RIGHT(T71,1)="K",(VLOOKUP(T71,ma_miengiam!$A$3:$B$80,2,0)*100)/2,VLOOKUP(T71,ma_miengiam!$A$3:$B$80,2,0)*100)</f>
        <v>0</v>
      </c>
      <c r="V71" s="88"/>
      <c r="W71" s="220">
        <f>W70+W69</f>
        <v>27</v>
      </c>
      <c r="X71" s="220">
        <f>X70+X69</f>
        <v>0</v>
      </c>
      <c r="Y71" s="220">
        <f>Y70+Y69</f>
        <v>243</v>
      </c>
      <c r="Z71" s="220">
        <f>Z70+Z69</f>
        <v>100</v>
      </c>
      <c r="AA71" s="220">
        <f t="shared" ref="AA71:AB73" si="207">Q71</f>
        <v>270</v>
      </c>
      <c r="AB71" s="220">
        <f t="shared" si="207"/>
        <v>100</v>
      </c>
      <c r="AC71" s="220">
        <f t="shared" ref="AC71:AF73" si="208">W71</f>
        <v>27</v>
      </c>
      <c r="AD71" s="220">
        <f t="shared" si="208"/>
        <v>0</v>
      </c>
      <c r="AE71" s="220">
        <f t="shared" si="208"/>
        <v>243</v>
      </c>
      <c r="AF71" s="220">
        <f t="shared" si="208"/>
        <v>100</v>
      </c>
      <c r="AG71" s="220">
        <f>AH71+AI71</f>
        <v>217.87</v>
      </c>
      <c r="AH71" s="220">
        <f>EO71</f>
        <v>6.76</v>
      </c>
      <c r="AI71" s="220">
        <f>EN71</f>
        <v>211.11</v>
      </c>
      <c r="AJ71" s="220">
        <f>IF(AG71-Z71&gt;0,0,AG71-Z71)</f>
        <v>0</v>
      </c>
      <c r="AK71" s="216">
        <f>IF(AJ71&gt;=0,Y71,Y71-AJ71)</f>
        <v>243</v>
      </c>
      <c r="AL71" s="220">
        <f>SUM(CP71:CX71)+SUM(DC71:DK71)</f>
        <v>203.3</v>
      </c>
      <c r="AM71" s="220">
        <f>SUM(DQ71:DU71)+SUM(DY71:EC71)</f>
        <v>0</v>
      </c>
      <c r="AN71" s="216">
        <f>AM71+AL71</f>
        <v>203.3</v>
      </c>
      <c r="AO71" s="220">
        <f>CY71+DL71</f>
        <v>0</v>
      </c>
      <c r="AP71" s="220">
        <f>CZ71+DM71</f>
        <v>0</v>
      </c>
      <c r="AQ71" s="220">
        <f>DA71+DN71</f>
        <v>60</v>
      </c>
      <c r="AR71" s="220">
        <f>DV71+ED71</f>
        <v>0</v>
      </c>
      <c r="AS71" s="220">
        <f>DW71+EE71</f>
        <v>0</v>
      </c>
      <c r="AT71" s="216">
        <f>AN71+SUM(AO71:AS71)</f>
        <v>263.3</v>
      </c>
      <c r="AU71" s="220">
        <f>AN71-AK71</f>
        <v>-39.699999999999989</v>
      </c>
      <c r="AV71" s="220"/>
      <c r="AW71" s="220">
        <f>IF(AU71&gt;0,AU71,AV71+AU71)</f>
        <v>-39.699999999999989</v>
      </c>
      <c r="AX71" s="216">
        <f>IF(AN71&gt;AK71,0,IF(AW71&lt;0,AN71-AK71+AV71,IF(AW71&gt;=0,0)))</f>
        <v>-39.699999999999989</v>
      </c>
      <c r="AY71" s="220">
        <f>IF(AN71&gt;=AK71,AO71,IF(AN71+AO71-AK71&gt;=0,AN71+AO71-AK71,0))</f>
        <v>0</v>
      </c>
      <c r="AZ71" s="220">
        <f>IF(OR(AN71&gt;=AK71,AN71+AO71&gt;=AK71),AP71,IF(AN71+AO71+AP71&gt;AK71,AN71+AO71+AP71-AK71,0))</f>
        <v>0</v>
      </c>
      <c r="BA71" s="220">
        <f>IF(OR(AN71&gt;=AK71,AN71+AO71&gt;=AK71,AN71+AO71+AP71&gt;=AK71),AQ71,IF(AN71+AO71+AP71+AQ71&gt;=AK71,AN71+AO71+AP71+AQ71-AK71,0))</f>
        <v>20.300000000000011</v>
      </c>
      <c r="BB71" s="220">
        <f>IF(OR(AN71&gt;=AK71,AN71+AO71&gt;=AK71,AN71+AO71+AP71&gt;=AK71,AN71+AO71+AP71+AQ71&gt;=AK71),AR71,IF(AN71+AO71+AP71+AQ71+AR71&gt;=AK71,AN71+AO71+AP71+AQ71+AR71-AK71,0))</f>
        <v>0</v>
      </c>
      <c r="BC71" s="220">
        <f>IF(OR(AN71&gt;=AK71,AN71+AO71&gt;=AK71,AN71+AO71+AP71&gt;=AK71,AN71+AO71+AP71+AQ71&gt;=AK71,AN71+AO71+AP71+AQ71+AR71&gt;=AK71),AS71,IF(AN71+AO71+AP71+AQ71+AR71+AS71&gt;=AK71,AN71+AO71+AP71+AQ71+AR71+AS71-AK71,0))</f>
        <v>0</v>
      </c>
      <c r="BD71" s="216">
        <f>SUM(AY71:BC71)</f>
        <v>20.300000000000011</v>
      </c>
      <c r="BE71" s="220">
        <f>AY71-AO71</f>
        <v>0</v>
      </c>
      <c r="BF71" s="220">
        <f>AZ71-AP71</f>
        <v>0</v>
      </c>
      <c r="BG71" s="220">
        <f>BA71-AQ71</f>
        <v>-39.699999999999989</v>
      </c>
      <c r="BH71" s="220">
        <f>BB71-AR71</f>
        <v>0</v>
      </c>
      <c r="BI71" s="220">
        <f>BC71-AS71</f>
        <v>0</v>
      </c>
      <c r="BJ71" s="220" t="s">
        <v>617</v>
      </c>
      <c r="BK71" s="220"/>
      <c r="BL71" s="223">
        <f>IF(AW71&lt;BK71,0,IF(AND(BK71=0,AW71&gt;0),AW71,IF(AW71&lt;0,0,IF(BK71&gt;0,AW71-BK71,IF(BK71&lt;0,0,AW71)))))</f>
        <v>0</v>
      </c>
      <c r="BM71" s="220">
        <v>3</v>
      </c>
      <c r="BN71" s="220"/>
      <c r="BO71" s="220">
        <f>ROUND(BM71+(BM71*BN71),2)</f>
        <v>3</v>
      </c>
      <c r="BP71" s="220">
        <f>IF(AND(BL71&gt;0,BL71&lt;tiet!$D$1),BL71,IF(BL71&lt;=0,0,IF(BL71&gt;tiet!$C$1,tiet!$C$1)))</f>
        <v>0</v>
      </c>
      <c r="BQ71" s="87">
        <f>VLOOKUP(P71,ma_dinhmuc_moi,4,0)</f>
        <v>60000</v>
      </c>
      <c r="BR71" s="224">
        <f>ROUND(BQ71*BP71,0)</f>
        <v>0</v>
      </c>
      <c r="BS71" s="220">
        <f t="shared" si="12"/>
        <v>0</v>
      </c>
      <c r="BT71" s="224">
        <f>VLOOKUP(N71,ma_dinhmuc!$A$1:$J$31,10,0)</f>
        <v>51000</v>
      </c>
      <c r="BU71" s="224">
        <f>ROUND(IF(BS71&gt;0,VLOOKUP(N71,ma_dinhmuc!$A$1:$J$31,10,0)*BS71,0),0)</f>
        <v>0</v>
      </c>
      <c r="BV71" s="224">
        <f>ROUND(BU71+BR71,0)</f>
        <v>0</v>
      </c>
      <c r="BW71" s="224"/>
      <c r="BX71" s="224">
        <v>0</v>
      </c>
      <c r="BY71" s="224"/>
      <c r="BZ71" s="224"/>
      <c r="CA71" s="224"/>
      <c r="CB71" s="224"/>
      <c r="CC71" s="225">
        <f>ROUND(IF(BV71+BW71&gt;BX71+BY71+BZ71+CA71+CB71,(BW71+BV71)-(BX71+BY71+BZ71+CA71+CB71+CB71),0),0)</f>
        <v>0</v>
      </c>
      <c r="CD71" s="224">
        <f>ROUND(IF(BV71+BW71&lt;BX71+BY71+BZ71+CA71-CB71,(BX71+BY71+BZ71+CA71-CB71)-(BW71+BV71),0),0)</f>
        <v>0</v>
      </c>
      <c r="CE71" s="224"/>
      <c r="CF71" s="226"/>
      <c r="CG71" s="87"/>
      <c r="CH71" s="87">
        <f>A71</f>
        <v>60</v>
      </c>
      <c r="CI71" s="227" t="str">
        <f t="shared" si="201"/>
        <v>Trần Thiện</v>
      </c>
      <c r="CJ71" s="227" t="str">
        <f t="shared" si="202"/>
        <v>Long</v>
      </c>
      <c r="CK71" s="87">
        <f t="shared" si="203"/>
        <v>1</v>
      </c>
      <c r="CL71" s="227" t="str">
        <f>L71</f>
        <v>Di truyền giống</v>
      </c>
      <c r="CM71" s="87" t="str">
        <f>N71</f>
        <v>CS2</v>
      </c>
      <c r="CN71" s="87">
        <f t="shared" si="204"/>
        <v>270</v>
      </c>
      <c r="CO71" s="87">
        <f t="shared" si="204"/>
        <v>100</v>
      </c>
      <c r="CP71" s="229">
        <f t="shared" si="47"/>
        <v>0</v>
      </c>
      <c r="CQ71" s="229">
        <f t="shared" si="48"/>
        <v>23.6</v>
      </c>
      <c r="CR71" s="229">
        <f t="shared" si="49"/>
        <v>9.5</v>
      </c>
      <c r="CS71" s="229">
        <f t="shared" si="50"/>
        <v>0</v>
      </c>
      <c r="CT71" s="229">
        <f t="shared" si="51"/>
        <v>0</v>
      </c>
      <c r="CU71" s="229">
        <f t="shared" si="52"/>
        <v>101.2</v>
      </c>
      <c r="CV71" s="229">
        <f t="shared" si="53"/>
        <v>0</v>
      </c>
      <c r="CW71" s="229">
        <f t="shared" si="54"/>
        <v>69</v>
      </c>
      <c r="CX71" s="229">
        <f t="shared" si="55"/>
        <v>0</v>
      </c>
      <c r="CY71" s="229">
        <f t="shared" si="56"/>
        <v>0</v>
      </c>
      <c r="CZ71" s="229">
        <f t="shared" si="57"/>
        <v>0</v>
      </c>
      <c r="DA71" s="229">
        <f t="shared" si="58"/>
        <v>60</v>
      </c>
      <c r="DB71" s="228">
        <f>SUM(CP71:DA71)</f>
        <v>263.3</v>
      </c>
      <c r="DC71" s="229"/>
      <c r="DD71" s="229"/>
      <c r="DE71" s="229"/>
      <c r="DF71" s="229"/>
      <c r="DG71" s="229"/>
      <c r="DH71" s="229"/>
      <c r="DI71" s="229"/>
      <c r="DJ71" s="229"/>
      <c r="DK71" s="229"/>
      <c r="DL71" s="229"/>
      <c r="DM71" s="229"/>
      <c r="DN71" s="229"/>
      <c r="DO71" s="228">
        <f>SUM(DC71:DN71)</f>
        <v>0</v>
      </c>
      <c r="DP71" s="228">
        <f>DO71+DB71</f>
        <v>263.3</v>
      </c>
      <c r="DQ71" s="229">
        <f t="shared" si="62"/>
        <v>0</v>
      </c>
      <c r="DR71" s="229">
        <f t="shared" si="63"/>
        <v>0</v>
      </c>
      <c r="DS71" s="229">
        <f t="shared" si="64"/>
        <v>0</v>
      </c>
      <c r="DT71" s="229">
        <f t="shared" si="65"/>
        <v>0</v>
      </c>
      <c r="DU71" s="229">
        <f t="shared" si="66"/>
        <v>0</v>
      </c>
      <c r="DV71" s="229">
        <f t="shared" si="67"/>
        <v>0</v>
      </c>
      <c r="DW71" s="229">
        <f t="shared" si="68"/>
        <v>0</v>
      </c>
      <c r="DX71" s="228">
        <f>SUM(DQ71:DW71)</f>
        <v>0</v>
      </c>
      <c r="DY71" s="229"/>
      <c r="DZ71" s="229"/>
      <c r="EA71" s="229"/>
      <c r="EB71" s="229"/>
      <c r="EC71" s="229"/>
      <c r="ED71" s="229"/>
      <c r="EE71" s="229"/>
      <c r="EF71" s="228">
        <f t="shared" si="17"/>
        <v>0</v>
      </c>
      <c r="EG71" s="228">
        <f>EF71+DX71</f>
        <v>0</v>
      </c>
      <c r="EH71" s="229">
        <f t="shared" si="18"/>
        <v>211.11</v>
      </c>
      <c r="EI71" s="229">
        <v>6.76</v>
      </c>
      <c r="EJ71" s="228">
        <f t="shared" si="206"/>
        <v>217.87</v>
      </c>
      <c r="EK71" s="229"/>
      <c r="EL71" s="229"/>
      <c r="EM71" s="228">
        <f t="shared" si="176"/>
        <v>0</v>
      </c>
      <c r="EN71" s="229">
        <f>EK71+EH71+EL71</f>
        <v>211.11</v>
      </c>
      <c r="EO71" s="229">
        <f>EI71</f>
        <v>6.76</v>
      </c>
      <c r="EP71" s="228">
        <f>EM71+EJ71</f>
        <v>217.87</v>
      </c>
      <c r="EQ71" s="173">
        <f t="shared" si="19"/>
        <v>111.11000000000001</v>
      </c>
      <c r="ER71" s="189">
        <v>0</v>
      </c>
      <c r="ES71" s="189">
        <v>23.6</v>
      </c>
      <c r="ET71" s="189">
        <v>9.5</v>
      </c>
      <c r="EU71" s="189">
        <v>0</v>
      </c>
      <c r="EV71" s="189">
        <v>0</v>
      </c>
      <c r="EW71" s="189">
        <v>101.2</v>
      </c>
      <c r="EX71" s="189">
        <v>0</v>
      </c>
      <c r="EY71" s="189">
        <v>69</v>
      </c>
      <c r="EZ71" s="189">
        <v>0</v>
      </c>
      <c r="FA71" s="189">
        <v>0</v>
      </c>
      <c r="FB71" s="189">
        <v>0</v>
      </c>
      <c r="FC71" s="189">
        <v>60</v>
      </c>
      <c r="FD71" s="189">
        <v>0</v>
      </c>
      <c r="FE71" s="189">
        <v>0</v>
      </c>
      <c r="FF71" s="189">
        <v>0</v>
      </c>
      <c r="FG71" s="189">
        <v>0</v>
      </c>
      <c r="FH71" s="189">
        <v>0</v>
      </c>
      <c r="FI71" s="189">
        <v>0</v>
      </c>
      <c r="FJ71" s="189">
        <v>0</v>
      </c>
      <c r="FK71" s="189">
        <v>263.3</v>
      </c>
      <c r="FL71" s="189">
        <v>224</v>
      </c>
      <c r="FN71" s="132">
        <v>211.11</v>
      </c>
    </row>
    <row r="72" spans="1:170" ht="30" customHeight="1">
      <c r="A72" s="88">
        <f>COUNTIF($H$12:H72,H72)</f>
        <v>61</v>
      </c>
      <c r="B72" s="88" t="s">
        <v>2102</v>
      </c>
      <c r="C72" s="88" t="s">
        <v>2069</v>
      </c>
      <c r="D72" s="88"/>
      <c r="E72" s="88"/>
      <c r="F72" s="301" t="s">
        <v>2081</v>
      </c>
      <c r="G72" s="89" t="s">
        <v>2082</v>
      </c>
      <c r="H72" s="88">
        <v>1</v>
      </c>
      <c r="I72" s="88">
        <v>1</v>
      </c>
      <c r="J72" s="88">
        <v>1</v>
      </c>
      <c r="K72" s="90" t="s">
        <v>2831</v>
      </c>
      <c r="L72" s="90" t="s">
        <v>2831</v>
      </c>
      <c r="M72" s="214"/>
      <c r="N72" s="88" t="s">
        <v>1804</v>
      </c>
      <c r="O72" s="216">
        <f t="shared" si="205"/>
        <v>3.99</v>
      </c>
      <c r="P72" s="88" t="str">
        <f t="shared" si="0"/>
        <v>B1_4</v>
      </c>
      <c r="Q72" s="88">
        <f t="shared" si="149"/>
        <v>270</v>
      </c>
      <c r="R72" s="88">
        <f t="shared" si="150"/>
        <v>120</v>
      </c>
      <c r="S72" s="230" t="s">
        <v>689</v>
      </c>
      <c r="T72" s="88" t="s">
        <v>3090</v>
      </c>
      <c r="U72" s="88">
        <f>IF(RIGHT(T72,1)="K",(VLOOKUP(T72,ma_miengiam!$A$3:$B$80,2,0)*100)/2,VLOOKUP(T72,ma_miengiam!$A$3:$B$80,2,0)*100)</f>
        <v>15</v>
      </c>
      <c r="V72" s="88"/>
      <c r="W72" s="220">
        <f>IF(AND(T72="NTS",V72&gt;0),(Q72-(Q72*V72)/12)*VLOOKUP(T72,ma_miengiam!$A$3:$B$80,2,0)+(Q72-(Q72*(12-V72))/12),IF(AND(RIGHT(T72,1)="K",V72&gt;0),(VLOOKUP(T72,ma_miengiam!$A$3:$B$80,2,0)/2)*(Q72*V72)/12,IF(RIGHT(T72,1)="K",(VLOOKUP(T72,ma_miengiam!$A$3:$B$80,2,0)*Q72)/2,IF(V72&gt;0,VLOOKUP(T72,ma_miengiam!$A$3:$B$80,2,0)*Q72*V72/12,VLOOKUP(T72,ma_miengiam!$A$3:$B$80,2,0)*Q72))))</f>
        <v>40.5</v>
      </c>
      <c r="X72" s="220">
        <f>IF(T72="NTS",VLOOKUP(T72,ma_miengiam!$A$3:$B$80,2,0)*R72*V72,IF(AND(T72="NTS",V72=0),0,IF(AND(LEFT(T72,1)="K",V72=0),VLOOKUP(T72,ma_miengiam!$A$3:$B$80,2,0)*R72,IF(LEFT(T72,1)="K",(VLOOKUP(T72,ma_miengiam!$A$3:$B$80,2,0)*R72/12)*V72,IF(AND(LEFT(T72,1)="S",V72&gt;0),(R72/12)*V72,IF(AND(LEFT(T72,1)="S",V72=0),R72,IF(T72="DH",VLOOKUP(T72,ma_miengiam!$A$3:$B$80,2,0)*R72,0)))))))</f>
        <v>0</v>
      </c>
      <c r="Y72" s="220">
        <f t="shared" si="131"/>
        <v>229.5</v>
      </c>
      <c r="Z72" s="220">
        <f>IF(AND(T72="SĐH",V72&gt;0),(R72/12)*V72-X72,IF(AND(T72="DH",V72&gt;0),(R72*V72/12),IF(AND(T72&lt;&gt;"NTS",V72&gt;0),(R72*V72/12)-X72,IF(AND(T72="NTS",V72&gt;0),R72-X72,R72-X72))))</f>
        <v>120</v>
      </c>
      <c r="AA72" s="220">
        <f t="shared" si="207"/>
        <v>270</v>
      </c>
      <c r="AB72" s="220">
        <f t="shared" si="207"/>
        <v>120</v>
      </c>
      <c r="AC72" s="220">
        <f t="shared" si="208"/>
        <v>40.5</v>
      </c>
      <c r="AD72" s="220">
        <f t="shared" si="208"/>
        <v>0</v>
      </c>
      <c r="AE72" s="220">
        <f t="shared" si="208"/>
        <v>229.5</v>
      </c>
      <c r="AF72" s="220">
        <f t="shared" si="208"/>
        <v>120</v>
      </c>
      <c r="AG72" s="220">
        <f t="shared" si="178"/>
        <v>257.07</v>
      </c>
      <c r="AH72" s="220">
        <f t="shared" si="179"/>
        <v>52.9</v>
      </c>
      <c r="AI72" s="220">
        <f t="shared" si="180"/>
        <v>204.17</v>
      </c>
      <c r="AJ72" s="220">
        <f>IF(AG72-Z72&gt;0,0,AG72-Z72)</f>
        <v>0</v>
      </c>
      <c r="AK72" s="216">
        <f t="shared" si="8"/>
        <v>229.5</v>
      </c>
      <c r="AL72" s="220">
        <f t="shared" si="22"/>
        <v>130.5</v>
      </c>
      <c r="AM72" s="220">
        <f t="shared" si="23"/>
        <v>0</v>
      </c>
      <c r="AN72" s="221">
        <f t="shared" si="24"/>
        <v>130.5</v>
      </c>
      <c r="AO72" s="220">
        <f t="shared" si="25"/>
        <v>0</v>
      </c>
      <c r="AP72" s="220">
        <f t="shared" si="26"/>
        <v>0</v>
      </c>
      <c r="AQ72" s="220">
        <f t="shared" si="27"/>
        <v>60</v>
      </c>
      <c r="AR72" s="220">
        <f t="shared" si="28"/>
        <v>80</v>
      </c>
      <c r="AS72" s="220">
        <f t="shared" si="29"/>
        <v>0</v>
      </c>
      <c r="AT72" s="216">
        <f t="shared" si="30"/>
        <v>270.5</v>
      </c>
      <c r="AU72" s="222">
        <f t="shared" si="31"/>
        <v>-99</v>
      </c>
      <c r="AV72" s="220"/>
      <c r="AW72" s="220">
        <f t="shared" si="183"/>
        <v>-99</v>
      </c>
      <c r="AX72" s="216">
        <f t="shared" si="9"/>
        <v>-99</v>
      </c>
      <c r="AY72" s="220">
        <f t="shared" si="193"/>
        <v>0</v>
      </c>
      <c r="AZ72" s="220">
        <f t="shared" si="194"/>
        <v>0</v>
      </c>
      <c r="BA72" s="220">
        <f t="shared" si="195"/>
        <v>0</v>
      </c>
      <c r="BB72" s="220">
        <f t="shared" si="196"/>
        <v>41</v>
      </c>
      <c r="BC72" s="220">
        <f t="shared" si="197"/>
        <v>0</v>
      </c>
      <c r="BD72" s="216">
        <f t="shared" si="184"/>
        <v>41</v>
      </c>
      <c r="BE72" s="220">
        <f t="shared" si="185"/>
        <v>0</v>
      </c>
      <c r="BF72" s="220">
        <f t="shared" si="186"/>
        <v>0</v>
      </c>
      <c r="BG72" s="220">
        <f t="shared" si="187"/>
        <v>-60</v>
      </c>
      <c r="BH72" s="220">
        <f t="shared" si="188"/>
        <v>-39</v>
      </c>
      <c r="BI72" s="220">
        <f t="shared" si="189"/>
        <v>0</v>
      </c>
      <c r="BJ72" s="220" t="s">
        <v>617</v>
      </c>
      <c r="BK72" s="220"/>
      <c r="BL72" s="223">
        <f t="shared" si="11"/>
        <v>0</v>
      </c>
      <c r="BM72" s="220">
        <v>3.99</v>
      </c>
      <c r="BN72" s="220"/>
      <c r="BO72" s="220">
        <f t="shared" si="200"/>
        <v>3.99</v>
      </c>
      <c r="BP72" s="220">
        <f>IF(AND(BL72&gt;0,BL72&lt;tiet!$D$1),BL72,IF(BL72&lt;=0,0,IF(BL72&gt;tiet!$C$1,tiet!$C$1)))</f>
        <v>0</v>
      </c>
      <c r="BQ72" s="87">
        <f t="shared" si="170"/>
        <v>65000</v>
      </c>
      <c r="BR72" s="224">
        <f t="shared" si="171"/>
        <v>0</v>
      </c>
      <c r="BS72" s="220">
        <f t="shared" si="12"/>
        <v>0</v>
      </c>
      <c r="BT72" s="224">
        <f>VLOOKUP(N72,ma_dinhmuc!$A$1:$J$31,10,0)</f>
        <v>51000</v>
      </c>
      <c r="BU72" s="224">
        <f>ROUND(IF(BS72&gt;0,VLOOKUP(N72,ma_dinhmuc!$A$1:$J$31,10,0)*BS72,0),0)</f>
        <v>0</v>
      </c>
      <c r="BV72" s="224">
        <f t="shared" si="172"/>
        <v>0</v>
      </c>
      <c r="BW72" s="224"/>
      <c r="BX72" s="224">
        <v>0</v>
      </c>
      <c r="BY72" s="224"/>
      <c r="BZ72" s="224"/>
      <c r="CA72" s="224"/>
      <c r="CB72" s="224"/>
      <c r="CC72" s="225">
        <f>ROUND(IF(BV72+BW72&gt;BX72+BY72+BZ72+CA72+CB72,(BW72+BV72)-(BX72+BY72+BZ72+CA72+CB72+CB72),0),0)</f>
        <v>0</v>
      </c>
      <c r="CD72" s="224">
        <f>ROUND(IF(BV72+BW72&lt;BX72+BY72+BZ72+CA72-CB72,(BX72+BY72+BZ72+CA72-CB72)-(BW72+BV72),0),0)</f>
        <v>0</v>
      </c>
      <c r="CE72" s="224"/>
      <c r="CF72" s="226"/>
      <c r="CG72" s="87"/>
      <c r="CH72" s="87">
        <f t="shared" si="166"/>
        <v>61</v>
      </c>
      <c r="CI72" s="227" t="str">
        <f t="shared" si="201"/>
        <v>Nguyễn Thanh</v>
      </c>
      <c r="CJ72" s="227" t="str">
        <f t="shared" si="202"/>
        <v>Tuấn</v>
      </c>
      <c r="CK72" s="87">
        <f t="shared" si="203"/>
        <v>1</v>
      </c>
      <c r="CL72" s="227" t="str">
        <f t="shared" si="174"/>
        <v>Di truyền giống</v>
      </c>
      <c r="CM72" s="87" t="str">
        <f t="shared" si="190"/>
        <v>CS2</v>
      </c>
      <c r="CN72" s="87">
        <f t="shared" si="204"/>
        <v>270</v>
      </c>
      <c r="CO72" s="87">
        <f t="shared" si="204"/>
        <v>120</v>
      </c>
      <c r="CP72" s="229">
        <f t="shared" si="47"/>
        <v>0</v>
      </c>
      <c r="CQ72" s="229">
        <f t="shared" si="48"/>
        <v>9.9</v>
      </c>
      <c r="CR72" s="229">
        <f t="shared" si="49"/>
        <v>4.0999999999999996</v>
      </c>
      <c r="CS72" s="229">
        <f t="shared" si="50"/>
        <v>0</v>
      </c>
      <c r="CT72" s="229">
        <f t="shared" si="51"/>
        <v>0</v>
      </c>
      <c r="CU72" s="229">
        <f t="shared" si="52"/>
        <v>67</v>
      </c>
      <c r="CV72" s="229">
        <f t="shared" si="53"/>
        <v>0</v>
      </c>
      <c r="CW72" s="229">
        <f t="shared" si="54"/>
        <v>49.5</v>
      </c>
      <c r="CX72" s="229">
        <f t="shared" si="55"/>
        <v>0</v>
      </c>
      <c r="CY72" s="229">
        <f t="shared" si="56"/>
        <v>0</v>
      </c>
      <c r="CZ72" s="229">
        <f t="shared" si="57"/>
        <v>0</v>
      </c>
      <c r="DA72" s="229">
        <f t="shared" si="58"/>
        <v>60</v>
      </c>
      <c r="DB72" s="228">
        <f t="shared" si="59"/>
        <v>190.5</v>
      </c>
      <c r="DC72" s="229"/>
      <c r="DD72" s="229"/>
      <c r="DE72" s="229"/>
      <c r="DF72" s="229"/>
      <c r="DG72" s="229"/>
      <c r="DH72" s="229"/>
      <c r="DI72" s="229"/>
      <c r="DJ72" s="229"/>
      <c r="DK72" s="229"/>
      <c r="DL72" s="229"/>
      <c r="DM72" s="229"/>
      <c r="DN72" s="229"/>
      <c r="DO72" s="228">
        <f t="shared" si="60"/>
        <v>0</v>
      </c>
      <c r="DP72" s="228">
        <f t="shared" si="61"/>
        <v>190.5</v>
      </c>
      <c r="DQ72" s="229">
        <f t="shared" si="62"/>
        <v>0</v>
      </c>
      <c r="DR72" s="229">
        <f t="shared" si="63"/>
        <v>0</v>
      </c>
      <c r="DS72" s="229">
        <f t="shared" si="64"/>
        <v>0</v>
      </c>
      <c r="DT72" s="229">
        <f t="shared" si="65"/>
        <v>0</v>
      </c>
      <c r="DU72" s="229">
        <f t="shared" si="66"/>
        <v>0</v>
      </c>
      <c r="DV72" s="229">
        <f t="shared" si="67"/>
        <v>80</v>
      </c>
      <c r="DW72" s="229">
        <f t="shared" si="68"/>
        <v>0</v>
      </c>
      <c r="DX72" s="228">
        <f t="shared" si="69"/>
        <v>80</v>
      </c>
      <c r="DY72" s="229"/>
      <c r="DZ72" s="229"/>
      <c r="EA72" s="229"/>
      <c r="EB72" s="229"/>
      <c r="EC72" s="229"/>
      <c r="ED72" s="229"/>
      <c r="EE72" s="229"/>
      <c r="EF72" s="228">
        <f t="shared" si="17"/>
        <v>0</v>
      </c>
      <c r="EG72" s="228">
        <f t="shared" si="70"/>
        <v>80</v>
      </c>
      <c r="EH72" s="229">
        <f t="shared" si="18"/>
        <v>204.17</v>
      </c>
      <c r="EI72" s="229">
        <v>52.9</v>
      </c>
      <c r="EJ72" s="228">
        <f t="shared" si="206"/>
        <v>257.07</v>
      </c>
      <c r="EK72" s="229"/>
      <c r="EL72" s="229"/>
      <c r="EM72" s="228">
        <f t="shared" si="176"/>
        <v>0</v>
      </c>
      <c r="EN72" s="229">
        <f t="shared" si="192"/>
        <v>204.17</v>
      </c>
      <c r="EO72" s="229">
        <f t="shared" si="72"/>
        <v>52.9</v>
      </c>
      <c r="EP72" s="228">
        <f t="shared" si="177"/>
        <v>257.07</v>
      </c>
      <c r="EQ72" s="173">
        <f t="shared" si="19"/>
        <v>84.169999999999987</v>
      </c>
      <c r="ER72" s="189">
        <v>0</v>
      </c>
      <c r="ES72" s="189">
        <v>9.9</v>
      </c>
      <c r="ET72" s="189">
        <v>4.0999999999999996</v>
      </c>
      <c r="EU72" s="189">
        <v>0</v>
      </c>
      <c r="EV72" s="189">
        <v>0</v>
      </c>
      <c r="EW72" s="189">
        <v>67</v>
      </c>
      <c r="EX72" s="189">
        <v>0</v>
      </c>
      <c r="EY72" s="189">
        <v>49.5</v>
      </c>
      <c r="EZ72" s="189">
        <v>0</v>
      </c>
      <c r="FA72" s="189">
        <v>0</v>
      </c>
      <c r="FB72" s="189">
        <v>0</v>
      </c>
      <c r="FC72" s="189">
        <v>60</v>
      </c>
      <c r="FD72" s="189">
        <v>0</v>
      </c>
      <c r="FE72" s="189">
        <v>0</v>
      </c>
      <c r="FF72" s="189">
        <v>0</v>
      </c>
      <c r="FG72" s="189">
        <v>0</v>
      </c>
      <c r="FH72" s="189">
        <v>80</v>
      </c>
      <c r="FI72" s="189">
        <v>0</v>
      </c>
      <c r="FJ72" s="189">
        <v>0</v>
      </c>
      <c r="FK72" s="189">
        <v>270.5</v>
      </c>
      <c r="FL72" s="189">
        <v>251</v>
      </c>
      <c r="FN72" s="132">
        <v>204.17</v>
      </c>
    </row>
    <row r="73" spans="1:170" ht="30">
      <c r="A73" s="88">
        <f>COUNTIF($H$12:H73,H73)</f>
        <v>62</v>
      </c>
      <c r="B73" s="88" t="s">
        <v>2103</v>
      </c>
      <c r="C73" s="88" t="s">
        <v>2070</v>
      </c>
      <c r="D73" s="88"/>
      <c r="E73" s="88"/>
      <c r="F73" s="301" t="s">
        <v>1139</v>
      </c>
      <c r="G73" s="89" t="s">
        <v>1569</v>
      </c>
      <c r="H73" s="88">
        <v>1</v>
      </c>
      <c r="I73" s="88">
        <v>1</v>
      </c>
      <c r="J73" s="88">
        <v>1</v>
      </c>
      <c r="K73" s="91" t="s">
        <v>1165</v>
      </c>
      <c r="L73" s="91" t="s">
        <v>1165</v>
      </c>
      <c r="M73" s="214"/>
      <c r="N73" s="88" t="s">
        <v>1804</v>
      </c>
      <c r="O73" s="216">
        <f t="shared" si="205"/>
        <v>2.67</v>
      </c>
      <c r="P73" s="88" t="str">
        <f t="shared" si="0"/>
        <v>B1_3</v>
      </c>
      <c r="Q73" s="88">
        <f t="shared" si="149"/>
        <v>270</v>
      </c>
      <c r="R73" s="88">
        <f t="shared" si="150"/>
        <v>100</v>
      </c>
      <c r="S73" s="231" t="s">
        <v>485</v>
      </c>
      <c r="T73" s="88" t="s">
        <v>1326</v>
      </c>
      <c r="U73" s="88">
        <f>IF(RIGHT(T73,1)="K",(VLOOKUP(T73,ma_miengiam!$A$3:$B$80,2,0)*100)/2,VLOOKUP(T73,ma_miengiam!$A$3:$B$80,2,0)*100)</f>
        <v>65</v>
      </c>
      <c r="V73" s="88"/>
      <c r="W73" s="220">
        <f>IF(AND(T73="NTS",V73&gt;0),(Q73-(Q73*V73)/12)*VLOOKUP(T73,ma_miengiam!$A$3:$B$80,2,0)+(Q73-(Q73*(12-V73))/12),IF(AND(RIGHT(T73,1)="K",V73&gt;0),(VLOOKUP(T73,ma_miengiam!$A$3:$B$80,2,0)/2)*(Q73*V73)/12,IF(RIGHT(T73,1)="K",(VLOOKUP(T73,ma_miengiam!$A$3:$B$80,2,0)*Q73)/2,IF(V73&gt;0,VLOOKUP(T73,ma_miengiam!$A$3:$B$80,2,0)*Q73*V73/12,VLOOKUP(T73,ma_miengiam!$A$3:$B$80,2,0)*Q73))))</f>
        <v>175.5</v>
      </c>
      <c r="X73" s="220">
        <f>IF(T73="NTS",VLOOKUP(T73,ma_miengiam!$A$3:$B$80,2,0)*R73*V73,IF(AND(T73="NTS",V73=0),0,IF(AND(LEFT(T73,1)="K",V73=0),VLOOKUP(T73,ma_miengiam!$A$3:$B$80,2,0)*R73,IF(LEFT(T73,1)="K",(VLOOKUP(T73,ma_miengiam!$A$3:$B$80,2,0)*R73/12)*V73,IF(AND(LEFT(T73,1)="S",V73&gt;0),(R73/12)*V73,IF(AND(LEFT(T73,1)="S",V73=0),R73,IF(T73="DH",VLOOKUP(T73,ma_miengiam!$A$3:$B$80,2,0)*R73,0)))))))</f>
        <v>100</v>
      </c>
      <c r="Y73" s="220">
        <f t="shared" si="131"/>
        <v>94.5</v>
      </c>
      <c r="Z73" s="220">
        <f t="shared" si="90"/>
        <v>0</v>
      </c>
      <c r="AA73" s="220">
        <f t="shared" si="207"/>
        <v>270</v>
      </c>
      <c r="AB73" s="220">
        <f t="shared" si="207"/>
        <v>100</v>
      </c>
      <c r="AC73" s="220">
        <f t="shared" si="208"/>
        <v>175.5</v>
      </c>
      <c r="AD73" s="220">
        <f t="shared" si="208"/>
        <v>100</v>
      </c>
      <c r="AE73" s="220">
        <f t="shared" si="208"/>
        <v>94.5</v>
      </c>
      <c r="AF73" s="220">
        <f t="shared" si="208"/>
        <v>0</v>
      </c>
      <c r="AG73" s="220">
        <f t="shared" si="178"/>
        <v>124</v>
      </c>
      <c r="AH73" s="220">
        <f t="shared" si="179"/>
        <v>26.5</v>
      </c>
      <c r="AI73" s="220">
        <f t="shared" si="180"/>
        <v>97.5</v>
      </c>
      <c r="AJ73" s="220">
        <f>IF(AG73-Z73&gt;0,0,AG73-Z73)</f>
        <v>0</v>
      </c>
      <c r="AK73" s="216">
        <f t="shared" si="8"/>
        <v>94.5</v>
      </c>
      <c r="AL73" s="220">
        <f t="shared" si="22"/>
        <v>19.5</v>
      </c>
      <c r="AM73" s="220">
        <f t="shared" si="23"/>
        <v>0</v>
      </c>
      <c r="AN73" s="221">
        <f t="shared" si="24"/>
        <v>19.5</v>
      </c>
      <c r="AO73" s="220">
        <f t="shared" si="25"/>
        <v>0</v>
      </c>
      <c r="AP73" s="220">
        <f t="shared" si="26"/>
        <v>0</v>
      </c>
      <c r="AQ73" s="220">
        <f t="shared" si="27"/>
        <v>80</v>
      </c>
      <c r="AR73" s="220">
        <f t="shared" si="28"/>
        <v>0</v>
      </c>
      <c r="AS73" s="220">
        <f t="shared" si="29"/>
        <v>0</v>
      </c>
      <c r="AT73" s="216">
        <f t="shared" si="30"/>
        <v>99.5</v>
      </c>
      <c r="AU73" s="220">
        <f t="shared" ref="AU73:AU123" si="209">AN73-AK73</f>
        <v>-75</v>
      </c>
      <c r="AV73" s="220"/>
      <c r="AW73" s="220">
        <f t="shared" si="183"/>
        <v>-75</v>
      </c>
      <c r="AX73" s="216">
        <f t="shared" si="9"/>
        <v>-75</v>
      </c>
      <c r="AY73" s="220">
        <f t="shared" si="193"/>
        <v>0</v>
      </c>
      <c r="AZ73" s="220">
        <f t="shared" si="194"/>
        <v>0</v>
      </c>
      <c r="BA73" s="220">
        <f t="shared" si="195"/>
        <v>5</v>
      </c>
      <c r="BB73" s="220">
        <f t="shared" si="196"/>
        <v>0</v>
      </c>
      <c r="BC73" s="220">
        <f t="shared" si="197"/>
        <v>0</v>
      </c>
      <c r="BD73" s="216">
        <f t="shared" si="184"/>
        <v>5</v>
      </c>
      <c r="BE73" s="220">
        <f t="shared" si="185"/>
        <v>0</v>
      </c>
      <c r="BF73" s="220">
        <f t="shared" si="186"/>
        <v>0</v>
      </c>
      <c r="BG73" s="220">
        <f t="shared" si="187"/>
        <v>-75</v>
      </c>
      <c r="BH73" s="220">
        <f t="shared" si="188"/>
        <v>0</v>
      </c>
      <c r="BI73" s="220">
        <f t="shared" si="189"/>
        <v>0</v>
      </c>
      <c r="BJ73" s="220" t="s">
        <v>809</v>
      </c>
      <c r="BK73" s="220"/>
      <c r="BL73" s="223">
        <f t="shared" si="11"/>
        <v>0</v>
      </c>
      <c r="BM73" s="220">
        <v>2.67</v>
      </c>
      <c r="BN73" s="220"/>
      <c r="BO73" s="220">
        <f t="shared" si="200"/>
        <v>2.67</v>
      </c>
      <c r="BP73" s="220">
        <f>IF(AND(BL73&gt;0,BL73&lt;tiet!$D$1),BL73,IF(BL73&lt;=0,0,IF(BL73&gt;tiet!$C$1,tiet!$C$1)))</f>
        <v>0</v>
      </c>
      <c r="BQ73" s="87">
        <f t="shared" si="170"/>
        <v>60000</v>
      </c>
      <c r="BR73" s="224">
        <f t="shared" si="171"/>
        <v>0</v>
      </c>
      <c r="BS73" s="220">
        <f t="shared" si="12"/>
        <v>0</v>
      </c>
      <c r="BT73" s="224">
        <f>VLOOKUP(N73,ma_dinhmuc!$A$1:$J$31,10,0)</f>
        <v>51000</v>
      </c>
      <c r="BU73" s="224">
        <f>ROUND(IF(BS73&gt;0,VLOOKUP(N73,ma_dinhmuc!$A$1:$J$31,10,0)*BS73,0),0)</f>
        <v>0</v>
      </c>
      <c r="BV73" s="224">
        <f t="shared" si="172"/>
        <v>0</v>
      </c>
      <c r="BW73" s="224"/>
      <c r="BX73" s="224">
        <v>0</v>
      </c>
      <c r="BY73" s="224"/>
      <c r="BZ73" s="224"/>
      <c r="CA73" s="224"/>
      <c r="CB73" s="224"/>
      <c r="CC73" s="225">
        <f t="shared" si="198"/>
        <v>0</v>
      </c>
      <c r="CD73" s="224">
        <f t="shared" si="199"/>
        <v>0</v>
      </c>
      <c r="CE73" s="224"/>
      <c r="CF73" s="226"/>
      <c r="CG73" s="87"/>
      <c r="CH73" s="87">
        <f t="shared" si="166"/>
        <v>62</v>
      </c>
      <c r="CI73" s="227" t="str">
        <f t="shared" si="201"/>
        <v>Nguyễn Thị</v>
      </c>
      <c r="CJ73" s="227" t="str">
        <f t="shared" si="202"/>
        <v>Phượng</v>
      </c>
      <c r="CK73" s="87">
        <f t="shared" si="203"/>
        <v>1</v>
      </c>
      <c r="CL73" s="227" t="str">
        <f t="shared" ref="CL73:CL90" si="210">L73</f>
        <v>RHQ và Cảnh quan</v>
      </c>
      <c r="CM73" s="87" t="str">
        <f t="shared" si="190"/>
        <v>CS2</v>
      </c>
      <c r="CN73" s="87">
        <f t="shared" ref="CN73:CO85" si="211">Q73</f>
        <v>270</v>
      </c>
      <c r="CO73" s="87">
        <f t="shared" si="211"/>
        <v>100</v>
      </c>
      <c r="CP73" s="229">
        <f t="shared" si="47"/>
        <v>0</v>
      </c>
      <c r="CQ73" s="229">
        <f t="shared" si="48"/>
        <v>0</v>
      </c>
      <c r="CR73" s="229">
        <f t="shared" si="49"/>
        <v>0</v>
      </c>
      <c r="CS73" s="229">
        <f t="shared" si="50"/>
        <v>19.5</v>
      </c>
      <c r="CT73" s="229">
        <f t="shared" si="51"/>
        <v>0</v>
      </c>
      <c r="CU73" s="229">
        <f t="shared" si="52"/>
        <v>0</v>
      </c>
      <c r="CV73" s="229">
        <f t="shared" si="53"/>
        <v>0</v>
      </c>
      <c r="CW73" s="229">
        <f t="shared" si="54"/>
        <v>0</v>
      </c>
      <c r="CX73" s="229">
        <f t="shared" si="55"/>
        <v>0</v>
      </c>
      <c r="CY73" s="229">
        <f t="shared" si="56"/>
        <v>0</v>
      </c>
      <c r="CZ73" s="229">
        <f t="shared" si="57"/>
        <v>0</v>
      </c>
      <c r="DA73" s="229">
        <f t="shared" si="58"/>
        <v>80</v>
      </c>
      <c r="DB73" s="228">
        <f t="shared" si="59"/>
        <v>99.5</v>
      </c>
      <c r="DC73" s="229"/>
      <c r="DD73" s="229"/>
      <c r="DE73" s="229"/>
      <c r="DF73" s="229"/>
      <c r="DG73" s="229"/>
      <c r="DH73" s="229"/>
      <c r="DI73" s="229"/>
      <c r="DJ73" s="229"/>
      <c r="DK73" s="229"/>
      <c r="DL73" s="229"/>
      <c r="DM73" s="229"/>
      <c r="DN73" s="229"/>
      <c r="DO73" s="228">
        <f t="shared" si="60"/>
        <v>0</v>
      </c>
      <c r="DP73" s="228">
        <f t="shared" si="61"/>
        <v>99.5</v>
      </c>
      <c r="DQ73" s="229">
        <f t="shared" si="62"/>
        <v>0</v>
      </c>
      <c r="DR73" s="229">
        <f t="shared" si="63"/>
        <v>0</v>
      </c>
      <c r="DS73" s="229">
        <f t="shared" si="64"/>
        <v>0</v>
      </c>
      <c r="DT73" s="229">
        <f t="shared" si="65"/>
        <v>0</v>
      </c>
      <c r="DU73" s="229">
        <f t="shared" si="66"/>
        <v>0</v>
      </c>
      <c r="DV73" s="229">
        <f t="shared" si="67"/>
        <v>0</v>
      </c>
      <c r="DW73" s="229">
        <f t="shared" si="68"/>
        <v>0</v>
      </c>
      <c r="DX73" s="228">
        <f t="shared" si="69"/>
        <v>0</v>
      </c>
      <c r="DY73" s="229"/>
      <c r="DZ73" s="229"/>
      <c r="EA73" s="229"/>
      <c r="EB73" s="229"/>
      <c r="EC73" s="229"/>
      <c r="ED73" s="229"/>
      <c r="EE73" s="229"/>
      <c r="EF73" s="228">
        <f t="shared" si="17"/>
        <v>0</v>
      </c>
      <c r="EG73" s="228">
        <f t="shared" si="70"/>
        <v>0</v>
      </c>
      <c r="EH73" s="229">
        <f t="shared" si="18"/>
        <v>97.5</v>
      </c>
      <c r="EI73" s="229">
        <v>26.5</v>
      </c>
      <c r="EJ73" s="228">
        <f t="shared" si="206"/>
        <v>124</v>
      </c>
      <c r="EK73" s="229"/>
      <c r="EL73" s="229"/>
      <c r="EM73" s="228">
        <f t="shared" si="176"/>
        <v>0</v>
      </c>
      <c r="EN73" s="229">
        <f t="shared" si="192"/>
        <v>97.5</v>
      </c>
      <c r="EO73" s="229">
        <f t="shared" ref="EO73:EO123" si="212">EI73</f>
        <v>26.5</v>
      </c>
      <c r="EP73" s="228">
        <f t="shared" si="177"/>
        <v>124</v>
      </c>
      <c r="EQ73" s="173">
        <f t="shared" si="19"/>
        <v>97.5</v>
      </c>
      <c r="ER73" s="189">
        <v>0</v>
      </c>
      <c r="ES73" s="189">
        <v>0</v>
      </c>
      <c r="ET73" s="189">
        <v>0</v>
      </c>
      <c r="EU73" s="189">
        <v>19.5</v>
      </c>
      <c r="EV73" s="189">
        <v>0</v>
      </c>
      <c r="EW73" s="189">
        <v>0</v>
      </c>
      <c r="EX73" s="189">
        <v>0</v>
      </c>
      <c r="EY73" s="189">
        <v>0</v>
      </c>
      <c r="EZ73" s="189">
        <v>0</v>
      </c>
      <c r="FA73" s="189">
        <v>0</v>
      </c>
      <c r="FB73" s="189">
        <v>0</v>
      </c>
      <c r="FC73" s="189">
        <v>80</v>
      </c>
      <c r="FD73" s="189">
        <v>0</v>
      </c>
      <c r="FE73" s="189">
        <v>0</v>
      </c>
      <c r="FF73" s="189">
        <v>0</v>
      </c>
      <c r="FG73" s="189">
        <v>0</v>
      </c>
      <c r="FH73" s="189">
        <v>0</v>
      </c>
      <c r="FI73" s="189">
        <v>0</v>
      </c>
      <c r="FJ73" s="189">
        <v>0</v>
      </c>
      <c r="FK73" s="189">
        <v>99.5</v>
      </c>
      <c r="FL73" s="189">
        <v>99.5</v>
      </c>
      <c r="FN73" s="132">
        <v>97.5</v>
      </c>
    </row>
    <row r="74" spans="1:170" ht="27" customHeight="1">
      <c r="A74" s="88">
        <f>COUNTIF($H$12:H74,H74)</f>
        <v>63</v>
      </c>
      <c r="B74" s="88" t="s">
        <v>2104</v>
      </c>
      <c r="C74" s="88" t="s">
        <v>2071</v>
      </c>
      <c r="D74" s="88"/>
      <c r="E74" s="88"/>
      <c r="F74" s="301" t="s">
        <v>1568</v>
      </c>
      <c r="G74" s="89" t="s">
        <v>1569</v>
      </c>
      <c r="H74" s="88">
        <v>1</v>
      </c>
      <c r="I74" s="88"/>
      <c r="J74" s="88">
        <v>1</v>
      </c>
      <c r="K74" s="91"/>
      <c r="L74" s="91" t="s">
        <v>1165</v>
      </c>
      <c r="M74" s="214"/>
      <c r="N74" s="88" t="s">
        <v>605</v>
      </c>
      <c r="O74" s="216">
        <f t="shared" si="205"/>
        <v>6.2</v>
      </c>
      <c r="P74" s="88" t="str">
        <f t="shared" si="0"/>
        <v>B1_6</v>
      </c>
      <c r="Q74" s="88">
        <f t="shared" si="149"/>
        <v>270</v>
      </c>
      <c r="R74" s="88">
        <f t="shared" si="150"/>
        <v>170</v>
      </c>
      <c r="S74" s="230" t="s">
        <v>3162</v>
      </c>
      <c r="T74" s="88" t="s">
        <v>3091</v>
      </c>
      <c r="U74" s="88">
        <f>IF(RIGHT(T74,1)="K",(VLOOKUP(T74,ma_miengiam!$A$3:$B$80,2,0)*100)/2,VLOOKUP(T74,ma_miengiam!$A$3:$B$80,2,0)*100)</f>
        <v>20</v>
      </c>
      <c r="V74" s="88">
        <v>1</v>
      </c>
      <c r="W74" s="220">
        <f>IF(AND(T74="NTS",V74&gt;0),(Q74-(Q74*V74)/12)*VLOOKUP(T74,ma_miengiam!$A$3:$B$80,2,0)+(Q74-(Q74*(12-V74))/12),IF(AND(RIGHT(T74,1)="K",V74&gt;0),(VLOOKUP(T74,ma_miengiam!$A$3:$B$80,2,0)/2)*(Q74*V74)/12,IF(RIGHT(T74,1)="K",(VLOOKUP(T74,ma_miengiam!$A$3:$B$80,2,0)*Q74)/2,IF(V74&gt;0,VLOOKUP(T74,ma_miengiam!$A$3:$B$80,2,0)*Q74*V74/12,VLOOKUP(T74,ma_miengiam!$A$3:$B$80,2,0)*Q74))))</f>
        <v>4.5</v>
      </c>
      <c r="X74" s="220">
        <f>IF(T74="NTS",VLOOKUP(T74,ma_miengiam!$A$3:$B$80,2,0)*R74*V74,IF(AND(T74="NTS",V74=0),0,IF(AND(LEFT(T74,1)="K",V74=0),VLOOKUP(T74,ma_miengiam!$A$3:$B$80,2,0)*R74,IF(LEFT(T74,1)="K",(VLOOKUP(T74,ma_miengiam!$A$3:$B$80,2,0)*R74/12)*V74,IF(AND(LEFT(T74,1)="S",V74&gt;0),(R74/12)*V74,IF(AND(LEFT(T74,1)="S",V74=0),R74,IF(T74="DH",VLOOKUP(T74,ma_miengiam!$A$3:$B$80,2,0)*R74,0)))))))</f>
        <v>0</v>
      </c>
      <c r="Y74" s="220">
        <f t="shared" ref="Y74:Y111" si="213">IF(AND(T74="DH",V74&gt;0),(S74*V74/12),IF(AND(T74&lt;&gt;"NTS",V74&gt;0),(Q74*V74/12)-W74,IF(AND(T74="NTS",V74&gt;0),Q74-W74,Q74-W74)))</f>
        <v>18</v>
      </c>
      <c r="Z74" s="220">
        <f t="shared" si="90"/>
        <v>14.166666666666666</v>
      </c>
      <c r="AA74" s="220"/>
      <c r="AB74" s="220"/>
      <c r="AC74" s="220"/>
      <c r="AD74" s="220"/>
      <c r="AE74" s="220"/>
      <c r="AF74" s="220"/>
      <c r="AG74" s="220"/>
      <c r="AH74" s="220"/>
      <c r="AI74" s="220"/>
      <c r="AJ74" s="220"/>
      <c r="AK74" s="216"/>
      <c r="AL74" s="220"/>
      <c r="AM74" s="220"/>
      <c r="AN74" s="221"/>
      <c r="AO74" s="220"/>
      <c r="AP74" s="220"/>
      <c r="AQ74" s="220"/>
      <c r="AR74" s="220"/>
      <c r="AS74" s="220"/>
      <c r="AT74" s="216"/>
      <c r="AU74" s="222"/>
      <c r="AV74" s="220"/>
      <c r="AW74" s="220"/>
      <c r="AX74" s="216"/>
      <c r="AY74" s="220"/>
      <c r="AZ74" s="220"/>
      <c r="BA74" s="220"/>
      <c r="BB74" s="220"/>
      <c r="BC74" s="220"/>
      <c r="BD74" s="216"/>
      <c r="BE74" s="220"/>
      <c r="BF74" s="220"/>
      <c r="BG74" s="220"/>
      <c r="BH74" s="220"/>
      <c r="BI74" s="220"/>
      <c r="BJ74" s="220" t="s">
        <v>810</v>
      </c>
      <c r="BK74" s="220"/>
      <c r="BL74" s="223">
        <f t="shared" si="11"/>
        <v>0</v>
      </c>
      <c r="BM74" s="220">
        <v>6.2</v>
      </c>
      <c r="BN74" s="220"/>
      <c r="BO74" s="220">
        <f t="shared" si="200"/>
        <v>6.2</v>
      </c>
      <c r="BP74" s="220">
        <f>IF(AND(BL74&gt;0,BL74&lt;tiet!$D$1),BL74,IF(BL74&lt;=0,0,IF(BL74&gt;tiet!$C$1,tiet!$C$1)))</f>
        <v>0</v>
      </c>
      <c r="BQ74" s="87">
        <f t="shared" si="170"/>
        <v>75000</v>
      </c>
      <c r="BR74" s="224">
        <f t="shared" si="171"/>
        <v>0</v>
      </c>
      <c r="BS74" s="220">
        <f t="shared" si="12"/>
        <v>0</v>
      </c>
      <c r="BT74" s="224">
        <f>VLOOKUP(N74,ma_dinhmuc!$A$1:$J$31,10,0)</f>
        <v>65000</v>
      </c>
      <c r="BU74" s="224">
        <f>ROUND(IF(BS74&gt;0,VLOOKUP(N74,ma_dinhmuc!$A$1:$J$31,10,0)*BS74,0),0)</f>
        <v>0</v>
      </c>
      <c r="BV74" s="224">
        <f t="shared" si="172"/>
        <v>0</v>
      </c>
      <c r="BW74" s="224"/>
      <c r="BX74" s="224">
        <v>0</v>
      </c>
      <c r="BY74" s="224"/>
      <c r="BZ74" s="224"/>
      <c r="CA74" s="224"/>
      <c r="CB74" s="224"/>
      <c r="CC74" s="225">
        <f t="shared" si="198"/>
        <v>0</v>
      </c>
      <c r="CD74" s="224">
        <f t="shared" si="199"/>
        <v>0</v>
      </c>
      <c r="CE74" s="224"/>
      <c r="CF74" s="226"/>
      <c r="CG74" s="87"/>
      <c r="CH74" s="87">
        <f t="shared" si="166"/>
        <v>63</v>
      </c>
      <c r="CI74" s="227" t="str">
        <f t="shared" si="201"/>
        <v>Phạm Thị Minh</v>
      </c>
      <c r="CJ74" s="227" t="str">
        <f t="shared" si="202"/>
        <v>Phượng</v>
      </c>
      <c r="CK74" s="87">
        <f t="shared" si="203"/>
        <v>1</v>
      </c>
      <c r="CL74" s="227" t="str">
        <f t="shared" si="210"/>
        <v>RHQ và Cảnh quan</v>
      </c>
      <c r="CM74" s="87" t="str">
        <f t="shared" si="190"/>
        <v>CS4</v>
      </c>
      <c r="CN74" s="87">
        <f t="shared" si="211"/>
        <v>270</v>
      </c>
      <c r="CO74" s="87">
        <f t="shared" si="211"/>
        <v>170</v>
      </c>
      <c r="CP74" s="229">
        <f t="shared" si="47"/>
        <v>0</v>
      </c>
      <c r="CQ74" s="229">
        <f t="shared" si="48"/>
        <v>0</v>
      </c>
      <c r="CR74" s="229">
        <f t="shared" si="49"/>
        <v>0</v>
      </c>
      <c r="CS74" s="229">
        <f t="shared" si="50"/>
        <v>0</v>
      </c>
      <c r="CT74" s="229">
        <f t="shared" si="51"/>
        <v>0</v>
      </c>
      <c r="CU74" s="229">
        <f t="shared" si="52"/>
        <v>0</v>
      </c>
      <c r="CV74" s="229">
        <f t="shared" si="53"/>
        <v>0</v>
      </c>
      <c r="CW74" s="229">
        <f t="shared" si="54"/>
        <v>0</v>
      </c>
      <c r="CX74" s="229">
        <f t="shared" si="55"/>
        <v>0</v>
      </c>
      <c r="CY74" s="229">
        <f t="shared" si="56"/>
        <v>0</v>
      </c>
      <c r="CZ74" s="229">
        <f t="shared" si="57"/>
        <v>0</v>
      </c>
      <c r="DA74" s="229">
        <f t="shared" si="58"/>
        <v>0</v>
      </c>
      <c r="DB74" s="228">
        <f t="shared" ref="DB74:DB138" si="214">SUM(CP74:DA74)</f>
        <v>0</v>
      </c>
      <c r="DC74" s="229"/>
      <c r="DD74" s="229"/>
      <c r="DE74" s="229"/>
      <c r="DF74" s="229"/>
      <c r="DG74" s="229"/>
      <c r="DH74" s="229"/>
      <c r="DI74" s="229"/>
      <c r="DJ74" s="229"/>
      <c r="DK74" s="229"/>
      <c r="DL74" s="229"/>
      <c r="DM74" s="229"/>
      <c r="DN74" s="229"/>
      <c r="DO74" s="228">
        <f t="shared" ref="DO74:DO139" si="215">SUM(DC74:DN74)</f>
        <v>0</v>
      </c>
      <c r="DP74" s="228">
        <f t="shared" ref="DP74:DP139" si="216">DO74+DB74</f>
        <v>0</v>
      </c>
      <c r="DQ74" s="229">
        <f t="shared" si="62"/>
        <v>0</v>
      </c>
      <c r="DR74" s="229">
        <f t="shared" si="63"/>
        <v>0</v>
      </c>
      <c r="DS74" s="229">
        <f t="shared" si="64"/>
        <v>0</v>
      </c>
      <c r="DT74" s="229">
        <f t="shared" si="65"/>
        <v>0</v>
      </c>
      <c r="DU74" s="229">
        <f t="shared" si="66"/>
        <v>0</v>
      </c>
      <c r="DV74" s="229">
        <f t="shared" si="67"/>
        <v>0</v>
      </c>
      <c r="DW74" s="229">
        <f t="shared" si="68"/>
        <v>0</v>
      </c>
      <c r="DX74" s="228">
        <f t="shared" ref="DX74:DX138" si="217">SUM(DQ74:DW74)</f>
        <v>0</v>
      </c>
      <c r="DY74" s="229"/>
      <c r="DZ74" s="229"/>
      <c r="EA74" s="229"/>
      <c r="EB74" s="229"/>
      <c r="EC74" s="229"/>
      <c r="ED74" s="229"/>
      <c r="EE74" s="229"/>
      <c r="EF74" s="228">
        <f t="shared" si="17"/>
        <v>0</v>
      </c>
      <c r="EG74" s="228">
        <f t="shared" ref="EG74:EG139" si="218">EF74+DX74</f>
        <v>0</v>
      </c>
      <c r="EH74" s="229">
        <f t="shared" si="18"/>
        <v>0</v>
      </c>
      <c r="EI74" s="229">
        <v>7.4799999999999898</v>
      </c>
      <c r="EJ74" s="228">
        <f t="shared" si="206"/>
        <v>7.4799999999999898</v>
      </c>
      <c r="EK74" s="229"/>
      <c r="EL74" s="229"/>
      <c r="EM74" s="228">
        <f t="shared" si="176"/>
        <v>0</v>
      </c>
      <c r="EN74" s="229">
        <f t="shared" si="192"/>
        <v>0</v>
      </c>
      <c r="EO74" s="229">
        <f t="shared" si="212"/>
        <v>7.4799999999999898</v>
      </c>
      <c r="EP74" s="228">
        <f t="shared" si="177"/>
        <v>7.4799999999999898</v>
      </c>
      <c r="EQ74" s="173">
        <f t="shared" si="19"/>
        <v>0</v>
      </c>
      <c r="ER74" s="189">
        <v>0</v>
      </c>
      <c r="ES74" s="189">
        <v>0</v>
      </c>
      <c r="ET74" s="189">
        <v>0</v>
      </c>
      <c r="EU74" s="189">
        <v>0</v>
      </c>
      <c r="EV74" s="189">
        <v>0</v>
      </c>
      <c r="EW74" s="189">
        <v>0</v>
      </c>
      <c r="EX74" s="189">
        <v>0</v>
      </c>
      <c r="EY74" s="189">
        <v>0</v>
      </c>
      <c r="EZ74" s="189">
        <v>0</v>
      </c>
      <c r="FA74" s="189">
        <v>0</v>
      </c>
      <c r="FB74" s="189">
        <v>0</v>
      </c>
      <c r="FC74" s="189">
        <v>0</v>
      </c>
      <c r="FD74" s="189">
        <v>0</v>
      </c>
      <c r="FE74" s="189">
        <v>0</v>
      </c>
      <c r="FF74" s="189">
        <v>0</v>
      </c>
      <c r="FG74" s="189">
        <v>0</v>
      </c>
      <c r="FH74" s="189">
        <v>0</v>
      </c>
      <c r="FI74" s="189">
        <v>0</v>
      </c>
      <c r="FJ74" s="189">
        <v>0</v>
      </c>
      <c r="FK74" s="189">
        <v>0</v>
      </c>
      <c r="FL74" s="189">
        <v>0</v>
      </c>
      <c r="FN74" s="132">
        <v>0</v>
      </c>
    </row>
    <row r="75" spans="1:170" ht="27" customHeight="1">
      <c r="A75" s="88">
        <f>COUNTIF($H$12:H75,H75)</f>
        <v>64</v>
      </c>
      <c r="B75" s="88" t="s">
        <v>2104</v>
      </c>
      <c r="C75" s="88" t="s">
        <v>2071</v>
      </c>
      <c r="D75" s="88"/>
      <c r="E75" s="88"/>
      <c r="F75" s="301" t="s">
        <v>1568</v>
      </c>
      <c r="G75" s="89" t="s">
        <v>1569</v>
      </c>
      <c r="H75" s="88">
        <v>1</v>
      </c>
      <c r="I75" s="88"/>
      <c r="J75" s="88">
        <v>1</v>
      </c>
      <c r="K75" s="91"/>
      <c r="L75" s="91" t="s">
        <v>1165</v>
      </c>
      <c r="M75" s="214"/>
      <c r="N75" s="88" t="s">
        <v>605</v>
      </c>
      <c r="O75" s="216">
        <f t="shared" si="205"/>
        <v>6.2</v>
      </c>
      <c r="P75" s="88" t="str">
        <f>IF(AND(BO75&gt;=2.34,BO75&lt;3.33),"B1_3",IF(AND(BO75&gt;=3.33,BO75&lt;4.65),"B1_4",IF(AND(BO75&gt;=4.65,BO75&lt;5.42),"B1_5",IF(AND(BO75&gt;=5.42,BO75&lt;6.44),"B1_6",IF(AND(BO75&gt;=6.44,BO75&lt;=6.92),"B1_7","B1_8")))))</f>
        <v>B1_6</v>
      </c>
      <c r="Q75" s="88">
        <f>IF(M75&gt;0,VLOOKUP(P75,ma_dinhmuc_moi,2,0)/2,VLOOKUP(P75,ma_dinhmuc_moi,2,0))</f>
        <v>270</v>
      </c>
      <c r="R75" s="88">
        <f>IF(M75&gt;0,VLOOKUP(P75,ma_dinhmuc_moi,3,0)/2,VLOOKUP(P75,ma_dinhmuc_moi,3,0))</f>
        <v>170</v>
      </c>
      <c r="S75" s="230"/>
      <c r="T75" s="88" t="s">
        <v>3088</v>
      </c>
      <c r="U75" s="88">
        <f>IF(RIGHT(T75,1)="K",(VLOOKUP(T75,ma_miengiam!$A$3:$B$80,2,0)*100)/2,VLOOKUP(T75,ma_miengiam!$A$3:$B$80,2,0)*100)</f>
        <v>0</v>
      </c>
      <c r="V75" s="88">
        <v>11</v>
      </c>
      <c r="W75" s="220">
        <f>IF(AND(T75="NTS",V75&gt;0),(Q75-(Q75*V75)/12)*VLOOKUP(T75,ma_miengiam!$A$3:$B$80,2,0)+(Q75-(Q75*(12-V75))/12),IF(AND(RIGHT(T75,1)="K",V75&gt;0),(VLOOKUP(T75,ma_miengiam!$A$3:$B$80,2,0)/2)*(Q75*V75)/12,IF(RIGHT(T75,1)="K",(VLOOKUP(T75,ma_miengiam!$A$3:$B$80,2,0)*Q75)/2,IF(V75&gt;0,VLOOKUP(T75,ma_miengiam!$A$3:$B$80,2,0)*Q75*V75/12,VLOOKUP(T75,ma_miengiam!$A$3:$B$80,2,0)*Q75))))</f>
        <v>0</v>
      </c>
      <c r="X75" s="220">
        <f>IF(T75="NTS",VLOOKUP(T75,ma_miengiam!$A$3:$B$80,2,0)*R75*V75,IF(AND(T75="NTS",V75=0),0,IF(AND(LEFT(T75,1)="K",V75=0),VLOOKUP(T75,ma_miengiam!$A$3:$B$80,2,0)*R75,IF(LEFT(T75,1)="K",(VLOOKUP(T75,ma_miengiam!$A$3:$B$80,2,0)*R75/12)*V75,IF(AND(LEFT(T75,1)="S",V75&gt;0),(R75/12)*V75,IF(AND(LEFT(T75,1)="S",V75=0),R75,IF(T75="DH",VLOOKUP(T75,ma_miengiam!$A$3:$B$80,2,0)*R75,0)))))))</f>
        <v>0</v>
      </c>
      <c r="Y75" s="220">
        <f>IF(AND(T75="DH",V75&gt;0),(S75*V75/12),IF(AND(T75&lt;&gt;"NTS",V75&gt;0),(Q75*V75/12)-W75,IF(AND(T75="NTS",V75&gt;0),Q75-W75,Q75-W75)))</f>
        <v>247.5</v>
      </c>
      <c r="Z75" s="220">
        <f>IF(AND(T75="SĐH",V75&gt;0),(R75/12)*V75-X75,IF(AND(T75="DH",V75&gt;0),(R75*V75/12),IF(AND(T75&lt;&gt;"NTS",V75&gt;0),(R75*V75/12)-X75,IF(AND(T75="NTS",V75&gt;0),R75-X75,R75-X75))))</f>
        <v>155.83333333333334</v>
      </c>
      <c r="AA75" s="220"/>
      <c r="AB75" s="220"/>
      <c r="AC75" s="220"/>
      <c r="AD75" s="220"/>
      <c r="AE75" s="220"/>
      <c r="AF75" s="220"/>
      <c r="AG75" s="220"/>
      <c r="AH75" s="220"/>
      <c r="AI75" s="220"/>
      <c r="AJ75" s="220"/>
      <c r="AK75" s="216"/>
      <c r="AL75" s="220"/>
      <c r="AM75" s="220"/>
      <c r="AN75" s="221"/>
      <c r="AO75" s="220"/>
      <c r="AP75" s="220"/>
      <c r="AQ75" s="220"/>
      <c r="AR75" s="220"/>
      <c r="AS75" s="220"/>
      <c r="AT75" s="216"/>
      <c r="AU75" s="222"/>
      <c r="AV75" s="220"/>
      <c r="AW75" s="220"/>
      <c r="AX75" s="216"/>
      <c r="AY75" s="220"/>
      <c r="AZ75" s="220"/>
      <c r="BA75" s="220"/>
      <c r="BB75" s="220"/>
      <c r="BC75" s="220"/>
      <c r="BD75" s="216"/>
      <c r="BE75" s="220"/>
      <c r="BF75" s="220"/>
      <c r="BG75" s="220"/>
      <c r="BH75" s="220"/>
      <c r="BI75" s="220"/>
      <c r="BJ75" s="220" t="s">
        <v>810</v>
      </c>
      <c r="BK75" s="220"/>
      <c r="BL75" s="223">
        <f>IF(AW75&lt;BK75,0,IF(AND(BK75=0,AW75&gt;0),AW75,IF(AW75&lt;0,0,IF(BK75&gt;0,AW75-BK75,IF(BK75&lt;0,0,AW75)))))</f>
        <v>0</v>
      </c>
      <c r="BM75" s="220">
        <v>6.2</v>
      </c>
      <c r="BN75" s="220"/>
      <c r="BO75" s="220">
        <f>ROUND(BM75+(BM75*BN75),2)</f>
        <v>6.2</v>
      </c>
      <c r="BP75" s="220">
        <f>IF(AND(BL75&gt;0,BL75&lt;tiet!$D$1),BL75,IF(BL75&lt;=0,0,IF(BL75&gt;tiet!$C$1,tiet!$C$1)))</f>
        <v>0</v>
      </c>
      <c r="BQ75" s="87">
        <f t="shared" si="170"/>
        <v>75000</v>
      </c>
      <c r="BR75" s="224">
        <f t="shared" si="171"/>
        <v>0</v>
      </c>
      <c r="BS75" s="220">
        <f t="shared" si="12"/>
        <v>0</v>
      </c>
      <c r="BT75" s="224">
        <f>VLOOKUP(N75,ma_dinhmuc!$A$1:$J$31,10,0)</f>
        <v>65000</v>
      </c>
      <c r="BU75" s="224">
        <f>ROUND(IF(BS75&gt;0,VLOOKUP(N75,ma_dinhmuc!$A$1:$J$31,10,0)*BS75,0),0)</f>
        <v>0</v>
      </c>
      <c r="BV75" s="224">
        <f t="shared" si="172"/>
        <v>0</v>
      </c>
      <c r="BW75" s="224"/>
      <c r="BX75" s="224">
        <v>0</v>
      </c>
      <c r="BY75" s="224"/>
      <c r="BZ75" s="224"/>
      <c r="CA75" s="224"/>
      <c r="CB75" s="224"/>
      <c r="CC75" s="225">
        <f>ROUND(IF(BV75+BW75&gt;BX75+BY75+BZ75+CA75+CB75,(BW75+BV75)-(BX75+BY75+BZ75+CA75+CB75+CB75),0),0)</f>
        <v>0</v>
      </c>
      <c r="CD75" s="224">
        <f>ROUND(IF(BV75+BW75&lt;BX75+BY75+BZ75+CA75-CB75,(BX75+BY75+BZ75+CA75-CB75)-(BW75+BV75),0),0)</f>
        <v>0</v>
      </c>
      <c r="CE75" s="224"/>
      <c r="CF75" s="226"/>
      <c r="CG75" s="87"/>
      <c r="CH75" s="87">
        <f t="shared" si="166"/>
        <v>64</v>
      </c>
      <c r="CI75" s="227" t="str">
        <f t="shared" si="201"/>
        <v>Phạm Thị Minh</v>
      </c>
      <c r="CJ75" s="227" t="str">
        <f t="shared" si="202"/>
        <v>Phượng</v>
      </c>
      <c r="CK75" s="87">
        <f t="shared" si="203"/>
        <v>1</v>
      </c>
      <c r="CL75" s="227" t="str">
        <f>L75</f>
        <v>RHQ và Cảnh quan</v>
      </c>
      <c r="CM75" s="87" t="str">
        <f>N75</f>
        <v>CS4</v>
      </c>
      <c r="CN75" s="87">
        <f>Q75</f>
        <v>270</v>
      </c>
      <c r="CO75" s="87">
        <f>R75</f>
        <v>170</v>
      </c>
      <c r="CP75" s="229">
        <f t="shared" si="47"/>
        <v>0</v>
      </c>
      <c r="CQ75" s="229">
        <f t="shared" si="48"/>
        <v>0</v>
      </c>
      <c r="CR75" s="229">
        <f t="shared" si="49"/>
        <v>0</v>
      </c>
      <c r="CS75" s="229">
        <f t="shared" si="50"/>
        <v>0</v>
      </c>
      <c r="CT75" s="229">
        <f t="shared" si="51"/>
        <v>0</v>
      </c>
      <c r="CU75" s="229">
        <f t="shared" si="52"/>
        <v>0</v>
      </c>
      <c r="CV75" s="229">
        <f t="shared" si="53"/>
        <v>0</v>
      </c>
      <c r="CW75" s="229">
        <f t="shared" si="54"/>
        <v>0</v>
      </c>
      <c r="CX75" s="229">
        <f t="shared" si="55"/>
        <v>0</v>
      </c>
      <c r="CY75" s="229">
        <f t="shared" si="56"/>
        <v>0</v>
      </c>
      <c r="CZ75" s="229">
        <f t="shared" si="57"/>
        <v>0</v>
      </c>
      <c r="DA75" s="229">
        <f t="shared" si="58"/>
        <v>0</v>
      </c>
      <c r="DB75" s="228">
        <f>SUM(CP75:DA75)</f>
        <v>0</v>
      </c>
      <c r="DC75" s="229"/>
      <c r="DD75" s="229"/>
      <c r="DE75" s="229"/>
      <c r="DF75" s="229"/>
      <c r="DG75" s="229"/>
      <c r="DH75" s="229"/>
      <c r="DI75" s="229"/>
      <c r="DJ75" s="229"/>
      <c r="DK75" s="229"/>
      <c r="DL75" s="229"/>
      <c r="DM75" s="229"/>
      <c r="DN75" s="229"/>
      <c r="DO75" s="228">
        <f>SUM(DC75:DN75)</f>
        <v>0</v>
      </c>
      <c r="DP75" s="228">
        <f>DO75+DB75</f>
        <v>0</v>
      </c>
      <c r="DQ75" s="229">
        <f t="shared" si="62"/>
        <v>0</v>
      </c>
      <c r="DR75" s="229">
        <f t="shared" si="63"/>
        <v>0</v>
      </c>
      <c r="DS75" s="229">
        <f t="shared" si="64"/>
        <v>0</v>
      </c>
      <c r="DT75" s="229">
        <f t="shared" si="65"/>
        <v>0</v>
      </c>
      <c r="DU75" s="229">
        <f t="shared" si="66"/>
        <v>0</v>
      </c>
      <c r="DV75" s="229">
        <f t="shared" si="67"/>
        <v>0</v>
      </c>
      <c r="DW75" s="229">
        <f t="shared" si="68"/>
        <v>0</v>
      </c>
      <c r="DX75" s="228">
        <f>SUM(DQ75:DW75)</f>
        <v>0</v>
      </c>
      <c r="DY75" s="229"/>
      <c r="DZ75" s="229"/>
      <c r="EA75" s="229"/>
      <c r="EB75" s="229"/>
      <c r="EC75" s="229"/>
      <c r="ED75" s="229"/>
      <c r="EE75" s="229"/>
      <c r="EF75" s="228">
        <f t="shared" si="17"/>
        <v>0</v>
      </c>
      <c r="EG75" s="228">
        <f>EF75+DX75</f>
        <v>0</v>
      </c>
      <c r="EH75" s="229">
        <f t="shared" si="18"/>
        <v>0</v>
      </c>
      <c r="EI75" s="229">
        <v>7.4799999999999898</v>
      </c>
      <c r="EJ75" s="228">
        <f t="shared" si="206"/>
        <v>7.4799999999999898</v>
      </c>
      <c r="EK75" s="229"/>
      <c r="EL75" s="229"/>
      <c r="EM75" s="228">
        <f t="shared" si="176"/>
        <v>0</v>
      </c>
      <c r="EN75" s="229">
        <f>EK75+EH75+EL75</f>
        <v>0</v>
      </c>
      <c r="EO75" s="229">
        <f>EI75</f>
        <v>7.4799999999999898</v>
      </c>
      <c r="EP75" s="228">
        <f t="shared" si="177"/>
        <v>7.4799999999999898</v>
      </c>
      <c r="EQ75" s="173">
        <f t="shared" si="19"/>
        <v>0</v>
      </c>
      <c r="ER75" s="189">
        <v>0</v>
      </c>
      <c r="ES75" s="189">
        <v>0</v>
      </c>
      <c r="ET75" s="189">
        <v>0</v>
      </c>
      <c r="EU75" s="189">
        <v>0</v>
      </c>
      <c r="EV75" s="189">
        <v>0</v>
      </c>
      <c r="EW75" s="189">
        <v>0</v>
      </c>
      <c r="EX75" s="189">
        <v>0</v>
      </c>
      <c r="EY75" s="189">
        <v>0</v>
      </c>
      <c r="EZ75" s="189">
        <v>0</v>
      </c>
      <c r="FA75" s="189">
        <v>0</v>
      </c>
      <c r="FB75" s="189">
        <v>0</v>
      </c>
      <c r="FC75" s="189">
        <v>0</v>
      </c>
      <c r="FD75" s="189">
        <v>0</v>
      </c>
      <c r="FE75" s="189">
        <v>0</v>
      </c>
      <c r="FF75" s="189">
        <v>0</v>
      </c>
      <c r="FG75" s="189">
        <v>0</v>
      </c>
      <c r="FH75" s="189">
        <v>0</v>
      </c>
      <c r="FI75" s="189">
        <v>0</v>
      </c>
      <c r="FJ75" s="189">
        <v>0</v>
      </c>
      <c r="FK75" s="189">
        <v>0</v>
      </c>
      <c r="FL75" s="189">
        <v>0</v>
      </c>
      <c r="FN75" s="132">
        <v>0</v>
      </c>
    </row>
    <row r="76" spans="1:170" ht="27" customHeight="1">
      <c r="A76" s="88">
        <f>COUNTIF($H$12:H76,H76)</f>
        <v>65</v>
      </c>
      <c r="B76" s="88" t="s">
        <v>2104</v>
      </c>
      <c r="C76" s="88" t="s">
        <v>2071</v>
      </c>
      <c r="D76" s="88"/>
      <c r="E76" s="88"/>
      <c r="F76" s="301" t="s">
        <v>1568</v>
      </c>
      <c r="G76" s="89" t="s">
        <v>1569</v>
      </c>
      <c r="H76" s="88">
        <v>1</v>
      </c>
      <c r="I76" s="88">
        <v>1</v>
      </c>
      <c r="J76" s="88">
        <v>1</v>
      </c>
      <c r="K76" s="91" t="s">
        <v>1165</v>
      </c>
      <c r="L76" s="91" t="s">
        <v>1165</v>
      </c>
      <c r="M76" s="214"/>
      <c r="N76" s="88" t="s">
        <v>605</v>
      </c>
      <c r="O76" s="216">
        <f t="shared" si="205"/>
        <v>6.2</v>
      </c>
      <c r="P76" s="88" t="str">
        <f>IF(AND(BO76&gt;=2.34,BO76&lt;3.33),"B1_3",IF(AND(BO76&gt;=3.33,BO76&lt;4.65),"B1_4",IF(AND(BO76&gt;=4.65,BO76&lt;5.42),"B1_5",IF(AND(BO76&gt;=5.42,BO76&lt;6.44),"B1_6",IF(AND(BO76&gt;=6.44,BO76&lt;=6.92),"B1_7","B1_8")))))</f>
        <v>B1_6</v>
      </c>
      <c r="Q76" s="88">
        <f>IF(M76&gt;0,VLOOKUP(P76,ma_dinhmuc_moi,2,0)/2,VLOOKUP(P76,ma_dinhmuc_moi,2,0))</f>
        <v>270</v>
      </c>
      <c r="R76" s="88">
        <f>IF(M76&gt;0,VLOOKUP(P76,ma_dinhmuc_moi,3,0)/2,VLOOKUP(P76,ma_dinhmuc_moi,3,0))</f>
        <v>170</v>
      </c>
      <c r="S76" s="230"/>
      <c r="T76" s="88" t="s">
        <v>3088</v>
      </c>
      <c r="U76" s="88">
        <f>IF(RIGHT(T76,1)="K",(VLOOKUP(T76,ma_miengiam!$A$3:$B$80,2,0)*100)/2,VLOOKUP(T76,ma_miengiam!$A$3:$B$80,2,0)*100)</f>
        <v>0</v>
      </c>
      <c r="V76" s="88"/>
      <c r="W76" s="220">
        <f>W75+W74</f>
        <v>4.5</v>
      </c>
      <c r="X76" s="220">
        <f>X75+X74</f>
        <v>0</v>
      </c>
      <c r="Y76" s="220">
        <f>Y75+Y74</f>
        <v>265.5</v>
      </c>
      <c r="Z76" s="220">
        <f>Z75+Z74</f>
        <v>170</v>
      </c>
      <c r="AA76" s="220">
        <f>Q76</f>
        <v>270</v>
      </c>
      <c r="AB76" s="220">
        <f>R76</f>
        <v>170</v>
      </c>
      <c r="AC76" s="220">
        <f>W76</f>
        <v>4.5</v>
      </c>
      <c r="AD76" s="220">
        <f>X76</f>
        <v>0</v>
      </c>
      <c r="AE76" s="220">
        <f>Y76</f>
        <v>265.5</v>
      </c>
      <c r="AF76" s="220">
        <f>Z76</f>
        <v>170</v>
      </c>
      <c r="AG76" s="220">
        <f>AH76+AI76</f>
        <v>257.47000000000003</v>
      </c>
      <c r="AH76" s="220">
        <f>EO76</f>
        <v>7.4799999999999898</v>
      </c>
      <c r="AI76" s="220">
        <f>EN76</f>
        <v>249.99</v>
      </c>
      <c r="AJ76" s="220">
        <f>IF(AG76-Z76&gt;0,0,AG76-Z76)</f>
        <v>0</v>
      </c>
      <c r="AK76" s="216">
        <f>IF(AJ76&gt;=0,Y76,Y76-AJ76)</f>
        <v>265.5</v>
      </c>
      <c r="AL76" s="220">
        <f>SUM(CP76:CX76)+SUM(DC76:DK76)</f>
        <v>192.9</v>
      </c>
      <c r="AM76" s="220">
        <f>SUM(DQ76:DU76)+SUM(DY76:EC76)</f>
        <v>20</v>
      </c>
      <c r="AN76" s="221">
        <f>AM76+AL76</f>
        <v>212.9</v>
      </c>
      <c r="AO76" s="220">
        <f>CY76+DL76</f>
        <v>0</v>
      </c>
      <c r="AP76" s="220">
        <f>CZ76+DM76</f>
        <v>0</v>
      </c>
      <c r="AQ76" s="220">
        <f>DA76+DN76</f>
        <v>60</v>
      </c>
      <c r="AR76" s="220">
        <f>DV76+ED76</f>
        <v>80</v>
      </c>
      <c r="AS76" s="220">
        <f>DW76+EE76</f>
        <v>0</v>
      </c>
      <c r="AT76" s="216">
        <f>AN76+SUM(AO76:AS76)</f>
        <v>352.9</v>
      </c>
      <c r="AU76" s="222">
        <f>AN76-AK76</f>
        <v>-52.599999999999994</v>
      </c>
      <c r="AV76" s="220"/>
      <c r="AW76" s="220">
        <f>IF(AU76&gt;0,AU76,AV76+AU76)</f>
        <v>-52.599999999999994</v>
      </c>
      <c r="AX76" s="216">
        <f>IF(AN76&gt;AK76,0,IF(AW76&lt;0,AN76-AK76+AV76,IF(AW76&gt;=0,0)))</f>
        <v>-52.599999999999994</v>
      </c>
      <c r="AY76" s="220">
        <f>IF(AN76&gt;=AK76,AO76,IF(AN76+AO76-AK76&gt;=0,AN76+AO76-AK76,0))</f>
        <v>0</v>
      </c>
      <c r="AZ76" s="220">
        <f>IF(OR(AN76&gt;=AK76,AN76+AO76&gt;=AK76),AP76,IF(AN76+AO76+AP76&gt;AK76,AN76+AO76+AP76-AK76,0))</f>
        <v>0</v>
      </c>
      <c r="BA76" s="220">
        <f>IF(OR(AN76&gt;=AK76,AN76+AO76&gt;=AK76,AN76+AO76+AP76&gt;=AK76),AQ76,IF(AN76+AO76+AP76+AQ76&gt;=AK76,AN76+AO76+AP76+AQ76-AK76,0))</f>
        <v>7.3999999999999773</v>
      </c>
      <c r="BB76" s="220">
        <f>IF(OR(AN76&gt;=AK76,AN76+AO76&gt;=AK76,AN76+AO76+AP76&gt;=AK76,AN76+AO76+AP76+AQ76&gt;=AK76),AR76,IF(AN76+AO76+AP76+AQ76+AR76&gt;=AK76,AN76+AO76+AP76+AQ76+AR76-AK76,0))</f>
        <v>80</v>
      </c>
      <c r="BC76" s="220">
        <f>IF(OR(AN76&gt;=AK76,AN76+AO76&gt;=AK76,AN76+AO76+AP76&gt;=AK76,AN76+AO76+AP76+AQ76&gt;=AK76,AN76+AO76+AP76+AQ76+AR76&gt;=AK76),AS76,IF(AN76+AO76+AP76+AQ76+AR76+AS76&gt;=AK76,AN76+AO76+AP76+AQ76+AR76+AS76-AK76,0))</f>
        <v>0</v>
      </c>
      <c r="BD76" s="216">
        <f>SUM(AY76:BC76)</f>
        <v>87.399999999999977</v>
      </c>
      <c r="BE76" s="220">
        <f>AY76-AO76</f>
        <v>0</v>
      </c>
      <c r="BF76" s="220">
        <f>AZ76-AP76</f>
        <v>0</v>
      </c>
      <c r="BG76" s="220">
        <f>BA76-AQ76</f>
        <v>-52.600000000000023</v>
      </c>
      <c r="BH76" s="220">
        <f>BB76-AR76</f>
        <v>0</v>
      </c>
      <c r="BI76" s="220">
        <f>BC76-AS76</f>
        <v>0</v>
      </c>
      <c r="BJ76" s="220" t="s">
        <v>810</v>
      </c>
      <c r="BK76" s="220"/>
      <c r="BL76" s="223">
        <f>IF(AW76&lt;BK76,0,IF(AND(BK76=0,AW76&gt;0),AW76,IF(AW76&lt;0,0,IF(BK76&gt;0,AW76-BK76,IF(BK76&lt;0,0,AW76)))))</f>
        <v>0</v>
      </c>
      <c r="BM76" s="220">
        <v>6.2</v>
      </c>
      <c r="BN76" s="220"/>
      <c r="BO76" s="220">
        <f>ROUND(BM76+(BM76*BN76),2)</f>
        <v>6.2</v>
      </c>
      <c r="BP76" s="220">
        <f>IF(AND(BL76&gt;0,BL76&lt;tiet!$D$1),BL76,IF(BL76&lt;=0,0,IF(BL76&gt;tiet!$C$1,tiet!$C$1)))</f>
        <v>0</v>
      </c>
      <c r="BQ76" s="87">
        <f t="shared" si="170"/>
        <v>75000</v>
      </c>
      <c r="BR76" s="224">
        <f t="shared" si="171"/>
        <v>0</v>
      </c>
      <c r="BS76" s="220">
        <f t="shared" ref="BS76:BS139" si="219">BL76-BP76</f>
        <v>0</v>
      </c>
      <c r="BT76" s="224">
        <f>VLOOKUP(N76,ma_dinhmuc!$A$1:$J$31,10,0)</f>
        <v>65000</v>
      </c>
      <c r="BU76" s="224">
        <f>ROUND(IF(BS76&gt;0,VLOOKUP(N76,ma_dinhmuc!$A$1:$J$31,10,0)*BS76,0),0)</f>
        <v>0</v>
      </c>
      <c r="BV76" s="224">
        <f t="shared" si="172"/>
        <v>0</v>
      </c>
      <c r="BW76" s="224"/>
      <c r="BX76" s="224">
        <v>0</v>
      </c>
      <c r="BY76" s="224"/>
      <c r="BZ76" s="224"/>
      <c r="CA76" s="224"/>
      <c r="CB76" s="224"/>
      <c r="CC76" s="225">
        <f>ROUND(IF(BV76+BW76&gt;BX76+BY76+BZ76+CA76+CB76,(BW76+BV76)-(BX76+BY76+BZ76+CA76+CB76+CB76),0),0)</f>
        <v>0</v>
      </c>
      <c r="CD76" s="224">
        <f>ROUND(IF(BV76+BW76&lt;BX76+BY76+BZ76+CA76-CB76,(BX76+BY76+BZ76+CA76-CB76)-(BW76+BV76),0),0)</f>
        <v>0</v>
      </c>
      <c r="CE76" s="224"/>
      <c r="CF76" s="226"/>
      <c r="CG76" s="87"/>
      <c r="CH76" s="87">
        <f t="shared" si="166"/>
        <v>65</v>
      </c>
      <c r="CI76" s="227" t="str">
        <f t="shared" si="201"/>
        <v>Phạm Thị Minh</v>
      </c>
      <c r="CJ76" s="227" t="str">
        <f t="shared" si="202"/>
        <v>Phượng</v>
      </c>
      <c r="CK76" s="87">
        <f t="shared" si="203"/>
        <v>1</v>
      </c>
      <c r="CL76" s="227" t="str">
        <f>L76</f>
        <v>RHQ và Cảnh quan</v>
      </c>
      <c r="CM76" s="87" t="str">
        <f>N76</f>
        <v>CS4</v>
      </c>
      <c r="CN76" s="87">
        <f>Q76</f>
        <v>270</v>
      </c>
      <c r="CO76" s="87">
        <f>R76</f>
        <v>170</v>
      </c>
      <c r="CP76" s="229">
        <f t="shared" si="47"/>
        <v>0</v>
      </c>
      <c r="CQ76" s="229">
        <f t="shared" si="48"/>
        <v>19.2</v>
      </c>
      <c r="CR76" s="229">
        <f t="shared" si="49"/>
        <v>7.7</v>
      </c>
      <c r="CS76" s="229">
        <f t="shared" si="50"/>
        <v>24</v>
      </c>
      <c r="CT76" s="229">
        <f t="shared" si="51"/>
        <v>0</v>
      </c>
      <c r="CU76" s="229">
        <f t="shared" si="52"/>
        <v>66</v>
      </c>
      <c r="CV76" s="229">
        <f t="shared" si="53"/>
        <v>0</v>
      </c>
      <c r="CW76" s="229">
        <f t="shared" si="54"/>
        <v>76</v>
      </c>
      <c r="CX76" s="229">
        <f t="shared" si="55"/>
        <v>0</v>
      </c>
      <c r="CY76" s="229">
        <f t="shared" si="56"/>
        <v>0</v>
      </c>
      <c r="CZ76" s="229">
        <f t="shared" si="57"/>
        <v>0</v>
      </c>
      <c r="DA76" s="229">
        <f t="shared" si="58"/>
        <v>60</v>
      </c>
      <c r="DB76" s="228">
        <f>SUM(CP76:DA76)</f>
        <v>252.9</v>
      </c>
      <c r="DC76" s="229"/>
      <c r="DD76" s="229"/>
      <c r="DE76" s="229"/>
      <c r="DF76" s="229"/>
      <c r="DG76" s="229"/>
      <c r="DH76" s="229"/>
      <c r="DI76" s="229"/>
      <c r="DJ76" s="229"/>
      <c r="DK76" s="229"/>
      <c r="DL76" s="229"/>
      <c r="DM76" s="229"/>
      <c r="DN76" s="229"/>
      <c r="DO76" s="228">
        <f>SUM(DC76:DN76)</f>
        <v>0</v>
      </c>
      <c r="DP76" s="228">
        <f>DO76+DB76</f>
        <v>252.9</v>
      </c>
      <c r="DQ76" s="229">
        <f t="shared" si="62"/>
        <v>18</v>
      </c>
      <c r="DR76" s="229">
        <f t="shared" si="63"/>
        <v>1.4</v>
      </c>
      <c r="DS76" s="229">
        <f t="shared" si="64"/>
        <v>0</v>
      </c>
      <c r="DT76" s="229">
        <f t="shared" si="65"/>
        <v>0.6</v>
      </c>
      <c r="DU76" s="229">
        <f t="shared" si="66"/>
        <v>0</v>
      </c>
      <c r="DV76" s="229">
        <f t="shared" si="67"/>
        <v>80</v>
      </c>
      <c r="DW76" s="229">
        <f t="shared" si="68"/>
        <v>0</v>
      </c>
      <c r="DX76" s="228">
        <f>SUM(DQ76:DW76)</f>
        <v>100</v>
      </c>
      <c r="DY76" s="229"/>
      <c r="DZ76" s="229"/>
      <c r="EA76" s="229"/>
      <c r="EB76" s="229"/>
      <c r="EC76" s="229"/>
      <c r="ED76" s="229"/>
      <c r="EE76" s="229"/>
      <c r="EF76" s="228">
        <f t="shared" ref="EF76:EF139" si="220">SUM(DY76:EE76)</f>
        <v>0</v>
      </c>
      <c r="EG76" s="228">
        <f>EF76+DX76</f>
        <v>100</v>
      </c>
      <c r="EH76" s="229">
        <f t="shared" ref="EH76:EH139" si="221">FN76</f>
        <v>249.99</v>
      </c>
      <c r="EI76" s="229">
        <v>7.4799999999999898</v>
      </c>
      <c r="EJ76" s="228">
        <f t="shared" si="206"/>
        <v>257.47000000000003</v>
      </c>
      <c r="EK76" s="229"/>
      <c r="EL76" s="229"/>
      <c r="EM76" s="228">
        <f t="shared" si="176"/>
        <v>0</v>
      </c>
      <c r="EN76" s="229">
        <f>EK76+EH76+EL76</f>
        <v>249.99</v>
      </c>
      <c r="EO76" s="229">
        <f>EI76</f>
        <v>7.4799999999999898</v>
      </c>
      <c r="EP76" s="228">
        <f t="shared" si="177"/>
        <v>257.47000000000003</v>
      </c>
      <c r="EQ76" s="173">
        <f t="shared" ref="EQ76:EQ139" si="222">IF(EN76&gt;Z76,EN76-Z76,0)</f>
        <v>79.990000000000009</v>
      </c>
      <c r="ER76" s="189">
        <v>0</v>
      </c>
      <c r="ES76" s="189">
        <v>19.2</v>
      </c>
      <c r="ET76" s="189">
        <v>7.7</v>
      </c>
      <c r="EU76" s="189">
        <v>24</v>
      </c>
      <c r="EV76" s="189">
        <v>0</v>
      </c>
      <c r="EW76" s="189">
        <v>66</v>
      </c>
      <c r="EX76" s="189">
        <v>0</v>
      </c>
      <c r="EY76" s="189">
        <v>76</v>
      </c>
      <c r="EZ76" s="189">
        <v>0</v>
      </c>
      <c r="FA76" s="189">
        <v>0</v>
      </c>
      <c r="FB76" s="189">
        <v>0</v>
      </c>
      <c r="FC76" s="189">
        <v>60</v>
      </c>
      <c r="FD76" s="189">
        <v>18</v>
      </c>
      <c r="FE76" s="189">
        <v>1.4</v>
      </c>
      <c r="FF76" s="189">
        <v>0</v>
      </c>
      <c r="FG76" s="189">
        <v>0.6</v>
      </c>
      <c r="FH76" s="189">
        <v>80</v>
      </c>
      <c r="FI76" s="189">
        <v>0</v>
      </c>
      <c r="FJ76" s="189">
        <v>0</v>
      </c>
      <c r="FK76" s="189">
        <v>352.9</v>
      </c>
      <c r="FL76" s="189">
        <v>312</v>
      </c>
      <c r="FN76" s="132">
        <v>249.99</v>
      </c>
    </row>
    <row r="77" spans="1:170" ht="30.75" customHeight="1">
      <c r="A77" s="88">
        <f>COUNTIF($H$12:H77,H77)</f>
        <v>66</v>
      </c>
      <c r="B77" s="88" t="s">
        <v>2105</v>
      </c>
      <c r="C77" s="88" t="s">
        <v>430</v>
      </c>
      <c r="D77" s="88"/>
      <c r="E77" s="88"/>
      <c r="F77" s="301" t="s">
        <v>1570</v>
      </c>
      <c r="G77" s="89" t="s">
        <v>24</v>
      </c>
      <c r="H77" s="88">
        <v>1</v>
      </c>
      <c r="I77" s="88"/>
      <c r="J77" s="88">
        <v>1</v>
      </c>
      <c r="K77" s="91"/>
      <c r="L77" s="91" t="s">
        <v>1165</v>
      </c>
      <c r="M77" s="214"/>
      <c r="N77" s="88" t="s">
        <v>606</v>
      </c>
      <c r="O77" s="216">
        <f t="shared" si="205"/>
        <v>4.4000000000000004</v>
      </c>
      <c r="P77" s="88" t="str">
        <f t="shared" si="0"/>
        <v>B1_4</v>
      </c>
      <c r="Q77" s="88">
        <f t="shared" si="149"/>
        <v>270</v>
      </c>
      <c r="R77" s="88">
        <f t="shared" si="150"/>
        <v>120</v>
      </c>
      <c r="S77" s="230" t="s">
        <v>3164</v>
      </c>
      <c r="T77" s="88" t="s">
        <v>3090</v>
      </c>
      <c r="U77" s="88">
        <f>IF(RIGHT(T77,1)="K",(VLOOKUP(T77,ma_miengiam!$A$3:$B$80,2,0)*100)/2,VLOOKUP(T77,ma_miengiam!$A$3:$B$80,2,0)*100)</f>
        <v>15</v>
      </c>
      <c r="V77" s="88">
        <v>1</v>
      </c>
      <c r="W77" s="220">
        <f>IF(AND(T77="NTS",V77&gt;0),(Q77-(Q77*V77)/12)*VLOOKUP(T77,ma_miengiam!$A$3:$B$80,2,0)+(Q77-(Q77*(12-V77))/12),IF(AND(RIGHT(T77,1)="K",V77&gt;0),(VLOOKUP(T77,ma_miengiam!$A$3:$B$80,2,0)/2)*(Q77*V77)/12,IF(RIGHT(T77,1)="K",(VLOOKUP(T77,ma_miengiam!$A$3:$B$80,2,0)*Q77)/2,IF(V77&gt;0,VLOOKUP(T77,ma_miengiam!$A$3:$B$80,2,0)*Q77*V77/12,VLOOKUP(T77,ma_miengiam!$A$3:$B$80,2,0)*Q77))))</f>
        <v>3.375</v>
      </c>
      <c r="X77" s="220">
        <f>IF(T77="NTS",VLOOKUP(T77,ma_miengiam!$A$3:$B$80,2,0)*R77*V77,IF(AND(T77="NTS",V77=0),0,IF(AND(LEFT(T77,1)="K",V77=0),VLOOKUP(T77,ma_miengiam!$A$3:$B$80,2,0)*R77,IF(LEFT(T77,1)="K",(VLOOKUP(T77,ma_miengiam!$A$3:$B$80,2,0)*R77/12)*V77,IF(AND(LEFT(T77,1)="S",V77&gt;0),(R77/12)*V77,IF(AND(LEFT(T77,1)="S",V77=0),R77,IF(T77="DH",VLOOKUP(T77,ma_miengiam!$A$3:$B$80,2,0)*R77,0)))))))</f>
        <v>0</v>
      </c>
      <c r="Y77" s="220">
        <f t="shared" si="213"/>
        <v>19.125</v>
      </c>
      <c r="Z77" s="220">
        <f t="shared" si="90"/>
        <v>10</v>
      </c>
      <c r="AA77" s="220"/>
      <c r="AB77" s="220"/>
      <c r="AC77" s="220"/>
      <c r="AD77" s="220"/>
      <c r="AE77" s="220"/>
      <c r="AF77" s="220"/>
      <c r="AG77" s="220"/>
      <c r="AH77" s="220"/>
      <c r="AI77" s="220"/>
      <c r="AJ77" s="220"/>
      <c r="AK77" s="216"/>
      <c r="AL77" s="220"/>
      <c r="AM77" s="220"/>
      <c r="AN77" s="221"/>
      <c r="AO77" s="220"/>
      <c r="AP77" s="220"/>
      <c r="AQ77" s="220"/>
      <c r="AR77" s="220"/>
      <c r="AS77" s="220"/>
      <c r="AT77" s="216"/>
      <c r="AU77" s="222"/>
      <c r="AV77" s="220"/>
      <c r="AW77" s="220"/>
      <c r="AX77" s="216"/>
      <c r="AY77" s="220"/>
      <c r="AZ77" s="220"/>
      <c r="BA77" s="220"/>
      <c r="BB77" s="220"/>
      <c r="BC77" s="220"/>
      <c r="BD77" s="216"/>
      <c r="BE77" s="220"/>
      <c r="BF77" s="220"/>
      <c r="BG77" s="220"/>
      <c r="BH77" s="220"/>
      <c r="BI77" s="220"/>
      <c r="BJ77" s="220" t="s">
        <v>811</v>
      </c>
      <c r="BK77" s="220"/>
      <c r="BL77" s="223">
        <f t="shared" si="11"/>
        <v>0</v>
      </c>
      <c r="BM77" s="220">
        <v>4.4000000000000004</v>
      </c>
      <c r="BN77" s="220"/>
      <c r="BO77" s="220">
        <f t="shared" si="200"/>
        <v>4.4000000000000004</v>
      </c>
      <c r="BP77" s="220">
        <f>IF(AND(BL77&gt;0,BL77&lt;tiet!$D$1),BL77,IF(BL77&lt;=0,0,IF(BL77&gt;tiet!$C$1,tiet!$C$1)))</f>
        <v>0</v>
      </c>
      <c r="BQ77" s="87">
        <f t="shared" si="170"/>
        <v>65000</v>
      </c>
      <c r="BR77" s="224">
        <f t="shared" si="171"/>
        <v>0</v>
      </c>
      <c r="BS77" s="220">
        <f t="shared" si="219"/>
        <v>0</v>
      </c>
      <c r="BT77" s="224">
        <f>VLOOKUP(N77,ma_dinhmuc!$A$1:$J$31,10,0)</f>
        <v>55000</v>
      </c>
      <c r="BU77" s="224">
        <f>ROUND(IF(BS77&gt;0,VLOOKUP(N77,ma_dinhmuc!$A$1:$J$31,10,0)*BS77,0),0)</f>
        <v>0</v>
      </c>
      <c r="BV77" s="224">
        <f t="shared" si="172"/>
        <v>0</v>
      </c>
      <c r="BW77" s="224"/>
      <c r="BX77" s="224">
        <v>0</v>
      </c>
      <c r="BY77" s="224"/>
      <c r="BZ77" s="224"/>
      <c r="CA77" s="224"/>
      <c r="CB77" s="224"/>
      <c r="CC77" s="225">
        <f t="shared" si="198"/>
        <v>0</v>
      </c>
      <c r="CD77" s="224">
        <f t="shared" si="199"/>
        <v>0</v>
      </c>
      <c r="CE77" s="224"/>
      <c r="CF77" s="226"/>
      <c r="CG77" s="87"/>
      <c r="CH77" s="87">
        <f t="shared" si="166"/>
        <v>66</v>
      </c>
      <c r="CI77" s="227" t="str">
        <f t="shared" si="201"/>
        <v>Vũ Thanh</v>
      </c>
      <c r="CJ77" s="227" t="str">
        <f t="shared" si="202"/>
        <v>Hải</v>
      </c>
      <c r="CK77" s="87">
        <f t="shared" si="203"/>
        <v>1</v>
      </c>
      <c r="CL77" s="227" t="str">
        <f t="shared" si="210"/>
        <v>RHQ và Cảnh quan</v>
      </c>
      <c r="CM77" s="87" t="str">
        <f t="shared" si="190"/>
        <v>CS3</v>
      </c>
      <c r="CN77" s="87">
        <f t="shared" si="211"/>
        <v>270</v>
      </c>
      <c r="CO77" s="87">
        <f t="shared" si="211"/>
        <v>120</v>
      </c>
      <c r="CP77" s="229">
        <f t="shared" ref="CP77:CP140" si="223">ER77</f>
        <v>0</v>
      </c>
      <c r="CQ77" s="229">
        <f t="shared" ref="CQ77:CQ140" si="224">ES77</f>
        <v>0</v>
      </c>
      <c r="CR77" s="229">
        <f t="shared" ref="CR77:CR140" si="225">ET77</f>
        <v>0</v>
      </c>
      <c r="CS77" s="229">
        <f t="shared" ref="CS77:CS140" si="226">EU77</f>
        <v>0</v>
      </c>
      <c r="CT77" s="229">
        <f t="shared" ref="CT77:CT140" si="227">EV77</f>
        <v>0</v>
      </c>
      <c r="CU77" s="229">
        <f t="shared" ref="CU77:CU140" si="228">EW77</f>
        <v>0</v>
      </c>
      <c r="CV77" s="229">
        <f t="shared" ref="CV77:CV140" si="229">EX77</f>
        <v>0</v>
      </c>
      <c r="CW77" s="229">
        <f t="shared" ref="CW77:CW140" si="230">EY77</f>
        <v>0</v>
      </c>
      <c r="CX77" s="229">
        <f t="shared" ref="CX77:CX140" si="231">EZ77</f>
        <v>0</v>
      </c>
      <c r="CY77" s="229">
        <f t="shared" ref="CY77:CY140" si="232">FA77</f>
        <v>0</v>
      </c>
      <c r="CZ77" s="229">
        <f t="shared" ref="CZ77:CZ140" si="233">FB77</f>
        <v>0</v>
      </c>
      <c r="DA77" s="229">
        <f t="shared" ref="DA77:DA140" si="234">FC77</f>
        <v>0</v>
      </c>
      <c r="DB77" s="228">
        <f t="shared" si="214"/>
        <v>0</v>
      </c>
      <c r="DC77" s="229"/>
      <c r="DD77" s="229"/>
      <c r="DE77" s="229"/>
      <c r="DF77" s="229"/>
      <c r="DG77" s="229"/>
      <c r="DH77" s="229"/>
      <c r="DI77" s="229"/>
      <c r="DJ77" s="229"/>
      <c r="DK77" s="229"/>
      <c r="DL77" s="229"/>
      <c r="DM77" s="229"/>
      <c r="DN77" s="229"/>
      <c r="DO77" s="228">
        <f t="shared" si="215"/>
        <v>0</v>
      </c>
      <c r="DP77" s="228">
        <f t="shared" si="216"/>
        <v>0</v>
      </c>
      <c r="DQ77" s="229">
        <f t="shared" ref="DQ77:DQ140" si="235">FD77</f>
        <v>0</v>
      </c>
      <c r="DR77" s="229">
        <f t="shared" ref="DR77:DR140" si="236">FE77</f>
        <v>0</v>
      </c>
      <c r="DS77" s="229">
        <f t="shared" ref="DS77:DS140" si="237">FF77</f>
        <v>0</v>
      </c>
      <c r="DT77" s="229">
        <f t="shared" ref="DT77:DT140" si="238">FG77</f>
        <v>0</v>
      </c>
      <c r="DU77" s="229">
        <f t="shared" ref="DU77:DU140" si="239">FI77</f>
        <v>0</v>
      </c>
      <c r="DV77" s="229">
        <f t="shared" ref="DV77:DV140" si="240">FH77</f>
        <v>0</v>
      </c>
      <c r="DW77" s="229">
        <f t="shared" ref="DW77:DW140" si="241">FJ77</f>
        <v>0</v>
      </c>
      <c r="DX77" s="228">
        <f t="shared" si="217"/>
        <v>0</v>
      </c>
      <c r="DY77" s="229"/>
      <c r="DZ77" s="229"/>
      <c r="EA77" s="229"/>
      <c r="EB77" s="229"/>
      <c r="EC77" s="229"/>
      <c r="ED77" s="229"/>
      <c r="EE77" s="229"/>
      <c r="EF77" s="228">
        <f t="shared" si="220"/>
        <v>0</v>
      </c>
      <c r="EG77" s="228">
        <f t="shared" si="218"/>
        <v>0</v>
      </c>
      <c r="EH77" s="229">
        <f t="shared" si="221"/>
        <v>0</v>
      </c>
      <c r="EI77" s="229">
        <v>8.1199999999999992</v>
      </c>
      <c r="EJ77" s="228">
        <f t="shared" si="206"/>
        <v>8.1199999999999992</v>
      </c>
      <c r="EK77" s="229"/>
      <c r="EL77" s="229"/>
      <c r="EM77" s="228">
        <f t="shared" si="176"/>
        <v>0</v>
      </c>
      <c r="EN77" s="229">
        <f t="shared" si="192"/>
        <v>0</v>
      </c>
      <c r="EO77" s="229">
        <f t="shared" si="212"/>
        <v>8.1199999999999992</v>
      </c>
      <c r="EP77" s="228">
        <f t="shared" si="177"/>
        <v>8.1199999999999992</v>
      </c>
      <c r="EQ77" s="173">
        <f t="shared" si="222"/>
        <v>0</v>
      </c>
      <c r="ER77" s="189">
        <v>0</v>
      </c>
      <c r="ES77" s="189">
        <v>0</v>
      </c>
      <c r="ET77" s="189">
        <v>0</v>
      </c>
      <c r="EU77" s="189">
        <v>0</v>
      </c>
      <c r="EV77" s="189">
        <v>0</v>
      </c>
      <c r="EW77" s="189">
        <v>0</v>
      </c>
      <c r="EX77" s="189">
        <v>0</v>
      </c>
      <c r="EY77" s="189">
        <v>0</v>
      </c>
      <c r="EZ77" s="189">
        <v>0</v>
      </c>
      <c r="FA77" s="189">
        <v>0</v>
      </c>
      <c r="FB77" s="189">
        <v>0</v>
      </c>
      <c r="FC77" s="189">
        <v>0</v>
      </c>
      <c r="FD77" s="189">
        <v>0</v>
      </c>
      <c r="FE77" s="189">
        <v>0</v>
      </c>
      <c r="FF77" s="189">
        <v>0</v>
      </c>
      <c r="FG77" s="189">
        <v>0</v>
      </c>
      <c r="FH77" s="189">
        <v>0</v>
      </c>
      <c r="FI77" s="189">
        <v>0</v>
      </c>
      <c r="FJ77" s="189">
        <v>0</v>
      </c>
      <c r="FK77" s="189">
        <v>0</v>
      </c>
      <c r="FL77" s="189">
        <v>0</v>
      </c>
      <c r="FN77" s="132">
        <v>0</v>
      </c>
    </row>
    <row r="78" spans="1:170" ht="30.75" customHeight="1">
      <c r="A78" s="88">
        <f>COUNTIF($H$12:H78,H78)</f>
        <v>67</v>
      </c>
      <c r="B78" s="88" t="s">
        <v>2105</v>
      </c>
      <c r="C78" s="88" t="s">
        <v>430</v>
      </c>
      <c r="D78" s="88"/>
      <c r="E78" s="88"/>
      <c r="F78" s="301" t="s">
        <v>1570</v>
      </c>
      <c r="G78" s="89" t="s">
        <v>24</v>
      </c>
      <c r="H78" s="88">
        <v>1</v>
      </c>
      <c r="I78" s="88"/>
      <c r="J78" s="88">
        <v>1</v>
      </c>
      <c r="K78" s="91"/>
      <c r="L78" s="91" t="s">
        <v>1165</v>
      </c>
      <c r="M78" s="214"/>
      <c r="N78" s="88" t="s">
        <v>606</v>
      </c>
      <c r="O78" s="216">
        <f t="shared" si="205"/>
        <v>4.4000000000000004</v>
      </c>
      <c r="P78" s="88" t="str">
        <f>IF(AND(BO78&gt;=2.34,BO78&lt;3.33),"B1_3",IF(AND(BO78&gt;=3.33,BO78&lt;4.65),"B1_4",IF(AND(BO78&gt;=4.65,BO78&lt;5.42),"B1_5",IF(AND(BO78&gt;=5.42,BO78&lt;6.44),"B1_6",IF(AND(BO78&gt;=6.44,BO78&lt;=6.92),"B1_7","B1_8")))))</f>
        <v>B1_4</v>
      </c>
      <c r="Q78" s="88">
        <f>IF(M78&gt;0,VLOOKUP(P78,ma_dinhmuc_moi,2,0)/2,VLOOKUP(P78,ma_dinhmuc_moi,2,0))</f>
        <v>270</v>
      </c>
      <c r="R78" s="88">
        <f>IF(M78&gt;0,VLOOKUP(P78,ma_dinhmuc_moi,3,0)/2,VLOOKUP(P78,ma_dinhmuc_moi,3,0))</f>
        <v>120</v>
      </c>
      <c r="S78" s="230" t="s">
        <v>3163</v>
      </c>
      <c r="T78" s="88" t="s">
        <v>3091</v>
      </c>
      <c r="U78" s="88">
        <f>IF(RIGHT(T78,1)="K",(VLOOKUP(T78,ma_miengiam!$A$3:$B$80,2,0)*100)/2,VLOOKUP(T78,ma_miengiam!$A$3:$B$80,2,0)*100)</f>
        <v>20</v>
      </c>
      <c r="V78" s="88">
        <v>11</v>
      </c>
      <c r="W78" s="220">
        <f>IF(AND(T78="NTS",V78&gt;0),(Q78-(Q78*V78)/12)*VLOOKUP(T78,ma_miengiam!$A$3:$B$80,2,0)+(Q78-(Q78*(12-V78))/12),IF(AND(RIGHT(T78,1)="K",V78&gt;0),(VLOOKUP(T78,ma_miengiam!$A$3:$B$80,2,0)/2)*(Q78*V78)/12,IF(RIGHT(T78,1)="K",(VLOOKUP(T78,ma_miengiam!$A$3:$B$80,2,0)*Q78)/2,IF(V78&gt;0,VLOOKUP(T78,ma_miengiam!$A$3:$B$80,2,0)*Q78*V78/12,VLOOKUP(T78,ma_miengiam!$A$3:$B$80,2,0)*Q78))))</f>
        <v>49.5</v>
      </c>
      <c r="X78" s="220">
        <f>IF(T78="NTS",VLOOKUP(T78,ma_miengiam!$A$3:$B$80,2,0)*R78*V78,IF(AND(T78="NTS",V78=0),0,IF(AND(LEFT(T78,1)="K",V78=0),VLOOKUP(T78,ma_miengiam!$A$3:$B$80,2,0)*R78,IF(LEFT(T78,1)="K",(VLOOKUP(T78,ma_miengiam!$A$3:$B$80,2,0)*R78/12)*V78,IF(AND(LEFT(T78,1)="S",V78&gt;0),(R78/12)*V78,IF(AND(LEFT(T78,1)="S",V78=0),R78,IF(T78="DH",VLOOKUP(T78,ma_miengiam!$A$3:$B$80,2,0)*R78,0)))))))</f>
        <v>0</v>
      </c>
      <c r="Y78" s="220">
        <f>IF(AND(T78="DH",V78&gt;0),(S78*V78/12),IF(AND(T78&lt;&gt;"NTS",V78&gt;0),(Q78*V78/12)-W78,IF(AND(T78="NTS",V78&gt;0),Q78-W78,Q78-W78)))</f>
        <v>198</v>
      </c>
      <c r="Z78" s="220">
        <f>IF(AND(T78="SĐH",V78&gt;0),(R78/12)*V78-X78,IF(AND(T78="DH",V78&gt;0),(R78*V78/12),IF(AND(T78&lt;&gt;"NTS",V78&gt;0),(R78*V78/12)-X78,IF(AND(T78="NTS",V78&gt;0),R78-X78,R78-X78))))</f>
        <v>110</v>
      </c>
      <c r="AA78" s="220"/>
      <c r="AB78" s="220"/>
      <c r="AC78" s="220"/>
      <c r="AD78" s="220"/>
      <c r="AE78" s="220"/>
      <c r="AF78" s="220"/>
      <c r="AG78" s="220"/>
      <c r="AH78" s="220"/>
      <c r="AI78" s="220"/>
      <c r="AJ78" s="220"/>
      <c r="AK78" s="216"/>
      <c r="AL78" s="220"/>
      <c r="AM78" s="220"/>
      <c r="AN78" s="221"/>
      <c r="AO78" s="220"/>
      <c r="AP78" s="220"/>
      <c r="AQ78" s="220"/>
      <c r="AR78" s="220"/>
      <c r="AS78" s="220"/>
      <c r="AT78" s="216"/>
      <c r="AU78" s="222"/>
      <c r="AV78" s="220"/>
      <c r="AW78" s="220"/>
      <c r="AX78" s="216"/>
      <c r="AY78" s="220"/>
      <c r="AZ78" s="220"/>
      <c r="BA78" s="220"/>
      <c r="BB78" s="220"/>
      <c r="BC78" s="220"/>
      <c r="BD78" s="216"/>
      <c r="BE78" s="220"/>
      <c r="BF78" s="220"/>
      <c r="BG78" s="220"/>
      <c r="BH78" s="220"/>
      <c r="BI78" s="220"/>
      <c r="BJ78" s="220" t="s">
        <v>811</v>
      </c>
      <c r="BK78" s="220"/>
      <c r="BL78" s="223">
        <f>IF(AW78&lt;BK78,0,IF(AND(BK78=0,AW78&gt;0),AW78,IF(AW78&lt;0,0,IF(BK78&gt;0,AW78-BK78,IF(BK78&lt;0,0,AW78)))))</f>
        <v>0</v>
      </c>
      <c r="BM78" s="220">
        <v>4.4000000000000004</v>
      </c>
      <c r="BN78" s="220"/>
      <c r="BO78" s="220">
        <f>ROUND(BM78+(BM78*BN78),2)</f>
        <v>4.4000000000000004</v>
      </c>
      <c r="BP78" s="220">
        <f>IF(AND(BL78&gt;0,BL78&lt;tiet!$D$1),BL78,IF(BL78&lt;=0,0,IF(BL78&gt;tiet!$C$1,tiet!$C$1)))</f>
        <v>0</v>
      </c>
      <c r="BQ78" s="87">
        <f t="shared" si="170"/>
        <v>65000</v>
      </c>
      <c r="BR78" s="224">
        <f t="shared" si="171"/>
        <v>0</v>
      </c>
      <c r="BS78" s="220">
        <f t="shared" si="219"/>
        <v>0</v>
      </c>
      <c r="BT78" s="224">
        <f>VLOOKUP(N78,ma_dinhmuc!$A$1:$J$31,10,0)</f>
        <v>55000</v>
      </c>
      <c r="BU78" s="224">
        <f>ROUND(IF(BS78&gt;0,VLOOKUP(N78,ma_dinhmuc!$A$1:$J$31,10,0)*BS78,0),0)</f>
        <v>0</v>
      </c>
      <c r="BV78" s="224">
        <f t="shared" si="172"/>
        <v>0</v>
      </c>
      <c r="BW78" s="224"/>
      <c r="BX78" s="224">
        <v>0</v>
      </c>
      <c r="BY78" s="224"/>
      <c r="BZ78" s="224"/>
      <c r="CA78" s="224"/>
      <c r="CB78" s="224"/>
      <c r="CC78" s="225">
        <f>ROUND(IF(BV78+BW78&gt;BX78+BY78+BZ78+CA78+CB78,(BW78+BV78)-(BX78+BY78+BZ78+CA78+CB78+CB78),0),0)</f>
        <v>0</v>
      </c>
      <c r="CD78" s="224">
        <f>ROUND(IF(BV78+BW78&lt;BX78+BY78+BZ78+CA78-CB78,(BX78+BY78+BZ78+CA78-CB78)-(BW78+BV78),0),0)</f>
        <v>0</v>
      </c>
      <c r="CE78" s="224"/>
      <c r="CF78" s="226"/>
      <c r="CG78" s="87"/>
      <c r="CH78" s="87">
        <f t="shared" si="166"/>
        <v>67</v>
      </c>
      <c r="CI78" s="227" t="str">
        <f t="shared" si="201"/>
        <v>Vũ Thanh</v>
      </c>
      <c r="CJ78" s="227" t="str">
        <f t="shared" si="202"/>
        <v>Hải</v>
      </c>
      <c r="CK78" s="87">
        <f t="shared" ref="CK78:CK93" si="242">H78</f>
        <v>1</v>
      </c>
      <c r="CL78" s="227" t="str">
        <f>L78</f>
        <v>RHQ và Cảnh quan</v>
      </c>
      <c r="CM78" s="87" t="str">
        <f>N78</f>
        <v>CS3</v>
      </c>
      <c r="CN78" s="87">
        <f>Q78</f>
        <v>270</v>
      </c>
      <c r="CO78" s="87">
        <f>R78</f>
        <v>120</v>
      </c>
      <c r="CP78" s="229">
        <f t="shared" si="223"/>
        <v>0</v>
      </c>
      <c r="CQ78" s="229">
        <f t="shared" si="224"/>
        <v>0</v>
      </c>
      <c r="CR78" s="229">
        <f t="shared" si="225"/>
        <v>0</v>
      </c>
      <c r="CS78" s="229">
        <f t="shared" si="226"/>
        <v>0</v>
      </c>
      <c r="CT78" s="229">
        <f t="shared" si="227"/>
        <v>0</v>
      </c>
      <c r="CU78" s="229">
        <f t="shared" si="228"/>
        <v>0</v>
      </c>
      <c r="CV78" s="229">
        <f t="shared" si="229"/>
        <v>0</v>
      </c>
      <c r="CW78" s="229">
        <f t="shared" si="230"/>
        <v>0</v>
      </c>
      <c r="CX78" s="229">
        <f t="shared" si="231"/>
        <v>0</v>
      </c>
      <c r="CY78" s="229">
        <f t="shared" si="232"/>
        <v>0</v>
      </c>
      <c r="CZ78" s="229">
        <f t="shared" si="233"/>
        <v>0</v>
      </c>
      <c r="DA78" s="229">
        <f t="shared" si="234"/>
        <v>0</v>
      </c>
      <c r="DB78" s="228">
        <f>SUM(CP78:DA78)</f>
        <v>0</v>
      </c>
      <c r="DC78" s="229"/>
      <c r="DD78" s="229"/>
      <c r="DE78" s="229"/>
      <c r="DF78" s="229"/>
      <c r="DG78" s="229"/>
      <c r="DH78" s="229"/>
      <c r="DI78" s="229"/>
      <c r="DJ78" s="229"/>
      <c r="DK78" s="229"/>
      <c r="DL78" s="229"/>
      <c r="DM78" s="229"/>
      <c r="DN78" s="229"/>
      <c r="DO78" s="228">
        <f>SUM(DC78:DN78)</f>
        <v>0</v>
      </c>
      <c r="DP78" s="228">
        <f>DO78+DB78</f>
        <v>0</v>
      </c>
      <c r="DQ78" s="229">
        <f t="shared" si="235"/>
        <v>0</v>
      </c>
      <c r="DR78" s="229">
        <f t="shared" si="236"/>
        <v>0</v>
      </c>
      <c r="DS78" s="229">
        <f t="shared" si="237"/>
        <v>0</v>
      </c>
      <c r="DT78" s="229">
        <f t="shared" si="238"/>
        <v>0</v>
      </c>
      <c r="DU78" s="229">
        <f t="shared" si="239"/>
        <v>0</v>
      </c>
      <c r="DV78" s="229">
        <f t="shared" si="240"/>
        <v>0</v>
      </c>
      <c r="DW78" s="229">
        <f t="shared" si="241"/>
        <v>0</v>
      </c>
      <c r="DX78" s="228">
        <f>SUM(DQ78:DW78)</f>
        <v>0</v>
      </c>
      <c r="DY78" s="229"/>
      <c r="DZ78" s="229"/>
      <c r="EA78" s="229"/>
      <c r="EB78" s="229"/>
      <c r="EC78" s="229"/>
      <c r="ED78" s="229"/>
      <c r="EE78" s="229"/>
      <c r="EF78" s="228">
        <f t="shared" si="220"/>
        <v>0</v>
      </c>
      <c r="EG78" s="228">
        <f>EF78+DX78</f>
        <v>0</v>
      </c>
      <c r="EH78" s="229">
        <f t="shared" si="221"/>
        <v>0</v>
      </c>
      <c r="EI78" s="229">
        <v>8.1199999999999992</v>
      </c>
      <c r="EJ78" s="228">
        <f t="shared" si="206"/>
        <v>8.1199999999999992</v>
      </c>
      <c r="EK78" s="229"/>
      <c r="EL78" s="229"/>
      <c r="EM78" s="228">
        <f t="shared" si="176"/>
        <v>0</v>
      </c>
      <c r="EN78" s="229">
        <f>EK78+EH78+EL78</f>
        <v>0</v>
      </c>
      <c r="EO78" s="229">
        <f>EI78</f>
        <v>8.1199999999999992</v>
      </c>
      <c r="EP78" s="228">
        <f t="shared" si="177"/>
        <v>8.1199999999999992</v>
      </c>
      <c r="EQ78" s="173">
        <f t="shared" si="222"/>
        <v>0</v>
      </c>
      <c r="ER78" s="189">
        <v>0</v>
      </c>
      <c r="ES78" s="189">
        <v>0</v>
      </c>
      <c r="ET78" s="189">
        <v>0</v>
      </c>
      <c r="EU78" s="189">
        <v>0</v>
      </c>
      <c r="EV78" s="189">
        <v>0</v>
      </c>
      <c r="EW78" s="189">
        <v>0</v>
      </c>
      <c r="EX78" s="189">
        <v>0</v>
      </c>
      <c r="EY78" s="189">
        <v>0</v>
      </c>
      <c r="EZ78" s="189">
        <v>0</v>
      </c>
      <c r="FA78" s="189">
        <v>0</v>
      </c>
      <c r="FB78" s="189">
        <v>0</v>
      </c>
      <c r="FC78" s="189">
        <v>0</v>
      </c>
      <c r="FD78" s="189">
        <v>0</v>
      </c>
      <c r="FE78" s="189">
        <v>0</v>
      </c>
      <c r="FF78" s="189">
        <v>0</v>
      </c>
      <c r="FG78" s="189">
        <v>0</v>
      </c>
      <c r="FH78" s="189">
        <v>0</v>
      </c>
      <c r="FI78" s="189">
        <v>0</v>
      </c>
      <c r="FJ78" s="189">
        <v>0</v>
      </c>
      <c r="FK78" s="189">
        <v>0</v>
      </c>
      <c r="FL78" s="189">
        <v>0</v>
      </c>
      <c r="FN78" s="132">
        <v>0</v>
      </c>
    </row>
    <row r="79" spans="1:170" ht="30.75" customHeight="1">
      <c r="A79" s="88">
        <f>COUNTIF($H$12:H79,H79)</f>
        <v>68</v>
      </c>
      <c r="B79" s="88" t="s">
        <v>2105</v>
      </c>
      <c r="C79" s="88" t="s">
        <v>430</v>
      </c>
      <c r="D79" s="88"/>
      <c r="E79" s="88"/>
      <c r="F79" s="301" t="s">
        <v>1570</v>
      </c>
      <c r="G79" s="89" t="s">
        <v>24</v>
      </c>
      <c r="H79" s="88">
        <v>1</v>
      </c>
      <c r="I79" s="88">
        <v>1</v>
      </c>
      <c r="J79" s="88">
        <v>1</v>
      </c>
      <c r="K79" s="91" t="s">
        <v>1165</v>
      </c>
      <c r="L79" s="91" t="s">
        <v>1165</v>
      </c>
      <c r="M79" s="214"/>
      <c r="N79" s="88" t="s">
        <v>606</v>
      </c>
      <c r="O79" s="216">
        <f t="shared" si="205"/>
        <v>4.4000000000000004</v>
      </c>
      <c r="P79" s="88" t="str">
        <f>IF(AND(BO79&gt;=2.34,BO79&lt;3.33),"B1_3",IF(AND(BO79&gt;=3.33,BO79&lt;4.65),"B1_4",IF(AND(BO79&gt;=4.65,BO79&lt;5.42),"B1_5",IF(AND(BO79&gt;=5.42,BO79&lt;6.44),"B1_6",IF(AND(BO79&gt;=6.44,BO79&lt;=6.92),"B1_7","B1_8")))))</f>
        <v>B1_4</v>
      </c>
      <c r="Q79" s="88">
        <f>IF(M79&gt;0,VLOOKUP(P79,ma_dinhmuc_moi,2,0)/2,VLOOKUP(P79,ma_dinhmuc_moi,2,0))</f>
        <v>270</v>
      </c>
      <c r="R79" s="88">
        <f>IF(M79&gt;0,VLOOKUP(P79,ma_dinhmuc_moi,3,0)/2,VLOOKUP(P79,ma_dinhmuc_moi,3,0))</f>
        <v>120</v>
      </c>
      <c r="S79" s="230" t="s">
        <v>3163</v>
      </c>
      <c r="T79" s="88" t="s">
        <v>3091</v>
      </c>
      <c r="U79" s="88">
        <f>IF(RIGHT(T79,1)="K",(VLOOKUP(T79,ma_miengiam!$A$3:$B$80,2,0)*100)/2,VLOOKUP(T79,ma_miengiam!$A$3:$B$80,2,0)*100)</f>
        <v>20</v>
      </c>
      <c r="V79" s="88"/>
      <c r="W79" s="220">
        <f>W78+W77</f>
        <v>52.875</v>
      </c>
      <c r="X79" s="220">
        <f>X78+X77</f>
        <v>0</v>
      </c>
      <c r="Y79" s="220">
        <f>Y78+Y77</f>
        <v>217.125</v>
      </c>
      <c r="Z79" s="220">
        <f>Z78+Z77</f>
        <v>120</v>
      </c>
      <c r="AA79" s="220">
        <f t="shared" ref="AA79:AB81" si="243">Q79</f>
        <v>270</v>
      </c>
      <c r="AB79" s="220">
        <f t="shared" si="243"/>
        <v>120</v>
      </c>
      <c r="AC79" s="220">
        <f>W79</f>
        <v>52.875</v>
      </c>
      <c r="AD79" s="220">
        <f>X79</f>
        <v>0</v>
      </c>
      <c r="AE79" s="220">
        <f>Y79</f>
        <v>217.125</v>
      </c>
      <c r="AF79" s="220">
        <f>Z79</f>
        <v>120</v>
      </c>
      <c r="AG79" s="220">
        <f>AH79+AI79</f>
        <v>97.36</v>
      </c>
      <c r="AH79" s="220">
        <f>EO79</f>
        <v>8.1199999999999992</v>
      </c>
      <c r="AI79" s="220">
        <f>EN79</f>
        <v>89.24</v>
      </c>
      <c r="AJ79" s="220">
        <f>IF(AG79-Z79&gt;0,0,AG79-Z79)</f>
        <v>-22.64</v>
      </c>
      <c r="AK79" s="216">
        <f>IF(AJ79&gt;=0,Y79,Y79-AJ79)</f>
        <v>239.76499999999999</v>
      </c>
      <c r="AL79" s="220">
        <f>SUM(CP79:CX79)+SUM(DC79:DK79)</f>
        <v>286</v>
      </c>
      <c r="AM79" s="220">
        <f>SUM(DQ79:DU79)+SUM(DY79:EC79)</f>
        <v>22.8</v>
      </c>
      <c r="AN79" s="221">
        <f>AM79+AL79</f>
        <v>308.8</v>
      </c>
      <c r="AO79" s="220">
        <f>CY79+DL79</f>
        <v>0</v>
      </c>
      <c r="AP79" s="220">
        <f>CZ79+DM79</f>
        <v>0</v>
      </c>
      <c r="AQ79" s="220">
        <f>DA79+DN79</f>
        <v>100</v>
      </c>
      <c r="AR79" s="220">
        <f>DV79+ED79</f>
        <v>68</v>
      </c>
      <c r="AS79" s="220">
        <f>DW79+EE79</f>
        <v>0</v>
      </c>
      <c r="AT79" s="216">
        <f>AN79+SUM(AO79:AS79)</f>
        <v>476.8</v>
      </c>
      <c r="AU79" s="222">
        <f>AN79-AK79</f>
        <v>69.035000000000025</v>
      </c>
      <c r="AV79" s="220"/>
      <c r="AW79" s="220">
        <f>IF(AU79&gt;0,AU79,AV79+AU79)</f>
        <v>69.035000000000025</v>
      </c>
      <c r="AX79" s="216">
        <f>IF(AN79&gt;AK79,0,IF(AW79&lt;0,AN79-AK79+AV79,IF(AW79&gt;=0,0)))</f>
        <v>0</v>
      </c>
      <c r="AY79" s="220">
        <f>IF(AN79&gt;=AK79,AO79,IF(AN79+AO79-AK79&gt;=0,AN79+AO79-AK79,0))</f>
        <v>0</v>
      </c>
      <c r="AZ79" s="220">
        <f>IF(OR(AN79&gt;=AK79,AN79+AO79&gt;=AK79),AP79,IF(AN79+AO79+AP79&gt;AK79,AN79+AO79+AP79-AK79,0))</f>
        <v>0</v>
      </c>
      <c r="BA79" s="220">
        <f>IF(OR(AN79&gt;=AK79,AN79+AO79&gt;=AK79,AN79+AO79+AP79&gt;=AK79),AQ79,IF(AN79+AO79+AP79+AQ79&gt;=AK79,AN79+AO79+AP79+AQ79-AK79,0))</f>
        <v>100</v>
      </c>
      <c r="BB79" s="220">
        <f>IF(OR(AN79&gt;=AK79,AN79+AO79&gt;=AK79,AN79+AO79+AP79&gt;=AK79,AN79+AO79+AP79+AQ79&gt;=AK79),AR79,IF(AN79+AO79+AP79+AQ79+AR79&gt;=AK79,AN79+AO79+AP79+AQ79+AR79-AK79,0))</f>
        <v>68</v>
      </c>
      <c r="BC79" s="220">
        <f>IF(OR(AN79&gt;=AK79,AN79+AO79&gt;=AK79,AN79+AO79+AP79&gt;=AK79,AN79+AO79+AP79+AQ79&gt;=AK79,AN79+AO79+AP79+AQ79+AR79&gt;=AK79),AS79,IF(AN79+AO79+AP79+AQ79+AR79+AS79&gt;=AK79,AN79+AO79+AP79+AQ79+AR79+AS79-AK79,0))</f>
        <v>0</v>
      </c>
      <c r="BD79" s="216">
        <f>SUM(AY79:BC79)</f>
        <v>168</v>
      </c>
      <c r="BE79" s="220">
        <f t="shared" ref="BE79:BI80" si="244">AY79-AO79</f>
        <v>0</v>
      </c>
      <c r="BF79" s="220">
        <f t="shared" si="244"/>
        <v>0</v>
      </c>
      <c r="BG79" s="220">
        <f t="shared" si="244"/>
        <v>0</v>
      </c>
      <c r="BH79" s="220">
        <f t="shared" si="244"/>
        <v>0</v>
      </c>
      <c r="BI79" s="220">
        <f t="shared" si="244"/>
        <v>0</v>
      </c>
      <c r="BJ79" s="220" t="s">
        <v>811</v>
      </c>
      <c r="BK79" s="220"/>
      <c r="BL79" s="223">
        <f>IF(AW79&lt;BK79,0,IF(AND(BK79=0,AW79&gt;0),AW79,IF(AW79&lt;0,0,IF(BK79&gt;0,AW79-BK79,IF(BK79&lt;0,0,AW79)))))</f>
        <v>69.035000000000025</v>
      </c>
      <c r="BM79" s="220">
        <v>4.4000000000000004</v>
      </c>
      <c r="BN79" s="220"/>
      <c r="BO79" s="220">
        <f>ROUND(BM79+(BM79*BN79),2)</f>
        <v>4.4000000000000004</v>
      </c>
      <c r="BP79" s="220">
        <f>IF(AND(BL79&gt;0,BL79&lt;tiet!$D$1),BL79,IF(BL79&lt;=0,0,IF(BL79&gt;tiet!$C$1,tiet!$C$1)))</f>
        <v>69.035000000000025</v>
      </c>
      <c r="BQ79" s="87">
        <f t="shared" si="170"/>
        <v>65000</v>
      </c>
      <c r="BR79" s="224">
        <f t="shared" si="171"/>
        <v>4487275</v>
      </c>
      <c r="BS79" s="220">
        <f t="shared" si="219"/>
        <v>0</v>
      </c>
      <c r="BT79" s="224">
        <f>VLOOKUP(N79,ma_dinhmuc!$A$1:$J$31,10,0)</f>
        <v>55000</v>
      </c>
      <c r="BU79" s="224">
        <f>ROUND(IF(BS79&gt;0,VLOOKUP(N79,ma_dinhmuc!$A$1:$J$31,10,0)*BS79,0),0)</f>
        <v>0</v>
      </c>
      <c r="BV79" s="224">
        <f t="shared" si="172"/>
        <v>4487275</v>
      </c>
      <c r="BW79" s="224"/>
      <c r="BX79" s="224">
        <v>0</v>
      </c>
      <c r="BY79" s="224"/>
      <c r="BZ79" s="224"/>
      <c r="CA79" s="224"/>
      <c r="CB79" s="224"/>
      <c r="CC79" s="225">
        <f>ROUND(IF(BV79+BW79&gt;BX79+BY79+BZ79+CA79+CB79,(BW79+BV79)-(BX79+BY79+BZ79+CA79+CB79+CB79),0),0)</f>
        <v>4487275</v>
      </c>
      <c r="CD79" s="224">
        <f>ROUND(IF(BV79+BW79&lt;BX79+BY79+BZ79+CA79-CB79,(BX79+BY79+BZ79+CA79-CB79)-(BW79+BV79),0),0)</f>
        <v>0</v>
      </c>
      <c r="CE79" s="224"/>
      <c r="CF79" s="226"/>
      <c r="CG79" s="87"/>
      <c r="CH79" s="87">
        <f t="shared" si="166"/>
        <v>68</v>
      </c>
      <c r="CI79" s="227" t="str">
        <f t="shared" si="201"/>
        <v>Vũ Thanh</v>
      </c>
      <c r="CJ79" s="227" t="str">
        <f t="shared" si="202"/>
        <v>Hải</v>
      </c>
      <c r="CK79" s="87">
        <f t="shared" si="242"/>
        <v>1</v>
      </c>
      <c r="CL79" s="227" t="str">
        <f>L79</f>
        <v>RHQ và Cảnh quan</v>
      </c>
      <c r="CM79" s="87" t="str">
        <f>N79</f>
        <v>CS3</v>
      </c>
      <c r="CN79" s="87">
        <f>Q79</f>
        <v>270</v>
      </c>
      <c r="CO79" s="87">
        <f>R79</f>
        <v>120</v>
      </c>
      <c r="CP79" s="229">
        <f t="shared" si="223"/>
        <v>0</v>
      </c>
      <c r="CQ79" s="229">
        <f t="shared" si="224"/>
        <v>24.6</v>
      </c>
      <c r="CR79" s="229">
        <f t="shared" si="225"/>
        <v>9.9</v>
      </c>
      <c r="CS79" s="229">
        <f t="shared" si="226"/>
        <v>61.5</v>
      </c>
      <c r="CT79" s="229">
        <f t="shared" si="227"/>
        <v>0</v>
      </c>
      <c r="CU79" s="229">
        <f t="shared" si="228"/>
        <v>110</v>
      </c>
      <c r="CV79" s="229">
        <f t="shared" si="229"/>
        <v>0</v>
      </c>
      <c r="CW79" s="229">
        <f t="shared" si="230"/>
        <v>80</v>
      </c>
      <c r="CX79" s="229">
        <f t="shared" si="231"/>
        <v>0</v>
      </c>
      <c r="CY79" s="229">
        <f t="shared" si="232"/>
        <v>0</v>
      </c>
      <c r="CZ79" s="229">
        <f t="shared" si="233"/>
        <v>0</v>
      </c>
      <c r="DA79" s="229">
        <f t="shared" si="234"/>
        <v>100</v>
      </c>
      <c r="DB79" s="228">
        <f>SUM(CP79:DA79)</f>
        <v>386</v>
      </c>
      <c r="DC79" s="229"/>
      <c r="DD79" s="229"/>
      <c r="DE79" s="229"/>
      <c r="DF79" s="229"/>
      <c r="DG79" s="229"/>
      <c r="DH79" s="229"/>
      <c r="DI79" s="229"/>
      <c r="DJ79" s="229"/>
      <c r="DK79" s="229"/>
      <c r="DL79" s="229"/>
      <c r="DM79" s="229"/>
      <c r="DN79" s="229"/>
      <c r="DO79" s="228">
        <f>SUM(DC79:DN79)</f>
        <v>0</v>
      </c>
      <c r="DP79" s="228">
        <f>DO79+DB79</f>
        <v>386</v>
      </c>
      <c r="DQ79" s="229">
        <f t="shared" si="235"/>
        <v>20</v>
      </c>
      <c r="DR79" s="229">
        <f t="shared" si="236"/>
        <v>2</v>
      </c>
      <c r="DS79" s="229">
        <f t="shared" si="237"/>
        <v>0</v>
      </c>
      <c r="DT79" s="229">
        <f t="shared" si="238"/>
        <v>0.8</v>
      </c>
      <c r="DU79" s="229">
        <f t="shared" si="239"/>
        <v>0</v>
      </c>
      <c r="DV79" s="229">
        <f t="shared" si="240"/>
        <v>68</v>
      </c>
      <c r="DW79" s="229">
        <f t="shared" si="241"/>
        <v>0</v>
      </c>
      <c r="DX79" s="228">
        <f>SUM(DQ79:DW79)</f>
        <v>90.8</v>
      </c>
      <c r="DY79" s="229"/>
      <c r="DZ79" s="229"/>
      <c r="EA79" s="229"/>
      <c r="EB79" s="229"/>
      <c r="EC79" s="229"/>
      <c r="ED79" s="229"/>
      <c r="EE79" s="229"/>
      <c r="EF79" s="228">
        <f t="shared" si="220"/>
        <v>0</v>
      </c>
      <c r="EG79" s="228">
        <f>EF79+DX79</f>
        <v>90.8</v>
      </c>
      <c r="EH79" s="229">
        <f t="shared" si="221"/>
        <v>89.24</v>
      </c>
      <c r="EI79" s="229">
        <v>8.1199999999999992</v>
      </c>
      <c r="EJ79" s="228">
        <f t="shared" si="206"/>
        <v>97.36</v>
      </c>
      <c r="EK79" s="229"/>
      <c r="EL79" s="229"/>
      <c r="EM79" s="228">
        <f t="shared" si="176"/>
        <v>0</v>
      </c>
      <c r="EN79" s="229">
        <f>EK79+EH79+EL79</f>
        <v>89.24</v>
      </c>
      <c r="EO79" s="229">
        <f>EI79</f>
        <v>8.1199999999999992</v>
      </c>
      <c r="EP79" s="228">
        <f t="shared" si="177"/>
        <v>97.36</v>
      </c>
      <c r="EQ79" s="173">
        <f t="shared" si="222"/>
        <v>0</v>
      </c>
      <c r="ER79" s="189">
        <v>0</v>
      </c>
      <c r="ES79" s="189">
        <v>24.6</v>
      </c>
      <c r="ET79" s="189">
        <v>9.9</v>
      </c>
      <c r="EU79" s="189">
        <v>61.5</v>
      </c>
      <c r="EV79" s="189">
        <v>0</v>
      </c>
      <c r="EW79" s="189">
        <v>110</v>
      </c>
      <c r="EX79" s="189">
        <v>0</v>
      </c>
      <c r="EY79" s="189">
        <v>80</v>
      </c>
      <c r="EZ79" s="189">
        <v>0</v>
      </c>
      <c r="FA79" s="189">
        <v>0</v>
      </c>
      <c r="FB79" s="189">
        <v>0</v>
      </c>
      <c r="FC79" s="189">
        <v>100</v>
      </c>
      <c r="FD79" s="189">
        <v>20</v>
      </c>
      <c r="FE79" s="189">
        <v>2</v>
      </c>
      <c r="FF79" s="189">
        <v>0</v>
      </c>
      <c r="FG79" s="189">
        <v>0.8</v>
      </c>
      <c r="FH79" s="189">
        <v>68</v>
      </c>
      <c r="FI79" s="189">
        <v>0</v>
      </c>
      <c r="FJ79" s="189">
        <v>0</v>
      </c>
      <c r="FK79" s="189">
        <v>476.8</v>
      </c>
      <c r="FL79" s="189">
        <v>433.5</v>
      </c>
      <c r="FN79" s="132">
        <v>89.24</v>
      </c>
    </row>
    <row r="80" spans="1:170" ht="30.75" customHeight="1">
      <c r="A80" s="88">
        <f>COUNTIF($H$12:H80,H80)</f>
        <v>69</v>
      </c>
      <c r="B80" s="88" t="s">
        <v>2106</v>
      </c>
      <c r="C80" s="88" t="s">
        <v>431</v>
      </c>
      <c r="D80" s="88"/>
      <c r="E80" s="88"/>
      <c r="F80" s="301" t="s">
        <v>1571</v>
      </c>
      <c r="G80" s="89" t="s">
        <v>35</v>
      </c>
      <c r="H80" s="88">
        <v>1</v>
      </c>
      <c r="I80" s="88">
        <v>1</v>
      </c>
      <c r="J80" s="88">
        <v>1</v>
      </c>
      <c r="K80" s="91" t="s">
        <v>1165</v>
      </c>
      <c r="L80" s="91" t="s">
        <v>1165</v>
      </c>
      <c r="M80" s="214"/>
      <c r="N80" s="88" t="s">
        <v>605</v>
      </c>
      <c r="O80" s="216">
        <f t="shared" si="205"/>
        <v>6.2</v>
      </c>
      <c r="P80" s="88" t="str">
        <f t="shared" ref="P80:P92" si="245">IF(AND(BO80&gt;=2.34,BO80&lt;3.33),"B1_3",IF(AND(BO80&gt;=3.33,BO80&lt;4.65),"B1_4",IF(AND(BO80&gt;=4.65,BO80&lt;5.42),"B1_5",IF(AND(BO80&gt;=5.42,BO80&lt;6.44),"B1_6",IF(AND(BO80&gt;=6.44,BO80&lt;=6.92),"B1_7","B1_8")))))</f>
        <v>B1_6</v>
      </c>
      <c r="Q80" s="88">
        <f t="shared" si="149"/>
        <v>270</v>
      </c>
      <c r="R80" s="88">
        <f t="shared" si="150"/>
        <v>170</v>
      </c>
      <c r="S80" s="231" t="s">
        <v>679</v>
      </c>
      <c r="T80" s="88" t="s">
        <v>1754</v>
      </c>
      <c r="U80" s="88">
        <f>IF(RIGHT(T80,1)="K",(VLOOKUP(T80,ma_miengiam!$A$3:$B$80,2,0)*100)/2,VLOOKUP(T80,ma_miengiam!$A$3:$B$80,2,0)*100)</f>
        <v>75</v>
      </c>
      <c r="V80" s="88"/>
      <c r="W80" s="220">
        <f>IF(AND(T80="NTS",V80&gt;0),(Q80-(Q80*V80)/12)*VLOOKUP(T80,ma_miengiam!$A$3:$B$80,2,0)+(Q80-(Q80*(12-V80))/12),IF(AND(RIGHT(T80,1)="K",V80&gt;0),(VLOOKUP(T80,ma_miengiam!$A$3:$B$80,2,0)/2)*(Q80*V80)/12,IF(RIGHT(T80,1)="K",(VLOOKUP(T80,ma_miengiam!$A$3:$B$80,2,0)*Q80)/2,IF(V80&gt;0,VLOOKUP(T80,ma_miengiam!$A$3:$B$80,2,0)*Q80*V80/12,VLOOKUP(T80,ma_miengiam!$A$3:$B$80,2,0)*Q80))))</f>
        <v>202.5</v>
      </c>
      <c r="X80" s="220">
        <f>IF(T80="NTS",VLOOKUP(T80,ma_miengiam!$A$3:$B$80,2,0)*R80*V80,IF(AND(T80="NTS",V80=0),0,IF(AND(LEFT(T80,1)="K",V80=0),VLOOKUP(T80,ma_miengiam!$A$3:$B$80,2,0)*R80,IF(LEFT(T80,1)="K",(VLOOKUP(T80,ma_miengiam!$A$3:$B$80,2,0)*R80/12)*V80,IF(AND(LEFT(T80,1)="S",V80&gt;0),(R80/12)*V80,IF(AND(LEFT(T80,1)="S",V80=0),R80,IF(T80="DH",VLOOKUP(T80,ma_miengiam!$A$3:$B$80,2,0)*R80,0)))))))</f>
        <v>127.5</v>
      </c>
      <c r="Y80" s="220">
        <f>IF(AND(T80="DH",V80&gt;0),(S80*V80/12),IF(AND(T80&lt;&gt;"NTS",V80&gt;0),(Q80*V80/12)-W80,IF(AND(T80="NTS",V80&gt;0),Q80-W80,Q80-W80)))</f>
        <v>67.5</v>
      </c>
      <c r="Z80" s="220">
        <f>IF(AND(T80="SĐH",V80&gt;0),(R80/12)*V80-X80,IF(AND(T80="DH",V80&gt;0),(R80*V80/12),IF(AND(T80&lt;&gt;"NTS",V80&gt;0),(R80*V80/12)-X80,IF(AND(T80="NTS",V80&gt;0),R80-X80,R80-X80))))</f>
        <v>42.5</v>
      </c>
      <c r="AA80" s="220">
        <f t="shared" si="243"/>
        <v>270</v>
      </c>
      <c r="AB80" s="220">
        <f t="shared" si="243"/>
        <v>170</v>
      </c>
      <c r="AC80" s="220">
        <f t="shared" ref="AC80:AF81" si="246">W80</f>
        <v>202.5</v>
      </c>
      <c r="AD80" s="220">
        <f t="shared" si="246"/>
        <v>127.5</v>
      </c>
      <c r="AE80" s="220">
        <f t="shared" si="246"/>
        <v>67.5</v>
      </c>
      <c r="AF80" s="220">
        <f t="shared" si="246"/>
        <v>42.5</v>
      </c>
      <c r="AG80" s="220">
        <f>AH80+AI80</f>
        <v>418.44</v>
      </c>
      <c r="AH80" s="220">
        <f>EO80</f>
        <v>139</v>
      </c>
      <c r="AI80" s="220">
        <f>EN80</f>
        <v>279.44</v>
      </c>
      <c r="AJ80" s="220">
        <f>IF(AG80-Z80&gt;0,0,AG80-Z80)</f>
        <v>0</v>
      </c>
      <c r="AK80" s="216">
        <f t="shared" ref="AK80:AK134" si="247">IF(AJ80&gt;=0,Y80,Y80-AJ80)</f>
        <v>67.5</v>
      </c>
      <c r="AL80" s="220">
        <f t="shared" ref="AL80:AL139" si="248">SUM(CP80:CX80)+SUM(DC80:DK80)</f>
        <v>269.3</v>
      </c>
      <c r="AM80" s="220">
        <f t="shared" ref="AM80:AM139" si="249">SUM(DQ80:DU80)+SUM(DY80:EC80)</f>
        <v>59.5</v>
      </c>
      <c r="AN80" s="221">
        <f t="shared" ref="AN80:AN139" si="250">AM80+AL80</f>
        <v>328.8</v>
      </c>
      <c r="AO80" s="220">
        <f t="shared" ref="AO80:AO139" si="251">CY80+DL80</f>
        <v>60</v>
      </c>
      <c r="AP80" s="220">
        <f t="shared" ref="AP80:AP139" si="252">CZ80+DM80</f>
        <v>0</v>
      </c>
      <c r="AQ80" s="220">
        <f t="shared" ref="AQ80:AQ139" si="253">DA80+DN80</f>
        <v>60</v>
      </c>
      <c r="AR80" s="220">
        <f t="shared" ref="AR80:AR139" si="254">DV80+ED80</f>
        <v>100</v>
      </c>
      <c r="AS80" s="220">
        <f t="shared" ref="AS80:AS139" si="255">DW80+EE80</f>
        <v>0</v>
      </c>
      <c r="AT80" s="216">
        <f t="shared" ref="AT80:AT139" si="256">AN80+SUM(AO80:AS80)</f>
        <v>548.79999999999995</v>
      </c>
      <c r="AU80" s="222">
        <f>AN80-AK80</f>
        <v>261.3</v>
      </c>
      <c r="AV80" s="220"/>
      <c r="AW80" s="220">
        <f>IF(AU80&gt;0,AU80,AV80+AU80)</f>
        <v>261.3</v>
      </c>
      <c r="AX80" s="216">
        <f t="shared" si="9"/>
        <v>0</v>
      </c>
      <c r="AY80" s="220">
        <f>IF(AN80&gt;=AK80,AO80,IF(AN80+AO80-AK80&gt;=0,AN80+AO80-AK80,0))</f>
        <v>60</v>
      </c>
      <c r="AZ80" s="220">
        <f>IF(OR(AN80&gt;=AK80,AN80+AO80&gt;=AK80),AP80,IF(AN80+AO80+AP80&gt;AK80,AN80+AO80+AP80-AK80,0))</f>
        <v>0</v>
      </c>
      <c r="BA80" s="220">
        <f>IF(OR(AN80&gt;=AK80,AN80+AO80&gt;=AK80,AN80+AO80+AP80&gt;=AK80),AQ80,IF(AN80+AO80+AP80+AQ80&gt;=AK80,AN80+AO80+AP80+AQ80-AK80,0))</f>
        <v>60</v>
      </c>
      <c r="BB80" s="220">
        <f>IF(OR(AN80&gt;=AK80,AN80+AO80&gt;=AK80,AN80+AO80+AP80&gt;=AK80,AN80+AO80+AP80+AQ80&gt;=AK80),AR80,IF(AN80+AO80+AP80+AQ80+AR80&gt;=AK80,AN80+AO80+AP80+AQ80+AR80-AK80,0))</f>
        <v>100</v>
      </c>
      <c r="BC80" s="220">
        <f>IF(OR(AN80&gt;=AK80,AN80+AO80&gt;=AK80,AN80+AO80+AP80&gt;=AK80,AN80+AO80+AP80+AQ80&gt;=AK80,AN80+AO80+AP80+AQ80+AR80&gt;=AK80),AS80,IF(AN80+AO80+AP80+AQ80+AR80+AS80&gt;=AK80,AN80+AO80+AP80+AQ80+AR80+AS80-AK80,0))</f>
        <v>0</v>
      </c>
      <c r="BD80" s="216">
        <f t="shared" si="184"/>
        <v>220</v>
      </c>
      <c r="BE80" s="220">
        <f t="shared" si="244"/>
        <v>0</v>
      </c>
      <c r="BF80" s="220">
        <f t="shared" si="244"/>
        <v>0</v>
      </c>
      <c r="BG80" s="220">
        <f t="shared" si="244"/>
        <v>0</v>
      </c>
      <c r="BH80" s="220">
        <f t="shared" si="244"/>
        <v>0</v>
      </c>
      <c r="BI80" s="220">
        <f t="shared" si="244"/>
        <v>0</v>
      </c>
      <c r="BJ80" s="220" t="s">
        <v>811</v>
      </c>
      <c r="BK80" s="220"/>
      <c r="BL80" s="223">
        <f t="shared" ref="BL80:BL134" si="257">IF(AW80&lt;BK80,0,IF(AND(BK80=0,AW80&gt;0),AW80,IF(AW80&lt;0,0,IF(BK80&gt;0,AW80-BK80,IF(BK80&lt;0,0,AW80)))))</f>
        <v>261.3</v>
      </c>
      <c r="BM80" s="220">
        <v>6.2</v>
      </c>
      <c r="BN80" s="220"/>
      <c r="BO80" s="220">
        <f t="shared" si="200"/>
        <v>6.2</v>
      </c>
      <c r="BP80" s="220">
        <f>IF(AND(BL80&gt;0,BL80&lt;tiet!$D$1),BL80,IF(BL80&lt;=0,0,IF(BL80&gt;tiet!$C$1,tiet!$C$1)))</f>
        <v>200</v>
      </c>
      <c r="BQ80" s="87">
        <f t="shared" si="170"/>
        <v>75000</v>
      </c>
      <c r="BR80" s="224">
        <f t="shared" si="171"/>
        <v>15000000</v>
      </c>
      <c r="BS80" s="220">
        <f t="shared" si="219"/>
        <v>61.300000000000011</v>
      </c>
      <c r="BT80" s="224">
        <f>VLOOKUP(N80,ma_dinhmuc!$A$1:$J$31,10,0)</f>
        <v>65000</v>
      </c>
      <c r="BU80" s="224">
        <f>ROUND(IF(BS80&gt;0,VLOOKUP(N80,ma_dinhmuc!$A$1:$J$31,10,0)*BS80,0),0)</f>
        <v>3984500</v>
      </c>
      <c r="BV80" s="224">
        <f t="shared" si="172"/>
        <v>18984500</v>
      </c>
      <c r="BW80" s="224"/>
      <c r="BX80" s="224">
        <v>0</v>
      </c>
      <c r="BY80" s="224"/>
      <c r="BZ80" s="224"/>
      <c r="CA80" s="224"/>
      <c r="CB80" s="224"/>
      <c r="CC80" s="225">
        <f>ROUND(IF(BV80+BW80&gt;BX80+BY80+BZ80+CA80+CB80,(BW80+BV80)-(BX80+BY80+BZ80+CA80+CB80+CB80),0),0)</f>
        <v>18984500</v>
      </c>
      <c r="CD80" s="224">
        <f>ROUND(IF(BV80+BW80&lt;BX80+BY80+BZ80+CA80-CB80,(BX80+BY80+BZ80+CA80-CB80)-(BW80+BV80),0),0)</f>
        <v>0</v>
      </c>
      <c r="CE80" s="224"/>
      <c r="CF80" s="226"/>
      <c r="CG80" s="87"/>
      <c r="CH80" s="87">
        <f t="shared" si="166"/>
        <v>69</v>
      </c>
      <c r="CI80" s="227" t="str">
        <f t="shared" ref="CI80:CI99" si="258">F80</f>
        <v>Trần Thị Minh</v>
      </c>
      <c r="CJ80" s="227" t="str">
        <f t="shared" ref="CJ80:CJ99" si="259">G80</f>
        <v>Hằng</v>
      </c>
      <c r="CK80" s="87">
        <f t="shared" si="242"/>
        <v>1</v>
      </c>
      <c r="CL80" s="227" t="str">
        <f t="shared" si="210"/>
        <v>RHQ và Cảnh quan</v>
      </c>
      <c r="CM80" s="87" t="str">
        <f>N80</f>
        <v>CS4</v>
      </c>
      <c r="CN80" s="87">
        <f t="shared" si="211"/>
        <v>270</v>
      </c>
      <c r="CO80" s="87">
        <f t="shared" si="211"/>
        <v>170</v>
      </c>
      <c r="CP80" s="229">
        <f t="shared" si="223"/>
        <v>0</v>
      </c>
      <c r="CQ80" s="229">
        <f t="shared" si="224"/>
        <v>28.4</v>
      </c>
      <c r="CR80" s="229">
        <f t="shared" si="225"/>
        <v>11.5</v>
      </c>
      <c r="CS80" s="229">
        <f t="shared" si="226"/>
        <v>57</v>
      </c>
      <c r="CT80" s="229">
        <f t="shared" si="227"/>
        <v>0</v>
      </c>
      <c r="CU80" s="229">
        <f t="shared" si="228"/>
        <v>96.4</v>
      </c>
      <c r="CV80" s="229">
        <f t="shared" si="229"/>
        <v>0</v>
      </c>
      <c r="CW80" s="229">
        <f t="shared" si="230"/>
        <v>76</v>
      </c>
      <c r="CX80" s="229">
        <f t="shared" si="231"/>
        <v>0</v>
      </c>
      <c r="CY80" s="229">
        <f t="shared" si="232"/>
        <v>60</v>
      </c>
      <c r="CZ80" s="229">
        <f t="shared" si="233"/>
        <v>0</v>
      </c>
      <c r="DA80" s="229">
        <f t="shared" si="234"/>
        <v>60</v>
      </c>
      <c r="DB80" s="228">
        <f t="shared" si="214"/>
        <v>389.3</v>
      </c>
      <c r="DC80" s="229"/>
      <c r="DD80" s="229"/>
      <c r="DE80" s="229"/>
      <c r="DF80" s="229"/>
      <c r="DG80" s="229"/>
      <c r="DH80" s="229"/>
      <c r="DI80" s="229"/>
      <c r="DJ80" s="229"/>
      <c r="DK80" s="229"/>
      <c r="DL80" s="229"/>
      <c r="DM80" s="229"/>
      <c r="DN80" s="229"/>
      <c r="DO80" s="228">
        <f t="shared" si="215"/>
        <v>0</v>
      </c>
      <c r="DP80" s="228">
        <f t="shared" si="216"/>
        <v>389.3</v>
      </c>
      <c r="DQ80" s="229">
        <f t="shared" si="235"/>
        <v>54</v>
      </c>
      <c r="DR80" s="229">
        <f t="shared" si="236"/>
        <v>3.9</v>
      </c>
      <c r="DS80" s="229">
        <f t="shared" si="237"/>
        <v>0</v>
      </c>
      <c r="DT80" s="229">
        <f t="shared" si="238"/>
        <v>1.6</v>
      </c>
      <c r="DU80" s="229">
        <f t="shared" si="239"/>
        <v>0</v>
      </c>
      <c r="DV80" s="229">
        <f t="shared" si="240"/>
        <v>100</v>
      </c>
      <c r="DW80" s="229">
        <f t="shared" si="241"/>
        <v>0</v>
      </c>
      <c r="DX80" s="228">
        <f t="shared" si="217"/>
        <v>159.5</v>
      </c>
      <c r="DY80" s="229"/>
      <c r="DZ80" s="229"/>
      <c r="EA80" s="229"/>
      <c r="EB80" s="229"/>
      <c r="EC80" s="229"/>
      <c r="ED80" s="229"/>
      <c r="EE80" s="229"/>
      <c r="EF80" s="228">
        <f t="shared" si="220"/>
        <v>0</v>
      </c>
      <c r="EG80" s="228">
        <f t="shared" si="218"/>
        <v>159.5</v>
      </c>
      <c r="EH80" s="229">
        <f t="shared" si="221"/>
        <v>279.44</v>
      </c>
      <c r="EI80" s="229">
        <v>139</v>
      </c>
      <c r="EJ80" s="228">
        <f t="shared" si="206"/>
        <v>418.44</v>
      </c>
      <c r="EK80" s="229"/>
      <c r="EL80" s="229"/>
      <c r="EM80" s="228">
        <f t="shared" si="176"/>
        <v>0</v>
      </c>
      <c r="EN80" s="229">
        <f>EK80+EH80+EL80</f>
        <v>279.44</v>
      </c>
      <c r="EO80" s="229">
        <f>EI80</f>
        <v>139</v>
      </c>
      <c r="EP80" s="228">
        <f t="shared" si="177"/>
        <v>418.44</v>
      </c>
      <c r="EQ80" s="173">
        <f t="shared" si="222"/>
        <v>236.94</v>
      </c>
      <c r="ER80" s="189">
        <v>0</v>
      </c>
      <c r="ES80" s="189">
        <v>28.4</v>
      </c>
      <c r="ET80" s="189">
        <v>11.5</v>
      </c>
      <c r="EU80" s="189">
        <v>57</v>
      </c>
      <c r="EV80" s="189">
        <v>0</v>
      </c>
      <c r="EW80" s="189">
        <v>96.4</v>
      </c>
      <c r="EX80" s="189">
        <v>0</v>
      </c>
      <c r="EY80" s="189">
        <v>76</v>
      </c>
      <c r="EZ80" s="189">
        <v>0</v>
      </c>
      <c r="FA80" s="189">
        <v>60</v>
      </c>
      <c r="FB80" s="189">
        <v>0</v>
      </c>
      <c r="FC80" s="189">
        <v>60</v>
      </c>
      <c r="FD80" s="189">
        <v>54</v>
      </c>
      <c r="FE80" s="189">
        <v>3.9</v>
      </c>
      <c r="FF80" s="189">
        <v>0</v>
      </c>
      <c r="FG80" s="189">
        <v>1.6</v>
      </c>
      <c r="FH80" s="189">
        <v>100</v>
      </c>
      <c r="FI80" s="189">
        <v>0</v>
      </c>
      <c r="FJ80" s="189">
        <v>0</v>
      </c>
      <c r="FK80" s="189">
        <v>548.79999999999995</v>
      </c>
      <c r="FL80" s="189">
        <v>470</v>
      </c>
      <c r="FN80" s="132">
        <v>279.44</v>
      </c>
    </row>
    <row r="81" spans="1:170" ht="30.75" customHeight="1">
      <c r="A81" s="88">
        <f>COUNTIF($H$12:H81,H81)</f>
        <v>70</v>
      </c>
      <c r="B81" s="88" t="s">
        <v>2107</v>
      </c>
      <c r="C81" s="88" t="s">
        <v>432</v>
      </c>
      <c r="D81" s="88"/>
      <c r="E81" s="88"/>
      <c r="F81" s="301" t="s">
        <v>1145</v>
      </c>
      <c r="G81" s="89" t="s">
        <v>3085</v>
      </c>
      <c r="H81" s="88">
        <v>1</v>
      </c>
      <c r="I81" s="88">
        <v>1</v>
      </c>
      <c r="J81" s="88">
        <v>1</v>
      </c>
      <c r="K81" s="91" t="s">
        <v>1165</v>
      </c>
      <c r="L81" s="91" t="s">
        <v>1165</v>
      </c>
      <c r="M81" s="214"/>
      <c r="N81" s="88" t="s">
        <v>1804</v>
      </c>
      <c r="O81" s="216">
        <f t="shared" si="205"/>
        <v>3</v>
      </c>
      <c r="P81" s="88" t="str">
        <f t="shared" si="245"/>
        <v>B1_3</v>
      </c>
      <c r="Q81" s="88">
        <f t="shared" si="149"/>
        <v>270</v>
      </c>
      <c r="R81" s="88">
        <f t="shared" si="150"/>
        <v>100</v>
      </c>
      <c r="S81" s="232" t="s">
        <v>2668</v>
      </c>
      <c r="T81" s="88" t="s">
        <v>3088</v>
      </c>
      <c r="U81" s="88">
        <f>IF(RIGHT(T81,1)="K",(VLOOKUP(T81,ma_miengiam!$A$3:$B$80,2,0)*100)/2,VLOOKUP(T81,ma_miengiam!$A$3:$B$80,2,0)*100)</f>
        <v>0</v>
      </c>
      <c r="V81" s="88">
        <v>11</v>
      </c>
      <c r="W81" s="220">
        <f>IF(AND(T81="NTS",V81&gt;0),(Q81-(Q81*V81)/12)*VLOOKUP(T81,ma_miengiam!$A$3:$B$80,2,0)+(Q81-(Q81*(12-V81))/12),IF(AND(RIGHT(T81,1)="K",V81&gt;0),(VLOOKUP(T81,ma_miengiam!$A$3:$B$80,2,0)/2)*(Q81*V81)/12,IF(RIGHT(T81,1)="K",(VLOOKUP(T81,ma_miengiam!$A$3:$B$80,2,0)*Q81)/2,IF(V81&gt;0,VLOOKUP(T81,ma_miengiam!$A$3:$B$80,2,0)*Q81*V81/12,VLOOKUP(T81,ma_miengiam!$A$3:$B$80,2,0)*Q81))))</f>
        <v>0</v>
      </c>
      <c r="X81" s="220">
        <f>IF(T81="NTS",VLOOKUP(T81,ma_miengiam!$A$3:$B$80,2,0)*R81*V81,IF(AND(T81="NTS",V81=0),0,IF(AND(LEFT(T81,1)="K",V81=0),VLOOKUP(T81,ma_miengiam!$A$3:$B$80,2,0)*R81,IF(LEFT(T81,1)="K",(VLOOKUP(T81,ma_miengiam!$A$3:$B$80,2,0)*R81/12)*V81,IF(AND(LEFT(T81,1)="S",V81&gt;0),(R81/12)*V81,IF(AND(LEFT(T81,1)="S",V81=0),R81,IF(T81="DH",VLOOKUP(T81,ma_miengiam!$A$3:$B$80,2,0)*R81,0)))))))</f>
        <v>0</v>
      </c>
      <c r="Y81" s="220">
        <f t="shared" si="213"/>
        <v>247.5</v>
      </c>
      <c r="Z81" s="220">
        <f>IF(AND(T81="SĐH",V81&gt;0),(R81/12)*V81-X81,IF(AND(T81="DH",V81&gt;0),(R81*V81/12),IF(AND(T81&lt;&gt;"NTS",V81&gt;0),(R81*V81/12)-X81,IF(AND(T81="NTS",V81&gt;0),R81-X81,R81-X81))))</f>
        <v>91.666666666666671</v>
      </c>
      <c r="AA81" s="220">
        <f t="shared" si="243"/>
        <v>270</v>
      </c>
      <c r="AB81" s="220">
        <f t="shared" si="243"/>
        <v>100</v>
      </c>
      <c r="AC81" s="220">
        <f t="shared" si="246"/>
        <v>0</v>
      </c>
      <c r="AD81" s="220">
        <f t="shared" si="246"/>
        <v>0</v>
      </c>
      <c r="AE81" s="220">
        <f t="shared" si="246"/>
        <v>247.5</v>
      </c>
      <c r="AF81" s="220">
        <f t="shared" si="246"/>
        <v>91.666666666666671</v>
      </c>
      <c r="AG81" s="220">
        <f>AH81+AI81</f>
        <v>48.33</v>
      </c>
      <c r="AH81" s="220">
        <f>EO81</f>
        <v>20</v>
      </c>
      <c r="AI81" s="220">
        <f>EN81</f>
        <v>28.33</v>
      </c>
      <c r="AJ81" s="220">
        <f>IF(AG81-Z81&gt;0,0,AG81-Z81)</f>
        <v>-43.336666666666673</v>
      </c>
      <c r="AK81" s="216">
        <f t="shared" si="247"/>
        <v>290.8366666666667</v>
      </c>
      <c r="AL81" s="220">
        <f t="shared" si="248"/>
        <v>246</v>
      </c>
      <c r="AM81" s="220">
        <f t="shared" si="249"/>
        <v>0</v>
      </c>
      <c r="AN81" s="221">
        <f t="shared" si="250"/>
        <v>246</v>
      </c>
      <c r="AO81" s="220">
        <f t="shared" si="251"/>
        <v>0</v>
      </c>
      <c r="AP81" s="220">
        <f t="shared" si="252"/>
        <v>0</v>
      </c>
      <c r="AQ81" s="220">
        <f t="shared" si="253"/>
        <v>80</v>
      </c>
      <c r="AR81" s="220">
        <f t="shared" si="254"/>
        <v>0</v>
      </c>
      <c r="AS81" s="220">
        <f t="shared" si="255"/>
        <v>0</v>
      </c>
      <c r="AT81" s="216">
        <f t="shared" si="256"/>
        <v>326</v>
      </c>
      <c r="AU81" s="222">
        <f t="shared" si="209"/>
        <v>-44.836666666666702</v>
      </c>
      <c r="AV81" s="220"/>
      <c r="AW81" s="220">
        <f t="shared" si="183"/>
        <v>-44.836666666666702</v>
      </c>
      <c r="AX81" s="216">
        <f t="shared" si="9"/>
        <v>-44.836666666666702</v>
      </c>
      <c r="AY81" s="220">
        <f t="shared" si="193"/>
        <v>0</v>
      </c>
      <c r="AZ81" s="220">
        <f t="shared" si="194"/>
        <v>0</v>
      </c>
      <c r="BA81" s="220">
        <f t="shared" si="195"/>
        <v>35.163333333333298</v>
      </c>
      <c r="BB81" s="220">
        <f t="shared" si="196"/>
        <v>0</v>
      </c>
      <c r="BC81" s="220">
        <f t="shared" si="197"/>
        <v>0</v>
      </c>
      <c r="BD81" s="216">
        <f t="shared" si="184"/>
        <v>35.163333333333298</v>
      </c>
      <c r="BE81" s="220">
        <f t="shared" si="185"/>
        <v>0</v>
      </c>
      <c r="BF81" s="220">
        <f t="shared" si="186"/>
        <v>0</v>
      </c>
      <c r="BG81" s="220">
        <f t="shared" si="187"/>
        <v>-44.836666666666702</v>
      </c>
      <c r="BH81" s="220">
        <f t="shared" si="188"/>
        <v>0</v>
      </c>
      <c r="BI81" s="220">
        <f t="shared" si="189"/>
        <v>0</v>
      </c>
      <c r="BJ81" s="220" t="s">
        <v>811</v>
      </c>
      <c r="BK81" s="220"/>
      <c r="BL81" s="223">
        <f t="shared" si="257"/>
        <v>0</v>
      </c>
      <c r="BM81" s="220">
        <v>3</v>
      </c>
      <c r="BN81" s="220"/>
      <c r="BO81" s="220">
        <f t="shared" si="200"/>
        <v>3</v>
      </c>
      <c r="BP81" s="220">
        <f>IF(AND(BL81&gt;0,BL81&lt;tiet!$D$1),BL81,IF(BL81&lt;=0,0,IF(BL81&gt;tiet!$C$1,tiet!$C$1)))</f>
        <v>0</v>
      </c>
      <c r="BQ81" s="87">
        <f t="shared" si="170"/>
        <v>60000</v>
      </c>
      <c r="BR81" s="224">
        <f t="shared" si="171"/>
        <v>0</v>
      </c>
      <c r="BS81" s="220">
        <f t="shared" si="219"/>
        <v>0</v>
      </c>
      <c r="BT81" s="224">
        <f>VLOOKUP(N81,ma_dinhmuc!$A$1:$J$31,10,0)</f>
        <v>51000</v>
      </c>
      <c r="BU81" s="224">
        <f>ROUND(IF(BS81&gt;0,VLOOKUP(N81,ma_dinhmuc!$A$1:$J$31,10,0)*BS81,0),0)</f>
        <v>0</v>
      </c>
      <c r="BV81" s="224">
        <f t="shared" si="172"/>
        <v>0</v>
      </c>
      <c r="BW81" s="224"/>
      <c r="BX81" s="224">
        <v>0</v>
      </c>
      <c r="BY81" s="224"/>
      <c r="BZ81" s="224"/>
      <c r="CA81" s="224"/>
      <c r="CB81" s="224"/>
      <c r="CC81" s="225">
        <f>ROUND(IF(BV81+BW81&gt;BX81+BY81+BZ81+CA81+CB81,(BW81+BV81)-(BX81+BY81+BZ81+CA81+CB81+CB81),0),0)</f>
        <v>0</v>
      </c>
      <c r="CD81" s="224">
        <f>ROUND(IF(BV81+BW81&lt;BX81+BY81+BZ81+CA81-CB81,(BX81+BY81+BZ81+CA81-CB81)-(BW81+BV81),0),0)</f>
        <v>0</v>
      </c>
      <c r="CE81" s="224"/>
      <c r="CF81" s="226"/>
      <c r="CG81" s="87"/>
      <c r="CH81" s="87">
        <f t="shared" si="166"/>
        <v>70</v>
      </c>
      <c r="CI81" s="227" t="str">
        <f t="shared" si="258"/>
        <v>Vũ Quỳnh</v>
      </c>
      <c r="CJ81" s="227" t="str">
        <f t="shared" si="259"/>
        <v>Hoa</v>
      </c>
      <c r="CK81" s="87">
        <f t="shared" si="242"/>
        <v>1</v>
      </c>
      <c r="CL81" s="227" t="str">
        <f t="shared" si="210"/>
        <v>RHQ và Cảnh quan</v>
      </c>
      <c r="CM81" s="87" t="str">
        <f t="shared" si="190"/>
        <v>CS2</v>
      </c>
      <c r="CN81" s="87">
        <f t="shared" si="211"/>
        <v>270</v>
      </c>
      <c r="CO81" s="87">
        <f t="shared" si="211"/>
        <v>100</v>
      </c>
      <c r="CP81" s="229">
        <f t="shared" si="223"/>
        <v>0</v>
      </c>
      <c r="CQ81" s="229">
        <f t="shared" si="224"/>
        <v>18.5</v>
      </c>
      <c r="CR81" s="229">
        <f t="shared" si="225"/>
        <v>7.5</v>
      </c>
      <c r="CS81" s="229">
        <f t="shared" si="226"/>
        <v>61.5</v>
      </c>
      <c r="CT81" s="229">
        <f t="shared" si="227"/>
        <v>0</v>
      </c>
      <c r="CU81" s="229">
        <f t="shared" si="228"/>
        <v>74.5</v>
      </c>
      <c r="CV81" s="229">
        <f t="shared" si="229"/>
        <v>0</v>
      </c>
      <c r="CW81" s="229">
        <f t="shared" si="230"/>
        <v>84</v>
      </c>
      <c r="CX81" s="229">
        <f t="shared" si="231"/>
        <v>0</v>
      </c>
      <c r="CY81" s="229">
        <f t="shared" si="232"/>
        <v>0</v>
      </c>
      <c r="CZ81" s="229">
        <f t="shared" si="233"/>
        <v>0</v>
      </c>
      <c r="DA81" s="229">
        <f t="shared" si="234"/>
        <v>80</v>
      </c>
      <c r="DB81" s="228">
        <f t="shared" si="214"/>
        <v>326</v>
      </c>
      <c r="DC81" s="229"/>
      <c r="DD81" s="229"/>
      <c r="DE81" s="229"/>
      <c r="DF81" s="229"/>
      <c r="DG81" s="229"/>
      <c r="DH81" s="229"/>
      <c r="DI81" s="229"/>
      <c r="DJ81" s="229"/>
      <c r="DK81" s="229"/>
      <c r="DL81" s="229"/>
      <c r="DM81" s="229"/>
      <c r="DN81" s="229"/>
      <c r="DO81" s="228">
        <f t="shared" si="215"/>
        <v>0</v>
      </c>
      <c r="DP81" s="228">
        <f t="shared" si="216"/>
        <v>326</v>
      </c>
      <c r="DQ81" s="229">
        <f t="shared" si="235"/>
        <v>0</v>
      </c>
      <c r="DR81" s="229">
        <f t="shared" si="236"/>
        <v>0</v>
      </c>
      <c r="DS81" s="229">
        <f t="shared" si="237"/>
        <v>0</v>
      </c>
      <c r="DT81" s="229">
        <f t="shared" si="238"/>
        <v>0</v>
      </c>
      <c r="DU81" s="229">
        <f t="shared" si="239"/>
        <v>0</v>
      </c>
      <c r="DV81" s="229">
        <f t="shared" si="240"/>
        <v>0</v>
      </c>
      <c r="DW81" s="229">
        <f t="shared" si="241"/>
        <v>0</v>
      </c>
      <c r="DX81" s="228">
        <f t="shared" si="217"/>
        <v>0</v>
      </c>
      <c r="DY81" s="229"/>
      <c r="DZ81" s="229"/>
      <c r="EA81" s="229"/>
      <c r="EB81" s="229"/>
      <c r="EC81" s="229"/>
      <c r="ED81" s="229"/>
      <c r="EE81" s="229"/>
      <c r="EF81" s="228">
        <f t="shared" si="220"/>
        <v>0</v>
      </c>
      <c r="EG81" s="228">
        <f t="shared" si="218"/>
        <v>0</v>
      </c>
      <c r="EH81" s="229">
        <f t="shared" si="221"/>
        <v>28.33</v>
      </c>
      <c r="EI81" s="229">
        <v>20</v>
      </c>
      <c r="EJ81" s="228">
        <f t="shared" si="206"/>
        <v>48.33</v>
      </c>
      <c r="EK81" s="229"/>
      <c r="EL81" s="229"/>
      <c r="EM81" s="228">
        <f t="shared" si="176"/>
        <v>0</v>
      </c>
      <c r="EN81" s="229">
        <f t="shared" si="192"/>
        <v>28.33</v>
      </c>
      <c r="EO81" s="229">
        <f t="shared" si="212"/>
        <v>20</v>
      </c>
      <c r="EP81" s="228">
        <f t="shared" si="177"/>
        <v>48.33</v>
      </c>
      <c r="EQ81" s="173">
        <f t="shared" si="222"/>
        <v>0</v>
      </c>
      <c r="ER81" s="189">
        <v>0</v>
      </c>
      <c r="ES81" s="189">
        <v>18.5</v>
      </c>
      <c r="ET81" s="189">
        <v>7.5</v>
      </c>
      <c r="EU81" s="189">
        <v>61.5</v>
      </c>
      <c r="EV81" s="189">
        <v>0</v>
      </c>
      <c r="EW81" s="189">
        <v>74.5</v>
      </c>
      <c r="EX81" s="189">
        <v>0</v>
      </c>
      <c r="EY81" s="189">
        <v>84</v>
      </c>
      <c r="EZ81" s="189">
        <v>0</v>
      </c>
      <c r="FA81" s="189">
        <v>0</v>
      </c>
      <c r="FB81" s="189">
        <v>0</v>
      </c>
      <c r="FC81" s="189">
        <v>80</v>
      </c>
      <c r="FD81" s="189">
        <v>0</v>
      </c>
      <c r="FE81" s="189">
        <v>0</v>
      </c>
      <c r="FF81" s="189">
        <v>0</v>
      </c>
      <c r="FG81" s="189">
        <v>0</v>
      </c>
      <c r="FH81" s="189">
        <v>0</v>
      </c>
      <c r="FI81" s="189">
        <v>0</v>
      </c>
      <c r="FJ81" s="189">
        <v>0</v>
      </c>
      <c r="FK81" s="189">
        <v>326</v>
      </c>
      <c r="FL81" s="189">
        <v>293.5</v>
      </c>
      <c r="FN81" s="132">
        <v>28.33</v>
      </c>
    </row>
    <row r="82" spans="1:170" ht="30" customHeight="1">
      <c r="A82" s="88">
        <f>COUNTIF($H$12:H82,H82)</f>
        <v>71</v>
      </c>
      <c r="B82" s="88" t="s">
        <v>2108</v>
      </c>
      <c r="C82" s="88" t="s">
        <v>433</v>
      </c>
      <c r="D82" s="88"/>
      <c r="E82" s="88"/>
      <c r="F82" s="301" t="s">
        <v>1572</v>
      </c>
      <c r="G82" s="89" t="s">
        <v>1573</v>
      </c>
      <c r="H82" s="88">
        <v>1</v>
      </c>
      <c r="I82" s="88"/>
      <c r="J82" s="88">
        <v>1</v>
      </c>
      <c r="K82" s="91"/>
      <c r="L82" s="91" t="s">
        <v>1165</v>
      </c>
      <c r="M82" s="214"/>
      <c r="N82" s="88" t="s">
        <v>1804</v>
      </c>
      <c r="O82" s="216">
        <f t="shared" si="205"/>
        <v>3</v>
      </c>
      <c r="P82" s="88" t="str">
        <f t="shared" si="245"/>
        <v>B1_3</v>
      </c>
      <c r="Q82" s="88">
        <f t="shared" si="149"/>
        <v>270</v>
      </c>
      <c r="R82" s="88">
        <f t="shared" si="150"/>
        <v>100</v>
      </c>
      <c r="S82" s="230"/>
      <c r="T82" s="88" t="s">
        <v>3088</v>
      </c>
      <c r="U82" s="88">
        <f>IF(RIGHT(T82,1)="K",(VLOOKUP(T82,ma_miengiam!$A$3:$B$80,2,0)*100)/2,VLOOKUP(T82,ma_miengiam!$A$3:$B$80,2,0)*100)</f>
        <v>0</v>
      </c>
      <c r="V82" s="88">
        <v>5</v>
      </c>
      <c r="W82" s="220">
        <f>IF(AND(T82="NTS",V82&gt;0),(Q82-(Q82*V82)/12)*VLOOKUP(T82,ma_miengiam!$A$3:$B$80,2,0)+(Q82-(Q82*(12-V82))/12),IF(AND(RIGHT(T82,1)="K",V82&gt;0),(VLOOKUP(T82,ma_miengiam!$A$3:$B$80,2,0)/2)*(Q82*V82)/12,IF(RIGHT(T82,1)="K",(VLOOKUP(T82,ma_miengiam!$A$3:$B$80,2,0)*Q82)/2,IF(V82&gt;0,VLOOKUP(T82,ma_miengiam!$A$3:$B$80,2,0)*Q82*V82/12,VLOOKUP(T82,ma_miengiam!$A$3:$B$80,2,0)*Q82))))</f>
        <v>0</v>
      </c>
      <c r="X82" s="220">
        <f>IF(T82="NTS",VLOOKUP(T82,ma_miengiam!$A$3:$B$80,2,0)*R82*V82,IF(AND(T82="NTS",V82=0),0,IF(AND(LEFT(T82,1)="K",V82=0),VLOOKUP(T82,ma_miengiam!$A$3:$B$80,2,0)*R82,IF(LEFT(T82,1)="K",(VLOOKUP(T82,ma_miengiam!$A$3:$B$80,2,0)*R82/12)*V82,IF(AND(LEFT(T82,1)="S",V82&gt;0),(R82/12)*V82,IF(AND(LEFT(T82,1)="S",V82=0),R82,IF(T82="DH",VLOOKUP(T82,ma_miengiam!$A$3:$B$80,2,0)*R82,0)))))))</f>
        <v>0</v>
      </c>
      <c r="Y82" s="220">
        <f t="shared" si="213"/>
        <v>112.5</v>
      </c>
      <c r="Z82" s="220">
        <f t="shared" si="90"/>
        <v>41.666666666666664</v>
      </c>
      <c r="AA82" s="220"/>
      <c r="AB82" s="220"/>
      <c r="AC82" s="220"/>
      <c r="AD82" s="220"/>
      <c r="AE82" s="220"/>
      <c r="AF82" s="220"/>
      <c r="AG82" s="220"/>
      <c r="AH82" s="220"/>
      <c r="AI82" s="220"/>
      <c r="AJ82" s="220"/>
      <c r="AK82" s="216"/>
      <c r="AL82" s="220"/>
      <c r="AM82" s="220"/>
      <c r="AN82" s="221"/>
      <c r="AO82" s="220"/>
      <c r="AP82" s="220"/>
      <c r="AQ82" s="220"/>
      <c r="AR82" s="220"/>
      <c r="AS82" s="220"/>
      <c r="AT82" s="216"/>
      <c r="AU82" s="222"/>
      <c r="AV82" s="220"/>
      <c r="AW82" s="220"/>
      <c r="AX82" s="216"/>
      <c r="AY82" s="220"/>
      <c r="AZ82" s="220"/>
      <c r="BA82" s="220"/>
      <c r="BB82" s="220"/>
      <c r="BC82" s="220"/>
      <c r="BD82" s="216"/>
      <c r="BE82" s="220"/>
      <c r="BF82" s="220"/>
      <c r="BG82" s="220"/>
      <c r="BH82" s="220"/>
      <c r="BI82" s="220"/>
      <c r="BJ82" s="220" t="s">
        <v>2409</v>
      </c>
      <c r="BK82" s="220"/>
      <c r="BL82" s="223">
        <f t="shared" si="257"/>
        <v>0</v>
      </c>
      <c r="BM82" s="220">
        <v>3</v>
      </c>
      <c r="BN82" s="220"/>
      <c r="BO82" s="220">
        <f t="shared" si="200"/>
        <v>3</v>
      </c>
      <c r="BP82" s="220">
        <f>IF(AND(BL82&gt;0,BL82&lt;tiet!$D$1),BL82,IF(BL82&lt;=0,0,IF(BL82&gt;tiet!$C$1,tiet!$C$1)))</f>
        <v>0</v>
      </c>
      <c r="BQ82" s="87">
        <f t="shared" si="170"/>
        <v>60000</v>
      </c>
      <c r="BR82" s="224">
        <f t="shared" si="171"/>
        <v>0</v>
      </c>
      <c r="BS82" s="220">
        <f t="shared" si="219"/>
        <v>0</v>
      </c>
      <c r="BT82" s="224">
        <f>VLOOKUP(N82,ma_dinhmuc!$A$1:$J$31,10,0)</f>
        <v>51000</v>
      </c>
      <c r="BU82" s="224">
        <f>ROUND(IF(BS82&gt;0,VLOOKUP(N82,ma_dinhmuc!$A$1:$J$31,10,0)*BS82,0),0)</f>
        <v>0</v>
      </c>
      <c r="BV82" s="224">
        <f t="shared" si="172"/>
        <v>0</v>
      </c>
      <c r="BW82" s="224"/>
      <c r="BX82" s="224">
        <v>0</v>
      </c>
      <c r="BY82" s="224"/>
      <c r="BZ82" s="224"/>
      <c r="CA82" s="224"/>
      <c r="CB82" s="224"/>
      <c r="CC82" s="225">
        <f t="shared" si="198"/>
        <v>0</v>
      </c>
      <c r="CD82" s="224">
        <f t="shared" si="199"/>
        <v>0</v>
      </c>
      <c r="CE82" s="224"/>
      <c r="CF82" s="226"/>
      <c r="CG82" s="87"/>
      <c r="CH82" s="87">
        <f t="shared" si="166"/>
        <v>71</v>
      </c>
      <c r="CI82" s="227" t="str">
        <f t="shared" si="258"/>
        <v>Nguyễn Anh</v>
      </c>
      <c r="CJ82" s="227" t="str">
        <f t="shared" si="259"/>
        <v>Đức</v>
      </c>
      <c r="CK82" s="87">
        <f t="shared" si="242"/>
        <v>1</v>
      </c>
      <c r="CL82" s="227" t="str">
        <f t="shared" si="210"/>
        <v>RHQ và Cảnh quan</v>
      </c>
      <c r="CM82" s="87" t="str">
        <f t="shared" si="190"/>
        <v>CS2</v>
      </c>
      <c r="CN82" s="87">
        <f t="shared" si="211"/>
        <v>270</v>
      </c>
      <c r="CO82" s="87">
        <f t="shared" si="211"/>
        <v>100</v>
      </c>
      <c r="CP82" s="229">
        <f t="shared" si="223"/>
        <v>0</v>
      </c>
      <c r="CQ82" s="229">
        <f t="shared" si="224"/>
        <v>0</v>
      </c>
      <c r="CR82" s="229">
        <f t="shared" si="225"/>
        <v>0</v>
      </c>
      <c r="CS82" s="229">
        <f t="shared" si="226"/>
        <v>0</v>
      </c>
      <c r="CT82" s="229">
        <f t="shared" si="227"/>
        <v>0</v>
      </c>
      <c r="CU82" s="229">
        <f t="shared" si="228"/>
        <v>0</v>
      </c>
      <c r="CV82" s="229">
        <f t="shared" si="229"/>
        <v>0</v>
      </c>
      <c r="CW82" s="229">
        <f t="shared" si="230"/>
        <v>0</v>
      </c>
      <c r="CX82" s="229">
        <f t="shared" si="231"/>
        <v>0</v>
      </c>
      <c r="CY82" s="229">
        <f t="shared" si="232"/>
        <v>0</v>
      </c>
      <c r="CZ82" s="229">
        <f t="shared" si="233"/>
        <v>0</v>
      </c>
      <c r="DA82" s="229">
        <f t="shared" si="234"/>
        <v>0</v>
      </c>
      <c r="DB82" s="228">
        <f t="shared" si="214"/>
        <v>0</v>
      </c>
      <c r="DC82" s="229"/>
      <c r="DD82" s="229"/>
      <c r="DE82" s="229"/>
      <c r="DF82" s="229"/>
      <c r="DG82" s="229"/>
      <c r="DH82" s="229"/>
      <c r="DI82" s="229"/>
      <c r="DJ82" s="229"/>
      <c r="DK82" s="229"/>
      <c r="DL82" s="229"/>
      <c r="DM82" s="229"/>
      <c r="DN82" s="229"/>
      <c r="DO82" s="228">
        <f t="shared" si="215"/>
        <v>0</v>
      </c>
      <c r="DP82" s="228">
        <f t="shared" si="216"/>
        <v>0</v>
      </c>
      <c r="DQ82" s="229">
        <f t="shared" si="235"/>
        <v>0</v>
      </c>
      <c r="DR82" s="229">
        <f t="shared" si="236"/>
        <v>0</v>
      </c>
      <c r="DS82" s="229">
        <f t="shared" si="237"/>
        <v>0</v>
      </c>
      <c r="DT82" s="229">
        <f t="shared" si="238"/>
        <v>0</v>
      </c>
      <c r="DU82" s="229">
        <f t="shared" si="239"/>
        <v>0</v>
      </c>
      <c r="DV82" s="229">
        <f t="shared" si="240"/>
        <v>0</v>
      </c>
      <c r="DW82" s="229">
        <f t="shared" si="241"/>
        <v>0</v>
      </c>
      <c r="DX82" s="228">
        <f t="shared" si="217"/>
        <v>0</v>
      </c>
      <c r="DY82" s="229"/>
      <c r="DZ82" s="229"/>
      <c r="EA82" s="229"/>
      <c r="EB82" s="229"/>
      <c r="EC82" s="229"/>
      <c r="ED82" s="229"/>
      <c r="EE82" s="229"/>
      <c r="EF82" s="228">
        <f t="shared" si="220"/>
        <v>0</v>
      </c>
      <c r="EG82" s="228">
        <f t="shared" si="218"/>
        <v>0</v>
      </c>
      <c r="EH82" s="229">
        <f t="shared" si="221"/>
        <v>0</v>
      </c>
      <c r="EI82" s="229">
        <v>4.4000000000000057</v>
      </c>
      <c r="EJ82" s="228">
        <f t="shared" si="206"/>
        <v>4.4000000000000057</v>
      </c>
      <c r="EK82" s="229"/>
      <c r="EL82" s="229"/>
      <c r="EM82" s="228">
        <f t="shared" si="176"/>
        <v>0</v>
      </c>
      <c r="EN82" s="229">
        <f t="shared" si="192"/>
        <v>0</v>
      </c>
      <c r="EO82" s="229">
        <f t="shared" si="212"/>
        <v>4.4000000000000057</v>
      </c>
      <c r="EP82" s="228">
        <f t="shared" si="177"/>
        <v>4.4000000000000057</v>
      </c>
      <c r="EQ82" s="173">
        <f t="shared" si="222"/>
        <v>0</v>
      </c>
      <c r="ER82" s="189">
        <v>0</v>
      </c>
      <c r="ES82" s="189">
        <v>0</v>
      </c>
      <c r="ET82" s="189">
        <v>0</v>
      </c>
      <c r="EU82" s="189">
        <v>0</v>
      </c>
      <c r="EV82" s="189">
        <v>0</v>
      </c>
      <c r="EW82" s="189">
        <v>0</v>
      </c>
      <c r="EX82" s="189">
        <v>0</v>
      </c>
      <c r="EY82" s="189">
        <v>0</v>
      </c>
      <c r="EZ82" s="189">
        <v>0</v>
      </c>
      <c r="FA82" s="189">
        <v>0</v>
      </c>
      <c r="FB82" s="189">
        <v>0</v>
      </c>
      <c r="FC82" s="189">
        <v>0</v>
      </c>
      <c r="FD82" s="189">
        <v>0</v>
      </c>
      <c r="FE82" s="189">
        <v>0</v>
      </c>
      <c r="FF82" s="189">
        <v>0</v>
      </c>
      <c r="FG82" s="189">
        <v>0</v>
      </c>
      <c r="FH82" s="189">
        <v>0</v>
      </c>
      <c r="FI82" s="189">
        <v>0</v>
      </c>
      <c r="FJ82" s="189">
        <v>0</v>
      </c>
      <c r="FK82" s="189">
        <v>0</v>
      </c>
      <c r="FL82" s="189">
        <v>0</v>
      </c>
      <c r="FN82" s="132">
        <v>0</v>
      </c>
    </row>
    <row r="83" spans="1:170" ht="30" customHeight="1">
      <c r="A83" s="88">
        <f>COUNTIF($H$12:H83,H83)</f>
        <v>72</v>
      </c>
      <c r="B83" s="88" t="s">
        <v>2108</v>
      </c>
      <c r="C83" s="88" t="s">
        <v>433</v>
      </c>
      <c r="D83" s="88"/>
      <c r="E83" s="88"/>
      <c r="F83" s="301" t="s">
        <v>1572</v>
      </c>
      <c r="G83" s="89" t="s">
        <v>1573</v>
      </c>
      <c r="H83" s="88">
        <v>1</v>
      </c>
      <c r="I83" s="88"/>
      <c r="J83" s="88">
        <v>1</v>
      </c>
      <c r="K83" s="91"/>
      <c r="L83" s="91" t="s">
        <v>1165</v>
      </c>
      <c r="M83" s="214"/>
      <c r="N83" s="88" t="s">
        <v>1804</v>
      </c>
      <c r="O83" s="216">
        <f t="shared" si="205"/>
        <v>3</v>
      </c>
      <c r="P83" s="88" t="str">
        <f>IF(AND(BO83&gt;=2.34,BO83&lt;3.33),"B1_3",IF(AND(BO83&gt;=3.33,BO83&lt;4.65),"B1_4",IF(AND(BO83&gt;=4.65,BO83&lt;5.42),"B1_5",IF(AND(BO83&gt;=5.42,BO83&lt;6.44),"B1_6",IF(AND(BO83&gt;=6.44,BO83&lt;=6.92),"B1_7","B1_8")))))</f>
        <v>B1_3</v>
      </c>
      <c r="Q83" s="88">
        <f>IF(M83&gt;0,VLOOKUP(P83,ma_dinhmuc_moi,2,0)/2,VLOOKUP(P83,ma_dinhmuc_moi,2,0))</f>
        <v>270</v>
      </c>
      <c r="R83" s="88">
        <f>IF(M83&gt;0,VLOOKUP(P83,ma_dinhmuc_moi,3,0)/2,VLOOKUP(P83,ma_dinhmuc_moi,3,0))</f>
        <v>100</v>
      </c>
      <c r="S83" s="230" t="s">
        <v>2666</v>
      </c>
      <c r="T83" s="88" t="s">
        <v>3090</v>
      </c>
      <c r="U83" s="88">
        <f>IF(RIGHT(T83,1)="K",(VLOOKUP(T83,ma_miengiam!$A$3:$B$80,2,0)*100)/2,VLOOKUP(T83,ma_miengiam!$A$3:$B$80,2,0)*100)</f>
        <v>15</v>
      </c>
      <c r="V83" s="88">
        <v>7</v>
      </c>
      <c r="W83" s="220">
        <f>IF(AND(T83="NTS",V83&gt;0),(Q83-(Q83*V83)/12)*VLOOKUP(T83,ma_miengiam!$A$3:$B$80,2,0)+(Q83-(Q83*(12-V83))/12),IF(AND(RIGHT(T83,1)="K",V83&gt;0),(VLOOKUP(T83,ma_miengiam!$A$3:$B$80,2,0)/2)*(Q83*V83)/12,IF(RIGHT(T83,1)="K",(VLOOKUP(T83,ma_miengiam!$A$3:$B$80,2,0)*Q83)/2,IF(V83&gt;0,VLOOKUP(T83,ma_miengiam!$A$3:$B$80,2,0)*Q83*V83/12,VLOOKUP(T83,ma_miengiam!$A$3:$B$80,2,0)*Q83))))</f>
        <v>23.625</v>
      </c>
      <c r="X83" s="220">
        <f>IF(T83="NTS",VLOOKUP(T83,ma_miengiam!$A$3:$B$80,2,0)*R83*V83,IF(AND(T83="NTS",V83=0),0,IF(AND(LEFT(T83,1)="K",V83=0),VLOOKUP(T83,ma_miengiam!$A$3:$B$80,2,0)*R83,IF(LEFT(T83,1)="K",(VLOOKUP(T83,ma_miengiam!$A$3:$B$80,2,0)*R83/12)*V83,IF(AND(LEFT(T83,1)="S",V83&gt;0),(R83/12)*V83,IF(AND(LEFT(T83,1)="S",V83=0),R83,IF(T83="DH",VLOOKUP(T83,ma_miengiam!$A$3:$B$80,2,0)*R83,0)))))))</f>
        <v>0</v>
      </c>
      <c r="Y83" s="220">
        <f>IF(AND(T83="DH",V83&gt;0),(S83*V83/12),IF(AND(T83&lt;&gt;"NTS",V83&gt;0),(Q83*V83/12)-W83,IF(AND(T83="NTS",V83&gt;0),Q83-W83,Q83-W83)))</f>
        <v>133.875</v>
      </c>
      <c r="Z83" s="220">
        <f>IF(AND(T83="SĐH",V83&gt;0),(R83/12)*V83-X83,IF(AND(T83="DH",V83&gt;0),(R83*V83/12),IF(AND(T83&lt;&gt;"NTS",V83&gt;0),(R83*V83/12)-X83,IF(AND(T83="NTS",V83&gt;0),R83-X83,R83-X83))))</f>
        <v>58.333333333333336</v>
      </c>
      <c r="AA83" s="220"/>
      <c r="AB83" s="220"/>
      <c r="AC83" s="220"/>
      <c r="AD83" s="220"/>
      <c r="AE83" s="220"/>
      <c r="AF83" s="220"/>
      <c r="AG83" s="220"/>
      <c r="AH83" s="220"/>
      <c r="AI83" s="220"/>
      <c r="AJ83" s="220"/>
      <c r="AK83" s="216"/>
      <c r="AL83" s="220"/>
      <c r="AM83" s="220"/>
      <c r="AN83" s="221"/>
      <c r="AO83" s="220"/>
      <c r="AP83" s="220"/>
      <c r="AQ83" s="220"/>
      <c r="AR83" s="220"/>
      <c r="AS83" s="220"/>
      <c r="AT83" s="216"/>
      <c r="AU83" s="222"/>
      <c r="AV83" s="220"/>
      <c r="AW83" s="220"/>
      <c r="AX83" s="216"/>
      <c r="AY83" s="220"/>
      <c r="AZ83" s="220"/>
      <c r="BA83" s="220"/>
      <c r="BB83" s="220"/>
      <c r="BC83" s="220"/>
      <c r="BD83" s="216"/>
      <c r="BE83" s="220"/>
      <c r="BF83" s="220"/>
      <c r="BG83" s="220"/>
      <c r="BH83" s="220"/>
      <c r="BI83" s="220"/>
      <c r="BJ83" s="220" t="s">
        <v>2409</v>
      </c>
      <c r="BK83" s="220"/>
      <c r="BL83" s="223">
        <f>IF(AW83&lt;BK83,0,IF(AND(BK83=0,AW83&gt;0),AW83,IF(AW83&lt;0,0,IF(BK83&gt;0,AW83-BK83,IF(BK83&lt;0,0,AW83)))))</f>
        <v>0</v>
      </c>
      <c r="BM83" s="220">
        <v>3</v>
      </c>
      <c r="BN83" s="220"/>
      <c r="BO83" s="220">
        <f>ROUND(BM83+(BM83*BN83),2)</f>
        <v>3</v>
      </c>
      <c r="BP83" s="220">
        <f>IF(AND(BL83&gt;0,BL83&lt;tiet!$D$1),BL83,IF(BL83&lt;=0,0,IF(BL83&gt;tiet!$C$1,tiet!$C$1)))</f>
        <v>0</v>
      </c>
      <c r="BQ83" s="87">
        <f t="shared" si="170"/>
        <v>60000</v>
      </c>
      <c r="BR83" s="224">
        <f t="shared" si="171"/>
        <v>0</v>
      </c>
      <c r="BS83" s="220">
        <f t="shared" si="219"/>
        <v>0</v>
      </c>
      <c r="BT83" s="224">
        <f>VLOOKUP(N83,ma_dinhmuc!$A$1:$J$31,10,0)</f>
        <v>51000</v>
      </c>
      <c r="BU83" s="224">
        <f>ROUND(IF(BS83&gt;0,VLOOKUP(N83,ma_dinhmuc!$A$1:$J$31,10,0)*BS83,0),0)</f>
        <v>0</v>
      </c>
      <c r="BV83" s="224">
        <f t="shared" si="172"/>
        <v>0</v>
      </c>
      <c r="BW83" s="224"/>
      <c r="BX83" s="224">
        <v>0</v>
      </c>
      <c r="BY83" s="224"/>
      <c r="BZ83" s="224"/>
      <c r="CA83" s="224"/>
      <c r="CB83" s="224"/>
      <c r="CC83" s="225">
        <f>ROUND(IF(BV83+BW83&gt;BX83+BY83+BZ83+CA83+CB83,(BW83+BV83)-(BX83+BY83+BZ83+CA83+CB83+CB83),0),0)</f>
        <v>0</v>
      </c>
      <c r="CD83" s="224">
        <f>ROUND(IF(BV83+BW83&lt;BX83+BY83+BZ83+CA83-CB83,(BX83+BY83+BZ83+CA83-CB83)-(BW83+BV83),0),0)</f>
        <v>0</v>
      </c>
      <c r="CE83" s="224"/>
      <c r="CF83" s="226"/>
      <c r="CG83" s="87"/>
      <c r="CH83" s="87">
        <f t="shared" si="166"/>
        <v>72</v>
      </c>
      <c r="CI83" s="227" t="str">
        <f>F83</f>
        <v>Nguyễn Anh</v>
      </c>
      <c r="CJ83" s="227" t="str">
        <f>G83</f>
        <v>Đức</v>
      </c>
      <c r="CK83" s="87">
        <f t="shared" si="242"/>
        <v>1</v>
      </c>
      <c r="CL83" s="227" t="str">
        <f>L83</f>
        <v>RHQ và Cảnh quan</v>
      </c>
      <c r="CM83" s="87" t="str">
        <f>N83</f>
        <v>CS2</v>
      </c>
      <c r="CN83" s="87">
        <f>Q83</f>
        <v>270</v>
      </c>
      <c r="CO83" s="87">
        <f>R83</f>
        <v>100</v>
      </c>
      <c r="CP83" s="229">
        <f t="shared" si="223"/>
        <v>0</v>
      </c>
      <c r="CQ83" s="229">
        <f t="shared" si="224"/>
        <v>0</v>
      </c>
      <c r="CR83" s="229">
        <f t="shared" si="225"/>
        <v>0</v>
      </c>
      <c r="CS83" s="229">
        <f t="shared" si="226"/>
        <v>0</v>
      </c>
      <c r="CT83" s="229">
        <f t="shared" si="227"/>
        <v>0</v>
      </c>
      <c r="CU83" s="229">
        <f t="shared" si="228"/>
        <v>0</v>
      </c>
      <c r="CV83" s="229">
        <f t="shared" si="229"/>
        <v>0</v>
      </c>
      <c r="CW83" s="229">
        <f t="shared" si="230"/>
        <v>0</v>
      </c>
      <c r="CX83" s="229">
        <f t="shared" si="231"/>
        <v>0</v>
      </c>
      <c r="CY83" s="229">
        <f t="shared" si="232"/>
        <v>0</v>
      </c>
      <c r="CZ83" s="229">
        <f t="shared" si="233"/>
        <v>0</v>
      </c>
      <c r="DA83" s="229">
        <f t="shared" si="234"/>
        <v>0</v>
      </c>
      <c r="DB83" s="228">
        <f>SUM(CP83:DA83)</f>
        <v>0</v>
      </c>
      <c r="DC83" s="229"/>
      <c r="DD83" s="229"/>
      <c r="DE83" s="229"/>
      <c r="DF83" s="229"/>
      <c r="DG83" s="229"/>
      <c r="DH83" s="229"/>
      <c r="DI83" s="229"/>
      <c r="DJ83" s="229"/>
      <c r="DK83" s="229"/>
      <c r="DL83" s="229"/>
      <c r="DM83" s="229"/>
      <c r="DN83" s="229"/>
      <c r="DO83" s="228">
        <f>SUM(DC83:DN83)</f>
        <v>0</v>
      </c>
      <c r="DP83" s="228">
        <f>DO83+DB83</f>
        <v>0</v>
      </c>
      <c r="DQ83" s="229">
        <f t="shared" si="235"/>
        <v>0</v>
      </c>
      <c r="DR83" s="229">
        <f t="shared" si="236"/>
        <v>0</v>
      </c>
      <c r="DS83" s="229">
        <f t="shared" si="237"/>
        <v>0</v>
      </c>
      <c r="DT83" s="229">
        <f t="shared" si="238"/>
        <v>0</v>
      </c>
      <c r="DU83" s="229">
        <f t="shared" si="239"/>
        <v>0</v>
      </c>
      <c r="DV83" s="229">
        <f t="shared" si="240"/>
        <v>0</v>
      </c>
      <c r="DW83" s="229">
        <f t="shared" si="241"/>
        <v>0</v>
      </c>
      <c r="DX83" s="228">
        <f>SUM(DQ83:DW83)</f>
        <v>0</v>
      </c>
      <c r="DY83" s="229"/>
      <c r="DZ83" s="229"/>
      <c r="EA83" s="229"/>
      <c r="EB83" s="229"/>
      <c r="EC83" s="229"/>
      <c r="ED83" s="229"/>
      <c r="EE83" s="229"/>
      <c r="EF83" s="228">
        <f t="shared" si="220"/>
        <v>0</v>
      </c>
      <c r="EG83" s="228">
        <f>EF83+DX83</f>
        <v>0</v>
      </c>
      <c r="EH83" s="229">
        <f t="shared" si="221"/>
        <v>0</v>
      </c>
      <c r="EI83" s="229">
        <v>4.4000000000000057</v>
      </c>
      <c r="EJ83" s="228">
        <f t="shared" si="206"/>
        <v>4.4000000000000057</v>
      </c>
      <c r="EK83" s="229"/>
      <c r="EL83" s="229"/>
      <c r="EM83" s="228">
        <f t="shared" si="176"/>
        <v>0</v>
      </c>
      <c r="EN83" s="229">
        <f>EK83+EH83+EL83</f>
        <v>0</v>
      </c>
      <c r="EO83" s="229">
        <f>EI83</f>
        <v>4.4000000000000057</v>
      </c>
      <c r="EP83" s="228">
        <f t="shared" si="177"/>
        <v>4.4000000000000057</v>
      </c>
      <c r="EQ83" s="173">
        <f t="shared" si="222"/>
        <v>0</v>
      </c>
      <c r="ER83" s="189">
        <v>0</v>
      </c>
      <c r="ES83" s="189">
        <v>0</v>
      </c>
      <c r="ET83" s="189">
        <v>0</v>
      </c>
      <c r="EU83" s="189">
        <v>0</v>
      </c>
      <c r="EV83" s="189">
        <v>0</v>
      </c>
      <c r="EW83" s="189">
        <v>0</v>
      </c>
      <c r="EX83" s="189">
        <v>0</v>
      </c>
      <c r="EY83" s="189">
        <v>0</v>
      </c>
      <c r="EZ83" s="189">
        <v>0</v>
      </c>
      <c r="FA83" s="189">
        <v>0</v>
      </c>
      <c r="FB83" s="189">
        <v>0</v>
      </c>
      <c r="FC83" s="189">
        <v>0</v>
      </c>
      <c r="FD83" s="189">
        <v>0</v>
      </c>
      <c r="FE83" s="189">
        <v>0</v>
      </c>
      <c r="FF83" s="189">
        <v>0</v>
      </c>
      <c r="FG83" s="189">
        <v>0</v>
      </c>
      <c r="FH83" s="189">
        <v>0</v>
      </c>
      <c r="FI83" s="189">
        <v>0</v>
      </c>
      <c r="FJ83" s="189">
        <v>0</v>
      </c>
      <c r="FK83" s="189">
        <v>0</v>
      </c>
      <c r="FL83" s="189">
        <v>0</v>
      </c>
      <c r="FN83" s="132">
        <v>0</v>
      </c>
    </row>
    <row r="84" spans="1:170" ht="30" customHeight="1">
      <c r="A84" s="88">
        <f>COUNTIF($H$12:H84,H84)</f>
        <v>73</v>
      </c>
      <c r="B84" s="88" t="s">
        <v>2108</v>
      </c>
      <c r="C84" s="88" t="s">
        <v>433</v>
      </c>
      <c r="D84" s="88"/>
      <c r="E84" s="88"/>
      <c r="F84" s="301" t="s">
        <v>1572</v>
      </c>
      <c r="G84" s="89" t="s">
        <v>1573</v>
      </c>
      <c r="H84" s="88">
        <v>1</v>
      </c>
      <c r="I84" s="88">
        <v>1</v>
      </c>
      <c r="J84" s="88">
        <v>1</v>
      </c>
      <c r="K84" s="91" t="s">
        <v>1165</v>
      </c>
      <c r="L84" s="91" t="s">
        <v>1165</v>
      </c>
      <c r="M84" s="214"/>
      <c r="N84" s="88" t="s">
        <v>1804</v>
      </c>
      <c r="O84" s="216">
        <f t="shared" si="205"/>
        <v>3</v>
      </c>
      <c r="P84" s="88" t="str">
        <f>IF(AND(BO84&gt;=2.34,BO84&lt;3.33),"B1_3",IF(AND(BO84&gt;=3.33,BO84&lt;4.65),"B1_4",IF(AND(BO84&gt;=4.65,BO84&lt;5.42),"B1_5",IF(AND(BO84&gt;=5.42,BO84&lt;6.44),"B1_6",IF(AND(BO84&gt;=6.44,BO84&lt;=6.92),"B1_7","B1_8")))))</f>
        <v>B1_3</v>
      </c>
      <c r="Q84" s="88">
        <f>IF(M84&gt;0,VLOOKUP(P84,ma_dinhmuc_moi,2,0)/2,VLOOKUP(P84,ma_dinhmuc_moi,2,0))</f>
        <v>270</v>
      </c>
      <c r="R84" s="88">
        <f>IF(M84&gt;0,VLOOKUP(P84,ma_dinhmuc_moi,3,0)/2,VLOOKUP(P84,ma_dinhmuc_moi,3,0))</f>
        <v>100</v>
      </c>
      <c r="S84" s="230" t="s">
        <v>2666</v>
      </c>
      <c r="T84" s="88" t="s">
        <v>3090</v>
      </c>
      <c r="U84" s="88">
        <f>IF(RIGHT(T84,1)="K",(VLOOKUP(T84,ma_miengiam!$A$3:$B$80,2,0)*100)/2,VLOOKUP(T84,ma_miengiam!$A$3:$B$80,2,0)*100)</f>
        <v>15</v>
      </c>
      <c r="V84" s="88"/>
      <c r="W84" s="220">
        <f>W83+W82</f>
        <v>23.625</v>
      </c>
      <c r="X84" s="220">
        <f>X83+X82</f>
        <v>0</v>
      </c>
      <c r="Y84" s="220">
        <f>Y83+Y82</f>
        <v>246.375</v>
      </c>
      <c r="Z84" s="220">
        <f>Z83+Z82</f>
        <v>100</v>
      </c>
      <c r="AA84" s="220">
        <f t="shared" ref="AA84:AB86" si="260">Q84</f>
        <v>270</v>
      </c>
      <c r="AB84" s="220">
        <f t="shared" si="260"/>
        <v>100</v>
      </c>
      <c r="AC84" s="220">
        <f t="shared" ref="AC84:AF86" si="261">W84</f>
        <v>23.625</v>
      </c>
      <c r="AD84" s="220">
        <f t="shared" si="261"/>
        <v>0</v>
      </c>
      <c r="AE84" s="220">
        <f t="shared" si="261"/>
        <v>246.375</v>
      </c>
      <c r="AF84" s="220">
        <f t="shared" si="261"/>
        <v>100</v>
      </c>
      <c r="AG84" s="220">
        <f>AH84+AI84</f>
        <v>245.12</v>
      </c>
      <c r="AH84" s="220">
        <f>EO84</f>
        <v>4.4000000000000057</v>
      </c>
      <c r="AI84" s="220">
        <f>EN84</f>
        <v>240.72</v>
      </c>
      <c r="AJ84" s="220">
        <f>IF(AG84-Z84&gt;0,0,AG84-Z84)</f>
        <v>0</v>
      </c>
      <c r="AK84" s="216">
        <f>IF(AJ84&gt;=0,Y84,Y84-AJ84)</f>
        <v>246.375</v>
      </c>
      <c r="AL84" s="220">
        <f>SUM(CP84:CX84)+SUM(DC84:DK84)</f>
        <v>214.1</v>
      </c>
      <c r="AM84" s="220">
        <f>SUM(DQ84:DU84)+SUM(DY84:EC84)</f>
        <v>0</v>
      </c>
      <c r="AN84" s="221">
        <f>AM84+AL84</f>
        <v>214.1</v>
      </c>
      <c r="AO84" s="220">
        <f>CY84+DL84</f>
        <v>0</v>
      </c>
      <c r="AP84" s="220">
        <f>CZ84+DM84</f>
        <v>0</v>
      </c>
      <c r="AQ84" s="220">
        <f>DA84+DN84</f>
        <v>54</v>
      </c>
      <c r="AR84" s="220">
        <f>DV84+ED84</f>
        <v>0</v>
      </c>
      <c r="AS84" s="220">
        <f>DW84+EE84</f>
        <v>0</v>
      </c>
      <c r="AT84" s="216">
        <f>AN84+SUM(AO84:AS84)</f>
        <v>268.10000000000002</v>
      </c>
      <c r="AU84" s="222">
        <f>AN84-AK84</f>
        <v>-32.275000000000006</v>
      </c>
      <c r="AV84" s="220"/>
      <c r="AW84" s="220">
        <f>IF(AU84&gt;0,AU84,AV84+AU84)</f>
        <v>-32.275000000000006</v>
      </c>
      <c r="AX84" s="216">
        <f>IF(AN84&gt;AK84,0,IF(AW84&lt;0,AN84-AK84+AV84,IF(AW84&gt;=0,0)))</f>
        <v>-32.275000000000006</v>
      </c>
      <c r="AY84" s="220">
        <f>IF(AN84&gt;=AK84,AO84,IF(AN84+AO84-AK84&gt;=0,AN84+AO84-AK84,0))</f>
        <v>0</v>
      </c>
      <c r="AZ84" s="220">
        <f>IF(OR(AN84&gt;=AK84,AN84+AO84&gt;=AK84),AP84,IF(AN84+AO84+AP84&gt;AK84,AN84+AO84+AP84-AK84,0))</f>
        <v>0</v>
      </c>
      <c r="BA84" s="220">
        <f>IF(OR(AN84&gt;=AK84,AN84+AO84&gt;=AK84,AN84+AO84+AP84&gt;=AK84),AQ84,IF(AN84+AO84+AP84+AQ84&gt;=AK84,AN84+AO84+AP84+AQ84-AK84,0))</f>
        <v>21.725000000000023</v>
      </c>
      <c r="BB84" s="220">
        <f>IF(OR(AN84&gt;=AK84,AN84+AO84&gt;=AK84,AN84+AO84+AP84&gt;=AK84,AN84+AO84+AP84+AQ84&gt;=AK84),AR84,IF(AN84+AO84+AP84+AQ84+AR84&gt;=AK84,AN84+AO84+AP84+AQ84+AR84-AK84,0))</f>
        <v>0</v>
      </c>
      <c r="BC84" s="220">
        <f>IF(OR(AN84&gt;=AK84,AN84+AO84&gt;=AK84,AN84+AO84+AP84&gt;=AK84,AN84+AO84+AP84+AQ84&gt;=AK84,AN84+AO84+AP84+AQ84+AR84&gt;=AK84),AS84,IF(AN84+AO84+AP84+AQ84+AR84+AS84&gt;=AK84,AN84+AO84+AP84+AQ84+AR84+AS84-AK84,0))</f>
        <v>0</v>
      </c>
      <c r="BD84" s="216">
        <f>SUM(AY84:BC84)</f>
        <v>21.725000000000023</v>
      </c>
      <c r="BE84" s="220">
        <f>AY84-AO84</f>
        <v>0</v>
      </c>
      <c r="BF84" s="220">
        <f>AZ84-AP84</f>
        <v>0</v>
      </c>
      <c r="BG84" s="220">
        <f>BA84-AQ84</f>
        <v>-32.274999999999977</v>
      </c>
      <c r="BH84" s="220">
        <f>BB84-AR84</f>
        <v>0</v>
      </c>
      <c r="BI84" s="220">
        <f>BC84-AS84</f>
        <v>0</v>
      </c>
      <c r="BJ84" s="220" t="s">
        <v>2409</v>
      </c>
      <c r="BK84" s="220"/>
      <c r="BL84" s="223">
        <f>IF(AW84&lt;BK84,0,IF(AND(BK84=0,AW84&gt;0),AW84,IF(AW84&lt;0,0,IF(BK84&gt;0,AW84-BK84,IF(BK84&lt;0,0,AW84)))))</f>
        <v>0</v>
      </c>
      <c r="BM84" s="220">
        <v>3</v>
      </c>
      <c r="BN84" s="220"/>
      <c r="BO84" s="220">
        <f>ROUND(BM84+(BM84*BN84),2)</f>
        <v>3</v>
      </c>
      <c r="BP84" s="220">
        <f>IF(AND(BL84&gt;0,BL84&lt;tiet!$D$1),BL84,IF(BL84&lt;=0,0,IF(BL84&gt;tiet!$C$1,tiet!$C$1)))</f>
        <v>0</v>
      </c>
      <c r="BQ84" s="87">
        <f t="shared" si="170"/>
        <v>60000</v>
      </c>
      <c r="BR84" s="224">
        <f t="shared" si="171"/>
        <v>0</v>
      </c>
      <c r="BS84" s="220">
        <f t="shared" si="219"/>
        <v>0</v>
      </c>
      <c r="BT84" s="224">
        <f>VLOOKUP(N84,ma_dinhmuc!$A$1:$J$31,10,0)</f>
        <v>51000</v>
      </c>
      <c r="BU84" s="224">
        <f>ROUND(IF(BS84&gt;0,VLOOKUP(N84,ma_dinhmuc!$A$1:$J$31,10,0)*BS84,0),0)</f>
        <v>0</v>
      </c>
      <c r="BV84" s="224">
        <f t="shared" si="172"/>
        <v>0</v>
      </c>
      <c r="BW84" s="224"/>
      <c r="BX84" s="224">
        <v>0</v>
      </c>
      <c r="BY84" s="224"/>
      <c r="BZ84" s="224"/>
      <c r="CA84" s="224"/>
      <c r="CB84" s="224"/>
      <c r="CC84" s="225">
        <f>ROUND(IF(BV84+BW84&gt;BX84+BY84+BZ84+CA84+CB84,(BW84+BV84)-(BX84+BY84+BZ84+CA84+CB84+CB84),0),0)</f>
        <v>0</v>
      </c>
      <c r="CD84" s="224">
        <f>ROUND(IF(BV84+BW84&lt;BX84+BY84+BZ84+CA84-CB84,(BX84+BY84+BZ84+CA84-CB84)-(BW84+BV84),0),0)</f>
        <v>0</v>
      </c>
      <c r="CE84" s="224"/>
      <c r="CF84" s="226"/>
      <c r="CG84" s="87"/>
      <c r="CH84" s="87">
        <f t="shared" si="166"/>
        <v>73</v>
      </c>
      <c r="CI84" s="227" t="str">
        <f>F84</f>
        <v>Nguyễn Anh</v>
      </c>
      <c r="CJ84" s="227" t="str">
        <f>G84</f>
        <v>Đức</v>
      </c>
      <c r="CK84" s="87">
        <f t="shared" si="242"/>
        <v>1</v>
      </c>
      <c r="CL84" s="227" t="str">
        <f>L84</f>
        <v>RHQ và Cảnh quan</v>
      </c>
      <c r="CM84" s="87" t="str">
        <f>N84</f>
        <v>CS2</v>
      </c>
      <c r="CN84" s="87">
        <f>Q84</f>
        <v>270</v>
      </c>
      <c r="CO84" s="87">
        <f>R84</f>
        <v>100</v>
      </c>
      <c r="CP84" s="229">
        <f t="shared" si="223"/>
        <v>0</v>
      </c>
      <c r="CQ84" s="229">
        <f t="shared" si="224"/>
        <v>11.8</v>
      </c>
      <c r="CR84" s="229">
        <f t="shared" si="225"/>
        <v>4.8</v>
      </c>
      <c r="CS84" s="229">
        <f t="shared" si="226"/>
        <v>58.5</v>
      </c>
      <c r="CT84" s="229">
        <f t="shared" si="227"/>
        <v>0</v>
      </c>
      <c r="CU84" s="229">
        <f t="shared" si="228"/>
        <v>66</v>
      </c>
      <c r="CV84" s="229">
        <f t="shared" si="229"/>
        <v>0</v>
      </c>
      <c r="CW84" s="229">
        <f t="shared" si="230"/>
        <v>73</v>
      </c>
      <c r="CX84" s="229">
        <f t="shared" si="231"/>
        <v>0</v>
      </c>
      <c r="CY84" s="229">
        <f t="shared" si="232"/>
        <v>0</v>
      </c>
      <c r="CZ84" s="229">
        <f t="shared" si="233"/>
        <v>0</v>
      </c>
      <c r="DA84" s="229">
        <f t="shared" si="234"/>
        <v>54</v>
      </c>
      <c r="DB84" s="228">
        <f>SUM(CP84:DA84)</f>
        <v>268.10000000000002</v>
      </c>
      <c r="DC84" s="229"/>
      <c r="DD84" s="229"/>
      <c r="DE84" s="229"/>
      <c r="DF84" s="229"/>
      <c r="DG84" s="229"/>
      <c r="DH84" s="229"/>
      <c r="DI84" s="229"/>
      <c r="DJ84" s="229"/>
      <c r="DK84" s="229"/>
      <c r="DL84" s="229"/>
      <c r="DM84" s="229"/>
      <c r="DN84" s="229"/>
      <c r="DO84" s="228">
        <f>SUM(DC84:DN84)</f>
        <v>0</v>
      </c>
      <c r="DP84" s="228">
        <f>DO84+DB84</f>
        <v>268.10000000000002</v>
      </c>
      <c r="DQ84" s="229">
        <f t="shared" si="235"/>
        <v>0</v>
      </c>
      <c r="DR84" s="229">
        <f t="shared" si="236"/>
        <v>0</v>
      </c>
      <c r="DS84" s="229">
        <f t="shared" si="237"/>
        <v>0</v>
      </c>
      <c r="DT84" s="229">
        <f t="shared" si="238"/>
        <v>0</v>
      </c>
      <c r="DU84" s="229">
        <f t="shared" si="239"/>
        <v>0</v>
      </c>
      <c r="DV84" s="229">
        <f t="shared" si="240"/>
        <v>0</v>
      </c>
      <c r="DW84" s="229">
        <f t="shared" si="241"/>
        <v>0</v>
      </c>
      <c r="DX84" s="228">
        <f>SUM(DQ84:DW84)</f>
        <v>0</v>
      </c>
      <c r="DY84" s="229"/>
      <c r="DZ84" s="229"/>
      <c r="EA84" s="229"/>
      <c r="EB84" s="229"/>
      <c r="EC84" s="229"/>
      <c r="ED84" s="229"/>
      <c r="EE84" s="229"/>
      <c r="EF84" s="228">
        <f t="shared" si="220"/>
        <v>0</v>
      </c>
      <c r="EG84" s="228">
        <f>EF84+DX84</f>
        <v>0</v>
      </c>
      <c r="EH84" s="229">
        <f t="shared" si="221"/>
        <v>240.72</v>
      </c>
      <c r="EI84" s="229">
        <v>4.4000000000000057</v>
      </c>
      <c r="EJ84" s="228">
        <f t="shared" si="206"/>
        <v>245.12</v>
      </c>
      <c r="EK84" s="229"/>
      <c r="EL84" s="229"/>
      <c r="EM84" s="228">
        <f t="shared" si="176"/>
        <v>0</v>
      </c>
      <c r="EN84" s="229">
        <f>EK84+EH84+EL84</f>
        <v>240.72</v>
      </c>
      <c r="EO84" s="229">
        <f>EI84</f>
        <v>4.4000000000000057</v>
      </c>
      <c r="EP84" s="228">
        <f t="shared" si="177"/>
        <v>245.12</v>
      </c>
      <c r="EQ84" s="173">
        <f t="shared" si="222"/>
        <v>140.72</v>
      </c>
      <c r="ER84" s="189">
        <v>0</v>
      </c>
      <c r="ES84" s="189">
        <v>11.8</v>
      </c>
      <c r="ET84" s="189">
        <v>4.8</v>
      </c>
      <c r="EU84" s="189">
        <v>58.5</v>
      </c>
      <c r="EV84" s="189">
        <v>0</v>
      </c>
      <c r="EW84" s="189">
        <v>66</v>
      </c>
      <c r="EX84" s="189">
        <v>0</v>
      </c>
      <c r="EY84" s="189">
        <v>73</v>
      </c>
      <c r="EZ84" s="189">
        <v>0</v>
      </c>
      <c r="FA84" s="189">
        <v>0</v>
      </c>
      <c r="FB84" s="189">
        <v>0</v>
      </c>
      <c r="FC84" s="189">
        <v>54</v>
      </c>
      <c r="FD84" s="189">
        <v>0</v>
      </c>
      <c r="FE84" s="189">
        <v>0</v>
      </c>
      <c r="FF84" s="189">
        <v>0</v>
      </c>
      <c r="FG84" s="189">
        <v>0</v>
      </c>
      <c r="FH84" s="189">
        <v>0</v>
      </c>
      <c r="FI84" s="189">
        <v>0</v>
      </c>
      <c r="FJ84" s="189">
        <v>0</v>
      </c>
      <c r="FK84" s="189">
        <v>268.10000000000002</v>
      </c>
      <c r="FL84" s="189">
        <v>253.5</v>
      </c>
      <c r="FN84" s="132">
        <v>240.72</v>
      </c>
    </row>
    <row r="85" spans="1:170" ht="25.5" customHeight="1">
      <c r="A85" s="88">
        <f>COUNTIF($H$12:H85,H85)</f>
        <v>74</v>
      </c>
      <c r="B85" s="88" t="s">
        <v>2109</v>
      </c>
      <c r="C85" s="88" t="s">
        <v>434</v>
      </c>
      <c r="D85" s="88"/>
      <c r="E85" s="88"/>
      <c r="F85" s="301" t="s">
        <v>1574</v>
      </c>
      <c r="G85" s="89" t="s">
        <v>1575</v>
      </c>
      <c r="H85" s="88">
        <v>1</v>
      </c>
      <c r="I85" s="88">
        <v>1</v>
      </c>
      <c r="J85" s="88">
        <v>1</v>
      </c>
      <c r="K85" s="91" t="s">
        <v>1165</v>
      </c>
      <c r="L85" s="91" t="s">
        <v>1165</v>
      </c>
      <c r="M85" s="214"/>
      <c r="N85" s="88" t="s">
        <v>1804</v>
      </c>
      <c r="O85" s="216">
        <f t="shared" si="205"/>
        <v>3.33</v>
      </c>
      <c r="P85" s="88" t="str">
        <f t="shared" si="245"/>
        <v>B1_4</v>
      </c>
      <c r="Q85" s="88">
        <f t="shared" si="149"/>
        <v>270</v>
      </c>
      <c r="R85" s="88">
        <f t="shared" si="150"/>
        <v>120</v>
      </c>
      <c r="S85" s="232"/>
      <c r="T85" s="88" t="s">
        <v>3088</v>
      </c>
      <c r="U85" s="88">
        <f>IF(RIGHT(T85,1)="K",(VLOOKUP(T85,ma_miengiam!$A$3:$B$80,2,0)*100)/2,VLOOKUP(T85,ma_miengiam!$A$3:$B$80,2,0)*100)</f>
        <v>0</v>
      </c>
      <c r="V85" s="88"/>
      <c r="W85" s="220">
        <f>IF(AND(T85="NTS",V85&gt;0),(Q85-(Q85*V85)/12)*VLOOKUP(T85,ma_miengiam!$A$3:$B$80,2,0)+(Q85-(Q85*(12-V85))/12),IF(AND(RIGHT(T85,1)="K",V85&gt;0),(VLOOKUP(T85,ma_miengiam!$A$3:$B$80,2,0)/2)*(Q85*V85)/12,IF(RIGHT(T85,1)="K",(VLOOKUP(T85,ma_miengiam!$A$3:$B$80,2,0)*Q85)/2,IF(V85&gt;0,VLOOKUP(T85,ma_miengiam!$A$3:$B$80,2,0)*Q85*V85/12,VLOOKUP(T85,ma_miengiam!$A$3:$B$80,2,0)*Q85))))</f>
        <v>0</v>
      </c>
      <c r="X85" s="220">
        <f>IF(T85="NTS",VLOOKUP(T85,ma_miengiam!$A$3:$B$80,2,0)*R85*V85,IF(AND(T85="NTS",V85=0),0,IF(AND(LEFT(T85,1)="K",V85=0),VLOOKUP(T85,ma_miengiam!$A$3:$B$80,2,0)*R85,IF(LEFT(T85,1)="K",(VLOOKUP(T85,ma_miengiam!$A$3:$B$80,2,0)*R85/12)*V85,IF(AND(LEFT(T85,1)="S",V85&gt;0),(R85/12)*V85,IF(AND(LEFT(T85,1)="S",V85=0),R85,IF(T85="DH",VLOOKUP(T85,ma_miengiam!$A$3:$B$80,2,0)*R85,0)))))))</f>
        <v>0</v>
      </c>
      <c r="Y85" s="220">
        <f t="shared" si="213"/>
        <v>270</v>
      </c>
      <c r="Z85" s="220">
        <f t="shared" si="90"/>
        <v>120</v>
      </c>
      <c r="AA85" s="220">
        <f t="shared" si="260"/>
        <v>270</v>
      </c>
      <c r="AB85" s="220">
        <f t="shared" si="260"/>
        <v>120</v>
      </c>
      <c r="AC85" s="220">
        <f t="shared" si="261"/>
        <v>0</v>
      </c>
      <c r="AD85" s="220">
        <f t="shared" si="261"/>
        <v>0</v>
      </c>
      <c r="AE85" s="220">
        <f t="shared" si="261"/>
        <v>270</v>
      </c>
      <c r="AF85" s="220">
        <f t="shared" si="261"/>
        <v>120</v>
      </c>
      <c r="AG85" s="220">
        <f t="shared" ref="AG85:AG90" si="262">AH85+AI85</f>
        <v>228.84</v>
      </c>
      <c r="AH85" s="220">
        <f t="shared" ref="AH85:AH90" si="263">EO85</f>
        <v>4.4000000000000057</v>
      </c>
      <c r="AI85" s="220">
        <f t="shared" ref="AI85:AI90" si="264">EN85</f>
        <v>224.44</v>
      </c>
      <c r="AJ85" s="220">
        <f>IF(AG85-Z85&gt;0,0,AG85-Z85)</f>
        <v>0</v>
      </c>
      <c r="AK85" s="216">
        <f t="shared" si="247"/>
        <v>270</v>
      </c>
      <c r="AL85" s="220">
        <f t="shared" si="248"/>
        <v>216.6</v>
      </c>
      <c r="AM85" s="220">
        <f t="shared" si="249"/>
        <v>0</v>
      </c>
      <c r="AN85" s="221">
        <f t="shared" si="250"/>
        <v>216.6</v>
      </c>
      <c r="AO85" s="220">
        <f t="shared" si="251"/>
        <v>20</v>
      </c>
      <c r="AP85" s="220">
        <f t="shared" si="252"/>
        <v>0</v>
      </c>
      <c r="AQ85" s="220">
        <f t="shared" si="253"/>
        <v>20</v>
      </c>
      <c r="AR85" s="220">
        <f t="shared" si="254"/>
        <v>0</v>
      </c>
      <c r="AS85" s="220">
        <f t="shared" si="255"/>
        <v>0</v>
      </c>
      <c r="AT85" s="216">
        <f t="shared" si="256"/>
        <v>256.60000000000002</v>
      </c>
      <c r="AU85" s="222">
        <f t="shared" si="209"/>
        <v>-53.400000000000006</v>
      </c>
      <c r="AV85" s="220"/>
      <c r="AW85" s="220">
        <f t="shared" si="183"/>
        <v>-53.400000000000006</v>
      </c>
      <c r="AX85" s="216">
        <f t="shared" ref="AX85:AX134" si="265">IF(AN85&gt;AK85,0,IF(AW85&lt;0,AN85-AK85+AV85,IF(AW85&gt;=0,0)))</f>
        <v>-53.400000000000006</v>
      </c>
      <c r="AY85" s="220">
        <f t="shared" si="193"/>
        <v>0</v>
      </c>
      <c r="AZ85" s="220">
        <f t="shared" si="194"/>
        <v>0</v>
      </c>
      <c r="BA85" s="220">
        <f t="shared" si="195"/>
        <v>0</v>
      </c>
      <c r="BB85" s="220">
        <f t="shared" si="196"/>
        <v>0</v>
      </c>
      <c r="BC85" s="220">
        <f t="shared" si="197"/>
        <v>0</v>
      </c>
      <c r="BD85" s="216">
        <f t="shared" si="184"/>
        <v>0</v>
      </c>
      <c r="BE85" s="220">
        <f t="shared" si="185"/>
        <v>-20</v>
      </c>
      <c r="BF85" s="220">
        <f t="shared" si="186"/>
        <v>0</v>
      </c>
      <c r="BG85" s="220">
        <f t="shared" si="187"/>
        <v>-20</v>
      </c>
      <c r="BH85" s="220">
        <f t="shared" si="188"/>
        <v>0</v>
      </c>
      <c r="BI85" s="220">
        <f t="shared" si="189"/>
        <v>0</v>
      </c>
      <c r="BJ85" s="220" t="s">
        <v>2409</v>
      </c>
      <c r="BK85" s="220"/>
      <c r="BL85" s="223">
        <f t="shared" si="257"/>
        <v>0</v>
      </c>
      <c r="BM85" s="220">
        <v>3.33</v>
      </c>
      <c r="BN85" s="220"/>
      <c r="BO85" s="220">
        <f t="shared" si="200"/>
        <v>3.33</v>
      </c>
      <c r="BP85" s="220">
        <f>IF(AND(BL85&gt;0,BL85&lt;tiet!$D$1),BL85,IF(BL85&lt;=0,0,IF(BL85&gt;tiet!$C$1,tiet!$C$1)))</f>
        <v>0</v>
      </c>
      <c r="BQ85" s="87">
        <f t="shared" si="170"/>
        <v>65000</v>
      </c>
      <c r="BR85" s="224">
        <f t="shared" si="171"/>
        <v>0</v>
      </c>
      <c r="BS85" s="220">
        <f t="shared" si="219"/>
        <v>0</v>
      </c>
      <c r="BT85" s="224">
        <f>VLOOKUP(N85,ma_dinhmuc!$A$1:$J$31,10,0)</f>
        <v>51000</v>
      </c>
      <c r="BU85" s="224">
        <f>ROUND(IF(BS85&gt;0,VLOOKUP(N85,ma_dinhmuc!$A$1:$J$31,10,0)*BS85,0),0)</f>
        <v>0</v>
      </c>
      <c r="BV85" s="224">
        <f t="shared" si="172"/>
        <v>0</v>
      </c>
      <c r="BW85" s="224"/>
      <c r="BX85" s="224">
        <v>0</v>
      </c>
      <c r="BY85" s="224"/>
      <c r="BZ85" s="224"/>
      <c r="CA85" s="224"/>
      <c r="CB85" s="224"/>
      <c r="CC85" s="225">
        <f t="shared" si="198"/>
        <v>0</v>
      </c>
      <c r="CD85" s="224">
        <f t="shared" si="199"/>
        <v>0</v>
      </c>
      <c r="CE85" s="224"/>
      <c r="CF85" s="226"/>
      <c r="CG85" s="87"/>
      <c r="CH85" s="87">
        <f t="shared" si="166"/>
        <v>74</v>
      </c>
      <c r="CI85" s="227" t="str">
        <f t="shared" si="258"/>
        <v>Bùi Ngọc</v>
      </c>
      <c r="CJ85" s="227" t="str">
        <f t="shared" si="259"/>
        <v>Tấn</v>
      </c>
      <c r="CK85" s="87">
        <f t="shared" si="242"/>
        <v>1</v>
      </c>
      <c r="CL85" s="227" t="str">
        <f t="shared" si="210"/>
        <v>RHQ và Cảnh quan</v>
      </c>
      <c r="CM85" s="87" t="str">
        <f t="shared" si="190"/>
        <v>CS2</v>
      </c>
      <c r="CN85" s="87">
        <f t="shared" si="211"/>
        <v>270</v>
      </c>
      <c r="CO85" s="87">
        <f t="shared" si="211"/>
        <v>120</v>
      </c>
      <c r="CP85" s="229">
        <f t="shared" si="223"/>
        <v>0</v>
      </c>
      <c r="CQ85" s="229">
        <f t="shared" si="224"/>
        <v>12.1</v>
      </c>
      <c r="CR85" s="229">
        <f t="shared" si="225"/>
        <v>5</v>
      </c>
      <c r="CS85" s="229">
        <f t="shared" si="226"/>
        <v>61.5</v>
      </c>
      <c r="CT85" s="229">
        <f t="shared" si="227"/>
        <v>0</v>
      </c>
      <c r="CU85" s="229">
        <f t="shared" si="228"/>
        <v>59</v>
      </c>
      <c r="CV85" s="229">
        <f t="shared" si="229"/>
        <v>0</v>
      </c>
      <c r="CW85" s="229">
        <f t="shared" si="230"/>
        <v>79</v>
      </c>
      <c r="CX85" s="229">
        <f t="shared" si="231"/>
        <v>0</v>
      </c>
      <c r="CY85" s="229">
        <f t="shared" si="232"/>
        <v>20</v>
      </c>
      <c r="CZ85" s="229">
        <f t="shared" si="233"/>
        <v>0</v>
      </c>
      <c r="DA85" s="229">
        <f t="shared" si="234"/>
        <v>20</v>
      </c>
      <c r="DB85" s="228">
        <f t="shared" si="214"/>
        <v>256.60000000000002</v>
      </c>
      <c r="DC85" s="229"/>
      <c r="DD85" s="229"/>
      <c r="DE85" s="229"/>
      <c r="DF85" s="229"/>
      <c r="DG85" s="229"/>
      <c r="DH85" s="229"/>
      <c r="DI85" s="229"/>
      <c r="DJ85" s="229"/>
      <c r="DK85" s="229"/>
      <c r="DL85" s="229"/>
      <c r="DM85" s="229"/>
      <c r="DN85" s="229"/>
      <c r="DO85" s="228">
        <f t="shared" si="215"/>
        <v>0</v>
      </c>
      <c r="DP85" s="228">
        <f t="shared" si="216"/>
        <v>256.60000000000002</v>
      </c>
      <c r="DQ85" s="229">
        <f t="shared" si="235"/>
        <v>0</v>
      </c>
      <c r="DR85" s="229">
        <f t="shared" si="236"/>
        <v>0</v>
      </c>
      <c r="DS85" s="229">
        <f t="shared" si="237"/>
        <v>0</v>
      </c>
      <c r="DT85" s="229">
        <f t="shared" si="238"/>
        <v>0</v>
      </c>
      <c r="DU85" s="229">
        <f t="shared" si="239"/>
        <v>0</v>
      </c>
      <c r="DV85" s="229">
        <f t="shared" si="240"/>
        <v>0</v>
      </c>
      <c r="DW85" s="229">
        <f t="shared" si="241"/>
        <v>0</v>
      </c>
      <c r="DX85" s="228">
        <f t="shared" si="217"/>
        <v>0</v>
      </c>
      <c r="DY85" s="229"/>
      <c r="DZ85" s="229"/>
      <c r="EA85" s="229"/>
      <c r="EB85" s="229"/>
      <c r="EC85" s="229"/>
      <c r="ED85" s="229"/>
      <c r="EE85" s="229"/>
      <c r="EF85" s="228">
        <f t="shared" si="220"/>
        <v>0</v>
      </c>
      <c r="EG85" s="228">
        <f t="shared" si="218"/>
        <v>0</v>
      </c>
      <c r="EH85" s="229">
        <f t="shared" si="221"/>
        <v>224.44</v>
      </c>
      <c r="EI85" s="229">
        <v>4.4000000000000057</v>
      </c>
      <c r="EJ85" s="228">
        <f t="shared" si="206"/>
        <v>228.84</v>
      </c>
      <c r="EK85" s="229"/>
      <c r="EL85" s="229"/>
      <c r="EM85" s="228">
        <f t="shared" si="176"/>
        <v>0</v>
      </c>
      <c r="EN85" s="229">
        <f t="shared" si="192"/>
        <v>224.44</v>
      </c>
      <c r="EO85" s="229">
        <f t="shared" si="212"/>
        <v>4.4000000000000057</v>
      </c>
      <c r="EP85" s="228">
        <f t="shared" si="177"/>
        <v>228.84</v>
      </c>
      <c r="EQ85" s="173">
        <f t="shared" si="222"/>
        <v>104.44</v>
      </c>
      <c r="ER85" s="189">
        <v>0</v>
      </c>
      <c r="ES85" s="189">
        <v>12.1</v>
      </c>
      <c r="ET85" s="189">
        <v>5</v>
      </c>
      <c r="EU85" s="189">
        <v>61.5</v>
      </c>
      <c r="EV85" s="189">
        <v>0</v>
      </c>
      <c r="EW85" s="189">
        <v>59</v>
      </c>
      <c r="EX85" s="189">
        <v>0</v>
      </c>
      <c r="EY85" s="189">
        <v>79</v>
      </c>
      <c r="EZ85" s="189">
        <v>0</v>
      </c>
      <c r="FA85" s="189">
        <v>20</v>
      </c>
      <c r="FB85" s="189">
        <v>0</v>
      </c>
      <c r="FC85" s="189">
        <v>20</v>
      </c>
      <c r="FD85" s="189">
        <v>0</v>
      </c>
      <c r="FE85" s="189">
        <v>0</v>
      </c>
      <c r="FF85" s="189">
        <v>0</v>
      </c>
      <c r="FG85" s="189">
        <v>0</v>
      </c>
      <c r="FH85" s="189">
        <v>0</v>
      </c>
      <c r="FI85" s="189">
        <v>0</v>
      </c>
      <c r="FJ85" s="189">
        <v>0</v>
      </c>
      <c r="FK85" s="189">
        <v>256.60000000000002</v>
      </c>
      <c r="FL85" s="189">
        <v>235.5</v>
      </c>
      <c r="FN85" s="132">
        <v>224.44</v>
      </c>
    </row>
    <row r="86" spans="1:170" ht="30" customHeight="1">
      <c r="A86" s="88">
        <f>COUNTIF($H$12:H86,H86)</f>
        <v>75</v>
      </c>
      <c r="B86" s="88" t="s">
        <v>2110</v>
      </c>
      <c r="C86" s="88" t="s">
        <v>435</v>
      </c>
      <c r="D86" s="88"/>
      <c r="E86" s="88"/>
      <c r="F86" s="301" t="s">
        <v>1080</v>
      </c>
      <c r="G86" s="89" t="s">
        <v>13</v>
      </c>
      <c r="H86" s="88">
        <v>1</v>
      </c>
      <c r="I86" s="88">
        <v>1</v>
      </c>
      <c r="J86" s="88">
        <v>1</v>
      </c>
      <c r="K86" s="91" t="s">
        <v>1165</v>
      </c>
      <c r="L86" s="91" t="s">
        <v>1165</v>
      </c>
      <c r="M86" s="214"/>
      <c r="N86" s="88" t="s">
        <v>1804</v>
      </c>
      <c r="O86" s="216">
        <f t="shared" si="205"/>
        <v>2.67</v>
      </c>
      <c r="P86" s="88" t="str">
        <f t="shared" si="245"/>
        <v>B1_3</v>
      </c>
      <c r="Q86" s="88">
        <f t="shared" si="149"/>
        <v>270</v>
      </c>
      <c r="R86" s="88">
        <f t="shared" si="150"/>
        <v>100</v>
      </c>
      <c r="S86" s="231" t="s">
        <v>1927</v>
      </c>
      <c r="T86" s="88" t="s">
        <v>2961</v>
      </c>
      <c r="U86" s="88">
        <f>IF(RIGHT(T86,1)="K",(VLOOKUP(T86,ma_miengiam!$A$3:$B$80,2,0)*100)/2,VLOOKUP(T86,ma_miengiam!$A$3:$B$80,2,0)*100)</f>
        <v>100</v>
      </c>
      <c r="V86" s="88"/>
      <c r="W86" s="220">
        <f>IF(AND(T86="NTS",V86&gt;0),(Q86-(Q86*V86)/12)*VLOOKUP(T86,ma_miengiam!$A$3:$B$80,2,0)+(Q86-(Q86*(12-V86))/12),IF(AND(RIGHT(T86,1)="K",V86&gt;0),(VLOOKUP(T86,ma_miengiam!$A$3:$B$80,2,0)/2)*(Q86*V86)/12,IF(RIGHT(T86,1)="K",(VLOOKUP(T86,ma_miengiam!$A$3:$B$80,2,0)*Q86)/2,IF(V86&gt;0,VLOOKUP(T86,ma_miengiam!$A$3:$B$80,2,0)*Q86*V86/12,VLOOKUP(T86,ma_miengiam!$A$3:$B$80,2,0)*Q86))))</f>
        <v>270</v>
      </c>
      <c r="X86" s="220">
        <f>IF(T86="NTS",VLOOKUP(T86,ma_miengiam!$A$3:$B$80,2,0)*R86*V86,IF(AND(T86="NTS",V86=0),0,IF(AND(LEFT(T86,1)="K",V86=0),VLOOKUP(T86,ma_miengiam!$A$3:$B$80,2,0)*R86,IF(LEFT(T86,1)="K",(VLOOKUP(T86,ma_miengiam!$A$3:$B$80,2,0)*R86/12)*V86,IF(AND(LEFT(T86,1)="S",V86&gt;0),(R86/12)*V86,IF(AND(LEFT(T86,1)="S",V86=0),R86,IF(T86="DH",VLOOKUP(T86,ma_miengiam!$A$3:$B$80,2,0)*R86,0)))))))</f>
        <v>100</v>
      </c>
      <c r="Y86" s="220">
        <f t="shared" si="213"/>
        <v>0</v>
      </c>
      <c r="Z86" s="220">
        <f t="shared" ref="Z86:Z92" si="266">IF(AND(T86="SĐH",V86&gt;0),(R86/12)*V86-X86,IF(AND(T86="DH",V86&gt;0),(R86*V86/12),IF(AND(T86&lt;&gt;"NTS",V86&gt;0),(R86*V86/12)-X86,IF(AND(T86="NTS",V86&gt;0),R86-X86,R86-X86))))</f>
        <v>0</v>
      </c>
      <c r="AA86" s="220">
        <f t="shared" si="260"/>
        <v>270</v>
      </c>
      <c r="AB86" s="220">
        <f t="shared" si="260"/>
        <v>100</v>
      </c>
      <c r="AC86" s="220">
        <f t="shared" si="261"/>
        <v>270</v>
      </c>
      <c r="AD86" s="220">
        <f t="shared" si="261"/>
        <v>100</v>
      </c>
      <c r="AE86" s="220">
        <f t="shared" si="261"/>
        <v>0</v>
      </c>
      <c r="AF86" s="220">
        <f t="shared" si="261"/>
        <v>0</v>
      </c>
      <c r="AG86" s="220">
        <f>AH86+AI86</f>
        <v>0</v>
      </c>
      <c r="AH86" s="220">
        <f>EO86</f>
        <v>0</v>
      </c>
      <c r="AI86" s="220">
        <f>EN86</f>
        <v>0</v>
      </c>
      <c r="AJ86" s="220">
        <f>IF(AG86-Z86&gt;0,0,AG86-Z86)</f>
        <v>0</v>
      </c>
      <c r="AK86" s="216">
        <f t="shared" si="247"/>
        <v>0</v>
      </c>
      <c r="AL86" s="220">
        <f t="shared" si="248"/>
        <v>0</v>
      </c>
      <c r="AM86" s="220">
        <f t="shared" si="249"/>
        <v>0</v>
      </c>
      <c r="AN86" s="221">
        <f t="shared" si="250"/>
        <v>0</v>
      </c>
      <c r="AO86" s="220">
        <f t="shared" si="251"/>
        <v>0</v>
      </c>
      <c r="AP86" s="220">
        <f t="shared" si="252"/>
        <v>0</v>
      </c>
      <c r="AQ86" s="220">
        <f t="shared" si="253"/>
        <v>0</v>
      </c>
      <c r="AR86" s="220">
        <f t="shared" si="254"/>
        <v>0</v>
      </c>
      <c r="AS86" s="220">
        <f t="shared" si="255"/>
        <v>0</v>
      </c>
      <c r="AT86" s="216">
        <f t="shared" si="256"/>
        <v>0</v>
      </c>
      <c r="AU86" s="222">
        <f t="shared" si="209"/>
        <v>0</v>
      </c>
      <c r="AV86" s="220"/>
      <c r="AW86" s="220">
        <f t="shared" si="183"/>
        <v>0</v>
      </c>
      <c r="AX86" s="216">
        <f t="shared" si="265"/>
        <v>0</v>
      </c>
      <c r="AY86" s="220">
        <f t="shared" si="193"/>
        <v>0</v>
      </c>
      <c r="AZ86" s="220">
        <f t="shared" si="194"/>
        <v>0</v>
      </c>
      <c r="BA86" s="220">
        <f t="shared" si="195"/>
        <v>0</v>
      </c>
      <c r="BB86" s="220">
        <f t="shared" si="196"/>
        <v>0</v>
      </c>
      <c r="BC86" s="220">
        <f t="shared" si="197"/>
        <v>0</v>
      </c>
      <c r="BD86" s="216">
        <f t="shared" si="184"/>
        <v>0</v>
      </c>
      <c r="BE86" s="220">
        <f t="shared" si="185"/>
        <v>0</v>
      </c>
      <c r="BF86" s="220">
        <f t="shared" si="186"/>
        <v>0</v>
      </c>
      <c r="BG86" s="220">
        <f t="shared" si="187"/>
        <v>0</v>
      </c>
      <c r="BH86" s="220">
        <f t="shared" si="188"/>
        <v>0</v>
      </c>
      <c r="BI86" s="220">
        <f t="shared" si="189"/>
        <v>0</v>
      </c>
      <c r="BJ86" s="220" t="s">
        <v>2409</v>
      </c>
      <c r="BK86" s="220"/>
      <c r="BL86" s="223">
        <f t="shared" si="257"/>
        <v>0</v>
      </c>
      <c r="BM86" s="220">
        <v>2.67</v>
      </c>
      <c r="BN86" s="220"/>
      <c r="BO86" s="220">
        <f t="shared" si="200"/>
        <v>2.67</v>
      </c>
      <c r="BP86" s="220">
        <f>IF(AND(BL86&gt;0,BL86&lt;tiet!$D$1),BL86,IF(BL86&lt;=0,0,IF(BL86&gt;tiet!$C$1,tiet!$C$1)))</f>
        <v>0</v>
      </c>
      <c r="BQ86" s="87">
        <f t="shared" si="170"/>
        <v>60000</v>
      </c>
      <c r="BR86" s="224">
        <f t="shared" si="171"/>
        <v>0</v>
      </c>
      <c r="BS86" s="220">
        <f t="shared" si="219"/>
        <v>0</v>
      </c>
      <c r="BT86" s="224">
        <f>VLOOKUP(N86,ma_dinhmuc!$A$1:$J$31,10,0)</f>
        <v>51000</v>
      </c>
      <c r="BU86" s="224">
        <f>ROUND(IF(BS86&gt;0,VLOOKUP(N86,ma_dinhmuc!$A$1:$J$31,10,0)*BS86,0),0)</f>
        <v>0</v>
      </c>
      <c r="BV86" s="224">
        <f t="shared" si="172"/>
        <v>0</v>
      </c>
      <c r="BW86" s="224"/>
      <c r="BX86" s="224">
        <v>0</v>
      </c>
      <c r="BY86" s="224"/>
      <c r="BZ86" s="224"/>
      <c r="CA86" s="224"/>
      <c r="CB86" s="224"/>
      <c r="CC86" s="225">
        <f t="shared" si="198"/>
        <v>0</v>
      </c>
      <c r="CD86" s="224">
        <f t="shared" si="199"/>
        <v>0</v>
      </c>
      <c r="CE86" s="224"/>
      <c r="CF86" s="226"/>
      <c r="CG86" s="87"/>
      <c r="CH86" s="87">
        <f t="shared" si="166"/>
        <v>75</v>
      </c>
      <c r="CI86" s="227" t="str">
        <f t="shared" si="258"/>
        <v>Phạm Thị Bích</v>
      </c>
      <c r="CJ86" s="227" t="str">
        <f t="shared" si="259"/>
        <v>Phương</v>
      </c>
      <c r="CK86" s="87">
        <f t="shared" si="242"/>
        <v>1</v>
      </c>
      <c r="CL86" s="227" t="str">
        <f t="shared" si="210"/>
        <v>RHQ và Cảnh quan</v>
      </c>
      <c r="CM86" s="87" t="str">
        <f t="shared" si="190"/>
        <v>CS2</v>
      </c>
      <c r="CN86" s="87">
        <f t="shared" ref="CN86:CN94" si="267">Q86</f>
        <v>270</v>
      </c>
      <c r="CO86" s="87">
        <f t="shared" ref="CO86:CO94" si="268">R86</f>
        <v>100</v>
      </c>
      <c r="CP86" s="229">
        <f t="shared" si="223"/>
        <v>0</v>
      </c>
      <c r="CQ86" s="229">
        <f t="shared" si="224"/>
        <v>0</v>
      </c>
      <c r="CR86" s="229">
        <f t="shared" si="225"/>
        <v>0</v>
      </c>
      <c r="CS86" s="229">
        <f t="shared" si="226"/>
        <v>0</v>
      </c>
      <c r="CT86" s="229">
        <f t="shared" si="227"/>
        <v>0</v>
      </c>
      <c r="CU86" s="229">
        <f t="shared" si="228"/>
        <v>0</v>
      </c>
      <c r="CV86" s="229">
        <f t="shared" si="229"/>
        <v>0</v>
      </c>
      <c r="CW86" s="229">
        <f t="shared" si="230"/>
        <v>0</v>
      </c>
      <c r="CX86" s="229">
        <f t="shared" si="231"/>
        <v>0</v>
      </c>
      <c r="CY86" s="229">
        <f t="shared" si="232"/>
        <v>0</v>
      </c>
      <c r="CZ86" s="229">
        <f t="shared" si="233"/>
        <v>0</v>
      </c>
      <c r="DA86" s="229">
        <f t="shared" si="234"/>
        <v>0</v>
      </c>
      <c r="DB86" s="228">
        <f t="shared" si="214"/>
        <v>0</v>
      </c>
      <c r="DC86" s="229"/>
      <c r="DD86" s="229"/>
      <c r="DE86" s="229"/>
      <c r="DF86" s="229"/>
      <c r="DG86" s="229"/>
      <c r="DH86" s="229"/>
      <c r="DI86" s="229"/>
      <c r="DJ86" s="229"/>
      <c r="DK86" s="229"/>
      <c r="DL86" s="229"/>
      <c r="DM86" s="229"/>
      <c r="DN86" s="229"/>
      <c r="DO86" s="228">
        <f t="shared" si="215"/>
        <v>0</v>
      </c>
      <c r="DP86" s="228">
        <f t="shared" si="216"/>
        <v>0</v>
      </c>
      <c r="DQ86" s="229">
        <f t="shared" si="235"/>
        <v>0</v>
      </c>
      <c r="DR86" s="229">
        <f t="shared" si="236"/>
        <v>0</v>
      </c>
      <c r="DS86" s="229">
        <f t="shared" si="237"/>
        <v>0</v>
      </c>
      <c r="DT86" s="229">
        <f t="shared" si="238"/>
        <v>0</v>
      </c>
      <c r="DU86" s="229">
        <f t="shared" si="239"/>
        <v>0</v>
      </c>
      <c r="DV86" s="229">
        <f t="shared" si="240"/>
        <v>0</v>
      </c>
      <c r="DW86" s="229">
        <f t="shared" si="241"/>
        <v>0</v>
      </c>
      <c r="DX86" s="228">
        <f t="shared" si="217"/>
        <v>0</v>
      </c>
      <c r="DY86" s="229"/>
      <c r="DZ86" s="229"/>
      <c r="EA86" s="229"/>
      <c r="EB86" s="229"/>
      <c r="EC86" s="229"/>
      <c r="ED86" s="229"/>
      <c r="EE86" s="229"/>
      <c r="EF86" s="228">
        <f t="shared" si="220"/>
        <v>0</v>
      </c>
      <c r="EG86" s="228">
        <f t="shared" si="218"/>
        <v>0</v>
      </c>
      <c r="EH86" s="229">
        <f t="shared" si="221"/>
        <v>0</v>
      </c>
      <c r="EI86" s="229">
        <v>0</v>
      </c>
      <c r="EJ86" s="228">
        <f t="shared" si="206"/>
        <v>0</v>
      </c>
      <c r="EK86" s="229"/>
      <c r="EL86" s="229"/>
      <c r="EM86" s="228">
        <f t="shared" si="176"/>
        <v>0</v>
      </c>
      <c r="EN86" s="229">
        <f t="shared" si="192"/>
        <v>0</v>
      </c>
      <c r="EO86" s="229">
        <f t="shared" si="212"/>
        <v>0</v>
      </c>
      <c r="EP86" s="228">
        <f t="shared" si="177"/>
        <v>0</v>
      </c>
      <c r="EQ86" s="173">
        <f t="shared" si="222"/>
        <v>0</v>
      </c>
      <c r="ER86" s="189">
        <v>0</v>
      </c>
      <c r="ES86" s="189">
        <v>0</v>
      </c>
      <c r="ET86" s="189">
        <v>0</v>
      </c>
      <c r="EU86" s="189">
        <v>0</v>
      </c>
      <c r="EV86" s="189">
        <v>0</v>
      </c>
      <c r="EW86" s="189">
        <v>0</v>
      </c>
      <c r="EX86" s="189">
        <v>0</v>
      </c>
      <c r="EY86" s="189">
        <v>0</v>
      </c>
      <c r="EZ86" s="189">
        <v>0</v>
      </c>
      <c r="FA86" s="189">
        <v>0</v>
      </c>
      <c r="FB86" s="189">
        <v>0</v>
      </c>
      <c r="FC86" s="189">
        <v>0</v>
      </c>
      <c r="FD86" s="189">
        <v>0</v>
      </c>
      <c r="FE86" s="189">
        <v>0</v>
      </c>
      <c r="FF86" s="189">
        <v>0</v>
      </c>
      <c r="FG86" s="189">
        <v>0</v>
      </c>
      <c r="FH86" s="189">
        <v>0</v>
      </c>
      <c r="FI86" s="189">
        <v>0</v>
      </c>
      <c r="FJ86" s="189">
        <v>0</v>
      </c>
      <c r="FK86" s="189">
        <v>0</v>
      </c>
      <c r="FL86" s="189">
        <v>0</v>
      </c>
      <c r="FN86" s="132">
        <v>0</v>
      </c>
    </row>
    <row r="87" spans="1:170" ht="30" customHeight="1">
      <c r="A87" s="88">
        <f>COUNTIF($H$12:H87,H87)</f>
        <v>76</v>
      </c>
      <c r="B87" s="88" t="s">
        <v>2111</v>
      </c>
      <c r="C87" s="88" t="s">
        <v>436</v>
      </c>
      <c r="D87" s="88"/>
      <c r="E87" s="88"/>
      <c r="F87" s="301" t="s">
        <v>1577</v>
      </c>
      <c r="G87" s="303" t="s">
        <v>1648</v>
      </c>
      <c r="H87" s="88">
        <v>1</v>
      </c>
      <c r="I87" s="88">
        <v>1</v>
      </c>
      <c r="J87" s="88">
        <v>1</v>
      </c>
      <c r="K87" s="90" t="s">
        <v>1134</v>
      </c>
      <c r="L87" s="90" t="s">
        <v>1134</v>
      </c>
      <c r="M87" s="214"/>
      <c r="N87" s="88" t="s">
        <v>1804</v>
      </c>
      <c r="O87" s="216">
        <f t="shared" si="205"/>
        <v>3.33</v>
      </c>
      <c r="P87" s="88" t="str">
        <f t="shared" si="245"/>
        <v>B1_4</v>
      </c>
      <c r="Q87" s="88">
        <f t="shared" si="149"/>
        <v>270</v>
      </c>
      <c r="R87" s="88">
        <f t="shared" si="150"/>
        <v>120</v>
      </c>
      <c r="S87" s="230" t="s">
        <v>1510</v>
      </c>
      <c r="T87" s="88" t="s">
        <v>3090</v>
      </c>
      <c r="U87" s="88">
        <f>IF(RIGHT(T87,1)="K",(VLOOKUP(T87,ma_miengiam!$A$3:$B$80,2,0)*100)/2,VLOOKUP(T87,ma_miengiam!$A$3:$B$80,2,0)*100)</f>
        <v>15</v>
      </c>
      <c r="V87" s="88"/>
      <c r="W87" s="220">
        <f>IF(AND(T87="NTS",V87&gt;0),(Q87-(Q87*V87)/12)*VLOOKUP(T87,ma_miengiam!$A$3:$B$80,2,0)+(Q87-(Q87*(12-V87))/12),IF(AND(RIGHT(T87,1)="K",V87&gt;0),(VLOOKUP(T87,ma_miengiam!$A$3:$B$80,2,0)/2)*(Q87*V87)/12,IF(RIGHT(T87,1)="K",(VLOOKUP(T87,ma_miengiam!$A$3:$B$80,2,0)*Q87)/2,IF(V87&gt;0,VLOOKUP(T87,ma_miengiam!$A$3:$B$80,2,0)*Q87*V87/12,VLOOKUP(T87,ma_miengiam!$A$3:$B$80,2,0)*Q87))))</f>
        <v>40.5</v>
      </c>
      <c r="X87" s="220">
        <f>IF(T87="NTS",VLOOKUP(T87,ma_miengiam!$A$3:$B$80,2,0)*R87*V87,IF(AND(T87="NTS",V87=0),0,IF(AND(LEFT(T87,1)="K",V87=0),VLOOKUP(T87,ma_miengiam!$A$3:$B$80,2,0)*R87,IF(LEFT(T87,1)="K",(VLOOKUP(T87,ma_miengiam!$A$3:$B$80,2,0)*R87/12)*V87,IF(AND(LEFT(T87,1)="S",V87&gt;0),(R87/12)*V87,IF(AND(LEFT(T87,1)="S",V87=0),R87,IF(T87="DH",VLOOKUP(T87,ma_miengiam!$A$3:$B$80,2,0)*R87,0)))))))</f>
        <v>0</v>
      </c>
      <c r="Y87" s="220">
        <f>IF(AND(T87="DH",V87&gt;0),(S87*V87/12),IF(AND(T87&lt;&gt;"NTS",V87&gt;0),(Q87*V87/12)-W87,IF(AND(T87="NTS",V87&gt;0),Q87-W87,Q87-W87)))</f>
        <v>229.5</v>
      </c>
      <c r="Z87" s="220">
        <f>IF(AND(T87="SĐH",V87&gt;0),(R87/12)*V87-X87,IF(AND(T87="DH",V87&gt;0),(R87*V87/12),IF(AND(T87&lt;&gt;"NTS",V87&gt;0),(R87*V87/12)-X87,IF(AND(T87="NTS",V87&gt;0),R87-X87,R87-X87))))</f>
        <v>120</v>
      </c>
      <c r="AA87" s="220">
        <f t="shared" ref="AA87:AB90" si="269">Q87</f>
        <v>270</v>
      </c>
      <c r="AB87" s="220">
        <f t="shared" si="269"/>
        <v>120</v>
      </c>
      <c r="AC87" s="220">
        <f t="shared" ref="AC87:AF90" si="270">W87</f>
        <v>40.5</v>
      </c>
      <c r="AD87" s="220">
        <f t="shared" si="270"/>
        <v>0</v>
      </c>
      <c r="AE87" s="220">
        <f t="shared" si="270"/>
        <v>229.5</v>
      </c>
      <c r="AF87" s="220">
        <f t="shared" si="270"/>
        <v>120</v>
      </c>
      <c r="AG87" s="220">
        <f>AH87+AI87</f>
        <v>0</v>
      </c>
      <c r="AH87" s="220">
        <f>EO87</f>
        <v>0</v>
      </c>
      <c r="AI87" s="220">
        <f>EN87</f>
        <v>0</v>
      </c>
      <c r="AJ87" s="220">
        <f t="shared" ref="AJ87:AJ92" si="271">IF(AG87-Z87&gt;0,0,AG87-Z87)</f>
        <v>-120</v>
      </c>
      <c r="AK87" s="216">
        <f t="shared" si="247"/>
        <v>349.5</v>
      </c>
      <c r="AL87" s="220">
        <f>SUM(CP87:CX87)+SUM(DC87:DK87)</f>
        <v>224.2</v>
      </c>
      <c r="AM87" s="220">
        <f>SUM(DQ87:DU87)+SUM(DY87:EC87)</f>
        <v>0</v>
      </c>
      <c r="AN87" s="216">
        <f>AM87+AL87</f>
        <v>224.2</v>
      </c>
      <c r="AO87" s="220">
        <f>CY87+DL87</f>
        <v>20</v>
      </c>
      <c r="AP87" s="220">
        <f>CZ87+DM87</f>
        <v>0</v>
      </c>
      <c r="AQ87" s="220">
        <f>DA87+DN87</f>
        <v>40</v>
      </c>
      <c r="AR87" s="220">
        <f>DV87+ED87</f>
        <v>0</v>
      </c>
      <c r="AS87" s="220">
        <f>DW87+EE87</f>
        <v>0</v>
      </c>
      <c r="AT87" s="216">
        <f>AN87+SUM(AO87:AS87)</f>
        <v>284.2</v>
      </c>
      <c r="AU87" s="220">
        <f>AN87-AK87</f>
        <v>-125.30000000000001</v>
      </c>
      <c r="AV87" s="220"/>
      <c r="AW87" s="220">
        <f>IF(AU87&gt;0,AU87,AV87+AU87)</f>
        <v>-125.30000000000001</v>
      </c>
      <c r="AX87" s="216">
        <f t="shared" si="265"/>
        <v>-125.30000000000001</v>
      </c>
      <c r="AY87" s="220">
        <f>IF(AN87&gt;=AK87,AO87,IF(AN87+AO87-AK87&gt;=0,AN87+AO87-AK87,0))</f>
        <v>0</v>
      </c>
      <c r="AZ87" s="220">
        <f>IF(OR(AN87&gt;=AK87,AN87+AO87&gt;=AK87),AP87,IF(AN87+AO87+AP87&gt;AK87,AN87+AO87+AP87-AK87,0))</f>
        <v>0</v>
      </c>
      <c r="BA87" s="220">
        <f>IF(OR(AN87&gt;=AK87,AN87+AO87&gt;=AK87,AN87+AO87+AP87&gt;=AK87),AQ87,IF(AN87+AO87+AP87+AQ87&gt;=AK87,AN87+AO87+AP87+AQ87-AK87,0))</f>
        <v>0</v>
      </c>
      <c r="BB87" s="220">
        <f>IF(OR(AN87&gt;=AK87,AN87+AO87&gt;=AK87,AN87+AO87+AP87&gt;=AK87,AN87+AO87+AP87+AQ87&gt;=AK87),AR87,IF(AN87+AO87+AP87+AQ87+AR87&gt;=AK87,AN87+AO87+AP87+AQ87+AR87-AK87,0))</f>
        <v>0</v>
      </c>
      <c r="BC87" s="220">
        <f>IF(OR(AN87&gt;=AK87,AN87+AO87&gt;=AK87,AN87+AO87+AP87&gt;=AK87,AN87+AO87+AP87+AQ87&gt;=AK87,AN87+AO87+AP87+AQ87+AR87&gt;=AK87),AS87,IF(AN87+AO87+AP87+AQ87+AR87+AS87&gt;=AK87,AN87+AO87+AP87+AQ87+AR87+AS87-AK87,0))</f>
        <v>0</v>
      </c>
      <c r="BD87" s="216">
        <f t="shared" si="184"/>
        <v>0</v>
      </c>
      <c r="BE87" s="220">
        <f>AY87-AO87</f>
        <v>-20</v>
      </c>
      <c r="BF87" s="220">
        <f>AZ87-AP87</f>
        <v>0</v>
      </c>
      <c r="BG87" s="220">
        <f>BA87-AQ87</f>
        <v>-40</v>
      </c>
      <c r="BH87" s="220">
        <f>BB87-AR87</f>
        <v>0</v>
      </c>
      <c r="BI87" s="220">
        <f>BC87-AS87</f>
        <v>0</v>
      </c>
      <c r="BJ87" s="220" t="s">
        <v>2441</v>
      </c>
      <c r="BK87" s="220"/>
      <c r="BL87" s="223">
        <f t="shared" si="257"/>
        <v>0</v>
      </c>
      <c r="BM87" s="220">
        <v>3.33</v>
      </c>
      <c r="BN87" s="220"/>
      <c r="BO87" s="220">
        <f>ROUND(BM87+(BM87*BN87),2)</f>
        <v>3.33</v>
      </c>
      <c r="BP87" s="220">
        <f>IF(AND(BL87&gt;0,BL87&lt;tiet!$D$1),BL87,IF(BL87&lt;=0,0,IF(BL87&gt;tiet!$C$1,tiet!$C$1)))</f>
        <v>0</v>
      </c>
      <c r="BQ87" s="87">
        <f t="shared" si="170"/>
        <v>65000</v>
      </c>
      <c r="BR87" s="224">
        <f t="shared" si="171"/>
        <v>0</v>
      </c>
      <c r="BS87" s="220">
        <f t="shared" si="219"/>
        <v>0</v>
      </c>
      <c r="BT87" s="224">
        <f>VLOOKUP(N87,ma_dinhmuc!$A$1:$J$31,10,0)</f>
        <v>51000</v>
      </c>
      <c r="BU87" s="224">
        <f>ROUND(IF(BS87&gt;0,VLOOKUP(N87,ma_dinhmuc!$A$1:$J$31,10,0)*BS87,0),0)</f>
        <v>0</v>
      </c>
      <c r="BV87" s="224">
        <f t="shared" si="172"/>
        <v>0</v>
      </c>
      <c r="BW87" s="224"/>
      <c r="BX87" s="224">
        <v>0</v>
      </c>
      <c r="BY87" s="224"/>
      <c r="BZ87" s="224"/>
      <c r="CA87" s="224"/>
      <c r="CB87" s="224"/>
      <c r="CC87" s="225">
        <f>ROUND(IF(BV87+BW87&gt;BX87+BY87+BZ87+CA87+CB87,(BW87+BV87)-(BX87+BY87+BZ87+CA87+CB87+CB87),0),0)</f>
        <v>0</v>
      </c>
      <c r="CD87" s="224">
        <f>ROUND(IF(BV87+BW87&lt;BX87+BY87+BZ87+CA87-CB87,(BX87+BY87+BZ87+CA87-CB87)-(BW87+BV87),0),0)</f>
        <v>0</v>
      </c>
      <c r="CE87" s="224"/>
      <c r="CF87" s="226"/>
      <c r="CG87" s="87"/>
      <c r="CH87" s="87">
        <f t="shared" si="166"/>
        <v>76</v>
      </c>
      <c r="CI87" s="227" t="str">
        <f t="shared" si="258"/>
        <v>Dương Huyền</v>
      </c>
      <c r="CJ87" s="227" t="str">
        <f t="shared" si="259"/>
        <v>Trang</v>
      </c>
      <c r="CK87" s="87">
        <f t="shared" si="242"/>
        <v>1</v>
      </c>
      <c r="CL87" s="227" t="str">
        <f>L87</f>
        <v>Sinh lý thực vật</v>
      </c>
      <c r="CM87" s="87" t="str">
        <f>N87</f>
        <v>CS2</v>
      </c>
      <c r="CN87" s="87">
        <f>Q87</f>
        <v>270</v>
      </c>
      <c r="CO87" s="87">
        <f>R87</f>
        <v>120</v>
      </c>
      <c r="CP87" s="229">
        <f t="shared" si="223"/>
        <v>0</v>
      </c>
      <c r="CQ87" s="229">
        <f t="shared" si="224"/>
        <v>12.3</v>
      </c>
      <c r="CR87" s="229">
        <f t="shared" si="225"/>
        <v>4.9000000000000004</v>
      </c>
      <c r="CS87" s="229">
        <f t="shared" si="226"/>
        <v>0</v>
      </c>
      <c r="CT87" s="229">
        <f t="shared" si="227"/>
        <v>0</v>
      </c>
      <c r="CU87" s="229">
        <f t="shared" si="228"/>
        <v>42</v>
      </c>
      <c r="CV87" s="229">
        <f t="shared" si="229"/>
        <v>0</v>
      </c>
      <c r="CW87" s="229">
        <f t="shared" si="230"/>
        <v>165</v>
      </c>
      <c r="CX87" s="229">
        <f t="shared" si="231"/>
        <v>0</v>
      </c>
      <c r="CY87" s="229">
        <f t="shared" si="232"/>
        <v>20</v>
      </c>
      <c r="CZ87" s="229">
        <f t="shared" si="233"/>
        <v>0</v>
      </c>
      <c r="DA87" s="229">
        <f t="shared" si="234"/>
        <v>40</v>
      </c>
      <c r="DB87" s="228">
        <f>SUM(CP87:DA87)</f>
        <v>284.2</v>
      </c>
      <c r="DC87" s="229"/>
      <c r="DD87" s="229"/>
      <c r="DE87" s="229"/>
      <c r="DF87" s="229"/>
      <c r="DG87" s="229"/>
      <c r="DH87" s="229"/>
      <c r="DI87" s="229"/>
      <c r="DJ87" s="229"/>
      <c r="DK87" s="229"/>
      <c r="DL87" s="229"/>
      <c r="DM87" s="229"/>
      <c r="DN87" s="229"/>
      <c r="DO87" s="228">
        <f>SUM(DC87:DN87)</f>
        <v>0</v>
      </c>
      <c r="DP87" s="228">
        <f>DO87+DB87</f>
        <v>284.2</v>
      </c>
      <c r="DQ87" s="229">
        <f t="shared" si="235"/>
        <v>0</v>
      </c>
      <c r="DR87" s="229">
        <f t="shared" si="236"/>
        <v>0</v>
      </c>
      <c r="DS87" s="229">
        <f t="shared" si="237"/>
        <v>0</v>
      </c>
      <c r="DT87" s="229">
        <f t="shared" si="238"/>
        <v>0</v>
      </c>
      <c r="DU87" s="229">
        <f t="shared" si="239"/>
        <v>0</v>
      </c>
      <c r="DV87" s="229">
        <f t="shared" si="240"/>
        <v>0</v>
      </c>
      <c r="DW87" s="229">
        <f t="shared" si="241"/>
        <v>0</v>
      </c>
      <c r="DX87" s="228">
        <f>SUM(DQ87:DW87)</f>
        <v>0</v>
      </c>
      <c r="DY87" s="229"/>
      <c r="DZ87" s="229"/>
      <c r="EA87" s="229"/>
      <c r="EB87" s="229"/>
      <c r="EC87" s="229"/>
      <c r="ED87" s="229"/>
      <c r="EE87" s="229"/>
      <c r="EF87" s="228">
        <f t="shared" si="220"/>
        <v>0</v>
      </c>
      <c r="EG87" s="228">
        <f>EF87+DX87</f>
        <v>0</v>
      </c>
      <c r="EH87" s="229">
        <f t="shared" si="221"/>
        <v>0</v>
      </c>
      <c r="EI87" s="229">
        <v>0</v>
      </c>
      <c r="EJ87" s="228">
        <f t="shared" si="206"/>
        <v>0</v>
      </c>
      <c r="EK87" s="229"/>
      <c r="EL87" s="229"/>
      <c r="EM87" s="228">
        <f t="shared" si="176"/>
        <v>0</v>
      </c>
      <c r="EN87" s="229">
        <f>EK87+EH87+EL87</f>
        <v>0</v>
      </c>
      <c r="EO87" s="229">
        <f>EI87</f>
        <v>0</v>
      </c>
      <c r="EP87" s="228">
        <f t="shared" si="177"/>
        <v>0</v>
      </c>
      <c r="EQ87" s="173">
        <f t="shared" si="222"/>
        <v>0</v>
      </c>
      <c r="ER87" s="189">
        <v>0</v>
      </c>
      <c r="ES87" s="189">
        <v>12.3</v>
      </c>
      <c r="ET87" s="189">
        <v>4.9000000000000004</v>
      </c>
      <c r="EU87" s="189">
        <v>0</v>
      </c>
      <c r="EV87" s="189">
        <v>0</v>
      </c>
      <c r="EW87" s="189">
        <v>42</v>
      </c>
      <c r="EX87" s="189">
        <v>0</v>
      </c>
      <c r="EY87" s="189">
        <v>165</v>
      </c>
      <c r="EZ87" s="189">
        <v>0</v>
      </c>
      <c r="FA87" s="189">
        <v>20</v>
      </c>
      <c r="FB87" s="189">
        <v>0</v>
      </c>
      <c r="FC87" s="189">
        <v>40</v>
      </c>
      <c r="FD87" s="189">
        <v>0</v>
      </c>
      <c r="FE87" s="189">
        <v>0</v>
      </c>
      <c r="FF87" s="189">
        <v>0</v>
      </c>
      <c r="FG87" s="189">
        <v>0</v>
      </c>
      <c r="FH87" s="189">
        <v>0</v>
      </c>
      <c r="FI87" s="189">
        <v>0</v>
      </c>
      <c r="FJ87" s="189">
        <v>0</v>
      </c>
      <c r="FK87" s="189">
        <v>284.2</v>
      </c>
      <c r="FL87" s="189">
        <v>242</v>
      </c>
      <c r="FN87" s="132">
        <v>0</v>
      </c>
    </row>
    <row r="88" spans="1:170" ht="30.75" customHeight="1">
      <c r="A88" s="88">
        <f>COUNTIF($H$12:H88,H88)</f>
        <v>77</v>
      </c>
      <c r="B88" s="88" t="s">
        <v>2112</v>
      </c>
      <c r="C88" s="88" t="s">
        <v>437</v>
      </c>
      <c r="D88" s="88"/>
      <c r="E88" s="88"/>
      <c r="F88" s="301" t="s">
        <v>1578</v>
      </c>
      <c r="G88" s="303" t="s">
        <v>2086</v>
      </c>
      <c r="H88" s="88">
        <v>1</v>
      </c>
      <c r="I88" s="88">
        <v>1</v>
      </c>
      <c r="J88" s="88">
        <v>1</v>
      </c>
      <c r="K88" s="90" t="s">
        <v>1134</v>
      </c>
      <c r="L88" s="90" t="s">
        <v>1134</v>
      </c>
      <c r="M88" s="214"/>
      <c r="N88" s="88" t="s">
        <v>1804</v>
      </c>
      <c r="O88" s="216">
        <f t="shared" si="205"/>
        <v>3.99</v>
      </c>
      <c r="P88" s="88" t="str">
        <f t="shared" si="245"/>
        <v>B1_4</v>
      </c>
      <c r="Q88" s="88">
        <f t="shared" si="149"/>
        <v>270</v>
      </c>
      <c r="R88" s="88">
        <f t="shared" si="150"/>
        <v>120</v>
      </c>
      <c r="S88" s="230" t="s">
        <v>689</v>
      </c>
      <c r="T88" s="88" t="s">
        <v>3090</v>
      </c>
      <c r="U88" s="88">
        <f>IF(RIGHT(T88,1)="K",(VLOOKUP(T88,ma_miengiam!$A$3:$B$80,2,0)*100)/2,VLOOKUP(T88,ma_miengiam!$A$3:$B$80,2,0)*100)</f>
        <v>15</v>
      </c>
      <c r="V88" s="88"/>
      <c r="W88" s="220">
        <f>IF(AND(T88="NTS",V88&gt;0),(Q88-(Q88*V88)/12)*VLOOKUP(T88,ma_miengiam!$A$3:$B$80,2,0)+(Q88-(Q88*(12-V88))/12),IF(AND(RIGHT(T88,1)="K",V88&gt;0),(VLOOKUP(T88,ma_miengiam!$A$3:$B$80,2,0)/2)*(Q88*V88)/12,IF(RIGHT(T88,1)="K",(VLOOKUP(T88,ma_miengiam!$A$3:$B$80,2,0)*Q88)/2,IF(V88&gt;0,VLOOKUP(T88,ma_miengiam!$A$3:$B$80,2,0)*Q88*V88/12,VLOOKUP(T88,ma_miengiam!$A$3:$B$80,2,0)*Q88))))</f>
        <v>40.5</v>
      </c>
      <c r="X88" s="220">
        <f>IF(T88="NTS",VLOOKUP(T88,ma_miengiam!$A$3:$B$80,2,0)*R88*V88,IF(AND(T88="NTS",V88=0),0,IF(AND(LEFT(T88,1)="K",V88=0),VLOOKUP(T88,ma_miengiam!$A$3:$B$80,2,0)*R88,IF(LEFT(T88,1)="K",(VLOOKUP(T88,ma_miengiam!$A$3:$B$80,2,0)*R88/12)*V88,IF(AND(LEFT(T88,1)="S",V88&gt;0),(R88/12)*V88,IF(AND(LEFT(T88,1)="S",V88=0),R88,IF(T88="DH",VLOOKUP(T88,ma_miengiam!$A$3:$B$80,2,0)*R88,0)))))))</f>
        <v>0</v>
      </c>
      <c r="Y88" s="220">
        <f t="shared" si="213"/>
        <v>229.5</v>
      </c>
      <c r="Z88" s="220">
        <f t="shared" si="266"/>
        <v>120</v>
      </c>
      <c r="AA88" s="220">
        <f t="shared" si="269"/>
        <v>270</v>
      </c>
      <c r="AB88" s="220">
        <f t="shared" si="269"/>
        <v>120</v>
      </c>
      <c r="AC88" s="220">
        <f t="shared" si="270"/>
        <v>40.5</v>
      </c>
      <c r="AD88" s="220">
        <f t="shared" si="270"/>
        <v>0</v>
      </c>
      <c r="AE88" s="220">
        <f t="shared" si="270"/>
        <v>229.5</v>
      </c>
      <c r="AF88" s="220">
        <f t="shared" si="270"/>
        <v>120</v>
      </c>
      <c r="AG88" s="220">
        <f t="shared" si="262"/>
        <v>40</v>
      </c>
      <c r="AH88" s="220">
        <f t="shared" si="263"/>
        <v>0</v>
      </c>
      <c r="AI88" s="220">
        <f t="shared" si="264"/>
        <v>40</v>
      </c>
      <c r="AJ88" s="220">
        <f t="shared" si="271"/>
        <v>-80</v>
      </c>
      <c r="AK88" s="216">
        <f t="shared" si="247"/>
        <v>309.5</v>
      </c>
      <c r="AL88" s="220">
        <f t="shared" si="248"/>
        <v>215.9</v>
      </c>
      <c r="AM88" s="220">
        <f t="shared" si="249"/>
        <v>0</v>
      </c>
      <c r="AN88" s="221">
        <f t="shared" si="250"/>
        <v>215.9</v>
      </c>
      <c r="AO88" s="220">
        <f t="shared" si="251"/>
        <v>20</v>
      </c>
      <c r="AP88" s="220">
        <f t="shared" si="252"/>
        <v>15</v>
      </c>
      <c r="AQ88" s="220">
        <f t="shared" si="253"/>
        <v>40</v>
      </c>
      <c r="AR88" s="220">
        <f t="shared" si="254"/>
        <v>40</v>
      </c>
      <c r="AS88" s="220">
        <f t="shared" si="255"/>
        <v>0</v>
      </c>
      <c r="AT88" s="216">
        <f t="shared" si="256"/>
        <v>330.9</v>
      </c>
      <c r="AU88" s="222">
        <f t="shared" si="209"/>
        <v>-93.6</v>
      </c>
      <c r="AV88" s="220"/>
      <c r="AW88" s="220">
        <f t="shared" si="183"/>
        <v>-93.6</v>
      </c>
      <c r="AX88" s="216">
        <f t="shared" si="265"/>
        <v>-93.6</v>
      </c>
      <c r="AY88" s="220">
        <f t="shared" si="193"/>
        <v>0</v>
      </c>
      <c r="AZ88" s="220">
        <f t="shared" si="194"/>
        <v>0</v>
      </c>
      <c r="BA88" s="220">
        <f t="shared" si="195"/>
        <v>0</v>
      </c>
      <c r="BB88" s="220">
        <f t="shared" si="196"/>
        <v>21.399999999999977</v>
      </c>
      <c r="BC88" s="220">
        <f t="shared" si="197"/>
        <v>0</v>
      </c>
      <c r="BD88" s="216">
        <f t="shared" si="184"/>
        <v>21.399999999999977</v>
      </c>
      <c r="BE88" s="220">
        <f t="shared" si="185"/>
        <v>-20</v>
      </c>
      <c r="BF88" s="220">
        <f t="shared" si="186"/>
        <v>-15</v>
      </c>
      <c r="BG88" s="220">
        <f t="shared" si="187"/>
        <v>-40</v>
      </c>
      <c r="BH88" s="220">
        <f t="shared" si="188"/>
        <v>-18.600000000000023</v>
      </c>
      <c r="BI88" s="220">
        <f t="shared" si="189"/>
        <v>0</v>
      </c>
      <c r="BJ88" s="220" t="s">
        <v>2441</v>
      </c>
      <c r="BK88" s="220"/>
      <c r="BL88" s="223">
        <f t="shared" si="257"/>
        <v>0</v>
      </c>
      <c r="BM88" s="220">
        <v>3.99</v>
      </c>
      <c r="BN88" s="220"/>
      <c r="BO88" s="220">
        <f t="shared" si="200"/>
        <v>3.99</v>
      </c>
      <c r="BP88" s="220">
        <f>IF(AND(BL88&gt;0,BL88&lt;tiet!$D$1),BL88,IF(BL88&lt;=0,0,IF(BL88&gt;tiet!$C$1,tiet!$C$1)))</f>
        <v>0</v>
      </c>
      <c r="BQ88" s="87">
        <f t="shared" si="170"/>
        <v>65000</v>
      </c>
      <c r="BR88" s="224">
        <f t="shared" si="171"/>
        <v>0</v>
      </c>
      <c r="BS88" s="220">
        <f t="shared" si="219"/>
        <v>0</v>
      </c>
      <c r="BT88" s="224">
        <f>VLOOKUP(N88,ma_dinhmuc!$A$1:$J$31,10,0)</f>
        <v>51000</v>
      </c>
      <c r="BU88" s="224">
        <f>ROUND(IF(BS88&gt;0,VLOOKUP(N88,ma_dinhmuc!$A$1:$J$31,10,0)*BS88,0),0)</f>
        <v>0</v>
      </c>
      <c r="BV88" s="224">
        <f t="shared" si="172"/>
        <v>0</v>
      </c>
      <c r="BW88" s="224"/>
      <c r="BX88" s="224">
        <v>0</v>
      </c>
      <c r="BY88" s="224"/>
      <c r="BZ88" s="224"/>
      <c r="CA88" s="224"/>
      <c r="CB88" s="224"/>
      <c r="CC88" s="225">
        <f t="shared" si="198"/>
        <v>0</v>
      </c>
      <c r="CD88" s="224">
        <f t="shared" si="199"/>
        <v>0</v>
      </c>
      <c r="CE88" s="224"/>
      <c r="CF88" s="226"/>
      <c r="CG88" s="87"/>
      <c r="CH88" s="87">
        <f t="shared" si="166"/>
        <v>77</v>
      </c>
      <c r="CI88" s="227" t="str">
        <f t="shared" si="258"/>
        <v>Phạm Tuấn</v>
      </c>
      <c r="CJ88" s="227" t="str">
        <f t="shared" si="259"/>
        <v>Anh</v>
      </c>
      <c r="CK88" s="87">
        <f t="shared" si="242"/>
        <v>1</v>
      </c>
      <c r="CL88" s="227" t="str">
        <f t="shared" si="210"/>
        <v>Sinh lý thực vật</v>
      </c>
      <c r="CM88" s="87" t="str">
        <f t="shared" si="190"/>
        <v>CS2</v>
      </c>
      <c r="CN88" s="87">
        <f t="shared" si="267"/>
        <v>270</v>
      </c>
      <c r="CO88" s="87">
        <f t="shared" si="268"/>
        <v>120</v>
      </c>
      <c r="CP88" s="229">
        <f t="shared" si="223"/>
        <v>0</v>
      </c>
      <c r="CQ88" s="229">
        <f t="shared" si="224"/>
        <v>24.5</v>
      </c>
      <c r="CR88" s="229">
        <f t="shared" si="225"/>
        <v>9.9</v>
      </c>
      <c r="CS88" s="229">
        <f t="shared" si="226"/>
        <v>0</v>
      </c>
      <c r="CT88" s="229">
        <f t="shared" si="227"/>
        <v>0</v>
      </c>
      <c r="CU88" s="229">
        <f t="shared" si="228"/>
        <v>84</v>
      </c>
      <c r="CV88" s="229">
        <f t="shared" si="229"/>
        <v>0</v>
      </c>
      <c r="CW88" s="229">
        <f t="shared" si="230"/>
        <v>97.5</v>
      </c>
      <c r="CX88" s="229">
        <f t="shared" si="231"/>
        <v>0</v>
      </c>
      <c r="CY88" s="229">
        <f t="shared" si="232"/>
        <v>20</v>
      </c>
      <c r="CZ88" s="229">
        <f t="shared" si="233"/>
        <v>15</v>
      </c>
      <c r="DA88" s="229">
        <f t="shared" si="234"/>
        <v>40</v>
      </c>
      <c r="DB88" s="228">
        <f t="shared" si="214"/>
        <v>290.89999999999998</v>
      </c>
      <c r="DC88" s="229"/>
      <c r="DD88" s="229"/>
      <c r="DE88" s="229"/>
      <c r="DF88" s="229"/>
      <c r="DG88" s="229"/>
      <c r="DH88" s="229"/>
      <c r="DI88" s="229"/>
      <c r="DJ88" s="229"/>
      <c r="DK88" s="229"/>
      <c r="DL88" s="229"/>
      <c r="DM88" s="229"/>
      <c r="DN88" s="229"/>
      <c r="DO88" s="228">
        <f t="shared" si="215"/>
        <v>0</v>
      </c>
      <c r="DP88" s="228">
        <f t="shared" si="216"/>
        <v>290.89999999999998</v>
      </c>
      <c r="DQ88" s="229">
        <f t="shared" si="235"/>
        <v>0</v>
      </c>
      <c r="DR88" s="229">
        <f t="shared" si="236"/>
        <v>0</v>
      </c>
      <c r="DS88" s="229">
        <f t="shared" si="237"/>
        <v>0</v>
      </c>
      <c r="DT88" s="229">
        <f t="shared" si="238"/>
        <v>0</v>
      </c>
      <c r="DU88" s="229">
        <f t="shared" si="239"/>
        <v>0</v>
      </c>
      <c r="DV88" s="229">
        <f t="shared" si="240"/>
        <v>40</v>
      </c>
      <c r="DW88" s="229">
        <f t="shared" si="241"/>
        <v>0</v>
      </c>
      <c r="DX88" s="228">
        <f t="shared" si="217"/>
        <v>40</v>
      </c>
      <c r="DY88" s="229"/>
      <c r="DZ88" s="229"/>
      <c r="EA88" s="229"/>
      <c r="EB88" s="229"/>
      <c r="EC88" s="229"/>
      <c r="ED88" s="229"/>
      <c r="EE88" s="229"/>
      <c r="EF88" s="228">
        <f t="shared" si="220"/>
        <v>0</v>
      </c>
      <c r="EG88" s="228">
        <f t="shared" si="218"/>
        <v>40</v>
      </c>
      <c r="EH88" s="229">
        <f t="shared" si="221"/>
        <v>40</v>
      </c>
      <c r="EI88" s="229">
        <v>0</v>
      </c>
      <c r="EJ88" s="228">
        <f t="shared" si="206"/>
        <v>40</v>
      </c>
      <c r="EK88" s="229"/>
      <c r="EL88" s="229"/>
      <c r="EM88" s="228">
        <f t="shared" si="176"/>
        <v>0</v>
      </c>
      <c r="EN88" s="229">
        <f t="shared" si="192"/>
        <v>40</v>
      </c>
      <c r="EO88" s="229">
        <f t="shared" si="212"/>
        <v>0</v>
      </c>
      <c r="EP88" s="228">
        <f t="shared" si="177"/>
        <v>40</v>
      </c>
      <c r="EQ88" s="173">
        <f t="shared" si="222"/>
        <v>0</v>
      </c>
      <c r="ER88" s="189">
        <v>0</v>
      </c>
      <c r="ES88" s="189">
        <v>24.5</v>
      </c>
      <c r="ET88" s="189">
        <v>9.9</v>
      </c>
      <c r="EU88" s="189">
        <v>0</v>
      </c>
      <c r="EV88" s="189">
        <v>0</v>
      </c>
      <c r="EW88" s="189">
        <v>84</v>
      </c>
      <c r="EX88" s="189">
        <v>0</v>
      </c>
      <c r="EY88" s="189">
        <v>97.5</v>
      </c>
      <c r="EZ88" s="189">
        <v>0</v>
      </c>
      <c r="FA88" s="189">
        <v>20</v>
      </c>
      <c r="FB88" s="189">
        <v>15</v>
      </c>
      <c r="FC88" s="189">
        <v>40</v>
      </c>
      <c r="FD88" s="189">
        <v>0</v>
      </c>
      <c r="FE88" s="189">
        <v>0</v>
      </c>
      <c r="FF88" s="189">
        <v>0</v>
      </c>
      <c r="FG88" s="189">
        <v>0</v>
      </c>
      <c r="FH88" s="189">
        <v>40</v>
      </c>
      <c r="FI88" s="189">
        <v>0</v>
      </c>
      <c r="FJ88" s="189">
        <v>0</v>
      </c>
      <c r="FK88" s="189">
        <v>330.9</v>
      </c>
      <c r="FL88" s="189">
        <v>269</v>
      </c>
      <c r="FN88" s="132">
        <v>40</v>
      </c>
    </row>
    <row r="89" spans="1:170" ht="30.75" customHeight="1">
      <c r="A89" s="88">
        <f>COUNTIF($H$12:H89,H89)</f>
        <v>78</v>
      </c>
      <c r="B89" s="88" t="s">
        <v>2113</v>
      </c>
      <c r="C89" s="88" t="s">
        <v>438</v>
      </c>
      <c r="D89" s="88"/>
      <c r="E89" s="88"/>
      <c r="F89" s="301" t="s">
        <v>1579</v>
      </c>
      <c r="G89" s="89" t="s">
        <v>2082</v>
      </c>
      <c r="H89" s="88">
        <v>1</v>
      </c>
      <c r="I89" s="88">
        <v>1</v>
      </c>
      <c r="J89" s="88">
        <v>1</v>
      </c>
      <c r="K89" s="90" t="s">
        <v>1134</v>
      </c>
      <c r="L89" s="90" t="s">
        <v>1134</v>
      </c>
      <c r="M89" s="214"/>
      <c r="N89" s="88" t="s">
        <v>1804</v>
      </c>
      <c r="O89" s="216">
        <f t="shared" si="205"/>
        <v>4.32</v>
      </c>
      <c r="P89" s="88" t="str">
        <f t="shared" si="245"/>
        <v>B1_4</v>
      </c>
      <c r="Q89" s="88">
        <f t="shared" si="149"/>
        <v>270</v>
      </c>
      <c r="R89" s="88">
        <f t="shared" si="150"/>
        <v>120</v>
      </c>
      <c r="S89" s="230" t="s">
        <v>2031</v>
      </c>
      <c r="T89" s="88" t="s">
        <v>3091</v>
      </c>
      <c r="U89" s="88">
        <f>IF(RIGHT(T89,1)="K",(VLOOKUP(T89,ma_miengiam!$A$3:$B$80,2,0)*100)/2,VLOOKUP(T89,ma_miengiam!$A$3:$B$80,2,0)*100)</f>
        <v>20</v>
      </c>
      <c r="V89" s="88"/>
      <c r="W89" s="220">
        <f>IF(AND(T89="NTS",V89&gt;0),(Q89-(Q89*V89)/12)*VLOOKUP(T89,ma_miengiam!$A$3:$B$80,2,0)+(Q89-(Q89*(12-V89))/12),IF(AND(RIGHT(T89,1)="K",V89&gt;0),(VLOOKUP(T89,ma_miengiam!$A$3:$B$80,2,0)/2)*(Q89*V89)/12,IF(RIGHT(T89,1)="K",(VLOOKUP(T89,ma_miengiam!$A$3:$B$80,2,0)*Q89)/2,IF(V89&gt;0,VLOOKUP(T89,ma_miengiam!$A$3:$B$80,2,0)*Q89*V89/12,VLOOKUP(T89,ma_miengiam!$A$3:$B$80,2,0)*Q89))))</f>
        <v>54</v>
      </c>
      <c r="X89" s="220">
        <f>IF(T89="NTS",VLOOKUP(T89,ma_miengiam!$A$3:$B$80,2,0)*R89*V89,IF(AND(T89="NTS",V89=0),0,IF(AND(LEFT(T89,1)="K",V89=0),VLOOKUP(T89,ma_miengiam!$A$3:$B$80,2,0)*R89,IF(LEFT(T89,1)="K",(VLOOKUP(T89,ma_miengiam!$A$3:$B$80,2,0)*R89/12)*V89,IF(AND(LEFT(T89,1)="S",V89&gt;0),(R89/12)*V89,IF(AND(LEFT(T89,1)="S",V89=0),R89,IF(T89="DH",VLOOKUP(T89,ma_miengiam!$A$3:$B$80,2,0)*R89,0)))))))</f>
        <v>0</v>
      </c>
      <c r="Y89" s="220">
        <f t="shared" si="213"/>
        <v>216</v>
      </c>
      <c r="Z89" s="220">
        <f t="shared" si="266"/>
        <v>120</v>
      </c>
      <c r="AA89" s="220">
        <f t="shared" si="269"/>
        <v>270</v>
      </c>
      <c r="AB89" s="220">
        <f t="shared" si="269"/>
        <v>120</v>
      </c>
      <c r="AC89" s="220">
        <f t="shared" si="270"/>
        <v>54</v>
      </c>
      <c r="AD89" s="220">
        <f t="shared" si="270"/>
        <v>0</v>
      </c>
      <c r="AE89" s="220">
        <f t="shared" si="270"/>
        <v>216</v>
      </c>
      <c r="AF89" s="220">
        <f t="shared" si="270"/>
        <v>120</v>
      </c>
      <c r="AG89" s="220">
        <f>AH89+AI89</f>
        <v>90</v>
      </c>
      <c r="AH89" s="220">
        <f>EO89</f>
        <v>0</v>
      </c>
      <c r="AI89" s="220">
        <f>EN89</f>
        <v>90</v>
      </c>
      <c r="AJ89" s="220">
        <f t="shared" si="271"/>
        <v>-30</v>
      </c>
      <c r="AK89" s="216">
        <f t="shared" si="247"/>
        <v>246</v>
      </c>
      <c r="AL89" s="220">
        <f t="shared" si="248"/>
        <v>177.7</v>
      </c>
      <c r="AM89" s="220">
        <f t="shared" si="249"/>
        <v>0</v>
      </c>
      <c r="AN89" s="221">
        <f t="shared" si="250"/>
        <v>177.7</v>
      </c>
      <c r="AO89" s="220">
        <f t="shared" si="251"/>
        <v>0</v>
      </c>
      <c r="AP89" s="220">
        <f t="shared" si="252"/>
        <v>0</v>
      </c>
      <c r="AQ89" s="220">
        <f t="shared" si="253"/>
        <v>66</v>
      </c>
      <c r="AR89" s="220">
        <f t="shared" si="254"/>
        <v>68</v>
      </c>
      <c r="AS89" s="220">
        <f t="shared" si="255"/>
        <v>0</v>
      </c>
      <c r="AT89" s="216">
        <f t="shared" si="256"/>
        <v>311.7</v>
      </c>
      <c r="AU89" s="222">
        <f t="shared" si="209"/>
        <v>-68.300000000000011</v>
      </c>
      <c r="AV89" s="220"/>
      <c r="AW89" s="220">
        <f t="shared" si="183"/>
        <v>-68.300000000000011</v>
      </c>
      <c r="AX89" s="216">
        <f t="shared" si="265"/>
        <v>-68.300000000000011</v>
      </c>
      <c r="AY89" s="220">
        <f t="shared" si="193"/>
        <v>0</v>
      </c>
      <c r="AZ89" s="220">
        <f t="shared" si="194"/>
        <v>0</v>
      </c>
      <c r="BA89" s="220">
        <f t="shared" si="195"/>
        <v>0</v>
      </c>
      <c r="BB89" s="220">
        <f t="shared" si="196"/>
        <v>65.699999999999989</v>
      </c>
      <c r="BC89" s="220">
        <f t="shared" si="197"/>
        <v>0</v>
      </c>
      <c r="BD89" s="216">
        <f t="shared" si="184"/>
        <v>65.699999999999989</v>
      </c>
      <c r="BE89" s="220">
        <f t="shared" si="185"/>
        <v>0</v>
      </c>
      <c r="BF89" s="220">
        <f t="shared" si="186"/>
        <v>0</v>
      </c>
      <c r="BG89" s="220">
        <f t="shared" si="187"/>
        <v>-66</v>
      </c>
      <c r="BH89" s="220">
        <f t="shared" si="188"/>
        <v>-2.3000000000000114</v>
      </c>
      <c r="BI89" s="220">
        <f t="shared" si="189"/>
        <v>0</v>
      </c>
      <c r="BJ89" s="220" t="s">
        <v>2441</v>
      </c>
      <c r="BK89" s="220"/>
      <c r="BL89" s="223">
        <f t="shared" si="257"/>
        <v>0</v>
      </c>
      <c r="BM89" s="220">
        <v>4.32</v>
      </c>
      <c r="BN89" s="220"/>
      <c r="BO89" s="220">
        <f t="shared" si="200"/>
        <v>4.32</v>
      </c>
      <c r="BP89" s="220">
        <f>IF(AND(BL89&gt;0,BL89&lt;tiet!$D$1),BL89,IF(BL89&lt;=0,0,IF(BL89&gt;tiet!$C$1,tiet!$C$1)))</f>
        <v>0</v>
      </c>
      <c r="BQ89" s="87">
        <f t="shared" si="170"/>
        <v>65000</v>
      </c>
      <c r="BR89" s="224">
        <f t="shared" si="171"/>
        <v>0</v>
      </c>
      <c r="BS89" s="220">
        <f t="shared" si="219"/>
        <v>0</v>
      </c>
      <c r="BT89" s="224">
        <f>VLOOKUP(N89,ma_dinhmuc!$A$1:$J$31,10,0)</f>
        <v>51000</v>
      </c>
      <c r="BU89" s="224">
        <f>ROUND(IF(BS89&gt;0,VLOOKUP(N89,ma_dinhmuc!$A$1:$J$31,10,0)*BS89,0),0)</f>
        <v>0</v>
      </c>
      <c r="BV89" s="224">
        <f t="shared" si="172"/>
        <v>0</v>
      </c>
      <c r="BW89" s="224"/>
      <c r="BX89" s="224">
        <v>0</v>
      </c>
      <c r="BY89" s="224"/>
      <c r="BZ89" s="224"/>
      <c r="CA89" s="224"/>
      <c r="CB89" s="224"/>
      <c r="CC89" s="225">
        <f>ROUND(IF(BV89+BW89&gt;BX89+BY89+BZ89+CA89+CB89,(BW89+BV89)-(BX89+BY89+BZ89+CA89+CB89+CB89),0),0)</f>
        <v>0</v>
      </c>
      <c r="CD89" s="224">
        <f>ROUND(IF(BV89+BW89&lt;BX89+BY89+BZ89+CA89-CB89,(BX89+BY89+BZ89+CA89-CB89)-(BW89+BV89),0),0)</f>
        <v>0</v>
      </c>
      <c r="CE89" s="224"/>
      <c r="CF89" s="226"/>
      <c r="CG89" s="87"/>
      <c r="CH89" s="87">
        <f t="shared" ref="CH89:CH114" si="272">A89</f>
        <v>78</v>
      </c>
      <c r="CI89" s="227" t="str">
        <f t="shared" si="258"/>
        <v>Trần Anh</v>
      </c>
      <c r="CJ89" s="227" t="str">
        <f t="shared" si="259"/>
        <v>Tuấn</v>
      </c>
      <c r="CK89" s="87">
        <f t="shared" si="242"/>
        <v>1</v>
      </c>
      <c r="CL89" s="227" t="str">
        <f t="shared" si="210"/>
        <v>Sinh lý thực vật</v>
      </c>
      <c r="CM89" s="87" t="str">
        <f t="shared" si="190"/>
        <v>CS2</v>
      </c>
      <c r="CN89" s="87">
        <f t="shared" si="267"/>
        <v>270</v>
      </c>
      <c r="CO89" s="87">
        <f t="shared" si="268"/>
        <v>120</v>
      </c>
      <c r="CP89" s="229">
        <f t="shared" si="223"/>
        <v>0</v>
      </c>
      <c r="CQ89" s="229">
        <f t="shared" si="224"/>
        <v>1.3</v>
      </c>
      <c r="CR89" s="229">
        <f t="shared" si="225"/>
        <v>3.9</v>
      </c>
      <c r="CS89" s="229">
        <f t="shared" si="226"/>
        <v>0</v>
      </c>
      <c r="CT89" s="229">
        <f t="shared" si="227"/>
        <v>0</v>
      </c>
      <c r="CU89" s="229">
        <f t="shared" si="228"/>
        <v>90</v>
      </c>
      <c r="CV89" s="229">
        <f t="shared" si="229"/>
        <v>0</v>
      </c>
      <c r="CW89" s="229">
        <f t="shared" si="230"/>
        <v>82.5</v>
      </c>
      <c r="CX89" s="229">
        <f t="shared" si="231"/>
        <v>0</v>
      </c>
      <c r="CY89" s="229">
        <f t="shared" si="232"/>
        <v>0</v>
      </c>
      <c r="CZ89" s="229">
        <f t="shared" si="233"/>
        <v>0</v>
      </c>
      <c r="DA89" s="229">
        <f t="shared" si="234"/>
        <v>66</v>
      </c>
      <c r="DB89" s="228">
        <f t="shared" si="214"/>
        <v>243.7</v>
      </c>
      <c r="DC89" s="229"/>
      <c r="DD89" s="229"/>
      <c r="DE89" s="229"/>
      <c r="DF89" s="229"/>
      <c r="DG89" s="229"/>
      <c r="DH89" s="229"/>
      <c r="DI89" s="229"/>
      <c r="DJ89" s="229"/>
      <c r="DK89" s="229"/>
      <c r="DL89" s="229"/>
      <c r="DM89" s="229"/>
      <c r="DN89" s="229"/>
      <c r="DO89" s="228">
        <f t="shared" si="215"/>
        <v>0</v>
      </c>
      <c r="DP89" s="228">
        <f t="shared" si="216"/>
        <v>243.7</v>
      </c>
      <c r="DQ89" s="229">
        <f t="shared" si="235"/>
        <v>0</v>
      </c>
      <c r="DR89" s="229">
        <f t="shared" si="236"/>
        <v>0</v>
      </c>
      <c r="DS89" s="229">
        <f t="shared" si="237"/>
        <v>0</v>
      </c>
      <c r="DT89" s="229">
        <f t="shared" si="238"/>
        <v>0</v>
      </c>
      <c r="DU89" s="229">
        <f t="shared" si="239"/>
        <v>0</v>
      </c>
      <c r="DV89" s="229">
        <f t="shared" si="240"/>
        <v>68</v>
      </c>
      <c r="DW89" s="229">
        <f t="shared" si="241"/>
        <v>0</v>
      </c>
      <c r="DX89" s="228">
        <f t="shared" si="217"/>
        <v>68</v>
      </c>
      <c r="DY89" s="229"/>
      <c r="DZ89" s="229"/>
      <c r="EA89" s="229"/>
      <c r="EB89" s="229"/>
      <c r="EC89" s="229"/>
      <c r="ED89" s="229"/>
      <c r="EE89" s="229"/>
      <c r="EF89" s="228">
        <f t="shared" si="220"/>
        <v>0</v>
      </c>
      <c r="EG89" s="228">
        <f t="shared" si="218"/>
        <v>68</v>
      </c>
      <c r="EH89" s="229">
        <f t="shared" si="221"/>
        <v>90</v>
      </c>
      <c r="EI89" s="229">
        <v>0</v>
      </c>
      <c r="EJ89" s="228">
        <f t="shared" si="206"/>
        <v>90</v>
      </c>
      <c r="EK89" s="229"/>
      <c r="EL89" s="229"/>
      <c r="EM89" s="228">
        <f t="shared" ref="EM89:EM104" si="273">SUM(EK89:EL89)</f>
        <v>0</v>
      </c>
      <c r="EN89" s="229">
        <f t="shared" si="192"/>
        <v>90</v>
      </c>
      <c r="EO89" s="229">
        <f t="shared" si="212"/>
        <v>0</v>
      </c>
      <c r="EP89" s="228">
        <f t="shared" ref="EP89:EP104" si="274">EM89+EJ89</f>
        <v>90</v>
      </c>
      <c r="EQ89" s="173">
        <f t="shared" si="222"/>
        <v>0</v>
      </c>
      <c r="ER89" s="189">
        <v>0</v>
      </c>
      <c r="ES89" s="189">
        <v>1.3</v>
      </c>
      <c r="ET89" s="189">
        <v>3.9</v>
      </c>
      <c r="EU89" s="189">
        <v>0</v>
      </c>
      <c r="EV89" s="189">
        <v>0</v>
      </c>
      <c r="EW89" s="189">
        <v>90</v>
      </c>
      <c r="EX89" s="189">
        <v>0</v>
      </c>
      <c r="EY89" s="189">
        <v>82.5</v>
      </c>
      <c r="EZ89" s="189">
        <v>0</v>
      </c>
      <c r="FA89" s="189">
        <v>0</v>
      </c>
      <c r="FB89" s="189">
        <v>0</v>
      </c>
      <c r="FC89" s="189">
        <v>66</v>
      </c>
      <c r="FD89" s="189">
        <v>0</v>
      </c>
      <c r="FE89" s="189">
        <v>0</v>
      </c>
      <c r="FF89" s="189">
        <v>0</v>
      </c>
      <c r="FG89" s="189">
        <v>0</v>
      </c>
      <c r="FH89" s="189">
        <v>68</v>
      </c>
      <c r="FI89" s="189">
        <v>0</v>
      </c>
      <c r="FJ89" s="189">
        <v>0</v>
      </c>
      <c r="FK89" s="189">
        <v>311.7</v>
      </c>
      <c r="FL89" s="189">
        <v>242</v>
      </c>
      <c r="FN89" s="132">
        <v>90</v>
      </c>
    </row>
    <row r="90" spans="1:170" ht="30">
      <c r="A90" s="88">
        <f>COUNTIF($H$12:H90,H90)</f>
        <v>79</v>
      </c>
      <c r="B90" s="88" t="s">
        <v>2114</v>
      </c>
      <c r="C90" s="88" t="s">
        <v>439</v>
      </c>
      <c r="D90" s="88"/>
      <c r="E90" s="88"/>
      <c r="F90" s="301" t="s">
        <v>1580</v>
      </c>
      <c r="G90" s="303" t="s">
        <v>2087</v>
      </c>
      <c r="H90" s="88">
        <v>1</v>
      </c>
      <c r="I90" s="88">
        <v>1</v>
      </c>
      <c r="J90" s="88">
        <v>1</v>
      </c>
      <c r="K90" s="90" t="s">
        <v>1134</v>
      </c>
      <c r="L90" s="90" t="s">
        <v>1134</v>
      </c>
      <c r="M90" s="214"/>
      <c r="N90" s="88" t="s">
        <v>1804</v>
      </c>
      <c r="O90" s="216">
        <f t="shared" si="205"/>
        <v>3.33</v>
      </c>
      <c r="P90" s="88" t="str">
        <f t="shared" si="245"/>
        <v>B1_4</v>
      </c>
      <c r="Q90" s="88">
        <f t="shared" si="149"/>
        <v>270</v>
      </c>
      <c r="R90" s="88">
        <f t="shared" si="150"/>
        <v>120</v>
      </c>
      <c r="S90" s="231" t="s">
        <v>486</v>
      </c>
      <c r="T90" s="88" t="s">
        <v>1326</v>
      </c>
      <c r="U90" s="88">
        <f>IF(RIGHT(T90,1)="K",(VLOOKUP(T90,ma_miengiam!$A$3:$B$80,2,0)*100)/2,VLOOKUP(T90,ma_miengiam!$A$3:$B$80,2,0)*100)</f>
        <v>65</v>
      </c>
      <c r="V90" s="88"/>
      <c r="W90" s="220">
        <f>IF(AND(T90="NTS",V90&gt;0),(Q90-(Q90*V90)/12)*VLOOKUP(T90,ma_miengiam!$A$3:$B$80,2,0)+(Q90-(Q90*(12-V90))/12),IF(AND(RIGHT(T90,1)="K",V90&gt;0),(VLOOKUP(T90,ma_miengiam!$A$3:$B$80,2,0)/2)*(Q90*V90)/12,IF(RIGHT(T90,1)="K",(VLOOKUP(T90,ma_miengiam!$A$3:$B$80,2,0)*Q90)/2,IF(V90&gt;0,VLOOKUP(T90,ma_miengiam!$A$3:$B$80,2,0)*Q90*V90/12,VLOOKUP(T90,ma_miengiam!$A$3:$B$80,2,0)*Q90))))</f>
        <v>175.5</v>
      </c>
      <c r="X90" s="220">
        <f>IF(T90="NTS",VLOOKUP(T90,ma_miengiam!$A$3:$B$80,2,0)*R90*V90,IF(AND(T90="NTS",V90=0),0,IF(AND(LEFT(T90,1)="K",V90=0),VLOOKUP(T90,ma_miengiam!$A$3:$B$80,2,0)*R90,IF(LEFT(T90,1)="K",(VLOOKUP(T90,ma_miengiam!$A$3:$B$80,2,0)*R90/12)*V90,IF(AND(LEFT(T90,1)="S",V90&gt;0),(R90/12)*V90,IF(AND(LEFT(T90,1)="S",V90=0),R90,IF(T90="DH",VLOOKUP(T90,ma_miengiam!$A$3:$B$80,2,0)*R90,0)))))))</f>
        <v>120</v>
      </c>
      <c r="Y90" s="220">
        <f t="shared" si="213"/>
        <v>94.5</v>
      </c>
      <c r="Z90" s="220">
        <f t="shared" si="266"/>
        <v>0</v>
      </c>
      <c r="AA90" s="220">
        <f t="shared" si="269"/>
        <v>270</v>
      </c>
      <c r="AB90" s="220">
        <f t="shared" si="269"/>
        <v>120</v>
      </c>
      <c r="AC90" s="220">
        <f t="shared" si="270"/>
        <v>175.5</v>
      </c>
      <c r="AD90" s="220">
        <f t="shared" si="270"/>
        <v>120</v>
      </c>
      <c r="AE90" s="220">
        <f t="shared" si="270"/>
        <v>94.5</v>
      </c>
      <c r="AF90" s="220">
        <f t="shared" si="270"/>
        <v>0</v>
      </c>
      <c r="AG90" s="220">
        <f t="shared" si="262"/>
        <v>216.76</v>
      </c>
      <c r="AH90" s="220">
        <f t="shared" si="263"/>
        <v>106.76</v>
      </c>
      <c r="AI90" s="220">
        <f t="shared" si="264"/>
        <v>110</v>
      </c>
      <c r="AJ90" s="220">
        <f t="shared" si="271"/>
        <v>0</v>
      </c>
      <c r="AK90" s="216">
        <f t="shared" si="247"/>
        <v>94.5</v>
      </c>
      <c r="AL90" s="220">
        <f t="shared" si="248"/>
        <v>85</v>
      </c>
      <c r="AM90" s="220">
        <f t="shared" si="249"/>
        <v>0</v>
      </c>
      <c r="AN90" s="221">
        <f t="shared" si="250"/>
        <v>85</v>
      </c>
      <c r="AO90" s="220">
        <f t="shared" si="251"/>
        <v>0</v>
      </c>
      <c r="AP90" s="220">
        <f t="shared" si="252"/>
        <v>0</v>
      </c>
      <c r="AQ90" s="220">
        <f t="shared" si="253"/>
        <v>40</v>
      </c>
      <c r="AR90" s="220">
        <f t="shared" si="254"/>
        <v>0</v>
      </c>
      <c r="AS90" s="220">
        <f t="shared" si="255"/>
        <v>0</v>
      </c>
      <c r="AT90" s="216">
        <f t="shared" si="256"/>
        <v>125</v>
      </c>
      <c r="AU90" s="222">
        <f t="shared" si="209"/>
        <v>-9.5</v>
      </c>
      <c r="AV90" s="220"/>
      <c r="AW90" s="220">
        <f t="shared" si="183"/>
        <v>-9.5</v>
      </c>
      <c r="AX90" s="216">
        <f t="shared" si="265"/>
        <v>-9.5</v>
      </c>
      <c r="AY90" s="220">
        <f t="shared" si="193"/>
        <v>0</v>
      </c>
      <c r="AZ90" s="220">
        <f t="shared" si="194"/>
        <v>0</v>
      </c>
      <c r="BA90" s="220">
        <f t="shared" si="195"/>
        <v>30.5</v>
      </c>
      <c r="BB90" s="220">
        <f t="shared" si="196"/>
        <v>0</v>
      </c>
      <c r="BC90" s="220">
        <f t="shared" si="197"/>
        <v>0</v>
      </c>
      <c r="BD90" s="216">
        <f t="shared" si="184"/>
        <v>30.5</v>
      </c>
      <c r="BE90" s="220">
        <f t="shared" si="185"/>
        <v>0</v>
      </c>
      <c r="BF90" s="220">
        <f t="shared" si="186"/>
        <v>0</v>
      </c>
      <c r="BG90" s="220">
        <f t="shared" si="187"/>
        <v>-9.5</v>
      </c>
      <c r="BH90" s="220">
        <f t="shared" si="188"/>
        <v>0</v>
      </c>
      <c r="BI90" s="220">
        <f t="shared" si="189"/>
        <v>0</v>
      </c>
      <c r="BJ90" s="220" t="s">
        <v>2441</v>
      </c>
      <c r="BK90" s="220"/>
      <c r="BL90" s="223">
        <f t="shared" si="257"/>
        <v>0</v>
      </c>
      <c r="BM90" s="220">
        <v>3.33</v>
      </c>
      <c r="BN90" s="220"/>
      <c r="BO90" s="220">
        <f t="shared" si="200"/>
        <v>3.33</v>
      </c>
      <c r="BP90" s="220">
        <f>IF(AND(BL90&gt;0,BL90&lt;tiet!$D$1),BL90,IF(BL90&lt;=0,0,IF(BL90&gt;tiet!$C$1,tiet!$C$1)))</f>
        <v>0</v>
      </c>
      <c r="BQ90" s="87">
        <f t="shared" si="170"/>
        <v>65000</v>
      </c>
      <c r="BR90" s="224">
        <f t="shared" si="171"/>
        <v>0</v>
      </c>
      <c r="BS90" s="220">
        <f t="shared" si="219"/>
        <v>0</v>
      </c>
      <c r="BT90" s="224">
        <f>VLOOKUP(N90,ma_dinhmuc!$A$1:$J$31,10,0)</f>
        <v>51000</v>
      </c>
      <c r="BU90" s="224">
        <f>ROUND(IF(BS90&gt;0,VLOOKUP(N90,ma_dinhmuc!$A$1:$J$31,10,0)*BS90,0),0)</f>
        <v>0</v>
      </c>
      <c r="BV90" s="224">
        <f t="shared" si="172"/>
        <v>0</v>
      </c>
      <c r="BW90" s="224"/>
      <c r="BX90" s="224">
        <v>0</v>
      </c>
      <c r="BY90" s="224"/>
      <c r="BZ90" s="224"/>
      <c r="CA90" s="224"/>
      <c r="CB90" s="224"/>
      <c r="CC90" s="225">
        <f t="shared" si="198"/>
        <v>0</v>
      </c>
      <c r="CD90" s="224">
        <f t="shared" si="199"/>
        <v>0</v>
      </c>
      <c r="CE90" s="224"/>
      <c r="CF90" s="226"/>
      <c r="CG90" s="87"/>
      <c r="CH90" s="87">
        <f t="shared" si="272"/>
        <v>79</v>
      </c>
      <c r="CI90" s="227" t="str">
        <f t="shared" si="258"/>
        <v>Nguyễn Thị Phương</v>
      </c>
      <c r="CJ90" s="227" t="str">
        <f t="shared" si="259"/>
        <v>Dung</v>
      </c>
      <c r="CK90" s="87">
        <f t="shared" si="242"/>
        <v>1</v>
      </c>
      <c r="CL90" s="227" t="str">
        <f t="shared" si="210"/>
        <v>Sinh lý thực vật</v>
      </c>
      <c r="CM90" s="87" t="str">
        <f t="shared" si="190"/>
        <v>CS2</v>
      </c>
      <c r="CN90" s="87">
        <f t="shared" si="267"/>
        <v>270</v>
      </c>
      <c r="CO90" s="87">
        <f t="shared" si="268"/>
        <v>120</v>
      </c>
      <c r="CP90" s="229">
        <f t="shared" si="223"/>
        <v>0</v>
      </c>
      <c r="CQ90" s="229">
        <f t="shared" si="224"/>
        <v>7.1</v>
      </c>
      <c r="CR90" s="229">
        <f t="shared" si="225"/>
        <v>2.9</v>
      </c>
      <c r="CS90" s="229">
        <f t="shared" si="226"/>
        <v>0</v>
      </c>
      <c r="CT90" s="229">
        <f t="shared" si="227"/>
        <v>0</v>
      </c>
      <c r="CU90" s="229">
        <f t="shared" si="228"/>
        <v>30</v>
      </c>
      <c r="CV90" s="229">
        <f t="shared" si="229"/>
        <v>0</v>
      </c>
      <c r="CW90" s="229">
        <f t="shared" si="230"/>
        <v>45</v>
      </c>
      <c r="CX90" s="229">
        <f t="shared" si="231"/>
        <v>0</v>
      </c>
      <c r="CY90" s="229">
        <f t="shared" si="232"/>
        <v>0</v>
      </c>
      <c r="CZ90" s="229">
        <f t="shared" si="233"/>
        <v>0</v>
      </c>
      <c r="DA90" s="229">
        <f t="shared" si="234"/>
        <v>40</v>
      </c>
      <c r="DB90" s="228">
        <f t="shared" si="214"/>
        <v>125</v>
      </c>
      <c r="DC90" s="229"/>
      <c r="DD90" s="229"/>
      <c r="DE90" s="229"/>
      <c r="DF90" s="229"/>
      <c r="DG90" s="229"/>
      <c r="DH90" s="229"/>
      <c r="DI90" s="229"/>
      <c r="DJ90" s="229"/>
      <c r="DK90" s="229"/>
      <c r="DL90" s="229"/>
      <c r="DM90" s="229"/>
      <c r="DN90" s="229"/>
      <c r="DO90" s="228">
        <f t="shared" si="215"/>
        <v>0</v>
      </c>
      <c r="DP90" s="228">
        <f t="shared" si="216"/>
        <v>125</v>
      </c>
      <c r="DQ90" s="229">
        <f t="shared" si="235"/>
        <v>0</v>
      </c>
      <c r="DR90" s="229">
        <f t="shared" si="236"/>
        <v>0</v>
      </c>
      <c r="DS90" s="229">
        <f t="shared" si="237"/>
        <v>0</v>
      </c>
      <c r="DT90" s="229">
        <f t="shared" si="238"/>
        <v>0</v>
      </c>
      <c r="DU90" s="229">
        <f t="shared" si="239"/>
        <v>0</v>
      </c>
      <c r="DV90" s="229">
        <f t="shared" si="240"/>
        <v>0</v>
      </c>
      <c r="DW90" s="229">
        <f t="shared" si="241"/>
        <v>0</v>
      </c>
      <c r="DX90" s="228">
        <f t="shared" si="217"/>
        <v>0</v>
      </c>
      <c r="DY90" s="229"/>
      <c r="DZ90" s="229"/>
      <c r="EA90" s="229"/>
      <c r="EB90" s="229"/>
      <c r="EC90" s="229"/>
      <c r="ED90" s="229"/>
      <c r="EE90" s="229"/>
      <c r="EF90" s="228">
        <f t="shared" si="220"/>
        <v>0</v>
      </c>
      <c r="EG90" s="228">
        <f t="shared" si="218"/>
        <v>0</v>
      </c>
      <c r="EH90" s="229">
        <f t="shared" si="221"/>
        <v>110</v>
      </c>
      <c r="EI90" s="229">
        <v>106.76</v>
      </c>
      <c r="EJ90" s="228">
        <f t="shared" si="206"/>
        <v>216.76</v>
      </c>
      <c r="EK90" s="229"/>
      <c r="EL90" s="229"/>
      <c r="EM90" s="228">
        <f t="shared" si="273"/>
        <v>0</v>
      </c>
      <c r="EN90" s="229">
        <f t="shared" si="192"/>
        <v>110</v>
      </c>
      <c r="EO90" s="229">
        <f t="shared" si="212"/>
        <v>106.76</v>
      </c>
      <c r="EP90" s="228">
        <f t="shared" si="274"/>
        <v>216.76</v>
      </c>
      <c r="EQ90" s="173">
        <f t="shared" si="222"/>
        <v>110</v>
      </c>
      <c r="ER90" s="189">
        <v>0</v>
      </c>
      <c r="ES90" s="189">
        <v>7.1</v>
      </c>
      <c r="ET90" s="189">
        <v>2.9</v>
      </c>
      <c r="EU90" s="189">
        <v>0</v>
      </c>
      <c r="EV90" s="189">
        <v>0</v>
      </c>
      <c r="EW90" s="189">
        <v>30</v>
      </c>
      <c r="EX90" s="189">
        <v>0</v>
      </c>
      <c r="EY90" s="189">
        <v>45</v>
      </c>
      <c r="EZ90" s="189">
        <v>0</v>
      </c>
      <c r="FA90" s="189">
        <v>0</v>
      </c>
      <c r="FB90" s="189">
        <v>0</v>
      </c>
      <c r="FC90" s="189">
        <v>40</v>
      </c>
      <c r="FD90" s="189">
        <v>0</v>
      </c>
      <c r="FE90" s="189">
        <v>0</v>
      </c>
      <c r="FF90" s="189">
        <v>0</v>
      </c>
      <c r="FG90" s="189">
        <v>0</v>
      </c>
      <c r="FH90" s="189">
        <v>0</v>
      </c>
      <c r="FI90" s="189">
        <v>0</v>
      </c>
      <c r="FJ90" s="189">
        <v>0</v>
      </c>
      <c r="FK90" s="189">
        <v>125</v>
      </c>
      <c r="FL90" s="189">
        <v>117</v>
      </c>
      <c r="FN90" s="132">
        <v>110</v>
      </c>
    </row>
    <row r="91" spans="1:170" ht="30" customHeight="1">
      <c r="A91" s="88">
        <f>COUNTIF($H$12:H91,H91)</f>
        <v>80</v>
      </c>
      <c r="B91" s="88" t="s">
        <v>2115</v>
      </c>
      <c r="C91" s="88" t="s">
        <v>440</v>
      </c>
      <c r="D91" s="88"/>
      <c r="E91" s="88"/>
      <c r="F91" s="301" t="s">
        <v>2895</v>
      </c>
      <c r="G91" s="89" t="s">
        <v>1581</v>
      </c>
      <c r="H91" s="88">
        <v>1</v>
      </c>
      <c r="I91" s="88">
        <v>1</v>
      </c>
      <c r="J91" s="88">
        <v>1</v>
      </c>
      <c r="K91" s="90" t="s">
        <v>1134</v>
      </c>
      <c r="L91" s="90" t="s">
        <v>1134</v>
      </c>
      <c r="M91" s="214"/>
      <c r="N91" s="88" t="s">
        <v>606</v>
      </c>
      <c r="O91" s="216">
        <f t="shared" si="205"/>
        <v>6.1</v>
      </c>
      <c r="P91" s="88" t="str">
        <f t="shared" si="245"/>
        <v>B1_6</v>
      </c>
      <c r="Q91" s="88">
        <f t="shared" si="149"/>
        <v>270</v>
      </c>
      <c r="R91" s="88">
        <f t="shared" si="150"/>
        <v>170</v>
      </c>
      <c r="S91" s="231"/>
      <c r="T91" s="88" t="s">
        <v>3088</v>
      </c>
      <c r="U91" s="88">
        <f>IF(RIGHT(T91,1)="K",(VLOOKUP(T91,ma_miengiam!$A$3:$B$80,2,0)*100)/2,VLOOKUP(T91,ma_miengiam!$A$3:$B$80,2,0)*100)</f>
        <v>0</v>
      </c>
      <c r="V91" s="88"/>
      <c r="W91" s="220">
        <f>IF(AND(T91="NTS",V91&gt;0),(Q91-(Q91*V91)/12)*VLOOKUP(T91,ma_miengiam!$A$3:$B$80,2,0)+(Q91-(Q91*(12-V91))/12),IF(AND(RIGHT(T91,1)="K",V91&gt;0),(VLOOKUP(T91,ma_miengiam!$A$3:$B$80,2,0)/2)*(Q91*V91)/12,IF(RIGHT(T91,1)="K",(VLOOKUP(T91,ma_miengiam!$A$3:$B$80,2,0)*Q91)/2,IF(V91&gt;0,VLOOKUP(T91,ma_miengiam!$A$3:$B$80,2,0)*Q91*V91/12,VLOOKUP(T91,ma_miengiam!$A$3:$B$80,2,0)*Q91))))</f>
        <v>0</v>
      </c>
      <c r="X91" s="220">
        <f>IF(T91="NTS",VLOOKUP(T91,ma_miengiam!$A$3:$B$80,2,0)*R91*V91,IF(AND(T91="NTS",V91=0),0,IF(AND(LEFT(T91,1)="K",V91=0),VLOOKUP(T91,ma_miengiam!$A$3:$B$80,2,0)*R91,IF(LEFT(T91,1)="K",(VLOOKUP(T91,ma_miengiam!$A$3:$B$80,2,0)*R91/12)*V91,IF(AND(LEFT(T91,1)="S",V91&gt;0),(R91/12)*V91,IF(AND(LEFT(T91,1)="S",V91=0),R91,IF(T91="DH",VLOOKUP(T91,ma_miengiam!$A$3:$B$80,2,0)*R91,0)))))))</f>
        <v>0</v>
      </c>
      <c r="Y91" s="220">
        <f t="shared" si="213"/>
        <v>270</v>
      </c>
      <c r="Z91" s="220">
        <f t="shared" si="266"/>
        <v>170</v>
      </c>
      <c r="AA91" s="220">
        <f t="shared" ref="AA91:AA102" si="275">Q91</f>
        <v>270</v>
      </c>
      <c r="AB91" s="220">
        <f t="shared" ref="AB91:AB102" si="276">R91</f>
        <v>170</v>
      </c>
      <c r="AC91" s="220">
        <f t="shared" ref="AC91:AF92" si="277">W91</f>
        <v>0</v>
      </c>
      <c r="AD91" s="220">
        <f t="shared" si="277"/>
        <v>0</v>
      </c>
      <c r="AE91" s="220">
        <f t="shared" si="277"/>
        <v>270</v>
      </c>
      <c r="AF91" s="220">
        <f t="shared" si="277"/>
        <v>170</v>
      </c>
      <c r="AG91" s="220">
        <f t="shared" ref="AG91:AG101" si="278">AH91+AI91</f>
        <v>0</v>
      </c>
      <c r="AH91" s="220">
        <f t="shared" ref="AH91:AH101" si="279">EO91</f>
        <v>0</v>
      </c>
      <c r="AI91" s="220">
        <f t="shared" ref="AI91:AI101" si="280">EN91</f>
        <v>0</v>
      </c>
      <c r="AJ91" s="220">
        <f t="shared" si="271"/>
        <v>-170</v>
      </c>
      <c r="AK91" s="216">
        <f t="shared" si="247"/>
        <v>440</v>
      </c>
      <c r="AL91" s="220">
        <f t="shared" si="248"/>
        <v>90.6</v>
      </c>
      <c r="AM91" s="220">
        <f t="shared" si="249"/>
        <v>0</v>
      </c>
      <c r="AN91" s="221">
        <f t="shared" si="250"/>
        <v>90.6</v>
      </c>
      <c r="AO91" s="220">
        <f t="shared" si="251"/>
        <v>0</v>
      </c>
      <c r="AP91" s="220">
        <f t="shared" si="252"/>
        <v>0</v>
      </c>
      <c r="AQ91" s="220">
        <f t="shared" si="253"/>
        <v>100</v>
      </c>
      <c r="AR91" s="220">
        <f t="shared" si="254"/>
        <v>40</v>
      </c>
      <c r="AS91" s="220">
        <f t="shared" si="255"/>
        <v>0</v>
      </c>
      <c r="AT91" s="216">
        <f t="shared" si="256"/>
        <v>230.6</v>
      </c>
      <c r="AU91" s="222">
        <f t="shared" si="209"/>
        <v>-349.4</v>
      </c>
      <c r="AV91" s="220"/>
      <c r="AW91" s="220">
        <f t="shared" si="183"/>
        <v>-349.4</v>
      </c>
      <c r="AX91" s="216">
        <f t="shared" si="265"/>
        <v>-349.4</v>
      </c>
      <c r="AY91" s="220">
        <f t="shared" si="193"/>
        <v>0</v>
      </c>
      <c r="AZ91" s="220">
        <f t="shared" si="194"/>
        <v>0</v>
      </c>
      <c r="BA91" s="220">
        <f t="shared" si="195"/>
        <v>0</v>
      </c>
      <c r="BB91" s="220">
        <f t="shared" si="196"/>
        <v>0</v>
      </c>
      <c r="BC91" s="220">
        <f t="shared" si="197"/>
        <v>0</v>
      </c>
      <c r="BD91" s="216">
        <f t="shared" si="184"/>
        <v>0</v>
      </c>
      <c r="BE91" s="220">
        <f t="shared" si="185"/>
        <v>0</v>
      </c>
      <c r="BF91" s="220">
        <f t="shared" si="186"/>
        <v>0</v>
      </c>
      <c r="BG91" s="220">
        <f t="shared" si="187"/>
        <v>-100</v>
      </c>
      <c r="BH91" s="220">
        <f t="shared" si="188"/>
        <v>-40</v>
      </c>
      <c r="BI91" s="220">
        <f t="shared" si="189"/>
        <v>0</v>
      </c>
      <c r="BJ91" s="220" t="s">
        <v>2441</v>
      </c>
      <c r="BK91" s="220"/>
      <c r="BL91" s="223">
        <f t="shared" si="257"/>
        <v>0</v>
      </c>
      <c r="BM91" s="220">
        <v>6.1</v>
      </c>
      <c r="BN91" s="220"/>
      <c r="BO91" s="220">
        <f t="shared" ref="BO91:BO99" si="281">ROUND(BM91+(BM91*BN91),2)</f>
        <v>6.1</v>
      </c>
      <c r="BP91" s="220">
        <f>IF(AND(BL91&gt;0,BL91&lt;tiet!$D$1),BL91,IF(BL91&lt;=0,0,IF(BL91&gt;tiet!$C$1,tiet!$C$1)))</f>
        <v>0</v>
      </c>
      <c r="BQ91" s="87">
        <f t="shared" si="170"/>
        <v>75000</v>
      </c>
      <c r="BR91" s="224">
        <f t="shared" si="171"/>
        <v>0</v>
      </c>
      <c r="BS91" s="220">
        <f t="shared" si="219"/>
        <v>0</v>
      </c>
      <c r="BT91" s="224">
        <f>VLOOKUP(N91,ma_dinhmuc!$A$1:$J$31,10,0)</f>
        <v>55000</v>
      </c>
      <c r="BU91" s="224">
        <f>ROUND(IF(BS91&gt;0,VLOOKUP(N91,ma_dinhmuc!$A$1:$J$31,10,0)*BS91,0),0)</f>
        <v>0</v>
      </c>
      <c r="BV91" s="224">
        <f t="shared" si="172"/>
        <v>0</v>
      </c>
      <c r="BW91" s="224"/>
      <c r="BX91" s="224">
        <v>0</v>
      </c>
      <c r="BY91" s="224"/>
      <c r="BZ91" s="224"/>
      <c r="CA91" s="224"/>
      <c r="CB91" s="224"/>
      <c r="CC91" s="225">
        <f>ROUND(IF(BV91+BW91&gt;BX91+BY91+BZ91+CA91+CB91,(BW91+BV91)-(BX91+BY91+BZ91+CA91+CB91+CB91),0),0)</f>
        <v>0</v>
      </c>
      <c r="CD91" s="224">
        <f>ROUND(IF(BV91+BW91&lt;BX91+BY91+BZ91+CA91-CB91,(BX91+BY91+BZ91+CA91-CB91)-(BW91+BV91),0),0)</f>
        <v>0</v>
      </c>
      <c r="CE91" s="224"/>
      <c r="CF91" s="226"/>
      <c r="CG91" s="87"/>
      <c r="CH91" s="87">
        <f t="shared" si="272"/>
        <v>80</v>
      </c>
      <c r="CI91" s="227" t="str">
        <f t="shared" si="258"/>
        <v>Nguyễn Văn</v>
      </c>
      <c r="CJ91" s="227" t="str">
        <f t="shared" si="259"/>
        <v>Phú</v>
      </c>
      <c r="CK91" s="87">
        <f t="shared" si="242"/>
        <v>1</v>
      </c>
      <c r="CL91" s="227" t="str">
        <f t="shared" ref="CL91:CL99" si="282">L91</f>
        <v>Sinh lý thực vật</v>
      </c>
      <c r="CM91" s="87" t="str">
        <f t="shared" si="190"/>
        <v>CS3</v>
      </c>
      <c r="CN91" s="87">
        <f t="shared" si="267"/>
        <v>270</v>
      </c>
      <c r="CO91" s="87">
        <f t="shared" si="268"/>
        <v>170</v>
      </c>
      <c r="CP91" s="229">
        <f t="shared" si="223"/>
        <v>0</v>
      </c>
      <c r="CQ91" s="229">
        <f t="shared" si="224"/>
        <v>18.8</v>
      </c>
      <c r="CR91" s="229">
        <f t="shared" si="225"/>
        <v>7.6</v>
      </c>
      <c r="CS91" s="229">
        <f t="shared" si="226"/>
        <v>0</v>
      </c>
      <c r="CT91" s="229">
        <f t="shared" si="227"/>
        <v>0</v>
      </c>
      <c r="CU91" s="229">
        <f t="shared" si="228"/>
        <v>64.2</v>
      </c>
      <c r="CV91" s="229">
        <f t="shared" si="229"/>
        <v>0</v>
      </c>
      <c r="CW91" s="229">
        <f t="shared" si="230"/>
        <v>0</v>
      </c>
      <c r="CX91" s="229">
        <f t="shared" si="231"/>
        <v>0</v>
      </c>
      <c r="CY91" s="229">
        <f t="shared" si="232"/>
        <v>0</v>
      </c>
      <c r="CZ91" s="229">
        <f t="shared" si="233"/>
        <v>0</v>
      </c>
      <c r="DA91" s="229">
        <f t="shared" si="234"/>
        <v>100</v>
      </c>
      <c r="DB91" s="228">
        <f t="shared" si="214"/>
        <v>190.6</v>
      </c>
      <c r="DC91" s="229"/>
      <c r="DD91" s="229"/>
      <c r="DE91" s="229"/>
      <c r="DF91" s="229"/>
      <c r="DG91" s="229"/>
      <c r="DH91" s="229"/>
      <c r="DI91" s="229"/>
      <c r="DJ91" s="229"/>
      <c r="DK91" s="229"/>
      <c r="DL91" s="229"/>
      <c r="DM91" s="229"/>
      <c r="DN91" s="229"/>
      <c r="DO91" s="228">
        <f t="shared" si="215"/>
        <v>0</v>
      </c>
      <c r="DP91" s="228">
        <f t="shared" si="216"/>
        <v>190.6</v>
      </c>
      <c r="DQ91" s="229">
        <f t="shared" si="235"/>
        <v>0</v>
      </c>
      <c r="DR91" s="229">
        <f t="shared" si="236"/>
        <v>0</v>
      </c>
      <c r="DS91" s="229">
        <f t="shared" si="237"/>
        <v>0</v>
      </c>
      <c r="DT91" s="229">
        <f t="shared" si="238"/>
        <v>0</v>
      </c>
      <c r="DU91" s="229">
        <f t="shared" si="239"/>
        <v>0</v>
      </c>
      <c r="DV91" s="229">
        <f t="shared" si="240"/>
        <v>40</v>
      </c>
      <c r="DW91" s="229">
        <f t="shared" si="241"/>
        <v>0</v>
      </c>
      <c r="DX91" s="228">
        <f t="shared" si="217"/>
        <v>40</v>
      </c>
      <c r="DY91" s="229"/>
      <c r="DZ91" s="229"/>
      <c r="EA91" s="229"/>
      <c r="EB91" s="229"/>
      <c r="EC91" s="229"/>
      <c r="ED91" s="229"/>
      <c r="EE91" s="229"/>
      <c r="EF91" s="228">
        <f t="shared" si="220"/>
        <v>0</v>
      </c>
      <c r="EG91" s="228">
        <f t="shared" si="218"/>
        <v>40</v>
      </c>
      <c r="EH91" s="229">
        <f t="shared" si="221"/>
        <v>0</v>
      </c>
      <c r="EI91" s="229">
        <v>0</v>
      </c>
      <c r="EJ91" s="228">
        <f t="shared" ref="EJ91:EJ99" si="283">SUM(EH91:EI91)</f>
        <v>0</v>
      </c>
      <c r="EK91" s="229"/>
      <c r="EL91" s="229"/>
      <c r="EM91" s="228">
        <f t="shared" si="273"/>
        <v>0</v>
      </c>
      <c r="EN91" s="229">
        <f t="shared" si="192"/>
        <v>0</v>
      </c>
      <c r="EO91" s="229">
        <f t="shared" si="212"/>
        <v>0</v>
      </c>
      <c r="EP91" s="228">
        <f t="shared" si="274"/>
        <v>0</v>
      </c>
      <c r="EQ91" s="173">
        <f t="shared" si="222"/>
        <v>0</v>
      </c>
      <c r="ER91" s="189">
        <v>0</v>
      </c>
      <c r="ES91" s="189">
        <v>18.8</v>
      </c>
      <c r="ET91" s="189">
        <v>7.6</v>
      </c>
      <c r="EU91" s="189">
        <v>0</v>
      </c>
      <c r="EV91" s="189">
        <v>0</v>
      </c>
      <c r="EW91" s="189">
        <v>64.2</v>
      </c>
      <c r="EX91" s="189">
        <v>0</v>
      </c>
      <c r="EY91" s="189">
        <v>0</v>
      </c>
      <c r="EZ91" s="189">
        <v>0</v>
      </c>
      <c r="FA91" s="189">
        <v>0</v>
      </c>
      <c r="FB91" s="189">
        <v>0</v>
      </c>
      <c r="FC91" s="189">
        <v>100</v>
      </c>
      <c r="FD91" s="189">
        <v>0</v>
      </c>
      <c r="FE91" s="189">
        <v>0</v>
      </c>
      <c r="FF91" s="189">
        <v>0</v>
      </c>
      <c r="FG91" s="189">
        <v>0</v>
      </c>
      <c r="FH91" s="189">
        <v>40</v>
      </c>
      <c r="FI91" s="189">
        <v>0</v>
      </c>
      <c r="FJ91" s="189">
        <v>0</v>
      </c>
      <c r="FK91" s="189">
        <v>230.6</v>
      </c>
      <c r="FL91" s="189">
        <v>204</v>
      </c>
      <c r="FN91" s="132">
        <v>0</v>
      </c>
    </row>
    <row r="92" spans="1:170" ht="30" customHeight="1">
      <c r="A92" s="88">
        <f>COUNTIF($H$12:H92,H92)</f>
        <v>81</v>
      </c>
      <c r="B92" s="88" t="s">
        <v>2116</v>
      </c>
      <c r="C92" s="88" t="s">
        <v>441</v>
      </c>
      <c r="D92" s="88"/>
      <c r="E92" s="88"/>
      <c r="F92" s="301" t="s">
        <v>1582</v>
      </c>
      <c r="G92" s="89" t="s">
        <v>2852</v>
      </c>
      <c r="H92" s="88">
        <v>1</v>
      </c>
      <c r="I92" s="88">
        <v>1</v>
      </c>
      <c r="J92" s="88">
        <v>1</v>
      </c>
      <c r="K92" s="90" t="s">
        <v>1134</v>
      </c>
      <c r="L92" s="90" t="s">
        <v>1134</v>
      </c>
      <c r="M92" s="214"/>
      <c r="N92" s="88" t="s">
        <v>1804</v>
      </c>
      <c r="O92" s="216">
        <f t="shared" si="205"/>
        <v>3</v>
      </c>
      <c r="P92" s="88" t="str">
        <f t="shared" si="245"/>
        <v>B1_3</v>
      </c>
      <c r="Q92" s="88">
        <f t="shared" si="149"/>
        <v>270</v>
      </c>
      <c r="R92" s="88">
        <f t="shared" si="150"/>
        <v>100</v>
      </c>
      <c r="S92" s="230" t="s">
        <v>1857</v>
      </c>
      <c r="T92" s="88" t="s">
        <v>3088</v>
      </c>
      <c r="U92" s="88">
        <f>IF(RIGHT(T92,1)="K",(VLOOKUP(T92,ma_miengiam!$A$3:$B$80,2,0)*100)/2,VLOOKUP(T92,ma_miengiam!$A$3:$B$80,2,0)*100)</f>
        <v>0</v>
      </c>
      <c r="V92" s="88"/>
      <c r="W92" s="220">
        <f>IF(AND(T92="NTS",V92&gt;0),(Q92-(Q92*V92)/12)*VLOOKUP(T92,ma_miengiam!$A$3:$B$80,2,0)+(Q92-(Q92*(12-V92))/12),IF(AND(RIGHT(T92,1)="K",V92&gt;0),(VLOOKUP(T92,ma_miengiam!$A$3:$B$80,2,0)/2)*(Q92*V92)/12,IF(RIGHT(T92,1)="K",(VLOOKUP(T92,ma_miengiam!$A$3:$B$80,2,0)*Q92)/2,IF(V92&gt;0,VLOOKUP(T92,ma_miengiam!$A$3:$B$80,2,0)*Q92*V92/12,VLOOKUP(T92,ma_miengiam!$A$3:$B$80,2,0)*Q92))))</f>
        <v>0</v>
      </c>
      <c r="X92" s="220">
        <f>IF(T92="NTS",VLOOKUP(T92,ma_miengiam!$A$3:$B$80,2,0)*R92*V92,IF(AND(T92="NTS",V92=0),0,IF(AND(LEFT(T92,1)="K",V92=0),VLOOKUP(T92,ma_miengiam!$A$3:$B$80,2,0)*R92,IF(LEFT(T92,1)="K",(VLOOKUP(T92,ma_miengiam!$A$3:$B$80,2,0)*R92/12)*V92,IF(AND(LEFT(T92,1)="S",V92&gt;0),(R92/12)*V92,IF(AND(LEFT(T92,1)="S",V92=0),R92,IF(T92="DH",VLOOKUP(T92,ma_miengiam!$A$3:$B$80,2,0)*R92,0)))))))</f>
        <v>0</v>
      </c>
      <c r="Y92" s="220">
        <f t="shared" si="213"/>
        <v>270</v>
      </c>
      <c r="Z92" s="220">
        <f t="shared" si="266"/>
        <v>100</v>
      </c>
      <c r="AA92" s="220">
        <f t="shared" si="275"/>
        <v>270</v>
      </c>
      <c r="AB92" s="220">
        <f t="shared" si="276"/>
        <v>100</v>
      </c>
      <c r="AC92" s="220">
        <f t="shared" si="277"/>
        <v>0</v>
      </c>
      <c r="AD92" s="220">
        <f t="shared" si="277"/>
        <v>0</v>
      </c>
      <c r="AE92" s="220">
        <f t="shared" si="277"/>
        <v>270</v>
      </c>
      <c r="AF92" s="220">
        <f t="shared" si="277"/>
        <v>100</v>
      </c>
      <c r="AG92" s="220">
        <f t="shared" si="278"/>
        <v>189.09</v>
      </c>
      <c r="AH92" s="220">
        <f t="shared" si="279"/>
        <v>44.09</v>
      </c>
      <c r="AI92" s="220">
        <f t="shared" si="280"/>
        <v>145</v>
      </c>
      <c r="AJ92" s="220">
        <f t="shared" si="271"/>
        <v>0</v>
      </c>
      <c r="AK92" s="216">
        <f t="shared" si="247"/>
        <v>270</v>
      </c>
      <c r="AL92" s="220">
        <f t="shared" si="248"/>
        <v>233.2</v>
      </c>
      <c r="AM92" s="220">
        <f t="shared" si="249"/>
        <v>0</v>
      </c>
      <c r="AN92" s="221">
        <f t="shared" si="250"/>
        <v>233.2</v>
      </c>
      <c r="AO92" s="220">
        <f t="shared" si="251"/>
        <v>20</v>
      </c>
      <c r="AP92" s="220">
        <f t="shared" si="252"/>
        <v>0</v>
      </c>
      <c r="AQ92" s="220">
        <f t="shared" si="253"/>
        <v>40</v>
      </c>
      <c r="AR92" s="220">
        <f t="shared" si="254"/>
        <v>0</v>
      </c>
      <c r="AS92" s="220">
        <f t="shared" si="255"/>
        <v>0</v>
      </c>
      <c r="AT92" s="216">
        <f t="shared" si="256"/>
        <v>293.2</v>
      </c>
      <c r="AU92" s="222">
        <f t="shared" si="209"/>
        <v>-36.800000000000011</v>
      </c>
      <c r="AV92" s="220"/>
      <c r="AW92" s="220">
        <f t="shared" si="183"/>
        <v>-36.800000000000011</v>
      </c>
      <c r="AX92" s="216">
        <f t="shared" si="265"/>
        <v>-36.800000000000011</v>
      </c>
      <c r="AY92" s="220">
        <f t="shared" si="193"/>
        <v>0</v>
      </c>
      <c r="AZ92" s="220">
        <f t="shared" si="194"/>
        <v>0</v>
      </c>
      <c r="BA92" s="220">
        <f t="shared" si="195"/>
        <v>23.199999999999989</v>
      </c>
      <c r="BB92" s="220">
        <f t="shared" si="196"/>
        <v>0</v>
      </c>
      <c r="BC92" s="220">
        <f t="shared" si="197"/>
        <v>0</v>
      </c>
      <c r="BD92" s="216">
        <f t="shared" si="184"/>
        <v>23.199999999999989</v>
      </c>
      <c r="BE92" s="220">
        <f t="shared" si="185"/>
        <v>-20</v>
      </c>
      <c r="BF92" s="220">
        <f t="shared" si="186"/>
        <v>0</v>
      </c>
      <c r="BG92" s="220">
        <f t="shared" si="187"/>
        <v>-16.800000000000011</v>
      </c>
      <c r="BH92" s="220">
        <f t="shared" si="188"/>
        <v>0</v>
      </c>
      <c r="BI92" s="220">
        <f t="shared" si="189"/>
        <v>0</v>
      </c>
      <c r="BJ92" s="220" t="s">
        <v>2441</v>
      </c>
      <c r="BK92" s="220"/>
      <c r="BL92" s="223">
        <f t="shared" si="257"/>
        <v>0</v>
      </c>
      <c r="BM92" s="220">
        <v>3</v>
      </c>
      <c r="BN92" s="220"/>
      <c r="BO92" s="220">
        <f t="shared" si="281"/>
        <v>3</v>
      </c>
      <c r="BP92" s="220">
        <f>IF(AND(BL92&gt;0,BL92&lt;tiet!$D$1),BL92,IF(BL92&lt;=0,0,IF(BL92&gt;tiet!$C$1,tiet!$C$1)))</f>
        <v>0</v>
      </c>
      <c r="BQ92" s="87">
        <f t="shared" si="170"/>
        <v>60000</v>
      </c>
      <c r="BR92" s="224">
        <f t="shared" si="171"/>
        <v>0</v>
      </c>
      <c r="BS92" s="220">
        <f t="shared" si="219"/>
        <v>0</v>
      </c>
      <c r="BT92" s="224">
        <f>VLOOKUP(N92,ma_dinhmuc!$A$1:$J$31,10,0)</f>
        <v>51000</v>
      </c>
      <c r="BU92" s="224">
        <f>ROUND(IF(BS92&gt;0,VLOOKUP(N92,ma_dinhmuc!$A$1:$J$31,10,0)*BS92,0),0)</f>
        <v>0</v>
      </c>
      <c r="BV92" s="224">
        <f t="shared" si="172"/>
        <v>0</v>
      </c>
      <c r="BW92" s="224"/>
      <c r="BX92" s="224">
        <v>0</v>
      </c>
      <c r="BY92" s="224"/>
      <c r="BZ92" s="224"/>
      <c r="CA92" s="224"/>
      <c r="CB92" s="224"/>
      <c r="CC92" s="225">
        <f t="shared" si="198"/>
        <v>0</v>
      </c>
      <c r="CD92" s="224">
        <f t="shared" si="199"/>
        <v>0</v>
      </c>
      <c r="CE92" s="224"/>
      <c r="CF92" s="226"/>
      <c r="CG92" s="87"/>
      <c r="CH92" s="87">
        <f t="shared" si="272"/>
        <v>81</v>
      </c>
      <c r="CI92" s="227" t="str">
        <f t="shared" si="258"/>
        <v>Vũ Tiến</v>
      </c>
      <c r="CJ92" s="227" t="str">
        <f t="shared" si="259"/>
        <v>Bình</v>
      </c>
      <c r="CK92" s="87">
        <f t="shared" si="242"/>
        <v>1</v>
      </c>
      <c r="CL92" s="227" t="str">
        <f t="shared" si="282"/>
        <v>Sinh lý thực vật</v>
      </c>
      <c r="CM92" s="87" t="str">
        <f t="shared" si="190"/>
        <v>CS2</v>
      </c>
      <c r="CN92" s="87">
        <f t="shared" si="267"/>
        <v>270</v>
      </c>
      <c r="CO92" s="87">
        <f t="shared" si="268"/>
        <v>100</v>
      </c>
      <c r="CP92" s="229">
        <f t="shared" si="223"/>
        <v>0</v>
      </c>
      <c r="CQ92" s="229">
        <f t="shared" si="224"/>
        <v>21.9</v>
      </c>
      <c r="CR92" s="229">
        <f t="shared" si="225"/>
        <v>8.8000000000000007</v>
      </c>
      <c r="CS92" s="229">
        <f t="shared" si="226"/>
        <v>0</v>
      </c>
      <c r="CT92" s="229">
        <f t="shared" si="227"/>
        <v>0</v>
      </c>
      <c r="CU92" s="229">
        <f t="shared" si="228"/>
        <v>75</v>
      </c>
      <c r="CV92" s="229">
        <f t="shared" si="229"/>
        <v>0</v>
      </c>
      <c r="CW92" s="229">
        <f t="shared" si="230"/>
        <v>127.5</v>
      </c>
      <c r="CX92" s="229">
        <f t="shared" si="231"/>
        <v>0</v>
      </c>
      <c r="CY92" s="229">
        <f t="shared" si="232"/>
        <v>20</v>
      </c>
      <c r="CZ92" s="229">
        <f t="shared" si="233"/>
        <v>0</v>
      </c>
      <c r="DA92" s="229">
        <f t="shared" si="234"/>
        <v>40</v>
      </c>
      <c r="DB92" s="228">
        <f t="shared" si="214"/>
        <v>293.2</v>
      </c>
      <c r="DC92" s="229"/>
      <c r="DD92" s="229"/>
      <c r="DE92" s="229"/>
      <c r="DF92" s="229"/>
      <c r="DG92" s="229"/>
      <c r="DH92" s="229"/>
      <c r="DI92" s="229"/>
      <c r="DJ92" s="229"/>
      <c r="DK92" s="229"/>
      <c r="DL92" s="229"/>
      <c r="DM92" s="229"/>
      <c r="DN92" s="229"/>
      <c r="DO92" s="228">
        <f t="shared" si="215"/>
        <v>0</v>
      </c>
      <c r="DP92" s="228">
        <f t="shared" si="216"/>
        <v>293.2</v>
      </c>
      <c r="DQ92" s="229">
        <f t="shared" si="235"/>
        <v>0</v>
      </c>
      <c r="DR92" s="229">
        <f t="shared" si="236"/>
        <v>0</v>
      </c>
      <c r="DS92" s="229">
        <f t="shared" si="237"/>
        <v>0</v>
      </c>
      <c r="DT92" s="229">
        <f t="shared" si="238"/>
        <v>0</v>
      </c>
      <c r="DU92" s="229">
        <f t="shared" si="239"/>
        <v>0</v>
      </c>
      <c r="DV92" s="229">
        <f t="shared" si="240"/>
        <v>0</v>
      </c>
      <c r="DW92" s="229">
        <f t="shared" si="241"/>
        <v>0</v>
      </c>
      <c r="DX92" s="228">
        <f t="shared" si="217"/>
        <v>0</v>
      </c>
      <c r="DY92" s="229"/>
      <c r="DZ92" s="229"/>
      <c r="EA92" s="229"/>
      <c r="EB92" s="229"/>
      <c r="EC92" s="229"/>
      <c r="ED92" s="229"/>
      <c r="EE92" s="229"/>
      <c r="EF92" s="228">
        <f t="shared" si="220"/>
        <v>0</v>
      </c>
      <c r="EG92" s="228">
        <f t="shared" si="218"/>
        <v>0</v>
      </c>
      <c r="EH92" s="229">
        <f t="shared" si="221"/>
        <v>145</v>
      </c>
      <c r="EI92" s="229">
        <v>44.09</v>
      </c>
      <c r="EJ92" s="228">
        <f t="shared" si="283"/>
        <v>189.09</v>
      </c>
      <c r="EK92" s="229"/>
      <c r="EL92" s="229"/>
      <c r="EM92" s="228">
        <f t="shared" si="273"/>
        <v>0</v>
      </c>
      <c r="EN92" s="229">
        <f t="shared" si="192"/>
        <v>145</v>
      </c>
      <c r="EO92" s="229">
        <f t="shared" si="212"/>
        <v>44.09</v>
      </c>
      <c r="EP92" s="228">
        <f t="shared" si="274"/>
        <v>189.09</v>
      </c>
      <c r="EQ92" s="173">
        <f t="shared" si="222"/>
        <v>45</v>
      </c>
      <c r="ER92" s="189">
        <v>0</v>
      </c>
      <c r="ES92" s="189">
        <v>21.9</v>
      </c>
      <c r="ET92" s="189">
        <v>8.8000000000000007</v>
      </c>
      <c r="EU92" s="189">
        <v>0</v>
      </c>
      <c r="EV92" s="189">
        <v>0</v>
      </c>
      <c r="EW92" s="189">
        <v>75</v>
      </c>
      <c r="EX92" s="189">
        <v>0</v>
      </c>
      <c r="EY92" s="189">
        <v>127.5</v>
      </c>
      <c r="EZ92" s="189">
        <v>0</v>
      </c>
      <c r="FA92" s="189">
        <v>20</v>
      </c>
      <c r="FB92" s="189">
        <v>0</v>
      </c>
      <c r="FC92" s="189">
        <v>40</v>
      </c>
      <c r="FD92" s="189">
        <v>0</v>
      </c>
      <c r="FE92" s="189">
        <v>0</v>
      </c>
      <c r="FF92" s="189">
        <v>0</v>
      </c>
      <c r="FG92" s="189">
        <v>0</v>
      </c>
      <c r="FH92" s="189">
        <v>0</v>
      </c>
      <c r="FI92" s="189">
        <v>0</v>
      </c>
      <c r="FJ92" s="189">
        <v>0</v>
      </c>
      <c r="FK92" s="189">
        <v>293.2</v>
      </c>
      <c r="FL92" s="189">
        <v>244</v>
      </c>
      <c r="FN92" s="132">
        <v>145</v>
      </c>
    </row>
    <row r="93" spans="1:170" ht="30" customHeight="1">
      <c r="A93" s="88">
        <f>COUNTIF($H$12:H93,H93)</f>
        <v>82</v>
      </c>
      <c r="B93" s="88" t="s">
        <v>951</v>
      </c>
      <c r="C93" s="88" t="s">
        <v>442</v>
      </c>
      <c r="D93" s="88"/>
      <c r="E93" s="88"/>
      <c r="F93" s="301" t="s">
        <v>25</v>
      </c>
      <c r="G93" s="89" t="s">
        <v>1773</v>
      </c>
      <c r="H93" s="88">
        <v>1</v>
      </c>
      <c r="I93" s="88">
        <v>1</v>
      </c>
      <c r="J93" s="88">
        <v>1</v>
      </c>
      <c r="K93" s="90" t="s">
        <v>1134</v>
      </c>
      <c r="L93" s="90" t="s">
        <v>1134</v>
      </c>
      <c r="M93" s="214"/>
      <c r="N93" s="88" t="s">
        <v>1804</v>
      </c>
      <c r="O93" s="216">
        <f t="shared" si="205"/>
        <v>3</v>
      </c>
      <c r="P93" s="88" t="str">
        <f>IF(AND(BO93&gt;=2.34,BO93&lt;3.33),"B1_3",IF(AND(BO93&gt;=3.33,BO93&lt;4.65),"B1_4",IF(AND(BO93&gt;=4.65,BO93&lt;5.42),"B1_5",IF(AND(BO93&gt;=5.42,BO93&lt;6.44),"B1_6",IF(AND(BO93&gt;=6.44,BO93&lt;=6.92),"B1_7","B1_8")))))</f>
        <v>B1_3</v>
      </c>
      <c r="Q93" s="88">
        <f>IF(M93&gt;0,VLOOKUP(P93,ma_dinhmuc_moi,2,0)/2,VLOOKUP(P93,ma_dinhmuc_moi,2,0))</f>
        <v>270</v>
      </c>
      <c r="R93" s="88">
        <f>IF(M93&gt;0,VLOOKUP(P93,ma_dinhmuc_moi,3,0)/2,VLOOKUP(P93,ma_dinhmuc_moi,3,0))</f>
        <v>100</v>
      </c>
      <c r="S93" s="230" t="s">
        <v>3165</v>
      </c>
      <c r="T93" s="88" t="s">
        <v>3090</v>
      </c>
      <c r="U93" s="88">
        <f>IF(RIGHT(T93,1)="K",(VLOOKUP(T93,ma_miengiam!$A$3:$B$80,2,0)*100)/2,VLOOKUP(T93,ma_miengiam!$A$3:$B$80,2,0)*100)</f>
        <v>15</v>
      </c>
      <c r="V93" s="88"/>
      <c r="W93" s="220">
        <f>IF(AND(T93="NTS",V93&gt;0),(Q93-(Q93*V93)/12)*VLOOKUP(T93,ma_miengiam!$A$3:$B$80,2,0)+(Q93-(Q93*(12-V93))/12),IF(AND(RIGHT(T93,1)="K",V93&gt;0),(VLOOKUP(T93,ma_miengiam!$A$3:$B$80,2,0)/2)*(Q93*V93)/12,IF(RIGHT(T93,1)="K",(VLOOKUP(T93,ma_miengiam!$A$3:$B$80,2,0)*Q93)/2,IF(V93&gt;0,VLOOKUP(T93,ma_miengiam!$A$3:$B$80,2,0)*Q93*V93/12,VLOOKUP(T93,ma_miengiam!$A$3:$B$80,2,0)*Q93))))</f>
        <v>40.5</v>
      </c>
      <c r="X93" s="220">
        <f>IF(T93="NTS",VLOOKUP(T93,ma_miengiam!$A$3:$B$80,2,0)*R93*V93,IF(AND(T93="NTS",V93=0),0,IF(AND(LEFT(T93,1)="K",V93=0),VLOOKUP(T93,ma_miengiam!$A$3:$B$80,2,0)*R93,IF(LEFT(T93,1)="K",(VLOOKUP(T93,ma_miengiam!$A$3:$B$80,2,0)*R93/12)*V93,IF(AND(LEFT(T93,1)="S",V93&gt;0),(R93/12)*V93,IF(AND(LEFT(T93,1)="S",V93=0),R93,IF(T93="DH",VLOOKUP(T93,ma_miengiam!$A$3:$B$80,2,0)*R93,0)))))))</f>
        <v>0</v>
      </c>
      <c r="Y93" s="220">
        <f>IF(AND(T93="DH",V93&gt;0),(S93*V93/12),IF(AND(T93&lt;&gt;"NTS",V93&gt;0),(Q93*V93/12)-W93,IF(AND(T93="NTS",V93&gt;0),Q93-W93,Q93-W93)))</f>
        <v>229.5</v>
      </c>
      <c r="Z93" s="220">
        <f>IF(AND(T93="SĐH",V93&gt;0),(R93/12)*V93-X93,IF(AND(T93="DH",V93&gt;0),(R93*V93/12),IF(AND(T93&lt;&gt;"NTS",V93&gt;0),(R93*V93/12)-X93,IF(AND(T93="NTS",V93&gt;0),R93-X93,R93-X93))))</f>
        <v>100</v>
      </c>
      <c r="AA93" s="220">
        <f>Q93</f>
        <v>270</v>
      </c>
      <c r="AB93" s="220">
        <f>R93</f>
        <v>100</v>
      </c>
      <c r="AC93" s="220">
        <f>W93</f>
        <v>40.5</v>
      </c>
      <c r="AD93" s="220">
        <f>X93</f>
        <v>0</v>
      </c>
      <c r="AE93" s="220">
        <f>Y93</f>
        <v>229.5</v>
      </c>
      <c r="AF93" s="220">
        <f>Z93</f>
        <v>100</v>
      </c>
      <c r="AG93" s="220">
        <f>AH93+AI93</f>
        <v>85.416666666666657</v>
      </c>
      <c r="AH93" s="220">
        <f>EO93</f>
        <v>66.666666666666657</v>
      </c>
      <c r="AI93" s="220">
        <f>EN93</f>
        <v>18.75</v>
      </c>
      <c r="AJ93" s="220">
        <f>IF(AG93-Z93&gt;0,0,AG93-Z93)</f>
        <v>-14.583333333333343</v>
      </c>
      <c r="AK93" s="216">
        <f>IF(AJ93&gt;=0,Y93,Y93-AJ93)</f>
        <v>244.08333333333334</v>
      </c>
      <c r="AL93" s="220">
        <f>SUM(CP93:CX93)+SUM(DC93:DK93)</f>
        <v>116.6</v>
      </c>
      <c r="AM93" s="220">
        <f>SUM(DQ93:DU93)+SUM(DY93:EC93)</f>
        <v>0</v>
      </c>
      <c r="AN93" s="216">
        <f>AM93+AL93</f>
        <v>116.6</v>
      </c>
      <c r="AO93" s="220">
        <f>CY93+DL93</f>
        <v>0</v>
      </c>
      <c r="AP93" s="220">
        <f>CZ93+DM93</f>
        <v>0</v>
      </c>
      <c r="AQ93" s="220">
        <f>DA93+DN93</f>
        <v>60</v>
      </c>
      <c r="AR93" s="220">
        <f>DV93+ED93</f>
        <v>0</v>
      </c>
      <c r="AS93" s="220">
        <f>DW93+EE93</f>
        <v>0</v>
      </c>
      <c r="AT93" s="216">
        <f>AN93+SUM(AO93:AS93)</f>
        <v>176.6</v>
      </c>
      <c r="AU93" s="220">
        <f>AN93-AK93</f>
        <v>-127.48333333333335</v>
      </c>
      <c r="AV93" s="220"/>
      <c r="AW93" s="220">
        <f>IF(AU93&gt;0,AU93,AV93+AU93)</f>
        <v>-127.48333333333335</v>
      </c>
      <c r="AX93" s="216">
        <f>IF(AN93&gt;AK93,0,IF(AW93&lt;0,AN93-AK93+AV93,IF(AW93&gt;=0,0)))</f>
        <v>-127.48333333333335</v>
      </c>
      <c r="AY93" s="220">
        <f>IF(AN93&gt;=AK93,AO93,IF(AN93+AO93-AK93&gt;=0,AN93+AO93-AK93,0))</f>
        <v>0</v>
      </c>
      <c r="AZ93" s="220">
        <f>IF(OR(AN93&gt;=AK93,AN93+AO93&gt;=AK93),AP93,IF(AN93+AO93+AP93&gt;AK93,AN93+AO93+AP93-AK93,0))</f>
        <v>0</v>
      </c>
      <c r="BA93" s="220">
        <f>IF(OR(AN93&gt;=AK93,AN93+AO93&gt;=AK93,AN93+AO93+AP93&gt;=AK93),AQ93,IF(AN93+AO93+AP93+AQ93&gt;=AK93,AN93+AO93+AP93+AQ93-AK93,0))</f>
        <v>0</v>
      </c>
      <c r="BB93" s="220">
        <f>IF(OR(AN93&gt;=AK93,AN93+AO93&gt;=AK93,AN93+AO93+AP93&gt;=AK93,AN93+AO93+AP93+AQ93&gt;=AK93),AR93,IF(AN93+AO93+AP93+AQ93+AR93&gt;=AK93,AN93+AO93+AP93+AQ93+AR93-AK93,0))</f>
        <v>0</v>
      </c>
      <c r="BC93" s="220">
        <f>IF(OR(AN93&gt;=AK93,AN93+AO93&gt;=AK93,AN93+AO93+AP93&gt;=AK93,AN93+AO93+AP93+AQ93&gt;=AK93,AN93+AO93+AP93+AQ93+AR93&gt;=AK93),AS93,IF(AN93+AO93+AP93+AQ93+AR93+AS93&gt;=AK93,AN93+AO93+AP93+AQ93+AR93+AS93-AK93,0))</f>
        <v>0</v>
      </c>
      <c r="BD93" s="216">
        <f>SUM(AY93:BC93)</f>
        <v>0</v>
      </c>
      <c r="BE93" s="220">
        <f>AY93-AO93</f>
        <v>0</v>
      </c>
      <c r="BF93" s="220">
        <f>AZ93-AP93</f>
        <v>0</v>
      </c>
      <c r="BG93" s="220">
        <f>BA93-AQ93</f>
        <v>-60</v>
      </c>
      <c r="BH93" s="220">
        <f>BB93-AR93</f>
        <v>0</v>
      </c>
      <c r="BI93" s="220">
        <f>BC93-AS93</f>
        <v>0</v>
      </c>
      <c r="BJ93" s="220" t="s">
        <v>2441</v>
      </c>
      <c r="BK93" s="220"/>
      <c r="BL93" s="223">
        <f>IF(AW93&lt;BK93,0,IF(AND(BK93=0,AW93&gt;0),AW93,IF(AW93&lt;0,0,IF(BK93&gt;0,AW93-BK93,IF(BK93&lt;0,0,AW93)))))</f>
        <v>0</v>
      </c>
      <c r="BM93" s="220">
        <v>3</v>
      </c>
      <c r="BN93" s="220"/>
      <c r="BO93" s="220">
        <f>ROUND(BM93+(BM93*BN93),2)</f>
        <v>3</v>
      </c>
      <c r="BP93" s="220">
        <f>IF(AND(BL93&gt;0,BL93&lt;tiet!$D$1),BL93,IF(BL93&lt;=0,0,IF(BL93&gt;tiet!$C$1,tiet!$C$1)))</f>
        <v>0</v>
      </c>
      <c r="BQ93" s="87">
        <f t="shared" si="170"/>
        <v>60000</v>
      </c>
      <c r="BR93" s="224">
        <f t="shared" si="171"/>
        <v>0</v>
      </c>
      <c r="BS93" s="220">
        <f t="shared" si="219"/>
        <v>0</v>
      </c>
      <c r="BT93" s="224">
        <f>VLOOKUP(N93,ma_dinhmuc!$A$1:$J$31,10,0)</f>
        <v>51000</v>
      </c>
      <c r="BU93" s="224">
        <f>ROUND(IF(BS93&gt;0,VLOOKUP(N93,ma_dinhmuc!$A$1:$J$31,10,0)*BS93,0),0)</f>
        <v>0</v>
      </c>
      <c r="BV93" s="224">
        <f t="shared" si="172"/>
        <v>0</v>
      </c>
      <c r="BW93" s="224"/>
      <c r="BX93" s="224">
        <v>0</v>
      </c>
      <c r="BY93" s="224"/>
      <c r="BZ93" s="224"/>
      <c r="CA93" s="224"/>
      <c r="CB93" s="224"/>
      <c r="CC93" s="225">
        <f>ROUND(IF(BV93+BW93&gt;BX93+BY93+BZ93+CA93+CB93,(BW93+BV93)-(BX93+BY93+BZ93+CA93+CB93+CB93),0),0)</f>
        <v>0</v>
      </c>
      <c r="CD93" s="224">
        <f>ROUND(IF(BV93+BW93&lt;BX93+BY93+BZ93+CA93-CB93,(BX93+BY93+BZ93+CA93-CB93)-(BW93+BV93),0),0)</f>
        <v>0</v>
      </c>
      <c r="CE93" s="224"/>
      <c r="CF93" s="226"/>
      <c r="CG93" s="87"/>
      <c r="CH93" s="87">
        <f>A93</f>
        <v>82</v>
      </c>
      <c r="CI93" s="227" t="str">
        <f>F93</f>
        <v>Vũ Ngọc</v>
      </c>
      <c r="CJ93" s="227" t="str">
        <f>G93</f>
        <v>Lan</v>
      </c>
      <c r="CK93" s="87">
        <f t="shared" si="242"/>
        <v>1</v>
      </c>
      <c r="CL93" s="227" t="str">
        <f>L93</f>
        <v>Sinh lý thực vật</v>
      </c>
      <c r="CM93" s="87" t="str">
        <f>N93</f>
        <v>CS2</v>
      </c>
      <c r="CN93" s="87">
        <f>Q93</f>
        <v>270</v>
      </c>
      <c r="CO93" s="87">
        <f>R93</f>
        <v>100</v>
      </c>
      <c r="CP93" s="229">
        <f t="shared" si="223"/>
        <v>0</v>
      </c>
      <c r="CQ93" s="229">
        <f t="shared" si="224"/>
        <v>12.9</v>
      </c>
      <c r="CR93" s="229">
        <f t="shared" si="225"/>
        <v>5.2</v>
      </c>
      <c r="CS93" s="229">
        <f t="shared" si="226"/>
        <v>0</v>
      </c>
      <c r="CT93" s="229">
        <f t="shared" si="227"/>
        <v>0</v>
      </c>
      <c r="CU93" s="229">
        <f t="shared" si="228"/>
        <v>46.5</v>
      </c>
      <c r="CV93" s="229">
        <f t="shared" si="229"/>
        <v>0</v>
      </c>
      <c r="CW93" s="229">
        <f t="shared" si="230"/>
        <v>52</v>
      </c>
      <c r="CX93" s="229">
        <f t="shared" si="231"/>
        <v>0</v>
      </c>
      <c r="CY93" s="229">
        <f t="shared" si="232"/>
        <v>0</v>
      </c>
      <c r="CZ93" s="229">
        <f t="shared" si="233"/>
        <v>0</v>
      </c>
      <c r="DA93" s="229">
        <f t="shared" si="234"/>
        <v>60</v>
      </c>
      <c r="DB93" s="228">
        <f>SUM(CP93:DA93)</f>
        <v>176.6</v>
      </c>
      <c r="DC93" s="229"/>
      <c r="DD93" s="229"/>
      <c r="DE93" s="229"/>
      <c r="DF93" s="229"/>
      <c r="DG93" s="229"/>
      <c r="DH93" s="229"/>
      <c r="DI93" s="229"/>
      <c r="DJ93" s="229"/>
      <c r="DK93" s="229"/>
      <c r="DL93" s="229"/>
      <c r="DM93" s="229"/>
      <c r="DN93" s="229"/>
      <c r="DO93" s="228">
        <f>SUM(DC93:DN93)</f>
        <v>0</v>
      </c>
      <c r="DP93" s="228">
        <f>DO93+DB93</f>
        <v>176.6</v>
      </c>
      <c r="DQ93" s="229">
        <f t="shared" si="235"/>
        <v>0</v>
      </c>
      <c r="DR93" s="229">
        <f t="shared" si="236"/>
        <v>0</v>
      </c>
      <c r="DS93" s="229">
        <f t="shared" si="237"/>
        <v>0</v>
      </c>
      <c r="DT93" s="229">
        <f t="shared" si="238"/>
        <v>0</v>
      </c>
      <c r="DU93" s="229">
        <f t="shared" si="239"/>
        <v>0</v>
      </c>
      <c r="DV93" s="229">
        <f t="shared" si="240"/>
        <v>0</v>
      </c>
      <c r="DW93" s="229">
        <f t="shared" si="241"/>
        <v>0</v>
      </c>
      <c r="DX93" s="228">
        <f>SUM(DQ93:DW93)</f>
        <v>0</v>
      </c>
      <c r="DY93" s="229"/>
      <c r="DZ93" s="229"/>
      <c r="EA93" s="229"/>
      <c r="EB93" s="229"/>
      <c r="EC93" s="229"/>
      <c r="ED93" s="229"/>
      <c r="EE93" s="229"/>
      <c r="EF93" s="228">
        <f t="shared" si="220"/>
        <v>0</v>
      </c>
      <c r="EG93" s="228">
        <f>EF93+DX93</f>
        <v>0</v>
      </c>
      <c r="EH93" s="229">
        <f t="shared" si="221"/>
        <v>18.75</v>
      </c>
      <c r="EI93" s="229">
        <v>66.666666666666657</v>
      </c>
      <c r="EJ93" s="228">
        <f>SUM(EH93:EI93)</f>
        <v>85.416666666666657</v>
      </c>
      <c r="EK93" s="229"/>
      <c r="EL93" s="229"/>
      <c r="EM93" s="228">
        <f>SUM(EK93:EL93)</f>
        <v>0</v>
      </c>
      <c r="EN93" s="229">
        <f>EK93+EH93+EL93</f>
        <v>18.75</v>
      </c>
      <c r="EO93" s="229">
        <f>EI93</f>
        <v>66.666666666666657</v>
      </c>
      <c r="EP93" s="228">
        <f>EM93+EJ93</f>
        <v>85.416666666666657</v>
      </c>
      <c r="EQ93" s="173">
        <f t="shared" si="222"/>
        <v>0</v>
      </c>
      <c r="ER93" s="189">
        <v>0</v>
      </c>
      <c r="ES93" s="189">
        <v>12.9</v>
      </c>
      <c r="ET93" s="189">
        <v>5.2</v>
      </c>
      <c r="EU93" s="189">
        <v>0</v>
      </c>
      <c r="EV93" s="189">
        <v>0</v>
      </c>
      <c r="EW93" s="189">
        <v>46.5</v>
      </c>
      <c r="EX93" s="189">
        <v>0</v>
      </c>
      <c r="EY93" s="189">
        <v>52</v>
      </c>
      <c r="EZ93" s="189">
        <v>0</v>
      </c>
      <c r="FA93" s="189">
        <v>0</v>
      </c>
      <c r="FB93" s="189">
        <v>0</v>
      </c>
      <c r="FC93" s="189">
        <v>60</v>
      </c>
      <c r="FD93" s="189">
        <v>0</v>
      </c>
      <c r="FE93" s="189">
        <v>0</v>
      </c>
      <c r="FF93" s="189">
        <v>0</v>
      </c>
      <c r="FG93" s="189">
        <v>0</v>
      </c>
      <c r="FH93" s="189">
        <v>0</v>
      </c>
      <c r="FI93" s="189">
        <v>0</v>
      </c>
      <c r="FJ93" s="189">
        <v>0</v>
      </c>
      <c r="FK93" s="189">
        <v>176.6</v>
      </c>
      <c r="FL93" s="189">
        <v>148</v>
      </c>
      <c r="FN93" s="132">
        <v>18.75</v>
      </c>
    </row>
    <row r="94" spans="1:170" ht="24" customHeight="1">
      <c r="A94" s="88">
        <f>COUNTIF($H$12:H94,H94)</f>
        <v>83</v>
      </c>
      <c r="B94" s="88" t="s">
        <v>2118</v>
      </c>
      <c r="C94" s="88" t="s">
        <v>443</v>
      </c>
      <c r="D94" s="88"/>
      <c r="E94" s="88"/>
      <c r="F94" s="301" t="s">
        <v>1584</v>
      </c>
      <c r="G94" s="89" t="s">
        <v>19</v>
      </c>
      <c r="H94" s="88">
        <v>1</v>
      </c>
      <c r="I94" s="88">
        <v>1</v>
      </c>
      <c r="J94" s="88">
        <v>1</v>
      </c>
      <c r="K94" s="90" t="s">
        <v>1136</v>
      </c>
      <c r="L94" s="90" t="s">
        <v>1136</v>
      </c>
      <c r="M94" s="214"/>
      <c r="N94" s="88" t="s">
        <v>1179</v>
      </c>
      <c r="O94" s="216">
        <f t="shared" si="205"/>
        <v>3.99</v>
      </c>
      <c r="P94" s="88" t="str">
        <f t="shared" ref="P94:P99" si="284">IF(BO94&lt;3.33,"B11_3",IF(AND(BO94&gt;=3.33,BO94&lt;4.65),"B11_4",IF(AND(BO94&gt;=4.65,BO94&lt;5.42),"B11_5",IF(AND(BO94&gt;=5.42,BO94&lt;6.44),"B11_6",IF(AND(BO94&gt;=6.44,BO94&lt;=6.92),"B11_7","B11_8")))))</f>
        <v>B11_4</v>
      </c>
      <c r="Q94" s="88">
        <f t="shared" si="149"/>
        <v>270</v>
      </c>
      <c r="R94" s="88">
        <f t="shared" si="150"/>
        <v>80</v>
      </c>
      <c r="S94" s="230" t="s">
        <v>2031</v>
      </c>
      <c r="T94" s="88" t="s">
        <v>3091</v>
      </c>
      <c r="U94" s="88">
        <f>IF(RIGHT(T94,1)="K",(VLOOKUP(T94,ma_miengiam!$A$3:$B$80,2,0)*100)/2,VLOOKUP(T94,ma_miengiam!$A$3:$B$80,2,0)*100)</f>
        <v>20</v>
      </c>
      <c r="V94" s="88"/>
      <c r="W94" s="220">
        <f>IF(AND(T94="NTS",V94&gt;0),(Q94-(Q94*V94)/12)*VLOOKUP(T94,ma_miengiam!$A$3:$B$80,2,0)+(Q94-(Q94*(12-V94))/12),IF(AND(RIGHT(T94,1)="K",V94&gt;0),(VLOOKUP(T94,ma_miengiam!$A$3:$B$80,2,0)/2)*(Q94*V94)/12,IF(RIGHT(T94,1)="K",(VLOOKUP(T94,ma_miengiam!$A$3:$B$80,2,0)*Q94)/2,IF(V94&gt;0,VLOOKUP(T94,ma_miengiam!$A$3:$B$80,2,0)*Q94*V94/12,VLOOKUP(T94,ma_miengiam!$A$3:$B$80,2,0)*Q94))))</f>
        <v>54</v>
      </c>
      <c r="X94" s="220">
        <f>IF(T94="NTS",VLOOKUP(T94,ma_miengiam!$A$3:$B$80,2,0)*R94*V94,IF(AND(T94="NTS",V94=0),0,IF(AND(LEFT(T94,1)="K",V94=0),VLOOKUP(T94,ma_miengiam!$A$3:$B$80,2,0)*R94,IF(LEFT(T94,1)="K",(VLOOKUP(T94,ma_miengiam!$A$3:$B$80,2,0)*R94/12)*V94,IF(AND(LEFT(T94,1)="S",V94&gt;0),(R94/12)*V94,IF(AND(LEFT(T94,1)="S",V94=0),R94,IF(T94="DH",VLOOKUP(T94,ma_miengiam!$A$3:$B$80,2,0)*R94,0)))))))</f>
        <v>0</v>
      </c>
      <c r="Y94" s="220">
        <f t="shared" si="213"/>
        <v>216</v>
      </c>
      <c r="Z94" s="220">
        <f t="shared" ref="Z94:Z99" si="285">IF(AND(T94="SĐH",V94&gt;0),(R94/12)*V94-X94,IF(AND(T94="DH",V94&gt;0),(R94*V94/12),IF(AND(T94&lt;&gt;"NTS",V94&gt;0),(R94*V94/12)-X94,IF(AND(T94="NTS",V94&gt;0),R94-X94,R94-X94))))</f>
        <v>80</v>
      </c>
      <c r="AA94" s="220">
        <f t="shared" si="275"/>
        <v>270</v>
      </c>
      <c r="AB94" s="220">
        <f t="shared" si="276"/>
        <v>80</v>
      </c>
      <c r="AC94" s="220">
        <f t="shared" ref="AC94:AC102" si="286">W94</f>
        <v>54</v>
      </c>
      <c r="AD94" s="220">
        <f t="shared" ref="AD94:AD102" si="287">X94</f>
        <v>0</v>
      </c>
      <c r="AE94" s="220">
        <f t="shared" ref="AE94:AE102" si="288">Y94</f>
        <v>216</v>
      </c>
      <c r="AF94" s="220">
        <f t="shared" ref="AF94:AF102" si="289">Z94</f>
        <v>80</v>
      </c>
      <c r="AG94" s="220">
        <f t="shared" si="278"/>
        <v>5.41</v>
      </c>
      <c r="AH94" s="220">
        <f t="shared" si="279"/>
        <v>5.41</v>
      </c>
      <c r="AI94" s="220">
        <f t="shared" si="280"/>
        <v>0</v>
      </c>
      <c r="AJ94" s="220">
        <f t="shared" ref="AJ94:AJ99" si="290">IF(AG94-Z94&gt;0,0,AG94-Z94)</f>
        <v>-74.59</v>
      </c>
      <c r="AK94" s="216">
        <f t="shared" si="247"/>
        <v>290.59000000000003</v>
      </c>
      <c r="AL94" s="220">
        <f t="shared" si="248"/>
        <v>78.599999999999994</v>
      </c>
      <c r="AM94" s="220">
        <f t="shared" si="249"/>
        <v>0</v>
      </c>
      <c r="AN94" s="221">
        <f t="shared" si="250"/>
        <v>78.599999999999994</v>
      </c>
      <c r="AO94" s="220">
        <f t="shared" si="251"/>
        <v>0</v>
      </c>
      <c r="AP94" s="220">
        <f t="shared" si="252"/>
        <v>0</v>
      </c>
      <c r="AQ94" s="220">
        <f t="shared" si="253"/>
        <v>40</v>
      </c>
      <c r="AR94" s="220">
        <f t="shared" si="254"/>
        <v>0</v>
      </c>
      <c r="AS94" s="220">
        <f t="shared" si="255"/>
        <v>0</v>
      </c>
      <c r="AT94" s="216">
        <f t="shared" si="256"/>
        <v>118.6</v>
      </c>
      <c r="AU94" s="222">
        <f t="shared" si="209"/>
        <v>-211.99000000000004</v>
      </c>
      <c r="AV94" s="220"/>
      <c r="AW94" s="220">
        <f t="shared" si="183"/>
        <v>-211.99000000000004</v>
      </c>
      <c r="AX94" s="216">
        <f t="shared" si="265"/>
        <v>-211.99000000000004</v>
      </c>
      <c r="AY94" s="220">
        <f t="shared" si="193"/>
        <v>0</v>
      </c>
      <c r="AZ94" s="220">
        <f t="shared" si="194"/>
        <v>0</v>
      </c>
      <c r="BA94" s="220">
        <f t="shared" si="195"/>
        <v>0</v>
      </c>
      <c r="BB94" s="220">
        <f t="shared" si="196"/>
        <v>0</v>
      </c>
      <c r="BC94" s="220">
        <f t="shared" si="197"/>
        <v>0</v>
      </c>
      <c r="BD94" s="216">
        <f t="shared" si="184"/>
        <v>0</v>
      </c>
      <c r="BE94" s="220">
        <f t="shared" si="185"/>
        <v>0</v>
      </c>
      <c r="BF94" s="220">
        <f t="shared" si="186"/>
        <v>0</v>
      </c>
      <c r="BG94" s="220">
        <f t="shared" si="187"/>
        <v>-40</v>
      </c>
      <c r="BH94" s="220">
        <f t="shared" si="188"/>
        <v>0</v>
      </c>
      <c r="BI94" s="220">
        <f t="shared" si="189"/>
        <v>0</v>
      </c>
      <c r="BJ94" s="220" t="s">
        <v>2442</v>
      </c>
      <c r="BK94" s="220"/>
      <c r="BL94" s="223">
        <f t="shared" si="257"/>
        <v>0</v>
      </c>
      <c r="BM94" s="220">
        <v>3.99</v>
      </c>
      <c r="BN94" s="220"/>
      <c r="BO94" s="220">
        <f t="shared" si="281"/>
        <v>3.99</v>
      </c>
      <c r="BP94" s="220">
        <f>IF(AND(BL94&gt;0,BL94&lt;tiet!$D$1),BL94,IF(BL94&lt;=0,0,IF(BL94&gt;tiet!$C$1,tiet!$C$1)))</f>
        <v>0</v>
      </c>
      <c r="BQ94" s="87">
        <f t="shared" ref="BQ94:BQ99" si="291">VLOOKUP(P94,ma_dinhmuc_moi,4,0)</f>
        <v>65000</v>
      </c>
      <c r="BR94" s="224">
        <f t="shared" ref="BR94:BR99" si="292">ROUND(BQ94*BP94,0)</f>
        <v>0</v>
      </c>
      <c r="BS94" s="220">
        <f t="shared" si="219"/>
        <v>0</v>
      </c>
      <c r="BT94" s="224">
        <f>VLOOKUP(N94,ma_dinhmuc!$A$1:$J$31,10,0)</f>
        <v>51000</v>
      </c>
      <c r="BU94" s="224">
        <f>ROUND(IF(BS94&gt;0,VLOOKUP(N94,ma_dinhmuc!$A$1:$J$31,10,0)*BS94,0),0)</f>
        <v>0</v>
      </c>
      <c r="BV94" s="224">
        <f t="shared" ref="BV94:BV99" si="293">ROUND(BU94+BR94,0)</f>
        <v>0</v>
      </c>
      <c r="BW94" s="224"/>
      <c r="BX94" s="224">
        <v>0</v>
      </c>
      <c r="BY94" s="224"/>
      <c r="BZ94" s="224"/>
      <c r="CA94" s="224"/>
      <c r="CB94" s="224"/>
      <c r="CC94" s="225">
        <f t="shared" ref="CC94:CC99" si="294">ROUND(IF(BV94+BW94&gt;BX94+BY94+BZ94+CA94+CB94,(BW94+BV94)-(BX94+BY94+BZ94+CA94+CB94+CB94),0),0)</f>
        <v>0</v>
      </c>
      <c r="CD94" s="224">
        <f t="shared" ref="CD94:CD99" si="295">ROUND(IF(BV94+BW94&lt;BX94+BY94+BZ94+CA94-CB94,(BX94+BY94+BZ94+CA94-CB94)-(BW94+BV94),0),0)</f>
        <v>0</v>
      </c>
      <c r="CE94" s="224"/>
      <c r="CF94" s="226"/>
      <c r="CG94" s="87"/>
      <c r="CH94" s="87">
        <f t="shared" si="272"/>
        <v>83</v>
      </c>
      <c r="CI94" s="227" t="str">
        <f t="shared" si="258"/>
        <v>Nguyễn Hữu</v>
      </c>
      <c r="CJ94" s="227" t="str">
        <f t="shared" si="259"/>
        <v>Cường</v>
      </c>
      <c r="CK94" s="87">
        <f t="shared" ref="CK94:CK99" si="296">H94</f>
        <v>1</v>
      </c>
      <c r="CL94" s="227" t="str">
        <f t="shared" si="282"/>
        <v>Thực vật</v>
      </c>
      <c r="CM94" s="87" t="str">
        <f t="shared" si="190"/>
        <v>CB2</v>
      </c>
      <c r="CN94" s="87">
        <f t="shared" si="267"/>
        <v>270</v>
      </c>
      <c r="CO94" s="87">
        <f t="shared" si="268"/>
        <v>80</v>
      </c>
      <c r="CP94" s="229">
        <f t="shared" si="223"/>
        <v>0</v>
      </c>
      <c r="CQ94" s="229">
        <f t="shared" si="224"/>
        <v>8.3000000000000007</v>
      </c>
      <c r="CR94" s="229">
        <f t="shared" si="225"/>
        <v>3.3</v>
      </c>
      <c r="CS94" s="229">
        <f t="shared" si="226"/>
        <v>0</v>
      </c>
      <c r="CT94" s="229">
        <f t="shared" si="227"/>
        <v>0</v>
      </c>
      <c r="CU94" s="229">
        <f t="shared" si="228"/>
        <v>44</v>
      </c>
      <c r="CV94" s="229">
        <f t="shared" si="229"/>
        <v>0</v>
      </c>
      <c r="CW94" s="229">
        <f t="shared" si="230"/>
        <v>23</v>
      </c>
      <c r="CX94" s="229">
        <f t="shared" si="231"/>
        <v>0</v>
      </c>
      <c r="CY94" s="229">
        <f t="shared" si="232"/>
        <v>0</v>
      </c>
      <c r="CZ94" s="229">
        <f t="shared" si="233"/>
        <v>0</v>
      </c>
      <c r="DA94" s="229">
        <f t="shared" si="234"/>
        <v>40</v>
      </c>
      <c r="DB94" s="228">
        <f t="shared" si="214"/>
        <v>118.6</v>
      </c>
      <c r="DC94" s="229"/>
      <c r="DD94" s="229"/>
      <c r="DE94" s="229"/>
      <c r="DF94" s="229"/>
      <c r="DG94" s="229"/>
      <c r="DH94" s="229"/>
      <c r="DI94" s="229"/>
      <c r="DJ94" s="229"/>
      <c r="DK94" s="229"/>
      <c r="DL94" s="229"/>
      <c r="DM94" s="229"/>
      <c r="DN94" s="229"/>
      <c r="DO94" s="228">
        <f t="shared" si="215"/>
        <v>0</v>
      </c>
      <c r="DP94" s="228">
        <f t="shared" si="216"/>
        <v>118.6</v>
      </c>
      <c r="DQ94" s="229">
        <f t="shared" si="235"/>
        <v>0</v>
      </c>
      <c r="DR94" s="229">
        <f t="shared" si="236"/>
        <v>0</v>
      </c>
      <c r="DS94" s="229">
        <f t="shared" si="237"/>
        <v>0</v>
      </c>
      <c r="DT94" s="229">
        <f t="shared" si="238"/>
        <v>0</v>
      </c>
      <c r="DU94" s="229">
        <f t="shared" si="239"/>
        <v>0</v>
      </c>
      <c r="DV94" s="229">
        <f t="shared" si="240"/>
        <v>0</v>
      </c>
      <c r="DW94" s="229">
        <f t="shared" si="241"/>
        <v>0</v>
      </c>
      <c r="DX94" s="228">
        <f t="shared" si="217"/>
        <v>0</v>
      </c>
      <c r="DY94" s="229"/>
      <c r="DZ94" s="229"/>
      <c r="EA94" s="229"/>
      <c r="EB94" s="229"/>
      <c r="EC94" s="229"/>
      <c r="ED94" s="229"/>
      <c r="EE94" s="229"/>
      <c r="EF94" s="228">
        <f t="shared" si="220"/>
        <v>0</v>
      </c>
      <c r="EG94" s="228">
        <f t="shared" si="218"/>
        <v>0</v>
      </c>
      <c r="EH94" s="229">
        <f t="shared" si="221"/>
        <v>0</v>
      </c>
      <c r="EI94" s="229">
        <v>5.41</v>
      </c>
      <c r="EJ94" s="228">
        <f t="shared" si="283"/>
        <v>5.41</v>
      </c>
      <c r="EK94" s="229"/>
      <c r="EL94" s="229"/>
      <c r="EM94" s="228">
        <f t="shared" si="273"/>
        <v>0</v>
      </c>
      <c r="EN94" s="229">
        <f t="shared" si="192"/>
        <v>0</v>
      </c>
      <c r="EO94" s="229">
        <f t="shared" si="212"/>
        <v>5.41</v>
      </c>
      <c r="EP94" s="228">
        <f t="shared" si="274"/>
        <v>5.41</v>
      </c>
      <c r="EQ94" s="173">
        <f t="shared" si="222"/>
        <v>0</v>
      </c>
      <c r="ER94" s="189">
        <v>0</v>
      </c>
      <c r="ES94" s="189">
        <v>8.3000000000000007</v>
      </c>
      <c r="ET94" s="189">
        <v>3.3</v>
      </c>
      <c r="EU94" s="189">
        <v>0</v>
      </c>
      <c r="EV94" s="189">
        <v>0</v>
      </c>
      <c r="EW94" s="189">
        <v>44</v>
      </c>
      <c r="EX94" s="189">
        <v>0</v>
      </c>
      <c r="EY94" s="189">
        <v>23</v>
      </c>
      <c r="EZ94" s="189">
        <v>0</v>
      </c>
      <c r="FA94" s="189">
        <v>0</v>
      </c>
      <c r="FB94" s="189">
        <v>0</v>
      </c>
      <c r="FC94" s="189">
        <v>40</v>
      </c>
      <c r="FD94" s="189">
        <v>0</v>
      </c>
      <c r="FE94" s="189">
        <v>0</v>
      </c>
      <c r="FF94" s="189">
        <v>0</v>
      </c>
      <c r="FG94" s="189">
        <v>0</v>
      </c>
      <c r="FH94" s="189">
        <v>0</v>
      </c>
      <c r="FI94" s="189">
        <v>0</v>
      </c>
      <c r="FJ94" s="189">
        <v>0</v>
      </c>
      <c r="FK94" s="189">
        <v>118.6</v>
      </c>
      <c r="FL94" s="189">
        <v>111</v>
      </c>
      <c r="FN94" s="132">
        <v>0</v>
      </c>
    </row>
    <row r="95" spans="1:170" ht="30" customHeight="1">
      <c r="A95" s="88">
        <f>COUNTIF($H$12:H95,H95)</f>
        <v>84</v>
      </c>
      <c r="B95" s="88" t="s">
        <v>1965</v>
      </c>
      <c r="C95" s="88" t="s">
        <v>444</v>
      </c>
      <c r="D95" s="88"/>
      <c r="E95" s="88"/>
      <c r="F95" s="301" t="s">
        <v>619</v>
      </c>
      <c r="G95" s="89" t="s">
        <v>1648</v>
      </c>
      <c r="H95" s="88">
        <v>1</v>
      </c>
      <c r="I95" s="88">
        <v>1</v>
      </c>
      <c r="J95" s="88">
        <v>1</v>
      </c>
      <c r="K95" s="90" t="s">
        <v>1136</v>
      </c>
      <c r="L95" s="90" t="s">
        <v>1136</v>
      </c>
      <c r="M95" s="214"/>
      <c r="N95" s="88" t="s">
        <v>1179</v>
      </c>
      <c r="O95" s="216">
        <f t="shared" si="205"/>
        <v>3</v>
      </c>
      <c r="P95" s="88" t="str">
        <f t="shared" si="284"/>
        <v>B11_3</v>
      </c>
      <c r="Q95" s="88">
        <f t="shared" si="149"/>
        <v>270</v>
      </c>
      <c r="R95" s="88">
        <f t="shared" si="150"/>
        <v>60</v>
      </c>
      <c r="S95" s="231"/>
      <c r="T95" s="214" t="s">
        <v>3088</v>
      </c>
      <c r="U95" s="88">
        <f>IF(RIGHT(T95,1)="K",(VLOOKUP(T95,ma_miengiam!$A$3:$B$80,2,0)*100)/2,VLOOKUP(T95,ma_miengiam!$A$3:$B$80,2,0)*100)</f>
        <v>0</v>
      </c>
      <c r="V95" s="88"/>
      <c r="W95" s="220">
        <f>IF(AND(T95="NTS",V95&gt;0),(Q95-(Q95*V95)/12)*VLOOKUP(T95,ma_miengiam!$A$3:$B$80,2,0)+(Q95-(Q95*(12-V95))/12),IF(AND(RIGHT(T95,1)="K",V95&gt;0),(VLOOKUP(T95,ma_miengiam!$A$3:$B$80,2,0)/2)*(Q95*V95)/12,IF(RIGHT(T95,1)="K",(VLOOKUP(T95,ma_miengiam!$A$3:$B$80,2,0)*Q95)/2,IF(V95&gt;0,VLOOKUP(T95,ma_miengiam!$A$3:$B$80,2,0)*Q95*V95/12,VLOOKUP(T95,ma_miengiam!$A$3:$B$80,2,0)*Q95))))</f>
        <v>0</v>
      </c>
      <c r="X95" s="220">
        <f>IF(T95="NTS",VLOOKUP(T95,ma_miengiam!$A$3:$B$80,2,0)*R95*V95,IF(AND(T95="NTS",V95=0),0,IF(AND(LEFT(T95,1)="K",V95=0),VLOOKUP(T95,ma_miengiam!$A$3:$B$80,2,0)*R95,IF(LEFT(T95,1)="K",(VLOOKUP(T95,ma_miengiam!$A$3:$B$80,2,0)*R95/12)*V95,IF(AND(LEFT(T95,1)="S",V95&gt;0),(R95/12)*V95,IF(AND(LEFT(T95,1)="S",V95=0),R95,IF(T95="DH",VLOOKUP(T95,ma_miengiam!$A$3:$B$80,2,0)*R95,0)))))))</f>
        <v>0</v>
      </c>
      <c r="Y95" s="220">
        <f t="shared" si="213"/>
        <v>270</v>
      </c>
      <c r="Z95" s="220">
        <f t="shared" si="285"/>
        <v>60</v>
      </c>
      <c r="AA95" s="220">
        <f t="shared" si="275"/>
        <v>270</v>
      </c>
      <c r="AB95" s="220">
        <f t="shared" si="276"/>
        <v>60</v>
      </c>
      <c r="AC95" s="220">
        <f t="shared" si="286"/>
        <v>0</v>
      </c>
      <c r="AD95" s="220">
        <f t="shared" si="287"/>
        <v>0</v>
      </c>
      <c r="AE95" s="220">
        <f t="shared" si="288"/>
        <v>270</v>
      </c>
      <c r="AF95" s="220">
        <f t="shared" si="289"/>
        <v>60</v>
      </c>
      <c r="AG95" s="220">
        <f t="shared" si="278"/>
        <v>69.460000000000008</v>
      </c>
      <c r="AH95" s="220">
        <f t="shared" si="279"/>
        <v>19.46</v>
      </c>
      <c r="AI95" s="220">
        <f t="shared" si="280"/>
        <v>50</v>
      </c>
      <c r="AJ95" s="220">
        <f t="shared" si="290"/>
        <v>0</v>
      </c>
      <c r="AK95" s="216">
        <f t="shared" si="247"/>
        <v>270</v>
      </c>
      <c r="AL95" s="220">
        <f t="shared" si="248"/>
        <v>151.19999999999999</v>
      </c>
      <c r="AM95" s="220">
        <f t="shared" si="249"/>
        <v>0</v>
      </c>
      <c r="AN95" s="221">
        <f t="shared" si="250"/>
        <v>151.19999999999999</v>
      </c>
      <c r="AO95" s="220">
        <f t="shared" si="251"/>
        <v>0</v>
      </c>
      <c r="AP95" s="220">
        <f t="shared" si="252"/>
        <v>0</v>
      </c>
      <c r="AQ95" s="220">
        <f t="shared" si="253"/>
        <v>34</v>
      </c>
      <c r="AR95" s="220">
        <f t="shared" si="254"/>
        <v>0</v>
      </c>
      <c r="AS95" s="220">
        <f t="shared" si="255"/>
        <v>0</v>
      </c>
      <c r="AT95" s="216">
        <f t="shared" si="256"/>
        <v>185.2</v>
      </c>
      <c r="AU95" s="222">
        <f>AN95-AK95</f>
        <v>-118.80000000000001</v>
      </c>
      <c r="AV95" s="220"/>
      <c r="AW95" s="220">
        <f>IF(AU95&gt;0,AU95,AV95+AU95)</f>
        <v>-118.80000000000001</v>
      </c>
      <c r="AX95" s="216">
        <f t="shared" si="265"/>
        <v>-118.80000000000001</v>
      </c>
      <c r="AY95" s="220">
        <f>IF(AN95&gt;=AK95,AO95,IF(AN95+AO95-AK95&gt;=0,AN95+AO95-AK95,0))</f>
        <v>0</v>
      </c>
      <c r="AZ95" s="220">
        <f>IF(OR(AN95&gt;=AK95,AN95+AO95&gt;=AK95),AP95,IF(AN95+AO95+AP95&gt;AK95,AN95+AO95+AP95-AK95,0))</f>
        <v>0</v>
      </c>
      <c r="BA95" s="220">
        <f>IF(OR(AN95&gt;=AK95,AN95+AO95&gt;=AK95,AN95+AO95+AP95&gt;=AK95),AQ95,IF(AN95+AO95+AP95+AQ95&gt;=AK95,AN95+AO95+AP95+AQ95-AK95,0))</f>
        <v>0</v>
      </c>
      <c r="BB95" s="220">
        <f>IF(OR(AN95&gt;=AK95,AN95+AO95&gt;=AK95,AN95+AO95+AP95&gt;=AK95,AN95+AO95+AP95+AQ95&gt;=AK95),AR95,IF(AN95+AO95+AP95+AQ95+AR95&gt;=AK95,AN95+AO95+AP95+AQ95+AR95-AK95,0))</f>
        <v>0</v>
      </c>
      <c r="BC95" s="220">
        <f>IF(OR(AN95&gt;=AK95,AN95+AO95&gt;=AK95,AN95+AO95+AP95&gt;=AK95,AN95+AO95+AP95+AQ95&gt;=AK95,AN95+AO95+AP95+AQ95+AR95&gt;=AK95),AS95,IF(AN95+AO95+AP95+AQ95+AR95+AS95&gt;=AK95,AN95+AO95+AP95+AQ95+AR95+AS95-AK95,0))</f>
        <v>0</v>
      </c>
      <c r="BD95" s="216">
        <f t="shared" si="184"/>
        <v>0</v>
      </c>
      <c r="BE95" s="220">
        <f t="shared" ref="BE95:BI99" si="297">AY95-AO95</f>
        <v>0</v>
      </c>
      <c r="BF95" s="220">
        <f t="shared" si="297"/>
        <v>0</v>
      </c>
      <c r="BG95" s="220">
        <f t="shared" si="297"/>
        <v>-34</v>
      </c>
      <c r="BH95" s="220">
        <f t="shared" si="297"/>
        <v>0</v>
      </c>
      <c r="BI95" s="220">
        <f t="shared" si="297"/>
        <v>0</v>
      </c>
      <c r="BJ95" s="220" t="s">
        <v>2442</v>
      </c>
      <c r="BK95" s="220"/>
      <c r="BL95" s="223">
        <f t="shared" si="257"/>
        <v>0</v>
      </c>
      <c r="BM95" s="220">
        <v>3</v>
      </c>
      <c r="BN95" s="220"/>
      <c r="BO95" s="220">
        <f t="shared" si="281"/>
        <v>3</v>
      </c>
      <c r="BP95" s="220">
        <f>IF(AND(BL95&gt;0,BL95&lt;tiet!$D$1),BL95,IF(BL95&lt;=0,0,IF(BL95&gt;tiet!$C$1,tiet!$C$1)))</f>
        <v>0</v>
      </c>
      <c r="BQ95" s="87">
        <f t="shared" si="291"/>
        <v>60000</v>
      </c>
      <c r="BR95" s="224">
        <f t="shared" si="292"/>
        <v>0</v>
      </c>
      <c r="BS95" s="220">
        <f t="shared" si="219"/>
        <v>0</v>
      </c>
      <c r="BT95" s="224">
        <f>VLOOKUP(N95,ma_dinhmuc!$A$1:$J$31,10,0)</f>
        <v>51000</v>
      </c>
      <c r="BU95" s="224">
        <f>ROUND(IF(BS95&gt;0,VLOOKUP(N95,ma_dinhmuc!$A$1:$J$31,10,0)*BS95,0),0)</f>
        <v>0</v>
      </c>
      <c r="BV95" s="224">
        <f t="shared" si="293"/>
        <v>0</v>
      </c>
      <c r="BW95" s="224"/>
      <c r="BX95" s="224">
        <v>0</v>
      </c>
      <c r="BY95" s="224"/>
      <c r="BZ95" s="224"/>
      <c r="CA95" s="224"/>
      <c r="CB95" s="224"/>
      <c r="CC95" s="225">
        <f t="shared" si="294"/>
        <v>0</v>
      </c>
      <c r="CD95" s="224">
        <f t="shared" si="295"/>
        <v>0</v>
      </c>
      <c r="CE95" s="224"/>
      <c r="CF95" s="226"/>
      <c r="CG95" s="87"/>
      <c r="CH95" s="87">
        <f>A95</f>
        <v>84</v>
      </c>
      <c r="CI95" s="227" t="str">
        <f t="shared" si="258"/>
        <v>Phạm Thị Huyền</v>
      </c>
      <c r="CJ95" s="227" t="str">
        <f t="shared" si="259"/>
        <v>Trang</v>
      </c>
      <c r="CK95" s="87">
        <f t="shared" si="296"/>
        <v>1</v>
      </c>
      <c r="CL95" s="227" t="str">
        <f t="shared" si="282"/>
        <v>Thực vật</v>
      </c>
      <c r="CM95" s="87" t="str">
        <f>N95</f>
        <v>CB2</v>
      </c>
      <c r="CN95" s="87">
        <f t="shared" ref="CN95:CO102" si="298">Q95</f>
        <v>270</v>
      </c>
      <c r="CO95" s="87">
        <f t="shared" si="298"/>
        <v>60</v>
      </c>
      <c r="CP95" s="229">
        <f t="shared" si="223"/>
        <v>0</v>
      </c>
      <c r="CQ95" s="229">
        <f t="shared" si="224"/>
        <v>10.1</v>
      </c>
      <c r="CR95" s="229">
        <f t="shared" si="225"/>
        <v>4.0999999999999996</v>
      </c>
      <c r="CS95" s="229">
        <f t="shared" si="226"/>
        <v>30</v>
      </c>
      <c r="CT95" s="229">
        <f t="shared" si="227"/>
        <v>0</v>
      </c>
      <c r="CU95" s="229">
        <f t="shared" si="228"/>
        <v>52</v>
      </c>
      <c r="CV95" s="229">
        <f t="shared" si="229"/>
        <v>0</v>
      </c>
      <c r="CW95" s="229">
        <f t="shared" si="230"/>
        <v>55</v>
      </c>
      <c r="CX95" s="229">
        <f t="shared" si="231"/>
        <v>0</v>
      </c>
      <c r="CY95" s="229">
        <f t="shared" si="232"/>
        <v>0</v>
      </c>
      <c r="CZ95" s="229">
        <f t="shared" si="233"/>
        <v>0</v>
      </c>
      <c r="DA95" s="229">
        <f t="shared" si="234"/>
        <v>34</v>
      </c>
      <c r="DB95" s="228">
        <f t="shared" si="214"/>
        <v>185.2</v>
      </c>
      <c r="DC95" s="229"/>
      <c r="DD95" s="229"/>
      <c r="DE95" s="229"/>
      <c r="DF95" s="229"/>
      <c r="DG95" s="229"/>
      <c r="DH95" s="229"/>
      <c r="DI95" s="229"/>
      <c r="DJ95" s="229"/>
      <c r="DK95" s="229"/>
      <c r="DL95" s="229"/>
      <c r="DM95" s="229"/>
      <c r="DN95" s="229"/>
      <c r="DO95" s="228">
        <f t="shared" si="215"/>
        <v>0</v>
      </c>
      <c r="DP95" s="228">
        <f t="shared" si="216"/>
        <v>185.2</v>
      </c>
      <c r="DQ95" s="229">
        <f t="shared" si="235"/>
        <v>0</v>
      </c>
      <c r="DR95" s="229">
        <f t="shared" si="236"/>
        <v>0</v>
      </c>
      <c r="DS95" s="229">
        <f t="shared" si="237"/>
        <v>0</v>
      </c>
      <c r="DT95" s="229">
        <f t="shared" si="238"/>
        <v>0</v>
      </c>
      <c r="DU95" s="229">
        <f t="shared" si="239"/>
        <v>0</v>
      </c>
      <c r="DV95" s="229">
        <f t="shared" si="240"/>
        <v>0</v>
      </c>
      <c r="DW95" s="229">
        <f t="shared" si="241"/>
        <v>0</v>
      </c>
      <c r="DX95" s="228">
        <f t="shared" si="217"/>
        <v>0</v>
      </c>
      <c r="DY95" s="229"/>
      <c r="DZ95" s="229"/>
      <c r="EA95" s="229"/>
      <c r="EB95" s="229"/>
      <c r="EC95" s="229"/>
      <c r="ED95" s="229"/>
      <c r="EE95" s="229"/>
      <c r="EF95" s="228">
        <f t="shared" si="220"/>
        <v>0</v>
      </c>
      <c r="EG95" s="228">
        <f t="shared" si="218"/>
        <v>0</v>
      </c>
      <c r="EH95" s="229">
        <f t="shared" si="221"/>
        <v>50</v>
      </c>
      <c r="EI95" s="229">
        <v>19.46</v>
      </c>
      <c r="EJ95" s="228">
        <f t="shared" si="283"/>
        <v>69.460000000000008</v>
      </c>
      <c r="EK95" s="229"/>
      <c r="EL95" s="229"/>
      <c r="EM95" s="228">
        <f>SUM(EK95:EL95)</f>
        <v>0</v>
      </c>
      <c r="EN95" s="229">
        <f>EK95+EH95+EL95</f>
        <v>50</v>
      </c>
      <c r="EO95" s="229">
        <f>EI95</f>
        <v>19.46</v>
      </c>
      <c r="EP95" s="228">
        <f>EM95+EJ95</f>
        <v>69.460000000000008</v>
      </c>
      <c r="EQ95" s="173">
        <f t="shared" si="222"/>
        <v>0</v>
      </c>
      <c r="ER95" s="189">
        <v>0</v>
      </c>
      <c r="ES95" s="189">
        <v>10.1</v>
      </c>
      <c r="ET95" s="189">
        <v>4.0999999999999996</v>
      </c>
      <c r="EU95" s="189">
        <v>30</v>
      </c>
      <c r="EV95" s="189">
        <v>0</v>
      </c>
      <c r="EW95" s="189">
        <v>52</v>
      </c>
      <c r="EX95" s="189">
        <v>0</v>
      </c>
      <c r="EY95" s="189">
        <v>55</v>
      </c>
      <c r="EZ95" s="189">
        <v>0</v>
      </c>
      <c r="FA95" s="189">
        <v>0</v>
      </c>
      <c r="FB95" s="189">
        <v>0</v>
      </c>
      <c r="FC95" s="189">
        <v>34</v>
      </c>
      <c r="FD95" s="189">
        <v>0</v>
      </c>
      <c r="FE95" s="189">
        <v>0</v>
      </c>
      <c r="FF95" s="189">
        <v>0</v>
      </c>
      <c r="FG95" s="189">
        <v>0</v>
      </c>
      <c r="FH95" s="189">
        <v>0</v>
      </c>
      <c r="FI95" s="189">
        <v>0</v>
      </c>
      <c r="FJ95" s="189">
        <v>0</v>
      </c>
      <c r="FK95" s="189">
        <v>185.2</v>
      </c>
      <c r="FL95" s="189">
        <v>175</v>
      </c>
      <c r="FN95" s="132">
        <v>50</v>
      </c>
    </row>
    <row r="96" spans="1:170" ht="29.25" customHeight="1">
      <c r="A96" s="88">
        <f>COUNTIF($H$12:H99,H96)</f>
        <v>88</v>
      </c>
      <c r="B96" s="88" t="s">
        <v>1966</v>
      </c>
      <c r="C96" s="88" t="s">
        <v>445</v>
      </c>
      <c r="D96" s="88" t="s">
        <v>623</v>
      </c>
      <c r="E96" s="88"/>
      <c r="F96" s="301" t="s">
        <v>620</v>
      </c>
      <c r="G96" s="89" t="s">
        <v>17</v>
      </c>
      <c r="H96" s="88">
        <v>1</v>
      </c>
      <c r="I96" s="88">
        <v>1</v>
      </c>
      <c r="J96" s="88">
        <v>1</v>
      </c>
      <c r="K96" s="90" t="s">
        <v>1136</v>
      </c>
      <c r="L96" s="90" t="s">
        <v>1136</v>
      </c>
      <c r="M96" s="214"/>
      <c r="N96" s="88" t="s">
        <v>1179</v>
      </c>
      <c r="O96" s="216">
        <f t="shared" si="205"/>
        <v>3.33</v>
      </c>
      <c r="P96" s="88" t="str">
        <f t="shared" si="284"/>
        <v>B11_4</v>
      </c>
      <c r="Q96" s="88">
        <f t="shared" si="149"/>
        <v>270</v>
      </c>
      <c r="R96" s="88">
        <f t="shared" si="150"/>
        <v>80</v>
      </c>
      <c r="S96" s="230" t="s">
        <v>689</v>
      </c>
      <c r="T96" s="88" t="s">
        <v>3090</v>
      </c>
      <c r="U96" s="88">
        <f>IF(RIGHT(T96,1)="K",(VLOOKUP(T96,ma_miengiam!$A$3:$B$80,2,0)*100)/2,VLOOKUP(T96,ma_miengiam!$A$3:$B$80,2,0)*100)</f>
        <v>15</v>
      </c>
      <c r="V96" s="88"/>
      <c r="W96" s="220">
        <f>IF(AND(T96="NTS",V96&gt;0),(Q96-(Q96*V96)/12)*VLOOKUP(T96,ma_miengiam!$A$3:$B$80,2,0)+(Q96-(Q96*(12-V96))/12),IF(AND(RIGHT(T96,1)="K",V96&gt;0),(VLOOKUP(T96,ma_miengiam!$A$3:$B$80,2,0)/2)*(Q96*V96)/12,IF(RIGHT(T96,1)="K",(VLOOKUP(T96,ma_miengiam!$A$3:$B$80,2,0)*Q96)/2,IF(V96&gt;0,VLOOKUP(T96,ma_miengiam!$A$3:$B$80,2,0)*Q96*V96/12,VLOOKUP(T96,ma_miengiam!$A$3:$B$80,2,0)*Q96))))</f>
        <v>40.5</v>
      </c>
      <c r="X96" s="220">
        <f>IF(T96="NTS",VLOOKUP(T96,ma_miengiam!$A$3:$B$80,2,0)*R96*V96,IF(AND(T96="NTS",V96=0),0,IF(AND(LEFT(T96,1)="K",V96=0),VLOOKUP(T96,ma_miengiam!$A$3:$B$80,2,0)*R96,IF(LEFT(T96,1)="K",(VLOOKUP(T96,ma_miengiam!$A$3:$B$80,2,0)*R96/12)*V96,IF(AND(LEFT(T96,1)="S",V96&gt;0),(R96/12)*V96,IF(AND(LEFT(T96,1)="S",V96=0),R96,IF(T96="DH",VLOOKUP(T96,ma_miengiam!$A$3:$B$80,2,0)*R96,0)))))))</f>
        <v>0</v>
      </c>
      <c r="Y96" s="220">
        <f t="shared" si="213"/>
        <v>229.5</v>
      </c>
      <c r="Z96" s="220">
        <f t="shared" si="285"/>
        <v>80</v>
      </c>
      <c r="AA96" s="220">
        <f t="shared" si="275"/>
        <v>270</v>
      </c>
      <c r="AB96" s="220">
        <f t="shared" si="276"/>
        <v>80</v>
      </c>
      <c r="AC96" s="220">
        <f t="shared" si="286"/>
        <v>40.5</v>
      </c>
      <c r="AD96" s="220">
        <f t="shared" si="287"/>
        <v>0</v>
      </c>
      <c r="AE96" s="220">
        <f t="shared" si="288"/>
        <v>229.5</v>
      </c>
      <c r="AF96" s="220">
        <f t="shared" si="289"/>
        <v>80</v>
      </c>
      <c r="AG96" s="220">
        <f t="shared" si="278"/>
        <v>75.12</v>
      </c>
      <c r="AH96" s="220">
        <f t="shared" si="279"/>
        <v>25.95</v>
      </c>
      <c r="AI96" s="220">
        <f t="shared" si="280"/>
        <v>49.17</v>
      </c>
      <c r="AJ96" s="220">
        <f t="shared" si="290"/>
        <v>-4.8799999999999955</v>
      </c>
      <c r="AK96" s="216">
        <f t="shared" si="247"/>
        <v>234.38</v>
      </c>
      <c r="AL96" s="220">
        <f t="shared" si="248"/>
        <v>133.69999999999999</v>
      </c>
      <c r="AM96" s="220">
        <f t="shared" si="249"/>
        <v>0</v>
      </c>
      <c r="AN96" s="221">
        <f t="shared" si="250"/>
        <v>133.69999999999999</v>
      </c>
      <c r="AO96" s="220">
        <f t="shared" si="251"/>
        <v>0</v>
      </c>
      <c r="AP96" s="220">
        <f t="shared" si="252"/>
        <v>0</v>
      </c>
      <c r="AQ96" s="220">
        <f t="shared" si="253"/>
        <v>48</v>
      </c>
      <c r="AR96" s="220">
        <f t="shared" si="254"/>
        <v>80</v>
      </c>
      <c r="AS96" s="220">
        <f t="shared" si="255"/>
        <v>0</v>
      </c>
      <c r="AT96" s="216">
        <f t="shared" si="256"/>
        <v>261.7</v>
      </c>
      <c r="AU96" s="222">
        <f>AN96-AK96</f>
        <v>-100.68</v>
      </c>
      <c r="AV96" s="220"/>
      <c r="AW96" s="220">
        <f>IF(AU96&gt;0,AU96,AV96+AU96)</f>
        <v>-100.68</v>
      </c>
      <c r="AX96" s="216">
        <f t="shared" si="265"/>
        <v>-100.68</v>
      </c>
      <c r="AY96" s="220">
        <f>IF(AN96&gt;=AK96,AO96,IF(AN96+AO96-AK96&gt;=0,AN96+AO96-AK96,0))</f>
        <v>0</v>
      </c>
      <c r="AZ96" s="220">
        <f>IF(OR(AN96&gt;=AK96,AN96+AO96&gt;=AK96),AP96,IF(AN96+AO96+AP96&gt;AK96,AN96+AO96+AP96-AK96,0))</f>
        <v>0</v>
      </c>
      <c r="BA96" s="220">
        <f>IF(OR(AN96&gt;=AK96,AN96+AO96&gt;=AK96,AN96+AO96+AP96&gt;=AK96),AQ96,IF(AN96+AO96+AP96+AQ96&gt;=AK96,AN96+AO96+AP96+AQ96-AK96,0))</f>
        <v>0</v>
      </c>
      <c r="BB96" s="220">
        <f>IF(OR(AN96&gt;=AK96,AN96+AO96&gt;=AK96,AN96+AO96+AP96&gt;=AK96,AN96+AO96+AP96+AQ96&gt;=AK96),AR96,IF(AN96+AO96+AP96+AQ96+AR96&gt;=AK96,AN96+AO96+AP96+AQ96+AR96-AK96,0))</f>
        <v>27.319999999999993</v>
      </c>
      <c r="BC96" s="220">
        <f>IF(OR(AN96&gt;=AK96,AN96+AO96&gt;=AK96,AN96+AO96+AP96&gt;=AK96,AN96+AO96+AP96+AQ96&gt;=AK96,AN96+AO96+AP96+AQ96+AR96&gt;=AK96),AS96,IF(AN96+AO96+AP96+AQ96+AR96+AS96&gt;=AK96,AN96+AO96+AP96+AQ96+AR96+AS96-AK96,0))</f>
        <v>0</v>
      </c>
      <c r="BD96" s="216">
        <f t="shared" si="184"/>
        <v>27.319999999999993</v>
      </c>
      <c r="BE96" s="220">
        <f t="shared" si="297"/>
        <v>0</v>
      </c>
      <c r="BF96" s="220">
        <f t="shared" si="297"/>
        <v>0</v>
      </c>
      <c r="BG96" s="220">
        <f t="shared" si="297"/>
        <v>-48</v>
      </c>
      <c r="BH96" s="220">
        <f t="shared" si="297"/>
        <v>-52.680000000000007</v>
      </c>
      <c r="BI96" s="220">
        <f t="shared" si="297"/>
        <v>0</v>
      </c>
      <c r="BJ96" s="220" t="s">
        <v>2442</v>
      </c>
      <c r="BK96" s="220"/>
      <c r="BL96" s="223">
        <f t="shared" si="257"/>
        <v>0</v>
      </c>
      <c r="BM96" s="220">
        <v>3.33</v>
      </c>
      <c r="BN96" s="220"/>
      <c r="BO96" s="220">
        <f t="shared" si="281"/>
        <v>3.33</v>
      </c>
      <c r="BP96" s="220">
        <f>IF(AND(BL96&gt;0,BL96&lt;tiet!$D$1),BL96,IF(BL96&lt;=0,0,IF(BL96&gt;tiet!$C$1,tiet!$C$1)))</f>
        <v>0</v>
      </c>
      <c r="BQ96" s="87">
        <f t="shared" si="291"/>
        <v>65000</v>
      </c>
      <c r="BR96" s="224">
        <f t="shared" si="292"/>
        <v>0</v>
      </c>
      <c r="BS96" s="220">
        <f t="shared" si="219"/>
        <v>0</v>
      </c>
      <c r="BT96" s="224">
        <f>VLOOKUP(N96,ma_dinhmuc!$A$1:$J$31,10,0)</f>
        <v>51000</v>
      </c>
      <c r="BU96" s="224">
        <f>ROUND(IF(BS96&gt;0,VLOOKUP(N96,ma_dinhmuc!$A$1:$J$31,10,0)*BS96,0),0)</f>
        <v>0</v>
      </c>
      <c r="BV96" s="224">
        <f t="shared" si="293"/>
        <v>0</v>
      </c>
      <c r="BW96" s="224"/>
      <c r="BX96" s="224">
        <v>0</v>
      </c>
      <c r="BY96" s="224"/>
      <c r="BZ96" s="224"/>
      <c r="CA96" s="224"/>
      <c r="CB96" s="224"/>
      <c r="CC96" s="225">
        <f t="shared" si="294"/>
        <v>0</v>
      </c>
      <c r="CD96" s="224">
        <f t="shared" si="295"/>
        <v>0</v>
      </c>
      <c r="CE96" s="224"/>
      <c r="CF96" s="226"/>
      <c r="CG96" s="87"/>
      <c r="CH96" s="87">
        <f>A96</f>
        <v>88</v>
      </c>
      <c r="CI96" s="227" t="str">
        <f t="shared" si="258"/>
        <v>Phùng Thị Thu</v>
      </c>
      <c r="CJ96" s="227" t="str">
        <f t="shared" si="259"/>
        <v>Hà</v>
      </c>
      <c r="CK96" s="87">
        <f t="shared" si="296"/>
        <v>1</v>
      </c>
      <c r="CL96" s="227" t="str">
        <f t="shared" si="282"/>
        <v>Thực vật</v>
      </c>
      <c r="CM96" s="87" t="str">
        <f>N96</f>
        <v>CB2</v>
      </c>
      <c r="CN96" s="87">
        <f t="shared" si="298"/>
        <v>270</v>
      </c>
      <c r="CO96" s="87">
        <f t="shared" si="298"/>
        <v>80</v>
      </c>
      <c r="CP96" s="229">
        <f t="shared" si="223"/>
        <v>0</v>
      </c>
      <c r="CQ96" s="229">
        <f t="shared" si="224"/>
        <v>9</v>
      </c>
      <c r="CR96" s="229">
        <f t="shared" si="225"/>
        <v>3.7</v>
      </c>
      <c r="CS96" s="229">
        <f t="shared" si="226"/>
        <v>0</v>
      </c>
      <c r="CT96" s="229">
        <f t="shared" si="227"/>
        <v>0</v>
      </c>
      <c r="CU96" s="229">
        <f t="shared" si="228"/>
        <v>52</v>
      </c>
      <c r="CV96" s="229">
        <f t="shared" si="229"/>
        <v>0</v>
      </c>
      <c r="CW96" s="229">
        <f t="shared" si="230"/>
        <v>69</v>
      </c>
      <c r="CX96" s="229">
        <f t="shared" si="231"/>
        <v>0</v>
      </c>
      <c r="CY96" s="229">
        <f t="shared" si="232"/>
        <v>0</v>
      </c>
      <c r="CZ96" s="229">
        <f t="shared" si="233"/>
        <v>0</v>
      </c>
      <c r="DA96" s="229">
        <f t="shared" si="234"/>
        <v>48</v>
      </c>
      <c r="DB96" s="228">
        <f t="shared" si="214"/>
        <v>181.7</v>
      </c>
      <c r="DC96" s="229"/>
      <c r="DD96" s="229"/>
      <c r="DE96" s="229"/>
      <c r="DF96" s="229"/>
      <c r="DG96" s="229"/>
      <c r="DH96" s="229"/>
      <c r="DI96" s="229"/>
      <c r="DJ96" s="229"/>
      <c r="DK96" s="229"/>
      <c r="DL96" s="229"/>
      <c r="DM96" s="229"/>
      <c r="DN96" s="229"/>
      <c r="DO96" s="228">
        <f t="shared" si="215"/>
        <v>0</v>
      </c>
      <c r="DP96" s="228">
        <f t="shared" si="216"/>
        <v>181.7</v>
      </c>
      <c r="DQ96" s="229">
        <f t="shared" si="235"/>
        <v>0</v>
      </c>
      <c r="DR96" s="229">
        <f t="shared" si="236"/>
        <v>0</v>
      </c>
      <c r="DS96" s="229">
        <f t="shared" si="237"/>
        <v>0</v>
      </c>
      <c r="DT96" s="229">
        <f t="shared" si="238"/>
        <v>0</v>
      </c>
      <c r="DU96" s="229">
        <f t="shared" si="239"/>
        <v>0</v>
      </c>
      <c r="DV96" s="229">
        <f t="shared" si="240"/>
        <v>80</v>
      </c>
      <c r="DW96" s="229">
        <f t="shared" si="241"/>
        <v>0</v>
      </c>
      <c r="DX96" s="228">
        <f t="shared" si="217"/>
        <v>80</v>
      </c>
      <c r="DY96" s="229"/>
      <c r="DZ96" s="229"/>
      <c r="EA96" s="229"/>
      <c r="EB96" s="229"/>
      <c r="EC96" s="229"/>
      <c r="ED96" s="229"/>
      <c r="EE96" s="229"/>
      <c r="EF96" s="228">
        <f t="shared" si="220"/>
        <v>0</v>
      </c>
      <c r="EG96" s="228">
        <f t="shared" si="218"/>
        <v>80</v>
      </c>
      <c r="EH96" s="229">
        <f t="shared" si="221"/>
        <v>49.17</v>
      </c>
      <c r="EI96" s="229">
        <v>25.95</v>
      </c>
      <c r="EJ96" s="228">
        <f t="shared" si="283"/>
        <v>75.12</v>
      </c>
      <c r="EK96" s="229"/>
      <c r="EL96" s="229"/>
      <c r="EM96" s="228">
        <f>SUM(EK96:EL96)</f>
        <v>0</v>
      </c>
      <c r="EN96" s="229">
        <f>EK96+EH96+EL96</f>
        <v>49.17</v>
      </c>
      <c r="EO96" s="229">
        <f>EI96</f>
        <v>25.95</v>
      </c>
      <c r="EP96" s="228">
        <f>EM96+EJ96</f>
        <v>75.12</v>
      </c>
      <c r="EQ96" s="173">
        <f t="shared" si="222"/>
        <v>0</v>
      </c>
      <c r="ER96" s="189">
        <v>0</v>
      </c>
      <c r="ES96" s="189">
        <v>9</v>
      </c>
      <c r="ET96" s="189">
        <v>3.7</v>
      </c>
      <c r="EU96" s="189">
        <v>0</v>
      </c>
      <c r="EV96" s="189">
        <v>0</v>
      </c>
      <c r="EW96" s="189">
        <v>52</v>
      </c>
      <c r="EX96" s="189">
        <v>0</v>
      </c>
      <c r="EY96" s="189">
        <v>69</v>
      </c>
      <c r="EZ96" s="189">
        <v>0</v>
      </c>
      <c r="FA96" s="189">
        <v>0</v>
      </c>
      <c r="FB96" s="189">
        <v>0</v>
      </c>
      <c r="FC96" s="189">
        <v>48</v>
      </c>
      <c r="FD96" s="189">
        <v>0</v>
      </c>
      <c r="FE96" s="189">
        <v>0</v>
      </c>
      <c r="FF96" s="189">
        <v>0</v>
      </c>
      <c r="FG96" s="189">
        <v>0</v>
      </c>
      <c r="FH96" s="189">
        <v>80</v>
      </c>
      <c r="FI96" s="189">
        <v>0</v>
      </c>
      <c r="FJ96" s="189">
        <v>0</v>
      </c>
      <c r="FK96" s="189">
        <v>261.7</v>
      </c>
      <c r="FL96" s="189">
        <v>253</v>
      </c>
      <c r="FN96" s="132">
        <v>49.17</v>
      </c>
    </row>
    <row r="97" spans="1:170" ht="30" customHeight="1">
      <c r="A97" s="88">
        <f>COUNTIF($H$12:H97,H97)</f>
        <v>86</v>
      </c>
      <c r="B97" s="88" t="s">
        <v>257</v>
      </c>
      <c r="C97" s="88" t="s">
        <v>527</v>
      </c>
      <c r="D97" s="88"/>
      <c r="E97" s="88"/>
      <c r="F97" s="301" t="s">
        <v>528</v>
      </c>
      <c r="G97" s="89" t="s">
        <v>2042</v>
      </c>
      <c r="H97" s="88">
        <v>1</v>
      </c>
      <c r="I97" s="88">
        <v>1</v>
      </c>
      <c r="J97" s="88">
        <v>1</v>
      </c>
      <c r="K97" s="90" t="s">
        <v>1136</v>
      </c>
      <c r="L97" s="90" t="s">
        <v>1136</v>
      </c>
      <c r="M97" s="214"/>
      <c r="N97" s="88" t="s">
        <v>1179</v>
      </c>
      <c r="O97" s="216">
        <f t="shared" si="205"/>
        <v>4.32</v>
      </c>
      <c r="P97" s="88" t="str">
        <f t="shared" si="284"/>
        <v>B11_4</v>
      </c>
      <c r="Q97" s="88">
        <f t="shared" si="149"/>
        <v>270</v>
      </c>
      <c r="R97" s="88">
        <f t="shared" si="150"/>
        <v>80</v>
      </c>
      <c r="S97" s="230" t="s">
        <v>2043</v>
      </c>
      <c r="T97" s="88" t="s">
        <v>3088</v>
      </c>
      <c r="U97" s="88">
        <f>IF(RIGHT(T97,1)="K",(VLOOKUP(T97,ma_miengiam!$A$3:$B$80,2,0)*100)/2,VLOOKUP(T97,ma_miengiam!$A$3:$B$80,2,0)*100)</f>
        <v>0</v>
      </c>
      <c r="V97" s="88"/>
      <c r="W97" s="220">
        <f>IF(AND(T97="NTS",V97&gt;0),(Q97-(Q97*V97)/12)*VLOOKUP(T97,ma_miengiam!$A$3:$B$80,2,0)+(Q97-(Q97*(12-V97))/12),IF(AND(RIGHT(T97,1)="K",V97&gt;0),(VLOOKUP(T97,ma_miengiam!$A$3:$B$80,2,0)/2)*(Q97*V97)/12,IF(RIGHT(T97,1)="K",(VLOOKUP(T97,ma_miengiam!$A$3:$B$80,2,0)*Q97)/2,IF(V97&gt;0,VLOOKUP(T97,ma_miengiam!$A$3:$B$80,2,0)*Q97*V97/12,VLOOKUP(T97,ma_miengiam!$A$3:$B$80,2,0)*Q97))))</f>
        <v>0</v>
      </c>
      <c r="X97" s="220">
        <f>IF(T97="NTS",VLOOKUP(T97,ma_miengiam!$A$3:$B$80,2,0)*R97*V97,IF(AND(T97="NTS",V97=0),0,IF(AND(LEFT(T97,1)="K",V97=0),VLOOKUP(T97,ma_miengiam!$A$3:$B$80,2,0)*R97,IF(LEFT(T97,1)="K",(VLOOKUP(T97,ma_miengiam!$A$3:$B$80,2,0)*R97/12)*V97,IF(AND(LEFT(T97,1)="S",V97&gt;0),(R97/12)*V97,IF(AND(LEFT(T97,1)="S",V97=0),R97,IF(T97="DH",VLOOKUP(T97,ma_miengiam!$A$3:$B$80,2,0)*R97,0)))))))</f>
        <v>0</v>
      </c>
      <c r="Y97" s="220">
        <f t="shared" si="213"/>
        <v>270</v>
      </c>
      <c r="Z97" s="220">
        <f t="shared" si="285"/>
        <v>80</v>
      </c>
      <c r="AA97" s="220">
        <f>Q97</f>
        <v>270</v>
      </c>
      <c r="AB97" s="220">
        <f>R97</f>
        <v>80</v>
      </c>
      <c r="AC97" s="220">
        <f t="shared" si="286"/>
        <v>0</v>
      </c>
      <c r="AD97" s="220">
        <f t="shared" si="287"/>
        <v>0</v>
      </c>
      <c r="AE97" s="220">
        <f t="shared" si="288"/>
        <v>270</v>
      </c>
      <c r="AF97" s="220">
        <f t="shared" si="289"/>
        <v>80</v>
      </c>
      <c r="AG97" s="220">
        <f>AH97+AI97</f>
        <v>528.46</v>
      </c>
      <c r="AH97" s="220">
        <f>EO97</f>
        <v>190</v>
      </c>
      <c r="AI97" s="220">
        <f>EN97</f>
        <v>338.46</v>
      </c>
      <c r="AJ97" s="220">
        <f t="shared" si="290"/>
        <v>0</v>
      </c>
      <c r="AK97" s="216">
        <f t="shared" si="247"/>
        <v>270</v>
      </c>
      <c r="AL97" s="220">
        <f t="shared" si="248"/>
        <v>84.7</v>
      </c>
      <c r="AM97" s="220">
        <f t="shared" si="249"/>
        <v>0</v>
      </c>
      <c r="AN97" s="221">
        <f t="shared" si="250"/>
        <v>84.7</v>
      </c>
      <c r="AO97" s="220">
        <f t="shared" si="251"/>
        <v>0</v>
      </c>
      <c r="AP97" s="220">
        <f t="shared" si="252"/>
        <v>0</v>
      </c>
      <c r="AQ97" s="220">
        <f t="shared" si="253"/>
        <v>140</v>
      </c>
      <c r="AR97" s="220">
        <f t="shared" si="254"/>
        <v>0</v>
      </c>
      <c r="AS97" s="220">
        <f t="shared" si="255"/>
        <v>0</v>
      </c>
      <c r="AT97" s="216">
        <f t="shared" si="256"/>
        <v>224.7</v>
      </c>
      <c r="AU97" s="220">
        <f>AN97-AK97</f>
        <v>-185.3</v>
      </c>
      <c r="AV97" s="220"/>
      <c r="AW97" s="220">
        <f>IF(AU97&gt;0,AU97,AV97+AU97)</f>
        <v>-185.3</v>
      </c>
      <c r="AX97" s="216">
        <f t="shared" si="265"/>
        <v>-185.3</v>
      </c>
      <c r="AY97" s="220">
        <f>IF(AN97&gt;=AK97,AO97,IF(AN97+AO97-AK97&gt;=0,AN97+AO97-AK97,0))</f>
        <v>0</v>
      </c>
      <c r="AZ97" s="220">
        <f>IF(OR(AN97&gt;=AK97,AN97+AO97&gt;=AK97),AP97,IF(AN97+AO97+AP97&gt;AK97,AN97+AO97+AP97-AK97,0))</f>
        <v>0</v>
      </c>
      <c r="BA97" s="220">
        <f>IF(OR(AN97&gt;=AK97,AN97+AO97&gt;=AK97,AN97+AO97+AP97&gt;=AK97),AQ97,IF(AN97+AO97+AP97+AQ97&gt;=AK97,AN97+AO97+AP97+AQ97-AK97,0))</f>
        <v>0</v>
      </c>
      <c r="BB97" s="220">
        <f>IF(OR(AN97&gt;=AK97,AN97+AO97&gt;=AK97,AN97+AO97+AP97&gt;=AK97,AN97+AO97+AP97+AQ97&gt;=AK97),AR97,IF(AN97+AO97+AP97+AQ97+AR97&gt;=AK97,AN97+AO97+AP97+AQ97+AR97-AK97,0))</f>
        <v>0</v>
      </c>
      <c r="BC97" s="220">
        <f>IF(OR(AN97&gt;=AK97,AN97+AO97&gt;=AK97,AN97+AO97+AP97&gt;=AK97,AN97+AO97+AP97+AQ97&gt;=AK97,AN97+AO97+AP97+AQ97+AR97&gt;=AK97),AS97,IF(AN97+AO97+AP97+AQ97+AR97+AS97&gt;=AK97,AN97+AO97+AP97+AQ97+AR97+AS97-AK97,0))</f>
        <v>0</v>
      </c>
      <c r="BD97" s="216">
        <f t="shared" si="184"/>
        <v>0</v>
      </c>
      <c r="BE97" s="220">
        <f t="shared" si="297"/>
        <v>0</v>
      </c>
      <c r="BF97" s="220">
        <f t="shared" si="297"/>
        <v>0</v>
      </c>
      <c r="BG97" s="220">
        <f t="shared" si="297"/>
        <v>-140</v>
      </c>
      <c r="BH97" s="220">
        <f t="shared" si="297"/>
        <v>0</v>
      </c>
      <c r="BI97" s="220">
        <f t="shared" si="297"/>
        <v>0</v>
      </c>
      <c r="BJ97" s="220" t="s">
        <v>2442</v>
      </c>
      <c r="BK97" s="220"/>
      <c r="BL97" s="223">
        <f t="shared" si="257"/>
        <v>0</v>
      </c>
      <c r="BM97" s="220">
        <v>4.32</v>
      </c>
      <c r="BN97" s="220"/>
      <c r="BO97" s="220">
        <f>ROUND(BM97+(BM97*BN97),2)</f>
        <v>4.32</v>
      </c>
      <c r="BP97" s="220">
        <f>IF(AND(BL97&gt;0,BL97&lt;tiet!$D$1),BL97,IF(BL97&lt;=0,0,IF(BL97&gt;tiet!$C$1,tiet!$C$1)))</f>
        <v>0</v>
      </c>
      <c r="BQ97" s="87">
        <f t="shared" si="291"/>
        <v>65000</v>
      </c>
      <c r="BR97" s="224">
        <f t="shared" si="292"/>
        <v>0</v>
      </c>
      <c r="BS97" s="220">
        <f t="shared" si="219"/>
        <v>0</v>
      </c>
      <c r="BT97" s="224">
        <f>VLOOKUP(N97,ma_dinhmuc!$A$1:$J$31,10,0)</f>
        <v>51000</v>
      </c>
      <c r="BU97" s="224">
        <f>ROUND(IF(BS97&gt;0,VLOOKUP(N97,ma_dinhmuc!$A$1:$J$31,10,0)*BS97,0),0)</f>
        <v>0</v>
      </c>
      <c r="BV97" s="224">
        <f t="shared" si="293"/>
        <v>0</v>
      </c>
      <c r="BW97" s="224"/>
      <c r="BX97" s="224">
        <v>0</v>
      </c>
      <c r="BY97" s="224"/>
      <c r="BZ97" s="224"/>
      <c r="CA97" s="224"/>
      <c r="CB97" s="224"/>
      <c r="CC97" s="225">
        <f t="shared" si="294"/>
        <v>0</v>
      </c>
      <c r="CD97" s="224">
        <f t="shared" si="295"/>
        <v>0</v>
      </c>
      <c r="CE97" s="224"/>
      <c r="CF97" s="226"/>
      <c r="CG97" s="87"/>
      <c r="CH97" s="87">
        <f>A97</f>
        <v>86</v>
      </c>
      <c r="CI97" s="227" t="str">
        <f t="shared" si="258"/>
        <v>Trần Bình</v>
      </c>
      <c r="CJ97" s="227" t="str">
        <f t="shared" si="259"/>
        <v>Đà</v>
      </c>
      <c r="CK97" s="87">
        <f t="shared" si="296"/>
        <v>1</v>
      </c>
      <c r="CL97" s="227" t="str">
        <f>L97</f>
        <v>Thực vật</v>
      </c>
      <c r="CM97" s="87" t="str">
        <f>N97</f>
        <v>CB2</v>
      </c>
      <c r="CN97" s="87">
        <f t="shared" si="298"/>
        <v>270</v>
      </c>
      <c r="CO97" s="87">
        <f t="shared" si="298"/>
        <v>80</v>
      </c>
      <c r="CP97" s="229">
        <f t="shared" si="223"/>
        <v>0</v>
      </c>
      <c r="CQ97" s="229">
        <f t="shared" si="224"/>
        <v>6.9</v>
      </c>
      <c r="CR97" s="229">
        <f t="shared" si="225"/>
        <v>2.8</v>
      </c>
      <c r="CS97" s="229">
        <f t="shared" si="226"/>
        <v>0</v>
      </c>
      <c r="CT97" s="229">
        <f t="shared" si="227"/>
        <v>0</v>
      </c>
      <c r="CU97" s="229">
        <f t="shared" si="228"/>
        <v>45</v>
      </c>
      <c r="CV97" s="229">
        <f t="shared" si="229"/>
        <v>0</v>
      </c>
      <c r="CW97" s="229">
        <f t="shared" si="230"/>
        <v>30</v>
      </c>
      <c r="CX97" s="229">
        <f t="shared" si="231"/>
        <v>0</v>
      </c>
      <c r="CY97" s="229">
        <f t="shared" si="232"/>
        <v>0</v>
      </c>
      <c r="CZ97" s="229">
        <f t="shared" si="233"/>
        <v>0</v>
      </c>
      <c r="DA97" s="229">
        <f t="shared" si="234"/>
        <v>140</v>
      </c>
      <c r="DB97" s="228">
        <f t="shared" si="214"/>
        <v>224.7</v>
      </c>
      <c r="DC97" s="229"/>
      <c r="DD97" s="229"/>
      <c r="DE97" s="229"/>
      <c r="DF97" s="229"/>
      <c r="DG97" s="229"/>
      <c r="DH97" s="229"/>
      <c r="DI97" s="229"/>
      <c r="DJ97" s="229"/>
      <c r="DK97" s="229"/>
      <c r="DL97" s="229"/>
      <c r="DM97" s="229"/>
      <c r="DN97" s="229"/>
      <c r="DO97" s="228">
        <f t="shared" si="215"/>
        <v>0</v>
      </c>
      <c r="DP97" s="228">
        <f t="shared" si="216"/>
        <v>224.7</v>
      </c>
      <c r="DQ97" s="229">
        <f t="shared" si="235"/>
        <v>0</v>
      </c>
      <c r="DR97" s="229">
        <f t="shared" si="236"/>
        <v>0</v>
      </c>
      <c r="DS97" s="229">
        <f t="shared" si="237"/>
        <v>0</v>
      </c>
      <c r="DT97" s="229">
        <f t="shared" si="238"/>
        <v>0</v>
      </c>
      <c r="DU97" s="229">
        <f t="shared" si="239"/>
        <v>0</v>
      </c>
      <c r="DV97" s="229">
        <f t="shared" si="240"/>
        <v>0</v>
      </c>
      <c r="DW97" s="229">
        <f t="shared" si="241"/>
        <v>0</v>
      </c>
      <c r="DX97" s="228">
        <f t="shared" si="217"/>
        <v>0</v>
      </c>
      <c r="DY97" s="229"/>
      <c r="DZ97" s="229"/>
      <c r="EA97" s="229"/>
      <c r="EB97" s="229"/>
      <c r="EC97" s="229"/>
      <c r="ED97" s="229"/>
      <c r="EE97" s="229"/>
      <c r="EF97" s="228">
        <f t="shared" si="220"/>
        <v>0</v>
      </c>
      <c r="EG97" s="228">
        <f t="shared" si="218"/>
        <v>0</v>
      </c>
      <c r="EH97" s="229">
        <f t="shared" si="221"/>
        <v>338.46</v>
      </c>
      <c r="EI97" s="229">
        <v>190</v>
      </c>
      <c r="EJ97" s="228">
        <f t="shared" si="283"/>
        <v>528.46</v>
      </c>
      <c r="EK97" s="229"/>
      <c r="EL97" s="229"/>
      <c r="EM97" s="228">
        <f>SUM(EK97:EL97)</f>
        <v>0</v>
      </c>
      <c r="EN97" s="229">
        <f>EK97+EH97+EL97</f>
        <v>338.46</v>
      </c>
      <c r="EO97" s="229">
        <f>EI97</f>
        <v>190</v>
      </c>
      <c r="EP97" s="228">
        <f>EM97+EJ97</f>
        <v>528.46</v>
      </c>
      <c r="EQ97" s="173">
        <f t="shared" si="222"/>
        <v>258.45999999999998</v>
      </c>
      <c r="ER97" s="189">
        <v>0</v>
      </c>
      <c r="ES97" s="189">
        <v>6.9</v>
      </c>
      <c r="ET97" s="189">
        <v>2.8</v>
      </c>
      <c r="EU97" s="189">
        <v>0</v>
      </c>
      <c r="EV97" s="189">
        <v>0</v>
      </c>
      <c r="EW97" s="189">
        <v>45</v>
      </c>
      <c r="EX97" s="189">
        <v>0</v>
      </c>
      <c r="EY97" s="189">
        <v>30</v>
      </c>
      <c r="EZ97" s="189">
        <v>0</v>
      </c>
      <c r="FA97" s="189">
        <v>0</v>
      </c>
      <c r="FB97" s="189">
        <v>0</v>
      </c>
      <c r="FC97" s="189">
        <v>140</v>
      </c>
      <c r="FD97" s="189">
        <v>0</v>
      </c>
      <c r="FE97" s="189">
        <v>0</v>
      </c>
      <c r="FF97" s="189">
        <v>0</v>
      </c>
      <c r="FG97" s="189">
        <v>0</v>
      </c>
      <c r="FH97" s="189">
        <v>0</v>
      </c>
      <c r="FI97" s="189">
        <v>0</v>
      </c>
      <c r="FJ97" s="189">
        <v>0</v>
      </c>
      <c r="FK97" s="189">
        <v>224.7</v>
      </c>
      <c r="FL97" s="189">
        <v>202</v>
      </c>
      <c r="FN97" s="132">
        <v>338.46</v>
      </c>
    </row>
    <row r="98" spans="1:170" ht="27" customHeight="1">
      <c r="A98" s="88">
        <f>COUNTIF($H$12:H99,H98)</f>
        <v>88</v>
      </c>
      <c r="B98" s="88" t="s">
        <v>2119</v>
      </c>
      <c r="C98" s="88" t="s">
        <v>447</v>
      </c>
      <c r="D98" s="88"/>
      <c r="E98" s="88"/>
      <c r="F98" s="301" t="s">
        <v>1139</v>
      </c>
      <c r="G98" s="89" t="s">
        <v>1140</v>
      </c>
      <c r="H98" s="88">
        <v>1</v>
      </c>
      <c r="I98" s="88">
        <v>1</v>
      </c>
      <c r="J98" s="88">
        <v>1</v>
      </c>
      <c r="K98" s="90" t="s">
        <v>1136</v>
      </c>
      <c r="L98" s="90" t="s">
        <v>1136</v>
      </c>
      <c r="M98" s="214"/>
      <c r="N98" s="88" t="s">
        <v>1179</v>
      </c>
      <c r="O98" s="216">
        <f t="shared" si="205"/>
        <v>3.33</v>
      </c>
      <c r="P98" s="88" t="str">
        <f t="shared" si="284"/>
        <v>B11_4</v>
      </c>
      <c r="Q98" s="88">
        <f t="shared" si="149"/>
        <v>270</v>
      </c>
      <c r="R98" s="88">
        <f t="shared" si="150"/>
        <v>80</v>
      </c>
      <c r="S98" s="230" t="s">
        <v>2569</v>
      </c>
      <c r="T98" s="88" t="s">
        <v>3091</v>
      </c>
      <c r="U98" s="88">
        <f>IF(RIGHT(T98,1)="K",(VLOOKUP(T98,ma_miengiam!$A$3:$B$80,2,0)*100)/2,VLOOKUP(T98,ma_miengiam!$A$3:$B$80,2,0)*100)</f>
        <v>20</v>
      </c>
      <c r="V98" s="88"/>
      <c r="W98" s="220">
        <f>IF(AND(T98="NTS",V98&gt;0),(Q98-(Q98*V98)/12)*VLOOKUP(T98,ma_miengiam!$A$3:$B$80,2,0)+(Q98-(Q98*(12-V98))/12),IF(AND(RIGHT(T98,1)="K",V98&gt;0),(VLOOKUP(T98,ma_miengiam!$A$3:$B$80,2,0)/2)*(Q98*V98)/12,IF(RIGHT(T98,1)="K",(VLOOKUP(T98,ma_miengiam!$A$3:$B$80,2,0)*Q98)/2,IF(V98&gt;0,VLOOKUP(T98,ma_miengiam!$A$3:$B$80,2,0)*Q98*V98/12,VLOOKUP(T98,ma_miengiam!$A$3:$B$80,2,0)*Q98))))</f>
        <v>54</v>
      </c>
      <c r="X98" s="220">
        <f>IF(T98="NTS",VLOOKUP(T98,ma_miengiam!$A$3:$B$80,2,0)*R98*V98,IF(AND(T98="NTS",V98=0),0,IF(AND(LEFT(T98,1)="K",V98=0),VLOOKUP(T98,ma_miengiam!$A$3:$B$80,2,0)*R98,IF(LEFT(T98,1)="K",(VLOOKUP(T98,ma_miengiam!$A$3:$B$80,2,0)*R98/12)*V98,IF(AND(LEFT(T98,1)="S",V98&gt;0),(R98/12)*V98,IF(AND(LEFT(T98,1)="S",V98=0),R98,IF(T98="DH",VLOOKUP(T98,ma_miengiam!$A$3:$B$80,2,0)*R98,0)))))))</f>
        <v>0</v>
      </c>
      <c r="Y98" s="220">
        <f>IF(AND(T98="DH",V98&gt;0),(S98*V98/12),IF(AND(T98&lt;&gt;"NTS",V98&gt;0),(Q98*V98/12)-W98,IF(AND(T98="NTS",V98&gt;0),Q98-W98,Q98-W98)))</f>
        <v>216</v>
      </c>
      <c r="Z98" s="220">
        <f>IF(AND(T98="SĐH",V98&gt;0),(R98/12)*V98-X98,IF(AND(T98="DH",V98&gt;0),(R98*V98/12),IF(AND(T98&lt;&gt;"NTS",V98&gt;0),(R98*V98/12)-X98,IF(AND(T98="NTS",V98&gt;0),R98-X98,R98-X98))))</f>
        <v>80</v>
      </c>
      <c r="AA98" s="220">
        <f>Q98</f>
        <v>270</v>
      </c>
      <c r="AB98" s="220">
        <f>R98</f>
        <v>80</v>
      </c>
      <c r="AC98" s="220">
        <f>W98</f>
        <v>54</v>
      </c>
      <c r="AD98" s="220">
        <f>X98</f>
        <v>0</v>
      </c>
      <c r="AE98" s="220">
        <f>Y98</f>
        <v>216</v>
      </c>
      <c r="AF98" s="220">
        <f>Z98</f>
        <v>80</v>
      </c>
      <c r="AG98" s="220">
        <f>AH98+AI98</f>
        <v>75</v>
      </c>
      <c r="AH98" s="220">
        <f>EO98</f>
        <v>0</v>
      </c>
      <c r="AI98" s="220">
        <f>EN98</f>
        <v>75</v>
      </c>
      <c r="AJ98" s="220">
        <f>IF(AG98-Z98&gt;0,0,AG98-Z98)</f>
        <v>-5</v>
      </c>
      <c r="AK98" s="216">
        <f t="shared" si="247"/>
        <v>221</v>
      </c>
      <c r="AL98" s="220">
        <f t="shared" si="248"/>
        <v>131.9</v>
      </c>
      <c r="AM98" s="220">
        <f t="shared" si="249"/>
        <v>0</v>
      </c>
      <c r="AN98" s="221">
        <f t="shared" si="250"/>
        <v>131.9</v>
      </c>
      <c r="AO98" s="220">
        <f t="shared" si="251"/>
        <v>0</v>
      </c>
      <c r="AP98" s="220">
        <f t="shared" si="252"/>
        <v>0</v>
      </c>
      <c r="AQ98" s="220">
        <f t="shared" si="253"/>
        <v>40</v>
      </c>
      <c r="AR98" s="220">
        <f t="shared" si="254"/>
        <v>0</v>
      </c>
      <c r="AS98" s="220">
        <f t="shared" si="255"/>
        <v>0</v>
      </c>
      <c r="AT98" s="216">
        <f t="shared" si="256"/>
        <v>171.9</v>
      </c>
      <c r="AU98" s="220">
        <f>AN98-AK98</f>
        <v>-89.1</v>
      </c>
      <c r="AV98" s="220"/>
      <c r="AW98" s="220">
        <f>IF(AU98&gt;0,AU98,AV98+AU98)</f>
        <v>-89.1</v>
      </c>
      <c r="AX98" s="216">
        <f t="shared" si="265"/>
        <v>-89.1</v>
      </c>
      <c r="AY98" s="220">
        <f>IF(AN98&gt;=AK98,AO98,IF(AN98+AO98-AK98&gt;=0,AN98+AO98-AK98,0))</f>
        <v>0</v>
      </c>
      <c r="AZ98" s="220">
        <f>IF(OR(AN98&gt;=AK98,AN98+AO98&gt;=AK98),AP98,IF(AN98+AO98+AP98&gt;AK98,AN98+AO98+AP98-AK98,0))</f>
        <v>0</v>
      </c>
      <c r="BA98" s="220">
        <f>IF(OR(AN98&gt;=AK98,AN98+AO98&gt;=AK98,AN98+AO98+AP98&gt;=AK98),AQ98,IF(AN98+AO98+AP98+AQ98&gt;=AK98,AN98+AO98+AP98+AQ98-AK98,0))</f>
        <v>0</v>
      </c>
      <c r="BB98" s="220">
        <f>IF(OR(AN98&gt;=AK98,AN98+AO98&gt;=AK98,AN98+AO98+AP98&gt;=AK98,AN98+AO98+AP98+AQ98&gt;=AK98),AR98,IF(AN98+AO98+AP98+AQ98+AR98&gt;=AK98,AN98+AO98+AP98+AQ98+AR98-AK98,0))</f>
        <v>0</v>
      </c>
      <c r="BC98" s="220">
        <f>IF(OR(AN98&gt;=AK98,AN98+AO98&gt;=AK98,AN98+AO98+AP98&gt;=AK98,AN98+AO98+AP98+AQ98&gt;=AK98,AN98+AO98+AP98+AQ98+AR98&gt;=AK98),AS98,IF(AN98+AO98+AP98+AQ98+AR98+AS98&gt;=AK98,AN98+AO98+AP98+AQ98+AR98+AS98-AK98,0))</f>
        <v>0</v>
      </c>
      <c r="BD98" s="216">
        <f t="shared" si="184"/>
        <v>0</v>
      </c>
      <c r="BE98" s="220">
        <f>AY98-AO98</f>
        <v>0</v>
      </c>
      <c r="BF98" s="220">
        <f>AZ98-AP98</f>
        <v>0</v>
      </c>
      <c r="BG98" s="220">
        <f>BA98-AQ98</f>
        <v>-40</v>
      </c>
      <c r="BH98" s="220">
        <f>BB98-AR98</f>
        <v>0</v>
      </c>
      <c r="BI98" s="220">
        <f>BC98-AS98</f>
        <v>0</v>
      </c>
      <c r="BJ98" s="220" t="s">
        <v>2442</v>
      </c>
      <c r="BK98" s="220"/>
      <c r="BL98" s="223">
        <f t="shared" si="257"/>
        <v>0</v>
      </c>
      <c r="BM98" s="220">
        <v>3.33</v>
      </c>
      <c r="BN98" s="220"/>
      <c r="BO98" s="220">
        <f>ROUND(BM98+(BM98*BN98),2)</f>
        <v>3.33</v>
      </c>
      <c r="BP98" s="220">
        <f>IF(AND(BL98&gt;0,BL98&lt;tiet!$D$1),BL98,IF(BL98&lt;=0,0,IF(BL98&gt;tiet!$C$1,tiet!$C$1)))</f>
        <v>0</v>
      </c>
      <c r="BQ98" s="87">
        <f>VLOOKUP(P98,ma_dinhmuc_moi,4,0)</f>
        <v>65000</v>
      </c>
      <c r="BR98" s="224">
        <f>ROUND(BQ98*BP98,0)</f>
        <v>0</v>
      </c>
      <c r="BS98" s="220">
        <f t="shared" si="219"/>
        <v>0</v>
      </c>
      <c r="BT98" s="224">
        <f>VLOOKUP(N98,ma_dinhmuc!$A$1:$J$31,10,0)</f>
        <v>51000</v>
      </c>
      <c r="BU98" s="224">
        <f>ROUND(IF(BS98&gt;0,VLOOKUP(N98,ma_dinhmuc!$A$1:$J$31,10,0)*BS98,0),0)</f>
        <v>0</v>
      </c>
      <c r="BV98" s="224">
        <f>ROUND(BU98+BR98,0)</f>
        <v>0</v>
      </c>
      <c r="BW98" s="224"/>
      <c r="BX98" s="224">
        <v>0</v>
      </c>
      <c r="BY98" s="224"/>
      <c r="BZ98" s="224"/>
      <c r="CA98" s="224"/>
      <c r="CB98" s="224"/>
      <c r="CC98" s="225">
        <f>ROUND(IF(BV98+BW98&gt;BX98+BY98+BZ98+CA98+CB98,(BW98+BV98)-(BX98+BY98+BZ98+CA98+CB98+CB98),0),0)</f>
        <v>0</v>
      </c>
      <c r="CD98" s="224">
        <f>ROUND(IF(BV98+BW98&lt;BX98+BY98+BZ98+CA98-CB98,(BX98+BY98+BZ98+CA98-CB98)-(BW98+BV98),0),0)</f>
        <v>0</v>
      </c>
      <c r="CE98" s="224"/>
      <c r="CF98" s="226"/>
      <c r="CG98" s="87"/>
      <c r="CH98" s="87">
        <f>A98</f>
        <v>88</v>
      </c>
      <c r="CI98" s="227" t="str">
        <f t="shared" si="258"/>
        <v>Nguyễn Thị</v>
      </c>
      <c r="CJ98" s="227" t="str">
        <f t="shared" si="259"/>
        <v>Hòa</v>
      </c>
      <c r="CK98" s="87">
        <f>H98</f>
        <v>1</v>
      </c>
      <c r="CL98" s="227" t="str">
        <f>L98</f>
        <v>Thực vật</v>
      </c>
      <c r="CM98" s="87" t="str">
        <f>N98</f>
        <v>CB2</v>
      </c>
      <c r="CN98" s="87">
        <f>Q98</f>
        <v>270</v>
      </c>
      <c r="CO98" s="87">
        <f>R98</f>
        <v>80</v>
      </c>
      <c r="CP98" s="229">
        <f t="shared" si="223"/>
        <v>0</v>
      </c>
      <c r="CQ98" s="229">
        <f t="shared" si="224"/>
        <v>8.5</v>
      </c>
      <c r="CR98" s="229">
        <f t="shared" si="225"/>
        <v>3.4</v>
      </c>
      <c r="CS98" s="229">
        <f t="shared" si="226"/>
        <v>0</v>
      </c>
      <c r="CT98" s="229">
        <f t="shared" si="227"/>
        <v>0</v>
      </c>
      <c r="CU98" s="229">
        <f t="shared" si="228"/>
        <v>60</v>
      </c>
      <c r="CV98" s="229">
        <f t="shared" si="229"/>
        <v>0</v>
      </c>
      <c r="CW98" s="229">
        <f t="shared" si="230"/>
        <v>60</v>
      </c>
      <c r="CX98" s="229">
        <f t="shared" si="231"/>
        <v>0</v>
      </c>
      <c r="CY98" s="229">
        <f t="shared" si="232"/>
        <v>0</v>
      </c>
      <c r="CZ98" s="229">
        <f t="shared" si="233"/>
        <v>0</v>
      </c>
      <c r="DA98" s="229">
        <f t="shared" si="234"/>
        <v>40</v>
      </c>
      <c r="DB98" s="228">
        <f t="shared" si="214"/>
        <v>171.9</v>
      </c>
      <c r="DC98" s="229"/>
      <c r="DD98" s="229"/>
      <c r="DE98" s="229"/>
      <c r="DF98" s="229"/>
      <c r="DG98" s="229"/>
      <c r="DH98" s="229"/>
      <c r="DI98" s="229"/>
      <c r="DJ98" s="229"/>
      <c r="DK98" s="229"/>
      <c r="DL98" s="229"/>
      <c r="DM98" s="229"/>
      <c r="DN98" s="229"/>
      <c r="DO98" s="228">
        <f t="shared" si="215"/>
        <v>0</v>
      </c>
      <c r="DP98" s="228">
        <f t="shared" si="216"/>
        <v>171.9</v>
      </c>
      <c r="DQ98" s="229">
        <f t="shared" si="235"/>
        <v>0</v>
      </c>
      <c r="DR98" s="229">
        <f t="shared" si="236"/>
        <v>0</v>
      </c>
      <c r="DS98" s="229">
        <f t="shared" si="237"/>
        <v>0</v>
      </c>
      <c r="DT98" s="229">
        <f t="shared" si="238"/>
        <v>0</v>
      </c>
      <c r="DU98" s="229">
        <f t="shared" si="239"/>
        <v>0</v>
      </c>
      <c r="DV98" s="229">
        <f t="shared" si="240"/>
        <v>0</v>
      </c>
      <c r="DW98" s="229">
        <f t="shared" si="241"/>
        <v>0</v>
      </c>
      <c r="DX98" s="228">
        <f t="shared" si="217"/>
        <v>0</v>
      </c>
      <c r="DY98" s="229"/>
      <c r="DZ98" s="229"/>
      <c r="EA98" s="229"/>
      <c r="EB98" s="229"/>
      <c r="EC98" s="229"/>
      <c r="ED98" s="229"/>
      <c r="EE98" s="229"/>
      <c r="EF98" s="228">
        <f t="shared" si="220"/>
        <v>0</v>
      </c>
      <c r="EG98" s="228">
        <f t="shared" si="218"/>
        <v>0</v>
      </c>
      <c r="EH98" s="229">
        <f t="shared" si="221"/>
        <v>75</v>
      </c>
      <c r="EI98" s="229">
        <v>0</v>
      </c>
      <c r="EJ98" s="228">
        <f t="shared" si="283"/>
        <v>75</v>
      </c>
      <c r="EK98" s="229"/>
      <c r="EL98" s="229"/>
      <c r="EM98" s="228">
        <f>SUM(EK98:EL98)</f>
        <v>0</v>
      </c>
      <c r="EN98" s="229">
        <f>EK98+EH98+EL98</f>
        <v>75</v>
      </c>
      <c r="EO98" s="229">
        <f>EI98</f>
        <v>0</v>
      </c>
      <c r="EP98" s="228">
        <f>EM98+EJ98</f>
        <v>75</v>
      </c>
      <c r="EQ98" s="173">
        <f t="shared" si="222"/>
        <v>0</v>
      </c>
      <c r="ER98" s="189">
        <v>0</v>
      </c>
      <c r="ES98" s="189">
        <v>8.5</v>
      </c>
      <c r="ET98" s="189">
        <v>3.4</v>
      </c>
      <c r="EU98" s="189">
        <v>0</v>
      </c>
      <c r="EV98" s="189">
        <v>0</v>
      </c>
      <c r="EW98" s="189">
        <v>60</v>
      </c>
      <c r="EX98" s="189">
        <v>0</v>
      </c>
      <c r="EY98" s="189">
        <v>60</v>
      </c>
      <c r="EZ98" s="189">
        <v>0</v>
      </c>
      <c r="FA98" s="189">
        <v>0</v>
      </c>
      <c r="FB98" s="189">
        <v>0</v>
      </c>
      <c r="FC98" s="189">
        <v>40</v>
      </c>
      <c r="FD98" s="189">
        <v>0</v>
      </c>
      <c r="FE98" s="189">
        <v>0</v>
      </c>
      <c r="FF98" s="189">
        <v>0</v>
      </c>
      <c r="FG98" s="189">
        <v>0</v>
      </c>
      <c r="FH98" s="189">
        <v>0</v>
      </c>
      <c r="FI98" s="189">
        <v>0</v>
      </c>
      <c r="FJ98" s="189">
        <v>0</v>
      </c>
      <c r="FK98" s="189">
        <v>171.9</v>
      </c>
      <c r="FL98" s="189">
        <v>102</v>
      </c>
      <c r="FN98" s="132">
        <v>75</v>
      </c>
    </row>
    <row r="99" spans="1:170" ht="30" customHeight="1">
      <c r="A99" s="88">
        <f>COUNTIF($H$12:H99,H99)</f>
        <v>88</v>
      </c>
      <c r="B99" s="88" t="s">
        <v>2117</v>
      </c>
      <c r="C99" s="88" t="s">
        <v>446</v>
      </c>
      <c r="D99" s="88"/>
      <c r="E99" s="88"/>
      <c r="F99" s="301" t="s">
        <v>1583</v>
      </c>
      <c r="G99" s="303" t="s">
        <v>3022</v>
      </c>
      <c r="H99" s="88">
        <v>1</v>
      </c>
      <c r="I99" s="88">
        <v>1</v>
      </c>
      <c r="J99" s="88">
        <v>1</v>
      </c>
      <c r="K99" s="90" t="s">
        <v>1136</v>
      </c>
      <c r="L99" s="90" t="s">
        <v>1136</v>
      </c>
      <c r="M99" s="214"/>
      <c r="N99" s="88" t="s">
        <v>1179</v>
      </c>
      <c r="O99" s="216">
        <f t="shared" si="205"/>
        <v>3.99</v>
      </c>
      <c r="P99" s="88" t="str">
        <f t="shared" si="284"/>
        <v>B11_4</v>
      </c>
      <c r="Q99" s="88">
        <f t="shared" si="149"/>
        <v>270</v>
      </c>
      <c r="R99" s="88">
        <f t="shared" si="150"/>
        <v>80</v>
      </c>
      <c r="S99" s="232" t="s">
        <v>2752</v>
      </c>
      <c r="T99" s="88" t="s">
        <v>2961</v>
      </c>
      <c r="U99" s="88">
        <f>IF(RIGHT(T99,1)="K",(VLOOKUP(T99,ma_miengiam!$A$3:$B$80,2,0)*100)/2,VLOOKUP(T99,ma_miengiam!$A$3:$B$80,2,0)*100)</f>
        <v>100</v>
      </c>
      <c r="V99" s="88"/>
      <c r="W99" s="220">
        <f>IF(AND(T99="NTS",V99&gt;0),(Q99-(Q99*V99)/12)*VLOOKUP(T99,ma_miengiam!$A$3:$B$80,2,0)+(Q99-(Q99*(12-V99))/12),IF(AND(RIGHT(T99,1)="K",V99&gt;0),(VLOOKUP(T99,ma_miengiam!$A$3:$B$80,2,0)/2)*(Q99*V99)/12,IF(RIGHT(T99,1)="K",(VLOOKUP(T99,ma_miengiam!$A$3:$B$80,2,0)*Q99)/2,IF(V99&gt;0,VLOOKUP(T99,ma_miengiam!$A$3:$B$80,2,0)*Q99*V99/12,VLOOKUP(T99,ma_miengiam!$A$3:$B$80,2,0)*Q99))))</f>
        <v>270</v>
      </c>
      <c r="X99" s="220">
        <f>IF(T99="NTS",VLOOKUP(T99,ma_miengiam!$A$3:$B$80,2,0)*R99*V99,IF(AND(T99="NTS",V99=0),0,IF(AND(LEFT(T99,1)="K",V99=0),VLOOKUP(T99,ma_miengiam!$A$3:$B$80,2,0)*R99,IF(LEFT(T99,1)="K",(VLOOKUP(T99,ma_miengiam!$A$3:$B$80,2,0)*R99/12)*V99,IF(AND(LEFT(T99,1)="S",V99&gt;0),(R99/12)*V99,IF(AND(LEFT(T99,1)="S",V99=0),R99,IF(T99="DH",VLOOKUP(T99,ma_miengiam!$A$3:$B$80,2,0)*R99,0)))))))</f>
        <v>80</v>
      </c>
      <c r="Y99" s="220">
        <f t="shared" si="213"/>
        <v>0</v>
      </c>
      <c r="Z99" s="220">
        <f t="shared" si="285"/>
        <v>0</v>
      </c>
      <c r="AA99" s="220">
        <f t="shared" si="275"/>
        <v>270</v>
      </c>
      <c r="AB99" s="220">
        <f t="shared" si="276"/>
        <v>80</v>
      </c>
      <c r="AC99" s="220">
        <f t="shared" si="286"/>
        <v>270</v>
      </c>
      <c r="AD99" s="220">
        <f t="shared" si="287"/>
        <v>80</v>
      </c>
      <c r="AE99" s="220">
        <f t="shared" si="288"/>
        <v>0</v>
      </c>
      <c r="AF99" s="220">
        <f t="shared" si="289"/>
        <v>0</v>
      </c>
      <c r="AG99" s="220">
        <f t="shared" si="278"/>
        <v>0</v>
      </c>
      <c r="AH99" s="220">
        <f t="shared" si="279"/>
        <v>0</v>
      </c>
      <c r="AI99" s="220">
        <f t="shared" si="280"/>
        <v>0</v>
      </c>
      <c r="AJ99" s="220">
        <f t="shared" si="290"/>
        <v>0</v>
      </c>
      <c r="AK99" s="216">
        <f t="shared" si="247"/>
        <v>0</v>
      </c>
      <c r="AL99" s="220">
        <f t="shared" si="248"/>
        <v>0</v>
      </c>
      <c r="AM99" s="220">
        <f t="shared" si="249"/>
        <v>0</v>
      </c>
      <c r="AN99" s="221">
        <f t="shared" si="250"/>
        <v>0</v>
      </c>
      <c r="AO99" s="220">
        <f t="shared" si="251"/>
        <v>0</v>
      </c>
      <c r="AP99" s="220">
        <f t="shared" si="252"/>
        <v>0</v>
      </c>
      <c r="AQ99" s="220">
        <f t="shared" si="253"/>
        <v>0</v>
      </c>
      <c r="AR99" s="220">
        <f t="shared" si="254"/>
        <v>0</v>
      </c>
      <c r="AS99" s="220">
        <f t="shared" si="255"/>
        <v>0</v>
      </c>
      <c r="AT99" s="216">
        <f t="shared" si="256"/>
        <v>0</v>
      </c>
      <c r="AU99" s="222">
        <f>AN99-AK99</f>
        <v>0</v>
      </c>
      <c r="AV99" s="220"/>
      <c r="AW99" s="220">
        <f>IF(AU99&gt;0,AU99,AV99+AU99)</f>
        <v>0</v>
      </c>
      <c r="AX99" s="216">
        <f t="shared" si="265"/>
        <v>0</v>
      </c>
      <c r="AY99" s="220">
        <f>IF(AN99&gt;=AK99,AO99,IF(AN99+AO99-AK99&gt;=0,AN99+AO99-AK99,0))</f>
        <v>0</v>
      </c>
      <c r="AZ99" s="220">
        <f>IF(OR(AN99&gt;=AK99,AN99+AO99&gt;=AK99),AP99,IF(AN99+AO99+AP99&gt;AK99,AN99+AO99+AP99-AK99,0))</f>
        <v>0</v>
      </c>
      <c r="BA99" s="220">
        <f>IF(OR(AN99&gt;=AK99,AN99+AO99&gt;=AK99,AN99+AO99+AP99&gt;=AK99),AQ99,IF(AN99+AO99+AP99+AQ99&gt;=AK99,AN99+AO99+AP99+AQ99-AK99,0))</f>
        <v>0</v>
      </c>
      <c r="BB99" s="220">
        <f>IF(OR(AN99&gt;=AK99,AN99+AO99&gt;=AK99,AN99+AO99+AP99&gt;=AK99,AN99+AO99+AP99+AQ99&gt;=AK99),AR99,IF(AN99+AO99+AP99+AQ99+AR99&gt;=AK99,AN99+AO99+AP99+AQ99+AR99-AK99,0))</f>
        <v>0</v>
      </c>
      <c r="BC99" s="220">
        <f>IF(OR(AN99&gt;=AK99,AN99+AO99&gt;=AK99,AN99+AO99+AP99&gt;=AK99,AN99+AO99+AP99+AQ99&gt;=AK99,AN99+AO99+AP99+AQ99+AR99&gt;=AK99),AS99,IF(AN99+AO99+AP99+AQ99+AR99+AS99&gt;=AK99,AN99+AO99+AP99+AQ99+AR99+AS99-AK99,0))</f>
        <v>0</v>
      </c>
      <c r="BD99" s="216">
        <f t="shared" si="184"/>
        <v>0</v>
      </c>
      <c r="BE99" s="220">
        <f t="shared" si="297"/>
        <v>0</v>
      </c>
      <c r="BF99" s="220">
        <f t="shared" si="297"/>
        <v>0</v>
      </c>
      <c r="BG99" s="220">
        <f t="shared" si="297"/>
        <v>0</v>
      </c>
      <c r="BH99" s="220">
        <f t="shared" si="297"/>
        <v>0</v>
      </c>
      <c r="BI99" s="220">
        <f t="shared" si="297"/>
        <v>0</v>
      </c>
      <c r="BJ99" s="220" t="s">
        <v>2442</v>
      </c>
      <c r="BK99" s="220"/>
      <c r="BL99" s="223">
        <f t="shared" si="257"/>
        <v>0</v>
      </c>
      <c r="BM99" s="220">
        <v>3.99</v>
      </c>
      <c r="BN99" s="220"/>
      <c r="BO99" s="220">
        <f t="shared" si="281"/>
        <v>3.99</v>
      </c>
      <c r="BP99" s="220">
        <f>IF(AND(BL99&gt;0,BL99&lt;tiet!$D$1),BL99,IF(BL99&lt;=0,0,IF(BL99&gt;tiet!$C$1,tiet!$C$1)))</f>
        <v>0</v>
      </c>
      <c r="BQ99" s="87">
        <f t="shared" si="291"/>
        <v>65000</v>
      </c>
      <c r="BR99" s="224">
        <f t="shared" si="292"/>
        <v>0</v>
      </c>
      <c r="BS99" s="220">
        <f t="shared" si="219"/>
        <v>0</v>
      </c>
      <c r="BT99" s="224">
        <f>VLOOKUP(N99,ma_dinhmuc!$A$1:$J$31,10,0)</f>
        <v>51000</v>
      </c>
      <c r="BU99" s="224">
        <f>ROUND(IF(BS99&gt;0,VLOOKUP(N99,ma_dinhmuc!$A$1:$J$31,10,0)*BS99,0),0)</f>
        <v>0</v>
      </c>
      <c r="BV99" s="224">
        <f t="shared" si="293"/>
        <v>0</v>
      </c>
      <c r="BW99" s="224"/>
      <c r="BX99" s="224">
        <v>0</v>
      </c>
      <c r="BY99" s="224"/>
      <c r="BZ99" s="224"/>
      <c r="CA99" s="224"/>
      <c r="CB99" s="224"/>
      <c r="CC99" s="225">
        <f t="shared" si="294"/>
        <v>0</v>
      </c>
      <c r="CD99" s="224">
        <f t="shared" si="295"/>
        <v>0</v>
      </c>
      <c r="CE99" s="224"/>
      <c r="CF99" s="226"/>
      <c r="CG99" s="87"/>
      <c r="CH99" s="87">
        <f>A99</f>
        <v>88</v>
      </c>
      <c r="CI99" s="227" t="str">
        <f t="shared" si="258"/>
        <v>Phạm Phú</v>
      </c>
      <c r="CJ99" s="227" t="str">
        <f t="shared" si="259"/>
        <v>Long</v>
      </c>
      <c r="CK99" s="87">
        <f t="shared" si="296"/>
        <v>1</v>
      </c>
      <c r="CL99" s="227" t="str">
        <f t="shared" si="282"/>
        <v>Thực vật</v>
      </c>
      <c r="CM99" s="87" t="str">
        <f>N99</f>
        <v>CB2</v>
      </c>
      <c r="CN99" s="87">
        <f t="shared" si="298"/>
        <v>270</v>
      </c>
      <c r="CO99" s="87">
        <f t="shared" si="298"/>
        <v>80</v>
      </c>
      <c r="CP99" s="229">
        <f t="shared" si="223"/>
        <v>0</v>
      </c>
      <c r="CQ99" s="229">
        <f t="shared" si="224"/>
        <v>0</v>
      </c>
      <c r="CR99" s="229">
        <f t="shared" si="225"/>
        <v>0</v>
      </c>
      <c r="CS99" s="229">
        <f t="shared" si="226"/>
        <v>0</v>
      </c>
      <c r="CT99" s="229">
        <f t="shared" si="227"/>
        <v>0</v>
      </c>
      <c r="CU99" s="229">
        <f t="shared" si="228"/>
        <v>0</v>
      </c>
      <c r="CV99" s="229">
        <f t="shared" si="229"/>
        <v>0</v>
      </c>
      <c r="CW99" s="229">
        <f t="shared" si="230"/>
        <v>0</v>
      </c>
      <c r="CX99" s="229">
        <f t="shared" si="231"/>
        <v>0</v>
      </c>
      <c r="CY99" s="229">
        <f t="shared" si="232"/>
        <v>0</v>
      </c>
      <c r="CZ99" s="229">
        <f t="shared" si="233"/>
        <v>0</v>
      </c>
      <c r="DA99" s="229">
        <f t="shared" si="234"/>
        <v>0</v>
      </c>
      <c r="DB99" s="228">
        <f t="shared" si="214"/>
        <v>0</v>
      </c>
      <c r="DC99" s="229"/>
      <c r="DD99" s="229"/>
      <c r="DE99" s="229"/>
      <c r="DF99" s="229"/>
      <c r="DG99" s="229"/>
      <c r="DH99" s="229"/>
      <c r="DI99" s="229"/>
      <c r="DJ99" s="229"/>
      <c r="DK99" s="229"/>
      <c r="DL99" s="229"/>
      <c r="DM99" s="229"/>
      <c r="DN99" s="229"/>
      <c r="DO99" s="228">
        <f t="shared" si="215"/>
        <v>0</v>
      </c>
      <c r="DP99" s="228">
        <f t="shared" si="216"/>
        <v>0</v>
      </c>
      <c r="DQ99" s="229">
        <f t="shared" si="235"/>
        <v>0</v>
      </c>
      <c r="DR99" s="229">
        <f t="shared" si="236"/>
        <v>0</v>
      </c>
      <c r="DS99" s="229">
        <f t="shared" si="237"/>
        <v>0</v>
      </c>
      <c r="DT99" s="229">
        <f t="shared" si="238"/>
        <v>0</v>
      </c>
      <c r="DU99" s="229">
        <f t="shared" si="239"/>
        <v>0</v>
      </c>
      <c r="DV99" s="229">
        <f t="shared" si="240"/>
        <v>0</v>
      </c>
      <c r="DW99" s="229">
        <f t="shared" si="241"/>
        <v>0</v>
      </c>
      <c r="DX99" s="228">
        <f t="shared" si="217"/>
        <v>0</v>
      </c>
      <c r="DY99" s="229"/>
      <c r="DZ99" s="229"/>
      <c r="EA99" s="229"/>
      <c r="EB99" s="229"/>
      <c r="EC99" s="229"/>
      <c r="ED99" s="229"/>
      <c r="EE99" s="229"/>
      <c r="EF99" s="228">
        <f t="shared" si="220"/>
        <v>0</v>
      </c>
      <c r="EG99" s="228">
        <f t="shared" si="218"/>
        <v>0</v>
      </c>
      <c r="EH99" s="229">
        <f t="shared" si="221"/>
        <v>0</v>
      </c>
      <c r="EI99" s="229">
        <v>0</v>
      </c>
      <c r="EJ99" s="228">
        <f t="shared" si="283"/>
        <v>0</v>
      </c>
      <c r="EK99" s="229"/>
      <c r="EL99" s="229"/>
      <c r="EM99" s="228">
        <f>SUM(EK99:EL99)</f>
        <v>0</v>
      </c>
      <c r="EN99" s="229">
        <f>EK99+EH99+EL99</f>
        <v>0</v>
      </c>
      <c r="EO99" s="229">
        <f>EI99</f>
        <v>0</v>
      </c>
      <c r="EP99" s="228">
        <f>EM99+EJ99</f>
        <v>0</v>
      </c>
      <c r="EQ99" s="173">
        <f t="shared" si="222"/>
        <v>0</v>
      </c>
      <c r="ER99" s="189">
        <v>0</v>
      </c>
      <c r="ES99" s="189">
        <v>0</v>
      </c>
      <c r="ET99" s="189">
        <v>0</v>
      </c>
      <c r="EU99" s="189">
        <v>0</v>
      </c>
      <c r="EV99" s="189">
        <v>0</v>
      </c>
      <c r="EW99" s="189">
        <v>0</v>
      </c>
      <c r="EX99" s="189">
        <v>0</v>
      </c>
      <c r="EY99" s="189">
        <v>0</v>
      </c>
      <c r="EZ99" s="189">
        <v>0</v>
      </c>
      <c r="FA99" s="189">
        <v>0</v>
      </c>
      <c r="FB99" s="189">
        <v>0</v>
      </c>
      <c r="FC99" s="189">
        <v>0</v>
      </c>
      <c r="FD99" s="189">
        <v>0</v>
      </c>
      <c r="FE99" s="189">
        <v>0</v>
      </c>
      <c r="FF99" s="189">
        <v>0</v>
      </c>
      <c r="FG99" s="189">
        <v>0</v>
      </c>
      <c r="FH99" s="189">
        <v>0</v>
      </c>
      <c r="FI99" s="189">
        <v>0</v>
      </c>
      <c r="FJ99" s="189">
        <v>0</v>
      </c>
      <c r="FK99" s="189">
        <v>0</v>
      </c>
      <c r="FL99" s="189">
        <v>0</v>
      </c>
      <c r="FN99" s="132">
        <v>0</v>
      </c>
    </row>
    <row r="100" spans="1:170" ht="30" customHeight="1">
      <c r="A100" s="88">
        <f>COUNTIF($H$12:H100,H100)</f>
        <v>1</v>
      </c>
      <c r="B100" s="88" t="s">
        <v>1967</v>
      </c>
      <c r="C100" s="88" t="s">
        <v>2124</v>
      </c>
      <c r="D100" s="88"/>
      <c r="E100" s="88"/>
      <c r="F100" s="301" t="s">
        <v>1141</v>
      </c>
      <c r="G100" s="89" t="s">
        <v>2876</v>
      </c>
      <c r="H100" s="88">
        <v>2</v>
      </c>
      <c r="I100" s="88">
        <v>2</v>
      </c>
      <c r="J100" s="88">
        <v>2</v>
      </c>
      <c r="K100" s="90" t="s">
        <v>1137</v>
      </c>
      <c r="L100" s="90" t="s">
        <v>1137</v>
      </c>
      <c r="M100" s="214"/>
      <c r="N100" s="88" t="s">
        <v>605</v>
      </c>
      <c r="O100" s="216">
        <f t="shared" si="205"/>
        <v>7.64</v>
      </c>
      <c r="P100" s="88" t="str">
        <f t="shared" ref="P100:P120" si="299">IF(AND(BO100&gt;=2.34,BO100&lt;3.33),"B1_3",IF(AND(BO100&gt;=3.33,BO100&lt;4.65),"B1_4",IF(AND(BO100&gt;=4.65,BO100&lt;5.42),"B1_5",IF(AND(BO100&gt;=5.42,BO100&lt;6.44),"B1_6",IF(AND(BO100&gt;=6.44,BO100&lt;=6.92),"B1_7","B1_8")))))</f>
        <v>B1_8</v>
      </c>
      <c r="Q100" s="88">
        <f t="shared" si="149"/>
        <v>270</v>
      </c>
      <c r="R100" s="88">
        <f t="shared" si="150"/>
        <v>280</v>
      </c>
      <c r="S100" s="231"/>
      <c r="T100" s="88" t="s">
        <v>3088</v>
      </c>
      <c r="U100" s="88">
        <f>IF(RIGHT(T100,1)="K",(VLOOKUP(T100,ma_miengiam!$A$3:$B$80,2,0)*100)/2,VLOOKUP(T100,ma_miengiam!$A$3:$B$80,2,0)*100)</f>
        <v>0</v>
      </c>
      <c r="V100" s="88"/>
      <c r="W100" s="220">
        <f>IF(AND(T100="NTS",V100&gt;0),(Q100-(Q100*V100)/12)*VLOOKUP(T100,ma_miengiam!$A$3:$B$80,2,0)+(Q100-(Q100*(12-V100))/12),IF(AND(RIGHT(T100,1)="K",V100&gt;0),(VLOOKUP(T100,ma_miengiam!$A$3:$B$80,2,0)/2)*(Q100*V100)/12,IF(RIGHT(T100,1)="K",(VLOOKUP(T100,ma_miengiam!$A$3:$B$80,2,0)*Q100)/2,IF(V100&gt;0,VLOOKUP(T100,ma_miengiam!$A$3:$B$80,2,0)*Q100*V100/12,VLOOKUP(T100,ma_miengiam!$A$3:$B$80,2,0)*Q100))))</f>
        <v>0</v>
      </c>
      <c r="X100" s="220">
        <f>IF(T100="NTS",VLOOKUP(T100,ma_miengiam!$A$3:$B$80,2,0)*R100*V100,IF(AND(T100="NTS",V100=0),0,IF(AND(LEFT(T100,1)="K",V100=0),VLOOKUP(T100,ma_miengiam!$A$3:$B$80,2,0)*R100,IF(LEFT(T100,1)="K",(VLOOKUP(T100,ma_miengiam!$A$3:$B$80,2,0)*R100/12)*V100,IF(AND(LEFT(T100,1)="S",V100&gt;0),(R100/12)*V100,IF(AND(LEFT(T100,1)="S",V100=0),R100,IF(T100="DH",VLOOKUP(T100,ma_miengiam!$A$3:$B$80,2,0)*R100,0)))))))</f>
        <v>0</v>
      </c>
      <c r="Y100" s="220">
        <f t="shared" si="213"/>
        <v>270</v>
      </c>
      <c r="Z100" s="220">
        <f>IF(AND(T100="SĐH",V100&gt;0),(R100/12)*V100-X100,IF(AND(T100="DH",V100&gt;0),(R100*V100/12),IF(AND(T100&lt;&gt;"NTS",V100&gt;0),(R100*V100/12)-X100,IF(AND(T100="NTS",V100&gt;0),R100-X100,R100-X100))))</f>
        <v>280</v>
      </c>
      <c r="AA100" s="220">
        <f t="shared" si="275"/>
        <v>270</v>
      </c>
      <c r="AB100" s="220">
        <f t="shared" si="276"/>
        <v>280</v>
      </c>
      <c r="AC100" s="220">
        <f t="shared" si="286"/>
        <v>0</v>
      </c>
      <c r="AD100" s="220">
        <f t="shared" si="287"/>
        <v>0</v>
      </c>
      <c r="AE100" s="220">
        <f t="shared" si="288"/>
        <v>270</v>
      </c>
      <c r="AF100" s="220">
        <f t="shared" si="289"/>
        <v>280</v>
      </c>
      <c r="AG100" s="220">
        <f t="shared" si="278"/>
        <v>185.56</v>
      </c>
      <c r="AH100" s="220">
        <f t="shared" si="279"/>
        <v>45.76</v>
      </c>
      <c r="AI100" s="220">
        <f t="shared" si="280"/>
        <v>139.80000000000001</v>
      </c>
      <c r="AJ100" s="220">
        <f t="shared" ref="AJ100:AJ107" si="300">IF(AG100-Z100&gt;0,0,AG100-Z100)</f>
        <v>-94.44</v>
      </c>
      <c r="AK100" s="216">
        <f t="shared" si="247"/>
        <v>364.44</v>
      </c>
      <c r="AL100" s="220">
        <f t="shared" si="248"/>
        <v>553.70000000000005</v>
      </c>
      <c r="AM100" s="220">
        <f t="shared" si="249"/>
        <v>36.700000000000003</v>
      </c>
      <c r="AN100" s="221">
        <f t="shared" si="250"/>
        <v>590.40000000000009</v>
      </c>
      <c r="AO100" s="220">
        <f t="shared" si="251"/>
        <v>0</v>
      </c>
      <c r="AP100" s="220">
        <f t="shared" si="252"/>
        <v>0</v>
      </c>
      <c r="AQ100" s="220">
        <f t="shared" si="253"/>
        <v>128</v>
      </c>
      <c r="AR100" s="220">
        <f t="shared" si="254"/>
        <v>60</v>
      </c>
      <c r="AS100" s="220">
        <f t="shared" si="255"/>
        <v>30</v>
      </c>
      <c r="AT100" s="216">
        <f t="shared" si="256"/>
        <v>808.40000000000009</v>
      </c>
      <c r="AU100" s="222">
        <f t="shared" si="209"/>
        <v>225.96000000000009</v>
      </c>
      <c r="AV100" s="220"/>
      <c r="AW100" s="220">
        <f t="shared" si="183"/>
        <v>225.96000000000009</v>
      </c>
      <c r="AX100" s="216">
        <f t="shared" si="265"/>
        <v>0</v>
      </c>
      <c r="AY100" s="220">
        <f t="shared" si="193"/>
        <v>0</v>
      </c>
      <c r="AZ100" s="220">
        <f t="shared" si="194"/>
        <v>0</v>
      </c>
      <c r="BA100" s="220">
        <f t="shared" si="195"/>
        <v>128</v>
      </c>
      <c r="BB100" s="220">
        <f t="shared" si="196"/>
        <v>60</v>
      </c>
      <c r="BC100" s="220">
        <f t="shared" si="197"/>
        <v>30</v>
      </c>
      <c r="BD100" s="216">
        <f t="shared" si="184"/>
        <v>218</v>
      </c>
      <c r="BE100" s="220">
        <f t="shared" si="185"/>
        <v>0</v>
      </c>
      <c r="BF100" s="220">
        <f t="shared" si="186"/>
        <v>0</v>
      </c>
      <c r="BG100" s="220">
        <f t="shared" si="187"/>
        <v>0</v>
      </c>
      <c r="BH100" s="220">
        <f t="shared" si="188"/>
        <v>0</v>
      </c>
      <c r="BI100" s="220">
        <f t="shared" si="189"/>
        <v>0</v>
      </c>
      <c r="BJ100" s="220" t="s">
        <v>1170</v>
      </c>
      <c r="BK100" s="220"/>
      <c r="BL100" s="223">
        <f t="shared" si="257"/>
        <v>225.96000000000009</v>
      </c>
      <c r="BM100" s="220">
        <v>7.64</v>
      </c>
      <c r="BN100" s="220"/>
      <c r="BO100" s="220">
        <f t="shared" ref="BO100:BO114" si="301">ROUND(BM100+(BM100*BN100),2)</f>
        <v>7.64</v>
      </c>
      <c r="BP100" s="220">
        <f>IF(AND(BL100&gt;0,BL100&lt;tiet!$D$1),BL100,IF(BL100&lt;=0,0,IF(BL100&gt;tiet!$C$1,tiet!$C$1)))</f>
        <v>200</v>
      </c>
      <c r="BQ100" s="87">
        <f t="shared" ref="BQ100:BQ120" si="302">VLOOKUP(P100,ma_dinhmuc_moi,4,0)</f>
        <v>85000</v>
      </c>
      <c r="BR100" s="224">
        <f t="shared" ref="BR100:BR120" si="303">ROUND(BQ100*BP100,0)</f>
        <v>17000000</v>
      </c>
      <c r="BS100" s="220">
        <f t="shared" si="219"/>
        <v>25.960000000000093</v>
      </c>
      <c r="BT100" s="224">
        <f>VLOOKUP(N100,ma_dinhmuc!$A$1:$J$31,10,0)</f>
        <v>65000</v>
      </c>
      <c r="BU100" s="224">
        <f>ROUND(IF(BS100&gt;0,VLOOKUP(N100,ma_dinhmuc!$A$1:$J$31,10,0)*BS100,0),0)</f>
        <v>1687400</v>
      </c>
      <c r="BV100" s="224">
        <f t="shared" ref="BV100:BV120" si="304">ROUND(BU100+BR100,0)</f>
        <v>18687400</v>
      </c>
      <c r="BW100" s="224"/>
      <c r="BX100" s="224">
        <v>0</v>
      </c>
      <c r="BY100" s="224"/>
      <c r="BZ100" s="224"/>
      <c r="CA100" s="224"/>
      <c r="CB100" s="224"/>
      <c r="CC100" s="225">
        <f t="shared" si="198"/>
        <v>18687400</v>
      </c>
      <c r="CD100" s="224">
        <f t="shared" si="199"/>
        <v>0</v>
      </c>
      <c r="CE100" s="224"/>
      <c r="CF100" s="226"/>
      <c r="CG100" s="87"/>
      <c r="CH100" s="87">
        <f t="shared" si="272"/>
        <v>1</v>
      </c>
      <c r="CI100" s="227" t="str">
        <f t="shared" ref="CI100:CJ105" si="305">F100</f>
        <v>Bùi Văn</v>
      </c>
      <c r="CJ100" s="227" t="str">
        <f t="shared" si="305"/>
        <v>Đoàn</v>
      </c>
      <c r="CK100" s="87">
        <f t="shared" ref="CK100:CK105" si="306">H100</f>
        <v>2</v>
      </c>
      <c r="CL100" s="227" t="str">
        <f t="shared" ref="CL100:CL118" si="307">L100</f>
        <v>Chăn nuôi chuyên khoa</v>
      </c>
      <c r="CM100" s="87" t="str">
        <f t="shared" si="190"/>
        <v>CS4</v>
      </c>
      <c r="CN100" s="87">
        <f t="shared" si="298"/>
        <v>270</v>
      </c>
      <c r="CO100" s="87">
        <f t="shared" si="298"/>
        <v>280</v>
      </c>
      <c r="CP100" s="229">
        <f t="shared" si="223"/>
        <v>0</v>
      </c>
      <c r="CQ100" s="229">
        <f t="shared" si="224"/>
        <v>51.1</v>
      </c>
      <c r="CR100" s="229">
        <f t="shared" si="225"/>
        <v>20.6</v>
      </c>
      <c r="CS100" s="229">
        <f t="shared" si="226"/>
        <v>88.7</v>
      </c>
      <c r="CT100" s="229">
        <f t="shared" si="227"/>
        <v>0</v>
      </c>
      <c r="CU100" s="229">
        <f t="shared" si="228"/>
        <v>121.3</v>
      </c>
      <c r="CV100" s="229">
        <f t="shared" si="229"/>
        <v>0</v>
      </c>
      <c r="CW100" s="229">
        <f t="shared" si="230"/>
        <v>272</v>
      </c>
      <c r="CX100" s="229">
        <f t="shared" si="231"/>
        <v>0</v>
      </c>
      <c r="CY100" s="229">
        <f t="shared" si="232"/>
        <v>0</v>
      </c>
      <c r="CZ100" s="229">
        <f t="shared" si="233"/>
        <v>0</v>
      </c>
      <c r="DA100" s="229">
        <f t="shared" si="234"/>
        <v>128</v>
      </c>
      <c r="DB100" s="228">
        <f t="shared" si="214"/>
        <v>681.7</v>
      </c>
      <c r="DC100" s="229"/>
      <c r="DD100" s="229"/>
      <c r="DE100" s="229"/>
      <c r="DF100" s="229"/>
      <c r="DG100" s="229"/>
      <c r="DH100" s="229"/>
      <c r="DI100" s="229"/>
      <c r="DJ100" s="229"/>
      <c r="DK100" s="229"/>
      <c r="DL100" s="229"/>
      <c r="DM100" s="229"/>
      <c r="DN100" s="229"/>
      <c r="DO100" s="228">
        <f t="shared" si="215"/>
        <v>0</v>
      </c>
      <c r="DP100" s="228">
        <f t="shared" si="216"/>
        <v>681.7</v>
      </c>
      <c r="DQ100" s="229">
        <f t="shared" si="235"/>
        <v>36</v>
      </c>
      <c r="DR100" s="229">
        <f t="shared" si="236"/>
        <v>0.5</v>
      </c>
      <c r="DS100" s="229">
        <f t="shared" si="237"/>
        <v>0</v>
      </c>
      <c r="DT100" s="229">
        <f t="shared" si="238"/>
        <v>0.2</v>
      </c>
      <c r="DU100" s="229">
        <f t="shared" si="239"/>
        <v>0</v>
      </c>
      <c r="DV100" s="229">
        <f t="shared" si="240"/>
        <v>60</v>
      </c>
      <c r="DW100" s="229">
        <f t="shared" si="241"/>
        <v>30</v>
      </c>
      <c r="DX100" s="228">
        <f t="shared" si="217"/>
        <v>126.7</v>
      </c>
      <c r="DY100" s="229"/>
      <c r="DZ100" s="229"/>
      <c r="EA100" s="229"/>
      <c r="EB100" s="229"/>
      <c r="EC100" s="229"/>
      <c r="ED100" s="229"/>
      <c r="EE100" s="229"/>
      <c r="EF100" s="228">
        <f t="shared" si="220"/>
        <v>0</v>
      </c>
      <c r="EG100" s="228">
        <f t="shared" si="218"/>
        <v>126.7</v>
      </c>
      <c r="EH100" s="229">
        <f t="shared" si="221"/>
        <v>139.80000000000001</v>
      </c>
      <c r="EI100" s="229">
        <v>45.76</v>
      </c>
      <c r="EJ100" s="228">
        <f t="shared" ref="EJ100:EJ133" si="308">SUM(EH100:EI100)</f>
        <v>185.56</v>
      </c>
      <c r="EK100" s="229"/>
      <c r="EL100" s="229"/>
      <c r="EM100" s="228">
        <f t="shared" si="273"/>
        <v>0</v>
      </c>
      <c r="EN100" s="229">
        <f t="shared" si="192"/>
        <v>139.80000000000001</v>
      </c>
      <c r="EO100" s="229">
        <f t="shared" si="212"/>
        <v>45.76</v>
      </c>
      <c r="EP100" s="228">
        <f t="shared" si="274"/>
        <v>185.56</v>
      </c>
      <c r="EQ100" s="173">
        <f t="shared" si="222"/>
        <v>0</v>
      </c>
      <c r="ER100" s="189">
        <v>0</v>
      </c>
      <c r="ES100" s="189">
        <v>51.1</v>
      </c>
      <c r="ET100" s="189">
        <v>20.6</v>
      </c>
      <c r="EU100" s="189">
        <v>88.7</v>
      </c>
      <c r="EV100" s="189">
        <v>0</v>
      </c>
      <c r="EW100" s="189">
        <v>121.3</v>
      </c>
      <c r="EX100" s="189">
        <v>0</v>
      </c>
      <c r="EY100" s="189">
        <v>272</v>
      </c>
      <c r="EZ100" s="189">
        <v>0</v>
      </c>
      <c r="FA100" s="189">
        <v>0</v>
      </c>
      <c r="FB100" s="189">
        <v>0</v>
      </c>
      <c r="FC100" s="189">
        <v>128</v>
      </c>
      <c r="FD100" s="189">
        <v>36</v>
      </c>
      <c r="FE100" s="189">
        <v>0.5</v>
      </c>
      <c r="FF100" s="189">
        <v>0</v>
      </c>
      <c r="FG100" s="189">
        <v>0.2</v>
      </c>
      <c r="FH100" s="189">
        <v>60</v>
      </c>
      <c r="FI100" s="189">
        <v>0</v>
      </c>
      <c r="FJ100" s="189">
        <v>30</v>
      </c>
      <c r="FK100" s="189">
        <v>808.4</v>
      </c>
      <c r="FL100" s="189">
        <v>668.7</v>
      </c>
      <c r="FN100" s="132">
        <v>139.80000000000001</v>
      </c>
    </row>
    <row r="101" spans="1:170" ht="30" customHeight="1">
      <c r="A101" s="88">
        <f>COUNTIF($H$12:H101,H101)</f>
        <v>2</v>
      </c>
      <c r="B101" s="88" t="s">
        <v>1968</v>
      </c>
      <c r="C101" s="88" t="s">
        <v>2125</v>
      </c>
      <c r="D101" s="88"/>
      <c r="E101" s="88"/>
      <c r="F101" s="301" t="s">
        <v>2885</v>
      </c>
      <c r="G101" s="89" t="s">
        <v>2082</v>
      </c>
      <c r="H101" s="88">
        <v>2</v>
      </c>
      <c r="I101" s="88">
        <v>2</v>
      </c>
      <c r="J101" s="88">
        <v>2</v>
      </c>
      <c r="K101" s="90" t="s">
        <v>1137</v>
      </c>
      <c r="L101" s="90" t="s">
        <v>1137</v>
      </c>
      <c r="M101" s="214"/>
      <c r="N101" s="88" t="s">
        <v>1804</v>
      </c>
      <c r="O101" s="216">
        <f t="shared" si="205"/>
        <v>3.66</v>
      </c>
      <c r="P101" s="88" t="str">
        <f t="shared" si="299"/>
        <v>B1_4</v>
      </c>
      <c r="Q101" s="88">
        <f t="shared" si="149"/>
        <v>270</v>
      </c>
      <c r="R101" s="88">
        <f t="shared" si="150"/>
        <v>120</v>
      </c>
      <c r="S101" s="218" t="s">
        <v>1516</v>
      </c>
      <c r="T101" s="88" t="s">
        <v>1326</v>
      </c>
      <c r="U101" s="88">
        <f>IF(RIGHT(T101,1)="K",(VLOOKUP(T101,ma_miengiam!$A$3:$B$80,2,0)*100)/2,VLOOKUP(T101,ma_miengiam!$A$3:$B$80,2,0)*100)</f>
        <v>65</v>
      </c>
      <c r="V101" s="88"/>
      <c r="W101" s="220">
        <f>IF(AND(T101="NTS",V101&gt;0),(Q101-(Q101*V101)/12)*VLOOKUP(T101,ma_miengiam!$A$3:$B$80,2,0)+(Q101-(Q101*(12-V101))/12),IF(AND(RIGHT(T101,1)="K",V101&gt;0),(VLOOKUP(T101,ma_miengiam!$A$3:$B$80,2,0)/2)*(Q101*V101)/12,IF(RIGHT(T101,1)="K",(VLOOKUP(T101,ma_miengiam!$A$3:$B$80,2,0)*Q101)/2,IF(V101&gt;0,VLOOKUP(T101,ma_miengiam!$A$3:$B$80,2,0)*Q101*V101/12,VLOOKUP(T101,ma_miengiam!$A$3:$B$80,2,0)*Q101))))</f>
        <v>175.5</v>
      </c>
      <c r="X101" s="220">
        <f>IF(T101="NTS",VLOOKUP(T101,ma_miengiam!$A$3:$B$80,2,0)*R101*V101,IF(AND(T101="NTS",V101=0),0,IF(AND(LEFT(T101,1)="K",V101=0),VLOOKUP(T101,ma_miengiam!$A$3:$B$80,2,0)*R101,IF(LEFT(T101,1)="K",(VLOOKUP(T101,ma_miengiam!$A$3:$B$80,2,0)*R101/12)*V101,IF(AND(LEFT(T101,1)="S",V101&gt;0),(R101/12)*V101,IF(AND(LEFT(T101,1)="S",V101=0),R101,IF(T101="DH",VLOOKUP(T101,ma_miengiam!$A$3:$B$80,2,0)*R101,0)))))))</f>
        <v>120</v>
      </c>
      <c r="Y101" s="220">
        <f t="shared" si="213"/>
        <v>94.5</v>
      </c>
      <c r="Z101" s="220">
        <f>IF(AND(T101="SĐH",V101&gt;0),(R101/12)*V101-X101,IF(AND(T101="DH",V101&gt;0),(R101*V101/12),IF(AND(T101&lt;&gt;"NTS",V101&gt;0),(R101*V101/12)-X101,IF(AND(T101="NTS",V101&gt;0),R101-X101,R101-X101))))</f>
        <v>0</v>
      </c>
      <c r="AA101" s="220">
        <f t="shared" si="275"/>
        <v>270</v>
      </c>
      <c r="AB101" s="220">
        <f t="shared" si="276"/>
        <v>120</v>
      </c>
      <c r="AC101" s="220">
        <f t="shared" si="286"/>
        <v>175.5</v>
      </c>
      <c r="AD101" s="220">
        <f t="shared" si="287"/>
        <v>120</v>
      </c>
      <c r="AE101" s="220">
        <f t="shared" si="288"/>
        <v>94.5</v>
      </c>
      <c r="AF101" s="220">
        <f t="shared" si="289"/>
        <v>0</v>
      </c>
      <c r="AG101" s="220">
        <f t="shared" si="278"/>
        <v>212.53000000000003</v>
      </c>
      <c r="AH101" s="220">
        <f t="shared" si="279"/>
        <v>139.61000000000001</v>
      </c>
      <c r="AI101" s="220">
        <f t="shared" si="280"/>
        <v>72.92</v>
      </c>
      <c r="AJ101" s="220">
        <f t="shared" si="300"/>
        <v>0</v>
      </c>
      <c r="AK101" s="216">
        <f t="shared" si="247"/>
        <v>94.5</v>
      </c>
      <c r="AL101" s="220">
        <f t="shared" si="248"/>
        <v>604</v>
      </c>
      <c r="AM101" s="220">
        <f t="shared" si="249"/>
        <v>0</v>
      </c>
      <c r="AN101" s="221">
        <f t="shared" si="250"/>
        <v>604</v>
      </c>
      <c r="AO101" s="220">
        <f t="shared" si="251"/>
        <v>0</v>
      </c>
      <c r="AP101" s="220">
        <f t="shared" si="252"/>
        <v>0</v>
      </c>
      <c r="AQ101" s="220">
        <f t="shared" si="253"/>
        <v>80</v>
      </c>
      <c r="AR101" s="220">
        <f t="shared" si="254"/>
        <v>0</v>
      </c>
      <c r="AS101" s="220">
        <f t="shared" si="255"/>
        <v>0</v>
      </c>
      <c r="AT101" s="216">
        <f t="shared" si="256"/>
        <v>684</v>
      </c>
      <c r="AU101" s="222">
        <f t="shared" si="209"/>
        <v>509.5</v>
      </c>
      <c r="AV101" s="220"/>
      <c r="AW101" s="220">
        <f t="shared" si="183"/>
        <v>509.5</v>
      </c>
      <c r="AX101" s="216">
        <f t="shared" si="265"/>
        <v>0</v>
      </c>
      <c r="AY101" s="220">
        <f t="shared" si="193"/>
        <v>0</v>
      </c>
      <c r="AZ101" s="220">
        <f t="shared" si="194"/>
        <v>0</v>
      </c>
      <c r="BA101" s="220">
        <f t="shared" si="195"/>
        <v>80</v>
      </c>
      <c r="BB101" s="220">
        <f t="shared" si="196"/>
        <v>0</v>
      </c>
      <c r="BC101" s="220">
        <f t="shared" si="197"/>
        <v>0</v>
      </c>
      <c r="BD101" s="216">
        <f t="shared" si="184"/>
        <v>80</v>
      </c>
      <c r="BE101" s="220">
        <f t="shared" si="185"/>
        <v>0</v>
      </c>
      <c r="BF101" s="220">
        <f t="shared" si="186"/>
        <v>0</v>
      </c>
      <c r="BG101" s="220">
        <f t="shared" si="187"/>
        <v>0</v>
      </c>
      <c r="BH101" s="220">
        <f t="shared" si="188"/>
        <v>0</v>
      </c>
      <c r="BI101" s="220">
        <f t="shared" si="189"/>
        <v>0</v>
      </c>
      <c r="BJ101" s="220" t="s">
        <v>1170</v>
      </c>
      <c r="BK101" s="220"/>
      <c r="BL101" s="223">
        <f t="shared" si="257"/>
        <v>509.5</v>
      </c>
      <c r="BM101" s="220">
        <v>3.66</v>
      </c>
      <c r="BN101" s="220"/>
      <c r="BO101" s="220">
        <f t="shared" si="301"/>
        <v>3.66</v>
      </c>
      <c r="BP101" s="220">
        <f>IF(AND(BL101&gt;0,BL101&lt;tiet!$D$1),BL101,IF(BL101&lt;=0,0,IF(BL101&gt;tiet!$C$1,tiet!$C$1)))</f>
        <v>200</v>
      </c>
      <c r="BQ101" s="87">
        <f t="shared" si="302"/>
        <v>65000</v>
      </c>
      <c r="BR101" s="224">
        <f t="shared" si="303"/>
        <v>13000000</v>
      </c>
      <c r="BS101" s="220">
        <f t="shared" si="219"/>
        <v>309.5</v>
      </c>
      <c r="BT101" s="224">
        <f>VLOOKUP(N101,ma_dinhmuc!$A$1:$J$31,10,0)</f>
        <v>51000</v>
      </c>
      <c r="BU101" s="224">
        <f>ROUND(IF(BS101&gt;0,VLOOKUP(N101,ma_dinhmuc!$A$1:$J$31,10,0)*BS101,0),0)</f>
        <v>15784500</v>
      </c>
      <c r="BV101" s="224">
        <f t="shared" si="304"/>
        <v>28784500</v>
      </c>
      <c r="BW101" s="224"/>
      <c r="BX101" s="224">
        <v>0</v>
      </c>
      <c r="BY101" s="224"/>
      <c r="BZ101" s="224"/>
      <c r="CA101" s="224"/>
      <c r="CB101" s="224"/>
      <c r="CC101" s="225">
        <f t="shared" si="198"/>
        <v>28784500</v>
      </c>
      <c r="CD101" s="224">
        <f t="shared" si="199"/>
        <v>0</v>
      </c>
      <c r="CE101" s="224"/>
      <c r="CF101" s="226"/>
      <c r="CG101" s="87"/>
      <c r="CH101" s="87">
        <f t="shared" si="272"/>
        <v>2</v>
      </c>
      <c r="CI101" s="227" t="str">
        <f t="shared" si="305"/>
        <v>Hoàng Anh</v>
      </c>
      <c r="CJ101" s="227" t="str">
        <f t="shared" si="305"/>
        <v>Tuấn</v>
      </c>
      <c r="CK101" s="87">
        <f t="shared" si="306"/>
        <v>2</v>
      </c>
      <c r="CL101" s="227" t="str">
        <f t="shared" si="307"/>
        <v>Chăn nuôi chuyên khoa</v>
      </c>
      <c r="CM101" s="87" t="str">
        <f t="shared" si="190"/>
        <v>CS2</v>
      </c>
      <c r="CN101" s="87">
        <f t="shared" si="298"/>
        <v>270</v>
      </c>
      <c r="CO101" s="87">
        <f t="shared" si="298"/>
        <v>120</v>
      </c>
      <c r="CP101" s="229">
        <f t="shared" si="223"/>
        <v>0</v>
      </c>
      <c r="CQ101" s="229">
        <f t="shared" si="224"/>
        <v>37.5</v>
      </c>
      <c r="CR101" s="229">
        <f t="shared" si="225"/>
        <v>15.1</v>
      </c>
      <c r="CS101" s="229">
        <f t="shared" si="226"/>
        <v>202.2</v>
      </c>
      <c r="CT101" s="229">
        <f t="shared" si="227"/>
        <v>0</v>
      </c>
      <c r="CU101" s="229">
        <f t="shared" si="228"/>
        <v>133.19999999999999</v>
      </c>
      <c r="CV101" s="229">
        <f t="shared" si="229"/>
        <v>0</v>
      </c>
      <c r="CW101" s="229">
        <f t="shared" si="230"/>
        <v>216</v>
      </c>
      <c r="CX101" s="229">
        <f t="shared" si="231"/>
        <v>0</v>
      </c>
      <c r="CY101" s="229">
        <f t="shared" si="232"/>
        <v>0</v>
      </c>
      <c r="CZ101" s="229">
        <f t="shared" si="233"/>
        <v>0</v>
      </c>
      <c r="DA101" s="229">
        <f t="shared" si="234"/>
        <v>80</v>
      </c>
      <c r="DB101" s="228">
        <f t="shared" si="214"/>
        <v>684</v>
      </c>
      <c r="DC101" s="229"/>
      <c r="DD101" s="229"/>
      <c r="DE101" s="229"/>
      <c r="DF101" s="229"/>
      <c r="DG101" s="229"/>
      <c r="DH101" s="229"/>
      <c r="DI101" s="229"/>
      <c r="DJ101" s="229"/>
      <c r="DK101" s="229"/>
      <c r="DL101" s="229"/>
      <c r="DM101" s="229"/>
      <c r="DN101" s="229"/>
      <c r="DO101" s="228">
        <f t="shared" si="215"/>
        <v>0</v>
      </c>
      <c r="DP101" s="228">
        <f t="shared" si="216"/>
        <v>684</v>
      </c>
      <c r="DQ101" s="229">
        <f t="shared" si="235"/>
        <v>0</v>
      </c>
      <c r="DR101" s="229">
        <f t="shared" si="236"/>
        <v>0</v>
      </c>
      <c r="DS101" s="229">
        <f t="shared" si="237"/>
        <v>0</v>
      </c>
      <c r="DT101" s="229">
        <f t="shared" si="238"/>
        <v>0</v>
      </c>
      <c r="DU101" s="229">
        <f t="shared" si="239"/>
        <v>0</v>
      </c>
      <c r="DV101" s="229">
        <f t="shared" si="240"/>
        <v>0</v>
      </c>
      <c r="DW101" s="229">
        <f t="shared" si="241"/>
        <v>0</v>
      </c>
      <c r="DX101" s="228">
        <f t="shared" si="217"/>
        <v>0</v>
      </c>
      <c r="DY101" s="229"/>
      <c r="DZ101" s="229"/>
      <c r="EA101" s="229"/>
      <c r="EB101" s="229"/>
      <c r="EC101" s="229"/>
      <c r="ED101" s="229"/>
      <c r="EE101" s="229"/>
      <c r="EF101" s="228">
        <f t="shared" si="220"/>
        <v>0</v>
      </c>
      <c r="EG101" s="228">
        <f t="shared" si="218"/>
        <v>0</v>
      </c>
      <c r="EH101" s="229">
        <f t="shared" si="221"/>
        <v>72.92</v>
      </c>
      <c r="EI101" s="229">
        <v>139.61000000000001</v>
      </c>
      <c r="EJ101" s="228">
        <f t="shared" si="308"/>
        <v>212.53000000000003</v>
      </c>
      <c r="EK101" s="229"/>
      <c r="EL101" s="229"/>
      <c r="EM101" s="228">
        <f t="shared" si="273"/>
        <v>0</v>
      </c>
      <c r="EN101" s="229">
        <f t="shared" si="192"/>
        <v>72.92</v>
      </c>
      <c r="EO101" s="229">
        <f t="shared" si="212"/>
        <v>139.61000000000001</v>
      </c>
      <c r="EP101" s="228">
        <f t="shared" si="274"/>
        <v>212.53000000000003</v>
      </c>
      <c r="EQ101" s="173">
        <f t="shared" si="222"/>
        <v>72.92</v>
      </c>
      <c r="ER101" s="189">
        <v>0</v>
      </c>
      <c r="ES101" s="189">
        <v>37.5</v>
      </c>
      <c r="ET101" s="189">
        <v>15.1</v>
      </c>
      <c r="EU101" s="189">
        <v>202.2</v>
      </c>
      <c r="EV101" s="189">
        <v>0</v>
      </c>
      <c r="EW101" s="189">
        <v>133.19999999999999</v>
      </c>
      <c r="EX101" s="189">
        <v>0</v>
      </c>
      <c r="EY101" s="189">
        <v>216</v>
      </c>
      <c r="EZ101" s="189">
        <v>0</v>
      </c>
      <c r="FA101" s="189">
        <v>0</v>
      </c>
      <c r="FB101" s="189">
        <v>0</v>
      </c>
      <c r="FC101" s="189">
        <v>80</v>
      </c>
      <c r="FD101" s="189">
        <v>0</v>
      </c>
      <c r="FE101" s="189">
        <v>0</v>
      </c>
      <c r="FF101" s="189">
        <v>0</v>
      </c>
      <c r="FG101" s="189">
        <v>0</v>
      </c>
      <c r="FH101" s="189">
        <v>0</v>
      </c>
      <c r="FI101" s="189">
        <v>0</v>
      </c>
      <c r="FJ101" s="189">
        <v>0</v>
      </c>
      <c r="FK101" s="189">
        <v>684</v>
      </c>
      <c r="FL101" s="189">
        <v>574.20000000000005</v>
      </c>
      <c r="FN101" s="132">
        <v>72.92</v>
      </c>
    </row>
    <row r="102" spans="1:170" ht="30" customHeight="1">
      <c r="A102" s="88">
        <f>COUNTIF($H$12:H102,H102)</f>
        <v>3</v>
      </c>
      <c r="B102" s="88" t="s">
        <v>1969</v>
      </c>
      <c r="C102" s="88" t="s">
        <v>2126</v>
      </c>
      <c r="D102" s="88"/>
      <c r="E102" s="88"/>
      <c r="F102" s="301" t="s">
        <v>2895</v>
      </c>
      <c r="G102" s="89" t="s">
        <v>26</v>
      </c>
      <c r="H102" s="88">
        <v>2</v>
      </c>
      <c r="I102" s="88">
        <v>2</v>
      </c>
      <c r="J102" s="88">
        <v>2</v>
      </c>
      <c r="K102" s="90" t="s">
        <v>1137</v>
      </c>
      <c r="L102" s="90" t="s">
        <v>1137</v>
      </c>
      <c r="M102" s="214"/>
      <c r="N102" s="88" t="s">
        <v>606</v>
      </c>
      <c r="O102" s="216">
        <f t="shared" si="205"/>
        <v>6.44</v>
      </c>
      <c r="P102" s="88" t="str">
        <f t="shared" si="299"/>
        <v>B1_7</v>
      </c>
      <c r="Q102" s="88">
        <f t="shared" si="149"/>
        <v>270</v>
      </c>
      <c r="R102" s="88">
        <f t="shared" si="150"/>
        <v>200</v>
      </c>
      <c r="S102" s="231"/>
      <c r="T102" s="215" t="s">
        <v>3088</v>
      </c>
      <c r="U102" s="88">
        <f>IF(RIGHT(T102,1)="K",(VLOOKUP(T102,ma_miengiam!$A$3:$B$80,2,0)*100)/2,VLOOKUP(T102,ma_miengiam!$A$3:$B$80,2,0)*100)</f>
        <v>0</v>
      </c>
      <c r="V102" s="88"/>
      <c r="W102" s="220">
        <f>IF(AND(T102="NTS",V102&gt;0),(Q102-(Q102*V102)/12)*VLOOKUP(T102,ma_miengiam!$A$3:$B$80,2,0)+(Q102-(Q102*(12-V102))/12),IF(AND(RIGHT(T102,1)="K",V102&gt;0),(VLOOKUP(T102,ma_miengiam!$A$3:$B$80,2,0)/2)*(Q102*V102)/12,IF(RIGHT(T102,1)="K",(VLOOKUP(T102,ma_miengiam!$A$3:$B$80,2,0)*Q102)/2,IF(V102&gt;0,VLOOKUP(T102,ma_miengiam!$A$3:$B$80,2,0)*Q102*V102/12,VLOOKUP(T102,ma_miengiam!$A$3:$B$80,2,0)*Q102))))</f>
        <v>0</v>
      </c>
      <c r="X102" s="220">
        <f>IF(T102="NTS",VLOOKUP(T102,ma_miengiam!$A$3:$B$80,2,0)*R102*V102,IF(AND(T102="NTS",V102=0),0,IF(AND(LEFT(T102,1)="K",V102=0),VLOOKUP(T102,ma_miengiam!$A$3:$B$80,2,0)*R102,IF(LEFT(T102,1)="K",(VLOOKUP(T102,ma_miengiam!$A$3:$B$80,2,0)*R102/12)*V102,IF(AND(LEFT(T102,1)="S",V102&gt;0),(R102/12)*V102,IF(AND(LEFT(T102,1)="S",V102=0),R102,IF(T102="DH",VLOOKUP(T102,ma_miengiam!$A$3:$B$80,2,0)*R102,0)))))))</f>
        <v>0</v>
      </c>
      <c r="Y102" s="220">
        <f t="shared" si="213"/>
        <v>270</v>
      </c>
      <c r="Z102" s="220">
        <f>IF(AND(T102="SĐH",V102&gt;0),(R102/12)*V102-X102,IF(AND(T102="DH",V102&gt;0),(R102*V102/12),IF(AND(T102&lt;&gt;"NTS",V102&gt;0),(R102*V102/12)-X102,IF(AND(T102="NTS",V102&gt;0),R102-X102,R102-X102))))</f>
        <v>200</v>
      </c>
      <c r="AA102" s="220">
        <f t="shared" si="275"/>
        <v>270</v>
      </c>
      <c r="AB102" s="220">
        <f t="shared" si="276"/>
        <v>200</v>
      </c>
      <c r="AC102" s="220">
        <f t="shared" si="286"/>
        <v>0</v>
      </c>
      <c r="AD102" s="220">
        <f t="shared" si="287"/>
        <v>0</v>
      </c>
      <c r="AE102" s="220">
        <f t="shared" si="288"/>
        <v>270</v>
      </c>
      <c r="AF102" s="220">
        <f t="shared" si="289"/>
        <v>200</v>
      </c>
      <c r="AG102" s="220">
        <f t="shared" ref="AG102:AG110" si="309">AH102+AI102</f>
        <v>169.6</v>
      </c>
      <c r="AH102" s="220">
        <f t="shared" ref="AH102:AH110" si="310">EO102</f>
        <v>69.599999999999994</v>
      </c>
      <c r="AI102" s="220">
        <f t="shared" ref="AI102:AI110" si="311">EN102</f>
        <v>100</v>
      </c>
      <c r="AJ102" s="220">
        <f t="shared" si="300"/>
        <v>-30.400000000000006</v>
      </c>
      <c r="AK102" s="216">
        <f t="shared" si="247"/>
        <v>300.39999999999998</v>
      </c>
      <c r="AL102" s="220">
        <f t="shared" si="248"/>
        <v>483.4</v>
      </c>
      <c r="AM102" s="220">
        <f t="shared" si="249"/>
        <v>0</v>
      </c>
      <c r="AN102" s="221">
        <f t="shared" si="250"/>
        <v>483.4</v>
      </c>
      <c r="AO102" s="220">
        <f t="shared" si="251"/>
        <v>0</v>
      </c>
      <c r="AP102" s="220">
        <f t="shared" si="252"/>
        <v>0</v>
      </c>
      <c r="AQ102" s="220">
        <f t="shared" si="253"/>
        <v>120</v>
      </c>
      <c r="AR102" s="220">
        <f t="shared" si="254"/>
        <v>0</v>
      </c>
      <c r="AS102" s="220">
        <f t="shared" si="255"/>
        <v>0</v>
      </c>
      <c r="AT102" s="216">
        <f t="shared" si="256"/>
        <v>603.4</v>
      </c>
      <c r="AU102" s="222">
        <f t="shared" si="209"/>
        <v>183</v>
      </c>
      <c r="AV102" s="220"/>
      <c r="AW102" s="220">
        <f t="shared" si="183"/>
        <v>183</v>
      </c>
      <c r="AX102" s="216">
        <f t="shared" si="265"/>
        <v>0</v>
      </c>
      <c r="AY102" s="220">
        <f t="shared" si="193"/>
        <v>0</v>
      </c>
      <c r="AZ102" s="220">
        <f t="shared" si="194"/>
        <v>0</v>
      </c>
      <c r="BA102" s="220">
        <f t="shared" si="195"/>
        <v>120</v>
      </c>
      <c r="BB102" s="220">
        <f t="shared" si="196"/>
        <v>0</v>
      </c>
      <c r="BC102" s="220">
        <f t="shared" si="197"/>
        <v>0</v>
      </c>
      <c r="BD102" s="216">
        <f t="shared" si="184"/>
        <v>120</v>
      </c>
      <c r="BE102" s="220">
        <f t="shared" si="185"/>
        <v>0</v>
      </c>
      <c r="BF102" s="220">
        <f t="shared" si="186"/>
        <v>0</v>
      </c>
      <c r="BG102" s="220">
        <f t="shared" si="187"/>
        <v>0</v>
      </c>
      <c r="BH102" s="220">
        <f t="shared" si="188"/>
        <v>0</v>
      </c>
      <c r="BI102" s="220">
        <f t="shared" si="189"/>
        <v>0</v>
      </c>
      <c r="BJ102" s="220" t="s">
        <v>461</v>
      </c>
      <c r="BK102" s="220"/>
      <c r="BL102" s="223">
        <f t="shared" si="257"/>
        <v>183</v>
      </c>
      <c r="BM102" s="220">
        <v>6.44</v>
      </c>
      <c r="BN102" s="220"/>
      <c r="BO102" s="220">
        <f>ROUND(BM102+(BM102*BN102),2)</f>
        <v>6.44</v>
      </c>
      <c r="BP102" s="220">
        <f>IF(AND(BL102&gt;0,BL102&lt;tiet!$D$1),BL102,IF(BL102&lt;=0,0,IF(BL102&gt;tiet!$C$1,tiet!$C$1)))</f>
        <v>183</v>
      </c>
      <c r="BQ102" s="87">
        <f t="shared" si="302"/>
        <v>80000</v>
      </c>
      <c r="BR102" s="224">
        <f t="shared" si="303"/>
        <v>14640000</v>
      </c>
      <c r="BS102" s="220">
        <f t="shared" si="219"/>
        <v>0</v>
      </c>
      <c r="BT102" s="224">
        <f>VLOOKUP(N102,ma_dinhmuc!$A$1:$J$31,10,0)</f>
        <v>55000</v>
      </c>
      <c r="BU102" s="224">
        <f>ROUND(IF(BS102&gt;0,VLOOKUP(N102,ma_dinhmuc!$A$1:$J$31,10,0)*BS102,0),0)</f>
        <v>0</v>
      </c>
      <c r="BV102" s="224">
        <f t="shared" si="304"/>
        <v>14640000</v>
      </c>
      <c r="BW102" s="224"/>
      <c r="BX102" s="224">
        <v>0</v>
      </c>
      <c r="BY102" s="224"/>
      <c r="BZ102" s="224"/>
      <c r="CA102" s="224"/>
      <c r="CB102" s="224"/>
      <c r="CC102" s="225">
        <f>ROUND(IF(BV102+BW102&gt;BX102+BY102+BZ102+CA102+CB102,(BW102+BV102)-(BX102+BY102+BZ102+CA102+CB102+CB102),0),0)</f>
        <v>14640000</v>
      </c>
      <c r="CD102" s="224">
        <f>ROUND(IF(BV102+BW102&lt;BX102+BY102+BZ102+CA102-CB102,(BX102+BY102+BZ102+CA102-CB102)-(BW102+BV102),0),0)</f>
        <v>0</v>
      </c>
      <c r="CE102" s="224"/>
      <c r="CF102" s="226"/>
      <c r="CG102" s="87"/>
      <c r="CH102" s="87">
        <f t="shared" si="272"/>
        <v>3</v>
      </c>
      <c r="CI102" s="227" t="str">
        <f t="shared" si="305"/>
        <v>Nguyễn Văn</v>
      </c>
      <c r="CJ102" s="227" t="str">
        <f t="shared" si="305"/>
        <v>Thắng</v>
      </c>
      <c r="CK102" s="87">
        <f t="shared" si="306"/>
        <v>2</v>
      </c>
      <c r="CL102" s="227" t="str">
        <f>L102</f>
        <v>Chăn nuôi chuyên khoa</v>
      </c>
      <c r="CM102" s="87" t="str">
        <f t="shared" si="190"/>
        <v>CS3</v>
      </c>
      <c r="CN102" s="87">
        <f t="shared" si="298"/>
        <v>270</v>
      </c>
      <c r="CO102" s="87">
        <f t="shared" si="298"/>
        <v>200</v>
      </c>
      <c r="CP102" s="229">
        <f t="shared" si="223"/>
        <v>0</v>
      </c>
      <c r="CQ102" s="229">
        <f t="shared" si="224"/>
        <v>33.1</v>
      </c>
      <c r="CR102" s="229">
        <f t="shared" si="225"/>
        <v>13.5</v>
      </c>
      <c r="CS102" s="229">
        <f t="shared" si="226"/>
        <v>202.2</v>
      </c>
      <c r="CT102" s="229">
        <f t="shared" si="227"/>
        <v>0</v>
      </c>
      <c r="CU102" s="229">
        <f t="shared" si="228"/>
        <v>142.6</v>
      </c>
      <c r="CV102" s="229">
        <f t="shared" si="229"/>
        <v>0</v>
      </c>
      <c r="CW102" s="229">
        <f t="shared" si="230"/>
        <v>92</v>
      </c>
      <c r="CX102" s="229">
        <f t="shared" si="231"/>
        <v>0</v>
      </c>
      <c r="CY102" s="229">
        <f t="shared" si="232"/>
        <v>0</v>
      </c>
      <c r="CZ102" s="229">
        <f t="shared" si="233"/>
        <v>0</v>
      </c>
      <c r="DA102" s="229">
        <f t="shared" si="234"/>
        <v>120</v>
      </c>
      <c r="DB102" s="228">
        <f t="shared" si="214"/>
        <v>603.4</v>
      </c>
      <c r="DC102" s="229"/>
      <c r="DD102" s="229"/>
      <c r="DE102" s="229"/>
      <c r="DF102" s="229"/>
      <c r="DG102" s="229"/>
      <c r="DH102" s="229"/>
      <c r="DI102" s="229"/>
      <c r="DJ102" s="229"/>
      <c r="DK102" s="229"/>
      <c r="DL102" s="229"/>
      <c r="DM102" s="229"/>
      <c r="DN102" s="229"/>
      <c r="DO102" s="228">
        <f t="shared" si="215"/>
        <v>0</v>
      </c>
      <c r="DP102" s="228">
        <f t="shared" si="216"/>
        <v>603.4</v>
      </c>
      <c r="DQ102" s="229">
        <f t="shared" si="235"/>
        <v>0</v>
      </c>
      <c r="DR102" s="229">
        <f t="shared" si="236"/>
        <v>0</v>
      </c>
      <c r="DS102" s="229">
        <f t="shared" si="237"/>
        <v>0</v>
      </c>
      <c r="DT102" s="229">
        <f t="shared" si="238"/>
        <v>0</v>
      </c>
      <c r="DU102" s="229">
        <f t="shared" si="239"/>
        <v>0</v>
      </c>
      <c r="DV102" s="229">
        <f t="shared" si="240"/>
        <v>0</v>
      </c>
      <c r="DW102" s="229">
        <f t="shared" si="241"/>
        <v>0</v>
      </c>
      <c r="DX102" s="228">
        <f t="shared" si="217"/>
        <v>0</v>
      </c>
      <c r="DY102" s="229"/>
      <c r="DZ102" s="229"/>
      <c r="EA102" s="229"/>
      <c r="EB102" s="229"/>
      <c r="EC102" s="229"/>
      <c r="ED102" s="229"/>
      <c r="EE102" s="229"/>
      <c r="EF102" s="228">
        <f t="shared" si="220"/>
        <v>0</v>
      </c>
      <c r="EG102" s="228">
        <f t="shared" si="218"/>
        <v>0</v>
      </c>
      <c r="EH102" s="229">
        <f t="shared" si="221"/>
        <v>100</v>
      </c>
      <c r="EI102" s="229">
        <v>69.599999999999994</v>
      </c>
      <c r="EJ102" s="228">
        <f t="shared" si="308"/>
        <v>169.6</v>
      </c>
      <c r="EK102" s="229"/>
      <c r="EL102" s="229"/>
      <c r="EM102" s="228">
        <f t="shared" si="273"/>
        <v>0</v>
      </c>
      <c r="EN102" s="229">
        <f t="shared" si="192"/>
        <v>100</v>
      </c>
      <c r="EO102" s="229">
        <f t="shared" si="212"/>
        <v>69.599999999999994</v>
      </c>
      <c r="EP102" s="228">
        <f t="shared" si="274"/>
        <v>169.6</v>
      </c>
      <c r="EQ102" s="173">
        <f t="shared" si="222"/>
        <v>0</v>
      </c>
      <c r="ER102" s="189">
        <v>0</v>
      </c>
      <c r="ES102" s="189">
        <v>33.1</v>
      </c>
      <c r="ET102" s="189">
        <v>13.5</v>
      </c>
      <c r="EU102" s="189">
        <v>202.2</v>
      </c>
      <c r="EV102" s="189">
        <v>0</v>
      </c>
      <c r="EW102" s="189">
        <v>142.6</v>
      </c>
      <c r="EX102" s="189">
        <v>0</v>
      </c>
      <c r="EY102" s="189">
        <v>92</v>
      </c>
      <c r="EZ102" s="189">
        <v>0</v>
      </c>
      <c r="FA102" s="189">
        <v>0</v>
      </c>
      <c r="FB102" s="189">
        <v>0</v>
      </c>
      <c r="FC102" s="189">
        <v>120</v>
      </c>
      <c r="FD102" s="189">
        <v>0</v>
      </c>
      <c r="FE102" s="189">
        <v>0</v>
      </c>
      <c r="FF102" s="189">
        <v>0</v>
      </c>
      <c r="FG102" s="189">
        <v>0</v>
      </c>
      <c r="FH102" s="189">
        <v>0</v>
      </c>
      <c r="FI102" s="189">
        <v>0</v>
      </c>
      <c r="FJ102" s="189">
        <v>0</v>
      </c>
      <c r="FK102" s="189">
        <v>603.4</v>
      </c>
      <c r="FL102" s="189">
        <v>531.20000000000005</v>
      </c>
      <c r="FN102" s="132">
        <v>100</v>
      </c>
    </row>
    <row r="103" spans="1:170" ht="30" customHeight="1">
      <c r="A103" s="88">
        <f>COUNTIF($H$12:H103,H103)</f>
        <v>4</v>
      </c>
      <c r="B103" s="88" t="s">
        <v>1970</v>
      </c>
      <c r="C103" s="88" t="s">
        <v>2127</v>
      </c>
      <c r="D103" s="88"/>
      <c r="E103" s="88"/>
      <c r="F103" s="301" t="s">
        <v>1139</v>
      </c>
      <c r="G103" s="89" t="s">
        <v>1876</v>
      </c>
      <c r="H103" s="88">
        <v>2</v>
      </c>
      <c r="I103" s="88">
        <v>2</v>
      </c>
      <c r="J103" s="88">
        <v>2</v>
      </c>
      <c r="K103" s="90" t="s">
        <v>1137</v>
      </c>
      <c r="L103" s="90" t="s">
        <v>1137</v>
      </c>
      <c r="M103" s="214"/>
      <c r="N103" s="88" t="s">
        <v>1804</v>
      </c>
      <c r="O103" s="216">
        <f t="shared" si="205"/>
        <v>3</v>
      </c>
      <c r="P103" s="88" t="str">
        <f t="shared" si="299"/>
        <v>B1_3</v>
      </c>
      <c r="Q103" s="88">
        <f t="shared" si="149"/>
        <v>270</v>
      </c>
      <c r="R103" s="88">
        <f t="shared" si="150"/>
        <v>100</v>
      </c>
      <c r="S103" s="233" t="s">
        <v>3132</v>
      </c>
      <c r="T103" s="215" t="s">
        <v>2961</v>
      </c>
      <c r="U103" s="88">
        <f>IF(RIGHT(T103,1)="K",(VLOOKUP(T103,ma_miengiam!$A$3:$B$80,2,0)*100)/2,VLOOKUP(T103,ma_miengiam!$A$3:$B$80,2,0)*100)</f>
        <v>100</v>
      </c>
      <c r="V103" s="88"/>
      <c r="W103" s="220">
        <f>IF(AND(T103="NTS",V103&gt;0),(Q103-(Q103*V103)/12)*VLOOKUP(T103,ma_miengiam!$A$3:$B$80,2,0)+(Q103-(Q103*(12-V103))/12),IF(AND(RIGHT(T103,1)="K",V103&gt;0),(VLOOKUP(T103,ma_miengiam!$A$3:$B$80,2,0)/2)*(Q103*V103)/12,IF(RIGHT(T103,1)="K",(VLOOKUP(T103,ma_miengiam!$A$3:$B$80,2,0)*Q103)/2,IF(V103&gt;0,VLOOKUP(T103,ma_miengiam!$A$3:$B$80,2,0)*Q103*V103/12,VLOOKUP(T103,ma_miengiam!$A$3:$B$80,2,0)*Q103))))</f>
        <v>270</v>
      </c>
      <c r="X103" s="220">
        <f>IF(T103="NTS",VLOOKUP(T103,ma_miengiam!$A$3:$B$80,2,0)*R103*V103,IF(AND(T103="NTS",V103=0),0,IF(AND(LEFT(T103,1)="K",V103=0),VLOOKUP(T103,ma_miengiam!$A$3:$B$80,2,0)*R103,IF(LEFT(T103,1)="K",(VLOOKUP(T103,ma_miengiam!$A$3:$B$80,2,0)*R103/12)*V103,IF(AND(LEFT(T103,1)="S",V103&gt;0),(R103/12)*V103,IF(AND(LEFT(T103,1)="S",V103=0),R103,IF(T103="DH",VLOOKUP(T103,ma_miengiam!$A$3:$B$80,2,0)*R103,0)))))))</f>
        <v>100</v>
      </c>
      <c r="Y103" s="220">
        <f t="shared" si="213"/>
        <v>0</v>
      </c>
      <c r="Z103" s="220">
        <f>IF(AND(T103="SĐH",V103&gt;0),(R103/12)*V103-X103,IF(AND(T103="DH",V103&gt;0),(R103*V103/12),IF(AND(T103&lt;&gt;"NTS",V103&gt;0),(R103*V103/12)-X103,IF(AND(T103="NTS",V103&gt;0),R103-X103,R103-X103))))</f>
        <v>0</v>
      </c>
      <c r="AA103" s="220">
        <f t="shared" ref="AA103:AB107" si="312">Q103</f>
        <v>270</v>
      </c>
      <c r="AB103" s="220">
        <f t="shared" si="312"/>
        <v>100</v>
      </c>
      <c r="AC103" s="220">
        <f t="shared" ref="AC103:AF104" si="313">W103</f>
        <v>270</v>
      </c>
      <c r="AD103" s="220">
        <f t="shared" si="313"/>
        <v>100</v>
      </c>
      <c r="AE103" s="220">
        <f t="shared" si="313"/>
        <v>0</v>
      </c>
      <c r="AF103" s="220">
        <f t="shared" si="313"/>
        <v>0</v>
      </c>
      <c r="AG103" s="220">
        <f t="shared" si="309"/>
        <v>165.94</v>
      </c>
      <c r="AH103" s="220">
        <f t="shared" si="310"/>
        <v>115.94</v>
      </c>
      <c r="AI103" s="220">
        <f t="shared" si="311"/>
        <v>50</v>
      </c>
      <c r="AJ103" s="220">
        <f t="shared" si="300"/>
        <v>0</v>
      </c>
      <c r="AK103" s="216">
        <f t="shared" si="247"/>
        <v>0</v>
      </c>
      <c r="AL103" s="220">
        <f t="shared" si="248"/>
        <v>0</v>
      </c>
      <c r="AM103" s="220">
        <f t="shared" si="249"/>
        <v>0</v>
      </c>
      <c r="AN103" s="216">
        <f t="shared" si="250"/>
        <v>0</v>
      </c>
      <c r="AO103" s="220">
        <f t="shared" si="251"/>
        <v>0</v>
      </c>
      <c r="AP103" s="220">
        <f t="shared" si="252"/>
        <v>0</v>
      </c>
      <c r="AQ103" s="220">
        <f t="shared" si="253"/>
        <v>0</v>
      </c>
      <c r="AR103" s="220">
        <f t="shared" si="254"/>
        <v>0</v>
      </c>
      <c r="AS103" s="220">
        <f t="shared" si="255"/>
        <v>0</v>
      </c>
      <c r="AT103" s="216">
        <f t="shared" si="256"/>
        <v>0</v>
      </c>
      <c r="AU103" s="220">
        <f t="shared" si="209"/>
        <v>0</v>
      </c>
      <c r="AV103" s="220"/>
      <c r="AW103" s="220">
        <f t="shared" si="183"/>
        <v>0</v>
      </c>
      <c r="AX103" s="216">
        <f t="shared" si="265"/>
        <v>0</v>
      </c>
      <c r="AY103" s="220">
        <f t="shared" si="193"/>
        <v>0</v>
      </c>
      <c r="AZ103" s="220">
        <f t="shared" si="194"/>
        <v>0</v>
      </c>
      <c r="BA103" s="220">
        <f t="shared" si="195"/>
        <v>0</v>
      </c>
      <c r="BB103" s="220">
        <f t="shared" si="196"/>
        <v>0</v>
      </c>
      <c r="BC103" s="220">
        <f t="shared" si="197"/>
        <v>0</v>
      </c>
      <c r="BD103" s="216">
        <f t="shared" si="184"/>
        <v>0</v>
      </c>
      <c r="BE103" s="220">
        <f t="shared" si="185"/>
        <v>0</v>
      </c>
      <c r="BF103" s="220">
        <f t="shared" si="186"/>
        <v>0</v>
      </c>
      <c r="BG103" s="220">
        <f t="shared" si="187"/>
        <v>0</v>
      </c>
      <c r="BH103" s="220">
        <f t="shared" si="188"/>
        <v>0</v>
      </c>
      <c r="BI103" s="220">
        <f t="shared" si="189"/>
        <v>0</v>
      </c>
      <c r="BJ103" s="220" t="s">
        <v>461</v>
      </c>
      <c r="BK103" s="220"/>
      <c r="BL103" s="223">
        <f t="shared" si="257"/>
        <v>0</v>
      </c>
      <c r="BM103" s="220">
        <v>3</v>
      </c>
      <c r="BN103" s="220"/>
      <c r="BO103" s="220">
        <f t="shared" si="301"/>
        <v>3</v>
      </c>
      <c r="BP103" s="220">
        <f>IF(AND(BL103&gt;0,BL103&lt;tiet!$D$1),BL103,IF(BL103&lt;=0,0,IF(BL103&gt;tiet!$C$1,tiet!$C$1)))</f>
        <v>0</v>
      </c>
      <c r="BQ103" s="87">
        <f t="shared" si="302"/>
        <v>60000</v>
      </c>
      <c r="BR103" s="224">
        <f t="shared" si="303"/>
        <v>0</v>
      </c>
      <c r="BS103" s="220">
        <f t="shared" si="219"/>
        <v>0</v>
      </c>
      <c r="BT103" s="224">
        <f>VLOOKUP(N103,ma_dinhmuc!$A$1:$J$31,10,0)</f>
        <v>51000</v>
      </c>
      <c r="BU103" s="224">
        <f>ROUND(IF(BS103&gt;0,VLOOKUP(N103,ma_dinhmuc!$A$1:$J$31,10,0)*BS103,0),0)</f>
        <v>0</v>
      </c>
      <c r="BV103" s="224">
        <f t="shared" si="304"/>
        <v>0</v>
      </c>
      <c r="BW103" s="224"/>
      <c r="BX103" s="224">
        <v>0</v>
      </c>
      <c r="BY103" s="224"/>
      <c r="BZ103" s="224"/>
      <c r="CA103" s="224"/>
      <c r="CB103" s="224"/>
      <c r="CC103" s="225">
        <f t="shared" si="198"/>
        <v>0</v>
      </c>
      <c r="CD103" s="224">
        <f t="shared" si="199"/>
        <v>0</v>
      </c>
      <c r="CE103" s="224"/>
      <c r="CF103" s="226"/>
      <c r="CG103" s="87"/>
      <c r="CH103" s="87">
        <f t="shared" si="272"/>
        <v>4</v>
      </c>
      <c r="CI103" s="227" t="str">
        <f t="shared" si="305"/>
        <v>Nguyễn Thị</v>
      </c>
      <c r="CJ103" s="227" t="str">
        <f t="shared" si="305"/>
        <v>Xuân</v>
      </c>
      <c r="CK103" s="87">
        <f t="shared" si="306"/>
        <v>2</v>
      </c>
      <c r="CL103" s="227" t="str">
        <f t="shared" si="307"/>
        <v>Chăn nuôi chuyên khoa</v>
      </c>
      <c r="CM103" s="87" t="str">
        <f t="shared" si="190"/>
        <v>CS2</v>
      </c>
      <c r="CN103" s="87">
        <f t="shared" ref="CN103:CO108" si="314">Q103</f>
        <v>270</v>
      </c>
      <c r="CO103" s="87">
        <f t="shared" si="314"/>
        <v>100</v>
      </c>
      <c r="CP103" s="229">
        <f t="shared" si="223"/>
        <v>0</v>
      </c>
      <c r="CQ103" s="229">
        <f t="shared" si="224"/>
        <v>0</v>
      </c>
      <c r="CR103" s="229">
        <f t="shared" si="225"/>
        <v>0</v>
      </c>
      <c r="CS103" s="229">
        <f t="shared" si="226"/>
        <v>0</v>
      </c>
      <c r="CT103" s="229">
        <f t="shared" si="227"/>
        <v>0</v>
      </c>
      <c r="CU103" s="229">
        <f t="shared" si="228"/>
        <v>0</v>
      </c>
      <c r="CV103" s="229">
        <f t="shared" si="229"/>
        <v>0</v>
      </c>
      <c r="CW103" s="229">
        <f t="shared" si="230"/>
        <v>0</v>
      </c>
      <c r="CX103" s="229">
        <f t="shared" si="231"/>
        <v>0</v>
      </c>
      <c r="CY103" s="229">
        <f t="shared" si="232"/>
        <v>0</v>
      </c>
      <c r="CZ103" s="229">
        <f t="shared" si="233"/>
        <v>0</v>
      </c>
      <c r="DA103" s="229">
        <f t="shared" si="234"/>
        <v>0</v>
      </c>
      <c r="DB103" s="228">
        <f t="shared" si="214"/>
        <v>0</v>
      </c>
      <c r="DC103" s="229"/>
      <c r="DD103" s="229"/>
      <c r="DE103" s="229"/>
      <c r="DF103" s="229"/>
      <c r="DG103" s="229"/>
      <c r="DH103" s="229"/>
      <c r="DI103" s="229"/>
      <c r="DJ103" s="229"/>
      <c r="DK103" s="229"/>
      <c r="DL103" s="229"/>
      <c r="DM103" s="229"/>
      <c r="DN103" s="229"/>
      <c r="DO103" s="228">
        <f t="shared" si="215"/>
        <v>0</v>
      </c>
      <c r="DP103" s="228">
        <f t="shared" si="216"/>
        <v>0</v>
      </c>
      <c r="DQ103" s="229">
        <f t="shared" si="235"/>
        <v>0</v>
      </c>
      <c r="DR103" s="229">
        <f t="shared" si="236"/>
        <v>0</v>
      </c>
      <c r="DS103" s="229">
        <f t="shared" si="237"/>
        <v>0</v>
      </c>
      <c r="DT103" s="229">
        <f t="shared" si="238"/>
        <v>0</v>
      </c>
      <c r="DU103" s="229">
        <f t="shared" si="239"/>
        <v>0</v>
      </c>
      <c r="DV103" s="229">
        <f t="shared" si="240"/>
        <v>0</v>
      </c>
      <c r="DW103" s="229">
        <f t="shared" si="241"/>
        <v>0</v>
      </c>
      <c r="DX103" s="228">
        <f t="shared" si="217"/>
        <v>0</v>
      </c>
      <c r="DY103" s="229"/>
      <c r="DZ103" s="229"/>
      <c r="EA103" s="229"/>
      <c r="EB103" s="229"/>
      <c r="EC103" s="229"/>
      <c r="ED103" s="229"/>
      <c r="EE103" s="229"/>
      <c r="EF103" s="228">
        <f t="shared" si="220"/>
        <v>0</v>
      </c>
      <c r="EG103" s="228">
        <f t="shared" si="218"/>
        <v>0</v>
      </c>
      <c r="EH103" s="229">
        <f t="shared" si="221"/>
        <v>50</v>
      </c>
      <c r="EI103" s="229">
        <v>115.94</v>
      </c>
      <c r="EJ103" s="228">
        <f t="shared" si="308"/>
        <v>165.94</v>
      </c>
      <c r="EK103" s="229"/>
      <c r="EL103" s="229"/>
      <c r="EM103" s="228">
        <f t="shared" si="273"/>
        <v>0</v>
      </c>
      <c r="EN103" s="229">
        <f t="shared" si="192"/>
        <v>50</v>
      </c>
      <c r="EO103" s="229">
        <f t="shared" si="212"/>
        <v>115.94</v>
      </c>
      <c r="EP103" s="228">
        <f t="shared" si="274"/>
        <v>165.94</v>
      </c>
      <c r="EQ103" s="173">
        <f t="shared" si="222"/>
        <v>50</v>
      </c>
      <c r="ER103" s="189">
        <v>0</v>
      </c>
      <c r="ES103" s="189">
        <v>0</v>
      </c>
      <c r="ET103" s="189">
        <v>0</v>
      </c>
      <c r="EU103" s="189">
        <v>0</v>
      </c>
      <c r="EV103" s="189">
        <v>0</v>
      </c>
      <c r="EW103" s="189">
        <v>0</v>
      </c>
      <c r="EX103" s="189">
        <v>0</v>
      </c>
      <c r="EY103" s="189">
        <v>0</v>
      </c>
      <c r="EZ103" s="189">
        <v>0</v>
      </c>
      <c r="FA103" s="189">
        <v>0</v>
      </c>
      <c r="FB103" s="189">
        <v>0</v>
      </c>
      <c r="FC103" s="189">
        <v>0</v>
      </c>
      <c r="FD103" s="189">
        <v>0</v>
      </c>
      <c r="FE103" s="189">
        <v>0</v>
      </c>
      <c r="FF103" s="189">
        <v>0</v>
      </c>
      <c r="FG103" s="189">
        <v>0</v>
      </c>
      <c r="FH103" s="189">
        <v>0</v>
      </c>
      <c r="FI103" s="189">
        <v>0</v>
      </c>
      <c r="FJ103" s="189">
        <v>0</v>
      </c>
      <c r="FK103" s="189">
        <v>0</v>
      </c>
      <c r="FL103" s="189">
        <v>0</v>
      </c>
      <c r="FN103" s="132">
        <v>50</v>
      </c>
    </row>
    <row r="104" spans="1:170" ht="30" customHeight="1">
      <c r="A104" s="88">
        <f>COUNTIF($H$12:H112,H104)</f>
        <v>13</v>
      </c>
      <c r="B104" s="88" t="s">
        <v>1971</v>
      </c>
      <c r="C104" s="88" t="s">
        <v>2128</v>
      </c>
      <c r="D104" s="88"/>
      <c r="E104" s="88"/>
      <c r="F104" s="301" t="s">
        <v>111</v>
      </c>
      <c r="G104" s="89" t="s">
        <v>2887</v>
      </c>
      <c r="H104" s="88">
        <v>2</v>
      </c>
      <c r="I104" s="88">
        <v>2</v>
      </c>
      <c r="J104" s="88">
        <v>2</v>
      </c>
      <c r="K104" s="90" t="s">
        <v>1137</v>
      </c>
      <c r="L104" s="90" t="s">
        <v>1137</v>
      </c>
      <c r="M104" s="214"/>
      <c r="N104" s="88" t="s">
        <v>1804</v>
      </c>
      <c r="O104" s="216">
        <f t="shared" si="205"/>
        <v>2.67</v>
      </c>
      <c r="P104" s="88" t="str">
        <f t="shared" si="299"/>
        <v>B1_3</v>
      </c>
      <c r="Q104" s="88">
        <f t="shared" si="149"/>
        <v>270</v>
      </c>
      <c r="R104" s="88">
        <f t="shared" si="150"/>
        <v>100</v>
      </c>
      <c r="S104" s="231" t="s">
        <v>3191</v>
      </c>
      <c r="T104" s="214" t="s">
        <v>2961</v>
      </c>
      <c r="U104" s="88">
        <f>IF(RIGHT(T104,1)="K",(VLOOKUP(T104,ma_miengiam!$A$3:$B$80,2,0)*100)/2,VLOOKUP(T104,ma_miengiam!$A$3:$B$80,2,0)*100)</f>
        <v>100</v>
      </c>
      <c r="V104" s="88"/>
      <c r="W104" s="220">
        <f>IF(AND(T104="NTS",V104&gt;0),(Q104-(Q104*V104)/12)*VLOOKUP(T104,ma_miengiam!$A$3:$B$80,2,0)+(Q104-(Q104*(12-V104))/12),IF(AND(RIGHT(T104,1)="K",V104&gt;0),(VLOOKUP(T104,ma_miengiam!$A$3:$B$80,2,0)/2)*(Q104*V104)/12,IF(RIGHT(T104,1)="K",(VLOOKUP(T104,ma_miengiam!$A$3:$B$80,2,0)*Q104)/2,IF(V104&gt;0,VLOOKUP(T104,ma_miengiam!$A$3:$B$80,2,0)*Q104*V104/12,VLOOKUP(T104,ma_miengiam!$A$3:$B$80,2,0)*Q104))))</f>
        <v>270</v>
      </c>
      <c r="X104" s="220">
        <f>IF(T104="NTS",VLOOKUP(T104,ma_miengiam!$A$3:$B$80,2,0)*R104*V104,IF(AND(T104="NTS",V104=0),0,IF(AND(LEFT(T104,1)="K",V104=0),VLOOKUP(T104,ma_miengiam!$A$3:$B$80,2,0)*R104,IF(LEFT(T104,1)="K",(VLOOKUP(T104,ma_miengiam!$A$3:$B$80,2,0)*R104/12)*V104,IF(AND(LEFT(T104,1)="S",V104&gt;0),(R104/12)*V104,IF(AND(LEFT(T104,1)="S",V104=0),R104,IF(T104="DH",VLOOKUP(T104,ma_miengiam!$A$3:$B$80,2,0)*R104,0)))))))</f>
        <v>100</v>
      </c>
      <c r="Y104" s="220">
        <f t="shared" si="213"/>
        <v>0</v>
      </c>
      <c r="Z104" s="220">
        <f>IF(AND(T104="SĐH",V104&gt;0),(R104/12)*V104-X104,IF(AND(T104="DH",V104&gt;0),(R104*V104/12),IF(AND(T104&lt;&gt;"NTS",V104&gt;0),(R104*V104/12)-X104,IF(AND(T104="NTS",V104&gt;0),R104-X104,R104-X104))))</f>
        <v>0</v>
      </c>
      <c r="AA104" s="220">
        <f t="shared" si="312"/>
        <v>270</v>
      </c>
      <c r="AB104" s="220">
        <f t="shared" si="312"/>
        <v>100</v>
      </c>
      <c r="AC104" s="220">
        <f t="shared" si="313"/>
        <v>270</v>
      </c>
      <c r="AD104" s="220">
        <f t="shared" si="313"/>
        <v>100</v>
      </c>
      <c r="AE104" s="220">
        <f t="shared" si="313"/>
        <v>0</v>
      </c>
      <c r="AF104" s="220">
        <f t="shared" si="313"/>
        <v>0</v>
      </c>
      <c r="AG104" s="220">
        <f t="shared" si="309"/>
        <v>0</v>
      </c>
      <c r="AH104" s="220">
        <f t="shared" si="310"/>
        <v>0</v>
      </c>
      <c r="AI104" s="220">
        <f t="shared" si="311"/>
        <v>0</v>
      </c>
      <c r="AJ104" s="220">
        <f t="shared" si="300"/>
        <v>0</v>
      </c>
      <c r="AK104" s="216">
        <f t="shared" si="247"/>
        <v>0</v>
      </c>
      <c r="AL104" s="220">
        <f t="shared" si="248"/>
        <v>0</v>
      </c>
      <c r="AM104" s="220">
        <f t="shared" si="249"/>
        <v>0</v>
      </c>
      <c r="AN104" s="221">
        <f t="shared" si="250"/>
        <v>0</v>
      </c>
      <c r="AO104" s="220">
        <f t="shared" si="251"/>
        <v>0</v>
      </c>
      <c r="AP104" s="220">
        <f t="shared" si="252"/>
        <v>0</v>
      </c>
      <c r="AQ104" s="220">
        <f t="shared" si="253"/>
        <v>0</v>
      </c>
      <c r="AR104" s="220">
        <f t="shared" si="254"/>
        <v>0</v>
      </c>
      <c r="AS104" s="220">
        <f t="shared" si="255"/>
        <v>0</v>
      </c>
      <c r="AT104" s="216">
        <f t="shared" si="256"/>
        <v>0</v>
      </c>
      <c r="AU104" s="222">
        <f t="shared" si="209"/>
        <v>0</v>
      </c>
      <c r="AV104" s="220"/>
      <c r="AW104" s="220">
        <f t="shared" si="183"/>
        <v>0</v>
      </c>
      <c r="AX104" s="216">
        <f t="shared" si="265"/>
        <v>0</v>
      </c>
      <c r="AY104" s="220">
        <f t="shared" si="193"/>
        <v>0</v>
      </c>
      <c r="AZ104" s="220">
        <f t="shared" si="194"/>
        <v>0</v>
      </c>
      <c r="BA104" s="220">
        <f t="shared" si="195"/>
        <v>0</v>
      </c>
      <c r="BB104" s="220">
        <f t="shared" si="196"/>
        <v>0</v>
      </c>
      <c r="BC104" s="220">
        <f t="shared" si="197"/>
        <v>0</v>
      </c>
      <c r="BD104" s="216">
        <f t="shared" si="184"/>
        <v>0</v>
      </c>
      <c r="BE104" s="220">
        <f t="shared" si="185"/>
        <v>0</v>
      </c>
      <c r="BF104" s="220">
        <f t="shared" si="186"/>
        <v>0</v>
      </c>
      <c r="BG104" s="220">
        <f t="shared" si="187"/>
        <v>0</v>
      </c>
      <c r="BH104" s="220">
        <f t="shared" si="188"/>
        <v>0</v>
      </c>
      <c r="BI104" s="220">
        <f t="shared" si="189"/>
        <v>0</v>
      </c>
      <c r="BJ104" s="220" t="s">
        <v>461</v>
      </c>
      <c r="BK104" s="220"/>
      <c r="BL104" s="223">
        <f t="shared" si="257"/>
        <v>0</v>
      </c>
      <c r="BM104" s="220">
        <v>2.67</v>
      </c>
      <c r="BN104" s="220"/>
      <c r="BO104" s="220">
        <f t="shared" si="301"/>
        <v>2.67</v>
      </c>
      <c r="BP104" s="220">
        <f>IF(AND(BL104&gt;0,BL104&lt;tiet!$D$1),BL104,IF(BL104&lt;=0,0,IF(BL104&gt;tiet!$C$1,tiet!$C$1)))</f>
        <v>0</v>
      </c>
      <c r="BQ104" s="87">
        <f t="shared" si="302"/>
        <v>60000</v>
      </c>
      <c r="BR104" s="224">
        <f t="shared" si="303"/>
        <v>0</v>
      </c>
      <c r="BS104" s="220">
        <f t="shared" si="219"/>
        <v>0</v>
      </c>
      <c r="BT104" s="224">
        <f>VLOOKUP(N104,ma_dinhmuc!$A$1:$J$31,10,0)</f>
        <v>51000</v>
      </c>
      <c r="BU104" s="224">
        <f>ROUND(IF(BS104&gt;0,VLOOKUP(N104,ma_dinhmuc!$A$1:$J$31,10,0)*BS104,0),0)</f>
        <v>0</v>
      </c>
      <c r="BV104" s="224">
        <f t="shared" si="304"/>
        <v>0</v>
      </c>
      <c r="BW104" s="224"/>
      <c r="BX104" s="224">
        <v>0</v>
      </c>
      <c r="BY104" s="224"/>
      <c r="BZ104" s="224"/>
      <c r="CA104" s="224"/>
      <c r="CB104" s="224"/>
      <c r="CC104" s="225">
        <f t="shared" si="198"/>
        <v>0</v>
      </c>
      <c r="CD104" s="224">
        <f t="shared" si="199"/>
        <v>0</v>
      </c>
      <c r="CE104" s="224"/>
      <c r="CF104" s="226"/>
      <c r="CG104" s="87"/>
      <c r="CH104" s="87">
        <f t="shared" si="272"/>
        <v>13</v>
      </c>
      <c r="CI104" s="227" t="str">
        <f t="shared" si="305"/>
        <v>Đào Thị</v>
      </c>
      <c r="CJ104" s="227" t="str">
        <f t="shared" si="305"/>
        <v>Hiệp</v>
      </c>
      <c r="CK104" s="87">
        <f t="shared" si="306"/>
        <v>2</v>
      </c>
      <c r="CL104" s="227" t="str">
        <f t="shared" si="307"/>
        <v>Chăn nuôi chuyên khoa</v>
      </c>
      <c r="CM104" s="87" t="str">
        <f t="shared" si="190"/>
        <v>CS2</v>
      </c>
      <c r="CN104" s="87">
        <f t="shared" si="314"/>
        <v>270</v>
      </c>
      <c r="CO104" s="87">
        <f t="shared" si="314"/>
        <v>100</v>
      </c>
      <c r="CP104" s="229">
        <f t="shared" si="223"/>
        <v>0</v>
      </c>
      <c r="CQ104" s="229">
        <f t="shared" si="224"/>
        <v>0</v>
      </c>
      <c r="CR104" s="229">
        <f t="shared" si="225"/>
        <v>0</v>
      </c>
      <c r="CS104" s="229">
        <f t="shared" si="226"/>
        <v>0</v>
      </c>
      <c r="CT104" s="229">
        <f t="shared" si="227"/>
        <v>0</v>
      </c>
      <c r="CU104" s="229">
        <f t="shared" si="228"/>
        <v>0</v>
      </c>
      <c r="CV104" s="229">
        <f t="shared" si="229"/>
        <v>0</v>
      </c>
      <c r="CW104" s="229">
        <f t="shared" si="230"/>
        <v>0</v>
      </c>
      <c r="CX104" s="229">
        <f t="shared" si="231"/>
        <v>0</v>
      </c>
      <c r="CY104" s="229">
        <f t="shared" si="232"/>
        <v>0</v>
      </c>
      <c r="CZ104" s="229">
        <f t="shared" si="233"/>
        <v>0</v>
      </c>
      <c r="DA104" s="229">
        <f t="shared" si="234"/>
        <v>0</v>
      </c>
      <c r="DB104" s="228">
        <f t="shared" si="214"/>
        <v>0</v>
      </c>
      <c r="DC104" s="229"/>
      <c r="DD104" s="229"/>
      <c r="DE104" s="229"/>
      <c r="DF104" s="229"/>
      <c r="DG104" s="229"/>
      <c r="DH104" s="229"/>
      <c r="DI104" s="229"/>
      <c r="DJ104" s="229"/>
      <c r="DK104" s="229"/>
      <c r="DL104" s="229"/>
      <c r="DM104" s="229"/>
      <c r="DN104" s="229"/>
      <c r="DO104" s="228">
        <f t="shared" si="215"/>
        <v>0</v>
      </c>
      <c r="DP104" s="228">
        <f t="shared" si="216"/>
        <v>0</v>
      </c>
      <c r="DQ104" s="229">
        <f t="shared" si="235"/>
        <v>0</v>
      </c>
      <c r="DR104" s="229">
        <f t="shared" si="236"/>
        <v>0</v>
      </c>
      <c r="DS104" s="229">
        <f t="shared" si="237"/>
        <v>0</v>
      </c>
      <c r="DT104" s="229">
        <f t="shared" si="238"/>
        <v>0</v>
      </c>
      <c r="DU104" s="229">
        <f t="shared" si="239"/>
        <v>0</v>
      </c>
      <c r="DV104" s="229">
        <f t="shared" si="240"/>
        <v>0</v>
      </c>
      <c r="DW104" s="229">
        <f t="shared" si="241"/>
        <v>0</v>
      </c>
      <c r="DX104" s="228">
        <f t="shared" si="217"/>
        <v>0</v>
      </c>
      <c r="DY104" s="229"/>
      <c r="DZ104" s="229"/>
      <c r="EA104" s="229"/>
      <c r="EB104" s="229"/>
      <c r="EC104" s="229"/>
      <c r="ED104" s="229"/>
      <c r="EE104" s="229"/>
      <c r="EF104" s="228">
        <f t="shared" si="220"/>
        <v>0</v>
      </c>
      <c r="EG104" s="228">
        <f t="shared" si="218"/>
        <v>0</v>
      </c>
      <c r="EH104" s="229">
        <f t="shared" si="221"/>
        <v>0</v>
      </c>
      <c r="EI104" s="229">
        <v>0</v>
      </c>
      <c r="EJ104" s="228">
        <f t="shared" si="308"/>
        <v>0</v>
      </c>
      <c r="EK104" s="229"/>
      <c r="EL104" s="229"/>
      <c r="EM104" s="228">
        <f t="shared" si="273"/>
        <v>0</v>
      </c>
      <c r="EN104" s="229">
        <f t="shared" si="192"/>
        <v>0</v>
      </c>
      <c r="EO104" s="229">
        <f t="shared" si="212"/>
        <v>0</v>
      </c>
      <c r="EP104" s="228">
        <f t="shared" si="274"/>
        <v>0</v>
      </c>
      <c r="EQ104" s="173">
        <f t="shared" si="222"/>
        <v>0</v>
      </c>
      <c r="ER104" s="189">
        <v>0</v>
      </c>
      <c r="ES104" s="189">
        <v>0</v>
      </c>
      <c r="ET104" s="189">
        <v>0</v>
      </c>
      <c r="EU104" s="189">
        <v>0</v>
      </c>
      <c r="EV104" s="189">
        <v>0</v>
      </c>
      <c r="EW104" s="189">
        <v>0</v>
      </c>
      <c r="EX104" s="189">
        <v>0</v>
      </c>
      <c r="EY104" s="189">
        <v>0</v>
      </c>
      <c r="EZ104" s="189">
        <v>0</v>
      </c>
      <c r="FA104" s="189">
        <v>0</v>
      </c>
      <c r="FB104" s="189">
        <v>0</v>
      </c>
      <c r="FC104" s="189">
        <v>0</v>
      </c>
      <c r="FD104" s="189">
        <v>0</v>
      </c>
      <c r="FE104" s="189">
        <v>0</v>
      </c>
      <c r="FF104" s="189">
        <v>0</v>
      </c>
      <c r="FG104" s="189">
        <v>0</v>
      </c>
      <c r="FH104" s="189">
        <v>0</v>
      </c>
      <c r="FI104" s="189">
        <v>0</v>
      </c>
      <c r="FJ104" s="189">
        <v>0</v>
      </c>
      <c r="FK104" s="189">
        <v>0</v>
      </c>
      <c r="FL104" s="189">
        <v>0</v>
      </c>
      <c r="FN104" s="132">
        <v>0</v>
      </c>
    </row>
    <row r="105" spans="1:170" ht="30" customHeight="1">
      <c r="A105" s="88">
        <f>COUNTIF($H$12:H105,H105)</f>
        <v>6</v>
      </c>
      <c r="B105" s="88" t="s">
        <v>1972</v>
      </c>
      <c r="C105" s="88" t="s">
        <v>2129</v>
      </c>
      <c r="D105" s="88"/>
      <c r="E105" s="88"/>
      <c r="F105" s="301" t="s">
        <v>2856</v>
      </c>
      <c r="G105" s="89" t="s">
        <v>2877</v>
      </c>
      <c r="H105" s="88">
        <v>2</v>
      </c>
      <c r="I105" s="88">
        <v>2</v>
      </c>
      <c r="J105" s="88">
        <v>2</v>
      </c>
      <c r="K105" s="90" t="s">
        <v>1137</v>
      </c>
      <c r="L105" s="90" t="s">
        <v>1137</v>
      </c>
      <c r="M105" s="213"/>
      <c r="N105" s="88" t="s">
        <v>605</v>
      </c>
      <c r="O105" s="216">
        <f t="shared" si="205"/>
        <v>7.64</v>
      </c>
      <c r="P105" s="88" t="str">
        <f t="shared" si="299"/>
        <v>B1_8</v>
      </c>
      <c r="Q105" s="88">
        <f t="shared" si="149"/>
        <v>270</v>
      </c>
      <c r="R105" s="88">
        <f t="shared" si="150"/>
        <v>280</v>
      </c>
      <c r="S105" s="231" t="s">
        <v>1238</v>
      </c>
      <c r="T105" s="215" t="s">
        <v>530</v>
      </c>
      <c r="U105" s="88">
        <f>IF(RIGHT(T105,1)="K",(VLOOKUP(T105,ma_miengiam!$A$3:$B$80,2,0)*100)/2,VLOOKUP(T105,ma_miengiam!$A$3:$B$80,2,0)*100)</f>
        <v>70</v>
      </c>
      <c r="V105" s="88"/>
      <c r="W105" s="220">
        <f>IF(AND(T105="NTS",V105&gt;0),(Q105-(Q105*V105)/12)*VLOOKUP(T105,ma_miengiam!$A$3:$B$80,2,0)+(Q105-(Q105*(12-V105))/12),IF(AND(RIGHT(T105,1)="K",V105&gt;0),(VLOOKUP(T105,ma_miengiam!$A$3:$B$80,2,0)/2)*(Q105*V105)/12,IF(RIGHT(T105,1)="K",(VLOOKUP(T105,ma_miengiam!$A$3:$B$80,2,0)*Q105)/2,IF(V105&gt;0,VLOOKUP(T105,ma_miengiam!$A$3:$B$80,2,0)*Q105*V105/12,VLOOKUP(T105,ma_miengiam!$A$3:$B$80,2,0)*Q105))))</f>
        <v>189</v>
      </c>
      <c r="X105" s="220">
        <f>IF(T105="NTS",VLOOKUP(T105,ma_miengiam!$A$3:$B$80,2,0)*R105*V105,IF(AND(T105="NTS",V105=0),0,IF(AND(LEFT(T105,1)="K",V105=0),VLOOKUP(T105,ma_miengiam!$A$3:$B$80,2,0)*R105,IF(LEFT(T105,1)="K",(VLOOKUP(T105,ma_miengiam!$A$3:$B$80,2,0)*R105/12)*V105,IF(AND(LEFT(T105,1)="S",V105&gt;0),(R105/12)*V105,IF(AND(LEFT(T105,1)="S",V105=0),R105,IF(T105="DH",VLOOKUP(T105,ma_miengiam!$A$3:$B$80,2,0)*R105,0)))))))</f>
        <v>196</v>
      </c>
      <c r="Y105" s="220">
        <f>IF(AND(T105="DH",V105&gt;0),(S105*V105/12),IF(AND(T105&lt;&gt;"NTS",V105&gt;0),(Q105*V105/12)-W105,IF(AND(T105="NTS",V105&gt;0),Q105-W105,Q105-W105)))</f>
        <v>81</v>
      </c>
      <c r="Z105" s="220">
        <f t="shared" ref="Z105:Z112" si="315">IF(AND(T105="SĐH",V105&gt;0),(R105/12)*V105-X105,IF(AND(T105="DH",V105&gt;0),(R105*V105/12),IF(AND(T105&lt;&gt;"NTS",V105&gt;0),(R105*V105/12)-X105,IF(AND(T105="NTS",V105&gt;0),R105-X105,R105-X105))))</f>
        <v>84</v>
      </c>
      <c r="AA105" s="220">
        <f t="shared" si="312"/>
        <v>270</v>
      </c>
      <c r="AB105" s="220">
        <f t="shared" si="312"/>
        <v>280</v>
      </c>
      <c r="AC105" s="220">
        <f t="shared" ref="AC105:AF106" si="316">W105</f>
        <v>189</v>
      </c>
      <c r="AD105" s="220">
        <f t="shared" si="316"/>
        <v>196</v>
      </c>
      <c r="AE105" s="220">
        <f t="shared" si="316"/>
        <v>81</v>
      </c>
      <c r="AF105" s="220">
        <f t="shared" si="316"/>
        <v>84</v>
      </c>
      <c r="AG105" s="220">
        <f t="shared" si="309"/>
        <v>583.07999999999993</v>
      </c>
      <c r="AH105" s="220">
        <f t="shared" si="310"/>
        <v>367.21</v>
      </c>
      <c r="AI105" s="220">
        <f t="shared" si="311"/>
        <v>215.87</v>
      </c>
      <c r="AJ105" s="220">
        <f t="shared" si="300"/>
        <v>0</v>
      </c>
      <c r="AK105" s="216">
        <f t="shared" si="247"/>
        <v>81</v>
      </c>
      <c r="AL105" s="220">
        <f>SUM(CP105:CX105)+SUM(DC105:DK105)</f>
        <v>496.09999999999997</v>
      </c>
      <c r="AM105" s="220">
        <f>SUM(DQ105:DU105)+SUM(DY105:EC105)</f>
        <v>73.899999999999991</v>
      </c>
      <c r="AN105" s="221">
        <f>AM105+AL105</f>
        <v>570</v>
      </c>
      <c r="AO105" s="220">
        <f>CY105+DL105</f>
        <v>20</v>
      </c>
      <c r="AP105" s="220">
        <f>CZ105+DM105</f>
        <v>0</v>
      </c>
      <c r="AQ105" s="220">
        <f>DA105+DN105</f>
        <v>120</v>
      </c>
      <c r="AR105" s="220">
        <f>DV105+ED105</f>
        <v>0</v>
      </c>
      <c r="AS105" s="220">
        <f>DW105+EE105</f>
        <v>40</v>
      </c>
      <c r="AT105" s="216">
        <f>AN105+SUM(AO105:AS105)</f>
        <v>750</v>
      </c>
      <c r="AU105" s="222">
        <f>AN105-AK105</f>
        <v>489</v>
      </c>
      <c r="AV105" s="220"/>
      <c r="AW105" s="220">
        <f>IF(AU105&gt;0,AU105,AV105+AU105)</f>
        <v>489</v>
      </c>
      <c r="AX105" s="216">
        <f t="shared" si="265"/>
        <v>0</v>
      </c>
      <c r="AY105" s="220">
        <f>IF(AN105&gt;=AK105,AO105,IF(AN105+AO105-AK105&gt;=0,AN105+AO105-AK105,0))</f>
        <v>20</v>
      </c>
      <c r="AZ105" s="220">
        <f>IF(OR(AN105&gt;=AK105,AN105+AO105&gt;=AK105),AP105,IF(AN105+AO105+AP105&gt;AK105,AN105+AO105+AP105-AK105,0))</f>
        <v>0</v>
      </c>
      <c r="BA105" s="220">
        <f>IF(OR(AN105&gt;=AK105,AN105+AO105&gt;=AK105,AN105+AO105+AP105&gt;=AK105),AQ105,IF(AN105+AO105+AP105+AQ105&gt;=AK105,AN105+AO105+AP105+AQ105-AK105,0))</f>
        <v>120</v>
      </c>
      <c r="BB105" s="220">
        <f>IF(OR(AN105&gt;=AK105,AN105+AO105&gt;=AK105,AN105+AO105+AP105&gt;=AK105,AN105+AO105+AP105+AQ105&gt;=AK105),AR105,IF(AN105+AO105+AP105+AQ105+AR105&gt;=AK105,AN105+AO105+AP105+AQ105+AR105-AK105,0))</f>
        <v>0</v>
      </c>
      <c r="BC105" s="220">
        <f>IF(OR(AN105&gt;=AK105,AN105+AO105&gt;=AK105,AN105+AO105+AP105&gt;=AK105,AN105+AO105+AP105+AQ105&gt;=AK105,AN105+AO105+AP105+AQ105+AR105&gt;=AK105),AS105,IF(AN105+AO105+AP105+AQ105+AR105+AS105&gt;=AK105,AN105+AO105+AP105+AQ105+AR105+AS105-AK105,0))</f>
        <v>40</v>
      </c>
      <c r="BD105" s="216">
        <f t="shared" si="184"/>
        <v>180</v>
      </c>
      <c r="BE105" s="220">
        <f>AY105-AO105</f>
        <v>0</v>
      </c>
      <c r="BF105" s="220">
        <f>AZ105-AP105</f>
        <v>0</v>
      </c>
      <c r="BG105" s="220">
        <f>BA105-AQ105</f>
        <v>0</v>
      </c>
      <c r="BH105" s="220">
        <f>BB105-AR105</f>
        <v>0</v>
      </c>
      <c r="BI105" s="220">
        <f>BC105-AS105</f>
        <v>0</v>
      </c>
      <c r="BJ105" s="220" t="s">
        <v>2520</v>
      </c>
      <c r="BK105" s="220"/>
      <c r="BL105" s="223">
        <f t="shared" si="257"/>
        <v>489</v>
      </c>
      <c r="BM105" s="220">
        <v>7.64</v>
      </c>
      <c r="BN105" s="220"/>
      <c r="BO105" s="220">
        <f>ROUND(BM105+(BM105*BN105),2)</f>
        <v>7.64</v>
      </c>
      <c r="BP105" s="220">
        <f>IF(AND(BL105&gt;0,BL105&lt;tiet!$D$1),BL105,IF(BL105&lt;=0,0,IF(BL105&gt;tiet!$C$1,tiet!$C$1)))</f>
        <v>200</v>
      </c>
      <c r="BQ105" s="87">
        <f t="shared" si="302"/>
        <v>85000</v>
      </c>
      <c r="BR105" s="224">
        <f t="shared" si="303"/>
        <v>17000000</v>
      </c>
      <c r="BS105" s="220">
        <f t="shared" si="219"/>
        <v>289</v>
      </c>
      <c r="BT105" s="224">
        <f>VLOOKUP(N105,ma_dinhmuc!$A$1:$J$31,10,0)</f>
        <v>65000</v>
      </c>
      <c r="BU105" s="224">
        <f>ROUND(IF(BS105&gt;0,VLOOKUP(N105,ma_dinhmuc!$A$1:$J$31,10,0)*BS105,0),0)</f>
        <v>18785000</v>
      </c>
      <c r="BV105" s="224">
        <f t="shared" si="304"/>
        <v>35785000</v>
      </c>
      <c r="BW105" s="224"/>
      <c r="BX105" s="224">
        <v>0</v>
      </c>
      <c r="BY105" s="224"/>
      <c r="BZ105" s="224"/>
      <c r="CA105" s="224"/>
      <c r="CB105" s="224"/>
      <c r="CC105" s="225">
        <f>ROUND(IF(BV105+BW105&gt;BX105+BY105+BZ105+CA105+CB105,(BW105+BV105)-(BX105+BY105+BZ105+CA105+CB105+CB105),0),0)</f>
        <v>35785000</v>
      </c>
      <c r="CD105" s="224">
        <f>ROUND(IF(BV105+BW105&lt;BX105+BY105+BZ105+CA105-CB105,(BX105+BY105+BZ105+CA105-CB105)-(BW105+BV105),0),0)</f>
        <v>0</v>
      </c>
      <c r="CE105" s="224"/>
      <c r="CF105" s="226"/>
      <c r="CG105" s="87"/>
      <c r="CH105" s="87">
        <f>A105</f>
        <v>6</v>
      </c>
      <c r="CI105" s="227" t="str">
        <f t="shared" si="305"/>
        <v>Nguyễn Xuân</v>
      </c>
      <c r="CJ105" s="227" t="str">
        <f t="shared" si="305"/>
        <v>Trạch</v>
      </c>
      <c r="CK105" s="87">
        <f t="shared" si="306"/>
        <v>2</v>
      </c>
      <c r="CL105" s="227" t="str">
        <f>L105</f>
        <v>Chăn nuôi chuyên khoa</v>
      </c>
      <c r="CM105" s="87" t="str">
        <f>N105</f>
        <v>CS4</v>
      </c>
      <c r="CN105" s="87">
        <f t="shared" si="314"/>
        <v>270</v>
      </c>
      <c r="CO105" s="87">
        <f t="shared" si="314"/>
        <v>280</v>
      </c>
      <c r="CP105" s="229">
        <f t="shared" si="223"/>
        <v>0</v>
      </c>
      <c r="CQ105" s="229">
        <f t="shared" si="224"/>
        <v>39.299999999999997</v>
      </c>
      <c r="CR105" s="229">
        <f t="shared" si="225"/>
        <v>15.8</v>
      </c>
      <c r="CS105" s="229">
        <f t="shared" si="226"/>
        <v>202.2</v>
      </c>
      <c r="CT105" s="229">
        <f t="shared" si="227"/>
        <v>0</v>
      </c>
      <c r="CU105" s="229">
        <f t="shared" si="228"/>
        <v>159.30000000000001</v>
      </c>
      <c r="CV105" s="229">
        <f t="shared" si="229"/>
        <v>0</v>
      </c>
      <c r="CW105" s="229">
        <f t="shared" si="230"/>
        <v>79.5</v>
      </c>
      <c r="CX105" s="229">
        <f t="shared" si="231"/>
        <v>0</v>
      </c>
      <c r="CY105" s="229">
        <f t="shared" si="232"/>
        <v>20</v>
      </c>
      <c r="CZ105" s="229">
        <f t="shared" si="233"/>
        <v>0</v>
      </c>
      <c r="DA105" s="229">
        <f t="shared" si="234"/>
        <v>120</v>
      </c>
      <c r="DB105" s="228">
        <f>SUM(CP105:DA105)</f>
        <v>636.09999999999991</v>
      </c>
      <c r="DC105" s="229"/>
      <c r="DD105" s="229"/>
      <c r="DE105" s="229"/>
      <c r="DF105" s="229"/>
      <c r="DG105" s="229"/>
      <c r="DH105" s="229"/>
      <c r="DI105" s="229"/>
      <c r="DJ105" s="229"/>
      <c r="DK105" s="229"/>
      <c r="DL105" s="229"/>
      <c r="DM105" s="229"/>
      <c r="DN105" s="229"/>
      <c r="DO105" s="228">
        <f>SUM(DC105:DN105)</f>
        <v>0</v>
      </c>
      <c r="DP105" s="228">
        <f>DO105+DB105</f>
        <v>636.09999999999991</v>
      </c>
      <c r="DQ105" s="229">
        <f t="shared" si="235"/>
        <v>72</v>
      </c>
      <c r="DR105" s="229">
        <f t="shared" si="236"/>
        <v>1.3</v>
      </c>
      <c r="DS105" s="229">
        <f t="shared" si="237"/>
        <v>0</v>
      </c>
      <c r="DT105" s="229">
        <f t="shared" si="238"/>
        <v>0.6</v>
      </c>
      <c r="DU105" s="229">
        <f t="shared" si="239"/>
        <v>0</v>
      </c>
      <c r="DV105" s="229">
        <f t="shared" si="240"/>
        <v>0</v>
      </c>
      <c r="DW105" s="229">
        <f t="shared" si="241"/>
        <v>40</v>
      </c>
      <c r="DX105" s="228">
        <f>SUM(DQ105:DW105)</f>
        <v>113.89999999999999</v>
      </c>
      <c r="DY105" s="229"/>
      <c r="DZ105" s="229"/>
      <c r="EA105" s="229"/>
      <c r="EB105" s="229"/>
      <c r="EC105" s="229"/>
      <c r="ED105" s="229"/>
      <c r="EE105" s="229"/>
      <c r="EF105" s="228">
        <f t="shared" si="220"/>
        <v>0</v>
      </c>
      <c r="EG105" s="228">
        <f>EF105+DX105</f>
        <v>113.89999999999999</v>
      </c>
      <c r="EH105" s="229">
        <f t="shared" si="221"/>
        <v>215.87</v>
      </c>
      <c r="EI105" s="229">
        <v>367.21</v>
      </c>
      <c r="EJ105" s="228">
        <f t="shared" si="308"/>
        <v>583.07999999999993</v>
      </c>
      <c r="EK105" s="229"/>
      <c r="EL105" s="229"/>
      <c r="EM105" s="228">
        <f>SUM(EK105:EL105)</f>
        <v>0</v>
      </c>
      <c r="EN105" s="229">
        <f>EK105+EH105+EL105</f>
        <v>215.87</v>
      </c>
      <c r="EO105" s="229">
        <f>EI105</f>
        <v>367.21</v>
      </c>
      <c r="EP105" s="228">
        <f>EM105+EJ105</f>
        <v>583.07999999999993</v>
      </c>
      <c r="EQ105" s="173">
        <f t="shared" si="222"/>
        <v>131.87</v>
      </c>
      <c r="ER105" s="189">
        <v>0</v>
      </c>
      <c r="ES105" s="189">
        <v>39.299999999999997</v>
      </c>
      <c r="ET105" s="189">
        <v>15.8</v>
      </c>
      <c r="EU105" s="189">
        <v>202.2</v>
      </c>
      <c r="EV105" s="189">
        <v>0</v>
      </c>
      <c r="EW105" s="189">
        <v>159.30000000000001</v>
      </c>
      <c r="EX105" s="189">
        <v>0</v>
      </c>
      <c r="EY105" s="189">
        <v>79.5</v>
      </c>
      <c r="EZ105" s="189">
        <v>0</v>
      </c>
      <c r="FA105" s="189">
        <v>20</v>
      </c>
      <c r="FB105" s="189">
        <v>0</v>
      </c>
      <c r="FC105" s="189">
        <v>120</v>
      </c>
      <c r="FD105" s="189">
        <v>72</v>
      </c>
      <c r="FE105" s="189">
        <v>1.3</v>
      </c>
      <c r="FF105" s="189">
        <v>0</v>
      </c>
      <c r="FG105" s="189">
        <v>0.6</v>
      </c>
      <c r="FH105" s="189">
        <v>0</v>
      </c>
      <c r="FI105" s="189">
        <v>0</v>
      </c>
      <c r="FJ105" s="189">
        <v>40</v>
      </c>
      <c r="FK105" s="189">
        <v>750</v>
      </c>
      <c r="FL105" s="189">
        <v>638.20000000000005</v>
      </c>
      <c r="FN105" s="132">
        <v>215.87</v>
      </c>
    </row>
    <row r="106" spans="1:170" ht="30" customHeight="1">
      <c r="A106" s="88">
        <f>COUNTIF($H$12:H106,H106)</f>
        <v>7</v>
      </c>
      <c r="B106" s="88" t="s">
        <v>1973</v>
      </c>
      <c r="C106" s="88" t="s">
        <v>2130</v>
      </c>
      <c r="D106" s="88"/>
      <c r="E106" s="88"/>
      <c r="F106" s="301" t="s">
        <v>1877</v>
      </c>
      <c r="G106" s="89" t="s">
        <v>1878</v>
      </c>
      <c r="H106" s="88">
        <v>2</v>
      </c>
      <c r="I106" s="88">
        <v>2</v>
      </c>
      <c r="J106" s="88">
        <v>2</v>
      </c>
      <c r="K106" s="90" t="s">
        <v>1137</v>
      </c>
      <c r="L106" s="90" t="s">
        <v>1137</v>
      </c>
      <c r="M106" s="214"/>
      <c r="N106" s="88" t="s">
        <v>1804</v>
      </c>
      <c r="O106" s="216">
        <f t="shared" ref="O106:O131" si="317">BO106</f>
        <v>3</v>
      </c>
      <c r="P106" s="88" t="str">
        <f t="shared" si="299"/>
        <v>B1_3</v>
      </c>
      <c r="Q106" s="88">
        <f t="shared" si="149"/>
        <v>270</v>
      </c>
      <c r="R106" s="88">
        <f t="shared" si="150"/>
        <v>100</v>
      </c>
      <c r="S106" s="218" t="s">
        <v>1926</v>
      </c>
      <c r="T106" s="214" t="s">
        <v>2961</v>
      </c>
      <c r="U106" s="88">
        <f>IF(RIGHT(T106,1)="K",(VLOOKUP(T106,ma_miengiam!$A$3:$B$80,2,0)*100)/2,VLOOKUP(T106,ma_miengiam!$A$3:$B$80,2,0)*100)</f>
        <v>100</v>
      </c>
      <c r="V106" s="88"/>
      <c r="W106" s="220">
        <f>IF(AND(T106="NTS",V106&gt;0),(Q106-(Q106*V106)/12)*VLOOKUP(T106,ma_miengiam!$A$3:$B$80,2,0)+(Q106-(Q106*(12-V106))/12),IF(AND(RIGHT(T106,1)="K",V106&gt;0),(VLOOKUP(T106,ma_miengiam!$A$3:$B$80,2,0)/2)*(Q106*V106)/12,IF(RIGHT(T106,1)="K",(VLOOKUP(T106,ma_miengiam!$A$3:$B$80,2,0)*Q106)/2,IF(V106&gt;0,VLOOKUP(T106,ma_miengiam!$A$3:$B$80,2,0)*Q106*V106/12,VLOOKUP(T106,ma_miengiam!$A$3:$B$80,2,0)*Q106))))</f>
        <v>270</v>
      </c>
      <c r="X106" s="220">
        <f>IF(T106="NTS",VLOOKUP(T106,ma_miengiam!$A$3:$B$80,2,0)*R106*V106,IF(AND(T106="NTS",V106=0),0,IF(AND(LEFT(T106,1)="K",V106=0),VLOOKUP(T106,ma_miengiam!$A$3:$B$80,2,0)*R106,IF(LEFT(T106,1)="K",(VLOOKUP(T106,ma_miengiam!$A$3:$B$80,2,0)*R106/12)*V106,IF(AND(LEFT(T106,1)="S",V106&gt;0),(R106/12)*V106,IF(AND(LEFT(T106,1)="S",V106=0),R106,IF(T106="DH",VLOOKUP(T106,ma_miengiam!$A$3:$B$80,2,0)*R106,0)))))))</f>
        <v>100</v>
      </c>
      <c r="Y106" s="220">
        <f t="shared" si="213"/>
        <v>0</v>
      </c>
      <c r="Z106" s="220">
        <f t="shared" si="315"/>
        <v>0</v>
      </c>
      <c r="AA106" s="220">
        <f t="shared" si="312"/>
        <v>270</v>
      </c>
      <c r="AB106" s="220">
        <f t="shared" si="312"/>
        <v>100</v>
      </c>
      <c r="AC106" s="220">
        <f t="shared" si="316"/>
        <v>270</v>
      </c>
      <c r="AD106" s="220">
        <f t="shared" si="316"/>
        <v>100</v>
      </c>
      <c r="AE106" s="220">
        <f t="shared" si="316"/>
        <v>0</v>
      </c>
      <c r="AF106" s="220">
        <f t="shared" si="316"/>
        <v>0</v>
      </c>
      <c r="AG106" s="220">
        <f t="shared" si="309"/>
        <v>169.76</v>
      </c>
      <c r="AH106" s="220">
        <f t="shared" si="310"/>
        <v>158.65</v>
      </c>
      <c r="AI106" s="220">
        <f t="shared" si="311"/>
        <v>11.11</v>
      </c>
      <c r="AJ106" s="220">
        <f t="shared" si="300"/>
        <v>0</v>
      </c>
      <c r="AK106" s="216">
        <f t="shared" si="247"/>
        <v>0</v>
      </c>
      <c r="AL106" s="220">
        <f t="shared" si="248"/>
        <v>0</v>
      </c>
      <c r="AM106" s="220">
        <f t="shared" si="249"/>
        <v>0</v>
      </c>
      <c r="AN106" s="221">
        <f t="shared" si="250"/>
        <v>0</v>
      </c>
      <c r="AO106" s="220">
        <f t="shared" si="251"/>
        <v>0</v>
      </c>
      <c r="AP106" s="220">
        <f t="shared" si="252"/>
        <v>0</v>
      </c>
      <c r="AQ106" s="220">
        <f t="shared" si="253"/>
        <v>0</v>
      </c>
      <c r="AR106" s="220">
        <f t="shared" si="254"/>
        <v>0</v>
      </c>
      <c r="AS106" s="220">
        <f t="shared" si="255"/>
        <v>0</v>
      </c>
      <c r="AT106" s="216">
        <f t="shared" si="256"/>
        <v>0</v>
      </c>
      <c r="AU106" s="222">
        <f t="shared" si="209"/>
        <v>0</v>
      </c>
      <c r="AV106" s="220"/>
      <c r="AW106" s="220">
        <f t="shared" si="183"/>
        <v>0</v>
      </c>
      <c r="AX106" s="216">
        <f t="shared" si="265"/>
        <v>0</v>
      </c>
      <c r="AY106" s="220">
        <f t="shared" si="193"/>
        <v>0</v>
      </c>
      <c r="AZ106" s="220">
        <f t="shared" si="194"/>
        <v>0</v>
      </c>
      <c r="BA106" s="220">
        <f t="shared" si="195"/>
        <v>0</v>
      </c>
      <c r="BB106" s="220">
        <f t="shared" si="196"/>
        <v>0</v>
      </c>
      <c r="BC106" s="220">
        <f t="shared" si="197"/>
        <v>0</v>
      </c>
      <c r="BD106" s="216">
        <f t="shared" si="184"/>
        <v>0</v>
      </c>
      <c r="BE106" s="220">
        <f t="shared" si="185"/>
        <v>0</v>
      </c>
      <c r="BF106" s="220">
        <f t="shared" si="186"/>
        <v>0</v>
      </c>
      <c r="BG106" s="220">
        <f t="shared" si="187"/>
        <v>0</v>
      </c>
      <c r="BH106" s="220">
        <f t="shared" si="188"/>
        <v>0</v>
      </c>
      <c r="BI106" s="220">
        <f t="shared" si="189"/>
        <v>0</v>
      </c>
      <c r="BJ106" s="220" t="s">
        <v>2520</v>
      </c>
      <c r="BK106" s="220"/>
      <c r="BL106" s="223">
        <f t="shared" si="257"/>
        <v>0</v>
      </c>
      <c r="BM106" s="220">
        <v>3</v>
      </c>
      <c r="BN106" s="220"/>
      <c r="BO106" s="220">
        <f t="shared" si="301"/>
        <v>3</v>
      </c>
      <c r="BP106" s="220">
        <f>IF(AND(BL106&gt;0,BL106&lt;tiet!$D$1),BL106,IF(BL106&lt;=0,0,IF(BL106&gt;tiet!$C$1,tiet!$C$1)))</f>
        <v>0</v>
      </c>
      <c r="BQ106" s="87">
        <f t="shared" si="302"/>
        <v>60000</v>
      </c>
      <c r="BR106" s="224">
        <f t="shared" si="303"/>
        <v>0</v>
      </c>
      <c r="BS106" s="220">
        <f t="shared" si="219"/>
        <v>0</v>
      </c>
      <c r="BT106" s="224">
        <f>VLOOKUP(N106,ma_dinhmuc!$A$1:$J$31,10,0)</f>
        <v>51000</v>
      </c>
      <c r="BU106" s="224">
        <f>ROUND(IF(BS106&gt;0,VLOOKUP(N106,ma_dinhmuc!$A$1:$J$31,10,0)*BS106,0),0)</f>
        <v>0</v>
      </c>
      <c r="BV106" s="224">
        <f t="shared" si="304"/>
        <v>0</v>
      </c>
      <c r="BW106" s="224"/>
      <c r="BX106" s="224">
        <v>0</v>
      </c>
      <c r="BY106" s="224"/>
      <c r="BZ106" s="224"/>
      <c r="CA106" s="224"/>
      <c r="CB106" s="224"/>
      <c r="CC106" s="225">
        <f t="shared" si="198"/>
        <v>0</v>
      </c>
      <c r="CD106" s="224">
        <f t="shared" si="199"/>
        <v>0</v>
      </c>
      <c r="CE106" s="224"/>
      <c r="CF106" s="226"/>
      <c r="CG106" s="87"/>
      <c r="CH106" s="87">
        <f t="shared" si="272"/>
        <v>7</v>
      </c>
      <c r="CI106" s="227" t="str">
        <f t="shared" ref="CI106:CI112" si="318">F106</f>
        <v>Nguyễn Ngọc</v>
      </c>
      <c r="CJ106" s="227" t="str">
        <f t="shared" ref="CJ106:CJ112" si="319">G106</f>
        <v>Bằng</v>
      </c>
      <c r="CK106" s="87">
        <f t="shared" ref="CK106:CK112" si="320">H106</f>
        <v>2</v>
      </c>
      <c r="CL106" s="227" t="str">
        <f t="shared" si="307"/>
        <v>Chăn nuôi chuyên khoa</v>
      </c>
      <c r="CM106" s="87" t="str">
        <f t="shared" si="190"/>
        <v>CS2</v>
      </c>
      <c r="CN106" s="87">
        <f t="shared" si="314"/>
        <v>270</v>
      </c>
      <c r="CO106" s="87">
        <f t="shared" si="314"/>
        <v>100</v>
      </c>
      <c r="CP106" s="229">
        <f t="shared" si="223"/>
        <v>0</v>
      </c>
      <c r="CQ106" s="229">
        <f t="shared" si="224"/>
        <v>0</v>
      </c>
      <c r="CR106" s="229">
        <f t="shared" si="225"/>
        <v>0</v>
      </c>
      <c r="CS106" s="229">
        <f t="shared" si="226"/>
        <v>0</v>
      </c>
      <c r="CT106" s="229">
        <f t="shared" si="227"/>
        <v>0</v>
      </c>
      <c r="CU106" s="229">
        <f t="shared" si="228"/>
        <v>0</v>
      </c>
      <c r="CV106" s="229">
        <f t="shared" si="229"/>
        <v>0</v>
      </c>
      <c r="CW106" s="229">
        <f t="shared" si="230"/>
        <v>0</v>
      </c>
      <c r="CX106" s="229">
        <f t="shared" si="231"/>
        <v>0</v>
      </c>
      <c r="CY106" s="229">
        <f t="shared" si="232"/>
        <v>0</v>
      </c>
      <c r="CZ106" s="229">
        <f t="shared" si="233"/>
        <v>0</v>
      </c>
      <c r="DA106" s="229">
        <f t="shared" si="234"/>
        <v>0</v>
      </c>
      <c r="DB106" s="228">
        <f t="shared" si="214"/>
        <v>0</v>
      </c>
      <c r="DC106" s="229"/>
      <c r="DD106" s="229"/>
      <c r="DE106" s="229"/>
      <c r="DF106" s="229"/>
      <c r="DG106" s="229"/>
      <c r="DH106" s="229"/>
      <c r="DI106" s="229"/>
      <c r="DJ106" s="229"/>
      <c r="DK106" s="229"/>
      <c r="DL106" s="229"/>
      <c r="DM106" s="229"/>
      <c r="DN106" s="229"/>
      <c r="DO106" s="228">
        <f t="shared" si="215"/>
        <v>0</v>
      </c>
      <c r="DP106" s="228">
        <f t="shared" si="216"/>
        <v>0</v>
      </c>
      <c r="DQ106" s="229">
        <f t="shared" si="235"/>
        <v>0</v>
      </c>
      <c r="DR106" s="229">
        <f t="shared" si="236"/>
        <v>0</v>
      </c>
      <c r="DS106" s="229">
        <f t="shared" si="237"/>
        <v>0</v>
      </c>
      <c r="DT106" s="229">
        <f t="shared" si="238"/>
        <v>0</v>
      </c>
      <c r="DU106" s="229">
        <f t="shared" si="239"/>
        <v>0</v>
      </c>
      <c r="DV106" s="229">
        <f t="shared" si="240"/>
        <v>0</v>
      </c>
      <c r="DW106" s="229">
        <f t="shared" si="241"/>
        <v>0</v>
      </c>
      <c r="DX106" s="228">
        <f t="shared" si="217"/>
        <v>0</v>
      </c>
      <c r="DY106" s="229"/>
      <c r="DZ106" s="229"/>
      <c r="EA106" s="229"/>
      <c r="EB106" s="229"/>
      <c r="EC106" s="229"/>
      <c r="ED106" s="229"/>
      <c r="EE106" s="229"/>
      <c r="EF106" s="228">
        <f t="shared" si="220"/>
        <v>0</v>
      </c>
      <c r="EG106" s="228">
        <f t="shared" si="218"/>
        <v>0</v>
      </c>
      <c r="EH106" s="229">
        <f t="shared" si="221"/>
        <v>11.11</v>
      </c>
      <c r="EI106" s="229">
        <v>158.65</v>
      </c>
      <c r="EJ106" s="228">
        <f t="shared" si="308"/>
        <v>169.76</v>
      </c>
      <c r="EK106" s="229"/>
      <c r="EL106" s="229"/>
      <c r="EM106" s="228">
        <f t="shared" ref="EM106:EM112" si="321">SUM(EK106:EL106)</f>
        <v>0</v>
      </c>
      <c r="EN106" s="229">
        <f t="shared" si="192"/>
        <v>11.11</v>
      </c>
      <c r="EO106" s="229">
        <f t="shared" si="212"/>
        <v>158.65</v>
      </c>
      <c r="EP106" s="228">
        <f t="shared" ref="EP106:EP112" si="322">EM106+EJ106</f>
        <v>169.76</v>
      </c>
      <c r="EQ106" s="173">
        <f t="shared" si="222"/>
        <v>11.11</v>
      </c>
      <c r="ER106" s="189">
        <v>0</v>
      </c>
      <c r="ES106" s="189">
        <v>0</v>
      </c>
      <c r="ET106" s="189">
        <v>0</v>
      </c>
      <c r="EU106" s="189">
        <v>0</v>
      </c>
      <c r="EV106" s="189">
        <v>0</v>
      </c>
      <c r="EW106" s="189">
        <v>0</v>
      </c>
      <c r="EX106" s="189">
        <v>0</v>
      </c>
      <c r="EY106" s="189">
        <v>0</v>
      </c>
      <c r="EZ106" s="189">
        <v>0</v>
      </c>
      <c r="FA106" s="189">
        <v>0</v>
      </c>
      <c r="FB106" s="189">
        <v>0</v>
      </c>
      <c r="FC106" s="189">
        <v>0</v>
      </c>
      <c r="FD106" s="189">
        <v>0</v>
      </c>
      <c r="FE106" s="189">
        <v>0</v>
      </c>
      <c r="FF106" s="189">
        <v>0</v>
      </c>
      <c r="FG106" s="189">
        <v>0</v>
      </c>
      <c r="FH106" s="189">
        <v>0</v>
      </c>
      <c r="FI106" s="189">
        <v>0</v>
      </c>
      <c r="FJ106" s="189">
        <v>0</v>
      </c>
      <c r="FK106" s="189">
        <v>0</v>
      </c>
      <c r="FL106" s="189">
        <v>0</v>
      </c>
      <c r="FN106" s="132">
        <v>11.11</v>
      </c>
    </row>
    <row r="107" spans="1:170" ht="36.6" customHeight="1">
      <c r="A107" s="88">
        <f>COUNTIF($H$12:H107,H107)</f>
        <v>8</v>
      </c>
      <c r="B107" s="88" t="s">
        <v>258</v>
      </c>
      <c r="C107" s="88" t="s">
        <v>2044</v>
      </c>
      <c r="D107" s="88"/>
      <c r="E107" s="88"/>
      <c r="F107" s="301" t="s">
        <v>665</v>
      </c>
      <c r="G107" s="89" t="s">
        <v>14</v>
      </c>
      <c r="H107" s="88">
        <v>2</v>
      </c>
      <c r="I107" s="88">
        <v>2</v>
      </c>
      <c r="J107" s="88">
        <v>2</v>
      </c>
      <c r="K107" s="90" t="s">
        <v>1137</v>
      </c>
      <c r="L107" s="90" t="s">
        <v>1137</v>
      </c>
      <c r="M107" s="214"/>
      <c r="N107" s="88" t="s">
        <v>1804</v>
      </c>
      <c r="O107" s="216">
        <f>BO107</f>
        <v>3.66</v>
      </c>
      <c r="P107" s="88" t="str">
        <f t="shared" si="299"/>
        <v>B1_4</v>
      </c>
      <c r="Q107" s="88">
        <f t="shared" si="149"/>
        <v>270</v>
      </c>
      <c r="R107" s="88">
        <f t="shared" si="150"/>
        <v>120</v>
      </c>
      <c r="S107" s="230" t="s">
        <v>1426</v>
      </c>
      <c r="T107" s="88" t="s">
        <v>3095</v>
      </c>
      <c r="U107" s="88">
        <f>IF(RIGHT(T107,1)="K",(VLOOKUP(T107,ma_miengiam!$A$3:$B$80,2,0)*100)/2,VLOOKUP(T107,ma_miengiam!$A$3:$B$80,2,0)*100)</f>
        <v>40</v>
      </c>
      <c r="V107" s="88"/>
      <c r="W107" s="220">
        <f>IF(AND(T107="NTS",V107&gt;0),(Q107-(Q107*V107)/12)*VLOOKUP(T107,ma_miengiam!$A$3:$B$80,2,0)+(Q107-(Q107*(12-V107))/12),IF(AND(RIGHT(T107,1)="K",V107&gt;0),(VLOOKUP(T107,ma_miengiam!$A$3:$B$80,2,0)/2)*(Q107*V107)/12,IF(RIGHT(T107,1)="K",(VLOOKUP(T107,ma_miengiam!$A$3:$B$80,2,0)*Q107)/2,IF(V107&gt;0,VLOOKUP(T107,ma_miengiam!$A$3:$B$80,2,0)*Q107*V107/12,VLOOKUP(T107,ma_miengiam!$A$3:$B$80,2,0)*Q107))))</f>
        <v>108</v>
      </c>
      <c r="X107" s="220">
        <f>IF(T107="NTS",VLOOKUP(T107,ma_miengiam!$A$3:$B$80,2,0)*R107*V107,IF(AND(T107="NTS",V107=0),0,IF(AND(LEFT(T107,1)="K",V107=0),VLOOKUP(T107,ma_miengiam!$A$3:$B$80,2,0)*R107,IF(LEFT(T107,1)="K",(VLOOKUP(T107,ma_miengiam!$A$3:$B$80,2,0)*R107/12)*V107,IF(AND(LEFT(T107,1)="S",V107&gt;0),(R107/12)*V107,IF(AND(LEFT(T107,1)="S",V107=0),R107,IF(T107="DH",VLOOKUP(T107,ma_miengiam!$A$3:$B$80,2,0)*R107,0)))))))</f>
        <v>0</v>
      </c>
      <c r="Y107" s="220">
        <f>IF(AND(T107="DH",V107&gt;0),(S107*V107/12),IF(AND(T107&lt;&gt;"NTS",V107&gt;0),(Q107*V107/12)-W107,IF(AND(T107="NTS",V107&gt;0),Q107-W107,Q107-W107)))</f>
        <v>162</v>
      </c>
      <c r="Z107" s="220">
        <f t="shared" si="315"/>
        <v>120</v>
      </c>
      <c r="AA107" s="220">
        <f t="shared" si="312"/>
        <v>270</v>
      </c>
      <c r="AB107" s="220">
        <f t="shared" si="312"/>
        <v>120</v>
      </c>
      <c r="AC107" s="220">
        <f t="shared" ref="AC107:AF108" si="323">W107</f>
        <v>108</v>
      </c>
      <c r="AD107" s="220">
        <f t="shared" si="323"/>
        <v>0</v>
      </c>
      <c r="AE107" s="220">
        <f t="shared" si="323"/>
        <v>162</v>
      </c>
      <c r="AF107" s="220">
        <f t="shared" si="323"/>
        <v>120</v>
      </c>
      <c r="AG107" s="220">
        <f t="shared" si="309"/>
        <v>122.5</v>
      </c>
      <c r="AH107" s="220">
        <f t="shared" si="310"/>
        <v>122.5</v>
      </c>
      <c r="AI107" s="220">
        <f t="shared" si="311"/>
        <v>0</v>
      </c>
      <c r="AJ107" s="220">
        <f t="shared" si="300"/>
        <v>0</v>
      </c>
      <c r="AK107" s="216">
        <f t="shared" si="247"/>
        <v>162</v>
      </c>
      <c r="AL107" s="220">
        <f>SUM(CP107:CX107)+SUM(DC107:DK107)</f>
        <v>684.8</v>
      </c>
      <c r="AM107" s="220">
        <f>SUM(DQ107:DU107)+SUM(DY107:EC107)</f>
        <v>0</v>
      </c>
      <c r="AN107" s="216">
        <f>AM107+AL107</f>
        <v>684.8</v>
      </c>
      <c r="AO107" s="220">
        <f t="shared" ref="AO107:AQ108" si="324">CY107+DL107</f>
        <v>0</v>
      </c>
      <c r="AP107" s="220">
        <f t="shared" si="324"/>
        <v>0</v>
      </c>
      <c r="AQ107" s="220">
        <f t="shared" si="324"/>
        <v>100</v>
      </c>
      <c r="AR107" s="220">
        <f>DV107+ED107</f>
        <v>0</v>
      </c>
      <c r="AS107" s="220">
        <f>DW107+EE107</f>
        <v>0</v>
      </c>
      <c r="AT107" s="216">
        <f>AN107+SUM(AO107:AS107)</f>
        <v>784.8</v>
      </c>
      <c r="AU107" s="220">
        <f>AN107-AK107</f>
        <v>522.79999999999995</v>
      </c>
      <c r="AV107" s="220"/>
      <c r="AW107" s="220">
        <f>IF(AU107&gt;0,AU107,AV107+AU107)</f>
        <v>522.79999999999995</v>
      </c>
      <c r="AX107" s="216">
        <f t="shared" si="265"/>
        <v>0</v>
      </c>
      <c r="AY107" s="220">
        <f>IF(AN107&gt;=AK107,AO107,IF(AN107+AO107-AK107&gt;=0,AN107+AO107-AK107,0))</f>
        <v>0</v>
      </c>
      <c r="AZ107" s="220">
        <f>IF(OR(AN107&gt;=AK107,AN107+AO107&gt;=AK107),AP107,IF(AN107+AO107+AP107&gt;AK107,AN107+AO107+AP107-AK107,0))</f>
        <v>0</v>
      </c>
      <c r="BA107" s="220">
        <f>IF(OR(AN107&gt;=AK107,AN107+AO107&gt;=AK107,AN107+AO107+AP107&gt;=AK107),AQ107,IF(AN107+AO107+AP107+AQ107&gt;=AK107,AN107+AO107+AP107+AQ107-AK107,0))</f>
        <v>100</v>
      </c>
      <c r="BB107" s="220">
        <f>IF(OR(AN107&gt;=AK107,AN107+AO107&gt;=AK107,AN107+AO107+AP107&gt;=AK107,AN107+AO107+AP107+AQ107&gt;=AK107),AR107,IF(AN107+AO107+AP107+AQ107+AR107&gt;=AK107,AN107+AO107+AP107+AQ107+AR107-AK107,0))</f>
        <v>0</v>
      </c>
      <c r="BC107" s="220">
        <f>IF(OR(AN107&gt;=AK107,AN107+AO107&gt;=AK107,AN107+AO107+AP107&gt;=AK107,AN107+AO107+AP107+AQ107&gt;=AK107,AN107+AO107+AP107+AQ107+AR107&gt;=AK107),AS107,IF(AN107+AO107+AP107+AQ107+AR107+AS107&gt;=AK107,AN107+AO107+AP107+AQ107+AR107+AS107-AK107,0))</f>
        <v>0</v>
      </c>
      <c r="BD107" s="216">
        <f t="shared" si="184"/>
        <v>100</v>
      </c>
      <c r="BE107" s="220">
        <f t="shared" ref="BE107:BI108" si="325">AY107-AO107</f>
        <v>0</v>
      </c>
      <c r="BF107" s="220">
        <f t="shared" si="325"/>
        <v>0</v>
      </c>
      <c r="BG107" s="220">
        <f t="shared" si="325"/>
        <v>0</v>
      </c>
      <c r="BH107" s="220">
        <f t="shared" si="325"/>
        <v>0</v>
      </c>
      <c r="BI107" s="220">
        <f t="shared" si="325"/>
        <v>0</v>
      </c>
      <c r="BJ107" s="220" t="s">
        <v>2520</v>
      </c>
      <c r="BK107" s="220"/>
      <c r="BL107" s="223">
        <f t="shared" si="257"/>
        <v>522.79999999999995</v>
      </c>
      <c r="BM107" s="220">
        <v>3.66</v>
      </c>
      <c r="BN107" s="220"/>
      <c r="BO107" s="220">
        <f>ROUND(BM107+(BM107*BN107),2)</f>
        <v>3.66</v>
      </c>
      <c r="BP107" s="220">
        <f>IF(AND(BL107&gt;0,BL107&lt;tiet!$D$1),BL107,IF(BL107&lt;=0,0,IF(BL107&gt;tiet!$C$1,tiet!$C$1)))</f>
        <v>200</v>
      </c>
      <c r="BQ107" s="87">
        <f t="shared" si="302"/>
        <v>65000</v>
      </c>
      <c r="BR107" s="224">
        <f t="shared" si="303"/>
        <v>13000000</v>
      </c>
      <c r="BS107" s="220">
        <f t="shared" si="219"/>
        <v>322.79999999999995</v>
      </c>
      <c r="BT107" s="224">
        <f>VLOOKUP(N107,ma_dinhmuc!$A$1:$J$31,10,0)</f>
        <v>51000</v>
      </c>
      <c r="BU107" s="224">
        <f>ROUND(IF(BS107&gt;0,VLOOKUP(N107,ma_dinhmuc!$A$1:$J$31,10,0)*BS107,0),0)</f>
        <v>16462800</v>
      </c>
      <c r="BV107" s="224">
        <f t="shared" si="304"/>
        <v>29462800</v>
      </c>
      <c r="BW107" s="224"/>
      <c r="BX107" s="224">
        <v>0</v>
      </c>
      <c r="BY107" s="224"/>
      <c r="BZ107" s="224"/>
      <c r="CA107" s="224"/>
      <c r="CB107" s="224"/>
      <c r="CC107" s="225">
        <f>ROUND(IF(BV107+BW107&gt;BX107+BY107+BZ107+CA107+CB107,(BW107+BV107)-(BX107+BY107+BZ107+CA107+CB107+CB107),0),0)</f>
        <v>29462800</v>
      </c>
      <c r="CD107" s="224">
        <f>ROUND(IF(BV107+BW107&lt;BX107+BY107+BZ107+CA107-CB107,(BX107+BY107+BZ107+CA107-CB107)-(BW107+BV107),0),0)</f>
        <v>0</v>
      </c>
      <c r="CE107" s="224"/>
      <c r="CF107" s="226"/>
      <c r="CG107" s="87"/>
      <c r="CH107" s="87">
        <f>A107</f>
        <v>8</v>
      </c>
      <c r="CI107" s="227" t="str">
        <f t="shared" ref="CI107:CK108" si="326">F107</f>
        <v>Nguyễn Hùng</v>
      </c>
      <c r="CJ107" s="227" t="str">
        <f t="shared" si="326"/>
        <v>Sơn</v>
      </c>
      <c r="CK107" s="87">
        <f t="shared" si="326"/>
        <v>2</v>
      </c>
      <c r="CL107" s="227" t="str">
        <f>L107</f>
        <v>Chăn nuôi chuyên khoa</v>
      </c>
      <c r="CM107" s="87" t="str">
        <f>N107</f>
        <v>CS2</v>
      </c>
      <c r="CN107" s="87">
        <f t="shared" si="314"/>
        <v>270</v>
      </c>
      <c r="CO107" s="87">
        <f t="shared" si="314"/>
        <v>120</v>
      </c>
      <c r="CP107" s="229">
        <f t="shared" si="223"/>
        <v>0</v>
      </c>
      <c r="CQ107" s="229">
        <f t="shared" si="224"/>
        <v>33.6</v>
      </c>
      <c r="CR107" s="229">
        <f t="shared" si="225"/>
        <v>13.5</v>
      </c>
      <c r="CS107" s="229">
        <f t="shared" si="226"/>
        <v>202.2</v>
      </c>
      <c r="CT107" s="229">
        <f t="shared" si="227"/>
        <v>0</v>
      </c>
      <c r="CU107" s="229">
        <f t="shared" si="228"/>
        <v>122</v>
      </c>
      <c r="CV107" s="229">
        <f t="shared" si="229"/>
        <v>0</v>
      </c>
      <c r="CW107" s="229">
        <f t="shared" si="230"/>
        <v>313.5</v>
      </c>
      <c r="CX107" s="229">
        <f t="shared" si="231"/>
        <v>0</v>
      </c>
      <c r="CY107" s="229">
        <f t="shared" si="232"/>
        <v>0</v>
      </c>
      <c r="CZ107" s="229">
        <f t="shared" si="233"/>
        <v>0</v>
      </c>
      <c r="DA107" s="229">
        <f t="shared" si="234"/>
        <v>100</v>
      </c>
      <c r="DB107" s="228">
        <f>SUM(CP107:DA107)</f>
        <v>784.8</v>
      </c>
      <c r="DC107" s="229"/>
      <c r="DD107" s="229"/>
      <c r="DE107" s="229"/>
      <c r="DF107" s="229"/>
      <c r="DG107" s="229"/>
      <c r="DH107" s="229"/>
      <c r="DI107" s="229"/>
      <c r="DJ107" s="229"/>
      <c r="DK107" s="229"/>
      <c r="DL107" s="229"/>
      <c r="DM107" s="229"/>
      <c r="DN107" s="229"/>
      <c r="DO107" s="228">
        <f>SUM(DC107:DN107)</f>
        <v>0</v>
      </c>
      <c r="DP107" s="228">
        <f>DO107+DB107</f>
        <v>784.8</v>
      </c>
      <c r="DQ107" s="229">
        <f t="shared" si="235"/>
        <v>0</v>
      </c>
      <c r="DR107" s="229">
        <f t="shared" si="236"/>
        <v>0</v>
      </c>
      <c r="DS107" s="229">
        <f t="shared" si="237"/>
        <v>0</v>
      </c>
      <c r="DT107" s="229">
        <f t="shared" si="238"/>
        <v>0</v>
      </c>
      <c r="DU107" s="229">
        <f t="shared" si="239"/>
        <v>0</v>
      </c>
      <c r="DV107" s="229">
        <f t="shared" si="240"/>
        <v>0</v>
      </c>
      <c r="DW107" s="229">
        <f t="shared" si="241"/>
        <v>0</v>
      </c>
      <c r="DX107" s="228">
        <f>SUM(DQ107:DW107)</f>
        <v>0</v>
      </c>
      <c r="DY107" s="229"/>
      <c r="DZ107" s="229"/>
      <c r="EA107" s="229"/>
      <c r="EB107" s="229"/>
      <c r="EC107" s="229"/>
      <c r="ED107" s="229"/>
      <c r="EE107" s="229"/>
      <c r="EF107" s="228">
        <f t="shared" si="220"/>
        <v>0</v>
      </c>
      <c r="EG107" s="228">
        <f>EF107+DX107</f>
        <v>0</v>
      </c>
      <c r="EH107" s="229">
        <f t="shared" si="221"/>
        <v>0</v>
      </c>
      <c r="EI107" s="229">
        <v>122.5</v>
      </c>
      <c r="EJ107" s="228">
        <f t="shared" si="308"/>
        <v>122.5</v>
      </c>
      <c r="EK107" s="229"/>
      <c r="EL107" s="229"/>
      <c r="EM107" s="228">
        <f>SUM(EK107:EL107)</f>
        <v>0</v>
      </c>
      <c r="EN107" s="229">
        <f>EK107+EH107+EL107</f>
        <v>0</v>
      </c>
      <c r="EO107" s="229">
        <f>EI107</f>
        <v>122.5</v>
      </c>
      <c r="EP107" s="228">
        <f>EM107+EJ107</f>
        <v>122.5</v>
      </c>
      <c r="EQ107" s="173">
        <f t="shared" si="222"/>
        <v>0</v>
      </c>
      <c r="ER107" s="189">
        <v>0</v>
      </c>
      <c r="ES107" s="189">
        <v>33.6</v>
      </c>
      <c r="ET107" s="189">
        <v>13.5</v>
      </c>
      <c r="EU107" s="189">
        <v>202.2</v>
      </c>
      <c r="EV107" s="189">
        <v>0</v>
      </c>
      <c r="EW107" s="189">
        <v>122</v>
      </c>
      <c r="EX107" s="189">
        <v>0</v>
      </c>
      <c r="EY107" s="189">
        <v>313.5</v>
      </c>
      <c r="EZ107" s="189">
        <v>0</v>
      </c>
      <c r="FA107" s="189">
        <v>0</v>
      </c>
      <c r="FB107" s="189">
        <v>0</v>
      </c>
      <c r="FC107" s="189">
        <v>100</v>
      </c>
      <c r="FD107" s="189">
        <v>0</v>
      </c>
      <c r="FE107" s="189">
        <v>0</v>
      </c>
      <c r="FF107" s="189">
        <v>0</v>
      </c>
      <c r="FG107" s="189">
        <v>0</v>
      </c>
      <c r="FH107" s="189">
        <v>0</v>
      </c>
      <c r="FI107" s="189">
        <v>0</v>
      </c>
      <c r="FJ107" s="189">
        <v>0</v>
      </c>
      <c r="FK107" s="189">
        <v>784.8</v>
      </c>
      <c r="FL107" s="189">
        <v>684.2</v>
      </c>
      <c r="FN107" s="132">
        <v>0</v>
      </c>
    </row>
    <row r="108" spans="1:170" ht="30" customHeight="1">
      <c r="A108" s="88">
        <f>COUNTIF($H$12:H108,H108)</f>
        <v>9</v>
      </c>
      <c r="B108" s="88" t="s">
        <v>1974</v>
      </c>
      <c r="C108" s="88" t="s">
        <v>2131</v>
      </c>
      <c r="D108" s="88"/>
      <c r="E108" s="88"/>
      <c r="F108" s="301" t="s">
        <v>21</v>
      </c>
      <c r="G108" s="89" t="s">
        <v>2878</v>
      </c>
      <c r="H108" s="88">
        <v>2</v>
      </c>
      <c r="I108" s="88">
        <v>2</v>
      </c>
      <c r="J108" s="88">
        <v>2</v>
      </c>
      <c r="K108" s="90" t="s">
        <v>1137</v>
      </c>
      <c r="L108" s="90" t="s">
        <v>1137</v>
      </c>
      <c r="M108" s="214"/>
      <c r="N108" s="88" t="s">
        <v>605</v>
      </c>
      <c r="O108" s="216">
        <f>BO108</f>
        <v>7.28</v>
      </c>
      <c r="P108" s="88" t="str">
        <f t="shared" si="299"/>
        <v>B1_8</v>
      </c>
      <c r="Q108" s="88">
        <f t="shared" si="149"/>
        <v>270</v>
      </c>
      <c r="R108" s="88">
        <f t="shared" si="150"/>
        <v>280</v>
      </c>
      <c r="S108" s="231" t="s">
        <v>2525</v>
      </c>
      <c r="T108" s="88" t="s">
        <v>3090</v>
      </c>
      <c r="U108" s="88">
        <f>IF(RIGHT(T108,1)="K",(VLOOKUP(T108,ma_miengiam!$A$3:$B$80,2,0)*100)/2,VLOOKUP(T108,ma_miengiam!$A$3:$B$80,2,0)*100)</f>
        <v>15</v>
      </c>
      <c r="V108" s="88"/>
      <c r="W108" s="220">
        <f>IF(AND(T108="NTS",V108&gt;0),(Q108-(Q108*V108)/12)*VLOOKUP(T108,ma_miengiam!$A$3:$B$80,2,0)+(Q108-(Q108*(12-V108))/12),IF(AND(RIGHT(T108,1)="K",V108&gt;0),(VLOOKUP(T108,ma_miengiam!$A$3:$B$80,2,0)/2)*(Q108*V108)/12,IF(RIGHT(T108,1)="K",(VLOOKUP(T108,ma_miengiam!$A$3:$B$80,2,0)*Q108)/2,IF(V108&gt;0,VLOOKUP(T108,ma_miengiam!$A$3:$B$80,2,0)*Q108*V108/12,VLOOKUP(T108,ma_miengiam!$A$3:$B$80,2,0)*Q108))))</f>
        <v>40.5</v>
      </c>
      <c r="X108" s="220">
        <f>IF(T108="NTS",VLOOKUP(T108,ma_miengiam!$A$3:$B$80,2,0)*R108*V108,IF(AND(T108="NTS",V108=0),0,IF(AND(LEFT(T108,1)="K",V108=0),VLOOKUP(T108,ma_miengiam!$A$3:$B$80,2,0)*R108,IF(LEFT(T108,1)="K",(VLOOKUP(T108,ma_miengiam!$A$3:$B$80,2,0)*R108/12)*V108,IF(AND(LEFT(T108,1)="S",V108&gt;0),(R108/12)*V108,IF(AND(LEFT(T108,1)="S",V108=0),R108,IF(T108="DH",VLOOKUP(T108,ma_miengiam!$A$3:$B$80,2,0)*R108,0)))))))</f>
        <v>0</v>
      </c>
      <c r="Y108" s="220">
        <f>IF(AND(T108="DH",V108&gt;0),(S108*V108/12),IF(AND(T108&lt;&gt;"NTS",V108&gt;0),(Q108*V108/12)-W108,IF(AND(T108="NTS",V108&gt;0),Q108-W108,Q108-W108)))</f>
        <v>229.5</v>
      </c>
      <c r="Z108" s="220">
        <f t="shared" si="315"/>
        <v>280</v>
      </c>
      <c r="AA108" s="220">
        <f t="shared" ref="AA108:AB112" si="327">Q108</f>
        <v>270</v>
      </c>
      <c r="AB108" s="220">
        <f t="shared" si="327"/>
        <v>280</v>
      </c>
      <c r="AC108" s="220">
        <f t="shared" si="323"/>
        <v>40.5</v>
      </c>
      <c r="AD108" s="220">
        <f t="shared" si="323"/>
        <v>0</v>
      </c>
      <c r="AE108" s="220">
        <f t="shared" si="323"/>
        <v>229.5</v>
      </c>
      <c r="AF108" s="220">
        <f t="shared" si="323"/>
        <v>280</v>
      </c>
      <c r="AG108" s="220">
        <f t="shared" si="309"/>
        <v>407.32</v>
      </c>
      <c r="AH108" s="220">
        <f t="shared" si="310"/>
        <v>114.64</v>
      </c>
      <c r="AI108" s="220">
        <f t="shared" si="311"/>
        <v>292.68</v>
      </c>
      <c r="AJ108" s="220">
        <f t="shared" ref="AJ108:AJ114" si="328">IF(AG108-Z108&gt;0,0,AG108-Z108)</f>
        <v>0</v>
      </c>
      <c r="AK108" s="216">
        <f t="shared" si="247"/>
        <v>229.5</v>
      </c>
      <c r="AL108" s="220">
        <f>SUM(CP108:CX108)+SUM(DC108:DK108)</f>
        <v>694.2</v>
      </c>
      <c r="AM108" s="220">
        <f>SUM(DQ108:DU108)+SUM(DY108:EC108)</f>
        <v>18.7</v>
      </c>
      <c r="AN108" s="221">
        <f>AM108+AL108</f>
        <v>712.90000000000009</v>
      </c>
      <c r="AO108" s="220">
        <f t="shared" si="324"/>
        <v>0</v>
      </c>
      <c r="AP108" s="220">
        <f t="shared" si="324"/>
        <v>0</v>
      </c>
      <c r="AQ108" s="220">
        <f t="shared" si="324"/>
        <v>140</v>
      </c>
      <c r="AR108" s="220">
        <f>DV108+ED108</f>
        <v>40</v>
      </c>
      <c r="AS108" s="220">
        <f>DW108+EE108</f>
        <v>0</v>
      </c>
      <c r="AT108" s="216">
        <f>AN108+SUM(AO108:AS108)</f>
        <v>892.90000000000009</v>
      </c>
      <c r="AU108" s="222">
        <f>AN108-AK108</f>
        <v>483.40000000000009</v>
      </c>
      <c r="AV108" s="220"/>
      <c r="AW108" s="220">
        <f>IF(AU108&gt;0,AU108,AV108+AU108)</f>
        <v>483.40000000000009</v>
      </c>
      <c r="AX108" s="216">
        <f t="shared" si="265"/>
        <v>0</v>
      </c>
      <c r="AY108" s="220">
        <f>IF(AN108&gt;=AK108,AO108,IF(AN108+AO108-AK108&gt;=0,AN108+AO108-AK108,0))</f>
        <v>0</v>
      </c>
      <c r="AZ108" s="220">
        <f>IF(OR(AN108&gt;=AK108,AN108+AO108&gt;=AK108),AP108,IF(AN108+AO108+AP108&gt;AK108,AN108+AO108+AP108-AK108,0))</f>
        <v>0</v>
      </c>
      <c r="BA108" s="220">
        <f>IF(OR(AN108&gt;=AK108,AN108+AO108&gt;=AK108,AN108+AO108+AP108&gt;=AK108),AQ108,IF(AN108+AO108+AP108+AQ108&gt;=AK108,AN108+AO108+AP108+AQ108-AK108,0))</f>
        <v>140</v>
      </c>
      <c r="BB108" s="220">
        <f>IF(OR(AN108&gt;=AK108,AN108+AO108&gt;=AK108,AN108+AO108+AP108&gt;=AK108,AN108+AO108+AP108+AQ108&gt;=AK108),AR108,IF(AN108+AO108+AP108+AQ108+AR108&gt;=AK108,AN108+AO108+AP108+AQ108+AR108-AK108,0))</f>
        <v>40</v>
      </c>
      <c r="BC108" s="220">
        <f>IF(OR(AN108&gt;=AK108,AN108+AO108&gt;=AK108,AN108+AO108+AP108&gt;=AK108,AN108+AO108+AP108+AQ108&gt;=AK108,AN108+AO108+AP108+AQ108+AR108&gt;=AK108),AS108,IF(AN108+AO108+AP108+AQ108+AR108+AS108&gt;=AK108,AN108+AO108+AP108+AQ108+AR108+AS108-AK108,0))</f>
        <v>0</v>
      </c>
      <c r="BD108" s="216">
        <f t="shared" si="184"/>
        <v>180</v>
      </c>
      <c r="BE108" s="220">
        <f t="shared" si="325"/>
        <v>0</v>
      </c>
      <c r="BF108" s="220">
        <f t="shared" si="325"/>
        <v>0</v>
      </c>
      <c r="BG108" s="220">
        <f t="shared" si="325"/>
        <v>0</v>
      </c>
      <c r="BH108" s="220">
        <f t="shared" si="325"/>
        <v>0</v>
      </c>
      <c r="BI108" s="220">
        <f t="shared" si="325"/>
        <v>0</v>
      </c>
      <c r="BJ108" s="220" t="s">
        <v>1031</v>
      </c>
      <c r="BK108" s="220"/>
      <c r="BL108" s="223">
        <f t="shared" si="257"/>
        <v>483.40000000000009</v>
      </c>
      <c r="BM108" s="220">
        <v>7.28</v>
      </c>
      <c r="BN108" s="220"/>
      <c r="BO108" s="220">
        <f>ROUND(BM108+(BM108*BN108),2)</f>
        <v>7.28</v>
      </c>
      <c r="BP108" s="220">
        <f>IF(AND(BL108&gt;0,BL108&lt;tiet!$D$1),BL108,IF(BL108&lt;=0,0,IF(BL108&gt;tiet!$C$1,tiet!$C$1)))</f>
        <v>200</v>
      </c>
      <c r="BQ108" s="87">
        <f t="shared" si="302"/>
        <v>85000</v>
      </c>
      <c r="BR108" s="224">
        <f t="shared" si="303"/>
        <v>17000000</v>
      </c>
      <c r="BS108" s="220">
        <f t="shared" si="219"/>
        <v>283.40000000000009</v>
      </c>
      <c r="BT108" s="224">
        <f>VLOOKUP(N108,ma_dinhmuc!$A$1:$J$31,10,0)</f>
        <v>65000</v>
      </c>
      <c r="BU108" s="224">
        <f>ROUND(IF(BS108&gt;0,VLOOKUP(N108,ma_dinhmuc!$A$1:$J$31,10,0)*BS108,0),0)</f>
        <v>18421000</v>
      </c>
      <c r="BV108" s="224">
        <f t="shared" si="304"/>
        <v>35421000</v>
      </c>
      <c r="BW108" s="224"/>
      <c r="BX108" s="224">
        <v>0</v>
      </c>
      <c r="BY108" s="224"/>
      <c r="BZ108" s="224"/>
      <c r="CA108" s="224"/>
      <c r="CB108" s="224"/>
      <c r="CC108" s="225">
        <f>ROUND(IF(BV108+BW108&gt;BX108+BY108+BZ108+CA108+CB108,(BW108+BV108)-(BX108+BY108+BZ108+CA108+CB108+CB108),0),0)</f>
        <v>35421000</v>
      </c>
      <c r="CD108" s="224">
        <f>ROUND(IF(BV108+BW108&lt;BX108+BY108+BZ108+CA108-CB108,(BX108+BY108+BZ108+CA108-CB108)-(BW108+BV108),0),0)</f>
        <v>0</v>
      </c>
      <c r="CE108" s="224"/>
      <c r="CF108" s="226"/>
      <c r="CG108" s="87"/>
      <c r="CH108" s="87">
        <f>A108</f>
        <v>9</v>
      </c>
      <c r="CI108" s="227" t="str">
        <f t="shared" si="326"/>
        <v>Vũ Đình</v>
      </c>
      <c r="CJ108" s="227" t="str">
        <f t="shared" si="326"/>
        <v>Tôn</v>
      </c>
      <c r="CK108" s="87">
        <f t="shared" si="326"/>
        <v>2</v>
      </c>
      <c r="CL108" s="227" t="str">
        <f>L108</f>
        <v>Chăn nuôi chuyên khoa</v>
      </c>
      <c r="CM108" s="87" t="str">
        <f>N108</f>
        <v>CS4</v>
      </c>
      <c r="CN108" s="87">
        <f t="shared" si="314"/>
        <v>270</v>
      </c>
      <c r="CO108" s="87">
        <f t="shared" si="314"/>
        <v>280</v>
      </c>
      <c r="CP108" s="229">
        <f t="shared" si="223"/>
        <v>0</v>
      </c>
      <c r="CQ108" s="229">
        <f t="shared" si="224"/>
        <v>57.1</v>
      </c>
      <c r="CR108" s="229">
        <f t="shared" si="225"/>
        <v>23.1</v>
      </c>
      <c r="CS108" s="229">
        <f t="shared" si="226"/>
        <v>202.2</v>
      </c>
      <c r="CT108" s="229">
        <f t="shared" si="227"/>
        <v>0</v>
      </c>
      <c r="CU108" s="229">
        <f t="shared" si="228"/>
        <v>186.8</v>
      </c>
      <c r="CV108" s="229">
        <f t="shared" si="229"/>
        <v>0</v>
      </c>
      <c r="CW108" s="229">
        <f t="shared" si="230"/>
        <v>225</v>
      </c>
      <c r="CX108" s="229">
        <f t="shared" si="231"/>
        <v>0</v>
      </c>
      <c r="CY108" s="229">
        <f t="shared" si="232"/>
        <v>0</v>
      </c>
      <c r="CZ108" s="229">
        <f t="shared" si="233"/>
        <v>0</v>
      </c>
      <c r="DA108" s="229">
        <f t="shared" si="234"/>
        <v>140</v>
      </c>
      <c r="DB108" s="228">
        <f>SUM(CP108:DA108)</f>
        <v>834.2</v>
      </c>
      <c r="DC108" s="229"/>
      <c r="DD108" s="229"/>
      <c r="DE108" s="229"/>
      <c r="DF108" s="229"/>
      <c r="DG108" s="229"/>
      <c r="DH108" s="229"/>
      <c r="DI108" s="229"/>
      <c r="DJ108" s="229"/>
      <c r="DK108" s="229"/>
      <c r="DL108" s="229"/>
      <c r="DM108" s="229"/>
      <c r="DN108" s="229"/>
      <c r="DO108" s="228">
        <f>SUM(DC108:DN108)</f>
        <v>0</v>
      </c>
      <c r="DP108" s="228">
        <f>DO108+DB108</f>
        <v>834.2</v>
      </c>
      <c r="DQ108" s="229">
        <f t="shared" si="235"/>
        <v>18</v>
      </c>
      <c r="DR108" s="229">
        <f t="shared" si="236"/>
        <v>0.5</v>
      </c>
      <c r="DS108" s="229">
        <f t="shared" si="237"/>
        <v>0</v>
      </c>
      <c r="DT108" s="229">
        <f t="shared" si="238"/>
        <v>0.2</v>
      </c>
      <c r="DU108" s="229">
        <f t="shared" si="239"/>
        <v>0</v>
      </c>
      <c r="DV108" s="229">
        <f t="shared" si="240"/>
        <v>40</v>
      </c>
      <c r="DW108" s="229">
        <f t="shared" si="241"/>
        <v>0</v>
      </c>
      <c r="DX108" s="228">
        <f>SUM(DQ108:DW108)</f>
        <v>58.7</v>
      </c>
      <c r="DY108" s="229"/>
      <c r="DZ108" s="229"/>
      <c r="EA108" s="229"/>
      <c r="EB108" s="229"/>
      <c r="EC108" s="229"/>
      <c r="ED108" s="229"/>
      <c r="EE108" s="229"/>
      <c r="EF108" s="228">
        <f t="shared" si="220"/>
        <v>0</v>
      </c>
      <c r="EG108" s="228">
        <f>EF108+DX108</f>
        <v>58.7</v>
      </c>
      <c r="EH108" s="229">
        <f t="shared" si="221"/>
        <v>292.68</v>
      </c>
      <c r="EI108" s="229">
        <v>114.64</v>
      </c>
      <c r="EJ108" s="228">
        <f t="shared" si="308"/>
        <v>407.32</v>
      </c>
      <c r="EK108" s="229"/>
      <c r="EL108" s="229"/>
      <c r="EM108" s="228">
        <f>SUM(EK108:EL108)</f>
        <v>0</v>
      </c>
      <c r="EN108" s="229">
        <f>EK108+EH108+EL108</f>
        <v>292.68</v>
      </c>
      <c r="EO108" s="229">
        <f>EI108</f>
        <v>114.64</v>
      </c>
      <c r="EP108" s="228">
        <f>EM108+EJ108</f>
        <v>407.32</v>
      </c>
      <c r="EQ108" s="173">
        <f t="shared" si="222"/>
        <v>12.680000000000007</v>
      </c>
      <c r="ER108" s="189">
        <v>0</v>
      </c>
      <c r="ES108" s="189">
        <v>57.1</v>
      </c>
      <c r="ET108" s="189">
        <v>23.1</v>
      </c>
      <c r="EU108" s="189">
        <v>202.2</v>
      </c>
      <c r="EV108" s="189">
        <v>0</v>
      </c>
      <c r="EW108" s="189">
        <v>186.8</v>
      </c>
      <c r="EX108" s="189">
        <v>0</v>
      </c>
      <c r="EY108" s="189">
        <v>225</v>
      </c>
      <c r="EZ108" s="189">
        <v>0</v>
      </c>
      <c r="FA108" s="189">
        <v>0</v>
      </c>
      <c r="FB108" s="189">
        <v>0</v>
      </c>
      <c r="FC108" s="189">
        <v>140</v>
      </c>
      <c r="FD108" s="189">
        <v>18</v>
      </c>
      <c r="FE108" s="189">
        <v>0.5</v>
      </c>
      <c r="FF108" s="189">
        <v>0</v>
      </c>
      <c r="FG108" s="189">
        <v>0.2</v>
      </c>
      <c r="FH108" s="189">
        <v>40</v>
      </c>
      <c r="FI108" s="189">
        <v>0</v>
      </c>
      <c r="FJ108" s="189">
        <v>0</v>
      </c>
      <c r="FK108" s="189">
        <v>892.9</v>
      </c>
      <c r="FL108" s="189">
        <v>775.2</v>
      </c>
      <c r="FN108" s="132">
        <v>292.68</v>
      </c>
    </row>
    <row r="109" spans="1:170" ht="30" customHeight="1">
      <c r="A109" s="88">
        <f>COUNTIF($H$12:H109,H109)</f>
        <v>10</v>
      </c>
      <c r="B109" s="88" t="s">
        <v>1975</v>
      </c>
      <c r="C109" s="88" t="s">
        <v>2132</v>
      </c>
      <c r="D109" s="88"/>
      <c r="E109" s="88"/>
      <c r="F109" s="301" t="s">
        <v>2881</v>
      </c>
      <c r="G109" s="89" t="s">
        <v>1909</v>
      </c>
      <c r="H109" s="88">
        <v>2</v>
      </c>
      <c r="I109" s="88">
        <v>2</v>
      </c>
      <c r="J109" s="88">
        <v>2</v>
      </c>
      <c r="K109" s="90" t="s">
        <v>1137</v>
      </c>
      <c r="L109" s="90" t="s">
        <v>1137</v>
      </c>
      <c r="M109" s="214"/>
      <c r="N109" s="88" t="s">
        <v>1804</v>
      </c>
      <c r="O109" s="216">
        <f t="shared" si="317"/>
        <v>3.33</v>
      </c>
      <c r="P109" s="88" t="str">
        <f t="shared" si="299"/>
        <v>B1_4</v>
      </c>
      <c r="Q109" s="88">
        <f t="shared" si="149"/>
        <v>270</v>
      </c>
      <c r="R109" s="88">
        <f t="shared" si="150"/>
        <v>120</v>
      </c>
      <c r="S109" s="218" t="s">
        <v>1343</v>
      </c>
      <c r="T109" s="214" t="s">
        <v>2961</v>
      </c>
      <c r="U109" s="88">
        <f>IF(RIGHT(T109,1)="K",(VLOOKUP(T109,ma_miengiam!$A$3:$B$80,2,0)*100)/2,VLOOKUP(T109,ma_miengiam!$A$3:$B$80,2,0)*100)</f>
        <v>100</v>
      </c>
      <c r="V109" s="88"/>
      <c r="W109" s="220">
        <f>IF(AND(T109="NTS",V109&gt;0),(Q109-(Q109*V109)/12)*VLOOKUP(T109,ma_miengiam!$A$3:$B$80,2,0)+(Q109-(Q109*(12-V109))/12),IF(AND(RIGHT(T109,1)="K",V109&gt;0),(VLOOKUP(T109,ma_miengiam!$A$3:$B$80,2,0)/2)*(Q109*V109)/12,IF(RIGHT(T109,1)="K",(VLOOKUP(T109,ma_miengiam!$A$3:$B$80,2,0)*Q109)/2,IF(V109&gt;0,VLOOKUP(T109,ma_miengiam!$A$3:$B$80,2,0)*Q109*V109/12,VLOOKUP(T109,ma_miengiam!$A$3:$B$80,2,0)*Q109))))</f>
        <v>270</v>
      </c>
      <c r="X109" s="220">
        <f>IF(T109="NTS",VLOOKUP(T109,ma_miengiam!$A$3:$B$80,2,0)*R109*V109,IF(AND(T109="NTS",V109=0),0,IF(AND(LEFT(T109,1)="K",V109=0),VLOOKUP(T109,ma_miengiam!$A$3:$B$80,2,0)*R109,IF(LEFT(T109,1)="K",(VLOOKUP(T109,ma_miengiam!$A$3:$B$80,2,0)*R109/12)*V109,IF(AND(LEFT(T109,1)="S",V109&gt;0),(R109/12)*V109,IF(AND(LEFT(T109,1)="S",V109=0),R109,IF(T109="DH",VLOOKUP(T109,ma_miengiam!$A$3:$B$80,2,0)*R109,0)))))))</f>
        <v>120</v>
      </c>
      <c r="Y109" s="220">
        <f t="shared" si="213"/>
        <v>0</v>
      </c>
      <c r="Z109" s="220">
        <f t="shared" si="315"/>
        <v>0</v>
      </c>
      <c r="AA109" s="220">
        <f t="shared" si="327"/>
        <v>270</v>
      </c>
      <c r="AB109" s="220">
        <f t="shared" si="327"/>
        <v>120</v>
      </c>
      <c r="AC109" s="220">
        <f t="shared" ref="AC109:AF112" si="329">W109</f>
        <v>270</v>
      </c>
      <c r="AD109" s="220">
        <f t="shared" si="329"/>
        <v>120</v>
      </c>
      <c r="AE109" s="220">
        <f t="shared" si="329"/>
        <v>0</v>
      </c>
      <c r="AF109" s="220">
        <f t="shared" si="329"/>
        <v>0</v>
      </c>
      <c r="AG109" s="220">
        <f t="shared" si="309"/>
        <v>140.94</v>
      </c>
      <c r="AH109" s="220">
        <f t="shared" si="310"/>
        <v>140.94</v>
      </c>
      <c r="AI109" s="220">
        <f t="shared" si="311"/>
        <v>0</v>
      </c>
      <c r="AJ109" s="220">
        <f t="shared" si="328"/>
        <v>0</v>
      </c>
      <c r="AK109" s="216">
        <f t="shared" si="247"/>
        <v>0</v>
      </c>
      <c r="AL109" s="220">
        <f t="shared" si="248"/>
        <v>0</v>
      </c>
      <c r="AM109" s="220">
        <f t="shared" si="249"/>
        <v>0</v>
      </c>
      <c r="AN109" s="221">
        <f t="shared" si="250"/>
        <v>0</v>
      </c>
      <c r="AO109" s="220">
        <f t="shared" si="251"/>
        <v>0</v>
      </c>
      <c r="AP109" s="220">
        <f t="shared" si="252"/>
        <v>0</v>
      </c>
      <c r="AQ109" s="220">
        <f t="shared" si="253"/>
        <v>0</v>
      </c>
      <c r="AR109" s="220">
        <f t="shared" si="254"/>
        <v>0</v>
      </c>
      <c r="AS109" s="220">
        <f t="shared" si="255"/>
        <v>0</v>
      </c>
      <c r="AT109" s="216">
        <f t="shared" si="256"/>
        <v>0</v>
      </c>
      <c r="AU109" s="220">
        <f t="shared" si="209"/>
        <v>0</v>
      </c>
      <c r="AV109" s="220"/>
      <c r="AW109" s="220">
        <f t="shared" si="183"/>
        <v>0</v>
      </c>
      <c r="AX109" s="216">
        <f t="shared" si="265"/>
        <v>0</v>
      </c>
      <c r="AY109" s="220">
        <f t="shared" si="193"/>
        <v>0</v>
      </c>
      <c r="AZ109" s="220">
        <f t="shared" si="194"/>
        <v>0</v>
      </c>
      <c r="BA109" s="220">
        <f t="shared" si="195"/>
        <v>0</v>
      </c>
      <c r="BB109" s="220">
        <f t="shared" si="196"/>
        <v>0</v>
      </c>
      <c r="BC109" s="220">
        <f t="shared" si="197"/>
        <v>0</v>
      </c>
      <c r="BD109" s="216">
        <f t="shared" si="184"/>
        <v>0</v>
      </c>
      <c r="BE109" s="220">
        <f t="shared" si="185"/>
        <v>0</v>
      </c>
      <c r="BF109" s="220">
        <f t="shared" si="186"/>
        <v>0</v>
      </c>
      <c r="BG109" s="220">
        <f t="shared" si="187"/>
        <v>0</v>
      </c>
      <c r="BH109" s="220">
        <f t="shared" si="188"/>
        <v>0</v>
      </c>
      <c r="BI109" s="220">
        <f t="shared" si="189"/>
        <v>0</v>
      </c>
      <c r="BJ109" s="220" t="s">
        <v>1031</v>
      </c>
      <c r="BK109" s="220"/>
      <c r="BL109" s="223">
        <f t="shared" si="257"/>
        <v>0</v>
      </c>
      <c r="BM109" s="220">
        <v>3.33</v>
      </c>
      <c r="BN109" s="220"/>
      <c r="BO109" s="220">
        <f t="shared" si="301"/>
        <v>3.33</v>
      </c>
      <c r="BP109" s="220">
        <f>IF(AND(BL109&gt;0,BL109&lt;tiet!$D$1),BL109,IF(BL109&lt;=0,0,IF(BL109&gt;tiet!$C$1,tiet!$C$1)))</f>
        <v>0</v>
      </c>
      <c r="BQ109" s="87">
        <f t="shared" si="302"/>
        <v>65000</v>
      </c>
      <c r="BR109" s="224">
        <f t="shared" si="303"/>
        <v>0</v>
      </c>
      <c r="BS109" s="220">
        <f t="shared" si="219"/>
        <v>0</v>
      </c>
      <c r="BT109" s="224">
        <f>VLOOKUP(N109,ma_dinhmuc!$A$1:$J$31,10,0)</f>
        <v>51000</v>
      </c>
      <c r="BU109" s="224">
        <f>ROUND(IF(BS109&gt;0,VLOOKUP(N109,ma_dinhmuc!$A$1:$J$31,10,0)*BS109,0),0)</f>
        <v>0</v>
      </c>
      <c r="BV109" s="224">
        <f t="shared" si="304"/>
        <v>0</v>
      </c>
      <c r="BW109" s="224"/>
      <c r="BX109" s="224">
        <v>0</v>
      </c>
      <c r="BY109" s="224"/>
      <c r="BZ109" s="224"/>
      <c r="CA109" s="224"/>
      <c r="CB109" s="224"/>
      <c r="CC109" s="225">
        <f t="shared" si="198"/>
        <v>0</v>
      </c>
      <c r="CD109" s="224">
        <f t="shared" si="199"/>
        <v>0</v>
      </c>
      <c r="CE109" s="224"/>
      <c r="CF109" s="226"/>
      <c r="CG109" s="87"/>
      <c r="CH109" s="87">
        <f t="shared" si="272"/>
        <v>10</v>
      </c>
      <c r="CI109" s="227" t="str">
        <f t="shared" si="318"/>
        <v>Lê Hữu</v>
      </c>
      <c r="CJ109" s="227" t="str">
        <f t="shared" si="319"/>
        <v>Hiếu</v>
      </c>
      <c r="CK109" s="87">
        <f t="shared" si="320"/>
        <v>2</v>
      </c>
      <c r="CL109" s="227" t="str">
        <f t="shared" si="307"/>
        <v>Chăn nuôi chuyên khoa</v>
      </c>
      <c r="CM109" s="87" t="str">
        <f t="shared" si="190"/>
        <v>CS2</v>
      </c>
      <c r="CN109" s="87">
        <f t="shared" ref="CN109:CO112" si="330">Q109</f>
        <v>270</v>
      </c>
      <c r="CO109" s="87">
        <f t="shared" si="330"/>
        <v>120</v>
      </c>
      <c r="CP109" s="229">
        <f t="shared" si="223"/>
        <v>0</v>
      </c>
      <c r="CQ109" s="229">
        <f t="shared" si="224"/>
        <v>0</v>
      </c>
      <c r="CR109" s="229">
        <f t="shared" si="225"/>
        <v>0</v>
      </c>
      <c r="CS109" s="229">
        <f t="shared" si="226"/>
        <v>0</v>
      </c>
      <c r="CT109" s="229">
        <f t="shared" si="227"/>
        <v>0</v>
      </c>
      <c r="CU109" s="229">
        <f t="shared" si="228"/>
        <v>0</v>
      </c>
      <c r="CV109" s="229">
        <f t="shared" si="229"/>
        <v>0</v>
      </c>
      <c r="CW109" s="229">
        <f t="shared" si="230"/>
        <v>0</v>
      </c>
      <c r="CX109" s="229">
        <f t="shared" si="231"/>
        <v>0</v>
      </c>
      <c r="CY109" s="229">
        <f t="shared" si="232"/>
        <v>0</v>
      </c>
      <c r="CZ109" s="229">
        <f t="shared" si="233"/>
        <v>0</v>
      </c>
      <c r="DA109" s="229">
        <f t="shared" si="234"/>
        <v>0</v>
      </c>
      <c r="DB109" s="228">
        <f t="shared" si="214"/>
        <v>0</v>
      </c>
      <c r="DC109" s="229"/>
      <c r="DD109" s="229"/>
      <c r="DE109" s="229"/>
      <c r="DF109" s="229"/>
      <c r="DG109" s="229"/>
      <c r="DH109" s="229"/>
      <c r="DI109" s="229"/>
      <c r="DJ109" s="229"/>
      <c r="DK109" s="229"/>
      <c r="DL109" s="229"/>
      <c r="DM109" s="229"/>
      <c r="DN109" s="229"/>
      <c r="DO109" s="228">
        <f t="shared" si="215"/>
        <v>0</v>
      </c>
      <c r="DP109" s="228">
        <f t="shared" si="216"/>
        <v>0</v>
      </c>
      <c r="DQ109" s="229">
        <f t="shared" si="235"/>
        <v>0</v>
      </c>
      <c r="DR109" s="229">
        <f t="shared" si="236"/>
        <v>0</v>
      </c>
      <c r="DS109" s="229">
        <f t="shared" si="237"/>
        <v>0</v>
      </c>
      <c r="DT109" s="229">
        <f t="shared" si="238"/>
        <v>0</v>
      </c>
      <c r="DU109" s="229">
        <f t="shared" si="239"/>
        <v>0</v>
      </c>
      <c r="DV109" s="229">
        <f t="shared" si="240"/>
        <v>0</v>
      </c>
      <c r="DW109" s="229">
        <f t="shared" si="241"/>
        <v>0</v>
      </c>
      <c r="DX109" s="228">
        <f t="shared" si="217"/>
        <v>0</v>
      </c>
      <c r="DY109" s="229"/>
      <c r="DZ109" s="229"/>
      <c r="EA109" s="229"/>
      <c r="EB109" s="229"/>
      <c r="EC109" s="229"/>
      <c r="ED109" s="229"/>
      <c r="EE109" s="229"/>
      <c r="EF109" s="228">
        <f t="shared" si="220"/>
        <v>0</v>
      </c>
      <c r="EG109" s="228">
        <f t="shared" si="218"/>
        <v>0</v>
      </c>
      <c r="EH109" s="229">
        <f t="shared" si="221"/>
        <v>0</v>
      </c>
      <c r="EI109" s="229">
        <v>140.94</v>
      </c>
      <c r="EJ109" s="228">
        <f t="shared" si="308"/>
        <v>140.94</v>
      </c>
      <c r="EK109" s="229"/>
      <c r="EL109" s="229"/>
      <c r="EM109" s="228">
        <f t="shared" si="321"/>
        <v>0</v>
      </c>
      <c r="EN109" s="229">
        <f t="shared" si="192"/>
        <v>0</v>
      </c>
      <c r="EO109" s="229">
        <f t="shared" si="212"/>
        <v>140.94</v>
      </c>
      <c r="EP109" s="228">
        <f t="shared" si="322"/>
        <v>140.94</v>
      </c>
      <c r="EQ109" s="173">
        <f t="shared" si="222"/>
        <v>0</v>
      </c>
      <c r="ER109" s="189">
        <v>0</v>
      </c>
      <c r="ES109" s="189">
        <v>0</v>
      </c>
      <c r="ET109" s="189">
        <v>0</v>
      </c>
      <c r="EU109" s="189">
        <v>0</v>
      </c>
      <c r="EV109" s="189">
        <v>0</v>
      </c>
      <c r="EW109" s="189">
        <v>0</v>
      </c>
      <c r="EX109" s="189">
        <v>0</v>
      </c>
      <c r="EY109" s="189">
        <v>0</v>
      </c>
      <c r="EZ109" s="189">
        <v>0</v>
      </c>
      <c r="FA109" s="189">
        <v>0</v>
      </c>
      <c r="FB109" s="189">
        <v>0</v>
      </c>
      <c r="FC109" s="189">
        <v>0</v>
      </c>
      <c r="FD109" s="189">
        <v>0</v>
      </c>
      <c r="FE109" s="189">
        <v>0</v>
      </c>
      <c r="FF109" s="189">
        <v>0</v>
      </c>
      <c r="FG109" s="189">
        <v>0</v>
      </c>
      <c r="FH109" s="189">
        <v>0</v>
      </c>
      <c r="FI109" s="189">
        <v>0</v>
      </c>
      <c r="FJ109" s="189">
        <v>0</v>
      </c>
      <c r="FK109" s="189">
        <v>0</v>
      </c>
      <c r="FL109" s="189">
        <v>0</v>
      </c>
      <c r="FN109" s="132">
        <v>0</v>
      </c>
    </row>
    <row r="110" spans="1:170" ht="30" customHeight="1">
      <c r="A110" s="88">
        <f>COUNTIF($H$12:H110,H110)</f>
        <v>11</v>
      </c>
      <c r="B110" s="88" t="s">
        <v>1976</v>
      </c>
      <c r="C110" s="88" t="s">
        <v>2133</v>
      </c>
      <c r="D110" s="88"/>
      <c r="E110" s="88"/>
      <c r="F110" s="301" t="s">
        <v>2882</v>
      </c>
      <c r="G110" s="89" t="s">
        <v>2883</v>
      </c>
      <c r="H110" s="88">
        <v>2</v>
      </c>
      <c r="I110" s="88">
        <v>2</v>
      </c>
      <c r="J110" s="88">
        <v>2</v>
      </c>
      <c r="K110" s="90" t="s">
        <v>1137</v>
      </c>
      <c r="L110" s="90" t="s">
        <v>1137</v>
      </c>
      <c r="M110" s="214"/>
      <c r="N110" s="88" t="s">
        <v>1804</v>
      </c>
      <c r="O110" s="216">
        <f t="shared" si="317"/>
        <v>3.33</v>
      </c>
      <c r="P110" s="88" t="str">
        <f t="shared" si="299"/>
        <v>B1_4</v>
      </c>
      <c r="Q110" s="88">
        <f t="shared" ref="Q110:Q170" si="331">IF(M110&gt;0,VLOOKUP(P110,ma_dinhmuc_moi,2,0)/2,VLOOKUP(P110,ma_dinhmuc_moi,2,0))</f>
        <v>270</v>
      </c>
      <c r="R110" s="88">
        <f t="shared" ref="R110:R170" si="332">IF(M110&gt;0,VLOOKUP(P110,ma_dinhmuc_moi,3,0)/2,VLOOKUP(P110,ma_dinhmuc_moi,3,0))</f>
        <v>120</v>
      </c>
      <c r="S110" s="218" t="s">
        <v>2</v>
      </c>
      <c r="T110" s="214" t="s">
        <v>2961</v>
      </c>
      <c r="U110" s="88">
        <f>IF(RIGHT(T110,1)="K",(VLOOKUP(T110,ma_miengiam!$A$3:$B$80,2,0)*100)/2,VLOOKUP(T110,ma_miengiam!$A$3:$B$80,2,0)*100)</f>
        <v>100</v>
      </c>
      <c r="V110" s="88"/>
      <c r="W110" s="220">
        <f>IF(AND(T110="NTS",V110&gt;0),(Q110-(Q110*V110)/12)*VLOOKUP(T110,ma_miengiam!$A$3:$B$80,2,0)+(Q110-(Q110*(12-V110))/12),IF(AND(RIGHT(T110,1)="K",V110&gt;0),(VLOOKUP(T110,ma_miengiam!$A$3:$B$80,2,0)/2)*(Q110*V110)/12,IF(RIGHT(T110,1)="K",(VLOOKUP(T110,ma_miengiam!$A$3:$B$80,2,0)*Q110)/2,IF(V110&gt;0,VLOOKUP(T110,ma_miengiam!$A$3:$B$80,2,0)*Q110*V110/12,VLOOKUP(T110,ma_miengiam!$A$3:$B$80,2,0)*Q110))))</f>
        <v>270</v>
      </c>
      <c r="X110" s="220">
        <f>IF(T110="NTS",VLOOKUP(T110,ma_miengiam!$A$3:$B$80,2,0)*R110*V110,IF(AND(T110="NTS",V110=0),0,IF(AND(LEFT(T110,1)="K",V110=0),VLOOKUP(T110,ma_miengiam!$A$3:$B$80,2,0)*R110,IF(LEFT(T110,1)="K",(VLOOKUP(T110,ma_miengiam!$A$3:$B$80,2,0)*R110/12)*V110,IF(AND(LEFT(T110,1)="S",V110&gt;0),(R110/12)*V110,IF(AND(LEFT(T110,1)="S",V110=0),R110,IF(T110="DH",VLOOKUP(T110,ma_miengiam!$A$3:$B$80,2,0)*R110,0)))))))</f>
        <v>120</v>
      </c>
      <c r="Y110" s="220">
        <f t="shared" si="213"/>
        <v>0</v>
      </c>
      <c r="Z110" s="220">
        <f t="shared" si="315"/>
        <v>0</v>
      </c>
      <c r="AA110" s="220">
        <f t="shared" si="327"/>
        <v>270</v>
      </c>
      <c r="AB110" s="220">
        <f t="shared" si="327"/>
        <v>120</v>
      </c>
      <c r="AC110" s="220">
        <f t="shared" si="329"/>
        <v>270</v>
      </c>
      <c r="AD110" s="220">
        <f t="shared" si="329"/>
        <v>120</v>
      </c>
      <c r="AE110" s="220">
        <f t="shared" si="329"/>
        <v>0</v>
      </c>
      <c r="AF110" s="220">
        <f t="shared" si="329"/>
        <v>0</v>
      </c>
      <c r="AG110" s="220">
        <f t="shared" si="309"/>
        <v>265.38</v>
      </c>
      <c r="AH110" s="220">
        <f t="shared" si="310"/>
        <v>190.38</v>
      </c>
      <c r="AI110" s="220">
        <f t="shared" si="311"/>
        <v>75</v>
      </c>
      <c r="AJ110" s="220">
        <f t="shared" si="328"/>
        <v>0</v>
      </c>
      <c r="AK110" s="216">
        <f t="shared" si="247"/>
        <v>0</v>
      </c>
      <c r="AL110" s="220">
        <f t="shared" si="248"/>
        <v>237.8</v>
      </c>
      <c r="AM110" s="220">
        <f t="shared" si="249"/>
        <v>0</v>
      </c>
      <c r="AN110" s="221">
        <f t="shared" si="250"/>
        <v>237.8</v>
      </c>
      <c r="AO110" s="220">
        <f t="shared" si="251"/>
        <v>0</v>
      </c>
      <c r="AP110" s="220">
        <f t="shared" si="252"/>
        <v>0</v>
      </c>
      <c r="AQ110" s="220">
        <f t="shared" si="253"/>
        <v>0</v>
      </c>
      <c r="AR110" s="220">
        <f t="shared" si="254"/>
        <v>0</v>
      </c>
      <c r="AS110" s="220">
        <f t="shared" si="255"/>
        <v>0</v>
      </c>
      <c r="AT110" s="216">
        <f t="shared" si="256"/>
        <v>237.8</v>
      </c>
      <c r="AU110" s="220">
        <f t="shared" si="209"/>
        <v>237.8</v>
      </c>
      <c r="AV110" s="220"/>
      <c r="AW110" s="220">
        <f t="shared" si="183"/>
        <v>237.8</v>
      </c>
      <c r="AX110" s="216">
        <f t="shared" si="265"/>
        <v>0</v>
      </c>
      <c r="AY110" s="220">
        <f t="shared" si="193"/>
        <v>0</v>
      </c>
      <c r="AZ110" s="220">
        <f t="shared" si="194"/>
        <v>0</v>
      </c>
      <c r="BA110" s="220">
        <f t="shared" si="195"/>
        <v>0</v>
      </c>
      <c r="BB110" s="220">
        <f t="shared" si="196"/>
        <v>0</v>
      </c>
      <c r="BC110" s="220">
        <f t="shared" si="197"/>
        <v>0</v>
      </c>
      <c r="BD110" s="216">
        <f t="shared" si="184"/>
        <v>0</v>
      </c>
      <c r="BE110" s="220">
        <f t="shared" si="185"/>
        <v>0</v>
      </c>
      <c r="BF110" s="220">
        <f t="shared" si="186"/>
        <v>0</v>
      </c>
      <c r="BG110" s="220">
        <f t="shared" si="187"/>
        <v>0</v>
      </c>
      <c r="BH110" s="220">
        <f t="shared" si="188"/>
        <v>0</v>
      </c>
      <c r="BI110" s="220">
        <f t="shared" si="189"/>
        <v>0</v>
      </c>
      <c r="BJ110" s="220" t="s">
        <v>1031</v>
      </c>
      <c r="BK110" s="220"/>
      <c r="BL110" s="223">
        <f t="shared" si="257"/>
        <v>237.8</v>
      </c>
      <c r="BM110" s="220">
        <v>3.33</v>
      </c>
      <c r="BN110" s="220"/>
      <c r="BO110" s="220">
        <f t="shared" si="301"/>
        <v>3.33</v>
      </c>
      <c r="BP110" s="220">
        <f>IF(AND(BL110&gt;0,BL110&lt;tiet!$D$1),BL110,IF(BL110&lt;=0,0,IF(BL110&gt;tiet!$C$1,tiet!$C$1)))</f>
        <v>200</v>
      </c>
      <c r="BQ110" s="87">
        <f t="shared" si="302"/>
        <v>65000</v>
      </c>
      <c r="BR110" s="224">
        <f t="shared" si="303"/>
        <v>13000000</v>
      </c>
      <c r="BS110" s="220">
        <f t="shared" si="219"/>
        <v>37.800000000000011</v>
      </c>
      <c r="BT110" s="224">
        <f>VLOOKUP(N110,ma_dinhmuc!$A$1:$J$31,10,0)</f>
        <v>51000</v>
      </c>
      <c r="BU110" s="224">
        <f>ROUND(IF(BS110&gt;0,VLOOKUP(N110,ma_dinhmuc!$A$1:$J$31,10,0)*BS110,0),0)</f>
        <v>1927800</v>
      </c>
      <c r="BV110" s="224">
        <f t="shared" si="304"/>
        <v>14927800</v>
      </c>
      <c r="BW110" s="224"/>
      <c r="BX110" s="224">
        <v>0</v>
      </c>
      <c r="BY110" s="224"/>
      <c r="BZ110" s="224"/>
      <c r="CA110" s="224"/>
      <c r="CB110" s="224"/>
      <c r="CC110" s="225">
        <f t="shared" si="198"/>
        <v>14927800</v>
      </c>
      <c r="CD110" s="224">
        <f t="shared" si="199"/>
        <v>0</v>
      </c>
      <c r="CE110" s="224"/>
      <c r="CF110" s="226"/>
      <c r="CG110" s="87"/>
      <c r="CH110" s="87">
        <f t="shared" si="272"/>
        <v>11</v>
      </c>
      <c r="CI110" s="227" t="str">
        <f t="shared" si="318"/>
        <v>Nguyễn Thị Dương</v>
      </c>
      <c r="CJ110" s="227" t="str">
        <f t="shared" si="319"/>
        <v>Huyền</v>
      </c>
      <c r="CK110" s="87">
        <f t="shared" si="320"/>
        <v>2</v>
      </c>
      <c r="CL110" s="227" t="str">
        <f t="shared" si="307"/>
        <v>Chăn nuôi chuyên khoa</v>
      </c>
      <c r="CM110" s="87" t="str">
        <f t="shared" si="190"/>
        <v>CS2</v>
      </c>
      <c r="CN110" s="87">
        <f t="shared" si="330"/>
        <v>270</v>
      </c>
      <c r="CO110" s="87">
        <f t="shared" si="330"/>
        <v>120</v>
      </c>
      <c r="CP110" s="229">
        <f t="shared" si="223"/>
        <v>0</v>
      </c>
      <c r="CQ110" s="229">
        <f t="shared" si="224"/>
        <v>15.6</v>
      </c>
      <c r="CR110" s="229">
        <f t="shared" si="225"/>
        <v>6.3</v>
      </c>
      <c r="CS110" s="229">
        <f t="shared" si="226"/>
        <v>0</v>
      </c>
      <c r="CT110" s="229">
        <f t="shared" si="227"/>
        <v>0</v>
      </c>
      <c r="CU110" s="229">
        <f t="shared" si="228"/>
        <v>45.9</v>
      </c>
      <c r="CV110" s="229">
        <f t="shared" si="229"/>
        <v>0</v>
      </c>
      <c r="CW110" s="229">
        <f t="shared" si="230"/>
        <v>170</v>
      </c>
      <c r="CX110" s="229">
        <f t="shared" si="231"/>
        <v>0</v>
      </c>
      <c r="CY110" s="229">
        <f t="shared" si="232"/>
        <v>0</v>
      </c>
      <c r="CZ110" s="229">
        <f t="shared" si="233"/>
        <v>0</v>
      </c>
      <c r="DA110" s="229">
        <f t="shared" si="234"/>
        <v>0</v>
      </c>
      <c r="DB110" s="228">
        <f t="shared" si="214"/>
        <v>237.8</v>
      </c>
      <c r="DC110" s="229"/>
      <c r="DD110" s="229"/>
      <c r="DE110" s="229"/>
      <c r="DF110" s="229"/>
      <c r="DG110" s="229"/>
      <c r="DH110" s="229"/>
      <c r="DI110" s="229"/>
      <c r="DJ110" s="229"/>
      <c r="DK110" s="229"/>
      <c r="DL110" s="229"/>
      <c r="DM110" s="229"/>
      <c r="DN110" s="229"/>
      <c r="DO110" s="228">
        <f t="shared" si="215"/>
        <v>0</v>
      </c>
      <c r="DP110" s="228">
        <f t="shared" si="216"/>
        <v>237.8</v>
      </c>
      <c r="DQ110" s="229">
        <f t="shared" si="235"/>
        <v>0</v>
      </c>
      <c r="DR110" s="229">
        <f t="shared" si="236"/>
        <v>0</v>
      </c>
      <c r="DS110" s="229">
        <f t="shared" si="237"/>
        <v>0</v>
      </c>
      <c r="DT110" s="229">
        <f t="shared" si="238"/>
        <v>0</v>
      </c>
      <c r="DU110" s="229">
        <f t="shared" si="239"/>
        <v>0</v>
      </c>
      <c r="DV110" s="229">
        <f t="shared" si="240"/>
        <v>0</v>
      </c>
      <c r="DW110" s="229">
        <f t="shared" si="241"/>
        <v>0</v>
      </c>
      <c r="DX110" s="228">
        <f t="shared" si="217"/>
        <v>0</v>
      </c>
      <c r="DY110" s="229"/>
      <c r="DZ110" s="229"/>
      <c r="EA110" s="229"/>
      <c r="EB110" s="229"/>
      <c r="EC110" s="229"/>
      <c r="ED110" s="229"/>
      <c r="EE110" s="229"/>
      <c r="EF110" s="228">
        <f t="shared" si="220"/>
        <v>0</v>
      </c>
      <c r="EG110" s="228">
        <f t="shared" si="218"/>
        <v>0</v>
      </c>
      <c r="EH110" s="229">
        <f t="shared" si="221"/>
        <v>75</v>
      </c>
      <c r="EI110" s="229">
        <v>190.38</v>
      </c>
      <c r="EJ110" s="228">
        <f t="shared" si="308"/>
        <v>265.38</v>
      </c>
      <c r="EK110" s="229"/>
      <c r="EL110" s="229"/>
      <c r="EM110" s="228">
        <f t="shared" si="321"/>
        <v>0</v>
      </c>
      <c r="EN110" s="229">
        <f t="shared" si="192"/>
        <v>75</v>
      </c>
      <c r="EO110" s="229">
        <f t="shared" si="212"/>
        <v>190.38</v>
      </c>
      <c r="EP110" s="228">
        <f t="shared" si="322"/>
        <v>265.38</v>
      </c>
      <c r="EQ110" s="173">
        <f t="shared" si="222"/>
        <v>75</v>
      </c>
      <c r="ER110" s="189">
        <v>0</v>
      </c>
      <c r="ES110" s="189">
        <v>15.6</v>
      </c>
      <c r="ET110" s="189">
        <v>6.3</v>
      </c>
      <c r="EU110" s="189">
        <v>0</v>
      </c>
      <c r="EV110" s="189">
        <v>0</v>
      </c>
      <c r="EW110" s="189">
        <v>45.9</v>
      </c>
      <c r="EX110" s="189">
        <v>0</v>
      </c>
      <c r="EY110" s="189">
        <v>170</v>
      </c>
      <c r="EZ110" s="189">
        <v>0</v>
      </c>
      <c r="FA110" s="189">
        <v>0</v>
      </c>
      <c r="FB110" s="189">
        <v>0</v>
      </c>
      <c r="FC110" s="189">
        <v>0</v>
      </c>
      <c r="FD110" s="189">
        <v>0</v>
      </c>
      <c r="FE110" s="189">
        <v>0</v>
      </c>
      <c r="FF110" s="189">
        <v>0</v>
      </c>
      <c r="FG110" s="189">
        <v>0</v>
      </c>
      <c r="FH110" s="189">
        <v>0</v>
      </c>
      <c r="FI110" s="189">
        <v>0</v>
      </c>
      <c r="FJ110" s="189">
        <v>0</v>
      </c>
      <c r="FK110" s="189">
        <v>237.8</v>
      </c>
      <c r="FL110" s="189">
        <v>187</v>
      </c>
      <c r="FN110" s="132">
        <v>75</v>
      </c>
    </row>
    <row r="111" spans="1:170" ht="25.5" customHeight="1">
      <c r="A111" s="88">
        <f>COUNTIF($H$12:H111,H111)</f>
        <v>12</v>
      </c>
      <c r="B111" s="88" t="s">
        <v>1977</v>
      </c>
      <c r="C111" s="88" t="s">
        <v>2134</v>
      </c>
      <c r="D111" s="88"/>
      <c r="E111" s="88"/>
      <c r="F111" s="301" t="s">
        <v>2884</v>
      </c>
      <c r="G111" s="89" t="s">
        <v>1600</v>
      </c>
      <c r="H111" s="88">
        <v>2</v>
      </c>
      <c r="I111" s="88">
        <v>2</v>
      </c>
      <c r="J111" s="88">
        <v>2</v>
      </c>
      <c r="K111" s="90" t="s">
        <v>1137</v>
      </c>
      <c r="L111" s="90" t="s">
        <v>1137</v>
      </c>
      <c r="M111" s="214"/>
      <c r="N111" s="88" t="s">
        <v>606</v>
      </c>
      <c r="O111" s="216">
        <f t="shared" si="317"/>
        <v>4.4000000000000004</v>
      </c>
      <c r="P111" s="88" t="str">
        <f t="shared" si="299"/>
        <v>B1_4</v>
      </c>
      <c r="Q111" s="88">
        <f t="shared" si="331"/>
        <v>270</v>
      </c>
      <c r="R111" s="88">
        <f t="shared" si="332"/>
        <v>120</v>
      </c>
      <c r="S111" s="218" t="s">
        <v>487</v>
      </c>
      <c r="T111" s="214" t="s">
        <v>2961</v>
      </c>
      <c r="U111" s="88">
        <f>IF(RIGHT(T111,1)="K",(VLOOKUP(T111,ma_miengiam!$A$3:$B$80,2,0)*100)/2,VLOOKUP(T111,ma_miengiam!$A$3:$B$80,2,0)*100)</f>
        <v>100</v>
      </c>
      <c r="V111" s="88"/>
      <c r="W111" s="220">
        <f>IF(AND(T111="NTS",V111&gt;0),(Q111-(Q111*V111)/12)*VLOOKUP(T111,ma_miengiam!$A$3:$B$80,2,0)+(Q111-(Q111*(12-V111))/12),IF(AND(RIGHT(T111,1)="K",V111&gt;0),(VLOOKUP(T111,ma_miengiam!$A$3:$B$80,2,0)/2)*(Q111*V111)/12,IF(RIGHT(T111,1)="K",(VLOOKUP(T111,ma_miengiam!$A$3:$B$80,2,0)*Q111)/2,IF(V111&gt;0,VLOOKUP(T111,ma_miengiam!$A$3:$B$80,2,0)*Q111*V111/12,VLOOKUP(T111,ma_miengiam!$A$3:$B$80,2,0)*Q111))))</f>
        <v>270</v>
      </c>
      <c r="X111" s="220">
        <f>IF(T111="NTS",VLOOKUP(T111,ma_miengiam!$A$3:$B$80,2,0)*R111*V111,IF(AND(T111="NTS",V111=0),0,IF(AND(LEFT(T111,1)="K",V111=0),VLOOKUP(T111,ma_miengiam!$A$3:$B$80,2,0)*R111,IF(LEFT(T111,1)="K",(VLOOKUP(T111,ma_miengiam!$A$3:$B$80,2,0)*R111/12)*V111,IF(AND(LEFT(T111,1)="S",V111&gt;0),(R111/12)*V111,IF(AND(LEFT(T111,1)="S",V111=0),R111,IF(T111="DH",VLOOKUP(T111,ma_miengiam!$A$3:$B$80,2,0)*R111,0)))))))</f>
        <v>120</v>
      </c>
      <c r="Y111" s="220">
        <f t="shared" si="213"/>
        <v>0</v>
      </c>
      <c r="Z111" s="220">
        <f t="shared" si="315"/>
        <v>0</v>
      </c>
      <c r="AA111" s="220">
        <f t="shared" si="327"/>
        <v>270</v>
      </c>
      <c r="AB111" s="220">
        <f t="shared" si="327"/>
        <v>120</v>
      </c>
      <c r="AC111" s="220">
        <f>W111</f>
        <v>270</v>
      </c>
      <c r="AD111" s="220">
        <f>X111</f>
        <v>120</v>
      </c>
      <c r="AE111" s="220">
        <f>Y111</f>
        <v>0</v>
      </c>
      <c r="AF111" s="220">
        <f>Z111</f>
        <v>0</v>
      </c>
      <c r="AG111" s="220">
        <f t="shared" ref="AG111:AG117" si="333">AH111+AI111</f>
        <v>177.32</v>
      </c>
      <c r="AH111" s="220">
        <f t="shared" ref="AH111:AH117" si="334">EO111</f>
        <v>81.760000000000005</v>
      </c>
      <c r="AI111" s="220">
        <f t="shared" ref="AI111:AI117" si="335">EN111</f>
        <v>95.56</v>
      </c>
      <c r="AJ111" s="220">
        <f t="shared" si="328"/>
        <v>0</v>
      </c>
      <c r="AK111" s="216">
        <f t="shared" si="247"/>
        <v>0</v>
      </c>
      <c r="AL111" s="220">
        <f t="shared" si="248"/>
        <v>0</v>
      </c>
      <c r="AM111" s="220">
        <f t="shared" si="249"/>
        <v>0</v>
      </c>
      <c r="AN111" s="221">
        <f t="shared" si="250"/>
        <v>0</v>
      </c>
      <c r="AO111" s="220">
        <f t="shared" si="251"/>
        <v>0</v>
      </c>
      <c r="AP111" s="220">
        <f t="shared" si="252"/>
        <v>0</v>
      </c>
      <c r="AQ111" s="220">
        <f t="shared" si="253"/>
        <v>0</v>
      </c>
      <c r="AR111" s="220">
        <f t="shared" si="254"/>
        <v>12</v>
      </c>
      <c r="AS111" s="220">
        <f t="shared" si="255"/>
        <v>0</v>
      </c>
      <c r="AT111" s="216">
        <f t="shared" si="256"/>
        <v>12</v>
      </c>
      <c r="AU111" s="222">
        <f t="shared" si="209"/>
        <v>0</v>
      </c>
      <c r="AV111" s="220"/>
      <c r="AW111" s="220">
        <f t="shared" si="183"/>
        <v>0</v>
      </c>
      <c r="AX111" s="216">
        <f t="shared" si="265"/>
        <v>0</v>
      </c>
      <c r="AY111" s="220">
        <f t="shared" si="193"/>
        <v>0</v>
      </c>
      <c r="AZ111" s="220">
        <f t="shared" si="194"/>
        <v>0</v>
      </c>
      <c r="BA111" s="220">
        <f t="shared" si="195"/>
        <v>0</v>
      </c>
      <c r="BB111" s="220">
        <f t="shared" si="196"/>
        <v>12</v>
      </c>
      <c r="BC111" s="220">
        <f t="shared" si="197"/>
        <v>0</v>
      </c>
      <c r="BD111" s="216">
        <f t="shared" si="184"/>
        <v>12</v>
      </c>
      <c r="BE111" s="220">
        <f t="shared" si="185"/>
        <v>0</v>
      </c>
      <c r="BF111" s="220">
        <f t="shared" si="186"/>
        <v>0</v>
      </c>
      <c r="BG111" s="220">
        <f t="shared" si="187"/>
        <v>0</v>
      </c>
      <c r="BH111" s="220">
        <f t="shared" si="188"/>
        <v>0</v>
      </c>
      <c r="BI111" s="220">
        <f t="shared" si="189"/>
        <v>0</v>
      </c>
      <c r="BJ111" s="220" t="s">
        <v>1031</v>
      </c>
      <c r="BK111" s="220"/>
      <c r="BL111" s="223">
        <f t="shared" si="257"/>
        <v>0</v>
      </c>
      <c r="BM111" s="220">
        <v>4.4000000000000004</v>
      </c>
      <c r="BN111" s="220"/>
      <c r="BO111" s="220">
        <f t="shared" si="301"/>
        <v>4.4000000000000004</v>
      </c>
      <c r="BP111" s="220">
        <f>IF(AND(BL111&gt;0,BL111&lt;tiet!$D$1),BL111,IF(BL111&lt;=0,0,IF(BL111&gt;tiet!$C$1,tiet!$C$1)))</f>
        <v>0</v>
      </c>
      <c r="BQ111" s="87">
        <f t="shared" si="302"/>
        <v>65000</v>
      </c>
      <c r="BR111" s="224">
        <f t="shared" si="303"/>
        <v>0</v>
      </c>
      <c r="BS111" s="220">
        <f t="shared" si="219"/>
        <v>0</v>
      </c>
      <c r="BT111" s="224">
        <f>VLOOKUP(N111,ma_dinhmuc!$A$1:$J$31,10,0)</f>
        <v>55000</v>
      </c>
      <c r="BU111" s="224">
        <f>ROUND(IF(BS111&gt;0,VLOOKUP(N111,ma_dinhmuc!$A$1:$J$31,10,0)*BS111,0),0)</f>
        <v>0</v>
      </c>
      <c r="BV111" s="224">
        <f t="shared" si="304"/>
        <v>0</v>
      </c>
      <c r="BW111" s="224"/>
      <c r="BX111" s="224">
        <v>0</v>
      </c>
      <c r="BY111" s="224"/>
      <c r="BZ111" s="224"/>
      <c r="CA111" s="224"/>
      <c r="CB111" s="224"/>
      <c r="CC111" s="225">
        <f t="shared" si="198"/>
        <v>0</v>
      </c>
      <c r="CD111" s="224">
        <f t="shared" si="199"/>
        <v>0</v>
      </c>
      <c r="CE111" s="224"/>
      <c r="CF111" s="226"/>
      <c r="CG111" s="87"/>
      <c r="CH111" s="87">
        <f t="shared" si="272"/>
        <v>12</v>
      </c>
      <c r="CI111" s="227" t="str">
        <f t="shared" si="318"/>
        <v>Hán Quang</v>
      </c>
      <c r="CJ111" s="227" t="str">
        <f t="shared" si="319"/>
        <v>Hạnh</v>
      </c>
      <c r="CK111" s="87">
        <f t="shared" si="320"/>
        <v>2</v>
      </c>
      <c r="CL111" s="227" t="str">
        <f t="shared" si="307"/>
        <v>Chăn nuôi chuyên khoa</v>
      </c>
      <c r="CM111" s="87" t="str">
        <f t="shared" si="190"/>
        <v>CS3</v>
      </c>
      <c r="CN111" s="87">
        <f>Q111</f>
        <v>270</v>
      </c>
      <c r="CO111" s="87">
        <f>R111</f>
        <v>120</v>
      </c>
      <c r="CP111" s="229">
        <f t="shared" si="223"/>
        <v>0</v>
      </c>
      <c r="CQ111" s="229">
        <f t="shared" si="224"/>
        <v>0</v>
      </c>
      <c r="CR111" s="229">
        <f t="shared" si="225"/>
        <v>0</v>
      </c>
      <c r="CS111" s="229">
        <f t="shared" si="226"/>
        <v>0</v>
      </c>
      <c r="CT111" s="229">
        <f t="shared" si="227"/>
        <v>0</v>
      </c>
      <c r="CU111" s="229">
        <f t="shared" si="228"/>
        <v>0</v>
      </c>
      <c r="CV111" s="229">
        <f t="shared" si="229"/>
        <v>0</v>
      </c>
      <c r="CW111" s="229">
        <f t="shared" si="230"/>
        <v>0</v>
      </c>
      <c r="CX111" s="229">
        <f t="shared" si="231"/>
        <v>0</v>
      </c>
      <c r="CY111" s="229">
        <f t="shared" si="232"/>
        <v>0</v>
      </c>
      <c r="CZ111" s="229">
        <f t="shared" si="233"/>
        <v>0</v>
      </c>
      <c r="DA111" s="229">
        <f t="shared" si="234"/>
        <v>0</v>
      </c>
      <c r="DB111" s="228">
        <f t="shared" si="214"/>
        <v>0</v>
      </c>
      <c r="DC111" s="229"/>
      <c r="DD111" s="229"/>
      <c r="DE111" s="229"/>
      <c r="DF111" s="229"/>
      <c r="DG111" s="229"/>
      <c r="DH111" s="229"/>
      <c r="DI111" s="229"/>
      <c r="DJ111" s="229"/>
      <c r="DK111" s="229"/>
      <c r="DL111" s="229"/>
      <c r="DM111" s="229"/>
      <c r="DN111" s="229"/>
      <c r="DO111" s="228">
        <f t="shared" si="215"/>
        <v>0</v>
      </c>
      <c r="DP111" s="228">
        <f t="shared" si="216"/>
        <v>0</v>
      </c>
      <c r="DQ111" s="229">
        <f t="shared" si="235"/>
        <v>0</v>
      </c>
      <c r="DR111" s="229">
        <f t="shared" si="236"/>
        <v>0</v>
      </c>
      <c r="DS111" s="229">
        <f t="shared" si="237"/>
        <v>0</v>
      </c>
      <c r="DT111" s="229">
        <f t="shared" si="238"/>
        <v>0</v>
      </c>
      <c r="DU111" s="229">
        <f t="shared" si="239"/>
        <v>0</v>
      </c>
      <c r="DV111" s="229">
        <f t="shared" si="240"/>
        <v>12</v>
      </c>
      <c r="DW111" s="229">
        <f t="shared" si="241"/>
        <v>0</v>
      </c>
      <c r="DX111" s="228">
        <f t="shared" si="217"/>
        <v>12</v>
      </c>
      <c r="DY111" s="229"/>
      <c r="DZ111" s="229"/>
      <c r="EA111" s="229"/>
      <c r="EB111" s="229"/>
      <c r="EC111" s="229"/>
      <c r="ED111" s="229"/>
      <c r="EE111" s="229"/>
      <c r="EF111" s="228">
        <f t="shared" si="220"/>
        <v>0</v>
      </c>
      <c r="EG111" s="228">
        <f t="shared" si="218"/>
        <v>12</v>
      </c>
      <c r="EH111" s="229">
        <f t="shared" si="221"/>
        <v>95.56</v>
      </c>
      <c r="EI111" s="229">
        <v>81.760000000000005</v>
      </c>
      <c r="EJ111" s="228">
        <f t="shared" si="308"/>
        <v>177.32</v>
      </c>
      <c r="EK111" s="229"/>
      <c r="EL111" s="229"/>
      <c r="EM111" s="228">
        <f t="shared" si="321"/>
        <v>0</v>
      </c>
      <c r="EN111" s="229">
        <f t="shared" si="192"/>
        <v>95.56</v>
      </c>
      <c r="EO111" s="229">
        <f t="shared" si="212"/>
        <v>81.760000000000005</v>
      </c>
      <c r="EP111" s="228">
        <f t="shared" si="322"/>
        <v>177.32</v>
      </c>
      <c r="EQ111" s="173">
        <f t="shared" si="222"/>
        <v>95.56</v>
      </c>
      <c r="ER111" s="189">
        <v>0</v>
      </c>
      <c r="ES111" s="189">
        <v>0</v>
      </c>
      <c r="ET111" s="189">
        <v>0</v>
      </c>
      <c r="EU111" s="189">
        <v>0</v>
      </c>
      <c r="EV111" s="189">
        <v>0</v>
      </c>
      <c r="EW111" s="189">
        <v>0</v>
      </c>
      <c r="EX111" s="189">
        <v>0</v>
      </c>
      <c r="EY111" s="189">
        <v>0</v>
      </c>
      <c r="EZ111" s="189">
        <v>0</v>
      </c>
      <c r="FA111" s="189">
        <v>0</v>
      </c>
      <c r="FB111" s="189">
        <v>0</v>
      </c>
      <c r="FC111" s="189">
        <v>0</v>
      </c>
      <c r="FD111" s="189">
        <v>0</v>
      </c>
      <c r="FE111" s="189">
        <v>0</v>
      </c>
      <c r="FF111" s="189">
        <v>0</v>
      </c>
      <c r="FG111" s="189">
        <v>0</v>
      </c>
      <c r="FH111" s="189">
        <v>12</v>
      </c>
      <c r="FI111" s="189">
        <v>0</v>
      </c>
      <c r="FJ111" s="189">
        <v>0</v>
      </c>
      <c r="FK111" s="189">
        <v>12</v>
      </c>
      <c r="FL111" s="189">
        <v>12</v>
      </c>
      <c r="FN111" s="132">
        <v>95.56</v>
      </c>
    </row>
    <row r="112" spans="1:170" ht="30.75" customHeight="1">
      <c r="A112" s="88">
        <f>COUNTIF($H$12:H112,H112)</f>
        <v>13</v>
      </c>
      <c r="B112" s="88" t="s">
        <v>1978</v>
      </c>
      <c r="C112" s="88" t="s">
        <v>2135</v>
      </c>
      <c r="D112" s="88"/>
      <c r="E112" s="88"/>
      <c r="F112" s="301" t="s">
        <v>2886</v>
      </c>
      <c r="G112" s="89" t="s">
        <v>2887</v>
      </c>
      <c r="H112" s="88">
        <v>2</v>
      </c>
      <c r="I112" s="88">
        <v>2</v>
      </c>
      <c r="J112" s="88">
        <v>2</v>
      </c>
      <c r="K112" s="90" t="s">
        <v>1137</v>
      </c>
      <c r="L112" s="90" t="s">
        <v>1137</v>
      </c>
      <c r="M112" s="214"/>
      <c r="N112" s="88" t="s">
        <v>606</v>
      </c>
      <c r="O112" s="216">
        <f t="shared" si="317"/>
        <v>4.4000000000000004</v>
      </c>
      <c r="P112" s="88" t="str">
        <f t="shared" si="299"/>
        <v>B1_4</v>
      </c>
      <c r="Q112" s="88">
        <f t="shared" si="331"/>
        <v>270</v>
      </c>
      <c r="R112" s="88">
        <f t="shared" si="332"/>
        <v>120</v>
      </c>
      <c r="S112" s="231" t="s">
        <v>2038</v>
      </c>
      <c r="T112" s="219" t="s">
        <v>1753</v>
      </c>
      <c r="U112" s="88">
        <f>IF(RIGHT(T112,1)="K",(VLOOKUP(T112,ma_miengiam!$A$3:$B$80,2,0)*100)/2,VLOOKUP(T112,ma_miengiam!$A$3:$B$80,2,0)*100)</f>
        <v>70</v>
      </c>
      <c r="V112" s="88"/>
      <c r="W112" s="220">
        <f>IF(AND(T112="NTS",V112&gt;0),(Q112-(Q112*V112)/12)*VLOOKUP(T112,ma_miengiam!$A$3:$B$80,2,0)+(Q112-(Q112*(12-V112))/12),IF(AND(RIGHT(T112,1)="K",V112&gt;0),(VLOOKUP(T112,ma_miengiam!$A$3:$B$80,2,0)/2)*(Q112*V112)/12,IF(RIGHT(T112,1)="K",(VLOOKUP(T112,ma_miengiam!$A$3:$B$80,2,0)*Q112)/2,IF(V112&gt;0,VLOOKUP(T112,ma_miengiam!$A$3:$B$80,2,0)*Q112*V112/12,VLOOKUP(T112,ma_miengiam!$A$3:$B$80,2,0)*Q112))))</f>
        <v>189</v>
      </c>
      <c r="X112" s="220">
        <f>IF(T112="NTS",VLOOKUP(T112,ma_miengiam!$A$3:$B$80,2,0)*R112*V112,IF(AND(T112="NTS",V112=0),0,IF(AND(LEFT(T112,1)="K",V112=0),VLOOKUP(T112,ma_miengiam!$A$3:$B$80,2,0)*R112,IF(LEFT(T112,1)="K",(VLOOKUP(T112,ma_miengiam!$A$3:$B$80,2,0)*R112/12)*V112,IF(AND(LEFT(T112,1)="S",V112&gt;0),(R112/12)*V112,IF(AND(LEFT(T112,1)="S",V112=0),R112,IF(T112="DH",VLOOKUP(T112,ma_miengiam!$A$3:$B$80,2,0)*R112,0)))))))</f>
        <v>84</v>
      </c>
      <c r="Y112" s="220">
        <f t="shared" ref="Y112:Y143" si="336">IF(AND(T112="DH",V112&gt;0),(S112*V112/12),IF(AND(T112&lt;&gt;"NTS",V112&gt;0),(Q112*V112/12)-W112,IF(AND(T112="NTS",V112&gt;0),Q112-W112,Q112-W112)))</f>
        <v>81</v>
      </c>
      <c r="Z112" s="220">
        <f t="shared" si="315"/>
        <v>36</v>
      </c>
      <c r="AA112" s="220">
        <f t="shared" si="327"/>
        <v>270</v>
      </c>
      <c r="AB112" s="220">
        <f t="shared" si="327"/>
        <v>120</v>
      </c>
      <c r="AC112" s="220">
        <f t="shared" si="329"/>
        <v>189</v>
      </c>
      <c r="AD112" s="220">
        <f t="shared" si="329"/>
        <v>84</v>
      </c>
      <c r="AE112" s="220">
        <f t="shared" si="329"/>
        <v>81</v>
      </c>
      <c r="AF112" s="220">
        <f t="shared" si="329"/>
        <v>36</v>
      </c>
      <c r="AG112" s="220">
        <f t="shared" si="333"/>
        <v>401.68</v>
      </c>
      <c r="AH112" s="220">
        <f t="shared" si="334"/>
        <v>154.38</v>
      </c>
      <c r="AI112" s="220">
        <f t="shared" si="335"/>
        <v>247.3</v>
      </c>
      <c r="AJ112" s="220">
        <f t="shared" si="328"/>
        <v>0</v>
      </c>
      <c r="AK112" s="216">
        <f t="shared" si="247"/>
        <v>81</v>
      </c>
      <c r="AL112" s="220">
        <f t="shared" si="248"/>
        <v>384.29999999999995</v>
      </c>
      <c r="AM112" s="220">
        <f t="shared" si="249"/>
        <v>0</v>
      </c>
      <c r="AN112" s="221">
        <f t="shared" si="250"/>
        <v>384.29999999999995</v>
      </c>
      <c r="AO112" s="220">
        <f t="shared" si="251"/>
        <v>0</v>
      </c>
      <c r="AP112" s="220">
        <f t="shared" si="252"/>
        <v>0</v>
      </c>
      <c r="AQ112" s="220">
        <f t="shared" si="253"/>
        <v>80</v>
      </c>
      <c r="AR112" s="220">
        <f t="shared" si="254"/>
        <v>0</v>
      </c>
      <c r="AS112" s="220">
        <f t="shared" si="255"/>
        <v>0</v>
      </c>
      <c r="AT112" s="216">
        <f t="shared" si="256"/>
        <v>464.29999999999995</v>
      </c>
      <c r="AU112" s="222">
        <f t="shared" si="209"/>
        <v>303.29999999999995</v>
      </c>
      <c r="AV112" s="220"/>
      <c r="AW112" s="220">
        <f t="shared" si="183"/>
        <v>303.29999999999995</v>
      </c>
      <c r="AX112" s="216">
        <f t="shared" si="265"/>
        <v>0</v>
      </c>
      <c r="AY112" s="220">
        <f t="shared" si="193"/>
        <v>0</v>
      </c>
      <c r="AZ112" s="220">
        <f t="shared" si="194"/>
        <v>0</v>
      </c>
      <c r="BA112" s="220">
        <f t="shared" si="195"/>
        <v>80</v>
      </c>
      <c r="BB112" s="220">
        <f t="shared" si="196"/>
        <v>0</v>
      </c>
      <c r="BC112" s="220">
        <f t="shared" si="197"/>
        <v>0</v>
      </c>
      <c r="BD112" s="216">
        <f t="shared" si="184"/>
        <v>80</v>
      </c>
      <c r="BE112" s="220">
        <f t="shared" si="185"/>
        <v>0</v>
      </c>
      <c r="BF112" s="220">
        <f t="shared" si="186"/>
        <v>0</v>
      </c>
      <c r="BG112" s="220">
        <f t="shared" si="187"/>
        <v>0</v>
      </c>
      <c r="BH112" s="220">
        <f t="shared" si="188"/>
        <v>0</v>
      </c>
      <c r="BI112" s="220">
        <f t="shared" si="189"/>
        <v>0</v>
      </c>
      <c r="BJ112" s="220" t="s">
        <v>1031</v>
      </c>
      <c r="BK112" s="220"/>
      <c r="BL112" s="223">
        <f t="shared" si="257"/>
        <v>303.29999999999995</v>
      </c>
      <c r="BM112" s="220">
        <v>4.4000000000000004</v>
      </c>
      <c r="BN112" s="220"/>
      <c r="BO112" s="220">
        <f t="shared" si="301"/>
        <v>4.4000000000000004</v>
      </c>
      <c r="BP112" s="220">
        <f>IF(AND(BL112&gt;0,BL112&lt;tiet!$D$1),BL112,IF(BL112&lt;=0,0,IF(BL112&gt;tiet!$C$1,tiet!$C$1)))</f>
        <v>200</v>
      </c>
      <c r="BQ112" s="87">
        <f t="shared" si="302"/>
        <v>65000</v>
      </c>
      <c r="BR112" s="224">
        <f t="shared" si="303"/>
        <v>13000000</v>
      </c>
      <c r="BS112" s="220">
        <f t="shared" si="219"/>
        <v>103.29999999999995</v>
      </c>
      <c r="BT112" s="224">
        <f>VLOOKUP(N112,ma_dinhmuc!$A$1:$J$31,10,0)</f>
        <v>55000</v>
      </c>
      <c r="BU112" s="224">
        <f>ROUND(IF(BS112&gt;0,VLOOKUP(N112,ma_dinhmuc!$A$1:$J$31,10,0)*BS112,0),0)</f>
        <v>5681500</v>
      </c>
      <c r="BV112" s="224">
        <f t="shared" si="304"/>
        <v>18681500</v>
      </c>
      <c r="BW112" s="224"/>
      <c r="BX112" s="224">
        <v>0</v>
      </c>
      <c r="BY112" s="224"/>
      <c r="BZ112" s="224"/>
      <c r="CA112" s="224"/>
      <c r="CB112" s="224"/>
      <c r="CC112" s="225">
        <f t="shared" si="198"/>
        <v>18681500</v>
      </c>
      <c r="CD112" s="224">
        <f t="shared" si="199"/>
        <v>0</v>
      </c>
      <c r="CE112" s="224"/>
      <c r="CF112" s="226"/>
      <c r="CG112" s="87"/>
      <c r="CH112" s="87">
        <f t="shared" si="272"/>
        <v>13</v>
      </c>
      <c r="CI112" s="227" t="str">
        <f t="shared" si="318"/>
        <v>Trần</v>
      </c>
      <c r="CJ112" s="227" t="str">
        <f t="shared" si="319"/>
        <v>Hiệp</v>
      </c>
      <c r="CK112" s="87">
        <f t="shared" si="320"/>
        <v>2</v>
      </c>
      <c r="CL112" s="227" t="str">
        <f t="shared" si="307"/>
        <v>Chăn nuôi chuyên khoa</v>
      </c>
      <c r="CM112" s="87" t="str">
        <f t="shared" si="190"/>
        <v>CS3</v>
      </c>
      <c r="CN112" s="87">
        <f t="shared" si="330"/>
        <v>270</v>
      </c>
      <c r="CO112" s="87">
        <f t="shared" si="330"/>
        <v>120</v>
      </c>
      <c r="CP112" s="229">
        <f t="shared" si="223"/>
        <v>0</v>
      </c>
      <c r="CQ112" s="229">
        <f t="shared" si="224"/>
        <v>14.7</v>
      </c>
      <c r="CR112" s="229">
        <f t="shared" si="225"/>
        <v>5.9</v>
      </c>
      <c r="CS112" s="229">
        <f t="shared" si="226"/>
        <v>202.2</v>
      </c>
      <c r="CT112" s="229">
        <f t="shared" si="227"/>
        <v>0</v>
      </c>
      <c r="CU112" s="229">
        <f t="shared" si="228"/>
        <v>53</v>
      </c>
      <c r="CV112" s="229">
        <f t="shared" si="229"/>
        <v>0</v>
      </c>
      <c r="CW112" s="229">
        <f t="shared" si="230"/>
        <v>108.5</v>
      </c>
      <c r="CX112" s="229">
        <f t="shared" si="231"/>
        <v>0</v>
      </c>
      <c r="CY112" s="229">
        <f t="shared" si="232"/>
        <v>0</v>
      </c>
      <c r="CZ112" s="229">
        <f t="shared" si="233"/>
        <v>0</v>
      </c>
      <c r="DA112" s="229">
        <f t="shared" si="234"/>
        <v>80</v>
      </c>
      <c r="DB112" s="228">
        <f t="shared" si="214"/>
        <v>464.29999999999995</v>
      </c>
      <c r="DC112" s="229"/>
      <c r="DD112" s="229"/>
      <c r="DE112" s="229"/>
      <c r="DF112" s="229"/>
      <c r="DG112" s="229"/>
      <c r="DH112" s="229"/>
      <c r="DI112" s="229"/>
      <c r="DJ112" s="229"/>
      <c r="DK112" s="229"/>
      <c r="DL112" s="229"/>
      <c r="DM112" s="229"/>
      <c r="DN112" s="229"/>
      <c r="DO112" s="228">
        <f t="shared" si="215"/>
        <v>0</v>
      </c>
      <c r="DP112" s="228">
        <f t="shared" si="216"/>
        <v>464.29999999999995</v>
      </c>
      <c r="DQ112" s="229">
        <f t="shared" si="235"/>
        <v>0</v>
      </c>
      <c r="DR112" s="229">
        <f t="shared" si="236"/>
        <v>0</v>
      </c>
      <c r="DS112" s="229">
        <f t="shared" si="237"/>
        <v>0</v>
      </c>
      <c r="DT112" s="229">
        <f t="shared" si="238"/>
        <v>0</v>
      </c>
      <c r="DU112" s="229">
        <f t="shared" si="239"/>
        <v>0</v>
      </c>
      <c r="DV112" s="229">
        <f t="shared" si="240"/>
        <v>0</v>
      </c>
      <c r="DW112" s="229">
        <f t="shared" si="241"/>
        <v>0</v>
      </c>
      <c r="DX112" s="228">
        <f t="shared" si="217"/>
        <v>0</v>
      </c>
      <c r="DY112" s="229"/>
      <c r="DZ112" s="229"/>
      <c r="EA112" s="229"/>
      <c r="EB112" s="229"/>
      <c r="EC112" s="229"/>
      <c r="ED112" s="229"/>
      <c r="EE112" s="229"/>
      <c r="EF112" s="228">
        <f t="shared" si="220"/>
        <v>0</v>
      </c>
      <c r="EG112" s="228">
        <f t="shared" si="218"/>
        <v>0</v>
      </c>
      <c r="EH112" s="229">
        <f t="shared" si="221"/>
        <v>247.3</v>
      </c>
      <c r="EI112" s="229">
        <v>154.38</v>
      </c>
      <c r="EJ112" s="228">
        <f t="shared" si="308"/>
        <v>401.68</v>
      </c>
      <c r="EK112" s="229"/>
      <c r="EL112" s="229"/>
      <c r="EM112" s="228">
        <f t="shared" si="321"/>
        <v>0</v>
      </c>
      <c r="EN112" s="229">
        <f t="shared" si="192"/>
        <v>247.3</v>
      </c>
      <c r="EO112" s="229">
        <f t="shared" si="212"/>
        <v>154.38</v>
      </c>
      <c r="EP112" s="228">
        <f t="shared" si="322"/>
        <v>401.68</v>
      </c>
      <c r="EQ112" s="173">
        <f t="shared" si="222"/>
        <v>211.3</v>
      </c>
      <c r="ER112" s="189">
        <v>0</v>
      </c>
      <c r="ES112" s="189">
        <v>14.7</v>
      </c>
      <c r="ET112" s="189">
        <v>5.9</v>
      </c>
      <c r="EU112" s="189">
        <v>202.2</v>
      </c>
      <c r="EV112" s="189">
        <v>0</v>
      </c>
      <c r="EW112" s="189">
        <v>53</v>
      </c>
      <c r="EX112" s="189">
        <v>0</v>
      </c>
      <c r="EY112" s="189">
        <v>108.5</v>
      </c>
      <c r="EZ112" s="189">
        <v>0</v>
      </c>
      <c r="FA112" s="189">
        <v>0</v>
      </c>
      <c r="FB112" s="189">
        <v>0</v>
      </c>
      <c r="FC112" s="189">
        <v>80</v>
      </c>
      <c r="FD112" s="189">
        <v>0</v>
      </c>
      <c r="FE112" s="189">
        <v>0</v>
      </c>
      <c r="FF112" s="189">
        <v>0</v>
      </c>
      <c r="FG112" s="189">
        <v>0</v>
      </c>
      <c r="FH112" s="189">
        <v>0</v>
      </c>
      <c r="FI112" s="189">
        <v>0</v>
      </c>
      <c r="FJ112" s="189">
        <v>0</v>
      </c>
      <c r="FK112" s="189">
        <v>464.3</v>
      </c>
      <c r="FL112" s="189">
        <v>436.2</v>
      </c>
      <c r="FN112" s="132">
        <v>247.3</v>
      </c>
    </row>
    <row r="113" spans="1:170" ht="30" customHeight="1">
      <c r="A113" s="88">
        <f>COUNTIF($H$12:H113,H113)</f>
        <v>14</v>
      </c>
      <c r="B113" s="88" t="s">
        <v>1979</v>
      </c>
      <c r="C113" s="88" t="s">
        <v>2136</v>
      </c>
      <c r="D113" s="88"/>
      <c r="E113" s="88"/>
      <c r="F113" s="301" t="s">
        <v>721</v>
      </c>
      <c r="G113" s="89" t="s">
        <v>2902</v>
      </c>
      <c r="H113" s="88">
        <v>2</v>
      </c>
      <c r="I113" s="88">
        <v>2</v>
      </c>
      <c r="J113" s="88">
        <v>2</v>
      </c>
      <c r="K113" s="90" t="s">
        <v>1412</v>
      </c>
      <c r="L113" s="90" t="s">
        <v>1412</v>
      </c>
      <c r="M113" s="214"/>
      <c r="N113" s="88" t="s">
        <v>605</v>
      </c>
      <c r="O113" s="216">
        <f t="shared" si="317"/>
        <v>6.92</v>
      </c>
      <c r="P113" s="88" t="str">
        <f t="shared" si="299"/>
        <v>B1_7</v>
      </c>
      <c r="Q113" s="88">
        <f t="shared" si="331"/>
        <v>270</v>
      </c>
      <c r="R113" s="88">
        <f t="shared" si="332"/>
        <v>200</v>
      </c>
      <c r="S113" s="231" t="s">
        <v>678</v>
      </c>
      <c r="T113" s="215" t="s">
        <v>1753</v>
      </c>
      <c r="U113" s="88">
        <f>IF(RIGHT(T113,1)="K",(VLOOKUP(T113,ma_miengiam!$A$3:$B$80,2,0)*100)/2,VLOOKUP(T113,ma_miengiam!$A$3:$B$80,2,0)*100)</f>
        <v>70</v>
      </c>
      <c r="V113" s="88"/>
      <c r="W113" s="220">
        <f>IF(AND(T113="NTS",V113&gt;0),(Q113-(Q113*V113)/12)*VLOOKUP(T113,ma_miengiam!$A$3:$B$80,2,0)+(Q113-(Q113*(12-V113))/12),IF(AND(RIGHT(T113,1)="K",V113&gt;0),(VLOOKUP(T113,ma_miengiam!$A$3:$B$80,2,0)/2)*(Q113*V113)/12,IF(RIGHT(T113,1)="K",(VLOOKUP(T113,ma_miengiam!$A$3:$B$80,2,0)*Q113)/2,IF(V113&gt;0,VLOOKUP(T113,ma_miengiam!$A$3:$B$80,2,0)*Q113*V113/12,VLOOKUP(T113,ma_miengiam!$A$3:$B$80,2,0)*Q113))))</f>
        <v>189</v>
      </c>
      <c r="X113" s="220">
        <f>IF(T113="NTS",VLOOKUP(T113,ma_miengiam!$A$3:$B$80,2,0)*R113*V113,IF(AND(T113="NTS",V113=0),0,IF(AND(LEFT(T113,1)="K",V113=0),VLOOKUP(T113,ma_miengiam!$A$3:$B$80,2,0)*R113,IF(LEFT(T113,1)="K",(VLOOKUP(T113,ma_miengiam!$A$3:$B$80,2,0)*R113/12)*V113,IF(AND(LEFT(T113,1)="S",V113&gt;0),(R113/12)*V113,IF(AND(LEFT(T113,1)="S",V113=0),R113,IF(T113="DH",VLOOKUP(T113,ma_miengiam!$A$3:$B$80,2,0)*R113,0)))))))</f>
        <v>140</v>
      </c>
      <c r="Y113" s="220">
        <f t="shared" si="336"/>
        <v>81</v>
      </c>
      <c r="Z113" s="220">
        <f t="shared" ref="Z113:Z163" si="337">IF(AND(T113="SĐH",V113&gt;0),(R113/12)*V113-X113,IF(AND(T113="DH",V113&gt;0),(R113*V113/12),IF(AND(T113&lt;&gt;"NTS",V113&gt;0),(R113*V113/12)-X113,IF(AND(T113="NTS",V113&gt;0),R113-X113,R113-X113))))</f>
        <v>60</v>
      </c>
      <c r="AA113" s="220">
        <f t="shared" ref="AA113:AB115" si="338">Q113</f>
        <v>270</v>
      </c>
      <c r="AB113" s="220">
        <f t="shared" si="338"/>
        <v>200</v>
      </c>
      <c r="AC113" s="220">
        <f t="shared" ref="AC113:AF115" si="339">W113</f>
        <v>189</v>
      </c>
      <c r="AD113" s="220">
        <f t="shared" si="339"/>
        <v>140</v>
      </c>
      <c r="AE113" s="220">
        <f t="shared" si="339"/>
        <v>81</v>
      </c>
      <c r="AF113" s="220">
        <f t="shared" si="339"/>
        <v>60</v>
      </c>
      <c r="AG113" s="220">
        <f t="shared" si="333"/>
        <v>240.63</v>
      </c>
      <c r="AH113" s="220">
        <f t="shared" si="334"/>
        <v>221.88</v>
      </c>
      <c r="AI113" s="220">
        <f t="shared" si="335"/>
        <v>18.75</v>
      </c>
      <c r="AJ113" s="220">
        <f t="shared" si="328"/>
        <v>0</v>
      </c>
      <c r="AK113" s="216">
        <f t="shared" si="247"/>
        <v>81</v>
      </c>
      <c r="AL113" s="220">
        <f t="shared" si="248"/>
        <v>0</v>
      </c>
      <c r="AM113" s="220">
        <f t="shared" si="249"/>
        <v>101.3</v>
      </c>
      <c r="AN113" s="221">
        <f t="shared" si="250"/>
        <v>101.3</v>
      </c>
      <c r="AO113" s="220">
        <f t="shared" si="251"/>
        <v>0</v>
      </c>
      <c r="AP113" s="220">
        <f t="shared" si="252"/>
        <v>0</v>
      </c>
      <c r="AQ113" s="220">
        <f t="shared" si="253"/>
        <v>60</v>
      </c>
      <c r="AR113" s="220">
        <f t="shared" si="254"/>
        <v>54</v>
      </c>
      <c r="AS113" s="220">
        <f t="shared" si="255"/>
        <v>0</v>
      </c>
      <c r="AT113" s="216">
        <f t="shared" si="256"/>
        <v>215.3</v>
      </c>
      <c r="AU113" s="222">
        <f t="shared" si="209"/>
        <v>20.299999999999997</v>
      </c>
      <c r="AV113" s="220"/>
      <c r="AW113" s="220">
        <f t="shared" si="183"/>
        <v>20.299999999999997</v>
      </c>
      <c r="AX113" s="216">
        <f t="shared" si="265"/>
        <v>0</v>
      </c>
      <c r="AY113" s="220">
        <f t="shared" si="193"/>
        <v>0</v>
      </c>
      <c r="AZ113" s="220">
        <f t="shared" si="194"/>
        <v>0</v>
      </c>
      <c r="BA113" s="220">
        <f t="shared" si="195"/>
        <v>60</v>
      </c>
      <c r="BB113" s="220">
        <f t="shared" si="196"/>
        <v>54</v>
      </c>
      <c r="BC113" s="220">
        <f t="shared" si="197"/>
        <v>0</v>
      </c>
      <c r="BD113" s="216">
        <f t="shared" si="184"/>
        <v>114</v>
      </c>
      <c r="BE113" s="220">
        <f t="shared" si="185"/>
        <v>0</v>
      </c>
      <c r="BF113" s="220">
        <f t="shared" si="186"/>
        <v>0</v>
      </c>
      <c r="BG113" s="220">
        <f t="shared" si="187"/>
        <v>0</v>
      </c>
      <c r="BH113" s="220">
        <f t="shared" si="188"/>
        <v>0</v>
      </c>
      <c r="BI113" s="220">
        <f t="shared" si="189"/>
        <v>0</v>
      </c>
      <c r="BJ113" s="220" t="s">
        <v>1032</v>
      </c>
      <c r="BK113" s="220"/>
      <c r="BL113" s="223">
        <f t="shared" si="257"/>
        <v>20.299999999999997</v>
      </c>
      <c r="BM113" s="220">
        <v>6.92</v>
      </c>
      <c r="BN113" s="220"/>
      <c r="BO113" s="220">
        <f t="shared" si="301"/>
        <v>6.92</v>
      </c>
      <c r="BP113" s="220">
        <f>IF(AND(BL113&gt;0,BL113&lt;tiet!$D$1),BL113,IF(BL113&lt;=0,0,IF(BL113&gt;tiet!$C$1,tiet!$C$1)))</f>
        <v>20.299999999999997</v>
      </c>
      <c r="BQ113" s="87">
        <f t="shared" si="302"/>
        <v>80000</v>
      </c>
      <c r="BR113" s="224">
        <f t="shared" si="303"/>
        <v>1624000</v>
      </c>
      <c r="BS113" s="220">
        <f t="shared" si="219"/>
        <v>0</v>
      </c>
      <c r="BT113" s="224">
        <f>VLOOKUP(N113,ma_dinhmuc!$A$1:$J$31,10,0)</f>
        <v>65000</v>
      </c>
      <c r="BU113" s="224">
        <f>ROUND(IF(BS113&gt;0,VLOOKUP(N113,ma_dinhmuc!$A$1:$J$31,10,0)*BS113,0),0)</f>
        <v>0</v>
      </c>
      <c r="BV113" s="224">
        <f t="shared" si="304"/>
        <v>1624000</v>
      </c>
      <c r="BW113" s="224"/>
      <c r="BX113" s="224">
        <v>0</v>
      </c>
      <c r="BY113" s="224"/>
      <c r="BZ113" s="224"/>
      <c r="CA113" s="224"/>
      <c r="CB113" s="224"/>
      <c r="CC113" s="225">
        <f t="shared" si="198"/>
        <v>1624000</v>
      </c>
      <c r="CD113" s="224">
        <f t="shared" si="199"/>
        <v>0</v>
      </c>
      <c r="CE113" s="224"/>
      <c r="CF113" s="226"/>
      <c r="CG113" s="87"/>
      <c r="CH113" s="87">
        <f t="shared" si="272"/>
        <v>14</v>
      </c>
      <c r="CI113" s="227" t="str">
        <f t="shared" ref="CI113:CI131" si="340">F113</f>
        <v>Phan Xuân</v>
      </c>
      <c r="CJ113" s="227" t="str">
        <f t="shared" ref="CJ113:CJ131" si="341">G113</f>
        <v>Hảo</v>
      </c>
      <c r="CK113" s="87">
        <f t="shared" ref="CK113:CK124" si="342">H113</f>
        <v>2</v>
      </c>
      <c r="CL113" s="227" t="str">
        <f t="shared" si="307"/>
        <v>Di truyền Giống gia súc</v>
      </c>
      <c r="CM113" s="87" t="str">
        <f t="shared" si="190"/>
        <v>CS4</v>
      </c>
      <c r="CN113" s="87">
        <f t="shared" ref="CN113:CO115" si="343">Q113</f>
        <v>270</v>
      </c>
      <c r="CO113" s="87">
        <f t="shared" si="343"/>
        <v>200</v>
      </c>
      <c r="CP113" s="229">
        <f t="shared" si="223"/>
        <v>0</v>
      </c>
      <c r="CQ113" s="229">
        <f t="shared" si="224"/>
        <v>0</v>
      </c>
      <c r="CR113" s="229">
        <f t="shared" si="225"/>
        <v>0</v>
      </c>
      <c r="CS113" s="229">
        <f t="shared" si="226"/>
        <v>0</v>
      </c>
      <c r="CT113" s="229">
        <f t="shared" si="227"/>
        <v>0</v>
      </c>
      <c r="CU113" s="229">
        <f t="shared" si="228"/>
        <v>0</v>
      </c>
      <c r="CV113" s="229">
        <f t="shared" si="229"/>
        <v>0</v>
      </c>
      <c r="CW113" s="229">
        <f t="shared" si="230"/>
        <v>0</v>
      </c>
      <c r="CX113" s="229">
        <f t="shared" si="231"/>
        <v>0</v>
      </c>
      <c r="CY113" s="229">
        <f t="shared" si="232"/>
        <v>0</v>
      </c>
      <c r="CZ113" s="229">
        <f t="shared" si="233"/>
        <v>0</v>
      </c>
      <c r="DA113" s="229">
        <f t="shared" si="234"/>
        <v>60</v>
      </c>
      <c r="DB113" s="228">
        <f t="shared" si="214"/>
        <v>60</v>
      </c>
      <c r="DC113" s="229"/>
      <c r="DD113" s="229"/>
      <c r="DE113" s="229"/>
      <c r="DF113" s="229"/>
      <c r="DG113" s="229"/>
      <c r="DH113" s="229"/>
      <c r="DI113" s="229"/>
      <c r="DJ113" s="229"/>
      <c r="DK113" s="229"/>
      <c r="DL113" s="229"/>
      <c r="DM113" s="229"/>
      <c r="DN113" s="229"/>
      <c r="DO113" s="228">
        <f t="shared" si="215"/>
        <v>0</v>
      </c>
      <c r="DP113" s="228">
        <f t="shared" si="216"/>
        <v>60</v>
      </c>
      <c r="DQ113" s="229">
        <f t="shared" si="235"/>
        <v>99</v>
      </c>
      <c r="DR113" s="229">
        <f t="shared" si="236"/>
        <v>1.6</v>
      </c>
      <c r="DS113" s="229">
        <f t="shared" si="237"/>
        <v>0</v>
      </c>
      <c r="DT113" s="229">
        <f t="shared" si="238"/>
        <v>0.7</v>
      </c>
      <c r="DU113" s="229">
        <f t="shared" si="239"/>
        <v>0</v>
      </c>
      <c r="DV113" s="229">
        <f t="shared" si="240"/>
        <v>54</v>
      </c>
      <c r="DW113" s="229">
        <f t="shared" si="241"/>
        <v>0</v>
      </c>
      <c r="DX113" s="228">
        <f t="shared" si="217"/>
        <v>155.30000000000001</v>
      </c>
      <c r="DY113" s="229"/>
      <c r="DZ113" s="229"/>
      <c r="EA113" s="229"/>
      <c r="EB113" s="229"/>
      <c r="EC113" s="229"/>
      <c r="ED113" s="229"/>
      <c r="EE113" s="229"/>
      <c r="EF113" s="228">
        <f t="shared" si="220"/>
        <v>0</v>
      </c>
      <c r="EG113" s="228">
        <f t="shared" si="218"/>
        <v>155.30000000000001</v>
      </c>
      <c r="EH113" s="229">
        <f t="shared" si="221"/>
        <v>18.75</v>
      </c>
      <c r="EI113" s="229">
        <v>221.88</v>
      </c>
      <c r="EJ113" s="228">
        <f t="shared" si="308"/>
        <v>240.63</v>
      </c>
      <c r="EK113" s="229"/>
      <c r="EL113" s="229"/>
      <c r="EM113" s="228">
        <f t="shared" ref="EM113:EM118" si="344">SUM(EK113:EL113)</f>
        <v>0</v>
      </c>
      <c r="EN113" s="229">
        <f t="shared" si="192"/>
        <v>18.75</v>
      </c>
      <c r="EO113" s="229">
        <f t="shared" si="212"/>
        <v>221.88</v>
      </c>
      <c r="EP113" s="228">
        <f t="shared" ref="EP113:EP131" si="345">EM113+EJ113</f>
        <v>240.63</v>
      </c>
      <c r="EQ113" s="173">
        <f t="shared" si="222"/>
        <v>0</v>
      </c>
      <c r="ER113" s="189">
        <v>0</v>
      </c>
      <c r="ES113" s="189">
        <v>0</v>
      </c>
      <c r="ET113" s="189">
        <v>0</v>
      </c>
      <c r="EU113" s="189">
        <v>0</v>
      </c>
      <c r="EV113" s="189">
        <v>0</v>
      </c>
      <c r="EW113" s="189">
        <v>0</v>
      </c>
      <c r="EX113" s="189">
        <v>0</v>
      </c>
      <c r="EY113" s="189">
        <v>0</v>
      </c>
      <c r="EZ113" s="189">
        <v>0</v>
      </c>
      <c r="FA113" s="189">
        <v>0</v>
      </c>
      <c r="FB113" s="189">
        <v>0</v>
      </c>
      <c r="FC113" s="189">
        <v>60</v>
      </c>
      <c r="FD113" s="189">
        <v>99</v>
      </c>
      <c r="FE113" s="189">
        <v>1.6</v>
      </c>
      <c r="FF113" s="189">
        <v>0</v>
      </c>
      <c r="FG113" s="189">
        <v>0.7</v>
      </c>
      <c r="FH113" s="189">
        <v>54</v>
      </c>
      <c r="FI113" s="189">
        <v>0</v>
      </c>
      <c r="FJ113" s="189">
        <v>0</v>
      </c>
      <c r="FK113" s="189">
        <v>215.3</v>
      </c>
      <c r="FL113" s="189">
        <v>173</v>
      </c>
      <c r="FN113" s="132">
        <v>18.75</v>
      </c>
    </row>
    <row r="114" spans="1:170" ht="30" customHeight="1">
      <c r="A114" s="88">
        <f>COUNTIF($H$12:H114,H114)</f>
        <v>15</v>
      </c>
      <c r="B114" s="88" t="s">
        <v>1980</v>
      </c>
      <c r="C114" s="88" t="s">
        <v>2137</v>
      </c>
      <c r="D114" s="88"/>
      <c r="E114" s="88"/>
      <c r="F114" s="301" t="s">
        <v>2817</v>
      </c>
      <c r="G114" s="89" t="s">
        <v>624</v>
      </c>
      <c r="H114" s="88">
        <v>2</v>
      </c>
      <c r="I114" s="88">
        <v>2</v>
      </c>
      <c r="J114" s="88">
        <v>2</v>
      </c>
      <c r="K114" s="90" t="s">
        <v>1412</v>
      </c>
      <c r="L114" s="90" t="s">
        <v>1412</v>
      </c>
      <c r="M114" s="214"/>
      <c r="N114" s="88" t="s">
        <v>1804</v>
      </c>
      <c r="O114" s="216">
        <f t="shared" si="317"/>
        <v>3</v>
      </c>
      <c r="P114" s="88" t="str">
        <f t="shared" si="299"/>
        <v>B1_3</v>
      </c>
      <c r="Q114" s="88">
        <f t="shared" si="331"/>
        <v>270</v>
      </c>
      <c r="R114" s="88">
        <f t="shared" si="332"/>
        <v>100</v>
      </c>
      <c r="S114" s="231" t="s">
        <v>1927</v>
      </c>
      <c r="T114" s="214" t="s">
        <v>2961</v>
      </c>
      <c r="U114" s="88">
        <f>IF(RIGHT(T114,1)="K",(VLOOKUP(T114,ma_miengiam!$A$3:$B$80,2,0)*100)/2,VLOOKUP(T114,ma_miengiam!$A$3:$B$80,2,0)*100)</f>
        <v>100</v>
      </c>
      <c r="V114" s="88"/>
      <c r="W114" s="220">
        <f>IF(AND(T114="NTS",V114&gt;0),(Q114-(Q114*V114)/12)*VLOOKUP(T114,ma_miengiam!$A$3:$B$80,2,0)+(Q114-(Q114*(12-V114))/12),IF(AND(RIGHT(T114,1)="K",V114&gt;0),(VLOOKUP(T114,ma_miengiam!$A$3:$B$80,2,0)/2)*(Q114*V114)/12,IF(RIGHT(T114,1)="K",(VLOOKUP(T114,ma_miengiam!$A$3:$B$80,2,0)*Q114)/2,IF(V114&gt;0,VLOOKUP(T114,ma_miengiam!$A$3:$B$80,2,0)*Q114*V114/12,VLOOKUP(T114,ma_miengiam!$A$3:$B$80,2,0)*Q114))))</f>
        <v>270</v>
      </c>
      <c r="X114" s="220">
        <f>IF(T114="NTS",VLOOKUP(T114,ma_miengiam!$A$3:$B$80,2,0)*R114*V114,IF(AND(T114="NTS",V114=0),0,IF(AND(LEFT(T114,1)="K",V114=0),VLOOKUP(T114,ma_miengiam!$A$3:$B$80,2,0)*R114,IF(LEFT(T114,1)="K",(VLOOKUP(T114,ma_miengiam!$A$3:$B$80,2,0)*R114/12)*V114,IF(AND(LEFT(T114,1)="S",V114&gt;0),(R114/12)*V114,IF(AND(LEFT(T114,1)="S",V114=0),R114,IF(T114="DH",VLOOKUP(T114,ma_miengiam!$A$3:$B$80,2,0)*R114,0)))))))</f>
        <v>100</v>
      </c>
      <c r="Y114" s="220">
        <f t="shared" si="336"/>
        <v>0</v>
      </c>
      <c r="Z114" s="220">
        <f t="shared" si="337"/>
        <v>0</v>
      </c>
      <c r="AA114" s="220">
        <f t="shared" si="338"/>
        <v>270</v>
      </c>
      <c r="AB114" s="220">
        <f t="shared" si="338"/>
        <v>100</v>
      </c>
      <c r="AC114" s="220">
        <f t="shared" si="339"/>
        <v>270</v>
      </c>
      <c r="AD114" s="220">
        <f t="shared" si="339"/>
        <v>100</v>
      </c>
      <c r="AE114" s="220">
        <f t="shared" si="339"/>
        <v>0</v>
      </c>
      <c r="AF114" s="220">
        <f t="shared" si="339"/>
        <v>0</v>
      </c>
      <c r="AG114" s="220">
        <f t="shared" si="333"/>
        <v>0</v>
      </c>
      <c r="AH114" s="220">
        <f t="shared" si="334"/>
        <v>0</v>
      </c>
      <c r="AI114" s="220">
        <f t="shared" si="335"/>
        <v>0</v>
      </c>
      <c r="AJ114" s="220">
        <f t="shared" si="328"/>
        <v>0</v>
      </c>
      <c r="AK114" s="216">
        <f t="shared" si="247"/>
        <v>0</v>
      </c>
      <c r="AL114" s="220">
        <f t="shared" si="248"/>
        <v>0</v>
      </c>
      <c r="AM114" s="220">
        <f t="shared" si="249"/>
        <v>0</v>
      </c>
      <c r="AN114" s="221">
        <f t="shared" si="250"/>
        <v>0</v>
      </c>
      <c r="AO114" s="220">
        <f t="shared" si="251"/>
        <v>0</v>
      </c>
      <c r="AP114" s="220">
        <f t="shared" si="252"/>
        <v>0</v>
      </c>
      <c r="AQ114" s="220">
        <f t="shared" si="253"/>
        <v>0</v>
      </c>
      <c r="AR114" s="220">
        <f t="shared" si="254"/>
        <v>0</v>
      </c>
      <c r="AS114" s="220">
        <f t="shared" si="255"/>
        <v>0</v>
      </c>
      <c r="AT114" s="216">
        <f t="shared" si="256"/>
        <v>0</v>
      </c>
      <c r="AU114" s="222">
        <f t="shared" si="209"/>
        <v>0</v>
      </c>
      <c r="AV114" s="220"/>
      <c r="AW114" s="220">
        <f t="shared" si="183"/>
        <v>0</v>
      </c>
      <c r="AX114" s="216">
        <f t="shared" si="265"/>
        <v>0</v>
      </c>
      <c r="AY114" s="220">
        <f t="shared" si="193"/>
        <v>0</v>
      </c>
      <c r="AZ114" s="220">
        <f t="shared" si="194"/>
        <v>0</v>
      </c>
      <c r="BA114" s="220">
        <f t="shared" si="195"/>
        <v>0</v>
      </c>
      <c r="BB114" s="220">
        <f t="shared" si="196"/>
        <v>0</v>
      </c>
      <c r="BC114" s="220">
        <f t="shared" si="197"/>
        <v>0</v>
      </c>
      <c r="BD114" s="216">
        <f t="shared" si="184"/>
        <v>0</v>
      </c>
      <c r="BE114" s="220">
        <f t="shared" si="185"/>
        <v>0</v>
      </c>
      <c r="BF114" s="220">
        <f t="shared" si="186"/>
        <v>0</v>
      </c>
      <c r="BG114" s="220">
        <f t="shared" si="187"/>
        <v>0</v>
      </c>
      <c r="BH114" s="220">
        <f t="shared" si="188"/>
        <v>0</v>
      </c>
      <c r="BI114" s="220">
        <f t="shared" si="189"/>
        <v>0</v>
      </c>
      <c r="BJ114" s="220" t="s">
        <v>1032</v>
      </c>
      <c r="BK114" s="220"/>
      <c r="BL114" s="223">
        <f t="shared" si="257"/>
        <v>0</v>
      </c>
      <c r="BM114" s="220">
        <v>3</v>
      </c>
      <c r="BN114" s="220"/>
      <c r="BO114" s="220">
        <f t="shared" si="301"/>
        <v>3</v>
      </c>
      <c r="BP114" s="220">
        <f>IF(AND(BL114&gt;0,BL114&lt;tiet!$D$1),BL114,IF(BL114&lt;=0,0,IF(BL114&gt;tiet!$C$1,tiet!$C$1)))</f>
        <v>0</v>
      </c>
      <c r="BQ114" s="87">
        <f t="shared" si="302"/>
        <v>60000</v>
      </c>
      <c r="BR114" s="224">
        <f t="shared" si="303"/>
        <v>0</v>
      </c>
      <c r="BS114" s="220">
        <f t="shared" si="219"/>
        <v>0</v>
      </c>
      <c r="BT114" s="224">
        <f>VLOOKUP(N114,ma_dinhmuc!$A$1:$J$31,10,0)</f>
        <v>51000</v>
      </c>
      <c r="BU114" s="224">
        <f>ROUND(IF(BS114&gt;0,VLOOKUP(N114,ma_dinhmuc!$A$1:$J$31,10,0)*BS114,0),0)</f>
        <v>0</v>
      </c>
      <c r="BV114" s="224">
        <f t="shared" si="304"/>
        <v>0</v>
      </c>
      <c r="BW114" s="224"/>
      <c r="BX114" s="224">
        <v>0</v>
      </c>
      <c r="BY114" s="224"/>
      <c r="BZ114" s="224"/>
      <c r="CA114" s="224"/>
      <c r="CB114" s="224"/>
      <c r="CC114" s="225">
        <f t="shared" si="198"/>
        <v>0</v>
      </c>
      <c r="CD114" s="224">
        <f t="shared" si="199"/>
        <v>0</v>
      </c>
      <c r="CE114" s="224"/>
      <c r="CF114" s="226"/>
      <c r="CG114" s="87"/>
      <c r="CH114" s="87">
        <f t="shared" si="272"/>
        <v>15</v>
      </c>
      <c r="CI114" s="227" t="str">
        <f t="shared" ref="CI114:CK115" si="346">F114</f>
        <v>Đỗ Thị</v>
      </c>
      <c r="CJ114" s="227" t="str">
        <f t="shared" si="346"/>
        <v>Huế</v>
      </c>
      <c r="CK114" s="87">
        <f t="shared" si="346"/>
        <v>2</v>
      </c>
      <c r="CL114" s="227" t="str">
        <f t="shared" si="307"/>
        <v>Di truyền Giống gia súc</v>
      </c>
      <c r="CM114" s="87" t="str">
        <f t="shared" si="190"/>
        <v>CS2</v>
      </c>
      <c r="CN114" s="87">
        <f t="shared" si="343"/>
        <v>270</v>
      </c>
      <c r="CO114" s="87">
        <f t="shared" si="343"/>
        <v>100</v>
      </c>
      <c r="CP114" s="229">
        <f t="shared" si="223"/>
        <v>0</v>
      </c>
      <c r="CQ114" s="229">
        <f t="shared" si="224"/>
        <v>0</v>
      </c>
      <c r="CR114" s="229">
        <f t="shared" si="225"/>
        <v>0</v>
      </c>
      <c r="CS114" s="229">
        <f t="shared" si="226"/>
        <v>0</v>
      </c>
      <c r="CT114" s="229">
        <f t="shared" si="227"/>
        <v>0</v>
      </c>
      <c r="CU114" s="229">
        <f t="shared" si="228"/>
        <v>0</v>
      </c>
      <c r="CV114" s="229">
        <f t="shared" si="229"/>
        <v>0</v>
      </c>
      <c r="CW114" s="229">
        <f t="shared" si="230"/>
        <v>0</v>
      </c>
      <c r="CX114" s="229">
        <f t="shared" si="231"/>
        <v>0</v>
      </c>
      <c r="CY114" s="229">
        <f t="shared" si="232"/>
        <v>0</v>
      </c>
      <c r="CZ114" s="229">
        <f t="shared" si="233"/>
        <v>0</v>
      </c>
      <c r="DA114" s="229">
        <f t="shared" si="234"/>
        <v>0</v>
      </c>
      <c r="DB114" s="228">
        <f t="shared" si="214"/>
        <v>0</v>
      </c>
      <c r="DC114" s="229"/>
      <c r="DD114" s="229"/>
      <c r="DE114" s="229"/>
      <c r="DF114" s="229"/>
      <c r="DG114" s="229"/>
      <c r="DH114" s="229"/>
      <c r="DI114" s="229"/>
      <c r="DJ114" s="229"/>
      <c r="DK114" s="229"/>
      <c r="DL114" s="229"/>
      <c r="DM114" s="229"/>
      <c r="DN114" s="229"/>
      <c r="DO114" s="228">
        <f t="shared" si="215"/>
        <v>0</v>
      </c>
      <c r="DP114" s="228">
        <f t="shared" si="216"/>
        <v>0</v>
      </c>
      <c r="DQ114" s="229">
        <f t="shared" si="235"/>
        <v>0</v>
      </c>
      <c r="DR114" s="229">
        <f t="shared" si="236"/>
        <v>0</v>
      </c>
      <c r="DS114" s="229">
        <f t="shared" si="237"/>
        <v>0</v>
      </c>
      <c r="DT114" s="229">
        <f t="shared" si="238"/>
        <v>0</v>
      </c>
      <c r="DU114" s="229">
        <f t="shared" si="239"/>
        <v>0</v>
      </c>
      <c r="DV114" s="229">
        <f t="shared" si="240"/>
        <v>0</v>
      </c>
      <c r="DW114" s="229">
        <f t="shared" si="241"/>
        <v>0</v>
      </c>
      <c r="DX114" s="228">
        <f t="shared" si="217"/>
        <v>0</v>
      </c>
      <c r="DY114" s="229"/>
      <c r="DZ114" s="229"/>
      <c r="EA114" s="229"/>
      <c r="EB114" s="229"/>
      <c r="EC114" s="229"/>
      <c r="ED114" s="229"/>
      <c r="EE114" s="229"/>
      <c r="EF114" s="228">
        <f t="shared" si="220"/>
        <v>0</v>
      </c>
      <c r="EG114" s="228">
        <f t="shared" si="218"/>
        <v>0</v>
      </c>
      <c r="EH114" s="229">
        <f t="shared" si="221"/>
        <v>0</v>
      </c>
      <c r="EI114" s="229">
        <v>0</v>
      </c>
      <c r="EJ114" s="228">
        <f t="shared" si="308"/>
        <v>0</v>
      </c>
      <c r="EK114" s="229"/>
      <c r="EL114" s="229"/>
      <c r="EM114" s="228">
        <f t="shared" si="344"/>
        <v>0</v>
      </c>
      <c r="EN114" s="229">
        <f t="shared" si="192"/>
        <v>0</v>
      </c>
      <c r="EO114" s="229">
        <f t="shared" si="212"/>
        <v>0</v>
      </c>
      <c r="EP114" s="228">
        <f>EM114+EJ114</f>
        <v>0</v>
      </c>
      <c r="EQ114" s="173">
        <f t="shared" si="222"/>
        <v>0</v>
      </c>
      <c r="ER114" s="189">
        <v>0</v>
      </c>
      <c r="ES114" s="189">
        <v>0</v>
      </c>
      <c r="ET114" s="189">
        <v>0</v>
      </c>
      <c r="EU114" s="189">
        <v>0</v>
      </c>
      <c r="EV114" s="189">
        <v>0</v>
      </c>
      <c r="EW114" s="189">
        <v>0</v>
      </c>
      <c r="EX114" s="189">
        <v>0</v>
      </c>
      <c r="EY114" s="189">
        <v>0</v>
      </c>
      <c r="EZ114" s="189">
        <v>0</v>
      </c>
      <c r="FA114" s="189">
        <v>0</v>
      </c>
      <c r="FB114" s="189">
        <v>0</v>
      </c>
      <c r="FC114" s="189">
        <v>0</v>
      </c>
      <c r="FD114" s="189">
        <v>0</v>
      </c>
      <c r="FE114" s="189">
        <v>0</v>
      </c>
      <c r="FF114" s="189">
        <v>0</v>
      </c>
      <c r="FG114" s="189">
        <v>0</v>
      </c>
      <c r="FH114" s="189">
        <v>0</v>
      </c>
      <c r="FI114" s="189">
        <v>0</v>
      </c>
      <c r="FJ114" s="189">
        <v>0</v>
      </c>
      <c r="FK114" s="189">
        <v>0</v>
      </c>
      <c r="FL114" s="189">
        <v>0</v>
      </c>
      <c r="FN114" s="132">
        <v>0</v>
      </c>
    </row>
    <row r="115" spans="1:170" ht="34.5" customHeight="1">
      <c r="A115" s="88">
        <f>COUNTIF($H$12:H115,H115)</f>
        <v>16</v>
      </c>
      <c r="B115" s="88" t="s">
        <v>1981</v>
      </c>
      <c r="C115" s="88" t="s">
        <v>2138</v>
      </c>
      <c r="D115" s="88"/>
      <c r="E115" s="88"/>
      <c r="F115" s="301" t="s">
        <v>722</v>
      </c>
      <c r="G115" s="89" t="s">
        <v>723</v>
      </c>
      <c r="H115" s="88">
        <v>2</v>
      </c>
      <c r="I115" s="88">
        <v>2</v>
      </c>
      <c r="J115" s="88">
        <v>2</v>
      </c>
      <c r="K115" s="90" t="s">
        <v>1412</v>
      </c>
      <c r="L115" s="90" t="s">
        <v>1412</v>
      </c>
      <c r="M115" s="214"/>
      <c r="N115" s="88" t="s">
        <v>1804</v>
      </c>
      <c r="O115" s="216">
        <f>BO115</f>
        <v>3.33</v>
      </c>
      <c r="P115" s="88" t="str">
        <f t="shared" si="299"/>
        <v>B1_4</v>
      </c>
      <c r="Q115" s="88">
        <f t="shared" si="331"/>
        <v>270</v>
      </c>
      <c r="R115" s="88">
        <f t="shared" si="332"/>
        <v>120</v>
      </c>
      <c r="S115" s="218"/>
      <c r="T115" s="88" t="s">
        <v>3088</v>
      </c>
      <c r="U115" s="88">
        <f>IF(RIGHT(T115,1)="K",(VLOOKUP(T115,ma_miengiam!$A$3:$B$80,2,0)*100)/2,VLOOKUP(T115,ma_miengiam!$A$3:$B$80,2,0)*100)</f>
        <v>0</v>
      </c>
      <c r="V115" s="88"/>
      <c r="W115" s="220">
        <f>IF(AND(T115="NTS",V115&gt;0),(Q115-(Q115*V115)/12)*VLOOKUP(T115,ma_miengiam!$A$3:$B$80,2,0)+(Q115-(Q115*(12-V115))/12),IF(AND(RIGHT(T115,1)="K",V115&gt;0),(VLOOKUP(T115,ma_miengiam!$A$3:$B$80,2,0)/2)*(Q115*V115)/12,IF(RIGHT(T115,1)="K",(VLOOKUP(T115,ma_miengiam!$A$3:$B$80,2,0)*Q115)/2,IF(V115&gt;0,VLOOKUP(T115,ma_miengiam!$A$3:$B$80,2,0)*Q115*V115/12,VLOOKUP(T115,ma_miengiam!$A$3:$B$80,2,0)*Q115))))</f>
        <v>0</v>
      </c>
      <c r="X115" s="220">
        <f>IF(T115="NTS",VLOOKUP(T115,ma_miengiam!$A$3:$B$80,2,0)*R115*V115,IF(AND(T115="NTS",V115=0),0,IF(AND(LEFT(T115,1)="K",V115=0),VLOOKUP(T115,ma_miengiam!$A$3:$B$80,2,0)*R115,IF(LEFT(T115,1)="K",(VLOOKUP(T115,ma_miengiam!$A$3:$B$80,2,0)*R115/12)*V115,IF(AND(LEFT(T115,1)="S",V115&gt;0),(R115/12)*V115,IF(AND(LEFT(T115,1)="S",V115=0),R115,IF(T115="DH",VLOOKUP(T115,ma_miengiam!$A$3:$B$80,2,0)*R115,0)))))))</f>
        <v>0</v>
      </c>
      <c r="Y115" s="220">
        <f>IF(AND(T115="DH",V115&gt;0),(S115*V115/12),IF(AND(T115&lt;&gt;"NTS",V115&gt;0),(Q115*V115/12)-W115,IF(AND(T115="NTS",V115&gt;0),Q115-W115,Q115-W115)))</f>
        <v>270</v>
      </c>
      <c r="Z115" s="220">
        <f>IF(AND(T115="SĐH",V115&gt;0),(R115/12)*V115-X115,IF(AND(T115="DH",V115&gt;0),(R115*V115/12),IF(AND(T115&lt;&gt;"NTS",V115&gt;0),(R115*V115/12)-X115,IF(AND(T115="NTS",V115&gt;0),R115-X115,R115-X115))))</f>
        <v>120</v>
      </c>
      <c r="AA115" s="220">
        <f t="shared" si="338"/>
        <v>270</v>
      </c>
      <c r="AB115" s="220">
        <f t="shared" si="338"/>
        <v>120</v>
      </c>
      <c r="AC115" s="220">
        <f t="shared" si="339"/>
        <v>0</v>
      </c>
      <c r="AD115" s="220">
        <f t="shared" si="339"/>
        <v>0</v>
      </c>
      <c r="AE115" s="220">
        <f t="shared" si="339"/>
        <v>270</v>
      </c>
      <c r="AF115" s="220">
        <f t="shared" si="339"/>
        <v>120</v>
      </c>
      <c r="AG115" s="220">
        <f>AH115+AI115</f>
        <v>286.19</v>
      </c>
      <c r="AH115" s="220">
        <f>EO115</f>
        <v>69.13</v>
      </c>
      <c r="AI115" s="220">
        <f>EN115</f>
        <v>217.06</v>
      </c>
      <c r="AJ115" s="220">
        <f t="shared" ref="AJ115:AJ121" si="347">IF(AG115-Z115&gt;0,0,AG115-Z115)</f>
        <v>0</v>
      </c>
      <c r="AK115" s="216">
        <f t="shared" si="247"/>
        <v>270</v>
      </c>
      <c r="AL115" s="220">
        <f>SUM(CP115:CX115)+SUM(DC115:DK115)</f>
        <v>204.2</v>
      </c>
      <c r="AM115" s="220">
        <f>SUM(DQ115:DU115)+SUM(DY115:EC115)</f>
        <v>47.6</v>
      </c>
      <c r="AN115" s="221">
        <f>AM115+AL115</f>
        <v>251.79999999999998</v>
      </c>
      <c r="AO115" s="220">
        <f>CY115+DL115</f>
        <v>0</v>
      </c>
      <c r="AP115" s="220">
        <f>CZ115+DM115</f>
        <v>0</v>
      </c>
      <c r="AQ115" s="220">
        <f>DA115+DN115</f>
        <v>140</v>
      </c>
      <c r="AR115" s="220">
        <f>DV115+ED115</f>
        <v>118</v>
      </c>
      <c r="AS115" s="220">
        <f>DW115+EE115</f>
        <v>0</v>
      </c>
      <c r="AT115" s="216">
        <f>AN115+SUM(AO115:AS115)</f>
        <v>509.79999999999995</v>
      </c>
      <c r="AU115" s="222">
        <f>AN115-AK115</f>
        <v>-18.200000000000017</v>
      </c>
      <c r="AV115" s="220"/>
      <c r="AW115" s="220">
        <f>IF(AU115&gt;0,AU115,AV115+AU115)</f>
        <v>-18.200000000000017</v>
      </c>
      <c r="AX115" s="216">
        <f t="shared" si="265"/>
        <v>-18.200000000000017</v>
      </c>
      <c r="AY115" s="220">
        <f>IF(AN115&gt;=AK115,AO115,IF(AN115+AO115-AK115&gt;=0,AN115+AO115-AK115,0))</f>
        <v>0</v>
      </c>
      <c r="AZ115" s="220">
        <f>IF(OR(AN115&gt;=AK115,AN115+AO115&gt;=AK115),AP115,IF(AN115+AO115+AP115&gt;AK115,AN115+AO115+AP115-AK115,0))</f>
        <v>0</v>
      </c>
      <c r="BA115" s="220">
        <f>IF(OR(AN115&gt;=AK115,AN115+AO115&gt;=AK115,AN115+AO115+AP115&gt;=AK115),AQ115,IF(AN115+AO115+AP115+AQ115&gt;=AK115,AN115+AO115+AP115+AQ115-AK115,0))</f>
        <v>121.79999999999995</v>
      </c>
      <c r="BB115" s="220">
        <f>IF(OR(AN115&gt;=AK115,AN115+AO115&gt;=AK115,AN115+AO115+AP115&gt;=AK115,AN115+AO115+AP115+AQ115&gt;=AK115),AR115,IF(AN115+AO115+AP115+AQ115+AR115&gt;=AK115,AN115+AO115+AP115+AQ115+AR115-AK115,0))</f>
        <v>118</v>
      </c>
      <c r="BC115" s="220">
        <f>IF(OR(AN115&gt;=AK115,AN115+AO115&gt;=AK115,AN115+AO115+AP115&gt;=AK115,AN115+AO115+AP115+AQ115&gt;=AK115,AN115+AO115+AP115+AQ115+AR115&gt;=AK115),AS115,IF(AN115+AO115+AP115+AQ115+AR115+AS115&gt;=AK115,AN115+AO115+AP115+AQ115+AR115+AS115-AK115,0))</f>
        <v>0</v>
      </c>
      <c r="BD115" s="216">
        <f t="shared" si="184"/>
        <v>239.79999999999995</v>
      </c>
      <c r="BE115" s="220">
        <f>AY115-AO115</f>
        <v>0</v>
      </c>
      <c r="BF115" s="220">
        <f>AZ115-AP115</f>
        <v>0</v>
      </c>
      <c r="BG115" s="220">
        <f>BA115-AQ115</f>
        <v>-18.200000000000045</v>
      </c>
      <c r="BH115" s="220">
        <f>BB115-AR115</f>
        <v>0</v>
      </c>
      <c r="BI115" s="220">
        <f>BC115-AS115</f>
        <v>0</v>
      </c>
      <c r="BJ115" s="220" t="s">
        <v>1033</v>
      </c>
      <c r="BK115" s="220"/>
      <c r="BL115" s="223">
        <f t="shared" si="257"/>
        <v>0</v>
      </c>
      <c r="BM115" s="220">
        <v>3.33</v>
      </c>
      <c r="BN115" s="220"/>
      <c r="BO115" s="220">
        <f>ROUND(BM115+(BM115*BN115),2)</f>
        <v>3.33</v>
      </c>
      <c r="BP115" s="220">
        <f>IF(AND(BL115&gt;0,BL115&lt;tiet!$D$1),BL115,IF(BL115&lt;=0,0,IF(BL115&gt;tiet!$C$1,tiet!$C$1)))</f>
        <v>0</v>
      </c>
      <c r="BQ115" s="87">
        <f t="shared" si="302"/>
        <v>65000</v>
      </c>
      <c r="BR115" s="224">
        <f t="shared" si="303"/>
        <v>0</v>
      </c>
      <c r="BS115" s="220">
        <f t="shared" si="219"/>
        <v>0</v>
      </c>
      <c r="BT115" s="224">
        <f>VLOOKUP(N115,ma_dinhmuc!$A$1:$J$31,10,0)</f>
        <v>51000</v>
      </c>
      <c r="BU115" s="224">
        <f>ROUND(IF(BS115&gt;0,VLOOKUP(N115,ma_dinhmuc!$A$1:$J$31,10,0)*BS115,0),0)</f>
        <v>0</v>
      </c>
      <c r="BV115" s="224">
        <f t="shared" si="304"/>
        <v>0</v>
      </c>
      <c r="BW115" s="224"/>
      <c r="BX115" s="224">
        <v>0</v>
      </c>
      <c r="BY115" s="224"/>
      <c r="BZ115" s="224"/>
      <c r="CA115" s="224"/>
      <c r="CB115" s="224"/>
      <c r="CC115" s="225">
        <f>ROUND(IF(BV115+BW115&gt;BX115+BY115+BZ115+CA115+CB115,(BW115+BV115)-(BX115+BY115+BZ115+CA115+CB115+CB115),0),0)</f>
        <v>0</v>
      </c>
      <c r="CD115" s="224">
        <f>ROUND(IF(BV115+BW115&lt;BX115+BY115+BZ115+CA115-CB115,(BX115+BY115+BZ115+CA115-CB115)-(BW115+BV115),0),0)</f>
        <v>0</v>
      </c>
      <c r="CE115" s="224"/>
      <c r="CF115" s="226"/>
      <c r="CG115" s="87"/>
      <c r="CH115" s="87">
        <f>A115</f>
        <v>16</v>
      </c>
      <c r="CI115" s="227" t="str">
        <f t="shared" si="346"/>
        <v>Hà Xuân</v>
      </c>
      <c r="CJ115" s="227" t="str">
        <f t="shared" si="346"/>
        <v>Bộ</v>
      </c>
      <c r="CK115" s="87">
        <f t="shared" si="346"/>
        <v>2</v>
      </c>
      <c r="CL115" s="227" t="str">
        <f>L115</f>
        <v>Di truyền Giống gia súc</v>
      </c>
      <c r="CM115" s="87" t="str">
        <f>N115</f>
        <v>CS2</v>
      </c>
      <c r="CN115" s="87">
        <f t="shared" si="343"/>
        <v>270</v>
      </c>
      <c r="CO115" s="87">
        <f t="shared" si="343"/>
        <v>120</v>
      </c>
      <c r="CP115" s="229">
        <f t="shared" si="223"/>
        <v>0</v>
      </c>
      <c r="CQ115" s="229">
        <f t="shared" si="224"/>
        <v>30.3</v>
      </c>
      <c r="CR115" s="229">
        <f t="shared" si="225"/>
        <v>12.2</v>
      </c>
      <c r="CS115" s="229">
        <f t="shared" si="226"/>
        <v>0</v>
      </c>
      <c r="CT115" s="229">
        <f t="shared" si="227"/>
        <v>0</v>
      </c>
      <c r="CU115" s="229">
        <f t="shared" si="228"/>
        <v>61.7</v>
      </c>
      <c r="CV115" s="229">
        <f t="shared" si="229"/>
        <v>0</v>
      </c>
      <c r="CW115" s="229">
        <f t="shared" si="230"/>
        <v>100</v>
      </c>
      <c r="CX115" s="229">
        <f t="shared" si="231"/>
        <v>0</v>
      </c>
      <c r="CY115" s="229">
        <f t="shared" si="232"/>
        <v>0</v>
      </c>
      <c r="CZ115" s="229">
        <f t="shared" si="233"/>
        <v>0</v>
      </c>
      <c r="DA115" s="229">
        <f t="shared" si="234"/>
        <v>140</v>
      </c>
      <c r="DB115" s="228">
        <f>SUM(CP115:DA115)</f>
        <v>344.2</v>
      </c>
      <c r="DC115" s="229"/>
      <c r="DD115" s="229"/>
      <c r="DE115" s="229"/>
      <c r="DF115" s="229"/>
      <c r="DG115" s="229"/>
      <c r="DH115" s="229"/>
      <c r="DI115" s="229"/>
      <c r="DJ115" s="229"/>
      <c r="DK115" s="229"/>
      <c r="DL115" s="229"/>
      <c r="DM115" s="229"/>
      <c r="DN115" s="229"/>
      <c r="DO115" s="228">
        <f>SUM(DC115:DN115)</f>
        <v>0</v>
      </c>
      <c r="DP115" s="228">
        <f>DO115+DB115</f>
        <v>344.2</v>
      </c>
      <c r="DQ115" s="229">
        <f t="shared" si="235"/>
        <v>45</v>
      </c>
      <c r="DR115" s="229">
        <f t="shared" si="236"/>
        <v>1.9</v>
      </c>
      <c r="DS115" s="229">
        <f t="shared" si="237"/>
        <v>0</v>
      </c>
      <c r="DT115" s="229">
        <f t="shared" si="238"/>
        <v>0.7</v>
      </c>
      <c r="DU115" s="229">
        <f t="shared" si="239"/>
        <v>0</v>
      </c>
      <c r="DV115" s="229">
        <f t="shared" si="240"/>
        <v>118</v>
      </c>
      <c r="DW115" s="229">
        <f t="shared" si="241"/>
        <v>0</v>
      </c>
      <c r="DX115" s="228">
        <f>SUM(DQ115:DW115)</f>
        <v>165.6</v>
      </c>
      <c r="DY115" s="229"/>
      <c r="DZ115" s="229"/>
      <c r="EA115" s="229"/>
      <c r="EB115" s="229"/>
      <c r="EC115" s="229"/>
      <c r="ED115" s="229"/>
      <c r="EE115" s="229"/>
      <c r="EF115" s="228">
        <f t="shared" si="220"/>
        <v>0</v>
      </c>
      <c r="EG115" s="228">
        <f>EF115+DX115</f>
        <v>165.6</v>
      </c>
      <c r="EH115" s="229">
        <f t="shared" si="221"/>
        <v>217.06</v>
      </c>
      <c r="EI115" s="229">
        <v>69.13</v>
      </c>
      <c r="EJ115" s="228">
        <f t="shared" si="308"/>
        <v>286.19</v>
      </c>
      <c r="EK115" s="229"/>
      <c r="EL115" s="229"/>
      <c r="EM115" s="228">
        <f>SUM(EK115:EL115)</f>
        <v>0</v>
      </c>
      <c r="EN115" s="229">
        <f>EK115+EH115+EL115</f>
        <v>217.06</v>
      </c>
      <c r="EO115" s="229">
        <f>EI115</f>
        <v>69.13</v>
      </c>
      <c r="EP115" s="228">
        <f>EM115+EJ115</f>
        <v>286.19</v>
      </c>
      <c r="EQ115" s="173">
        <f t="shared" si="222"/>
        <v>97.06</v>
      </c>
      <c r="ER115" s="189">
        <v>0</v>
      </c>
      <c r="ES115" s="189">
        <v>30.3</v>
      </c>
      <c r="ET115" s="189">
        <v>12.2</v>
      </c>
      <c r="EU115" s="189">
        <v>0</v>
      </c>
      <c r="EV115" s="189">
        <v>0</v>
      </c>
      <c r="EW115" s="189">
        <v>61.7</v>
      </c>
      <c r="EX115" s="189">
        <v>0</v>
      </c>
      <c r="EY115" s="189">
        <v>100</v>
      </c>
      <c r="EZ115" s="189">
        <v>0</v>
      </c>
      <c r="FA115" s="189">
        <v>0</v>
      </c>
      <c r="FB115" s="189">
        <v>0</v>
      </c>
      <c r="FC115" s="189">
        <v>140</v>
      </c>
      <c r="FD115" s="189">
        <v>45</v>
      </c>
      <c r="FE115" s="189">
        <v>1.9</v>
      </c>
      <c r="FF115" s="189">
        <v>0</v>
      </c>
      <c r="FG115" s="189">
        <v>0.7</v>
      </c>
      <c r="FH115" s="189">
        <v>118</v>
      </c>
      <c r="FI115" s="189">
        <v>0</v>
      </c>
      <c r="FJ115" s="189">
        <v>0</v>
      </c>
      <c r="FK115" s="189">
        <v>509.8</v>
      </c>
      <c r="FL115" s="189">
        <v>429</v>
      </c>
      <c r="FN115" s="132">
        <v>217.06</v>
      </c>
    </row>
    <row r="116" spans="1:170" ht="30">
      <c r="A116" s="88">
        <f>COUNTIF($H$12:H116,H116)</f>
        <v>17</v>
      </c>
      <c r="B116" s="88" t="s">
        <v>1982</v>
      </c>
      <c r="C116" s="88" t="s">
        <v>2139</v>
      </c>
      <c r="D116" s="88"/>
      <c r="E116" s="88"/>
      <c r="F116" s="301" t="s">
        <v>725</v>
      </c>
      <c r="G116" s="89" t="s">
        <v>726</v>
      </c>
      <c r="H116" s="88">
        <v>2</v>
      </c>
      <c r="I116" s="88">
        <v>2</v>
      </c>
      <c r="J116" s="88">
        <v>2</v>
      </c>
      <c r="K116" s="90" t="s">
        <v>1412</v>
      </c>
      <c r="L116" s="90" t="s">
        <v>1412</v>
      </c>
      <c r="M116" s="214"/>
      <c r="N116" s="88" t="s">
        <v>605</v>
      </c>
      <c r="O116" s="216">
        <f t="shared" si="317"/>
        <v>6.2</v>
      </c>
      <c r="P116" s="88" t="str">
        <f t="shared" si="299"/>
        <v>B1_6</v>
      </c>
      <c r="Q116" s="88">
        <f t="shared" si="331"/>
        <v>270</v>
      </c>
      <c r="R116" s="88">
        <f t="shared" si="332"/>
        <v>170</v>
      </c>
      <c r="S116" s="230" t="s">
        <v>2028</v>
      </c>
      <c r="T116" s="214" t="s">
        <v>3092</v>
      </c>
      <c r="U116" s="88">
        <f>IF(RIGHT(T116,1)="K",(VLOOKUP(T116,ma_miengiam!$A$3:$B$80,2,0)*100)/2,VLOOKUP(T116,ma_miengiam!$A$3:$B$80,2,0)*100)</f>
        <v>25</v>
      </c>
      <c r="V116" s="88"/>
      <c r="W116" s="220">
        <f>IF(AND(T116="NTS",V116&gt;0),(Q116-(Q116*V116)/12)*VLOOKUP(T116,ma_miengiam!$A$3:$B$80,2,0)+(Q116-(Q116*(12-V116))/12),IF(AND(RIGHT(T116,1)="K",V116&gt;0),(VLOOKUP(T116,ma_miengiam!$A$3:$B$80,2,0)/2)*(Q116*V116)/12,IF(RIGHT(T116,1)="K",(VLOOKUP(T116,ma_miengiam!$A$3:$B$80,2,0)*Q116)/2,IF(V116&gt;0,VLOOKUP(T116,ma_miengiam!$A$3:$B$80,2,0)*Q116*V116/12,VLOOKUP(T116,ma_miengiam!$A$3:$B$80,2,0)*Q116))))</f>
        <v>67.5</v>
      </c>
      <c r="X116" s="220">
        <f>IF(T116="NTS",VLOOKUP(T116,ma_miengiam!$A$3:$B$80,2,0)*R116*V116,IF(AND(T116="NTS",V116=0),0,IF(AND(LEFT(T116,1)="K",V116=0),VLOOKUP(T116,ma_miengiam!$A$3:$B$80,2,0)*R116,IF(LEFT(T116,1)="K",(VLOOKUP(T116,ma_miengiam!$A$3:$B$80,2,0)*R116/12)*V116,IF(AND(LEFT(T116,1)="S",V116&gt;0),(R116/12)*V116,IF(AND(LEFT(T116,1)="S",V116=0),R116,IF(T116="DH",VLOOKUP(T116,ma_miengiam!$A$3:$B$80,2,0)*R116,0)))))))</f>
        <v>0</v>
      </c>
      <c r="Y116" s="220">
        <f t="shared" si="336"/>
        <v>202.5</v>
      </c>
      <c r="Z116" s="220">
        <f t="shared" si="337"/>
        <v>170</v>
      </c>
      <c r="AA116" s="220">
        <f t="shared" ref="AA116:AB119" si="348">Q116</f>
        <v>270</v>
      </c>
      <c r="AB116" s="220">
        <f t="shared" si="348"/>
        <v>170</v>
      </c>
      <c r="AC116" s="220">
        <f t="shared" ref="AC116:AF117" si="349">W116</f>
        <v>67.5</v>
      </c>
      <c r="AD116" s="220">
        <f t="shared" si="349"/>
        <v>0</v>
      </c>
      <c r="AE116" s="220">
        <f t="shared" si="349"/>
        <v>202.5</v>
      </c>
      <c r="AF116" s="220">
        <f t="shared" si="349"/>
        <v>170</v>
      </c>
      <c r="AG116" s="220">
        <f t="shared" si="333"/>
        <v>321.83</v>
      </c>
      <c r="AH116" s="220">
        <f t="shared" si="334"/>
        <v>69.599999999999994</v>
      </c>
      <c r="AI116" s="220">
        <f t="shared" si="335"/>
        <v>252.23</v>
      </c>
      <c r="AJ116" s="220">
        <f t="shared" si="347"/>
        <v>0</v>
      </c>
      <c r="AK116" s="216">
        <f t="shared" si="247"/>
        <v>202.5</v>
      </c>
      <c r="AL116" s="220">
        <f t="shared" si="248"/>
        <v>22.9</v>
      </c>
      <c r="AM116" s="220">
        <f t="shared" si="249"/>
        <v>18.400000000000002</v>
      </c>
      <c r="AN116" s="221">
        <f t="shared" si="250"/>
        <v>41.3</v>
      </c>
      <c r="AO116" s="220">
        <f t="shared" si="251"/>
        <v>0</v>
      </c>
      <c r="AP116" s="220">
        <f t="shared" si="252"/>
        <v>0</v>
      </c>
      <c r="AQ116" s="220">
        <f t="shared" si="253"/>
        <v>100</v>
      </c>
      <c r="AR116" s="220">
        <f t="shared" si="254"/>
        <v>48</v>
      </c>
      <c r="AS116" s="220">
        <f t="shared" si="255"/>
        <v>20</v>
      </c>
      <c r="AT116" s="216">
        <f t="shared" si="256"/>
        <v>209.3</v>
      </c>
      <c r="AU116" s="222">
        <f t="shared" si="209"/>
        <v>-161.19999999999999</v>
      </c>
      <c r="AV116" s="220"/>
      <c r="AW116" s="220">
        <f t="shared" ref="AW116:AW171" si="350">IF(AU116&gt;0,AU116,AV116+AU116)</f>
        <v>-161.19999999999999</v>
      </c>
      <c r="AX116" s="216">
        <f t="shared" si="265"/>
        <v>-161.19999999999999</v>
      </c>
      <c r="AY116" s="220">
        <f t="shared" si="193"/>
        <v>0</v>
      </c>
      <c r="AZ116" s="220">
        <f t="shared" si="194"/>
        <v>0</v>
      </c>
      <c r="BA116" s="220">
        <f t="shared" si="195"/>
        <v>0</v>
      </c>
      <c r="BB116" s="220">
        <f t="shared" si="196"/>
        <v>0</v>
      </c>
      <c r="BC116" s="220">
        <f t="shared" si="197"/>
        <v>6.8000000000000114</v>
      </c>
      <c r="BD116" s="216">
        <f t="shared" si="184"/>
        <v>6.8000000000000114</v>
      </c>
      <c r="BE116" s="220">
        <f t="shared" ref="BE116:BE171" si="351">AY116-AO116</f>
        <v>0</v>
      </c>
      <c r="BF116" s="220">
        <f t="shared" ref="BF116:BF171" si="352">AZ116-AP116</f>
        <v>0</v>
      </c>
      <c r="BG116" s="220">
        <f t="shared" ref="BG116:BG171" si="353">BA116-AQ116</f>
        <v>-100</v>
      </c>
      <c r="BH116" s="220">
        <f t="shared" ref="BH116:BH171" si="354">BB116-AR116</f>
        <v>-48</v>
      </c>
      <c r="BI116" s="220">
        <f t="shared" ref="BI116:BI171" si="355">BC116-AS116</f>
        <v>-13.199999999999989</v>
      </c>
      <c r="BJ116" s="220" t="s">
        <v>1033</v>
      </c>
      <c r="BK116" s="220"/>
      <c r="BL116" s="223">
        <f t="shared" si="257"/>
        <v>0</v>
      </c>
      <c r="BM116" s="220">
        <v>6.2</v>
      </c>
      <c r="BN116" s="220"/>
      <c r="BO116" s="220">
        <f t="shared" ref="BO116:BO123" si="356">ROUND(BM116+(BM116*BN116),2)</f>
        <v>6.2</v>
      </c>
      <c r="BP116" s="220">
        <f>IF(AND(BL116&gt;0,BL116&lt;tiet!$D$1),BL116,IF(BL116&lt;=0,0,IF(BL116&gt;tiet!$C$1,tiet!$C$1)))</f>
        <v>0</v>
      </c>
      <c r="BQ116" s="87">
        <f t="shared" si="302"/>
        <v>75000</v>
      </c>
      <c r="BR116" s="224">
        <f t="shared" si="303"/>
        <v>0</v>
      </c>
      <c r="BS116" s="220">
        <f t="shared" si="219"/>
        <v>0</v>
      </c>
      <c r="BT116" s="224">
        <f>VLOOKUP(N116,ma_dinhmuc!$A$1:$J$31,10,0)</f>
        <v>65000</v>
      </c>
      <c r="BU116" s="224">
        <f>ROUND(IF(BS116&gt;0,VLOOKUP(N116,ma_dinhmuc!$A$1:$J$31,10,0)*BS116,0),0)</f>
        <v>0</v>
      </c>
      <c r="BV116" s="224">
        <f t="shared" si="304"/>
        <v>0</v>
      </c>
      <c r="BW116" s="224"/>
      <c r="BX116" s="224">
        <v>0</v>
      </c>
      <c r="BY116" s="224"/>
      <c r="BZ116" s="224"/>
      <c r="CA116" s="224"/>
      <c r="CB116" s="224"/>
      <c r="CC116" s="225">
        <f t="shared" si="198"/>
        <v>0</v>
      </c>
      <c r="CD116" s="224">
        <f t="shared" si="199"/>
        <v>0</v>
      </c>
      <c r="CE116" s="224"/>
      <c r="CF116" s="226"/>
      <c r="CG116" s="87"/>
      <c r="CH116" s="87">
        <f t="shared" ref="CH116:CH121" si="357">A116</f>
        <v>17</v>
      </c>
      <c r="CI116" s="227" t="str">
        <f t="shared" si="340"/>
        <v>Đỗ Đức</v>
      </c>
      <c r="CJ116" s="227" t="str">
        <f t="shared" si="341"/>
        <v>Lực</v>
      </c>
      <c r="CK116" s="87">
        <f t="shared" si="342"/>
        <v>2</v>
      </c>
      <c r="CL116" s="227" t="str">
        <f t="shared" si="307"/>
        <v>Di truyền Giống gia súc</v>
      </c>
      <c r="CM116" s="87" t="str">
        <f t="shared" ref="CM116:CM171" si="358">N116</f>
        <v>CS4</v>
      </c>
      <c r="CN116" s="87">
        <f t="shared" ref="CN116:CN121" si="359">Q116</f>
        <v>270</v>
      </c>
      <c r="CO116" s="87">
        <f t="shared" ref="CO116:CO121" si="360">R116</f>
        <v>170</v>
      </c>
      <c r="CP116" s="229">
        <f t="shared" si="223"/>
        <v>0</v>
      </c>
      <c r="CQ116" s="229">
        <f t="shared" si="224"/>
        <v>0</v>
      </c>
      <c r="CR116" s="229">
        <f t="shared" si="225"/>
        <v>0</v>
      </c>
      <c r="CS116" s="229">
        <f t="shared" si="226"/>
        <v>0</v>
      </c>
      <c r="CT116" s="229">
        <f t="shared" si="227"/>
        <v>0</v>
      </c>
      <c r="CU116" s="229">
        <f t="shared" si="228"/>
        <v>22.9</v>
      </c>
      <c r="CV116" s="229">
        <f t="shared" si="229"/>
        <v>0</v>
      </c>
      <c r="CW116" s="229">
        <f t="shared" si="230"/>
        <v>0</v>
      </c>
      <c r="CX116" s="229">
        <f t="shared" si="231"/>
        <v>0</v>
      </c>
      <c r="CY116" s="229">
        <f t="shared" si="232"/>
        <v>0</v>
      </c>
      <c r="CZ116" s="229">
        <f t="shared" si="233"/>
        <v>0</v>
      </c>
      <c r="DA116" s="229">
        <f t="shared" si="234"/>
        <v>100</v>
      </c>
      <c r="DB116" s="228">
        <f t="shared" si="214"/>
        <v>122.9</v>
      </c>
      <c r="DC116" s="229"/>
      <c r="DD116" s="229"/>
      <c r="DE116" s="229"/>
      <c r="DF116" s="229"/>
      <c r="DG116" s="229"/>
      <c r="DH116" s="229"/>
      <c r="DI116" s="229"/>
      <c r="DJ116" s="229"/>
      <c r="DK116" s="229"/>
      <c r="DL116" s="229"/>
      <c r="DM116" s="229"/>
      <c r="DN116" s="229"/>
      <c r="DO116" s="228">
        <f t="shared" si="215"/>
        <v>0</v>
      </c>
      <c r="DP116" s="228">
        <f t="shared" si="216"/>
        <v>122.9</v>
      </c>
      <c r="DQ116" s="229">
        <f t="shared" si="235"/>
        <v>18</v>
      </c>
      <c r="DR116" s="229">
        <f t="shared" si="236"/>
        <v>0.3</v>
      </c>
      <c r="DS116" s="229">
        <f t="shared" si="237"/>
        <v>0</v>
      </c>
      <c r="DT116" s="229">
        <f t="shared" si="238"/>
        <v>0.1</v>
      </c>
      <c r="DU116" s="229">
        <f t="shared" si="239"/>
        <v>0</v>
      </c>
      <c r="DV116" s="229">
        <f t="shared" si="240"/>
        <v>48</v>
      </c>
      <c r="DW116" s="229">
        <f t="shared" si="241"/>
        <v>20</v>
      </c>
      <c r="DX116" s="228">
        <f t="shared" si="217"/>
        <v>86.4</v>
      </c>
      <c r="DY116" s="229"/>
      <c r="DZ116" s="229"/>
      <c r="EA116" s="229"/>
      <c r="EB116" s="229"/>
      <c r="EC116" s="229"/>
      <c r="ED116" s="229"/>
      <c r="EE116" s="229"/>
      <c r="EF116" s="228">
        <f t="shared" si="220"/>
        <v>0</v>
      </c>
      <c r="EG116" s="228">
        <f t="shared" si="218"/>
        <v>86.4</v>
      </c>
      <c r="EH116" s="229">
        <f t="shared" si="221"/>
        <v>252.23</v>
      </c>
      <c r="EI116" s="229">
        <v>69.599999999999994</v>
      </c>
      <c r="EJ116" s="228">
        <f t="shared" si="308"/>
        <v>321.83</v>
      </c>
      <c r="EK116" s="229"/>
      <c r="EL116" s="229"/>
      <c r="EM116" s="228">
        <f t="shared" si="344"/>
        <v>0</v>
      </c>
      <c r="EN116" s="229">
        <f t="shared" ref="EN116:EN131" si="361">EK116+EH116+EL116</f>
        <v>252.23</v>
      </c>
      <c r="EO116" s="229">
        <f t="shared" si="212"/>
        <v>69.599999999999994</v>
      </c>
      <c r="EP116" s="228">
        <f t="shared" si="345"/>
        <v>321.83</v>
      </c>
      <c r="EQ116" s="173">
        <f t="shared" si="222"/>
        <v>82.22999999999999</v>
      </c>
      <c r="ER116" s="189">
        <v>0</v>
      </c>
      <c r="ES116" s="189">
        <v>0</v>
      </c>
      <c r="ET116" s="189">
        <v>0</v>
      </c>
      <c r="EU116" s="189">
        <v>0</v>
      </c>
      <c r="EV116" s="189">
        <v>0</v>
      </c>
      <c r="EW116" s="189">
        <v>22.9</v>
      </c>
      <c r="EX116" s="189">
        <v>0</v>
      </c>
      <c r="EY116" s="189">
        <v>0</v>
      </c>
      <c r="EZ116" s="189">
        <v>0</v>
      </c>
      <c r="FA116" s="189">
        <v>0</v>
      </c>
      <c r="FB116" s="189">
        <v>0</v>
      </c>
      <c r="FC116" s="189">
        <v>100</v>
      </c>
      <c r="FD116" s="189">
        <v>18</v>
      </c>
      <c r="FE116" s="189">
        <v>0.3</v>
      </c>
      <c r="FF116" s="189">
        <v>0</v>
      </c>
      <c r="FG116" s="189">
        <v>0.1</v>
      </c>
      <c r="FH116" s="189">
        <v>48</v>
      </c>
      <c r="FI116" s="189">
        <v>0</v>
      </c>
      <c r="FJ116" s="189">
        <v>20</v>
      </c>
      <c r="FK116" s="189">
        <v>209.3</v>
      </c>
      <c r="FL116" s="189">
        <v>196</v>
      </c>
      <c r="FN116" s="132">
        <v>252.23</v>
      </c>
    </row>
    <row r="117" spans="1:170" ht="30" customHeight="1">
      <c r="A117" s="88">
        <f>COUNTIF($H$12:H117,H117)</f>
        <v>18</v>
      </c>
      <c r="B117" s="88" t="s">
        <v>1983</v>
      </c>
      <c r="C117" s="88" t="s">
        <v>2140</v>
      </c>
      <c r="D117" s="88"/>
      <c r="E117" s="88"/>
      <c r="F117" s="301" t="s">
        <v>727</v>
      </c>
      <c r="G117" s="89" t="s">
        <v>728</v>
      </c>
      <c r="H117" s="88">
        <v>2</v>
      </c>
      <c r="I117" s="88">
        <v>2</v>
      </c>
      <c r="J117" s="88">
        <v>2</v>
      </c>
      <c r="K117" s="90" t="s">
        <v>1412</v>
      </c>
      <c r="L117" s="90" t="s">
        <v>1412</v>
      </c>
      <c r="M117" s="214"/>
      <c r="N117" s="88" t="s">
        <v>1804</v>
      </c>
      <c r="O117" s="216">
        <f t="shared" si="317"/>
        <v>3.99</v>
      </c>
      <c r="P117" s="88" t="str">
        <f t="shared" si="299"/>
        <v>B1_4</v>
      </c>
      <c r="Q117" s="88">
        <f t="shared" si="331"/>
        <v>270</v>
      </c>
      <c r="R117" s="88">
        <f t="shared" si="332"/>
        <v>120</v>
      </c>
      <c r="S117" s="218"/>
      <c r="T117" s="88" t="s">
        <v>3088</v>
      </c>
      <c r="U117" s="88">
        <f>IF(RIGHT(T117,1)="K",(VLOOKUP(T117,ma_miengiam!$A$3:$B$80,2,0)*100)/2,VLOOKUP(T117,ma_miengiam!$A$3:$B$80,2,0)*100)</f>
        <v>0</v>
      </c>
      <c r="V117" s="88"/>
      <c r="W117" s="220">
        <f>IF(AND(T117="NTS",V117&gt;0),(Q117-(Q117*V117)/12)*VLOOKUP(T117,ma_miengiam!$A$3:$B$80,2,0)+(Q117-(Q117*(12-V117))/12),IF(AND(RIGHT(T117,1)="K",V117&gt;0),(VLOOKUP(T117,ma_miengiam!$A$3:$B$80,2,0)/2)*(Q117*V117)/12,IF(RIGHT(T117,1)="K",(VLOOKUP(T117,ma_miengiam!$A$3:$B$80,2,0)*Q117)/2,IF(V117&gt;0,VLOOKUP(T117,ma_miengiam!$A$3:$B$80,2,0)*Q117*V117/12,VLOOKUP(T117,ma_miengiam!$A$3:$B$80,2,0)*Q117))))</f>
        <v>0</v>
      </c>
      <c r="X117" s="220">
        <f>IF(T117="NTS",VLOOKUP(T117,ma_miengiam!$A$3:$B$80,2,0)*R117*V117,IF(AND(T117="NTS",V117=0),0,IF(AND(LEFT(T117,1)="K",V117=0),VLOOKUP(T117,ma_miengiam!$A$3:$B$80,2,0)*R117,IF(LEFT(T117,1)="K",(VLOOKUP(T117,ma_miengiam!$A$3:$B$80,2,0)*R117/12)*V117,IF(AND(LEFT(T117,1)="S",V117&gt;0),(R117/12)*V117,IF(AND(LEFT(T117,1)="S",V117=0),R117,IF(T117="DH",VLOOKUP(T117,ma_miengiam!$A$3:$B$80,2,0)*R117,0)))))))</f>
        <v>0</v>
      </c>
      <c r="Y117" s="220">
        <f t="shared" si="336"/>
        <v>270</v>
      </c>
      <c r="Z117" s="220">
        <f t="shared" si="337"/>
        <v>120</v>
      </c>
      <c r="AA117" s="220">
        <f t="shared" si="348"/>
        <v>270</v>
      </c>
      <c r="AB117" s="220">
        <f t="shared" si="348"/>
        <v>120</v>
      </c>
      <c r="AC117" s="220">
        <f t="shared" si="349"/>
        <v>0</v>
      </c>
      <c r="AD117" s="220">
        <f t="shared" si="349"/>
        <v>0</v>
      </c>
      <c r="AE117" s="220">
        <f t="shared" si="349"/>
        <v>270</v>
      </c>
      <c r="AF117" s="220">
        <f t="shared" si="349"/>
        <v>120</v>
      </c>
      <c r="AG117" s="220">
        <f t="shared" si="333"/>
        <v>619.36</v>
      </c>
      <c r="AH117" s="220">
        <f t="shared" si="334"/>
        <v>39.61</v>
      </c>
      <c r="AI117" s="220">
        <f t="shared" si="335"/>
        <v>579.75</v>
      </c>
      <c r="AJ117" s="220">
        <f t="shared" si="347"/>
        <v>0</v>
      </c>
      <c r="AK117" s="216">
        <f t="shared" si="247"/>
        <v>270</v>
      </c>
      <c r="AL117" s="220">
        <f t="shared" si="248"/>
        <v>105.1</v>
      </c>
      <c r="AM117" s="220">
        <f t="shared" si="249"/>
        <v>18.7</v>
      </c>
      <c r="AN117" s="221">
        <f t="shared" si="250"/>
        <v>123.8</v>
      </c>
      <c r="AO117" s="220">
        <f t="shared" si="251"/>
        <v>0</v>
      </c>
      <c r="AP117" s="220">
        <f t="shared" si="252"/>
        <v>0</v>
      </c>
      <c r="AQ117" s="220">
        <f t="shared" si="253"/>
        <v>120</v>
      </c>
      <c r="AR117" s="220">
        <f t="shared" si="254"/>
        <v>28</v>
      </c>
      <c r="AS117" s="220">
        <f t="shared" si="255"/>
        <v>40</v>
      </c>
      <c r="AT117" s="216">
        <f t="shared" si="256"/>
        <v>311.8</v>
      </c>
      <c r="AU117" s="222">
        <f t="shared" si="209"/>
        <v>-146.19999999999999</v>
      </c>
      <c r="AV117" s="220"/>
      <c r="AW117" s="220">
        <f t="shared" si="350"/>
        <v>-146.19999999999999</v>
      </c>
      <c r="AX117" s="216">
        <f t="shared" si="265"/>
        <v>-146.19999999999999</v>
      </c>
      <c r="AY117" s="220">
        <f t="shared" ref="AY117:AY172" si="362">IF(AN117&gt;=AK117,AO117,IF(AN117+AO117-AK117&gt;=0,AN117+AO117-AK117,0))</f>
        <v>0</v>
      </c>
      <c r="AZ117" s="220">
        <f t="shared" ref="AZ117:AZ172" si="363">IF(OR(AN117&gt;=AK117,AN117+AO117&gt;=AK117),AP117,IF(AN117+AO117+AP117&gt;AK117,AN117+AO117+AP117-AK117,0))</f>
        <v>0</v>
      </c>
      <c r="BA117" s="220">
        <f t="shared" ref="BA117:BA172" si="364">IF(OR(AN117&gt;=AK117,AN117+AO117&gt;=AK117,AN117+AO117+AP117&gt;=AK117),AQ117,IF(AN117+AO117+AP117+AQ117&gt;=AK117,AN117+AO117+AP117+AQ117-AK117,0))</f>
        <v>0</v>
      </c>
      <c r="BB117" s="220">
        <f t="shared" ref="BB117:BB172" si="365">IF(OR(AN117&gt;=AK117,AN117+AO117&gt;=AK117,AN117+AO117+AP117&gt;=AK117,AN117+AO117+AP117+AQ117&gt;=AK117),AR117,IF(AN117+AO117+AP117+AQ117+AR117&gt;=AK117,AN117+AO117+AP117+AQ117+AR117-AK117,0))</f>
        <v>1.8000000000000114</v>
      </c>
      <c r="BC117" s="220">
        <f t="shared" ref="BC117:BC172" si="366">IF(OR(AN117&gt;=AK117,AN117+AO117&gt;=AK117,AN117+AO117+AP117&gt;=AK117,AN117+AO117+AP117+AQ117&gt;=AK117,AN117+AO117+AP117+AQ117+AR117&gt;=AK117),AS117,IF(AN117+AO117+AP117+AQ117+AR117+AS117&gt;=AK117,AN117+AO117+AP117+AQ117+AR117+AS117-AK117,0))</f>
        <v>40</v>
      </c>
      <c r="BD117" s="216">
        <f t="shared" si="184"/>
        <v>41.800000000000011</v>
      </c>
      <c r="BE117" s="220">
        <f t="shared" si="351"/>
        <v>0</v>
      </c>
      <c r="BF117" s="220">
        <f t="shared" si="352"/>
        <v>0</v>
      </c>
      <c r="BG117" s="220">
        <f t="shared" si="353"/>
        <v>-120</v>
      </c>
      <c r="BH117" s="220">
        <f t="shared" si="354"/>
        <v>-26.199999999999989</v>
      </c>
      <c r="BI117" s="220">
        <f t="shared" si="355"/>
        <v>0</v>
      </c>
      <c r="BJ117" s="220" t="s">
        <v>1034</v>
      </c>
      <c r="BK117" s="220"/>
      <c r="BL117" s="223">
        <f t="shared" si="257"/>
        <v>0</v>
      </c>
      <c r="BM117" s="220">
        <v>3.99</v>
      </c>
      <c r="BN117" s="220"/>
      <c r="BO117" s="220">
        <f t="shared" si="356"/>
        <v>3.99</v>
      </c>
      <c r="BP117" s="220">
        <f>IF(AND(BL117&gt;0,BL117&lt;tiet!$D$1),BL117,IF(BL117&lt;=0,0,IF(BL117&gt;tiet!$C$1,tiet!$C$1)))</f>
        <v>0</v>
      </c>
      <c r="BQ117" s="87">
        <f t="shared" si="302"/>
        <v>65000</v>
      </c>
      <c r="BR117" s="224">
        <f t="shared" si="303"/>
        <v>0</v>
      </c>
      <c r="BS117" s="220">
        <f t="shared" si="219"/>
        <v>0</v>
      </c>
      <c r="BT117" s="224">
        <f>VLOOKUP(N117,ma_dinhmuc!$A$1:$J$31,10,0)</f>
        <v>51000</v>
      </c>
      <c r="BU117" s="224">
        <f>ROUND(IF(BS117&gt;0,VLOOKUP(N117,ma_dinhmuc!$A$1:$J$31,10,0)*BS117,0),0)</f>
        <v>0</v>
      </c>
      <c r="BV117" s="224">
        <f t="shared" si="304"/>
        <v>0</v>
      </c>
      <c r="BW117" s="224"/>
      <c r="BX117" s="224">
        <v>0</v>
      </c>
      <c r="BY117" s="224"/>
      <c r="BZ117" s="224"/>
      <c r="CA117" s="224"/>
      <c r="CB117" s="224"/>
      <c r="CC117" s="225">
        <f t="shared" si="198"/>
        <v>0</v>
      </c>
      <c r="CD117" s="224">
        <f t="shared" si="199"/>
        <v>0</v>
      </c>
      <c r="CE117" s="224"/>
      <c r="CF117" s="226"/>
      <c r="CG117" s="87"/>
      <c r="CH117" s="87">
        <f t="shared" si="357"/>
        <v>18</v>
      </c>
      <c r="CI117" s="227" t="str">
        <f t="shared" si="340"/>
        <v>Nguyễn Hoàng</v>
      </c>
      <c r="CJ117" s="227" t="str">
        <f t="shared" si="341"/>
        <v>Thịnh</v>
      </c>
      <c r="CK117" s="87">
        <f t="shared" si="342"/>
        <v>2</v>
      </c>
      <c r="CL117" s="227" t="str">
        <f t="shared" si="307"/>
        <v>Di truyền Giống gia súc</v>
      </c>
      <c r="CM117" s="87" t="str">
        <f t="shared" si="358"/>
        <v>CS2</v>
      </c>
      <c r="CN117" s="87">
        <f t="shared" si="359"/>
        <v>270</v>
      </c>
      <c r="CO117" s="87">
        <f t="shared" si="360"/>
        <v>120</v>
      </c>
      <c r="CP117" s="229">
        <f t="shared" si="223"/>
        <v>0</v>
      </c>
      <c r="CQ117" s="229">
        <f t="shared" si="224"/>
        <v>11.3</v>
      </c>
      <c r="CR117" s="229">
        <f t="shared" si="225"/>
        <v>4.5</v>
      </c>
      <c r="CS117" s="229">
        <f t="shared" si="226"/>
        <v>0</v>
      </c>
      <c r="CT117" s="229">
        <f t="shared" si="227"/>
        <v>0</v>
      </c>
      <c r="CU117" s="229">
        <f t="shared" si="228"/>
        <v>45.3</v>
      </c>
      <c r="CV117" s="229">
        <f t="shared" si="229"/>
        <v>0</v>
      </c>
      <c r="CW117" s="229">
        <f t="shared" si="230"/>
        <v>44</v>
      </c>
      <c r="CX117" s="229">
        <f t="shared" si="231"/>
        <v>0</v>
      </c>
      <c r="CY117" s="229">
        <f t="shared" si="232"/>
        <v>0</v>
      </c>
      <c r="CZ117" s="229">
        <f t="shared" si="233"/>
        <v>0</v>
      </c>
      <c r="DA117" s="229">
        <f t="shared" si="234"/>
        <v>120</v>
      </c>
      <c r="DB117" s="228">
        <f t="shared" si="214"/>
        <v>225.1</v>
      </c>
      <c r="DC117" s="229"/>
      <c r="DD117" s="229"/>
      <c r="DE117" s="229"/>
      <c r="DF117" s="229"/>
      <c r="DG117" s="229"/>
      <c r="DH117" s="229"/>
      <c r="DI117" s="229"/>
      <c r="DJ117" s="229"/>
      <c r="DK117" s="229"/>
      <c r="DL117" s="229"/>
      <c r="DM117" s="229"/>
      <c r="DN117" s="229"/>
      <c r="DO117" s="228">
        <f t="shared" si="215"/>
        <v>0</v>
      </c>
      <c r="DP117" s="228">
        <f t="shared" si="216"/>
        <v>225.1</v>
      </c>
      <c r="DQ117" s="229">
        <f t="shared" si="235"/>
        <v>18</v>
      </c>
      <c r="DR117" s="229">
        <f t="shared" si="236"/>
        <v>0.5</v>
      </c>
      <c r="DS117" s="229">
        <f t="shared" si="237"/>
        <v>0</v>
      </c>
      <c r="DT117" s="229">
        <f t="shared" si="238"/>
        <v>0.2</v>
      </c>
      <c r="DU117" s="229">
        <f t="shared" si="239"/>
        <v>0</v>
      </c>
      <c r="DV117" s="229">
        <f t="shared" si="240"/>
        <v>28</v>
      </c>
      <c r="DW117" s="229">
        <f t="shared" si="241"/>
        <v>40</v>
      </c>
      <c r="DX117" s="228">
        <f t="shared" si="217"/>
        <v>86.7</v>
      </c>
      <c r="DY117" s="229"/>
      <c r="DZ117" s="229"/>
      <c r="EA117" s="229"/>
      <c r="EB117" s="229"/>
      <c r="EC117" s="229"/>
      <c r="ED117" s="229"/>
      <c r="EE117" s="229"/>
      <c r="EF117" s="228">
        <f t="shared" si="220"/>
        <v>0</v>
      </c>
      <c r="EG117" s="228">
        <f t="shared" si="218"/>
        <v>86.7</v>
      </c>
      <c r="EH117" s="229">
        <f t="shared" si="221"/>
        <v>579.75</v>
      </c>
      <c r="EI117" s="229">
        <v>39.61</v>
      </c>
      <c r="EJ117" s="228">
        <f t="shared" si="308"/>
        <v>619.36</v>
      </c>
      <c r="EK117" s="229"/>
      <c r="EL117" s="229"/>
      <c r="EM117" s="228">
        <f t="shared" si="344"/>
        <v>0</v>
      </c>
      <c r="EN117" s="229">
        <f t="shared" si="361"/>
        <v>579.75</v>
      </c>
      <c r="EO117" s="229">
        <f t="shared" si="212"/>
        <v>39.61</v>
      </c>
      <c r="EP117" s="228">
        <f t="shared" si="345"/>
        <v>619.36</v>
      </c>
      <c r="EQ117" s="173">
        <f t="shared" si="222"/>
        <v>459.75</v>
      </c>
      <c r="ER117" s="189">
        <v>0</v>
      </c>
      <c r="ES117" s="189">
        <v>11.3</v>
      </c>
      <c r="ET117" s="189">
        <v>4.5</v>
      </c>
      <c r="EU117" s="189">
        <v>0</v>
      </c>
      <c r="EV117" s="189">
        <v>0</v>
      </c>
      <c r="EW117" s="189">
        <v>45.3</v>
      </c>
      <c r="EX117" s="189">
        <v>0</v>
      </c>
      <c r="EY117" s="189">
        <v>44</v>
      </c>
      <c r="EZ117" s="189">
        <v>0</v>
      </c>
      <c r="FA117" s="189">
        <v>0</v>
      </c>
      <c r="FB117" s="189">
        <v>0</v>
      </c>
      <c r="FC117" s="189">
        <v>120</v>
      </c>
      <c r="FD117" s="189">
        <v>18</v>
      </c>
      <c r="FE117" s="189">
        <v>0.5</v>
      </c>
      <c r="FF117" s="189">
        <v>0</v>
      </c>
      <c r="FG117" s="189">
        <v>0.2</v>
      </c>
      <c r="FH117" s="189">
        <v>28</v>
      </c>
      <c r="FI117" s="189">
        <v>0</v>
      </c>
      <c r="FJ117" s="189">
        <v>40</v>
      </c>
      <c r="FK117" s="189">
        <v>311.8</v>
      </c>
      <c r="FL117" s="189">
        <v>280</v>
      </c>
      <c r="FN117" s="132">
        <v>579.75</v>
      </c>
    </row>
    <row r="118" spans="1:170" ht="45">
      <c r="A118" s="88">
        <f>COUNTIF($H$12:H118,H118)</f>
        <v>19</v>
      </c>
      <c r="B118" s="88" t="s">
        <v>1984</v>
      </c>
      <c r="C118" s="88" t="s">
        <v>2591</v>
      </c>
      <c r="D118" s="88"/>
      <c r="E118" s="88"/>
      <c r="F118" s="301" t="s">
        <v>729</v>
      </c>
      <c r="G118" s="89" t="s">
        <v>8</v>
      </c>
      <c r="H118" s="88">
        <v>2</v>
      </c>
      <c r="I118" s="88">
        <v>2</v>
      </c>
      <c r="J118" s="88">
        <v>2</v>
      </c>
      <c r="K118" s="90" t="s">
        <v>1412</v>
      </c>
      <c r="L118" s="90" t="s">
        <v>1412</v>
      </c>
      <c r="M118" s="214"/>
      <c r="N118" s="88" t="s">
        <v>1804</v>
      </c>
      <c r="O118" s="216">
        <f t="shared" si="317"/>
        <v>3.99</v>
      </c>
      <c r="P118" s="88" t="str">
        <f t="shared" si="299"/>
        <v>B1_4</v>
      </c>
      <c r="Q118" s="88">
        <f t="shared" si="331"/>
        <v>270</v>
      </c>
      <c r="R118" s="88">
        <f t="shared" si="332"/>
        <v>120</v>
      </c>
      <c r="S118" s="230" t="s">
        <v>2029</v>
      </c>
      <c r="T118" s="88" t="s">
        <v>1326</v>
      </c>
      <c r="U118" s="88">
        <f>IF(RIGHT(T118,1)="K",(VLOOKUP(T118,ma_miengiam!$A$3:$B$80,2,0)*100)/2,VLOOKUP(T118,ma_miengiam!$A$3:$B$80,2,0)*100)</f>
        <v>65</v>
      </c>
      <c r="V118" s="88"/>
      <c r="W118" s="220">
        <f>IF(AND(T118="NTS",V118&gt;0),(Q118-(Q118*V118)/12)*VLOOKUP(T118,ma_miengiam!$A$3:$B$80,2,0)+(Q118-(Q118*(12-V118))/12),IF(AND(RIGHT(T118,1)="K",V118&gt;0),(VLOOKUP(T118,ma_miengiam!$A$3:$B$80,2,0)/2)*(Q118*V118)/12,IF(RIGHT(T118,1)="K",(VLOOKUP(T118,ma_miengiam!$A$3:$B$80,2,0)*Q118)/2,IF(V118&gt;0,VLOOKUP(T118,ma_miengiam!$A$3:$B$80,2,0)*Q118*V118/12,VLOOKUP(T118,ma_miengiam!$A$3:$B$80,2,0)*Q118))))</f>
        <v>175.5</v>
      </c>
      <c r="X118" s="220">
        <f>IF(T118="NTS",VLOOKUP(T118,ma_miengiam!$A$3:$B$80,2,0)*R118*V118,IF(AND(T118="NTS",V118=0),0,IF(AND(LEFT(T118,1)="K",V118=0),VLOOKUP(T118,ma_miengiam!$A$3:$B$80,2,0)*R118,IF(LEFT(T118,1)="K",(VLOOKUP(T118,ma_miengiam!$A$3:$B$80,2,0)*R118/12)*V118,IF(AND(LEFT(T118,1)="S",V118&gt;0),(R118/12)*V118,IF(AND(LEFT(T118,1)="S",V118=0),R118,IF(T118="DH",VLOOKUP(T118,ma_miengiam!$A$3:$B$80,2,0)*R118,0)))))))</f>
        <v>120</v>
      </c>
      <c r="Y118" s="220">
        <f t="shared" si="336"/>
        <v>94.5</v>
      </c>
      <c r="Z118" s="220">
        <f t="shared" si="337"/>
        <v>0</v>
      </c>
      <c r="AA118" s="220">
        <f>Q118</f>
        <v>270</v>
      </c>
      <c r="AB118" s="220">
        <f>R118</f>
        <v>120</v>
      </c>
      <c r="AC118" s="220">
        <f t="shared" ref="AC118:AF119" si="367">W118</f>
        <v>175.5</v>
      </c>
      <c r="AD118" s="220">
        <f t="shared" si="367"/>
        <v>120</v>
      </c>
      <c r="AE118" s="220">
        <f t="shared" si="367"/>
        <v>94.5</v>
      </c>
      <c r="AF118" s="220">
        <f t="shared" si="367"/>
        <v>0</v>
      </c>
      <c r="AG118" s="220">
        <f t="shared" ref="AG118:AG123" si="368">AH118+AI118</f>
        <v>227.88</v>
      </c>
      <c r="AH118" s="220">
        <f t="shared" ref="AH118:AH123" si="369">EO118</f>
        <v>190.38</v>
      </c>
      <c r="AI118" s="220">
        <f t="shared" ref="AI118:AI123" si="370">EN118</f>
        <v>37.5</v>
      </c>
      <c r="AJ118" s="220">
        <f t="shared" si="347"/>
        <v>0</v>
      </c>
      <c r="AK118" s="216">
        <f t="shared" si="247"/>
        <v>94.5</v>
      </c>
      <c r="AL118" s="220">
        <f t="shared" si="248"/>
        <v>223.4</v>
      </c>
      <c r="AM118" s="220">
        <f t="shared" si="249"/>
        <v>0</v>
      </c>
      <c r="AN118" s="221">
        <f t="shared" si="250"/>
        <v>223.4</v>
      </c>
      <c r="AO118" s="220">
        <f t="shared" si="251"/>
        <v>20</v>
      </c>
      <c r="AP118" s="220">
        <f t="shared" si="252"/>
        <v>0</v>
      </c>
      <c r="AQ118" s="220">
        <f t="shared" si="253"/>
        <v>80</v>
      </c>
      <c r="AR118" s="220">
        <f t="shared" si="254"/>
        <v>0</v>
      </c>
      <c r="AS118" s="220">
        <f t="shared" si="255"/>
        <v>0</v>
      </c>
      <c r="AT118" s="216">
        <f t="shared" si="256"/>
        <v>323.39999999999998</v>
      </c>
      <c r="AU118" s="222">
        <f t="shared" si="209"/>
        <v>128.9</v>
      </c>
      <c r="AV118" s="220"/>
      <c r="AW118" s="220">
        <f t="shared" si="350"/>
        <v>128.9</v>
      </c>
      <c r="AX118" s="216">
        <f t="shared" si="265"/>
        <v>0</v>
      </c>
      <c r="AY118" s="220">
        <f t="shared" si="362"/>
        <v>20</v>
      </c>
      <c r="AZ118" s="220">
        <f t="shared" si="363"/>
        <v>0</v>
      </c>
      <c r="BA118" s="220">
        <f t="shared" si="364"/>
        <v>80</v>
      </c>
      <c r="BB118" s="220">
        <f t="shared" si="365"/>
        <v>0</v>
      </c>
      <c r="BC118" s="220">
        <f t="shared" si="366"/>
        <v>0</v>
      </c>
      <c r="BD118" s="216">
        <f t="shared" si="184"/>
        <v>100</v>
      </c>
      <c r="BE118" s="220">
        <f t="shared" si="351"/>
        <v>0</v>
      </c>
      <c r="BF118" s="220">
        <f t="shared" si="352"/>
        <v>0</v>
      </c>
      <c r="BG118" s="220">
        <f t="shared" si="353"/>
        <v>0</v>
      </c>
      <c r="BH118" s="220">
        <f t="shared" si="354"/>
        <v>0</v>
      </c>
      <c r="BI118" s="220">
        <f t="shared" si="355"/>
        <v>0</v>
      </c>
      <c r="BJ118" s="220" t="s">
        <v>1034</v>
      </c>
      <c r="BK118" s="220"/>
      <c r="BL118" s="223">
        <f t="shared" si="257"/>
        <v>128.9</v>
      </c>
      <c r="BM118" s="220">
        <v>3.99</v>
      </c>
      <c r="BN118" s="220"/>
      <c r="BO118" s="220">
        <f t="shared" si="356"/>
        <v>3.99</v>
      </c>
      <c r="BP118" s="220">
        <f>IF(AND(BL118&gt;0,BL118&lt;tiet!$D$1),BL118,IF(BL118&lt;=0,0,IF(BL118&gt;tiet!$C$1,tiet!$C$1)))</f>
        <v>128.9</v>
      </c>
      <c r="BQ118" s="87">
        <f t="shared" si="302"/>
        <v>65000</v>
      </c>
      <c r="BR118" s="224">
        <f t="shared" si="303"/>
        <v>8378500</v>
      </c>
      <c r="BS118" s="220">
        <f t="shared" si="219"/>
        <v>0</v>
      </c>
      <c r="BT118" s="224">
        <f>VLOOKUP(N118,ma_dinhmuc!$A$1:$J$31,10,0)</f>
        <v>51000</v>
      </c>
      <c r="BU118" s="224">
        <f>ROUND(IF(BS118&gt;0,VLOOKUP(N118,ma_dinhmuc!$A$1:$J$31,10,0)*BS118,0),0)</f>
        <v>0</v>
      </c>
      <c r="BV118" s="224">
        <f t="shared" si="304"/>
        <v>8378500</v>
      </c>
      <c r="BW118" s="224"/>
      <c r="BX118" s="224">
        <v>0</v>
      </c>
      <c r="BY118" s="224"/>
      <c r="BZ118" s="224"/>
      <c r="CA118" s="224"/>
      <c r="CB118" s="224"/>
      <c r="CC118" s="225">
        <f t="shared" si="198"/>
        <v>8378500</v>
      </c>
      <c r="CD118" s="224">
        <f t="shared" si="199"/>
        <v>0</v>
      </c>
      <c r="CE118" s="224"/>
      <c r="CF118" s="226"/>
      <c r="CG118" s="87"/>
      <c r="CH118" s="87">
        <f>A118</f>
        <v>19</v>
      </c>
      <c r="CI118" s="227" t="str">
        <f t="shared" si="340"/>
        <v>Nguyễn Chí</v>
      </c>
      <c r="CJ118" s="227" t="str">
        <f t="shared" si="341"/>
        <v>Thành</v>
      </c>
      <c r="CK118" s="87">
        <f t="shared" si="342"/>
        <v>2</v>
      </c>
      <c r="CL118" s="227" t="str">
        <f t="shared" si="307"/>
        <v>Di truyền Giống gia súc</v>
      </c>
      <c r="CM118" s="87" t="str">
        <f t="shared" si="358"/>
        <v>CS2</v>
      </c>
      <c r="CN118" s="87">
        <f>Q118</f>
        <v>270</v>
      </c>
      <c r="CO118" s="87">
        <f>R118</f>
        <v>120</v>
      </c>
      <c r="CP118" s="229">
        <f t="shared" si="223"/>
        <v>0</v>
      </c>
      <c r="CQ118" s="229">
        <f t="shared" si="224"/>
        <v>13.8</v>
      </c>
      <c r="CR118" s="229">
        <f t="shared" si="225"/>
        <v>5.6</v>
      </c>
      <c r="CS118" s="229">
        <f t="shared" si="226"/>
        <v>0</v>
      </c>
      <c r="CT118" s="229">
        <f t="shared" si="227"/>
        <v>0</v>
      </c>
      <c r="CU118" s="229">
        <f t="shared" si="228"/>
        <v>59</v>
      </c>
      <c r="CV118" s="229">
        <f t="shared" si="229"/>
        <v>0</v>
      </c>
      <c r="CW118" s="229">
        <f t="shared" si="230"/>
        <v>145</v>
      </c>
      <c r="CX118" s="229">
        <f t="shared" si="231"/>
        <v>0</v>
      </c>
      <c r="CY118" s="229">
        <f t="shared" si="232"/>
        <v>20</v>
      </c>
      <c r="CZ118" s="229">
        <f t="shared" si="233"/>
        <v>0</v>
      </c>
      <c r="DA118" s="229">
        <f t="shared" si="234"/>
        <v>80</v>
      </c>
      <c r="DB118" s="228">
        <f t="shared" si="214"/>
        <v>323.39999999999998</v>
      </c>
      <c r="DC118" s="229"/>
      <c r="DD118" s="229"/>
      <c r="DE118" s="229"/>
      <c r="DF118" s="229"/>
      <c r="DG118" s="229"/>
      <c r="DH118" s="229"/>
      <c r="DI118" s="229"/>
      <c r="DJ118" s="229"/>
      <c r="DK118" s="229"/>
      <c r="DL118" s="229"/>
      <c r="DM118" s="229"/>
      <c r="DN118" s="229"/>
      <c r="DO118" s="228">
        <f t="shared" si="215"/>
        <v>0</v>
      </c>
      <c r="DP118" s="228">
        <f t="shared" si="216"/>
        <v>323.39999999999998</v>
      </c>
      <c r="DQ118" s="229">
        <f t="shared" si="235"/>
        <v>0</v>
      </c>
      <c r="DR118" s="229">
        <f t="shared" si="236"/>
        <v>0</v>
      </c>
      <c r="DS118" s="229">
        <f t="shared" si="237"/>
        <v>0</v>
      </c>
      <c r="DT118" s="229">
        <f t="shared" si="238"/>
        <v>0</v>
      </c>
      <c r="DU118" s="229">
        <f t="shared" si="239"/>
        <v>0</v>
      </c>
      <c r="DV118" s="229">
        <f t="shared" si="240"/>
        <v>0</v>
      </c>
      <c r="DW118" s="229">
        <f t="shared" si="241"/>
        <v>0</v>
      </c>
      <c r="DX118" s="228">
        <f t="shared" si="217"/>
        <v>0</v>
      </c>
      <c r="DY118" s="229"/>
      <c r="DZ118" s="229"/>
      <c r="EA118" s="229"/>
      <c r="EB118" s="229"/>
      <c r="EC118" s="229"/>
      <c r="ED118" s="229"/>
      <c r="EE118" s="229"/>
      <c r="EF118" s="228">
        <f t="shared" si="220"/>
        <v>0</v>
      </c>
      <c r="EG118" s="228">
        <f t="shared" si="218"/>
        <v>0</v>
      </c>
      <c r="EH118" s="229">
        <f t="shared" si="221"/>
        <v>37.5</v>
      </c>
      <c r="EI118" s="229">
        <v>190.38</v>
      </c>
      <c r="EJ118" s="228">
        <f t="shared" si="308"/>
        <v>227.88</v>
      </c>
      <c r="EK118" s="229"/>
      <c r="EL118" s="229"/>
      <c r="EM118" s="228">
        <f t="shared" si="344"/>
        <v>0</v>
      </c>
      <c r="EN118" s="229">
        <f t="shared" si="361"/>
        <v>37.5</v>
      </c>
      <c r="EO118" s="229">
        <f t="shared" si="212"/>
        <v>190.38</v>
      </c>
      <c r="EP118" s="228">
        <f t="shared" si="345"/>
        <v>227.88</v>
      </c>
      <c r="EQ118" s="173">
        <f t="shared" si="222"/>
        <v>37.5</v>
      </c>
      <c r="ER118" s="189">
        <v>0</v>
      </c>
      <c r="ES118" s="189">
        <v>13.8</v>
      </c>
      <c r="ET118" s="189">
        <v>5.6</v>
      </c>
      <c r="EU118" s="189">
        <v>0</v>
      </c>
      <c r="EV118" s="189">
        <v>0</v>
      </c>
      <c r="EW118" s="189">
        <v>59</v>
      </c>
      <c r="EX118" s="189">
        <v>0</v>
      </c>
      <c r="EY118" s="189">
        <v>145</v>
      </c>
      <c r="EZ118" s="189">
        <v>0</v>
      </c>
      <c r="FA118" s="189">
        <v>20</v>
      </c>
      <c r="FB118" s="189">
        <v>0</v>
      </c>
      <c r="FC118" s="189">
        <v>80</v>
      </c>
      <c r="FD118" s="189">
        <v>0</v>
      </c>
      <c r="FE118" s="189">
        <v>0</v>
      </c>
      <c r="FF118" s="189">
        <v>0</v>
      </c>
      <c r="FG118" s="189">
        <v>0</v>
      </c>
      <c r="FH118" s="189">
        <v>0</v>
      </c>
      <c r="FI118" s="189">
        <v>0</v>
      </c>
      <c r="FJ118" s="189">
        <v>0</v>
      </c>
      <c r="FK118" s="189">
        <v>323.39999999999998</v>
      </c>
      <c r="FL118" s="189">
        <v>287</v>
      </c>
      <c r="FN118" s="132">
        <v>37.5</v>
      </c>
    </row>
    <row r="119" spans="1:170" ht="30" customHeight="1">
      <c r="A119" s="88">
        <f>COUNTIF($H$12:H119,H119)</f>
        <v>20</v>
      </c>
      <c r="B119" s="88" t="s">
        <v>1985</v>
      </c>
      <c r="C119" s="88" t="s">
        <v>2592</v>
      </c>
      <c r="D119" s="88"/>
      <c r="E119" s="88"/>
      <c r="F119" s="301" t="s">
        <v>9</v>
      </c>
      <c r="G119" s="89" t="s">
        <v>728</v>
      </c>
      <c r="H119" s="88">
        <v>2</v>
      </c>
      <c r="I119" s="88">
        <v>2</v>
      </c>
      <c r="J119" s="88">
        <v>2</v>
      </c>
      <c r="K119" s="90" t="s">
        <v>1412</v>
      </c>
      <c r="L119" s="90" t="s">
        <v>1412</v>
      </c>
      <c r="M119" s="214"/>
      <c r="N119" s="88" t="s">
        <v>1804</v>
      </c>
      <c r="O119" s="216">
        <f t="shared" si="317"/>
        <v>3</v>
      </c>
      <c r="P119" s="88" t="str">
        <f t="shared" si="299"/>
        <v>B1_3</v>
      </c>
      <c r="Q119" s="88">
        <f t="shared" si="331"/>
        <v>270</v>
      </c>
      <c r="R119" s="88">
        <f t="shared" si="332"/>
        <v>100</v>
      </c>
      <c r="S119" s="233" t="s">
        <v>2988</v>
      </c>
      <c r="T119" s="88" t="s">
        <v>2961</v>
      </c>
      <c r="U119" s="88">
        <f>IF(RIGHT(T119,1)="K",(VLOOKUP(T119,ma_miengiam!$A$3:$B$80,2,0)*100)/2,VLOOKUP(T119,ma_miengiam!$A$3:$B$80,2,0)*100)</f>
        <v>100</v>
      </c>
      <c r="V119" s="88"/>
      <c r="W119" s="220">
        <f>IF(AND(T119="NTS",V119&gt;0),(Q119-(Q119*V119)/12)*VLOOKUP(T119,ma_miengiam!$A$3:$B$80,2,0)+(Q119-(Q119*(12-V119))/12),IF(AND(RIGHT(T119,1)="K",V119&gt;0),(VLOOKUP(T119,ma_miengiam!$A$3:$B$80,2,0)/2)*(Q119*V119)/12,IF(RIGHT(T119,1)="K",(VLOOKUP(T119,ma_miengiam!$A$3:$B$80,2,0)*Q119)/2,IF(V119&gt;0,VLOOKUP(T119,ma_miengiam!$A$3:$B$80,2,0)*Q119*V119/12,VLOOKUP(T119,ma_miengiam!$A$3:$B$80,2,0)*Q119))))</f>
        <v>270</v>
      </c>
      <c r="X119" s="220">
        <f>IF(T119="NTS",VLOOKUP(T119,ma_miengiam!$A$3:$B$80,2,0)*R119*V119,IF(AND(T119="NTS",V119=0),0,IF(AND(LEFT(T119,1)="K",V119=0),VLOOKUP(T119,ma_miengiam!$A$3:$B$80,2,0)*R119,IF(LEFT(T119,1)="K",(VLOOKUP(T119,ma_miengiam!$A$3:$B$80,2,0)*R119/12)*V119,IF(AND(LEFT(T119,1)="S",V119&gt;0),(R119/12)*V119,IF(AND(LEFT(T119,1)="S",V119=0),R119,IF(T119="DH",VLOOKUP(T119,ma_miengiam!$A$3:$B$80,2,0)*R119,0)))))))</f>
        <v>100</v>
      </c>
      <c r="Y119" s="220">
        <f t="shared" si="336"/>
        <v>0</v>
      </c>
      <c r="Z119" s="220">
        <f t="shared" si="337"/>
        <v>0</v>
      </c>
      <c r="AA119" s="220">
        <f t="shared" si="348"/>
        <v>270</v>
      </c>
      <c r="AB119" s="220">
        <f t="shared" si="348"/>
        <v>100</v>
      </c>
      <c r="AC119" s="220">
        <f t="shared" si="367"/>
        <v>270</v>
      </c>
      <c r="AD119" s="220">
        <f t="shared" si="367"/>
        <v>100</v>
      </c>
      <c r="AE119" s="220">
        <f t="shared" si="367"/>
        <v>0</v>
      </c>
      <c r="AF119" s="220">
        <f t="shared" si="367"/>
        <v>0</v>
      </c>
      <c r="AG119" s="220">
        <f t="shared" si="368"/>
        <v>200</v>
      </c>
      <c r="AH119" s="220">
        <f t="shared" si="369"/>
        <v>200</v>
      </c>
      <c r="AI119" s="220">
        <f t="shared" si="370"/>
        <v>0</v>
      </c>
      <c r="AJ119" s="220">
        <f t="shared" si="347"/>
        <v>0</v>
      </c>
      <c r="AK119" s="216">
        <f t="shared" si="247"/>
        <v>0</v>
      </c>
      <c r="AL119" s="220">
        <f t="shared" si="248"/>
        <v>0</v>
      </c>
      <c r="AM119" s="220">
        <f t="shared" si="249"/>
        <v>0</v>
      </c>
      <c r="AN119" s="221">
        <f t="shared" si="250"/>
        <v>0</v>
      </c>
      <c r="AO119" s="220">
        <f t="shared" si="251"/>
        <v>0</v>
      </c>
      <c r="AP119" s="220">
        <f t="shared" si="252"/>
        <v>0</v>
      </c>
      <c r="AQ119" s="220">
        <f t="shared" si="253"/>
        <v>0</v>
      </c>
      <c r="AR119" s="220">
        <f t="shared" si="254"/>
        <v>0</v>
      </c>
      <c r="AS119" s="220">
        <f t="shared" si="255"/>
        <v>0</v>
      </c>
      <c r="AT119" s="216">
        <f t="shared" si="256"/>
        <v>0</v>
      </c>
      <c r="AU119" s="222">
        <f t="shared" si="209"/>
        <v>0</v>
      </c>
      <c r="AV119" s="220"/>
      <c r="AW119" s="220">
        <f t="shared" si="350"/>
        <v>0</v>
      </c>
      <c r="AX119" s="216">
        <f t="shared" si="265"/>
        <v>0</v>
      </c>
      <c r="AY119" s="220">
        <f t="shared" si="362"/>
        <v>0</v>
      </c>
      <c r="AZ119" s="220">
        <f t="shared" si="363"/>
        <v>0</v>
      </c>
      <c r="BA119" s="220">
        <f t="shared" si="364"/>
        <v>0</v>
      </c>
      <c r="BB119" s="220">
        <f t="shared" si="365"/>
        <v>0</v>
      </c>
      <c r="BC119" s="220">
        <f t="shared" si="366"/>
        <v>0</v>
      </c>
      <c r="BD119" s="216">
        <f t="shared" si="184"/>
        <v>0</v>
      </c>
      <c r="BE119" s="220">
        <f t="shared" si="351"/>
        <v>0</v>
      </c>
      <c r="BF119" s="220">
        <f t="shared" si="352"/>
        <v>0</v>
      </c>
      <c r="BG119" s="220">
        <f t="shared" si="353"/>
        <v>0</v>
      </c>
      <c r="BH119" s="220">
        <f t="shared" si="354"/>
        <v>0</v>
      </c>
      <c r="BI119" s="220">
        <f t="shared" si="355"/>
        <v>0</v>
      </c>
      <c r="BJ119" s="220" t="s">
        <v>1034</v>
      </c>
      <c r="BK119" s="220"/>
      <c r="BL119" s="223">
        <f t="shared" si="257"/>
        <v>0</v>
      </c>
      <c r="BM119" s="220">
        <v>3</v>
      </c>
      <c r="BN119" s="220"/>
      <c r="BO119" s="220">
        <f t="shared" si="356"/>
        <v>3</v>
      </c>
      <c r="BP119" s="220">
        <f>IF(AND(BL119&gt;0,BL119&lt;tiet!$D$1),BL119,IF(BL119&lt;=0,0,IF(BL119&gt;tiet!$C$1,tiet!$C$1)))</f>
        <v>0</v>
      </c>
      <c r="BQ119" s="87">
        <f t="shared" si="302"/>
        <v>60000</v>
      </c>
      <c r="BR119" s="224">
        <f t="shared" si="303"/>
        <v>0</v>
      </c>
      <c r="BS119" s="220">
        <f t="shared" si="219"/>
        <v>0</v>
      </c>
      <c r="BT119" s="224">
        <f>VLOOKUP(N119,ma_dinhmuc!$A$1:$J$31,10,0)</f>
        <v>51000</v>
      </c>
      <c r="BU119" s="224">
        <f>ROUND(IF(BS119&gt;0,VLOOKUP(N119,ma_dinhmuc!$A$1:$J$31,10,0)*BS119,0),0)</f>
        <v>0</v>
      </c>
      <c r="BV119" s="224">
        <f t="shared" si="304"/>
        <v>0</v>
      </c>
      <c r="BW119" s="224"/>
      <c r="BX119" s="224">
        <v>0</v>
      </c>
      <c r="BY119" s="224"/>
      <c r="BZ119" s="224"/>
      <c r="CA119" s="224"/>
      <c r="CB119" s="224"/>
      <c r="CC119" s="225">
        <f t="shared" si="198"/>
        <v>0</v>
      </c>
      <c r="CD119" s="224">
        <f t="shared" si="199"/>
        <v>0</v>
      </c>
      <c r="CE119" s="224"/>
      <c r="CF119" s="226"/>
      <c r="CG119" s="87"/>
      <c r="CH119" s="87">
        <f t="shared" si="357"/>
        <v>20</v>
      </c>
      <c r="CI119" s="227" t="str">
        <f t="shared" si="340"/>
        <v>Chu Tuấn</v>
      </c>
      <c r="CJ119" s="227" t="str">
        <f t="shared" si="341"/>
        <v>Thịnh</v>
      </c>
      <c r="CK119" s="87">
        <f t="shared" si="342"/>
        <v>2</v>
      </c>
      <c r="CL119" s="227" t="str">
        <f t="shared" ref="CL119:CL130" si="371">L119</f>
        <v>Di truyền Giống gia súc</v>
      </c>
      <c r="CM119" s="87" t="str">
        <f t="shared" si="358"/>
        <v>CS2</v>
      </c>
      <c r="CN119" s="87">
        <f t="shared" si="359"/>
        <v>270</v>
      </c>
      <c r="CO119" s="87">
        <f t="shared" si="360"/>
        <v>100</v>
      </c>
      <c r="CP119" s="229">
        <f t="shared" si="223"/>
        <v>0</v>
      </c>
      <c r="CQ119" s="229">
        <f t="shared" si="224"/>
        <v>0</v>
      </c>
      <c r="CR119" s="229">
        <f t="shared" si="225"/>
        <v>0</v>
      </c>
      <c r="CS119" s="229">
        <f t="shared" si="226"/>
        <v>0</v>
      </c>
      <c r="CT119" s="229">
        <f t="shared" si="227"/>
        <v>0</v>
      </c>
      <c r="CU119" s="229">
        <f t="shared" si="228"/>
        <v>0</v>
      </c>
      <c r="CV119" s="229">
        <f t="shared" si="229"/>
        <v>0</v>
      </c>
      <c r="CW119" s="229">
        <f t="shared" si="230"/>
        <v>0</v>
      </c>
      <c r="CX119" s="229">
        <f t="shared" si="231"/>
        <v>0</v>
      </c>
      <c r="CY119" s="229">
        <f t="shared" si="232"/>
        <v>0</v>
      </c>
      <c r="CZ119" s="229">
        <f t="shared" si="233"/>
        <v>0</v>
      </c>
      <c r="DA119" s="229">
        <f t="shared" si="234"/>
        <v>0</v>
      </c>
      <c r="DB119" s="228">
        <f t="shared" si="214"/>
        <v>0</v>
      </c>
      <c r="DC119" s="229"/>
      <c r="DD119" s="229"/>
      <c r="DE119" s="229"/>
      <c r="DF119" s="229"/>
      <c r="DG119" s="229"/>
      <c r="DH119" s="229"/>
      <c r="DI119" s="229"/>
      <c r="DJ119" s="229"/>
      <c r="DK119" s="229"/>
      <c r="DL119" s="229"/>
      <c r="DM119" s="229"/>
      <c r="DN119" s="229"/>
      <c r="DO119" s="228">
        <f t="shared" si="215"/>
        <v>0</v>
      </c>
      <c r="DP119" s="228">
        <f t="shared" si="216"/>
        <v>0</v>
      </c>
      <c r="DQ119" s="229">
        <f t="shared" si="235"/>
        <v>0</v>
      </c>
      <c r="DR119" s="229">
        <f t="shared" si="236"/>
        <v>0</v>
      </c>
      <c r="DS119" s="229">
        <f t="shared" si="237"/>
        <v>0</v>
      </c>
      <c r="DT119" s="229">
        <f t="shared" si="238"/>
        <v>0</v>
      </c>
      <c r="DU119" s="229">
        <f t="shared" si="239"/>
        <v>0</v>
      </c>
      <c r="DV119" s="229">
        <f t="shared" si="240"/>
        <v>0</v>
      </c>
      <c r="DW119" s="229">
        <f t="shared" si="241"/>
        <v>0</v>
      </c>
      <c r="DX119" s="228">
        <f t="shared" si="217"/>
        <v>0</v>
      </c>
      <c r="DY119" s="229"/>
      <c r="DZ119" s="229"/>
      <c r="EA119" s="229"/>
      <c r="EB119" s="229"/>
      <c r="EC119" s="229"/>
      <c r="ED119" s="229"/>
      <c r="EE119" s="229"/>
      <c r="EF119" s="228">
        <f t="shared" si="220"/>
        <v>0</v>
      </c>
      <c r="EG119" s="228">
        <f t="shared" si="218"/>
        <v>0</v>
      </c>
      <c r="EH119" s="229">
        <f t="shared" si="221"/>
        <v>0</v>
      </c>
      <c r="EI119" s="229">
        <v>200</v>
      </c>
      <c r="EJ119" s="228">
        <f t="shared" si="308"/>
        <v>200</v>
      </c>
      <c r="EK119" s="229"/>
      <c r="EL119" s="229"/>
      <c r="EM119" s="228">
        <f t="shared" ref="EM119:EM130" si="372">SUM(EK119:EL119)</f>
        <v>0</v>
      </c>
      <c r="EN119" s="229">
        <f t="shared" si="361"/>
        <v>0</v>
      </c>
      <c r="EO119" s="229">
        <f t="shared" si="212"/>
        <v>200</v>
      </c>
      <c r="EP119" s="228">
        <f t="shared" si="345"/>
        <v>200</v>
      </c>
      <c r="EQ119" s="173">
        <f t="shared" si="222"/>
        <v>0</v>
      </c>
      <c r="ER119" s="189">
        <v>0</v>
      </c>
      <c r="ES119" s="189">
        <v>0</v>
      </c>
      <c r="ET119" s="189">
        <v>0</v>
      </c>
      <c r="EU119" s="189">
        <v>0</v>
      </c>
      <c r="EV119" s="189">
        <v>0</v>
      </c>
      <c r="EW119" s="189">
        <v>0</v>
      </c>
      <c r="EX119" s="189">
        <v>0</v>
      </c>
      <c r="EY119" s="189">
        <v>0</v>
      </c>
      <c r="EZ119" s="189">
        <v>0</v>
      </c>
      <c r="FA119" s="189">
        <v>0</v>
      </c>
      <c r="FB119" s="189">
        <v>0</v>
      </c>
      <c r="FC119" s="189">
        <v>0</v>
      </c>
      <c r="FD119" s="189">
        <v>0</v>
      </c>
      <c r="FE119" s="189">
        <v>0</v>
      </c>
      <c r="FF119" s="189">
        <v>0</v>
      </c>
      <c r="FG119" s="189">
        <v>0</v>
      </c>
      <c r="FH119" s="189">
        <v>0</v>
      </c>
      <c r="FI119" s="189">
        <v>0</v>
      </c>
      <c r="FJ119" s="189">
        <v>0</v>
      </c>
      <c r="FK119" s="189">
        <v>0</v>
      </c>
      <c r="FL119" s="189">
        <v>0</v>
      </c>
      <c r="FN119" s="132">
        <v>0</v>
      </c>
    </row>
    <row r="120" spans="1:170" ht="31.5" customHeight="1">
      <c r="A120" s="88">
        <f>COUNTIF($H$12:H120,H120)</f>
        <v>21</v>
      </c>
      <c r="B120" s="88" t="s">
        <v>1986</v>
      </c>
      <c r="C120" s="88" t="s">
        <v>2593</v>
      </c>
      <c r="D120" s="88"/>
      <c r="E120" s="88"/>
      <c r="F120" s="301" t="s">
        <v>1139</v>
      </c>
      <c r="G120" s="303" t="s">
        <v>3021</v>
      </c>
      <c r="H120" s="88">
        <v>2</v>
      </c>
      <c r="I120" s="88">
        <v>2</v>
      </c>
      <c r="J120" s="88">
        <v>2</v>
      </c>
      <c r="K120" s="90" t="s">
        <v>1613</v>
      </c>
      <c r="L120" s="90" t="s">
        <v>1613</v>
      </c>
      <c r="M120" s="214"/>
      <c r="N120" s="88" t="s">
        <v>1179</v>
      </c>
      <c r="O120" s="216">
        <f t="shared" si="317"/>
        <v>3.66</v>
      </c>
      <c r="P120" s="88" t="str">
        <f t="shared" si="299"/>
        <v>B1_4</v>
      </c>
      <c r="Q120" s="88">
        <f t="shared" si="331"/>
        <v>270</v>
      </c>
      <c r="R120" s="88">
        <f t="shared" si="332"/>
        <v>120</v>
      </c>
      <c r="S120" s="231" t="s">
        <v>488</v>
      </c>
      <c r="T120" s="88" t="s">
        <v>3091</v>
      </c>
      <c r="U120" s="88">
        <f>IF(RIGHT(T120,1)="K",(VLOOKUP(T120,ma_miengiam!$A$3:$B$80,2,0)*100)/2,VLOOKUP(T120,ma_miengiam!$A$3:$B$80,2,0)*100)</f>
        <v>20</v>
      </c>
      <c r="V120" s="88"/>
      <c r="W120" s="220">
        <f>IF(AND(T120="NTS",V120&gt;0),(Q120-(Q120*V120)/12)*VLOOKUP(T120,ma_miengiam!$A$3:$B$80,2,0)+(Q120-(Q120*(12-V120))/12),IF(AND(RIGHT(T120,1)="K",V120&gt;0),(VLOOKUP(T120,ma_miengiam!$A$3:$B$80,2,0)/2)*(Q120*V120)/12,IF(RIGHT(T120,1)="K",(VLOOKUP(T120,ma_miengiam!$A$3:$B$80,2,0)*Q120)/2,IF(V120&gt;0,VLOOKUP(T120,ma_miengiam!$A$3:$B$80,2,0)*Q120*V120/12,VLOOKUP(T120,ma_miengiam!$A$3:$B$80,2,0)*Q120))))</f>
        <v>54</v>
      </c>
      <c r="X120" s="220">
        <f>IF(T120="NTS",VLOOKUP(T120,ma_miengiam!$A$3:$B$80,2,0)*R120*V120,IF(AND(T120="NTS",V120=0),0,IF(AND(LEFT(T120,1)="K",V120=0),VLOOKUP(T120,ma_miengiam!$A$3:$B$80,2,0)*R120,IF(LEFT(T120,1)="K",(VLOOKUP(T120,ma_miengiam!$A$3:$B$80,2,0)*R120/12)*V120,IF(AND(LEFT(T120,1)="S",V120&gt;0),(R120/12)*V120,IF(AND(LEFT(T120,1)="S",V120=0),R120,IF(T120="DH",VLOOKUP(T120,ma_miengiam!$A$3:$B$80,2,0)*R120,0)))))))</f>
        <v>0</v>
      </c>
      <c r="Y120" s="220">
        <f t="shared" si="336"/>
        <v>216</v>
      </c>
      <c r="Z120" s="220">
        <f t="shared" si="337"/>
        <v>120</v>
      </c>
      <c r="AA120" s="220">
        <f t="shared" ref="AA120:AB123" si="373">Q120</f>
        <v>270</v>
      </c>
      <c r="AB120" s="220">
        <f t="shared" si="373"/>
        <v>120</v>
      </c>
      <c r="AC120" s="220">
        <f t="shared" ref="AC120:AF121" si="374">W120</f>
        <v>54</v>
      </c>
      <c r="AD120" s="220">
        <f t="shared" si="374"/>
        <v>0</v>
      </c>
      <c r="AE120" s="220">
        <f t="shared" si="374"/>
        <v>216</v>
      </c>
      <c r="AF120" s="220">
        <f t="shared" si="374"/>
        <v>120</v>
      </c>
      <c r="AG120" s="220">
        <f t="shared" si="368"/>
        <v>222.07999999999998</v>
      </c>
      <c r="AH120" s="220">
        <f t="shared" si="369"/>
        <v>79.61</v>
      </c>
      <c r="AI120" s="220">
        <f t="shared" si="370"/>
        <v>142.47</v>
      </c>
      <c r="AJ120" s="220">
        <f t="shared" si="347"/>
        <v>0</v>
      </c>
      <c r="AK120" s="216">
        <f t="shared" si="247"/>
        <v>216</v>
      </c>
      <c r="AL120" s="220">
        <f t="shared" si="248"/>
        <v>179.9</v>
      </c>
      <c r="AM120" s="220">
        <f t="shared" si="249"/>
        <v>0</v>
      </c>
      <c r="AN120" s="221">
        <f t="shared" si="250"/>
        <v>179.9</v>
      </c>
      <c r="AO120" s="220">
        <f t="shared" si="251"/>
        <v>0</v>
      </c>
      <c r="AP120" s="220">
        <f t="shared" si="252"/>
        <v>0</v>
      </c>
      <c r="AQ120" s="220">
        <f t="shared" si="253"/>
        <v>120</v>
      </c>
      <c r="AR120" s="220">
        <f t="shared" si="254"/>
        <v>0</v>
      </c>
      <c r="AS120" s="220">
        <f t="shared" si="255"/>
        <v>0</v>
      </c>
      <c r="AT120" s="216">
        <f t="shared" si="256"/>
        <v>299.89999999999998</v>
      </c>
      <c r="AU120" s="222">
        <f t="shared" si="209"/>
        <v>-36.099999999999994</v>
      </c>
      <c r="AV120" s="220"/>
      <c r="AW120" s="220">
        <f t="shared" si="350"/>
        <v>-36.099999999999994</v>
      </c>
      <c r="AX120" s="216">
        <f t="shared" si="265"/>
        <v>-36.099999999999994</v>
      </c>
      <c r="AY120" s="220">
        <f t="shared" si="362"/>
        <v>0</v>
      </c>
      <c r="AZ120" s="220">
        <f t="shared" si="363"/>
        <v>0</v>
      </c>
      <c r="BA120" s="220">
        <f t="shared" si="364"/>
        <v>83.899999999999977</v>
      </c>
      <c r="BB120" s="220">
        <f t="shared" si="365"/>
        <v>0</v>
      </c>
      <c r="BC120" s="220">
        <f t="shared" si="366"/>
        <v>0</v>
      </c>
      <c r="BD120" s="216">
        <f t="shared" ref="BD120:BD187" si="375">SUM(AY120:BC120)</f>
        <v>83.899999999999977</v>
      </c>
      <c r="BE120" s="220">
        <f t="shared" si="351"/>
        <v>0</v>
      </c>
      <c r="BF120" s="220">
        <f t="shared" si="352"/>
        <v>0</v>
      </c>
      <c r="BG120" s="220">
        <f t="shared" si="353"/>
        <v>-36.100000000000023</v>
      </c>
      <c r="BH120" s="220">
        <f t="shared" si="354"/>
        <v>0</v>
      </c>
      <c r="BI120" s="220">
        <f t="shared" si="355"/>
        <v>0</v>
      </c>
      <c r="BJ120" s="220" t="s">
        <v>1959</v>
      </c>
      <c r="BK120" s="220"/>
      <c r="BL120" s="223">
        <f t="shared" si="257"/>
        <v>0</v>
      </c>
      <c r="BM120" s="220">
        <v>3.66</v>
      </c>
      <c r="BN120" s="220"/>
      <c r="BO120" s="220">
        <f t="shared" si="356"/>
        <v>3.66</v>
      </c>
      <c r="BP120" s="220">
        <f>IF(AND(BL120&gt;0,BL120&lt;tiet!$D$1),BL120,IF(BL120&lt;=0,0,IF(BL120&gt;tiet!$C$1,tiet!$C$1)))</f>
        <v>0</v>
      </c>
      <c r="BQ120" s="87">
        <f t="shared" si="302"/>
        <v>65000</v>
      </c>
      <c r="BR120" s="224">
        <f t="shared" si="303"/>
        <v>0</v>
      </c>
      <c r="BS120" s="220">
        <f t="shared" si="219"/>
        <v>0</v>
      </c>
      <c r="BT120" s="224">
        <f>VLOOKUP(N120,ma_dinhmuc!$A$1:$J$31,10,0)</f>
        <v>51000</v>
      </c>
      <c r="BU120" s="224">
        <f>ROUND(IF(BS120&gt;0,VLOOKUP(N120,ma_dinhmuc!$A$1:$J$31,10,0)*BS120,0),0)</f>
        <v>0</v>
      </c>
      <c r="BV120" s="224">
        <f t="shared" si="304"/>
        <v>0</v>
      </c>
      <c r="BW120" s="224"/>
      <c r="BX120" s="224">
        <v>0</v>
      </c>
      <c r="BY120" s="224"/>
      <c r="BZ120" s="224"/>
      <c r="CA120" s="224"/>
      <c r="CB120" s="224"/>
      <c r="CC120" s="225">
        <f t="shared" si="198"/>
        <v>0</v>
      </c>
      <c r="CD120" s="224">
        <f t="shared" si="199"/>
        <v>0</v>
      </c>
      <c r="CE120" s="224"/>
      <c r="CF120" s="226"/>
      <c r="CG120" s="87"/>
      <c r="CH120" s="87">
        <f t="shared" si="357"/>
        <v>21</v>
      </c>
      <c r="CI120" s="227" t="str">
        <f t="shared" si="340"/>
        <v>Nguyễn Thị</v>
      </c>
      <c r="CJ120" s="227" t="str">
        <f t="shared" si="341"/>
        <v>Vinh</v>
      </c>
      <c r="CK120" s="87">
        <f t="shared" si="342"/>
        <v>2</v>
      </c>
      <c r="CL120" s="227" t="str">
        <f t="shared" si="371"/>
        <v>Sinh học động vật</v>
      </c>
      <c r="CM120" s="87" t="str">
        <f t="shared" si="358"/>
        <v>CB2</v>
      </c>
      <c r="CN120" s="87">
        <f t="shared" si="359"/>
        <v>270</v>
      </c>
      <c r="CO120" s="87">
        <f t="shared" si="360"/>
        <v>120</v>
      </c>
      <c r="CP120" s="229">
        <f t="shared" si="223"/>
        <v>0</v>
      </c>
      <c r="CQ120" s="229">
        <f t="shared" si="224"/>
        <v>24.6</v>
      </c>
      <c r="CR120" s="229">
        <f t="shared" si="225"/>
        <v>9.9</v>
      </c>
      <c r="CS120" s="229">
        <f t="shared" si="226"/>
        <v>0</v>
      </c>
      <c r="CT120" s="229">
        <f t="shared" si="227"/>
        <v>0</v>
      </c>
      <c r="CU120" s="229">
        <f t="shared" si="228"/>
        <v>97.4</v>
      </c>
      <c r="CV120" s="229">
        <f t="shared" si="229"/>
        <v>0</v>
      </c>
      <c r="CW120" s="229">
        <f t="shared" si="230"/>
        <v>48</v>
      </c>
      <c r="CX120" s="229">
        <f t="shared" si="231"/>
        <v>0</v>
      </c>
      <c r="CY120" s="229">
        <f t="shared" si="232"/>
        <v>0</v>
      </c>
      <c r="CZ120" s="229">
        <f t="shared" si="233"/>
        <v>0</v>
      </c>
      <c r="DA120" s="229">
        <f t="shared" si="234"/>
        <v>120</v>
      </c>
      <c r="DB120" s="228">
        <f t="shared" si="214"/>
        <v>299.89999999999998</v>
      </c>
      <c r="DC120" s="229"/>
      <c r="DD120" s="229"/>
      <c r="DE120" s="229"/>
      <c r="DF120" s="229"/>
      <c r="DG120" s="229"/>
      <c r="DH120" s="229"/>
      <c r="DI120" s="229"/>
      <c r="DJ120" s="229"/>
      <c r="DK120" s="229"/>
      <c r="DL120" s="229"/>
      <c r="DM120" s="229"/>
      <c r="DN120" s="229"/>
      <c r="DO120" s="228">
        <f t="shared" si="215"/>
        <v>0</v>
      </c>
      <c r="DP120" s="228">
        <f t="shared" si="216"/>
        <v>299.89999999999998</v>
      </c>
      <c r="DQ120" s="229">
        <f t="shared" si="235"/>
        <v>0</v>
      </c>
      <c r="DR120" s="229">
        <f t="shared" si="236"/>
        <v>0</v>
      </c>
      <c r="DS120" s="229">
        <f t="shared" si="237"/>
        <v>0</v>
      </c>
      <c r="DT120" s="229">
        <f t="shared" si="238"/>
        <v>0</v>
      </c>
      <c r="DU120" s="229">
        <f t="shared" si="239"/>
        <v>0</v>
      </c>
      <c r="DV120" s="229">
        <f t="shared" si="240"/>
        <v>0</v>
      </c>
      <c r="DW120" s="229">
        <f t="shared" si="241"/>
        <v>0</v>
      </c>
      <c r="DX120" s="228">
        <f t="shared" si="217"/>
        <v>0</v>
      </c>
      <c r="DY120" s="229"/>
      <c r="DZ120" s="229"/>
      <c r="EA120" s="229"/>
      <c r="EB120" s="229"/>
      <c r="EC120" s="229"/>
      <c r="ED120" s="229"/>
      <c r="EE120" s="229"/>
      <c r="EF120" s="228">
        <f t="shared" si="220"/>
        <v>0</v>
      </c>
      <c r="EG120" s="228">
        <f t="shared" si="218"/>
        <v>0</v>
      </c>
      <c r="EH120" s="229">
        <f t="shared" si="221"/>
        <v>142.47</v>
      </c>
      <c r="EI120" s="229">
        <v>79.61</v>
      </c>
      <c r="EJ120" s="228">
        <f t="shared" si="308"/>
        <v>222.07999999999998</v>
      </c>
      <c r="EK120" s="229"/>
      <c r="EL120" s="229"/>
      <c r="EM120" s="228">
        <f t="shared" si="372"/>
        <v>0</v>
      </c>
      <c r="EN120" s="229">
        <f t="shared" si="361"/>
        <v>142.47</v>
      </c>
      <c r="EO120" s="229">
        <f t="shared" si="212"/>
        <v>79.61</v>
      </c>
      <c r="EP120" s="228">
        <f t="shared" si="345"/>
        <v>222.07999999999998</v>
      </c>
      <c r="EQ120" s="173">
        <f t="shared" si="222"/>
        <v>22.47</v>
      </c>
      <c r="ER120" s="189">
        <v>0</v>
      </c>
      <c r="ES120" s="189">
        <v>24.6</v>
      </c>
      <c r="ET120" s="189">
        <v>9.9</v>
      </c>
      <c r="EU120" s="189">
        <v>0</v>
      </c>
      <c r="EV120" s="189">
        <v>0</v>
      </c>
      <c r="EW120" s="189">
        <v>97.4</v>
      </c>
      <c r="EX120" s="189">
        <v>0</v>
      </c>
      <c r="EY120" s="189">
        <v>48</v>
      </c>
      <c r="EZ120" s="189">
        <v>0</v>
      </c>
      <c r="FA120" s="189">
        <v>0</v>
      </c>
      <c r="FB120" s="189">
        <v>0</v>
      </c>
      <c r="FC120" s="189">
        <v>120</v>
      </c>
      <c r="FD120" s="189">
        <v>0</v>
      </c>
      <c r="FE120" s="189">
        <v>0</v>
      </c>
      <c r="FF120" s="189">
        <v>0</v>
      </c>
      <c r="FG120" s="189">
        <v>0</v>
      </c>
      <c r="FH120" s="189">
        <v>0</v>
      </c>
      <c r="FI120" s="189">
        <v>0</v>
      </c>
      <c r="FJ120" s="189">
        <v>0</v>
      </c>
      <c r="FK120" s="189">
        <v>299.89999999999998</v>
      </c>
      <c r="FL120" s="189">
        <v>264</v>
      </c>
      <c r="FN120" s="132">
        <v>142.47</v>
      </c>
    </row>
    <row r="121" spans="1:170" ht="30">
      <c r="A121" s="88">
        <f>COUNTIF($H$12:H121,H121)</f>
        <v>22</v>
      </c>
      <c r="B121" s="88" t="s">
        <v>1987</v>
      </c>
      <c r="C121" s="88" t="s">
        <v>2594</v>
      </c>
      <c r="D121" s="88"/>
      <c r="E121" s="88"/>
      <c r="F121" s="301" t="s">
        <v>10</v>
      </c>
      <c r="G121" s="89" t="s">
        <v>963</v>
      </c>
      <c r="H121" s="88">
        <v>2</v>
      </c>
      <c r="I121" s="88">
        <v>2</v>
      </c>
      <c r="J121" s="88">
        <v>2</v>
      </c>
      <c r="K121" s="90" t="s">
        <v>1613</v>
      </c>
      <c r="L121" s="90" t="s">
        <v>1613</v>
      </c>
      <c r="M121" s="214"/>
      <c r="N121" s="88" t="s">
        <v>1179</v>
      </c>
      <c r="O121" s="216">
        <f t="shared" si="317"/>
        <v>3.66</v>
      </c>
      <c r="P121" s="88" t="str">
        <f>IF(BO121&lt;3.33,"B11_3",IF(AND(BO121&gt;=3.33,BO121&lt;4.65),"B11_4",IF(AND(BO121&gt;=4.65,BO121&lt;5.42),"B11_5",IF(AND(BO121&gt;=5.42,BO121&lt;6.44),"B11_6",IF(AND(BO121&gt;=6.44,BO121&lt;=6.92),"B11_7","B11_8")))))</f>
        <v>B11_4</v>
      </c>
      <c r="Q121" s="88">
        <f t="shared" si="331"/>
        <v>270</v>
      </c>
      <c r="R121" s="88">
        <f t="shared" si="332"/>
        <v>80</v>
      </c>
      <c r="S121" s="230" t="s">
        <v>2036</v>
      </c>
      <c r="T121" s="214" t="s">
        <v>1326</v>
      </c>
      <c r="U121" s="88">
        <f>IF(RIGHT(T121,1)="K",(VLOOKUP(T121,ma_miengiam!$A$3:$B$80,2,0)*100)/2,VLOOKUP(T121,ma_miengiam!$A$3:$B$80,2,0)*100)</f>
        <v>65</v>
      </c>
      <c r="V121" s="88"/>
      <c r="W121" s="220">
        <f>IF(AND(T121="NTS",V121&gt;0),(Q121-(Q121*V121)/12)*VLOOKUP(T121,ma_miengiam!$A$3:$B$80,2,0)+(Q121-(Q121*(12-V121))/12),IF(AND(RIGHT(T121,1)="K",V121&gt;0),(VLOOKUP(T121,ma_miengiam!$A$3:$B$80,2,0)/2)*(Q121*V121)/12,IF(RIGHT(T121,1)="K",(VLOOKUP(T121,ma_miengiam!$A$3:$B$80,2,0)*Q121)/2,IF(V121&gt;0,VLOOKUP(T121,ma_miengiam!$A$3:$B$80,2,0)*Q121*V121/12,VLOOKUP(T121,ma_miengiam!$A$3:$B$80,2,0)*Q121))))</f>
        <v>175.5</v>
      </c>
      <c r="X121" s="220">
        <f>IF(T121="NTS",VLOOKUP(T121,ma_miengiam!$A$3:$B$80,2,0)*R121*V121,IF(AND(T121="NTS",V121=0),0,IF(AND(LEFT(T121,1)="K",V121=0),VLOOKUP(T121,ma_miengiam!$A$3:$B$80,2,0)*R121,IF(LEFT(T121,1)="K",(VLOOKUP(T121,ma_miengiam!$A$3:$B$80,2,0)*R121/12)*V121,IF(AND(LEFT(T121,1)="S",V121&gt;0),(R121/12)*V121,IF(AND(LEFT(T121,1)="S",V121=0),R121,IF(T121="DH",VLOOKUP(T121,ma_miengiam!$A$3:$B$80,2,0)*R121,0)))))))</f>
        <v>80</v>
      </c>
      <c r="Y121" s="220">
        <f t="shared" si="336"/>
        <v>94.5</v>
      </c>
      <c r="Z121" s="220">
        <f t="shared" si="337"/>
        <v>0</v>
      </c>
      <c r="AA121" s="220">
        <f t="shared" si="373"/>
        <v>270</v>
      </c>
      <c r="AB121" s="220">
        <f t="shared" si="373"/>
        <v>80</v>
      </c>
      <c r="AC121" s="220">
        <f t="shared" si="374"/>
        <v>175.5</v>
      </c>
      <c r="AD121" s="220">
        <f t="shared" si="374"/>
        <v>80</v>
      </c>
      <c r="AE121" s="220">
        <f t="shared" si="374"/>
        <v>94.5</v>
      </c>
      <c r="AF121" s="220">
        <f t="shared" si="374"/>
        <v>0</v>
      </c>
      <c r="AG121" s="220">
        <f t="shared" si="368"/>
        <v>80</v>
      </c>
      <c r="AH121" s="220">
        <f t="shared" si="369"/>
        <v>80</v>
      </c>
      <c r="AI121" s="220">
        <f t="shared" si="370"/>
        <v>0</v>
      </c>
      <c r="AJ121" s="220">
        <f t="shared" si="347"/>
        <v>0</v>
      </c>
      <c r="AK121" s="216">
        <f t="shared" si="247"/>
        <v>94.5</v>
      </c>
      <c r="AL121" s="220">
        <f t="shared" si="248"/>
        <v>0</v>
      </c>
      <c r="AM121" s="220">
        <f t="shared" si="249"/>
        <v>0</v>
      </c>
      <c r="AN121" s="221">
        <f t="shared" si="250"/>
        <v>0</v>
      </c>
      <c r="AO121" s="220">
        <f t="shared" si="251"/>
        <v>0</v>
      </c>
      <c r="AP121" s="220">
        <f t="shared" si="252"/>
        <v>0</v>
      </c>
      <c r="AQ121" s="220">
        <f t="shared" si="253"/>
        <v>100</v>
      </c>
      <c r="AR121" s="220">
        <f t="shared" si="254"/>
        <v>0</v>
      </c>
      <c r="AS121" s="220">
        <f t="shared" si="255"/>
        <v>0</v>
      </c>
      <c r="AT121" s="216">
        <f t="shared" si="256"/>
        <v>100</v>
      </c>
      <c r="AU121" s="222">
        <f t="shared" si="209"/>
        <v>-94.5</v>
      </c>
      <c r="AV121" s="220"/>
      <c r="AW121" s="220">
        <f t="shared" si="350"/>
        <v>-94.5</v>
      </c>
      <c r="AX121" s="216">
        <f t="shared" si="265"/>
        <v>-94.5</v>
      </c>
      <c r="AY121" s="220">
        <f t="shared" si="362"/>
        <v>0</v>
      </c>
      <c r="AZ121" s="220">
        <f t="shared" si="363"/>
        <v>0</v>
      </c>
      <c r="BA121" s="220">
        <f t="shared" si="364"/>
        <v>5.5</v>
      </c>
      <c r="BB121" s="220">
        <f t="shared" si="365"/>
        <v>0</v>
      </c>
      <c r="BC121" s="220">
        <f t="shared" si="366"/>
        <v>0</v>
      </c>
      <c r="BD121" s="216">
        <f t="shared" si="375"/>
        <v>5.5</v>
      </c>
      <c r="BE121" s="220">
        <f t="shared" si="351"/>
        <v>0</v>
      </c>
      <c r="BF121" s="220">
        <f t="shared" si="352"/>
        <v>0</v>
      </c>
      <c r="BG121" s="220">
        <f t="shared" si="353"/>
        <v>-94.5</v>
      </c>
      <c r="BH121" s="220">
        <f t="shared" si="354"/>
        <v>0</v>
      </c>
      <c r="BI121" s="220">
        <f t="shared" si="355"/>
        <v>0</v>
      </c>
      <c r="BJ121" s="220" t="s">
        <v>1959</v>
      </c>
      <c r="BK121" s="220"/>
      <c r="BL121" s="223">
        <f t="shared" si="257"/>
        <v>0</v>
      </c>
      <c r="BM121" s="220">
        <v>3.66</v>
      </c>
      <c r="BN121" s="220"/>
      <c r="BO121" s="220">
        <f t="shared" si="356"/>
        <v>3.66</v>
      </c>
      <c r="BP121" s="220">
        <f>IF(AND(BL121&gt;0,BL121&lt;tiet!$D$1),BL121,IF(BL121&lt;=0,0,IF(BL121&gt;tiet!$C$1,tiet!$C$1)))</f>
        <v>0</v>
      </c>
      <c r="BQ121" s="87">
        <f t="shared" ref="BQ121:BQ163" si="376">VLOOKUP(P121,ma_dinhmuc_moi,4,0)</f>
        <v>65000</v>
      </c>
      <c r="BR121" s="224">
        <f t="shared" ref="BR121:BR163" si="377">ROUND(BQ121*BP121,0)</f>
        <v>0</v>
      </c>
      <c r="BS121" s="220">
        <f t="shared" si="219"/>
        <v>0</v>
      </c>
      <c r="BT121" s="224">
        <f>VLOOKUP(N121,ma_dinhmuc!$A$1:$J$31,10,0)</f>
        <v>51000</v>
      </c>
      <c r="BU121" s="224">
        <f>ROUND(IF(BS121&gt;0,VLOOKUP(N121,ma_dinhmuc!$A$1:$J$31,10,0)*BS121,0),0)</f>
        <v>0</v>
      </c>
      <c r="BV121" s="224">
        <f t="shared" ref="BV121:BV163" si="378">ROUND(BU121+BR121,0)</f>
        <v>0</v>
      </c>
      <c r="BW121" s="224"/>
      <c r="BX121" s="224">
        <v>0</v>
      </c>
      <c r="BY121" s="224"/>
      <c r="BZ121" s="224"/>
      <c r="CA121" s="224"/>
      <c r="CB121" s="224"/>
      <c r="CC121" s="225">
        <f t="shared" si="198"/>
        <v>0</v>
      </c>
      <c r="CD121" s="224">
        <f t="shared" si="199"/>
        <v>0</v>
      </c>
      <c r="CE121" s="224"/>
      <c r="CF121" s="226"/>
      <c r="CG121" s="87"/>
      <c r="CH121" s="87">
        <f t="shared" si="357"/>
        <v>22</v>
      </c>
      <c r="CI121" s="227" t="str">
        <f t="shared" si="340"/>
        <v>Dương Thu</v>
      </c>
      <c r="CJ121" s="227" t="str">
        <f t="shared" si="341"/>
        <v>Hương</v>
      </c>
      <c r="CK121" s="87">
        <f t="shared" si="342"/>
        <v>2</v>
      </c>
      <c r="CL121" s="227" t="str">
        <f t="shared" si="371"/>
        <v>Sinh học động vật</v>
      </c>
      <c r="CM121" s="87" t="str">
        <f t="shared" si="358"/>
        <v>CB2</v>
      </c>
      <c r="CN121" s="87">
        <f t="shared" si="359"/>
        <v>270</v>
      </c>
      <c r="CO121" s="87">
        <f t="shared" si="360"/>
        <v>80</v>
      </c>
      <c r="CP121" s="229">
        <f t="shared" si="223"/>
        <v>0</v>
      </c>
      <c r="CQ121" s="229">
        <f t="shared" si="224"/>
        <v>0</v>
      </c>
      <c r="CR121" s="229">
        <f t="shared" si="225"/>
        <v>0</v>
      </c>
      <c r="CS121" s="229">
        <f t="shared" si="226"/>
        <v>0</v>
      </c>
      <c r="CT121" s="229">
        <f t="shared" si="227"/>
        <v>0</v>
      </c>
      <c r="CU121" s="229">
        <f t="shared" si="228"/>
        <v>0</v>
      </c>
      <c r="CV121" s="229">
        <f t="shared" si="229"/>
        <v>0</v>
      </c>
      <c r="CW121" s="229">
        <f t="shared" si="230"/>
        <v>0</v>
      </c>
      <c r="CX121" s="229">
        <f t="shared" si="231"/>
        <v>0</v>
      </c>
      <c r="CY121" s="229">
        <f t="shared" si="232"/>
        <v>0</v>
      </c>
      <c r="CZ121" s="229">
        <f t="shared" si="233"/>
        <v>0</v>
      </c>
      <c r="DA121" s="229">
        <f t="shared" si="234"/>
        <v>100</v>
      </c>
      <c r="DB121" s="228">
        <f t="shared" si="214"/>
        <v>100</v>
      </c>
      <c r="DC121" s="229"/>
      <c r="DD121" s="229"/>
      <c r="DE121" s="229"/>
      <c r="DF121" s="229"/>
      <c r="DG121" s="229"/>
      <c r="DH121" s="229"/>
      <c r="DI121" s="229"/>
      <c r="DJ121" s="229"/>
      <c r="DK121" s="229"/>
      <c r="DL121" s="229"/>
      <c r="DM121" s="229"/>
      <c r="DN121" s="229"/>
      <c r="DO121" s="228">
        <f t="shared" si="215"/>
        <v>0</v>
      </c>
      <c r="DP121" s="228">
        <f t="shared" si="216"/>
        <v>100</v>
      </c>
      <c r="DQ121" s="229">
        <f t="shared" si="235"/>
        <v>0</v>
      </c>
      <c r="DR121" s="229">
        <f t="shared" si="236"/>
        <v>0</v>
      </c>
      <c r="DS121" s="229">
        <f t="shared" si="237"/>
        <v>0</v>
      </c>
      <c r="DT121" s="229">
        <f t="shared" si="238"/>
        <v>0</v>
      </c>
      <c r="DU121" s="229">
        <f t="shared" si="239"/>
        <v>0</v>
      </c>
      <c r="DV121" s="229">
        <f t="shared" si="240"/>
        <v>0</v>
      </c>
      <c r="DW121" s="229">
        <f t="shared" si="241"/>
        <v>0</v>
      </c>
      <c r="DX121" s="228">
        <f t="shared" si="217"/>
        <v>0</v>
      </c>
      <c r="DY121" s="229"/>
      <c r="DZ121" s="229"/>
      <c r="EA121" s="229"/>
      <c r="EB121" s="229"/>
      <c r="EC121" s="229"/>
      <c r="ED121" s="229"/>
      <c r="EE121" s="229"/>
      <c r="EF121" s="228">
        <f t="shared" si="220"/>
        <v>0</v>
      </c>
      <c r="EG121" s="228">
        <f t="shared" si="218"/>
        <v>0</v>
      </c>
      <c r="EH121" s="229">
        <f t="shared" si="221"/>
        <v>0</v>
      </c>
      <c r="EI121" s="229">
        <v>80</v>
      </c>
      <c r="EJ121" s="228">
        <f t="shared" si="308"/>
        <v>80</v>
      </c>
      <c r="EK121" s="229"/>
      <c r="EL121" s="229"/>
      <c r="EM121" s="228">
        <f t="shared" si="372"/>
        <v>0</v>
      </c>
      <c r="EN121" s="229">
        <f t="shared" si="361"/>
        <v>0</v>
      </c>
      <c r="EO121" s="229">
        <f t="shared" si="212"/>
        <v>80</v>
      </c>
      <c r="EP121" s="228">
        <f t="shared" si="345"/>
        <v>80</v>
      </c>
      <c r="EQ121" s="173">
        <f t="shared" si="222"/>
        <v>0</v>
      </c>
      <c r="ER121" s="189">
        <v>0</v>
      </c>
      <c r="ES121" s="189">
        <v>0</v>
      </c>
      <c r="ET121" s="189">
        <v>0</v>
      </c>
      <c r="EU121" s="189">
        <v>0</v>
      </c>
      <c r="EV121" s="189">
        <v>0</v>
      </c>
      <c r="EW121" s="189">
        <v>0</v>
      </c>
      <c r="EX121" s="189">
        <v>0</v>
      </c>
      <c r="EY121" s="189">
        <v>0</v>
      </c>
      <c r="EZ121" s="189">
        <v>0</v>
      </c>
      <c r="FA121" s="189">
        <v>0</v>
      </c>
      <c r="FB121" s="189">
        <v>0</v>
      </c>
      <c r="FC121" s="189">
        <v>100</v>
      </c>
      <c r="FD121" s="189">
        <v>0</v>
      </c>
      <c r="FE121" s="189">
        <v>0</v>
      </c>
      <c r="FF121" s="189">
        <v>0</v>
      </c>
      <c r="FG121" s="189">
        <v>0</v>
      </c>
      <c r="FH121" s="189">
        <v>0</v>
      </c>
      <c r="FI121" s="189">
        <v>0</v>
      </c>
      <c r="FJ121" s="189">
        <v>0</v>
      </c>
      <c r="FK121" s="189">
        <v>100</v>
      </c>
      <c r="FL121" s="189">
        <v>100</v>
      </c>
      <c r="FN121" s="132">
        <v>0</v>
      </c>
    </row>
    <row r="122" spans="1:170" ht="30" customHeight="1">
      <c r="A122" s="88">
        <f>COUNTIF($H$12:H122,H122)</f>
        <v>23</v>
      </c>
      <c r="B122" s="88" t="s">
        <v>1988</v>
      </c>
      <c r="C122" s="88" t="s">
        <v>2595</v>
      </c>
      <c r="D122" s="88"/>
      <c r="E122" s="88"/>
      <c r="F122" s="301" t="s">
        <v>1139</v>
      </c>
      <c r="G122" s="89" t="s">
        <v>11</v>
      </c>
      <c r="H122" s="88">
        <v>2</v>
      </c>
      <c r="I122" s="88">
        <v>2</v>
      </c>
      <c r="J122" s="88">
        <v>2</v>
      </c>
      <c r="K122" s="90" t="s">
        <v>1613</v>
      </c>
      <c r="L122" s="90" t="s">
        <v>1613</v>
      </c>
      <c r="M122" s="214"/>
      <c r="N122" s="88" t="s">
        <v>1178</v>
      </c>
      <c r="O122" s="216">
        <f t="shared" si="317"/>
        <v>5.42</v>
      </c>
      <c r="P122" s="88" t="str">
        <f>IF(BO122&lt;3.33,"B11_3",IF(AND(BO122&gt;=3.33,BO122&lt;4.65),"B11_4",IF(AND(BO122&gt;=4.65,BO122&lt;5.42),"B11_5",IF(AND(BO122&gt;=5.42,BO122&lt;6.44),"B11_6",IF(AND(BO122&gt;=6.44,BO122&lt;=6.92),"B11_7","B11_8")))))</f>
        <v>B11_6</v>
      </c>
      <c r="Q122" s="88">
        <f t="shared" si="331"/>
        <v>270</v>
      </c>
      <c r="R122" s="88">
        <f t="shared" si="332"/>
        <v>120</v>
      </c>
      <c r="S122" s="230" t="s">
        <v>2031</v>
      </c>
      <c r="T122" s="88" t="s">
        <v>3091</v>
      </c>
      <c r="U122" s="88">
        <f>IF(RIGHT(T122,1)="K",(VLOOKUP(T122,ma_miengiam!$A$3:$B$80,2,0)*100)/2,VLOOKUP(T122,ma_miengiam!$A$3:$B$80,2,0)*100)</f>
        <v>20</v>
      </c>
      <c r="V122" s="88"/>
      <c r="W122" s="220">
        <f>IF(AND(T122="NTS",V122&gt;0),(Q122-(Q122*V122)/12)*VLOOKUP(T122,ma_miengiam!$A$3:$B$80,2,0)+(Q122-(Q122*(12-V122))/12),IF(AND(RIGHT(T122,1)="K",V122&gt;0),(VLOOKUP(T122,ma_miengiam!$A$3:$B$80,2,0)/2)*(Q122*V122)/12,IF(RIGHT(T122,1)="K",(VLOOKUP(T122,ma_miengiam!$A$3:$B$80,2,0)*Q122)/2,IF(V122&gt;0,VLOOKUP(T122,ma_miengiam!$A$3:$B$80,2,0)*Q122*V122/12,VLOOKUP(T122,ma_miengiam!$A$3:$B$80,2,0)*Q122))))</f>
        <v>54</v>
      </c>
      <c r="X122" s="220">
        <f>IF(T122="NTS",VLOOKUP(T122,ma_miengiam!$A$3:$B$80,2,0)*R122*V122,IF(AND(T122="NTS",V122=0),0,IF(AND(LEFT(T122,1)="K",V122=0),VLOOKUP(T122,ma_miengiam!$A$3:$B$80,2,0)*R122,IF(LEFT(T122,1)="K",(VLOOKUP(T122,ma_miengiam!$A$3:$B$80,2,0)*R122/12)*V122,IF(AND(LEFT(T122,1)="S",V122&gt;0),(R122/12)*V122,IF(AND(LEFT(T122,1)="S",V122=0),R122,IF(T122="DH",VLOOKUP(T122,ma_miengiam!$A$3:$B$80,2,0)*R122,0)))))))</f>
        <v>0</v>
      </c>
      <c r="Y122" s="220">
        <f t="shared" si="336"/>
        <v>216</v>
      </c>
      <c r="Z122" s="220">
        <f t="shared" si="337"/>
        <v>120</v>
      </c>
      <c r="AA122" s="220">
        <f t="shared" si="373"/>
        <v>270</v>
      </c>
      <c r="AB122" s="220">
        <f t="shared" si="373"/>
        <v>120</v>
      </c>
      <c r="AC122" s="220">
        <f t="shared" ref="AC122:AF123" si="379">W122</f>
        <v>54</v>
      </c>
      <c r="AD122" s="220">
        <f t="shared" si="379"/>
        <v>0</v>
      </c>
      <c r="AE122" s="220">
        <f t="shared" si="379"/>
        <v>216</v>
      </c>
      <c r="AF122" s="220">
        <f t="shared" si="379"/>
        <v>120</v>
      </c>
      <c r="AG122" s="220">
        <f t="shared" si="368"/>
        <v>50</v>
      </c>
      <c r="AH122" s="220">
        <f t="shared" si="369"/>
        <v>0</v>
      </c>
      <c r="AI122" s="220">
        <f t="shared" si="370"/>
        <v>50</v>
      </c>
      <c r="AJ122" s="220">
        <f t="shared" ref="AJ122:AJ165" si="380">IF(AG122-Z122&gt;0,0,AG122-Z122)</f>
        <v>-70</v>
      </c>
      <c r="AK122" s="216">
        <f t="shared" si="247"/>
        <v>286</v>
      </c>
      <c r="AL122" s="220">
        <f t="shared" si="248"/>
        <v>0</v>
      </c>
      <c r="AM122" s="220">
        <f t="shared" si="249"/>
        <v>0</v>
      </c>
      <c r="AN122" s="221">
        <f t="shared" si="250"/>
        <v>0</v>
      </c>
      <c r="AO122" s="220">
        <f t="shared" si="251"/>
        <v>0</v>
      </c>
      <c r="AP122" s="220">
        <f t="shared" si="252"/>
        <v>0</v>
      </c>
      <c r="AQ122" s="220">
        <f t="shared" si="253"/>
        <v>120</v>
      </c>
      <c r="AR122" s="220">
        <f t="shared" si="254"/>
        <v>0</v>
      </c>
      <c r="AS122" s="220">
        <f t="shared" si="255"/>
        <v>0</v>
      </c>
      <c r="AT122" s="216">
        <f t="shared" si="256"/>
        <v>120</v>
      </c>
      <c r="AU122" s="222">
        <f t="shared" si="209"/>
        <v>-286</v>
      </c>
      <c r="AV122" s="220"/>
      <c r="AW122" s="220">
        <f t="shared" si="350"/>
        <v>-286</v>
      </c>
      <c r="AX122" s="216">
        <f t="shared" si="265"/>
        <v>-286</v>
      </c>
      <c r="AY122" s="220">
        <f t="shared" si="362"/>
        <v>0</v>
      </c>
      <c r="AZ122" s="220">
        <f t="shared" si="363"/>
        <v>0</v>
      </c>
      <c r="BA122" s="220">
        <f t="shared" si="364"/>
        <v>0</v>
      </c>
      <c r="BB122" s="220">
        <f t="shared" si="365"/>
        <v>0</v>
      </c>
      <c r="BC122" s="220">
        <f t="shared" si="366"/>
        <v>0</v>
      </c>
      <c r="BD122" s="216">
        <f t="shared" si="375"/>
        <v>0</v>
      </c>
      <c r="BE122" s="220">
        <f t="shared" si="351"/>
        <v>0</v>
      </c>
      <c r="BF122" s="220">
        <f t="shared" si="352"/>
        <v>0</v>
      </c>
      <c r="BG122" s="220">
        <f t="shared" si="353"/>
        <v>-120</v>
      </c>
      <c r="BH122" s="220">
        <f t="shared" si="354"/>
        <v>0</v>
      </c>
      <c r="BI122" s="220">
        <f t="shared" si="355"/>
        <v>0</v>
      </c>
      <c r="BJ122" s="220" t="s">
        <v>1959</v>
      </c>
      <c r="BK122" s="220"/>
      <c r="BL122" s="223">
        <f t="shared" si="257"/>
        <v>0</v>
      </c>
      <c r="BM122" s="220">
        <v>5.42</v>
      </c>
      <c r="BN122" s="220"/>
      <c r="BO122" s="220">
        <f t="shared" si="356"/>
        <v>5.42</v>
      </c>
      <c r="BP122" s="220">
        <f>IF(AND(BL122&gt;0,BL122&lt;tiet!$D$1),BL122,IF(BL122&lt;=0,0,IF(BL122&gt;tiet!$C$1,tiet!$C$1)))</f>
        <v>0</v>
      </c>
      <c r="BQ122" s="87">
        <f t="shared" si="376"/>
        <v>75000</v>
      </c>
      <c r="BR122" s="224">
        <f t="shared" si="377"/>
        <v>0</v>
      </c>
      <c r="BS122" s="220">
        <f t="shared" si="219"/>
        <v>0</v>
      </c>
      <c r="BT122" s="224">
        <f>VLOOKUP(N122,ma_dinhmuc!$A$1:$J$31,10,0)</f>
        <v>55000</v>
      </c>
      <c r="BU122" s="224">
        <f>ROUND(IF(BS122&gt;0,VLOOKUP(N122,ma_dinhmuc!$A$1:$J$31,10,0)*BS122,0),0)</f>
        <v>0</v>
      </c>
      <c r="BV122" s="224">
        <f t="shared" si="378"/>
        <v>0</v>
      </c>
      <c r="BW122" s="224"/>
      <c r="BX122" s="224">
        <v>0</v>
      </c>
      <c r="BY122" s="224"/>
      <c r="BZ122" s="224"/>
      <c r="CA122" s="224"/>
      <c r="CB122" s="224"/>
      <c r="CC122" s="225">
        <f t="shared" si="198"/>
        <v>0</v>
      </c>
      <c r="CD122" s="224">
        <f t="shared" si="199"/>
        <v>0</v>
      </c>
      <c r="CE122" s="224"/>
      <c r="CF122" s="226"/>
      <c r="CG122" s="87"/>
      <c r="CH122" s="87">
        <f t="shared" ref="CH122:CH136" si="381">A122</f>
        <v>23</v>
      </c>
      <c r="CI122" s="227" t="str">
        <f t="shared" si="340"/>
        <v>Nguyễn Thị</v>
      </c>
      <c r="CJ122" s="227" t="str">
        <f t="shared" si="341"/>
        <v>Nguyệt</v>
      </c>
      <c r="CK122" s="87">
        <f t="shared" si="342"/>
        <v>2</v>
      </c>
      <c r="CL122" s="227" t="str">
        <f t="shared" si="371"/>
        <v>Sinh học động vật</v>
      </c>
      <c r="CM122" s="87" t="str">
        <f t="shared" si="358"/>
        <v>CB3</v>
      </c>
      <c r="CN122" s="87">
        <f>Q122</f>
        <v>270</v>
      </c>
      <c r="CO122" s="87">
        <f>R122</f>
        <v>120</v>
      </c>
      <c r="CP122" s="229">
        <f t="shared" si="223"/>
        <v>0</v>
      </c>
      <c r="CQ122" s="229">
        <f t="shared" si="224"/>
        <v>0</v>
      </c>
      <c r="CR122" s="229">
        <f t="shared" si="225"/>
        <v>0</v>
      </c>
      <c r="CS122" s="229">
        <f t="shared" si="226"/>
        <v>0</v>
      </c>
      <c r="CT122" s="229">
        <f t="shared" si="227"/>
        <v>0</v>
      </c>
      <c r="CU122" s="229">
        <f t="shared" si="228"/>
        <v>0</v>
      </c>
      <c r="CV122" s="229">
        <f t="shared" si="229"/>
        <v>0</v>
      </c>
      <c r="CW122" s="229">
        <f t="shared" si="230"/>
        <v>0</v>
      </c>
      <c r="CX122" s="229">
        <f t="shared" si="231"/>
        <v>0</v>
      </c>
      <c r="CY122" s="229">
        <f t="shared" si="232"/>
        <v>0</v>
      </c>
      <c r="CZ122" s="229">
        <f t="shared" si="233"/>
        <v>0</v>
      </c>
      <c r="DA122" s="229">
        <f t="shared" si="234"/>
        <v>120</v>
      </c>
      <c r="DB122" s="228">
        <f t="shared" si="214"/>
        <v>120</v>
      </c>
      <c r="DC122" s="229"/>
      <c r="DD122" s="229"/>
      <c r="DE122" s="229"/>
      <c r="DF122" s="229"/>
      <c r="DG122" s="229"/>
      <c r="DH122" s="229"/>
      <c r="DI122" s="229"/>
      <c r="DJ122" s="229"/>
      <c r="DK122" s="229"/>
      <c r="DL122" s="229"/>
      <c r="DM122" s="229"/>
      <c r="DN122" s="229"/>
      <c r="DO122" s="228">
        <f t="shared" si="215"/>
        <v>0</v>
      </c>
      <c r="DP122" s="228">
        <f t="shared" si="216"/>
        <v>120</v>
      </c>
      <c r="DQ122" s="229">
        <f t="shared" si="235"/>
        <v>0</v>
      </c>
      <c r="DR122" s="229">
        <f t="shared" si="236"/>
        <v>0</v>
      </c>
      <c r="DS122" s="229">
        <f t="shared" si="237"/>
        <v>0</v>
      </c>
      <c r="DT122" s="229">
        <f t="shared" si="238"/>
        <v>0</v>
      </c>
      <c r="DU122" s="229">
        <f t="shared" si="239"/>
        <v>0</v>
      </c>
      <c r="DV122" s="229">
        <f t="shared" si="240"/>
        <v>0</v>
      </c>
      <c r="DW122" s="229">
        <f t="shared" si="241"/>
        <v>0</v>
      </c>
      <c r="DX122" s="228">
        <f t="shared" si="217"/>
        <v>0</v>
      </c>
      <c r="DY122" s="229"/>
      <c r="DZ122" s="229"/>
      <c r="EA122" s="229"/>
      <c r="EB122" s="229"/>
      <c r="EC122" s="229"/>
      <c r="ED122" s="229"/>
      <c r="EE122" s="229"/>
      <c r="EF122" s="228">
        <f t="shared" si="220"/>
        <v>0</v>
      </c>
      <c r="EG122" s="228">
        <f t="shared" si="218"/>
        <v>0</v>
      </c>
      <c r="EH122" s="229">
        <f t="shared" si="221"/>
        <v>50</v>
      </c>
      <c r="EI122" s="229">
        <v>0</v>
      </c>
      <c r="EJ122" s="228">
        <f t="shared" si="308"/>
        <v>50</v>
      </c>
      <c r="EK122" s="229"/>
      <c r="EL122" s="229"/>
      <c r="EM122" s="228">
        <f t="shared" si="372"/>
        <v>0</v>
      </c>
      <c r="EN122" s="229">
        <f t="shared" si="361"/>
        <v>50</v>
      </c>
      <c r="EO122" s="229">
        <f t="shared" si="212"/>
        <v>0</v>
      </c>
      <c r="EP122" s="228">
        <f t="shared" si="345"/>
        <v>50</v>
      </c>
      <c r="EQ122" s="173">
        <f t="shared" si="222"/>
        <v>0</v>
      </c>
      <c r="ER122" s="189">
        <v>0</v>
      </c>
      <c r="ES122" s="189">
        <v>0</v>
      </c>
      <c r="ET122" s="189">
        <v>0</v>
      </c>
      <c r="EU122" s="189">
        <v>0</v>
      </c>
      <c r="EV122" s="189">
        <v>0</v>
      </c>
      <c r="EW122" s="189">
        <v>0</v>
      </c>
      <c r="EX122" s="189">
        <v>0</v>
      </c>
      <c r="EY122" s="189">
        <v>0</v>
      </c>
      <c r="EZ122" s="189">
        <v>0</v>
      </c>
      <c r="FA122" s="189">
        <v>0</v>
      </c>
      <c r="FB122" s="189">
        <v>0</v>
      </c>
      <c r="FC122" s="189">
        <v>120</v>
      </c>
      <c r="FD122" s="189">
        <v>0</v>
      </c>
      <c r="FE122" s="189">
        <v>0</v>
      </c>
      <c r="FF122" s="189">
        <v>0</v>
      </c>
      <c r="FG122" s="189">
        <v>0</v>
      </c>
      <c r="FH122" s="189">
        <v>0</v>
      </c>
      <c r="FI122" s="189">
        <v>0</v>
      </c>
      <c r="FJ122" s="189">
        <v>0</v>
      </c>
      <c r="FK122" s="189">
        <v>120</v>
      </c>
      <c r="FL122" s="189">
        <v>120</v>
      </c>
      <c r="FN122" s="132">
        <v>50</v>
      </c>
    </row>
    <row r="123" spans="1:170" ht="30" customHeight="1">
      <c r="A123" s="88">
        <f>COUNTIF($H$12:H123,H123)</f>
        <v>24</v>
      </c>
      <c r="B123" s="88" t="s">
        <v>1989</v>
      </c>
      <c r="C123" s="88" t="s">
        <v>2596</v>
      </c>
      <c r="D123" s="88"/>
      <c r="E123" s="88"/>
      <c r="F123" s="301" t="s">
        <v>12</v>
      </c>
      <c r="G123" s="89" t="s">
        <v>13</v>
      </c>
      <c r="H123" s="88">
        <v>2</v>
      </c>
      <c r="I123" s="88">
        <v>2</v>
      </c>
      <c r="J123" s="88">
        <v>2</v>
      </c>
      <c r="K123" s="90" t="s">
        <v>1613</v>
      </c>
      <c r="L123" s="90" t="s">
        <v>1613</v>
      </c>
      <c r="M123" s="214"/>
      <c r="N123" s="88" t="s">
        <v>1179</v>
      </c>
      <c r="O123" s="216">
        <f t="shared" si="317"/>
        <v>3</v>
      </c>
      <c r="P123" s="88" t="str">
        <f>IF(BO123&lt;3.33,"B11_3",IF(AND(BO123&gt;=3.33,BO123&lt;4.65),"B11_4",IF(AND(BO123&gt;=4.65,BO123&lt;5.42),"B11_5",IF(AND(BO123&gt;=5.42,BO123&lt;6.44),"B11_6",IF(AND(BO123&gt;=6.44,BO123&lt;=6.92),"B11_7","B11_8")))))</f>
        <v>B11_3</v>
      </c>
      <c r="Q123" s="88">
        <f t="shared" si="331"/>
        <v>270</v>
      </c>
      <c r="R123" s="88">
        <f t="shared" si="332"/>
        <v>60</v>
      </c>
      <c r="S123" s="233" t="s">
        <v>1239</v>
      </c>
      <c r="T123" s="88" t="s">
        <v>3091</v>
      </c>
      <c r="U123" s="88">
        <f>IF(RIGHT(T123,1)="K",(VLOOKUP(T123,ma_miengiam!$A$3:$B$80,2,0)*100)/2,VLOOKUP(T123,ma_miengiam!$A$3:$B$80,2,0)*100)</f>
        <v>20</v>
      </c>
      <c r="V123" s="88"/>
      <c r="W123" s="220">
        <f>IF(AND(T123="NTS",V123&gt;0),(Q123-(Q123*V123)/12)*VLOOKUP(T123,ma_miengiam!$A$3:$B$80,2,0)+(Q123-(Q123*(12-V123))/12),IF(AND(RIGHT(T123,1)="K",V123&gt;0),(VLOOKUP(T123,ma_miengiam!$A$3:$B$80,2,0)/2)*(Q123*V123)/12,IF(RIGHT(T123,1)="K",(VLOOKUP(T123,ma_miengiam!$A$3:$B$80,2,0)*Q123)/2,IF(V123&gt;0,VLOOKUP(T123,ma_miengiam!$A$3:$B$80,2,0)*Q123*V123/12,VLOOKUP(T123,ma_miengiam!$A$3:$B$80,2,0)*Q123))))</f>
        <v>54</v>
      </c>
      <c r="X123" s="220">
        <f>IF(T123="NTS",VLOOKUP(T123,ma_miengiam!$A$3:$B$80,2,0)*R123*V123,IF(AND(T123="NTS",V123=0),0,IF(AND(LEFT(T123,1)="K",V123=0),VLOOKUP(T123,ma_miengiam!$A$3:$B$80,2,0)*R123,IF(LEFT(T123,1)="K",(VLOOKUP(T123,ma_miengiam!$A$3:$B$80,2,0)*R123/12)*V123,IF(AND(LEFT(T123,1)="S",V123&gt;0),(R123/12)*V123,IF(AND(LEFT(T123,1)="S",V123=0),R123,IF(T123="DH",VLOOKUP(T123,ma_miengiam!$A$3:$B$80,2,0)*R123,0)))))))</f>
        <v>0</v>
      </c>
      <c r="Y123" s="220">
        <f t="shared" si="336"/>
        <v>216</v>
      </c>
      <c r="Z123" s="220">
        <f t="shared" si="337"/>
        <v>60</v>
      </c>
      <c r="AA123" s="220">
        <f t="shared" si="373"/>
        <v>270</v>
      </c>
      <c r="AB123" s="220">
        <f t="shared" si="373"/>
        <v>60</v>
      </c>
      <c r="AC123" s="220">
        <f t="shared" si="379"/>
        <v>54</v>
      </c>
      <c r="AD123" s="220">
        <f t="shared" si="379"/>
        <v>0</v>
      </c>
      <c r="AE123" s="220">
        <f t="shared" si="379"/>
        <v>216</v>
      </c>
      <c r="AF123" s="220">
        <f t="shared" si="379"/>
        <v>60</v>
      </c>
      <c r="AG123" s="220">
        <f t="shared" si="368"/>
        <v>66.05</v>
      </c>
      <c r="AH123" s="220">
        <f t="shared" si="369"/>
        <v>9.8000000000000007</v>
      </c>
      <c r="AI123" s="220">
        <f t="shared" si="370"/>
        <v>56.25</v>
      </c>
      <c r="AJ123" s="220">
        <f t="shared" si="380"/>
        <v>0</v>
      </c>
      <c r="AK123" s="216">
        <f t="shared" si="247"/>
        <v>216</v>
      </c>
      <c r="AL123" s="220">
        <f t="shared" si="248"/>
        <v>81.099999999999994</v>
      </c>
      <c r="AM123" s="220">
        <f t="shared" si="249"/>
        <v>0</v>
      </c>
      <c r="AN123" s="221">
        <f t="shared" si="250"/>
        <v>81.099999999999994</v>
      </c>
      <c r="AO123" s="220">
        <f t="shared" si="251"/>
        <v>0</v>
      </c>
      <c r="AP123" s="220">
        <f t="shared" si="252"/>
        <v>0</v>
      </c>
      <c r="AQ123" s="220">
        <f t="shared" si="253"/>
        <v>100</v>
      </c>
      <c r="AR123" s="220">
        <f t="shared" si="254"/>
        <v>0</v>
      </c>
      <c r="AS123" s="220">
        <f t="shared" si="255"/>
        <v>0</v>
      </c>
      <c r="AT123" s="216">
        <f t="shared" si="256"/>
        <v>181.1</v>
      </c>
      <c r="AU123" s="222">
        <f t="shared" si="209"/>
        <v>-134.9</v>
      </c>
      <c r="AV123" s="220"/>
      <c r="AW123" s="220">
        <f t="shared" si="350"/>
        <v>-134.9</v>
      </c>
      <c r="AX123" s="216">
        <f t="shared" si="265"/>
        <v>-134.9</v>
      </c>
      <c r="AY123" s="220">
        <f t="shared" si="362"/>
        <v>0</v>
      </c>
      <c r="AZ123" s="220">
        <f t="shared" si="363"/>
        <v>0</v>
      </c>
      <c r="BA123" s="220">
        <f t="shared" si="364"/>
        <v>0</v>
      </c>
      <c r="BB123" s="220">
        <f t="shared" si="365"/>
        <v>0</v>
      </c>
      <c r="BC123" s="220">
        <f t="shared" si="366"/>
        <v>0</v>
      </c>
      <c r="BD123" s="216">
        <f t="shared" si="375"/>
        <v>0</v>
      </c>
      <c r="BE123" s="220">
        <f t="shared" si="351"/>
        <v>0</v>
      </c>
      <c r="BF123" s="220">
        <f t="shared" si="352"/>
        <v>0</v>
      </c>
      <c r="BG123" s="220">
        <f t="shared" si="353"/>
        <v>-100</v>
      </c>
      <c r="BH123" s="220">
        <f t="shared" si="354"/>
        <v>0</v>
      </c>
      <c r="BI123" s="220">
        <f t="shared" si="355"/>
        <v>0</v>
      </c>
      <c r="BJ123" s="220" t="s">
        <v>1959</v>
      </c>
      <c r="BK123" s="220"/>
      <c r="BL123" s="223">
        <f t="shared" si="257"/>
        <v>0</v>
      </c>
      <c r="BM123" s="220">
        <v>3</v>
      </c>
      <c r="BN123" s="220"/>
      <c r="BO123" s="220">
        <f t="shared" si="356"/>
        <v>3</v>
      </c>
      <c r="BP123" s="220">
        <f>IF(AND(BL123&gt;0,BL123&lt;tiet!$D$1),BL123,IF(BL123&lt;=0,0,IF(BL123&gt;tiet!$C$1,tiet!$C$1)))</f>
        <v>0</v>
      </c>
      <c r="BQ123" s="87">
        <f t="shared" si="376"/>
        <v>60000</v>
      </c>
      <c r="BR123" s="224">
        <f t="shared" si="377"/>
        <v>0</v>
      </c>
      <c r="BS123" s="220">
        <f t="shared" si="219"/>
        <v>0</v>
      </c>
      <c r="BT123" s="224">
        <f>VLOOKUP(N123,ma_dinhmuc!$A$1:$J$31,10,0)</f>
        <v>51000</v>
      </c>
      <c r="BU123" s="224">
        <f>ROUND(IF(BS123&gt;0,VLOOKUP(N123,ma_dinhmuc!$A$1:$J$31,10,0)*BS123,0),0)</f>
        <v>0</v>
      </c>
      <c r="BV123" s="224">
        <f t="shared" si="378"/>
        <v>0</v>
      </c>
      <c r="BW123" s="224"/>
      <c r="BX123" s="224">
        <v>0</v>
      </c>
      <c r="BY123" s="224"/>
      <c r="BZ123" s="224"/>
      <c r="CA123" s="224"/>
      <c r="CB123" s="224"/>
      <c r="CC123" s="225">
        <f t="shared" si="198"/>
        <v>0</v>
      </c>
      <c r="CD123" s="224">
        <f t="shared" si="199"/>
        <v>0</v>
      </c>
      <c r="CE123" s="224"/>
      <c r="CF123" s="226"/>
      <c r="CG123" s="87"/>
      <c r="CH123" s="87">
        <f t="shared" si="381"/>
        <v>24</v>
      </c>
      <c r="CI123" s="227" t="str">
        <f t="shared" si="340"/>
        <v>Trần Bích</v>
      </c>
      <c r="CJ123" s="227" t="str">
        <f t="shared" si="341"/>
        <v>Phương</v>
      </c>
      <c r="CK123" s="87">
        <f t="shared" si="342"/>
        <v>2</v>
      </c>
      <c r="CL123" s="227" t="str">
        <f t="shared" si="371"/>
        <v>Sinh học động vật</v>
      </c>
      <c r="CM123" s="87" t="str">
        <f t="shared" si="358"/>
        <v>CB2</v>
      </c>
      <c r="CN123" s="87">
        <f>Q123</f>
        <v>270</v>
      </c>
      <c r="CO123" s="87">
        <f>R123</f>
        <v>60</v>
      </c>
      <c r="CP123" s="229">
        <f t="shared" si="223"/>
        <v>0</v>
      </c>
      <c r="CQ123" s="229">
        <f t="shared" si="224"/>
        <v>2.9</v>
      </c>
      <c r="CR123" s="229">
        <f t="shared" si="225"/>
        <v>1.2</v>
      </c>
      <c r="CS123" s="229">
        <f t="shared" si="226"/>
        <v>0</v>
      </c>
      <c r="CT123" s="229">
        <f t="shared" si="227"/>
        <v>0</v>
      </c>
      <c r="CU123" s="229">
        <f t="shared" si="228"/>
        <v>30</v>
      </c>
      <c r="CV123" s="229">
        <f t="shared" si="229"/>
        <v>0</v>
      </c>
      <c r="CW123" s="229">
        <f t="shared" si="230"/>
        <v>47</v>
      </c>
      <c r="CX123" s="229">
        <f t="shared" si="231"/>
        <v>0</v>
      </c>
      <c r="CY123" s="229">
        <f t="shared" si="232"/>
        <v>0</v>
      </c>
      <c r="CZ123" s="229">
        <f t="shared" si="233"/>
        <v>0</v>
      </c>
      <c r="DA123" s="229">
        <f t="shared" si="234"/>
        <v>100</v>
      </c>
      <c r="DB123" s="228">
        <f t="shared" si="214"/>
        <v>181.1</v>
      </c>
      <c r="DC123" s="229"/>
      <c r="DD123" s="229"/>
      <c r="DE123" s="229"/>
      <c r="DF123" s="229"/>
      <c r="DG123" s="229"/>
      <c r="DH123" s="229"/>
      <c r="DI123" s="229"/>
      <c r="DJ123" s="229"/>
      <c r="DK123" s="229"/>
      <c r="DL123" s="229"/>
      <c r="DM123" s="229"/>
      <c r="DN123" s="229"/>
      <c r="DO123" s="228">
        <f t="shared" si="215"/>
        <v>0</v>
      </c>
      <c r="DP123" s="228">
        <f t="shared" si="216"/>
        <v>181.1</v>
      </c>
      <c r="DQ123" s="229">
        <f t="shared" si="235"/>
        <v>0</v>
      </c>
      <c r="DR123" s="229">
        <f t="shared" si="236"/>
        <v>0</v>
      </c>
      <c r="DS123" s="229">
        <f t="shared" si="237"/>
        <v>0</v>
      </c>
      <c r="DT123" s="229">
        <f t="shared" si="238"/>
        <v>0</v>
      </c>
      <c r="DU123" s="229">
        <f t="shared" si="239"/>
        <v>0</v>
      </c>
      <c r="DV123" s="229">
        <f t="shared" si="240"/>
        <v>0</v>
      </c>
      <c r="DW123" s="229">
        <f t="shared" si="241"/>
        <v>0</v>
      </c>
      <c r="DX123" s="228">
        <f t="shared" si="217"/>
        <v>0</v>
      </c>
      <c r="DY123" s="229"/>
      <c r="DZ123" s="229"/>
      <c r="EA123" s="229"/>
      <c r="EB123" s="229"/>
      <c r="EC123" s="229"/>
      <c r="ED123" s="229"/>
      <c r="EE123" s="229"/>
      <c r="EF123" s="228">
        <f t="shared" si="220"/>
        <v>0</v>
      </c>
      <c r="EG123" s="228">
        <f t="shared" si="218"/>
        <v>0</v>
      </c>
      <c r="EH123" s="229">
        <f t="shared" si="221"/>
        <v>56.25</v>
      </c>
      <c r="EI123" s="229">
        <v>9.8000000000000007</v>
      </c>
      <c r="EJ123" s="228">
        <f t="shared" si="308"/>
        <v>66.05</v>
      </c>
      <c r="EK123" s="229"/>
      <c r="EL123" s="229"/>
      <c r="EM123" s="228">
        <f t="shared" si="372"/>
        <v>0</v>
      </c>
      <c r="EN123" s="229">
        <f t="shared" si="361"/>
        <v>56.25</v>
      </c>
      <c r="EO123" s="229">
        <f t="shared" si="212"/>
        <v>9.8000000000000007</v>
      </c>
      <c r="EP123" s="228">
        <f t="shared" si="345"/>
        <v>66.05</v>
      </c>
      <c r="EQ123" s="173">
        <f t="shared" si="222"/>
        <v>0</v>
      </c>
      <c r="ER123" s="189">
        <v>0</v>
      </c>
      <c r="ES123" s="189">
        <v>2.9</v>
      </c>
      <c r="ET123" s="189">
        <v>1.2</v>
      </c>
      <c r="EU123" s="189">
        <v>0</v>
      </c>
      <c r="EV123" s="189">
        <v>0</v>
      </c>
      <c r="EW123" s="189">
        <v>30</v>
      </c>
      <c r="EX123" s="189">
        <v>0</v>
      </c>
      <c r="EY123" s="189">
        <v>47</v>
      </c>
      <c r="EZ123" s="189">
        <v>0</v>
      </c>
      <c r="FA123" s="189">
        <v>0</v>
      </c>
      <c r="FB123" s="189">
        <v>0</v>
      </c>
      <c r="FC123" s="189">
        <v>100</v>
      </c>
      <c r="FD123" s="189">
        <v>0</v>
      </c>
      <c r="FE123" s="189">
        <v>0</v>
      </c>
      <c r="FF123" s="189">
        <v>0</v>
      </c>
      <c r="FG123" s="189">
        <v>0</v>
      </c>
      <c r="FH123" s="189">
        <v>0</v>
      </c>
      <c r="FI123" s="189">
        <v>0</v>
      </c>
      <c r="FJ123" s="189">
        <v>0</v>
      </c>
      <c r="FK123" s="189">
        <v>181.1</v>
      </c>
      <c r="FL123" s="189">
        <v>179</v>
      </c>
      <c r="FN123" s="132">
        <v>56.25</v>
      </c>
    </row>
    <row r="124" spans="1:170" ht="30" customHeight="1">
      <c r="A124" s="88">
        <f>COUNTIF($H$12:H124,H124)</f>
        <v>25</v>
      </c>
      <c r="B124" s="88" t="s">
        <v>1990</v>
      </c>
      <c r="C124" s="88" t="s">
        <v>2597</v>
      </c>
      <c r="D124" s="88"/>
      <c r="E124" s="88"/>
      <c r="F124" s="301" t="s">
        <v>15</v>
      </c>
      <c r="G124" s="89" t="s">
        <v>2082</v>
      </c>
      <c r="H124" s="88">
        <v>2</v>
      </c>
      <c r="I124" s="88"/>
      <c r="J124" s="88">
        <v>2</v>
      </c>
      <c r="K124" s="90"/>
      <c r="L124" s="90" t="s">
        <v>1614</v>
      </c>
      <c r="M124" s="214"/>
      <c r="N124" s="88" t="s">
        <v>605</v>
      </c>
      <c r="O124" s="216">
        <f t="shared" si="317"/>
        <v>6.92</v>
      </c>
      <c r="P124" s="88" t="str">
        <f t="shared" ref="P124:P131" si="382">IF(AND(BO124&gt;=2.34,BO124&lt;3.33),"B1_3",IF(AND(BO124&gt;=3.33,BO124&lt;4.65),"B1_4",IF(AND(BO124&gt;=4.65,BO124&lt;5.42),"B1_5",IF(AND(BO124&gt;=5.42,BO124&lt;6.44),"B1_6",IF(AND(BO124&gt;=6.44,BO124&lt;=6.92),"B1_7","B1_8")))))</f>
        <v>B1_7</v>
      </c>
      <c r="Q124" s="88">
        <f t="shared" si="331"/>
        <v>270</v>
      </c>
      <c r="R124" s="88">
        <f t="shared" si="332"/>
        <v>200</v>
      </c>
      <c r="S124" s="230" t="s">
        <v>3166</v>
      </c>
      <c r="T124" s="88" t="s">
        <v>3091</v>
      </c>
      <c r="U124" s="88">
        <f>IF(RIGHT(T124,1)="K",(VLOOKUP(T124,ma_miengiam!$A$3:$B$80,2,0)*100)/2,VLOOKUP(T124,ma_miengiam!$A$3:$B$80,2,0)*100)</f>
        <v>20</v>
      </c>
      <c r="V124" s="88">
        <v>1</v>
      </c>
      <c r="W124" s="220">
        <f>IF(AND(T124="NTS",V124&gt;0),(Q124-(Q124*V124)/12)*VLOOKUP(T124,ma_miengiam!$A$3:$B$80,2,0)+(Q124-(Q124*(12-V124))/12),IF(AND(RIGHT(T124,1)="K",V124&gt;0),(VLOOKUP(T124,ma_miengiam!$A$3:$B$80,2,0)/2)*(Q124*V124)/12,IF(RIGHT(T124,1)="K",(VLOOKUP(T124,ma_miengiam!$A$3:$B$80,2,0)*Q124)/2,IF(V124&gt;0,VLOOKUP(T124,ma_miengiam!$A$3:$B$80,2,0)*Q124*V124/12,VLOOKUP(T124,ma_miengiam!$A$3:$B$80,2,0)*Q124))))</f>
        <v>4.5</v>
      </c>
      <c r="X124" s="220">
        <f>IF(T124="NTS",VLOOKUP(T124,ma_miengiam!$A$3:$B$80,2,0)*R124*V124,IF(AND(T124="NTS",V124=0),0,IF(AND(LEFT(T124,1)="K",V124=0),VLOOKUP(T124,ma_miengiam!$A$3:$B$80,2,0)*R124,IF(LEFT(T124,1)="K",(VLOOKUP(T124,ma_miengiam!$A$3:$B$80,2,0)*R124/12)*V124,IF(AND(LEFT(T124,1)="S",V124&gt;0),(R124/12)*V124,IF(AND(LEFT(T124,1)="S",V124=0),R124,IF(T124="DH",VLOOKUP(T124,ma_miengiam!$A$3:$B$80,2,0)*R124,0)))))))</f>
        <v>0</v>
      </c>
      <c r="Y124" s="220">
        <f t="shared" si="336"/>
        <v>18</v>
      </c>
      <c r="Z124" s="220">
        <f t="shared" si="337"/>
        <v>16.666666666666668</v>
      </c>
      <c r="AA124" s="220"/>
      <c r="AB124" s="220"/>
      <c r="AC124" s="220"/>
      <c r="AD124" s="220"/>
      <c r="AE124" s="220"/>
      <c r="AF124" s="220"/>
      <c r="AG124" s="220"/>
      <c r="AH124" s="220"/>
      <c r="AI124" s="220"/>
      <c r="AJ124" s="220"/>
      <c r="AK124" s="216"/>
      <c r="AL124" s="220"/>
      <c r="AM124" s="220"/>
      <c r="AN124" s="221"/>
      <c r="AO124" s="220"/>
      <c r="AP124" s="220"/>
      <c r="AQ124" s="220"/>
      <c r="AR124" s="220"/>
      <c r="AS124" s="220"/>
      <c r="AT124" s="216"/>
      <c r="AU124" s="222"/>
      <c r="AV124" s="220"/>
      <c r="AW124" s="220"/>
      <c r="AX124" s="216"/>
      <c r="AY124" s="220"/>
      <c r="AZ124" s="220"/>
      <c r="BA124" s="220"/>
      <c r="BB124" s="220"/>
      <c r="BC124" s="220"/>
      <c r="BD124" s="216"/>
      <c r="BE124" s="220"/>
      <c r="BF124" s="220"/>
      <c r="BG124" s="220"/>
      <c r="BH124" s="220"/>
      <c r="BI124" s="220"/>
      <c r="BJ124" s="220" t="s">
        <v>1171</v>
      </c>
      <c r="BK124" s="220"/>
      <c r="BL124" s="223">
        <f t="shared" si="257"/>
        <v>0</v>
      </c>
      <c r="BM124" s="220">
        <v>6.92</v>
      </c>
      <c r="BN124" s="220"/>
      <c r="BO124" s="220">
        <f t="shared" ref="BO124:BO131" si="383">ROUND(BM124+(BM124*BN124),2)</f>
        <v>6.92</v>
      </c>
      <c r="BP124" s="220">
        <f>IF(AND(BL124&gt;0,BL124&lt;tiet!$D$1),BL124,IF(BL124&lt;=0,0,IF(BL124&gt;tiet!$C$1,tiet!$C$1)))</f>
        <v>0</v>
      </c>
      <c r="BQ124" s="87">
        <f t="shared" si="376"/>
        <v>80000</v>
      </c>
      <c r="BR124" s="224">
        <f t="shared" si="377"/>
        <v>0</v>
      </c>
      <c r="BS124" s="220">
        <f t="shared" si="219"/>
        <v>0</v>
      </c>
      <c r="BT124" s="224">
        <f>VLOOKUP(N124,ma_dinhmuc!$A$1:$J$31,10,0)</f>
        <v>65000</v>
      </c>
      <c r="BU124" s="224">
        <f>ROUND(IF(BS124&gt;0,VLOOKUP(N124,ma_dinhmuc!$A$1:$J$31,10,0)*BS124,0),0)</f>
        <v>0</v>
      </c>
      <c r="BV124" s="224">
        <f t="shared" si="378"/>
        <v>0</v>
      </c>
      <c r="BW124" s="224"/>
      <c r="BX124" s="224">
        <v>0</v>
      </c>
      <c r="BY124" s="224"/>
      <c r="BZ124" s="224"/>
      <c r="CA124" s="224"/>
      <c r="CB124" s="224"/>
      <c r="CC124" s="225">
        <f t="shared" ref="CC124:CC172" si="384">ROUND(IF(BV124+BW124&gt;BX124+BY124+BZ124+CA124+CB124,(BW124+BV124)-(BX124+BY124+BZ124+CA124+CB124+CB124),0),0)</f>
        <v>0</v>
      </c>
      <c r="CD124" s="224">
        <f t="shared" ref="CD124:CD172" si="385">ROUND(IF(BV124+BW124&lt;BX124+BY124+BZ124+CA124-CB124,(BX124+BY124+BZ124+CA124-CB124)-(BW124+BV124),0),0)</f>
        <v>0</v>
      </c>
      <c r="CE124" s="224"/>
      <c r="CF124" s="226"/>
      <c r="CG124" s="87"/>
      <c r="CH124" s="87">
        <f t="shared" si="381"/>
        <v>25</v>
      </c>
      <c r="CI124" s="227" t="str">
        <f t="shared" si="340"/>
        <v>Bùi Quang</v>
      </c>
      <c r="CJ124" s="227" t="str">
        <f t="shared" si="341"/>
        <v>Tuấn</v>
      </c>
      <c r="CK124" s="87">
        <f t="shared" si="342"/>
        <v>2</v>
      </c>
      <c r="CL124" s="227" t="str">
        <f>L124</f>
        <v>Dinh dưỡng và Thức ăn</v>
      </c>
      <c r="CM124" s="87" t="str">
        <f t="shared" si="358"/>
        <v>CS4</v>
      </c>
      <c r="CN124" s="87">
        <f t="shared" ref="CN124:CN131" si="386">Q124</f>
        <v>270</v>
      </c>
      <c r="CO124" s="87">
        <f t="shared" ref="CO124:CO131" si="387">R124</f>
        <v>200</v>
      </c>
      <c r="CP124" s="229">
        <f t="shared" si="223"/>
        <v>0</v>
      </c>
      <c r="CQ124" s="229">
        <f t="shared" si="224"/>
        <v>0</v>
      </c>
      <c r="CR124" s="229">
        <f t="shared" si="225"/>
        <v>0</v>
      </c>
      <c r="CS124" s="229">
        <f t="shared" si="226"/>
        <v>0</v>
      </c>
      <c r="CT124" s="229">
        <f t="shared" si="227"/>
        <v>0</v>
      </c>
      <c r="CU124" s="229">
        <f t="shared" si="228"/>
        <v>0</v>
      </c>
      <c r="CV124" s="229">
        <f t="shared" si="229"/>
        <v>0</v>
      </c>
      <c r="CW124" s="229">
        <f t="shared" si="230"/>
        <v>0</v>
      </c>
      <c r="CX124" s="229">
        <f t="shared" si="231"/>
        <v>0</v>
      </c>
      <c r="CY124" s="229">
        <f t="shared" si="232"/>
        <v>0</v>
      </c>
      <c r="CZ124" s="229">
        <f t="shared" si="233"/>
        <v>0</v>
      </c>
      <c r="DA124" s="229">
        <f t="shared" si="234"/>
        <v>0</v>
      </c>
      <c r="DB124" s="228">
        <f t="shared" si="214"/>
        <v>0</v>
      </c>
      <c r="DC124" s="229"/>
      <c r="DD124" s="229"/>
      <c r="DE124" s="229"/>
      <c r="DF124" s="229"/>
      <c r="DG124" s="229"/>
      <c r="DH124" s="229"/>
      <c r="DI124" s="229"/>
      <c r="DJ124" s="229"/>
      <c r="DK124" s="229"/>
      <c r="DL124" s="229"/>
      <c r="DM124" s="229"/>
      <c r="DN124" s="229"/>
      <c r="DO124" s="228">
        <f t="shared" si="215"/>
        <v>0</v>
      </c>
      <c r="DP124" s="228">
        <f t="shared" si="216"/>
        <v>0</v>
      </c>
      <c r="DQ124" s="229">
        <f t="shared" si="235"/>
        <v>0</v>
      </c>
      <c r="DR124" s="229">
        <f t="shared" si="236"/>
        <v>0</v>
      </c>
      <c r="DS124" s="229">
        <f t="shared" si="237"/>
        <v>0</v>
      </c>
      <c r="DT124" s="229">
        <f t="shared" si="238"/>
        <v>0</v>
      </c>
      <c r="DU124" s="229">
        <f t="shared" si="239"/>
        <v>0</v>
      </c>
      <c r="DV124" s="229">
        <f t="shared" si="240"/>
        <v>0</v>
      </c>
      <c r="DW124" s="229">
        <f t="shared" si="241"/>
        <v>0</v>
      </c>
      <c r="DX124" s="228">
        <f t="shared" si="217"/>
        <v>0</v>
      </c>
      <c r="DY124" s="229"/>
      <c r="DZ124" s="229"/>
      <c r="EA124" s="229"/>
      <c r="EB124" s="229"/>
      <c r="EC124" s="229"/>
      <c r="ED124" s="229"/>
      <c r="EE124" s="229"/>
      <c r="EF124" s="228">
        <f t="shared" si="220"/>
        <v>0</v>
      </c>
      <c r="EG124" s="228">
        <f t="shared" si="218"/>
        <v>0</v>
      </c>
      <c r="EH124" s="229">
        <f t="shared" si="221"/>
        <v>0</v>
      </c>
      <c r="EI124" s="229">
        <v>0</v>
      </c>
      <c r="EJ124" s="228">
        <f t="shared" si="308"/>
        <v>0</v>
      </c>
      <c r="EK124" s="229"/>
      <c r="EL124" s="229"/>
      <c r="EM124" s="228">
        <f t="shared" si="372"/>
        <v>0</v>
      </c>
      <c r="EN124" s="229">
        <f t="shared" si="361"/>
        <v>0</v>
      </c>
      <c r="EO124" s="229">
        <f t="shared" ref="EO124:EO187" si="388">EI124</f>
        <v>0</v>
      </c>
      <c r="EP124" s="228">
        <f t="shared" si="345"/>
        <v>0</v>
      </c>
      <c r="EQ124" s="173">
        <f t="shared" si="222"/>
        <v>0</v>
      </c>
      <c r="ER124" s="189">
        <v>0</v>
      </c>
      <c r="ES124" s="189">
        <v>0</v>
      </c>
      <c r="ET124" s="189">
        <v>0</v>
      </c>
      <c r="EU124" s="189">
        <v>0</v>
      </c>
      <c r="EV124" s="189">
        <v>0</v>
      </c>
      <c r="EW124" s="189">
        <v>0</v>
      </c>
      <c r="EX124" s="189">
        <v>0</v>
      </c>
      <c r="EY124" s="189">
        <v>0</v>
      </c>
      <c r="EZ124" s="189">
        <v>0</v>
      </c>
      <c r="FA124" s="189">
        <v>0</v>
      </c>
      <c r="FB124" s="189">
        <v>0</v>
      </c>
      <c r="FC124" s="189">
        <v>0</v>
      </c>
      <c r="FD124" s="189">
        <v>0</v>
      </c>
      <c r="FE124" s="189">
        <v>0</v>
      </c>
      <c r="FF124" s="189">
        <v>0</v>
      </c>
      <c r="FG124" s="189">
        <v>0</v>
      </c>
      <c r="FH124" s="189">
        <v>0</v>
      </c>
      <c r="FI124" s="189">
        <v>0</v>
      </c>
      <c r="FJ124" s="189">
        <v>0</v>
      </c>
      <c r="FK124" s="189">
        <v>0</v>
      </c>
      <c r="FL124" s="189">
        <v>0</v>
      </c>
      <c r="FN124" s="132">
        <v>0</v>
      </c>
    </row>
    <row r="125" spans="1:170" ht="30" customHeight="1">
      <c r="A125" s="88">
        <f>COUNTIF($H$12:H125,H125)</f>
        <v>26</v>
      </c>
      <c r="B125" s="88" t="s">
        <v>1990</v>
      </c>
      <c r="C125" s="88" t="s">
        <v>2597</v>
      </c>
      <c r="D125" s="88"/>
      <c r="E125" s="88"/>
      <c r="F125" s="301" t="s">
        <v>15</v>
      </c>
      <c r="G125" s="89" t="s">
        <v>2082</v>
      </c>
      <c r="H125" s="88">
        <v>2</v>
      </c>
      <c r="I125" s="88"/>
      <c r="J125" s="88">
        <v>2</v>
      </c>
      <c r="K125" s="90"/>
      <c r="L125" s="90" t="s">
        <v>1614</v>
      </c>
      <c r="M125" s="214"/>
      <c r="N125" s="88" t="s">
        <v>605</v>
      </c>
      <c r="O125" s="216">
        <f>BO125</f>
        <v>6.92</v>
      </c>
      <c r="P125" s="88" t="str">
        <f>IF(AND(BO125&gt;=2.34,BO125&lt;3.33),"B1_3",IF(AND(BO125&gt;=3.33,BO125&lt;4.65),"B1_4",IF(AND(BO125&gt;=4.65,BO125&lt;5.42),"B1_5",IF(AND(BO125&gt;=5.42,BO125&lt;6.44),"B1_6",IF(AND(BO125&gt;=6.44,BO125&lt;=6.92),"B1_7","B1_8")))))</f>
        <v>B1_7</v>
      </c>
      <c r="Q125" s="88">
        <f>IF(M125&gt;0,VLOOKUP(P125,ma_dinhmuc_moi,2,0)/2,VLOOKUP(P125,ma_dinhmuc_moi,2,0))</f>
        <v>270</v>
      </c>
      <c r="R125" s="88">
        <f>IF(M125&gt;0,VLOOKUP(P125,ma_dinhmuc_moi,3,0)/2,VLOOKUP(P125,ma_dinhmuc_moi,3,0))</f>
        <v>200</v>
      </c>
      <c r="S125" s="230"/>
      <c r="T125" s="88" t="s">
        <v>3088</v>
      </c>
      <c r="U125" s="88">
        <f>IF(RIGHT(T125,1)="K",(VLOOKUP(T125,ma_miengiam!$A$3:$B$80,2,0)*100)/2,VLOOKUP(T125,ma_miengiam!$A$3:$B$80,2,0)*100)</f>
        <v>0</v>
      </c>
      <c r="V125" s="88">
        <v>11</v>
      </c>
      <c r="W125" s="220">
        <f>IF(AND(T125="NTS",V125&gt;0),(Q125-(Q125*V125)/12)*VLOOKUP(T125,ma_miengiam!$A$3:$B$80,2,0)+(Q125-(Q125*(12-V125))/12),IF(AND(RIGHT(T125,1)="K",V125&gt;0),(VLOOKUP(T125,ma_miengiam!$A$3:$B$80,2,0)/2)*(Q125*V125)/12,IF(RIGHT(T125,1)="K",(VLOOKUP(T125,ma_miengiam!$A$3:$B$80,2,0)*Q125)/2,IF(V125&gt;0,VLOOKUP(T125,ma_miengiam!$A$3:$B$80,2,0)*Q125*V125/12,VLOOKUP(T125,ma_miengiam!$A$3:$B$80,2,0)*Q125))))</f>
        <v>0</v>
      </c>
      <c r="X125" s="220">
        <f>IF(T125="NTS",VLOOKUP(T125,ma_miengiam!$A$3:$B$80,2,0)*R125*V125,IF(AND(T125="NTS",V125=0),0,IF(AND(LEFT(T125,1)="K",V125=0),VLOOKUP(T125,ma_miengiam!$A$3:$B$80,2,0)*R125,IF(LEFT(T125,1)="K",(VLOOKUP(T125,ma_miengiam!$A$3:$B$80,2,0)*R125/12)*V125,IF(AND(LEFT(T125,1)="S",V125&gt;0),(R125/12)*V125,IF(AND(LEFT(T125,1)="S",V125=0),R125,IF(T125="DH",VLOOKUP(T125,ma_miengiam!$A$3:$B$80,2,0)*R125,0)))))))</f>
        <v>0</v>
      </c>
      <c r="Y125" s="220">
        <f>IF(AND(T125="DH",V125&gt;0),(S125*V125/12),IF(AND(T125&lt;&gt;"NTS",V125&gt;0),(Q125*V125/12)-W125,IF(AND(T125="NTS",V125&gt;0),Q125-W125,Q125-W125)))</f>
        <v>247.5</v>
      </c>
      <c r="Z125" s="220">
        <f>IF(AND(T125="SĐH",V125&gt;0),(R125/12)*V125-X125,IF(AND(T125="DH",V125&gt;0),(R125*V125/12),IF(AND(T125&lt;&gt;"NTS",V125&gt;0),(R125*V125/12)-X125,IF(AND(T125="NTS",V125&gt;0),R125-X125,R125-X125))))</f>
        <v>183.33333333333334</v>
      </c>
      <c r="AA125" s="220"/>
      <c r="AB125" s="220"/>
      <c r="AC125" s="220"/>
      <c r="AD125" s="220"/>
      <c r="AE125" s="220"/>
      <c r="AF125" s="220"/>
      <c r="AG125" s="220"/>
      <c r="AH125" s="220"/>
      <c r="AI125" s="220"/>
      <c r="AJ125" s="220"/>
      <c r="AK125" s="216"/>
      <c r="AL125" s="220"/>
      <c r="AM125" s="220"/>
      <c r="AN125" s="221"/>
      <c r="AO125" s="220"/>
      <c r="AP125" s="220"/>
      <c r="AQ125" s="220"/>
      <c r="AR125" s="220"/>
      <c r="AS125" s="220"/>
      <c r="AT125" s="216"/>
      <c r="AU125" s="222"/>
      <c r="AV125" s="220"/>
      <c r="AW125" s="220"/>
      <c r="AX125" s="216"/>
      <c r="AY125" s="220"/>
      <c r="AZ125" s="220"/>
      <c r="BA125" s="220"/>
      <c r="BB125" s="220"/>
      <c r="BC125" s="220"/>
      <c r="BD125" s="216"/>
      <c r="BE125" s="220"/>
      <c r="BF125" s="220"/>
      <c r="BG125" s="220"/>
      <c r="BH125" s="220"/>
      <c r="BI125" s="220"/>
      <c r="BJ125" s="220" t="s">
        <v>1171</v>
      </c>
      <c r="BK125" s="220"/>
      <c r="BL125" s="223">
        <f>IF(AW125&lt;BK125,0,IF(AND(BK125=0,AW125&gt;0),AW125,IF(AW125&lt;0,0,IF(BK125&gt;0,AW125-BK125,IF(BK125&lt;0,0,AW125)))))</f>
        <v>0</v>
      </c>
      <c r="BM125" s="220">
        <v>6.92</v>
      </c>
      <c r="BN125" s="220"/>
      <c r="BO125" s="220">
        <f>ROUND(BM125+(BM125*BN125),2)</f>
        <v>6.92</v>
      </c>
      <c r="BP125" s="220">
        <f>IF(AND(BL125&gt;0,BL125&lt;tiet!$D$1),BL125,IF(BL125&lt;=0,0,IF(BL125&gt;tiet!$C$1,tiet!$C$1)))</f>
        <v>0</v>
      </c>
      <c r="BQ125" s="87">
        <f>VLOOKUP(P125,ma_dinhmuc_moi,4,0)</f>
        <v>80000</v>
      </c>
      <c r="BR125" s="224">
        <f>ROUND(BQ125*BP125,0)</f>
        <v>0</v>
      </c>
      <c r="BS125" s="220">
        <f t="shared" si="219"/>
        <v>0</v>
      </c>
      <c r="BT125" s="224">
        <f>VLOOKUP(N125,ma_dinhmuc!$A$1:$J$31,10,0)</f>
        <v>65000</v>
      </c>
      <c r="BU125" s="224">
        <f>ROUND(IF(BS125&gt;0,VLOOKUP(N125,ma_dinhmuc!$A$1:$J$31,10,0)*BS125,0),0)</f>
        <v>0</v>
      </c>
      <c r="BV125" s="224">
        <f>ROUND(BU125+BR125,0)</f>
        <v>0</v>
      </c>
      <c r="BW125" s="224"/>
      <c r="BX125" s="224">
        <v>0</v>
      </c>
      <c r="BY125" s="224"/>
      <c r="BZ125" s="224"/>
      <c r="CA125" s="224"/>
      <c r="CB125" s="224"/>
      <c r="CC125" s="225">
        <f>ROUND(IF(BV125+BW125&gt;BX125+BY125+BZ125+CA125+CB125,(BW125+BV125)-(BX125+BY125+BZ125+CA125+CB125+CB125),0),0)</f>
        <v>0</v>
      </c>
      <c r="CD125" s="224">
        <f>ROUND(IF(BV125+BW125&lt;BX125+BY125+BZ125+CA125-CB125,(BX125+BY125+BZ125+CA125-CB125)-(BW125+BV125),0),0)</f>
        <v>0</v>
      </c>
      <c r="CE125" s="224"/>
      <c r="CF125" s="226"/>
      <c r="CG125" s="87"/>
      <c r="CH125" s="87">
        <f>A125</f>
        <v>26</v>
      </c>
      <c r="CI125" s="227" t="str">
        <f t="shared" ref="CI125:CK126" si="389">F125</f>
        <v>Bùi Quang</v>
      </c>
      <c r="CJ125" s="227" t="str">
        <f t="shared" si="389"/>
        <v>Tuấn</v>
      </c>
      <c r="CK125" s="87">
        <f t="shared" si="389"/>
        <v>2</v>
      </c>
      <c r="CL125" s="227" t="str">
        <f>L125</f>
        <v>Dinh dưỡng và Thức ăn</v>
      </c>
      <c r="CM125" s="87" t="str">
        <f>N125</f>
        <v>CS4</v>
      </c>
      <c r="CN125" s="87">
        <f>Q125</f>
        <v>270</v>
      </c>
      <c r="CO125" s="87">
        <f>R125</f>
        <v>200</v>
      </c>
      <c r="CP125" s="229">
        <f t="shared" si="223"/>
        <v>0</v>
      </c>
      <c r="CQ125" s="229">
        <f t="shared" si="224"/>
        <v>0</v>
      </c>
      <c r="CR125" s="229">
        <f t="shared" si="225"/>
        <v>0</v>
      </c>
      <c r="CS125" s="229">
        <f t="shared" si="226"/>
        <v>0</v>
      </c>
      <c r="CT125" s="229">
        <f t="shared" si="227"/>
        <v>0</v>
      </c>
      <c r="CU125" s="229">
        <f t="shared" si="228"/>
        <v>0</v>
      </c>
      <c r="CV125" s="229">
        <f t="shared" si="229"/>
        <v>0</v>
      </c>
      <c r="CW125" s="229">
        <f t="shared" si="230"/>
        <v>0</v>
      </c>
      <c r="CX125" s="229">
        <f t="shared" si="231"/>
        <v>0</v>
      </c>
      <c r="CY125" s="229">
        <f t="shared" si="232"/>
        <v>0</v>
      </c>
      <c r="CZ125" s="229">
        <f t="shared" si="233"/>
        <v>0</v>
      </c>
      <c r="DA125" s="229">
        <f t="shared" si="234"/>
        <v>0</v>
      </c>
      <c r="DB125" s="228">
        <f>SUM(CP125:DA125)</f>
        <v>0</v>
      </c>
      <c r="DC125" s="229"/>
      <c r="DD125" s="229"/>
      <c r="DE125" s="229"/>
      <c r="DF125" s="229"/>
      <c r="DG125" s="229"/>
      <c r="DH125" s="229"/>
      <c r="DI125" s="229"/>
      <c r="DJ125" s="229"/>
      <c r="DK125" s="229"/>
      <c r="DL125" s="229"/>
      <c r="DM125" s="229"/>
      <c r="DN125" s="229"/>
      <c r="DO125" s="228">
        <f>SUM(DC125:DN125)</f>
        <v>0</v>
      </c>
      <c r="DP125" s="228">
        <f>DO125+DB125</f>
        <v>0</v>
      </c>
      <c r="DQ125" s="229">
        <f t="shared" si="235"/>
        <v>0</v>
      </c>
      <c r="DR125" s="229">
        <f t="shared" si="236"/>
        <v>0</v>
      </c>
      <c r="DS125" s="229">
        <f t="shared" si="237"/>
        <v>0</v>
      </c>
      <c r="DT125" s="229">
        <f t="shared" si="238"/>
        <v>0</v>
      </c>
      <c r="DU125" s="229">
        <f t="shared" si="239"/>
        <v>0</v>
      </c>
      <c r="DV125" s="229">
        <f t="shared" si="240"/>
        <v>0</v>
      </c>
      <c r="DW125" s="229">
        <f t="shared" si="241"/>
        <v>0</v>
      </c>
      <c r="DX125" s="228">
        <f>SUM(DQ125:DW125)</f>
        <v>0</v>
      </c>
      <c r="DY125" s="229"/>
      <c r="DZ125" s="229"/>
      <c r="EA125" s="229"/>
      <c r="EB125" s="229"/>
      <c r="EC125" s="229"/>
      <c r="ED125" s="229"/>
      <c r="EE125" s="229"/>
      <c r="EF125" s="228">
        <f t="shared" si="220"/>
        <v>0</v>
      </c>
      <c r="EG125" s="228">
        <f>EF125+DX125</f>
        <v>0</v>
      </c>
      <c r="EH125" s="229">
        <f t="shared" si="221"/>
        <v>0</v>
      </c>
      <c r="EI125" s="229">
        <v>0</v>
      </c>
      <c r="EJ125" s="228">
        <f t="shared" si="308"/>
        <v>0</v>
      </c>
      <c r="EK125" s="229"/>
      <c r="EL125" s="229"/>
      <c r="EM125" s="228">
        <f>SUM(EK125:EL125)</f>
        <v>0</v>
      </c>
      <c r="EN125" s="229">
        <f>EK125+EH125+EL125</f>
        <v>0</v>
      </c>
      <c r="EO125" s="229">
        <f>EI125</f>
        <v>0</v>
      </c>
      <c r="EP125" s="228">
        <f>EM125+EJ125</f>
        <v>0</v>
      </c>
      <c r="EQ125" s="173">
        <f t="shared" si="222"/>
        <v>0</v>
      </c>
      <c r="ER125" s="189">
        <v>0</v>
      </c>
      <c r="ES125" s="189">
        <v>0</v>
      </c>
      <c r="ET125" s="189">
        <v>0</v>
      </c>
      <c r="EU125" s="189">
        <v>0</v>
      </c>
      <c r="EV125" s="189">
        <v>0</v>
      </c>
      <c r="EW125" s="189">
        <v>0</v>
      </c>
      <c r="EX125" s="189">
        <v>0</v>
      </c>
      <c r="EY125" s="189">
        <v>0</v>
      </c>
      <c r="EZ125" s="189">
        <v>0</v>
      </c>
      <c r="FA125" s="189">
        <v>0</v>
      </c>
      <c r="FB125" s="189">
        <v>0</v>
      </c>
      <c r="FC125" s="189">
        <v>0</v>
      </c>
      <c r="FD125" s="189">
        <v>0</v>
      </c>
      <c r="FE125" s="189">
        <v>0</v>
      </c>
      <c r="FF125" s="189">
        <v>0</v>
      </c>
      <c r="FG125" s="189">
        <v>0</v>
      </c>
      <c r="FH125" s="189">
        <v>0</v>
      </c>
      <c r="FI125" s="189">
        <v>0</v>
      </c>
      <c r="FJ125" s="189">
        <v>0</v>
      </c>
      <c r="FK125" s="189">
        <v>0</v>
      </c>
      <c r="FL125" s="189">
        <v>0</v>
      </c>
      <c r="FN125" s="132">
        <v>0</v>
      </c>
    </row>
    <row r="126" spans="1:170" ht="30" customHeight="1">
      <c r="A126" s="88">
        <f>COUNTIF($H$12:H126,H126)</f>
        <v>27</v>
      </c>
      <c r="B126" s="88" t="s">
        <v>1990</v>
      </c>
      <c r="C126" s="88" t="s">
        <v>2597</v>
      </c>
      <c r="D126" s="88"/>
      <c r="E126" s="88"/>
      <c r="F126" s="301" t="s">
        <v>15</v>
      </c>
      <c r="G126" s="89" t="s">
        <v>2082</v>
      </c>
      <c r="H126" s="88">
        <v>2</v>
      </c>
      <c r="I126" s="88">
        <v>2</v>
      </c>
      <c r="J126" s="88">
        <v>2</v>
      </c>
      <c r="K126" s="90" t="s">
        <v>1614</v>
      </c>
      <c r="L126" s="90" t="s">
        <v>1614</v>
      </c>
      <c r="M126" s="214"/>
      <c r="N126" s="88" t="s">
        <v>605</v>
      </c>
      <c r="O126" s="216">
        <f>BO126</f>
        <v>6.92</v>
      </c>
      <c r="P126" s="88" t="str">
        <f>IF(AND(BO126&gt;=2.34,BO126&lt;3.33),"B1_3",IF(AND(BO126&gt;=3.33,BO126&lt;4.65),"B1_4",IF(AND(BO126&gt;=4.65,BO126&lt;5.42),"B1_5",IF(AND(BO126&gt;=5.42,BO126&lt;6.44),"B1_6",IF(AND(BO126&gt;=6.44,BO126&lt;=6.92),"B1_7","B1_8")))))</f>
        <v>B1_7</v>
      </c>
      <c r="Q126" s="88">
        <f>IF(M126&gt;0,VLOOKUP(P126,ma_dinhmuc_moi,2,0)/2,VLOOKUP(P126,ma_dinhmuc_moi,2,0))</f>
        <v>270</v>
      </c>
      <c r="R126" s="88">
        <f>IF(M126&gt;0,VLOOKUP(P126,ma_dinhmuc_moi,3,0)/2,VLOOKUP(P126,ma_dinhmuc_moi,3,0))</f>
        <v>200</v>
      </c>
      <c r="S126" s="230"/>
      <c r="T126" s="88" t="s">
        <v>3088</v>
      </c>
      <c r="U126" s="88">
        <f>IF(RIGHT(T126,1)="K",(VLOOKUP(T126,ma_miengiam!$A$3:$B$80,2,0)*100)/2,VLOOKUP(T126,ma_miengiam!$A$3:$B$80,2,0)*100)</f>
        <v>0</v>
      </c>
      <c r="V126" s="88"/>
      <c r="W126" s="220">
        <f>W125+W124</f>
        <v>4.5</v>
      </c>
      <c r="X126" s="220">
        <f>X125+X124</f>
        <v>0</v>
      </c>
      <c r="Y126" s="220">
        <f>Y125+Y124</f>
        <v>265.5</v>
      </c>
      <c r="Z126" s="220">
        <f>Z125+Z124</f>
        <v>200</v>
      </c>
      <c r="AA126" s="220">
        <f t="shared" ref="AA126:AB130" si="390">Q126</f>
        <v>270</v>
      </c>
      <c r="AB126" s="220">
        <f t="shared" si="390"/>
        <v>200</v>
      </c>
      <c r="AC126" s="220">
        <f t="shared" ref="AC126:AF130" si="391">W126</f>
        <v>4.5</v>
      </c>
      <c r="AD126" s="220">
        <f t="shared" si="391"/>
        <v>0</v>
      </c>
      <c r="AE126" s="220">
        <f t="shared" si="391"/>
        <v>265.5</v>
      </c>
      <c r="AF126" s="220">
        <f t="shared" si="391"/>
        <v>200</v>
      </c>
      <c r="AG126" s="220">
        <f>AH126+AI126</f>
        <v>80.260000000000005</v>
      </c>
      <c r="AH126" s="220">
        <f>EO126</f>
        <v>0</v>
      </c>
      <c r="AI126" s="220">
        <f>EN126</f>
        <v>80.260000000000005</v>
      </c>
      <c r="AJ126" s="220">
        <f>IF(AG126-Z126&gt;0,0,AG126-Z126)</f>
        <v>-119.74</v>
      </c>
      <c r="AK126" s="216">
        <f>IF(AJ126&gt;=0,Y126,Y126-AJ126)</f>
        <v>385.24</v>
      </c>
      <c r="AL126" s="220">
        <f>SUM(CP126:CX126)+SUM(DC126:DK126)</f>
        <v>288.5</v>
      </c>
      <c r="AM126" s="220">
        <f>SUM(DQ126:DU126)+SUM(DY126:EC126)</f>
        <v>92.1</v>
      </c>
      <c r="AN126" s="221">
        <f>AM126+AL126</f>
        <v>380.6</v>
      </c>
      <c r="AO126" s="220">
        <f>CY126+DL126</f>
        <v>0</v>
      </c>
      <c r="AP126" s="220">
        <f>CZ126+DM126</f>
        <v>0</v>
      </c>
      <c r="AQ126" s="220">
        <f>DA126+DN126</f>
        <v>120</v>
      </c>
      <c r="AR126" s="220">
        <f>DV126+ED126</f>
        <v>0</v>
      </c>
      <c r="AS126" s="220">
        <f>DW126+EE126</f>
        <v>0</v>
      </c>
      <c r="AT126" s="216">
        <f>AN126+SUM(AO126:AS126)</f>
        <v>500.6</v>
      </c>
      <c r="AU126" s="222">
        <f>AN126-AK126</f>
        <v>-4.6399999999999864</v>
      </c>
      <c r="AV126" s="220"/>
      <c r="AW126" s="220">
        <f>IF(AU126&gt;0,AU126,AV126+AU126)</f>
        <v>-4.6399999999999864</v>
      </c>
      <c r="AX126" s="216">
        <f>IF(AN126&gt;AK126,0,IF(AW126&lt;0,AN126-AK126+AV126,IF(AW126&gt;=0,0)))</f>
        <v>-4.6399999999999864</v>
      </c>
      <c r="AY126" s="220">
        <f>IF(AN126&gt;=AK126,AO126,IF(AN126+AO126-AK126&gt;=0,AN126+AO126-AK126,0))</f>
        <v>0</v>
      </c>
      <c r="AZ126" s="220">
        <f>IF(OR(AN126&gt;=AK126,AN126+AO126&gt;=AK126),AP126,IF(AN126+AO126+AP126&gt;AK126,AN126+AO126+AP126-AK126,0))</f>
        <v>0</v>
      </c>
      <c r="BA126" s="220">
        <f>IF(OR(AN126&gt;=AK126,AN126+AO126&gt;=AK126,AN126+AO126+AP126&gt;=AK126),AQ126,IF(AN126+AO126+AP126+AQ126&gt;=AK126,AN126+AO126+AP126+AQ126-AK126,0))</f>
        <v>115.36000000000001</v>
      </c>
      <c r="BB126" s="220">
        <f>IF(OR(AN126&gt;=AK126,AN126+AO126&gt;=AK126,AN126+AO126+AP126&gt;=AK126,AN126+AO126+AP126+AQ126&gt;=AK126),AR126,IF(AN126+AO126+AP126+AQ126+AR126&gt;=AK126,AN126+AO126+AP126+AQ126+AR126-AK126,0))</f>
        <v>0</v>
      </c>
      <c r="BC126" s="220">
        <f>IF(OR(AN126&gt;=AK126,AN126+AO126&gt;=AK126,AN126+AO126+AP126&gt;=AK126,AN126+AO126+AP126+AQ126&gt;=AK126,AN126+AO126+AP126+AQ126+AR126&gt;=AK126),AS126,IF(AN126+AO126+AP126+AQ126+AR126+AS126&gt;=AK126,AN126+AO126+AP126+AQ126+AR126+AS126-AK126,0))</f>
        <v>0</v>
      </c>
      <c r="BD126" s="216">
        <f>SUM(AY126:BC126)</f>
        <v>115.36000000000001</v>
      </c>
      <c r="BE126" s="220">
        <f>AY126-AO126</f>
        <v>0</v>
      </c>
      <c r="BF126" s="220">
        <f>AZ126-AP126</f>
        <v>0</v>
      </c>
      <c r="BG126" s="220">
        <f>BA126-AQ126</f>
        <v>-4.6399999999999864</v>
      </c>
      <c r="BH126" s="220">
        <f>BB126-AR126</f>
        <v>0</v>
      </c>
      <c r="BI126" s="220">
        <f>BC126-AS126</f>
        <v>0</v>
      </c>
      <c r="BJ126" s="220" t="s">
        <v>1171</v>
      </c>
      <c r="BK126" s="220"/>
      <c r="BL126" s="223">
        <f>IF(AW126&lt;BK126,0,IF(AND(BK126=0,AW126&gt;0),AW126,IF(AW126&lt;0,0,IF(BK126&gt;0,AW126-BK126,IF(BK126&lt;0,0,AW126)))))</f>
        <v>0</v>
      </c>
      <c r="BM126" s="220">
        <v>6.92</v>
      </c>
      <c r="BN126" s="220"/>
      <c r="BO126" s="220">
        <f>ROUND(BM126+(BM126*BN126),2)</f>
        <v>6.92</v>
      </c>
      <c r="BP126" s="220">
        <f>IF(AND(BL126&gt;0,BL126&lt;tiet!$D$1),BL126,IF(BL126&lt;=0,0,IF(BL126&gt;tiet!$C$1,tiet!$C$1)))</f>
        <v>0</v>
      </c>
      <c r="BQ126" s="87">
        <f>VLOOKUP(P126,ma_dinhmuc_moi,4,0)</f>
        <v>80000</v>
      </c>
      <c r="BR126" s="224">
        <f>ROUND(BQ126*BP126,0)</f>
        <v>0</v>
      </c>
      <c r="BS126" s="220">
        <f t="shared" si="219"/>
        <v>0</v>
      </c>
      <c r="BT126" s="224">
        <f>VLOOKUP(N126,ma_dinhmuc!$A$1:$J$31,10,0)</f>
        <v>65000</v>
      </c>
      <c r="BU126" s="224">
        <f>ROUND(IF(BS126&gt;0,VLOOKUP(N126,ma_dinhmuc!$A$1:$J$31,10,0)*BS126,0),0)</f>
        <v>0</v>
      </c>
      <c r="BV126" s="224">
        <f>ROUND(BU126+BR126,0)</f>
        <v>0</v>
      </c>
      <c r="BW126" s="224"/>
      <c r="BX126" s="224">
        <v>0</v>
      </c>
      <c r="BY126" s="224"/>
      <c r="BZ126" s="224"/>
      <c r="CA126" s="224"/>
      <c r="CB126" s="224"/>
      <c r="CC126" s="225">
        <f>ROUND(IF(BV126+BW126&gt;BX126+BY126+BZ126+CA126+CB126,(BW126+BV126)-(BX126+BY126+BZ126+CA126+CB126+CB126),0),0)</f>
        <v>0</v>
      </c>
      <c r="CD126" s="224">
        <f>ROUND(IF(BV126+BW126&lt;BX126+BY126+BZ126+CA126-CB126,(BX126+BY126+BZ126+CA126-CB126)-(BW126+BV126),0),0)</f>
        <v>0</v>
      </c>
      <c r="CE126" s="224"/>
      <c r="CF126" s="226"/>
      <c r="CG126" s="87"/>
      <c r="CH126" s="87">
        <f>A126</f>
        <v>27</v>
      </c>
      <c r="CI126" s="227" t="str">
        <f t="shared" si="389"/>
        <v>Bùi Quang</v>
      </c>
      <c r="CJ126" s="227" t="str">
        <f t="shared" si="389"/>
        <v>Tuấn</v>
      </c>
      <c r="CK126" s="87">
        <f t="shared" si="389"/>
        <v>2</v>
      </c>
      <c r="CL126" s="227" t="str">
        <f>L126</f>
        <v>Dinh dưỡng và Thức ăn</v>
      </c>
      <c r="CM126" s="87" t="str">
        <f>N126</f>
        <v>CS4</v>
      </c>
      <c r="CN126" s="87">
        <f>Q126</f>
        <v>270</v>
      </c>
      <c r="CO126" s="87">
        <f>R126</f>
        <v>200</v>
      </c>
      <c r="CP126" s="229">
        <f t="shared" si="223"/>
        <v>0</v>
      </c>
      <c r="CQ126" s="229">
        <f t="shared" si="224"/>
        <v>36.9</v>
      </c>
      <c r="CR126" s="229">
        <f t="shared" si="225"/>
        <v>14.7</v>
      </c>
      <c r="CS126" s="229">
        <f t="shared" si="226"/>
        <v>36</v>
      </c>
      <c r="CT126" s="229">
        <f t="shared" si="227"/>
        <v>0</v>
      </c>
      <c r="CU126" s="229">
        <f t="shared" si="228"/>
        <v>104.9</v>
      </c>
      <c r="CV126" s="229">
        <f t="shared" si="229"/>
        <v>0</v>
      </c>
      <c r="CW126" s="229">
        <f t="shared" si="230"/>
        <v>96</v>
      </c>
      <c r="CX126" s="229">
        <f t="shared" si="231"/>
        <v>0</v>
      </c>
      <c r="CY126" s="229">
        <f t="shared" si="232"/>
        <v>0</v>
      </c>
      <c r="CZ126" s="229">
        <f t="shared" si="233"/>
        <v>0</v>
      </c>
      <c r="DA126" s="229">
        <f t="shared" si="234"/>
        <v>120</v>
      </c>
      <c r="DB126" s="228">
        <f>SUM(CP126:DA126)</f>
        <v>408.5</v>
      </c>
      <c r="DC126" s="229"/>
      <c r="DD126" s="229"/>
      <c r="DE126" s="229"/>
      <c r="DF126" s="229"/>
      <c r="DG126" s="229"/>
      <c r="DH126" s="229"/>
      <c r="DI126" s="229"/>
      <c r="DJ126" s="229"/>
      <c r="DK126" s="229"/>
      <c r="DL126" s="229"/>
      <c r="DM126" s="229"/>
      <c r="DN126" s="229"/>
      <c r="DO126" s="228">
        <f>SUM(DC126:DN126)</f>
        <v>0</v>
      </c>
      <c r="DP126" s="228">
        <f>DO126+DB126</f>
        <v>408.5</v>
      </c>
      <c r="DQ126" s="229">
        <f t="shared" si="235"/>
        <v>90</v>
      </c>
      <c r="DR126" s="229">
        <f t="shared" si="236"/>
        <v>1.5</v>
      </c>
      <c r="DS126" s="229">
        <f t="shared" si="237"/>
        <v>0</v>
      </c>
      <c r="DT126" s="229">
        <f t="shared" si="238"/>
        <v>0.6</v>
      </c>
      <c r="DU126" s="229">
        <f t="shared" si="239"/>
        <v>0</v>
      </c>
      <c r="DV126" s="229">
        <f t="shared" si="240"/>
        <v>0</v>
      </c>
      <c r="DW126" s="229">
        <f t="shared" si="241"/>
        <v>0</v>
      </c>
      <c r="DX126" s="228">
        <f>SUM(DQ126:DW126)</f>
        <v>92.1</v>
      </c>
      <c r="DY126" s="229"/>
      <c r="DZ126" s="229"/>
      <c r="EA126" s="229"/>
      <c r="EB126" s="229"/>
      <c r="EC126" s="229"/>
      <c r="ED126" s="229"/>
      <c r="EE126" s="229"/>
      <c r="EF126" s="228">
        <f t="shared" si="220"/>
        <v>0</v>
      </c>
      <c r="EG126" s="228">
        <f>EF126+DX126</f>
        <v>92.1</v>
      </c>
      <c r="EH126" s="229">
        <f t="shared" si="221"/>
        <v>80.260000000000005</v>
      </c>
      <c r="EI126" s="229">
        <v>0</v>
      </c>
      <c r="EJ126" s="228">
        <f t="shared" si="308"/>
        <v>80.260000000000005</v>
      </c>
      <c r="EK126" s="229"/>
      <c r="EL126" s="229"/>
      <c r="EM126" s="228">
        <f>SUM(EK126:EL126)</f>
        <v>0</v>
      </c>
      <c r="EN126" s="229">
        <f>EK126+EH126+EL126</f>
        <v>80.260000000000005</v>
      </c>
      <c r="EO126" s="229">
        <f>EI126</f>
        <v>0</v>
      </c>
      <c r="EP126" s="228">
        <f>EM126+EJ126</f>
        <v>80.260000000000005</v>
      </c>
      <c r="EQ126" s="173">
        <f t="shared" si="222"/>
        <v>0</v>
      </c>
      <c r="ER126" s="189">
        <v>0</v>
      </c>
      <c r="ES126" s="189">
        <v>36.9</v>
      </c>
      <c r="ET126" s="189">
        <v>14.7</v>
      </c>
      <c r="EU126" s="189">
        <v>36</v>
      </c>
      <c r="EV126" s="189">
        <v>0</v>
      </c>
      <c r="EW126" s="189">
        <v>104.9</v>
      </c>
      <c r="EX126" s="189">
        <v>0</v>
      </c>
      <c r="EY126" s="189">
        <v>96</v>
      </c>
      <c r="EZ126" s="189">
        <v>0</v>
      </c>
      <c r="FA126" s="189">
        <v>0</v>
      </c>
      <c r="FB126" s="189">
        <v>0</v>
      </c>
      <c r="FC126" s="189">
        <v>120</v>
      </c>
      <c r="FD126" s="189">
        <v>90</v>
      </c>
      <c r="FE126" s="189">
        <v>1.5</v>
      </c>
      <c r="FF126" s="189">
        <v>0</v>
      </c>
      <c r="FG126" s="189">
        <v>0.6</v>
      </c>
      <c r="FH126" s="189">
        <v>0</v>
      </c>
      <c r="FI126" s="189">
        <v>0</v>
      </c>
      <c r="FJ126" s="189">
        <v>0</v>
      </c>
      <c r="FK126" s="189">
        <v>500.6</v>
      </c>
      <c r="FL126" s="189">
        <v>402</v>
      </c>
      <c r="FN126" s="132">
        <v>80.260000000000005</v>
      </c>
    </row>
    <row r="127" spans="1:170" ht="30" customHeight="1">
      <c r="A127" s="88">
        <f>COUNTIF($H$12:H127,H127)</f>
        <v>28</v>
      </c>
      <c r="B127" s="88" t="s">
        <v>1991</v>
      </c>
      <c r="C127" s="88" t="s">
        <v>2598</v>
      </c>
      <c r="D127" s="88"/>
      <c r="E127" s="88"/>
      <c r="F127" s="301" t="s">
        <v>3150</v>
      </c>
      <c r="G127" s="89" t="s">
        <v>13</v>
      </c>
      <c r="H127" s="88">
        <v>2</v>
      </c>
      <c r="I127" s="88">
        <v>2</v>
      </c>
      <c r="J127" s="88">
        <v>2</v>
      </c>
      <c r="K127" s="90" t="s">
        <v>1614</v>
      </c>
      <c r="L127" s="90" t="s">
        <v>1614</v>
      </c>
      <c r="M127" s="214"/>
      <c r="N127" s="88" t="s">
        <v>1804</v>
      </c>
      <c r="O127" s="216">
        <f t="shared" si="317"/>
        <v>3.99</v>
      </c>
      <c r="P127" s="88" t="str">
        <f t="shared" si="382"/>
        <v>B1_4</v>
      </c>
      <c r="Q127" s="88">
        <f t="shared" si="331"/>
        <v>270</v>
      </c>
      <c r="R127" s="88">
        <f t="shared" si="332"/>
        <v>120</v>
      </c>
      <c r="S127" s="233"/>
      <c r="T127" s="88" t="s">
        <v>3088</v>
      </c>
      <c r="U127" s="88">
        <f>IF(RIGHT(T127,1)="K",(VLOOKUP(T127,ma_miengiam!$A$3:$B$80,2,0)*100)/2,VLOOKUP(T127,ma_miengiam!$A$3:$B$80,2,0)*100)</f>
        <v>0</v>
      </c>
      <c r="V127" s="88"/>
      <c r="W127" s="220">
        <f>IF(AND(T127="NTS",V127&gt;0),(Q127-(Q127*V127)/12)*VLOOKUP(T127,ma_miengiam!$A$3:$B$80,2,0)+(Q127-(Q127*(12-V127))/12),IF(AND(RIGHT(T127,1)="K",V127&gt;0),(VLOOKUP(T127,ma_miengiam!$A$3:$B$80,2,0)/2)*(Q127*V127)/12,IF(RIGHT(T127,1)="K",(VLOOKUP(T127,ma_miengiam!$A$3:$B$80,2,0)*Q127)/2,IF(V127&gt;0,VLOOKUP(T127,ma_miengiam!$A$3:$B$80,2,0)*Q127*V127/12,VLOOKUP(T127,ma_miengiam!$A$3:$B$80,2,0)*Q127))))</f>
        <v>0</v>
      </c>
      <c r="X127" s="220">
        <f>IF(T127="NTS",VLOOKUP(T127,ma_miengiam!$A$3:$B$80,2,0)*R127*V127,IF(AND(T127="NTS",V127=0),0,IF(AND(LEFT(T127,1)="K",V127=0),VLOOKUP(T127,ma_miengiam!$A$3:$B$80,2,0)*R127,IF(LEFT(T127,1)="K",(VLOOKUP(T127,ma_miengiam!$A$3:$B$80,2,0)*R127/12)*V127,IF(AND(LEFT(T127,1)="S",V127&gt;0),(R127/12)*V127,IF(AND(LEFT(T127,1)="S",V127=0),R127,IF(T127="DH",VLOOKUP(T127,ma_miengiam!$A$3:$B$80,2,0)*R127,0)))))))</f>
        <v>0</v>
      </c>
      <c r="Y127" s="220">
        <f t="shared" si="336"/>
        <v>270</v>
      </c>
      <c r="Z127" s="220">
        <f t="shared" si="337"/>
        <v>120</v>
      </c>
      <c r="AA127" s="220">
        <f t="shared" si="390"/>
        <v>270</v>
      </c>
      <c r="AB127" s="220">
        <f t="shared" si="390"/>
        <v>120</v>
      </c>
      <c r="AC127" s="220">
        <f t="shared" si="391"/>
        <v>0</v>
      </c>
      <c r="AD127" s="220">
        <f t="shared" si="391"/>
        <v>0</v>
      </c>
      <c r="AE127" s="220">
        <f t="shared" si="391"/>
        <v>270</v>
      </c>
      <c r="AF127" s="220">
        <f t="shared" si="391"/>
        <v>120</v>
      </c>
      <c r="AG127" s="220">
        <f t="shared" ref="AG127:AG137" si="392">AH127+AI127</f>
        <v>56.26</v>
      </c>
      <c r="AH127" s="220">
        <f t="shared" ref="AH127:AH137" si="393">EO127</f>
        <v>0</v>
      </c>
      <c r="AI127" s="220">
        <f t="shared" ref="AI127:AI137" si="394">EN127</f>
        <v>56.26</v>
      </c>
      <c r="AJ127" s="220">
        <f t="shared" si="380"/>
        <v>-63.74</v>
      </c>
      <c r="AK127" s="216">
        <f t="shared" si="247"/>
        <v>333.74</v>
      </c>
      <c r="AL127" s="220">
        <f t="shared" si="248"/>
        <v>387</v>
      </c>
      <c r="AM127" s="220">
        <f t="shared" si="249"/>
        <v>64.900000000000006</v>
      </c>
      <c r="AN127" s="221">
        <f t="shared" si="250"/>
        <v>451.9</v>
      </c>
      <c r="AO127" s="220">
        <f t="shared" si="251"/>
        <v>0</v>
      </c>
      <c r="AP127" s="220">
        <f t="shared" si="252"/>
        <v>0</v>
      </c>
      <c r="AQ127" s="220">
        <f t="shared" si="253"/>
        <v>140</v>
      </c>
      <c r="AR127" s="220">
        <f t="shared" si="254"/>
        <v>80</v>
      </c>
      <c r="AS127" s="220">
        <f t="shared" si="255"/>
        <v>0</v>
      </c>
      <c r="AT127" s="216">
        <f t="shared" si="256"/>
        <v>671.9</v>
      </c>
      <c r="AU127" s="222">
        <f t="shared" ref="AU127:AU187" si="395">AN127-AK127</f>
        <v>118.15999999999997</v>
      </c>
      <c r="AV127" s="220"/>
      <c r="AW127" s="220">
        <f t="shared" si="350"/>
        <v>118.15999999999997</v>
      </c>
      <c r="AX127" s="216">
        <f t="shared" si="265"/>
        <v>0</v>
      </c>
      <c r="AY127" s="220">
        <f t="shared" si="362"/>
        <v>0</v>
      </c>
      <c r="AZ127" s="220">
        <f t="shared" si="363"/>
        <v>0</v>
      </c>
      <c r="BA127" s="220">
        <f t="shared" si="364"/>
        <v>140</v>
      </c>
      <c r="BB127" s="220">
        <f t="shared" si="365"/>
        <v>80</v>
      </c>
      <c r="BC127" s="220">
        <f t="shared" si="366"/>
        <v>0</v>
      </c>
      <c r="BD127" s="216">
        <f t="shared" si="375"/>
        <v>220</v>
      </c>
      <c r="BE127" s="220">
        <f t="shared" si="351"/>
        <v>0</v>
      </c>
      <c r="BF127" s="220">
        <f t="shared" si="352"/>
        <v>0</v>
      </c>
      <c r="BG127" s="220">
        <f t="shared" si="353"/>
        <v>0</v>
      </c>
      <c r="BH127" s="220">
        <f t="shared" si="354"/>
        <v>0</v>
      </c>
      <c r="BI127" s="220">
        <f t="shared" si="355"/>
        <v>0</v>
      </c>
      <c r="BJ127" s="220" t="s">
        <v>1171</v>
      </c>
      <c r="BK127" s="220"/>
      <c r="BL127" s="223">
        <f t="shared" si="257"/>
        <v>118.15999999999997</v>
      </c>
      <c r="BM127" s="220">
        <v>3.99</v>
      </c>
      <c r="BN127" s="220"/>
      <c r="BO127" s="220">
        <f t="shared" si="383"/>
        <v>3.99</v>
      </c>
      <c r="BP127" s="220">
        <f>IF(AND(BL127&gt;0,BL127&lt;tiet!$D$1),BL127,IF(BL127&lt;=0,0,IF(BL127&gt;tiet!$C$1,tiet!$C$1)))</f>
        <v>118.15999999999997</v>
      </c>
      <c r="BQ127" s="87">
        <f t="shared" si="376"/>
        <v>65000</v>
      </c>
      <c r="BR127" s="224">
        <f t="shared" si="377"/>
        <v>7680400</v>
      </c>
      <c r="BS127" s="220">
        <f t="shared" si="219"/>
        <v>0</v>
      </c>
      <c r="BT127" s="224">
        <f>VLOOKUP(N127,ma_dinhmuc!$A$1:$J$31,10,0)</f>
        <v>51000</v>
      </c>
      <c r="BU127" s="224">
        <f>ROUND(IF(BS127&gt;0,VLOOKUP(N127,ma_dinhmuc!$A$1:$J$31,10,0)*BS127,0),0)</f>
        <v>0</v>
      </c>
      <c r="BV127" s="224">
        <f t="shared" si="378"/>
        <v>7680400</v>
      </c>
      <c r="BW127" s="224"/>
      <c r="BX127" s="224">
        <v>0</v>
      </c>
      <c r="BY127" s="224"/>
      <c r="BZ127" s="224"/>
      <c r="CA127" s="224"/>
      <c r="CB127" s="224"/>
      <c r="CC127" s="225">
        <f t="shared" si="384"/>
        <v>7680400</v>
      </c>
      <c r="CD127" s="224">
        <f t="shared" si="385"/>
        <v>0</v>
      </c>
      <c r="CE127" s="224"/>
      <c r="CF127" s="226"/>
      <c r="CG127" s="87"/>
      <c r="CH127" s="87">
        <f t="shared" si="381"/>
        <v>28</v>
      </c>
      <c r="CI127" s="227" t="str">
        <f t="shared" si="340"/>
        <v>Lê Việt</v>
      </c>
      <c r="CJ127" s="227" t="str">
        <f t="shared" si="341"/>
        <v>Phương</v>
      </c>
      <c r="CK127" s="87">
        <f t="shared" ref="CK127:CK137" si="396">H127</f>
        <v>2</v>
      </c>
      <c r="CL127" s="227" t="str">
        <f t="shared" si="371"/>
        <v>Dinh dưỡng và Thức ăn</v>
      </c>
      <c r="CM127" s="87" t="str">
        <f t="shared" si="358"/>
        <v>CS2</v>
      </c>
      <c r="CN127" s="87">
        <f t="shared" si="386"/>
        <v>270</v>
      </c>
      <c r="CO127" s="87">
        <f t="shared" si="387"/>
        <v>120</v>
      </c>
      <c r="CP127" s="229">
        <f t="shared" si="223"/>
        <v>0</v>
      </c>
      <c r="CQ127" s="229">
        <f t="shared" si="224"/>
        <v>34.200000000000003</v>
      </c>
      <c r="CR127" s="229">
        <f t="shared" si="225"/>
        <v>13.7</v>
      </c>
      <c r="CS127" s="229">
        <f t="shared" si="226"/>
        <v>36</v>
      </c>
      <c r="CT127" s="229">
        <f t="shared" si="227"/>
        <v>0</v>
      </c>
      <c r="CU127" s="229">
        <f t="shared" si="228"/>
        <v>171.1</v>
      </c>
      <c r="CV127" s="229">
        <f t="shared" si="229"/>
        <v>0</v>
      </c>
      <c r="CW127" s="229">
        <f t="shared" si="230"/>
        <v>132</v>
      </c>
      <c r="CX127" s="229">
        <f t="shared" si="231"/>
        <v>0</v>
      </c>
      <c r="CY127" s="229">
        <f t="shared" si="232"/>
        <v>0</v>
      </c>
      <c r="CZ127" s="229">
        <f t="shared" si="233"/>
        <v>0</v>
      </c>
      <c r="DA127" s="229">
        <f t="shared" si="234"/>
        <v>140</v>
      </c>
      <c r="DB127" s="228">
        <f t="shared" si="214"/>
        <v>527</v>
      </c>
      <c r="DC127" s="229"/>
      <c r="DD127" s="229"/>
      <c r="DE127" s="229"/>
      <c r="DF127" s="229"/>
      <c r="DG127" s="229"/>
      <c r="DH127" s="229"/>
      <c r="DI127" s="229"/>
      <c r="DJ127" s="229"/>
      <c r="DK127" s="229"/>
      <c r="DL127" s="229"/>
      <c r="DM127" s="229"/>
      <c r="DN127" s="229"/>
      <c r="DO127" s="228">
        <f t="shared" si="215"/>
        <v>0</v>
      </c>
      <c r="DP127" s="228">
        <f t="shared" si="216"/>
        <v>527</v>
      </c>
      <c r="DQ127" s="229">
        <f t="shared" si="235"/>
        <v>63</v>
      </c>
      <c r="DR127" s="229">
        <f t="shared" si="236"/>
        <v>1.5</v>
      </c>
      <c r="DS127" s="229">
        <f t="shared" si="237"/>
        <v>0</v>
      </c>
      <c r="DT127" s="229">
        <f t="shared" si="238"/>
        <v>0.4</v>
      </c>
      <c r="DU127" s="229">
        <f t="shared" si="239"/>
        <v>0</v>
      </c>
      <c r="DV127" s="229">
        <f t="shared" si="240"/>
        <v>80</v>
      </c>
      <c r="DW127" s="229">
        <f t="shared" si="241"/>
        <v>0</v>
      </c>
      <c r="DX127" s="228">
        <f t="shared" si="217"/>
        <v>144.9</v>
      </c>
      <c r="DY127" s="229"/>
      <c r="DZ127" s="229"/>
      <c r="EA127" s="229"/>
      <c r="EB127" s="229"/>
      <c r="EC127" s="229"/>
      <c r="ED127" s="229"/>
      <c r="EE127" s="229"/>
      <c r="EF127" s="228">
        <f t="shared" si="220"/>
        <v>0</v>
      </c>
      <c r="EG127" s="228">
        <f t="shared" si="218"/>
        <v>144.9</v>
      </c>
      <c r="EH127" s="229">
        <f t="shared" si="221"/>
        <v>56.26</v>
      </c>
      <c r="EI127" s="229">
        <v>0</v>
      </c>
      <c r="EJ127" s="228">
        <f t="shared" si="308"/>
        <v>56.26</v>
      </c>
      <c r="EK127" s="229"/>
      <c r="EL127" s="229"/>
      <c r="EM127" s="228">
        <f t="shared" si="372"/>
        <v>0</v>
      </c>
      <c r="EN127" s="229">
        <f t="shared" si="361"/>
        <v>56.26</v>
      </c>
      <c r="EO127" s="229">
        <f t="shared" si="388"/>
        <v>0</v>
      </c>
      <c r="EP127" s="228">
        <f t="shared" si="345"/>
        <v>56.26</v>
      </c>
      <c r="EQ127" s="173">
        <f t="shared" si="222"/>
        <v>0</v>
      </c>
      <c r="ER127" s="189">
        <v>0</v>
      </c>
      <c r="ES127" s="189">
        <v>34.200000000000003</v>
      </c>
      <c r="ET127" s="189">
        <v>13.7</v>
      </c>
      <c r="EU127" s="189">
        <v>36</v>
      </c>
      <c r="EV127" s="189">
        <v>0</v>
      </c>
      <c r="EW127" s="189">
        <v>171.1</v>
      </c>
      <c r="EX127" s="189">
        <v>0</v>
      </c>
      <c r="EY127" s="189">
        <v>132</v>
      </c>
      <c r="EZ127" s="189">
        <v>0</v>
      </c>
      <c r="FA127" s="189">
        <v>0</v>
      </c>
      <c r="FB127" s="189">
        <v>0</v>
      </c>
      <c r="FC127" s="189">
        <v>140</v>
      </c>
      <c r="FD127" s="189">
        <v>63</v>
      </c>
      <c r="FE127" s="189">
        <v>1.5</v>
      </c>
      <c r="FF127" s="189">
        <v>0</v>
      </c>
      <c r="FG127" s="189">
        <v>0.4</v>
      </c>
      <c r="FH127" s="189">
        <v>80</v>
      </c>
      <c r="FI127" s="189">
        <v>0</v>
      </c>
      <c r="FJ127" s="189">
        <v>0</v>
      </c>
      <c r="FK127" s="189">
        <v>671.9</v>
      </c>
      <c r="FL127" s="189">
        <v>588</v>
      </c>
      <c r="FN127" s="132">
        <v>56.26</v>
      </c>
    </row>
    <row r="128" spans="1:170" ht="30">
      <c r="A128" s="88">
        <f>COUNTIF($H$12:H128,H128)</f>
        <v>29</v>
      </c>
      <c r="B128" s="88" t="s">
        <v>1992</v>
      </c>
      <c r="C128" s="88" t="s">
        <v>2599</v>
      </c>
      <c r="D128" s="88"/>
      <c r="E128" s="88"/>
      <c r="F128" s="301" t="s">
        <v>1139</v>
      </c>
      <c r="G128" s="89" t="s">
        <v>2883</v>
      </c>
      <c r="H128" s="88">
        <v>2</v>
      </c>
      <c r="I128" s="88">
        <v>2</v>
      </c>
      <c r="J128" s="88">
        <v>2</v>
      </c>
      <c r="K128" s="90" t="s">
        <v>1614</v>
      </c>
      <c r="L128" s="90" t="s">
        <v>1614</v>
      </c>
      <c r="M128" s="214"/>
      <c r="N128" s="88" t="s">
        <v>1804</v>
      </c>
      <c r="O128" s="216">
        <f t="shared" si="317"/>
        <v>3</v>
      </c>
      <c r="P128" s="88" t="str">
        <f t="shared" si="382"/>
        <v>B1_3</v>
      </c>
      <c r="Q128" s="88">
        <f t="shared" si="331"/>
        <v>270</v>
      </c>
      <c r="R128" s="88">
        <f t="shared" si="332"/>
        <v>100</v>
      </c>
      <c r="S128" s="231" t="s">
        <v>1237</v>
      </c>
      <c r="T128" s="88" t="s">
        <v>2961</v>
      </c>
      <c r="U128" s="88">
        <f>IF(RIGHT(T128,1)="K",(VLOOKUP(T128,ma_miengiam!$A$3:$B$80,2,0)*100)/2,VLOOKUP(T128,ma_miengiam!$A$3:$B$80,2,0)*100)</f>
        <v>100</v>
      </c>
      <c r="V128" s="88"/>
      <c r="W128" s="220">
        <f>IF(AND(T128="NTS",V128&gt;0),(Q128-(Q128*V128)/12)*VLOOKUP(T128,ma_miengiam!$A$3:$B$80,2,0)+(Q128-(Q128*(12-V128))/12),IF(AND(RIGHT(T128,1)="K",V128&gt;0),(VLOOKUP(T128,ma_miengiam!$A$3:$B$80,2,0)/2)*(Q128*V128)/12,IF(RIGHT(T128,1)="K",(VLOOKUP(T128,ma_miengiam!$A$3:$B$80,2,0)*Q128)/2,IF(V128&gt;0,VLOOKUP(T128,ma_miengiam!$A$3:$B$80,2,0)*Q128*V128/12,VLOOKUP(T128,ma_miengiam!$A$3:$B$80,2,0)*Q128))))</f>
        <v>270</v>
      </c>
      <c r="X128" s="220">
        <f>IF(T128="NTS",VLOOKUP(T128,ma_miengiam!$A$3:$B$80,2,0)*R128*V128,IF(AND(T128="NTS",V128=0),0,IF(AND(LEFT(T128,1)="K",V128=0),VLOOKUP(T128,ma_miengiam!$A$3:$B$80,2,0)*R128,IF(LEFT(T128,1)="K",(VLOOKUP(T128,ma_miengiam!$A$3:$B$80,2,0)*R128/12)*V128,IF(AND(LEFT(T128,1)="S",V128&gt;0),(R128/12)*V128,IF(AND(LEFT(T128,1)="S",V128=0),R128,IF(T128="DH",VLOOKUP(T128,ma_miengiam!$A$3:$B$80,2,0)*R128,0)))))))</f>
        <v>100</v>
      </c>
      <c r="Y128" s="220">
        <f t="shared" si="336"/>
        <v>0</v>
      </c>
      <c r="Z128" s="220">
        <f t="shared" si="337"/>
        <v>0</v>
      </c>
      <c r="AA128" s="220">
        <f t="shared" si="390"/>
        <v>270</v>
      </c>
      <c r="AB128" s="220">
        <f t="shared" si="390"/>
        <v>100</v>
      </c>
      <c r="AC128" s="220">
        <f t="shared" si="391"/>
        <v>270</v>
      </c>
      <c r="AD128" s="220">
        <f t="shared" si="391"/>
        <v>100</v>
      </c>
      <c r="AE128" s="220">
        <f t="shared" si="391"/>
        <v>0</v>
      </c>
      <c r="AF128" s="220">
        <f t="shared" si="391"/>
        <v>0</v>
      </c>
      <c r="AG128" s="220">
        <f t="shared" si="392"/>
        <v>201.5</v>
      </c>
      <c r="AH128" s="220">
        <f t="shared" si="393"/>
        <v>100</v>
      </c>
      <c r="AI128" s="220">
        <f t="shared" si="394"/>
        <v>101.5</v>
      </c>
      <c r="AJ128" s="220">
        <f t="shared" si="380"/>
        <v>0</v>
      </c>
      <c r="AK128" s="216">
        <f t="shared" si="247"/>
        <v>0</v>
      </c>
      <c r="AL128" s="220">
        <f t="shared" si="248"/>
        <v>0</v>
      </c>
      <c r="AM128" s="220">
        <f t="shared" si="249"/>
        <v>0</v>
      </c>
      <c r="AN128" s="221">
        <f t="shared" si="250"/>
        <v>0</v>
      </c>
      <c r="AO128" s="220">
        <f t="shared" si="251"/>
        <v>0</v>
      </c>
      <c r="AP128" s="220">
        <f t="shared" si="252"/>
        <v>0</v>
      </c>
      <c r="AQ128" s="220">
        <f t="shared" si="253"/>
        <v>0</v>
      </c>
      <c r="AR128" s="220">
        <f t="shared" si="254"/>
        <v>0</v>
      </c>
      <c r="AS128" s="220">
        <f t="shared" si="255"/>
        <v>0</v>
      </c>
      <c r="AT128" s="216">
        <f t="shared" si="256"/>
        <v>0</v>
      </c>
      <c r="AU128" s="222">
        <f t="shared" si="395"/>
        <v>0</v>
      </c>
      <c r="AV128" s="220"/>
      <c r="AW128" s="220">
        <f t="shared" si="350"/>
        <v>0</v>
      </c>
      <c r="AX128" s="216">
        <f t="shared" si="265"/>
        <v>0</v>
      </c>
      <c r="AY128" s="220">
        <f t="shared" si="362"/>
        <v>0</v>
      </c>
      <c r="AZ128" s="220">
        <f t="shared" si="363"/>
        <v>0</v>
      </c>
      <c r="BA128" s="220">
        <f t="shared" si="364"/>
        <v>0</v>
      </c>
      <c r="BB128" s="220">
        <f t="shared" si="365"/>
        <v>0</v>
      </c>
      <c r="BC128" s="220">
        <f t="shared" si="366"/>
        <v>0</v>
      </c>
      <c r="BD128" s="216">
        <f t="shared" si="375"/>
        <v>0</v>
      </c>
      <c r="BE128" s="220">
        <f t="shared" si="351"/>
        <v>0</v>
      </c>
      <c r="BF128" s="220">
        <f t="shared" si="352"/>
        <v>0</v>
      </c>
      <c r="BG128" s="220">
        <f t="shared" si="353"/>
        <v>0</v>
      </c>
      <c r="BH128" s="220">
        <f t="shared" si="354"/>
        <v>0</v>
      </c>
      <c r="BI128" s="220">
        <f t="shared" si="355"/>
        <v>0</v>
      </c>
      <c r="BJ128" s="220" t="s">
        <v>1171</v>
      </c>
      <c r="BK128" s="220"/>
      <c r="BL128" s="223">
        <f t="shared" si="257"/>
        <v>0</v>
      </c>
      <c r="BM128" s="220">
        <v>3</v>
      </c>
      <c r="BN128" s="220"/>
      <c r="BO128" s="220">
        <f t="shared" si="383"/>
        <v>3</v>
      </c>
      <c r="BP128" s="220">
        <f>IF(AND(BL128&gt;0,BL128&lt;tiet!$D$1),BL128,IF(BL128&lt;=0,0,IF(BL128&gt;tiet!$C$1,tiet!$C$1)))</f>
        <v>0</v>
      </c>
      <c r="BQ128" s="87">
        <f t="shared" si="376"/>
        <v>60000</v>
      </c>
      <c r="BR128" s="224">
        <f t="shared" si="377"/>
        <v>0</v>
      </c>
      <c r="BS128" s="220">
        <f t="shared" si="219"/>
        <v>0</v>
      </c>
      <c r="BT128" s="224">
        <f>VLOOKUP(N128,ma_dinhmuc!$A$1:$J$31,10,0)</f>
        <v>51000</v>
      </c>
      <c r="BU128" s="224">
        <f>ROUND(IF(BS128&gt;0,VLOOKUP(N128,ma_dinhmuc!$A$1:$J$31,10,0)*BS128,0),0)</f>
        <v>0</v>
      </c>
      <c r="BV128" s="224">
        <f t="shared" si="378"/>
        <v>0</v>
      </c>
      <c r="BW128" s="224"/>
      <c r="BX128" s="224">
        <v>0</v>
      </c>
      <c r="BY128" s="224"/>
      <c r="BZ128" s="224"/>
      <c r="CA128" s="224"/>
      <c r="CB128" s="224"/>
      <c r="CC128" s="225">
        <f t="shared" si="384"/>
        <v>0</v>
      </c>
      <c r="CD128" s="224">
        <f t="shared" si="385"/>
        <v>0</v>
      </c>
      <c r="CE128" s="224"/>
      <c r="CF128" s="226"/>
      <c r="CG128" s="87"/>
      <c r="CH128" s="87">
        <f t="shared" si="381"/>
        <v>29</v>
      </c>
      <c r="CI128" s="227" t="str">
        <f t="shared" si="340"/>
        <v>Nguyễn Thị</v>
      </c>
      <c r="CJ128" s="227" t="str">
        <f t="shared" si="341"/>
        <v>Huyền</v>
      </c>
      <c r="CK128" s="87">
        <f t="shared" si="396"/>
        <v>2</v>
      </c>
      <c r="CL128" s="227" t="str">
        <f t="shared" si="371"/>
        <v>Dinh dưỡng và Thức ăn</v>
      </c>
      <c r="CM128" s="87" t="str">
        <f t="shared" si="358"/>
        <v>CS2</v>
      </c>
      <c r="CN128" s="87">
        <f t="shared" si="386"/>
        <v>270</v>
      </c>
      <c r="CO128" s="87">
        <f t="shared" si="387"/>
        <v>100</v>
      </c>
      <c r="CP128" s="229">
        <f t="shared" si="223"/>
        <v>0</v>
      </c>
      <c r="CQ128" s="229">
        <f t="shared" si="224"/>
        <v>0</v>
      </c>
      <c r="CR128" s="229">
        <f t="shared" si="225"/>
        <v>0</v>
      </c>
      <c r="CS128" s="229">
        <f t="shared" si="226"/>
        <v>0</v>
      </c>
      <c r="CT128" s="229">
        <f t="shared" si="227"/>
        <v>0</v>
      </c>
      <c r="CU128" s="229">
        <f t="shared" si="228"/>
        <v>0</v>
      </c>
      <c r="CV128" s="229">
        <f t="shared" si="229"/>
        <v>0</v>
      </c>
      <c r="CW128" s="229">
        <f t="shared" si="230"/>
        <v>0</v>
      </c>
      <c r="CX128" s="229">
        <f t="shared" si="231"/>
        <v>0</v>
      </c>
      <c r="CY128" s="229">
        <f t="shared" si="232"/>
        <v>0</v>
      </c>
      <c r="CZ128" s="229">
        <f t="shared" si="233"/>
        <v>0</v>
      </c>
      <c r="DA128" s="229">
        <f t="shared" si="234"/>
        <v>0</v>
      </c>
      <c r="DB128" s="228">
        <f t="shared" si="214"/>
        <v>0</v>
      </c>
      <c r="DC128" s="229"/>
      <c r="DD128" s="229"/>
      <c r="DE128" s="229"/>
      <c r="DF128" s="229"/>
      <c r="DG128" s="229"/>
      <c r="DH128" s="229"/>
      <c r="DI128" s="229"/>
      <c r="DJ128" s="229"/>
      <c r="DK128" s="229"/>
      <c r="DL128" s="229"/>
      <c r="DM128" s="229"/>
      <c r="DN128" s="229"/>
      <c r="DO128" s="228">
        <f t="shared" si="215"/>
        <v>0</v>
      </c>
      <c r="DP128" s="228">
        <f t="shared" si="216"/>
        <v>0</v>
      </c>
      <c r="DQ128" s="229">
        <f t="shared" si="235"/>
        <v>0</v>
      </c>
      <c r="DR128" s="229">
        <f t="shared" si="236"/>
        <v>0</v>
      </c>
      <c r="DS128" s="229">
        <f t="shared" si="237"/>
        <v>0</v>
      </c>
      <c r="DT128" s="229">
        <f t="shared" si="238"/>
        <v>0</v>
      </c>
      <c r="DU128" s="229">
        <f t="shared" si="239"/>
        <v>0</v>
      </c>
      <c r="DV128" s="229">
        <f t="shared" si="240"/>
        <v>0</v>
      </c>
      <c r="DW128" s="229">
        <f t="shared" si="241"/>
        <v>0</v>
      </c>
      <c r="DX128" s="228">
        <f t="shared" si="217"/>
        <v>0</v>
      </c>
      <c r="DY128" s="229"/>
      <c r="DZ128" s="229"/>
      <c r="EA128" s="229"/>
      <c r="EB128" s="229"/>
      <c r="EC128" s="229"/>
      <c r="ED128" s="229"/>
      <c r="EE128" s="229"/>
      <c r="EF128" s="228">
        <f t="shared" si="220"/>
        <v>0</v>
      </c>
      <c r="EG128" s="228">
        <f t="shared" si="218"/>
        <v>0</v>
      </c>
      <c r="EH128" s="229">
        <f t="shared" si="221"/>
        <v>101.5</v>
      </c>
      <c r="EI128" s="229">
        <v>100</v>
      </c>
      <c r="EJ128" s="228">
        <f t="shared" si="308"/>
        <v>201.5</v>
      </c>
      <c r="EK128" s="229"/>
      <c r="EL128" s="229"/>
      <c r="EM128" s="228">
        <f t="shared" si="372"/>
        <v>0</v>
      </c>
      <c r="EN128" s="229">
        <f t="shared" si="361"/>
        <v>101.5</v>
      </c>
      <c r="EO128" s="229">
        <f t="shared" si="388"/>
        <v>100</v>
      </c>
      <c r="EP128" s="228">
        <f t="shared" si="345"/>
        <v>201.5</v>
      </c>
      <c r="EQ128" s="173">
        <f t="shared" si="222"/>
        <v>101.5</v>
      </c>
      <c r="ER128" s="189">
        <v>0</v>
      </c>
      <c r="ES128" s="189">
        <v>0</v>
      </c>
      <c r="ET128" s="189">
        <v>0</v>
      </c>
      <c r="EU128" s="189">
        <v>0</v>
      </c>
      <c r="EV128" s="189">
        <v>0</v>
      </c>
      <c r="EW128" s="189">
        <v>0</v>
      </c>
      <c r="EX128" s="189">
        <v>0</v>
      </c>
      <c r="EY128" s="189">
        <v>0</v>
      </c>
      <c r="EZ128" s="189">
        <v>0</v>
      </c>
      <c r="FA128" s="189">
        <v>0</v>
      </c>
      <c r="FB128" s="189">
        <v>0</v>
      </c>
      <c r="FC128" s="189">
        <v>0</v>
      </c>
      <c r="FD128" s="189">
        <v>0</v>
      </c>
      <c r="FE128" s="189">
        <v>0</v>
      </c>
      <c r="FF128" s="189">
        <v>0</v>
      </c>
      <c r="FG128" s="189">
        <v>0</v>
      </c>
      <c r="FH128" s="189">
        <v>0</v>
      </c>
      <c r="FI128" s="189">
        <v>0</v>
      </c>
      <c r="FJ128" s="189">
        <v>0</v>
      </c>
      <c r="FK128" s="189">
        <v>0</v>
      </c>
      <c r="FL128" s="189">
        <v>0</v>
      </c>
      <c r="FN128" s="132">
        <v>101.5</v>
      </c>
    </row>
    <row r="129" spans="1:170" ht="30" customHeight="1">
      <c r="A129" s="88">
        <f>COUNTIF($H$12:H129,H129)</f>
        <v>30</v>
      </c>
      <c r="B129" s="88" t="s">
        <v>1993</v>
      </c>
      <c r="C129" s="88" t="s">
        <v>2600</v>
      </c>
      <c r="D129" s="88"/>
      <c r="E129" s="88"/>
      <c r="F129" s="301" t="s">
        <v>1141</v>
      </c>
      <c r="G129" s="89" t="s">
        <v>3151</v>
      </c>
      <c r="H129" s="88">
        <v>2</v>
      </c>
      <c r="I129" s="88">
        <v>2</v>
      </c>
      <c r="J129" s="88">
        <v>2</v>
      </c>
      <c r="K129" s="90" t="s">
        <v>1614</v>
      </c>
      <c r="L129" s="90" t="s">
        <v>1614</v>
      </c>
      <c r="M129" s="214"/>
      <c r="N129" s="88" t="s">
        <v>606</v>
      </c>
      <c r="O129" s="216">
        <f>BO129</f>
        <v>5.42</v>
      </c>
      <c r="P129" s="88" t="str">
        <f t="shared" si="382"/>
        <v>B1_6</v>
      </c>
      <c r="Q129" s="88">
        <f t="shared" si="331"/>
        <v>270</v>
      </c>
      <c r="R129" s="88">
        <f t="shared" si="332"/>
        <v>170</v>
      </c>
      <c r="S129" s="218"/>
      <c r="T129" s="219" t="s">
        <v>3088</v>
      </c>
      <c r="U129" s="88">
        <f>IF(RIGHT(T129,1)="K",(VLOOKUP(T129,ma_miengiam!$A$3:$B$80,2,0)*100)/2,VLOOKUP(T129,ma_miengiam!$A$3:$B$80,2,0)*100)</f>
        <v>0</v>
      </c>
      <c r="V129" s="88"/>
      <c r="W129" s="220">
        <f>IF(AND(T129="NTS",V129&gt;0),(Q129-(Q129*V129)/12)*VLOOKUP(T129,ma_miengiam!$A$3:$B$80,2,0)+(Q129-(Q129*(12-V129))/12),IF(AND(RIGHT(T129,1)="K",V129&gt;0),(VLOOKUP(T129,ma_miengiam!$A$3:$B$80,2,0)/2)*(Q129*V129)/12,IF(RIGHT(T129,1)="K",(VLOOKUP(T129,ma_miengiam!$A$3:$B$80,2,0)*Q129)/2,IF(V129&gt;0,VLOOKUP(T129,ma_miengiam!$A$3:$B$80,2,0)*Q129*V129/12,VLOOKUP(T129,ma_miengiam!$A$3:$B$80,2,0)*Q129))))</f>
        <v>0</v>
      </c>
      <c r="X129" s="220">
        <f>IF(T129="NTS",VLOOKUP(T129,ma_miengiam!$A$3:$B$80,2,0)*R129*V129,IF(AND(T129="NTS",V129=0),0,IF(AND(LEFT(T129,1)="K",V129=0),VLOOKUP(T129,ma_miengiam!$A$3:$B$80,2,0)*R129,IF(LEFT(T129,1)="K",(VLOOKUP(T129,ma_miengiam!$A$3:$B$80,2,0)*R129/12)*V129,IF(AND(LEFT(T129,1)="S",V129&gt;0),(R129/12)*V129,IF(AND(LEFT(T129,1)="S",V129=0),R129,IF(T129="DH",VLOOKUP(T129,ma_miengiam!$A$3:$B$80,2,0)*R129,0)))))))</f>
        <v>0</v>
      </c>
      <c r="Y129" s="220">
        <f t="shared" si="336"/>
        <v>270</v>
      </c>
      <c r="Z129" s="220">
        <f>IF(AND(T129="SĐH",V129&gt;0),(R129/12)*V129-X129,IF(AND(T129="DH",V129&gt;0),(R129*V129/12),IF(AND(T129&lt;&gt;"NTS",V129&gt;0),(R129*V129/12)-X129,IF(AND(T129="NTS",V129&gt;0),R129-X129,R129-X129))))</f>
        <v>170</v>
      </c>
      <c r="AA129" s="220">
        <f t="shared" si="390"/>
        <v>270</v>
      </c>
      <c r="AB129" s="220">
        <f t="shared" si="390"/>
        <v>170</v>
      </c>
      <c r="AC129" s="220">
        <f t="shared" si="391"/>
        <v>0</v>
      </c>
      <c r="AD129" s="220">
        <f t="shared" si="391"/>
        <v>0</v>
      </c>
      <c r="AE129" s="220">
        <f t="shared" si="391"/>
        <v>270</v>
      </c>
      <c r="AF129" s="220">
        <f t="shared" si="391"/>
        <v>170</v>
      </c>
      <c r="AG129" s="220">
        <f>AH129+AI129</f>
        <v>81.25</v>
      </c>
      <c r="AH129" s="220">
        <f>EO129</f>
        <v>0</v>
      </c>
      <c r="AI129" s="220">
        <f>EN129</f>
        <v>81.25</v>
      </c>
      <c r="AJ129" s="220">
        <f>IF(AG129-Z129&gt;0,0,AG129-Z129)</f>
        <v>-88.75</v>
      </c>
      <c r="AK129" s="216">
        <f t="shared" si="247"/>
        <v>358.75</v>
      </c>
      <c r="AL129" s="220">
        <f t="shared" si="248"/>
        <v>297.60000000000002</v>
      </c>
      <c r="AM129" s="220">
        <f t="shared" si="249"/>
        <v>0</v>
      </c>
      <c r="AN129" s="221">
        <f t="shared" si="250"/>
        <v>297.60000000000002</v>
      </c>
      <c r="AO129" s="220">
        <f t="shared" si="251"/>
        <v>20</v>
      </c>
      <c r="AP129" s="220">
        <f t="shared" si="252"/>
        <v>0</v>
      </c>
      <c r="AQ129" s="220">
        <f t="shared" si="253"/>
        <v>100</v>
      </c>
      <c r="AR129" s="220">
        <f t="shared" si="254"/>
        <v>0</v>
      </c>
      <c r="AS129" s="220">
        <f t="shared" si="255"/>
        <v>0</v>
      </c>
      <c r="AT129" s="216">
        <f t="shared" si="256"/>
        <v>417.6</v>
      </c>
      <c r="AU129" s="222">
        <f>AN129-AK129</f>
        <v>-61.149999999999977</v>
      </c>
      <c r="AV129" s="220"/>
      <c r="AW129" s="220">
        <f t="shared" si="350"/>
        <v>-61.149999999999977</v>
      </c>
      <c r="AX129" s="216">
        <f t="shared" si="265"/>
        <v>-61.149999999999977</v>
      </c>
      <c r="AY129" s="220">
        <f t="shared" si="362"/>
        <v>0</v>
      </c>
      <c r="AZ129" s="220">
        <f t="shared" si="363"/>
        <v>0</v>
      </c>
      <c r="BA129" s="220">
        <f t="shared" si="364"/>
        <v>58.850000000000023</v>
      </c>
      <c r="BB129" s="220">
        <f t="shared" si="365"/>
        <v>0</v>
      </c>
      <c r="BC129" s="220">
        <f t="shared" si="366"/>
        <v>0</v>
      </c>
      <c r="BD129" s="216">
        <f t="shared" si="375"/>
        <v>58.850000000000023</v>
      </c>
      <c r="BE129" s="220">
        <f t="shared" si="351"/>
        <v>-20</v>
      </c>
      <c r="BF129" s="220">
        <f t="shared" si="352"/>
        <v>0</v>
      </c>
      <c r="BG129" s="220">
        <f t="shared" si="353"/>
        <v>-41.149999999999977</v>
      </c>
      <c r="BH129" s="220">
        <f t="shared" si="354"/>
        <v>0</v>
      </c>
      <c r="BI129" s="220">
        <f t="shared" si="355"/>
        <v>0</v>
      </c>
      <c r="BJ129" s="220" t="s">
        <v>1171</v>
      </c>
      <c r="BK129" s="220"/>
      <c r="BL129" s="223">
        <f t="shared" si="257"/>
        <v>0</v>
      </c>
      <c r="BM129" s="220">
        <v>5.42</v>
      </c>
      <c r="BN129" s="220"/>
      <c r="BO129" s="220">
        <f>ROUND(BM129+(BM129*BN129),2)</f>
        <v>5.42</v>
      </c>
      <c r="BP129" s="220">
        <f>IF(AND(BL129&gt;0,BL129&lt;tiet!$D$1),BL129,IF(BL129&lt;=0,0,IF(BL129&gt;tiet!$C$1,tiet!$C$1)))</f>
        <v>0</v>
      </c>
      <c r="BQ129" s="87">
        <f>VLOOKUP(P129,ma_dinhmuc_moi,4,0)</f>
        <v>75000</v>
      </c>
      <c r="BR129" s="224">
        <f>ROUND(BQ129*BP129,0)</f>
        <v>0</v>
      </c>
      <c r="BS129" s="220">
        <f t="shared" si="219"/>
        <v>0</v>
      </c>
      <c r="BT129" s="224">
        <f>VLOOKUP(N129,ma_dinhmuc!$A$1:$J$31,10,0)</f>
        <v>55000</v>
      </c>
      <c r="BU129" s="224">
        <f>ROUND(IF(BS129&gt;0,VLOOKUP(N129,ma_dinhmuc!$A$1:$J$31,10,0)*BS129,0),0)</f>
        <v>0</v>
      </c>
      <c r="BV129" s="224">
        <f>ROUND(BU129+BR129,0)</f>
        <v>0</v>
      </c>
      <c r="BW129" s="224"/>
      <c r="BX129" s="224">
        <v>0</v>
      </c>
      <c r="BY129" s="224"/>
      <c r="BZ129" s="224"/>
      <c r="CA129" s="224"/>
      <c r="CB129" s="224"/>
      <c r="CC129" s="225">
        <f>ROUND(IF(BV129+BW129&gt;BX129+BY129+BZ129+CA129+CB129,(BW129+BV129)-(BX129+BY129+BZ129+CA129+CB129+CB129),0),0)</f>
        <v>0</v>
      </c>
      <c r="CD129" s="224">
        <f>ROUND(IF(BV129+BW129&lt;BX129+BY129+BZ129+CA129-CB129,(BX129+BY129+BZ129+CA129-CB129)-(BW129+BV129),0),0)</f>
        <v>0</v>
      </c>
      <c r="CE129" s="224"/>
      <c r="CF129" s="226"/>
      <c r="CG129" s="87"/>
      <c r="CH129" s="87">
        <f>A129</f>
        <v>30</v>
      </c>
      <c r="CI129" s="227" t="str">
        <f>F129</f>
        <v>Bùi Văn</v>
      </c>
      <c r="CJ129" s="227" t="str">
        <f>G129</f>
        <v>Định</v>
      </c>
      <c r="CK129" s="87">
        <f t="shared" si="396"/>
        <v>2</v>
      </c>
      <c r="CL129" s="227" t="str">
        <f>L129</f>
        <v>Dinh dưỡng và Thức ăn</v>
      </c>
      <c r="CM129" s="87" t="str">
        <f t="shared" si="358"/>
        <v>CS3</v>
      </c>
      <c r="CN129" s="87">
        <f>Q129</f>
        <v>270</v>
      </c>
      <c r="CO129" s="87">
        <f>R129</f>
        <v>170</v>
      </c>
      <c r="CP129" s="229">
        <f t="shared" si="223"/>
        <v>0</v>
      </c>
      <c r="CQ129" s="229">
        <f t="shared" si="224"/>
        <v>31.1</v>
      </c>
      <c r="CR129" s="229">
        <f t="shared" si="225"/>
        <v>12.5</v>
      </c>
      <c r="CS129" s="229">
        <f t="shared" si="226"/>
        <v>36</v>
      </c>
      <c r="CT129" s="229">
        <f t="shared" si="227"/>
        <v>0</v>
      </c>
      <c r="CU129" s="229">
        <f t="shared" si="228"/>
        <v>110</v>
      </c>
      <c r="CV129" s="229">
        <f t="shared" si="229"/>
        <v>0</v>
      </c>
      <c r="CW129" s="229">
        <f t="shared" si="230"/>
        <v>108</v>
      </c>
      <c r="CX129" s="229">
        <f t="shared" si="231"/>
        <v>0</v>
      </c>
      <c r="CY129" s="229">
        <f t="shared" si="232"/>
        <v>20</v>
      </c>
      <c r="CZ129" s="229">
        <f t="shared" si="233"/>
        <v>0</v>
      </c>
      <c r="DA129" s="229">
        <f t="shared" si="234"/>
        <v>100</v>
      </c>
      <c r="DB129" s="228">
        <f t="shared" si="214"/>
        <v>417.6</v>
      </c>
      <c r="DC129" s="229"/>
      <c r="DD129" s="229"/>
      <c r="DE129" s="229"/>
      <c r="DF129" s="229"/>
      <c r="DG129" s="229"/>
      <c r="DH129" s="229"/>
      <c r="DI129" s="229"/>
      <c r="DJ129" s="229"/>
      <c r="DK129" s="229"/>
      <c r="DL129" s="229"/>
      <c r="DM129" s="229"/>
      <c r="DN129" s="229"/>
      <c r="DO129" s="228">
        <f t="shared" si="215"/>
        <v>0</v>
      </c>
      <c r="DP129" s="228">
        <f t="shared" si="216"/>
        <v>417.6</v>
      </c>
      <c r="DQ129" s="229">
        <f t="shared" si="235"/>
        <v>0</v>
      </c>
      <c r="DR129" s="229">
        <f t="shared" si="236"/>
        <v>0</v>
      </c>
      <c r="DS129" s="229">
        <f t="shared" si="237"/>
        <v>0</v>
      </c>
      <c r="DT129" s="229">
        <f t="shared" si="238"/>
        <v>0</v>
      </c>
      <c r="DU129" s="229">
        <f t="shared" si="239"/>
        <v>0</v>
      </c>
      <c r="DV129" s="229">
        <f t="shared" si="240"/>
        <v>0</v>
      </c>
      <c r="DW129" s="229">
        <f t="shared" si="241"/>
        <v>0</v>
      </c>
      <c r="DX129" s="228">
        <f t="shared" si="217"/>
        <v>0</v>
      </c>
      <c r="DY129" s="229"/>
      <c r="DZ129" s="229"/>
      <c r="EA129" s="229"/>
      <c r="EB129" s="229"/>
      <c r="EC129" s="229"/>
      <c r="ED129" s="229"/>
      <c r="EE129" s="229"/>
      <c r="EF129" s="228">
        <f t="shared" si="220"/>
        <v>0</v>
      </c>
      <c r="EG129" s="228">
        <f t="shared" si="218"/>
        <v>0</v>
      </c>
      <c r="EH129" s="229">
        <f t="shared" si="221"/>
        <v>81.25</v>
      </c>
      <c r="EI129" s="229">
        <v>0</v>
      </c>
      <c r="EJ129" s="228">
        <f t="shared" si="308"/>
        <v>81.25</v>
      </c>
      <c r="EK129" s="229"/>
      <c r="EL129" s="229"/>
      <c r="EM129" s="228">
        <f t="shared" si="372"/>
        <v>0</v>
      </c>
      <c r="EN129" s="229">
        <f t="shared" si="361"/>
        <v>81.25</v>
      </c>
      <c r="EO129" s="229">
        <f>EI129</f>
        <v>0</v>
      </c>
      <c r="EP129" s="228">
        <f>EM129+EJ129</f>
        <v>81.25</v>
      </c>
      <c r="EQ129" s="173">
        <f t="shared" si="222"/>
        <v>0</v>
      </c>
      <c r="ER129" s="189">
        <v>0</v>
      </c>
      <c r="ES129" s="189">
        <v>31.1</v>
      </c>
      <c r="ET129" s="189">
        <v>12.5</v>
      </c>
      <c r="EU129" s="189">
        <v>36</v>
      </c>
      <c r="EV129" s="189">
        <v>0</v>
      </c>
      <c r="EW129" s="189">
        <v>110</v>
      </c>
      <c r="EX129" s="189">
        <v>0</v>
      </c>
      <c r="EY129" s="189">
        <v>108</v>
      </c>
      <c r="EZ129" s="189">
        <v>0</v>
      </c>
      <c r="FA129" s="189">
        <v>20</v>
      </c>
      <c r="FB129" s="189">
        <v>0</v>
      </c>
      <c r="FC129" s="189">
        <v>100</v>
      </c>
      <c r="FD129" s="189">
        <v>0</v>
      </c>
      <c r="FE129" s="189">
        <v>0</v>
      </c>
      <c r="FF129" s="189">
        <v>0</v>
      </c>
      <c r="FG129" s="189">
        <v>0</v>
      </c>
      <c r="FH129" s="189">
        <v>0</v>
      </c>
      <c r="FI129" s="189">
        <v>0</v>
      </c>
      <c r="FJ129" s="189">
        <v>0</v>
      </c>
      <c r="FK129" s="189">
        <v>417.6</v>
      </c>
      <c r="FL129" s="189">
        <v>372</v>
      </c>
      <c r="FN129" s="132">
        <v>81.25</v>
      </c>
    </row>
    <row r="130" spans="1:170" ht="45">
      <c r="A130" s="88">
        <f>COUNTIF($H$12:H130,H130)</f>
        <v>31</v>
      </c>
      <c r="B130" s="88" t="s">
        <v>1994</v>
      </c>
      <c r="C130" s="88" t="s">
        <v>2601</v>
      </c>
      <c r="D130" s="88"/>
      <c r="E130" s="88"/>
      <c r="F130" s="301" t="s">
        <v>3152</v>
      </c>
      <c r="G130" s="303" t="s">
        <v>1651</v>
      </c>
      <c r="H130" s="88">
        <v>2</v>
      </c>
      <c r="I130" s="88">
        <v>2</v>
      </c>
      <c r="J130" s="88">
        <v>2</v>
      </c>
      <c r="K130" s="90" t="s">
        <v>1614</v>
      </c>
      <c r="L130" s="90" t="s">
        <v>1614</v>
      </c>
      <c r="M130" s="214"/>
      <c r="N130" s="88" t="s">
        <v>605</v>
      </c>
      <c r="O130" s="216">
        <f t="shared" si="317"/>
        <v>6.2</v>
      </c>
      <c r="P130" s="88" t="str">
        <f t="shared" si="382"/>
        <v>B1_6</v>
      </c>
      <c r="Q130" s="88">
        <f t="shared" si="331"/>
        <v>270</v>
      </c>
      <c r="R130" s="88">
        <f t="shared" si="332"/>
        <v>170</v>
      </c>
      <c r="S130" s="231" t="s">
        <v>3169</v>
      </c>
      <c r="T130" s="88" t="s">
        <v>3092</v>
      </c>
      <c r="U130" s="88">
        <f>IF(RIGHT(T130,1)="K",(VLOOKUP(T130,ma_miengiam!$A$3:$B$80,2,0)*100)/2,VLOOKUP(T130,ma_miengiam!$A$3:$B$80,2,0)*100)</f>
        <v>25</v>
      </c>
      <c r="V130" s="88"/>
      <c r="W130" s="220">
        <f>IF(AND(T130="NTS",V130&gt;0),(Q130-(Q130*V130)/12)*VLOOKUP(T130,ma_miengiam!$A$3:$B$80,2,0)+(Q130-(Q130*(12-V130))/12),IF(AND(RIGHT(T130,1)="K",V130&gt;0),(VLOOKUP(T130,ma_miengiam!$A$3:$B$80,2,0)/2)*(Q130*V130)/12,IF(RIGHT(T130,1)="K",(VLOOKUP(T130,ma_miengiam!$A$3:$B$80,2,0)*Q130)/2,IF(V130&gt;0,VLOOKUP(T130,ma_miengiam!$A$3:$B$80,2,0)*Q130*V130/12,VLOOKUP(T130,ma_miengiam!$A$3:$B$80,2,0)*Q130))))</f>
        <v>67.5</v>
      </c>
      <c r="X130" s="220">
        <f>IF(T130="NTS",VLOOKUP(T130,ma_miengiam!$A$3:$B$80,2,0)*R130*V130,IF(AND(T130="NTS",V130=0),0,IF(AND(LEFT(T130,1)="K",V130=0),VLOOKUP(T130,ma_miengiam!$A$3:$B$80,2,0)*R130,IF(LEFT(T130,1)="K",(VLOOKUP(T130,ma_miengiam!$A$3:$B$80,2,0)*R130/12)*V130,IF(AND(LEFT(T130,1)="S",V130&gt;0),(R130/12)*V130,IF(AND(LEFT(T130,1)="S",V130=0),R130,IF(T130="DH",VLOOKUP(T130,ma_miengiam!$A$3:$B$80,2,0)*R130,0)))))))</f>
        <v>0</v>
      </c>
      <c r="Y130" s="220">
        <f t="shared" si="336"/>
        <v>202.5</v>
      </c>
      <c r="Z130" s="220">
        <f t="shared" si="337"/>
        <v>170</v>
      </c>
      <c r="AA130" s="220">
        <f t="shared" si="390"/>
        <v>270</v>
      </c>
      <c r="AB130" s="220">
        <f t="shared" si="390"/>
        <v>170</v>
      </c>
      <c r="AC130" s="220">
        <f t="shared" si="391"/>
        <v>67.5</v>
      </c>
      <c r="AD130" s="220">
        <f t="shared" si="391"/>
        <v>0</v>
      </c>
      <c r="AE130" s="220">
        <f t="shared" si="391"/>
        <v>202.5</v>
      </c>
      <c r="AF130" s="220">
        <f t="shared" si="391"/>
        <v>170</v>
      </c>
      <c r="AG130" s="220">
        <f t="shared" si="392"/>
        <v>227.49</v>
      </c>
      <c r="AH130" s="220">
        <f t="shared" si="393"/>
        <v>0</v>
      </c>
      <c r="AI130" s="220">
        <f t="shared" si="394"/>
        <v>227.49</v>
      </c>
      <c r="AJ130" s="220">
        <f t="shared" si="380"/>
        <v>0</v>
      </c>
      <c r="AK130" s="216">
        <f t="shared" si="247"/>
        <v>202.5</v>
      </c>
      <c r="AL130" s="220">
        <f t="shared" si="248"/>
        <v>396.4</v>
      </c>
      <c r="AM130" s="220">
        <f t="shared" si="249"/>
        <v>92.6</v>
      </c>
      <c r="AN130" s="221">
        <f t="shared" si="250"/>
        <v>489</v>
      </c>
      <c r="AO130" s="220">
        <f t="shared" si="251"/>
        <v>0</v>
      </c>
      <c r="AP130" s="220">
        <f t="shared" si="252"/>
        <v>0</v>
      </c>
      <c r="AQ130" s="220">
        <f t="shared" si="253"/>
        <v>120</v>
      </c>
      <c r="AR130" s="220">
        <f t="shared" si="254"/>
        <v>0</v>
      </c>
      <c r="AS130" s="220">
        <f t="shared" si="255"/>
        <v>0</v>
      </c>
      <c r="AT130" s="216">
        <f t="shared" si="256"/>
        <v>609</v>
      </c>
      <c r="AU130" s="222">
        <f t="shared" si="395"/>
        <v>286.5</v>
      </c>
      <c r="AV130" s="220"/>
      <c r="AW130" s="220">
        <f t="shared" si="350"/>
        <v>286.5</v>
      </c>
      <c r="AX130" s="216">
        <f t="shared" si="265"/>
        <v>0</v>
      </c>
      <c r="AY130" s="220">
        <f t="shared" si="362"/>
        <v>0</v>
      </c>
      <c r="AZ130" s="220">
        <f t="shared" si="363"/>
        <v>0</v>
      </c>
      <c r="BA130" s="220">
        <f t="shared" si="364"/>
        <v>120</v>
      </c>
      <c r="BB130" s="220">
        <f t="shared" si="365"/>
        <v>0</v>
      </c>
      <c r="BC130" s="220">
        <f t="shared" si="366"/>
        <v>0</v>
      </c>
      <c r="BD130" s="216">
        <f t="shared" si="375"/>
        <v>120</v>
      </c>
      <c r="BE130" s="220">
        <f t="shared" si="351"/>
        <v>0</v>
      </c>
      <c r="BF130" s="220">
        <f t="shared" si="352"/>
        <v>0</v>
      </c>
      <c r="BG130" s="220">
        <f t="shared" si="353"/>
        <v>0</v>
      </c>
      <c r="BH130" s="220">
        <f t="shared" si="354"/>
        <v>0</v>
      </c>
      <c r="BI130" s="220">
        <f t="shared" si="355"/>
        <v>0</v>
      </c>
      <c r="BJ130" s="220" t="s">
        <v>1171</v>
      </c>
      <c r="BK130" s="220"/>
      <c r="BL130" s="223">
        <f t="shared" si="257"/>
        <v>286.5</v>
      </c>
      <c r="BM130" s="220">
        <v>6.2</v>
      </c>
      <c r="BN130" s="220"/>
      <c r="BO130" s="220">
        <f t="shared" si="383"/>
        <v>6.2</v>
      </c>
      <c r="BP130" s="220">
        <f>IF(AND(BL130&gt;0,BL130&lt;tiet!$D$1),BL130,IF(BL130&lt;=0,0,IF(BL130&gt;tiet!$C$1,tiet!$C$1)))</f>
        <v>200</v>
      </c>
      <c r="BQ130" s="87">
        <f t="shared" si="376"/>
        <v>75000</v>
      </c>
      <c r="BR130" s="224">
        <f t="shared" si="377"/>
        <v>15000000</v>
      </c>
      <c r="BS130" s="220">
        <f t="shared" si="219"/>
        <v>86.5</v>
      </c>
      <c r="BT130" s="224">
        <f>VLOOKUP(N130,ma_dinhmuc!$A$1:$J$31,10,0)</f>
        <v>65000</v>
      </c>
      <c r="BU130" s="224">
        <f>ROUND(IF(BS130&gt;0,VLOOKUP(N130,ma_dinhmuc!$A$1:$J$31,10,0)*BS130,0),0)</f>
        <v>5622500</v>
      </c>
      <c r="BV130" s="224">
        <f t="shared" si="378"/>
        <v>20622500</v>
      </c>
      <c r="BW130" s="224"/>
      <c r="BX130" s="224">
        <v>0</v>
      </c>
      <c r="BY130" s="224"/>
      <c r="BZ130" s="224"/>
      <c r="CA130" s="224"/>
      <c r="CB130" s="224"/>
      <c r="CC130" s="225">
        <f t="shared" si="384"/>
        <v>20622500</v>
      </c>
      <c r="CD130" s="224">
        <f t="shared" si="385"/>
        <v>0</v>
      </c>
      <c r="CE130" s="224"/>
      <c r="CF130" s="226"/>
      <c r="CG130" s="87"/>
      <c r="CH130" s="87">
        <f t="shared" si="381"/>
        <v>31</v>
      </c>
      <c r="CI130" s="227" t="str">
        <f t="shared" si="340"/>
        <v>Đặng Thuý</v>
      </c>
      <c r="CJ130" s="227" t="str">
        <f t="shared" si="341"/>
        <v>Nhung</v>
      </c>
      <c r="CK130" s="87">
        <f t="shared" si="396"/>
        <v>2</v>
      </c>
      <c r="CL130" s="227" t="str">
        <f t="shared" si="371"/>
        <v>Dinh dưỡng và Thức ăn</v>
      </c>
      <c r="CM130" s="87" t="str">
        <f t="shared" si="358"/>
        <v>CS4</v>
      </c>
      <c r="CN130" s="87">
        <f t="shared" si="386"/>
        <v>270</v>
      </c>
      <c r="CO130" s="87">
        <f t="shared" si="387"/>
        <v>170</v>
      </c>
      <c r="CP130" s="229">
        <f t="shared" si="223"/>
        <v>0</v>
      </c>
      <c r="CQ130" s="229">
        <f t="shared" si="224"/>
        <v>39</v>
      </c>
      <c r="CR130" s="229">
        <f t="shared" si="225"/>
        <v>15.7</v>
      </c>
      <c r="CS130" s="229">
        <f t="shared" si="226"/>
        <v>36</v>
      </c>
      <c r="CT130" s="229">
        <f t="shared" si="227"/>
        <v>0</v>
      </c>
      <c r="CU130" s="229">
        <f t="shared" si="228"/>
        <v>189.7</v>
      </c>
      <c r="CV130" s="229">
        <f t="shared" si="229"/>
        <v>0</v>
      </c>
      <c r="CW130" s="229">
        <f t="shared" si="230"/>
        <v>116</v>
      </c>
      <c r="CX130" s="229">
        <f t="shared" si="231"/>
        <v>0</v>
      </c>
      <c r="CY130" s="229">
        <f t="shared" si="232"/>
        <v>0</v>
      </c>
      <c r="CZ130" s="229">
        <f t="shared" si="233"/>
        <v>0</v>
      </c>
      <c r="DA130" s="229">
        <f t="shared" si="234"/>
        <v>120</v>
      </c>
      <c r="DB130" s="228">
        <f t="shared" si="214"/>
        <v>516.4</v>
      </c>
      <c r="DC130" s="229"/>
      <c r="DD130" s="229"/>
      <c r="DE130" s="229"/>
      <c r="DF130" s="229"/>
      <c r="DG130" s="229"/>
      <c r="DH130" s="229"/>
      <c r="DI130" s="229"/>
      <c r="DJ130" s="229"/>
      <c r="DK130" s="229"/>
      <c r="DL130" s="229"/>
      <c r="DM130" s="229"/>
      <c r="DN130" s="229"/>
      <c r="DO130" s="228">
        <f t="shared" si="215"/>
        <v>0</v>
      </c>
      <c r="DP130" s="228">
        <f t="shared" si="216"/>
        <v>516.4</v>
      </c>
      <c r="DQ130" s="229">
        <f t="shared" si="235"/>
        <v>90</v>
      </c>
      <c r="DR130" s="229">
        <f t="shared" si="236"/>
        <v>2</v>
      </c>
      <c r="DS130" s="229">
        <f t="shared" si="237"/>
        <v>0</v>
      </c>
      <c r="DT130" s="229">
        <f t="shared" si="238"/>
        <v>0.6</v>
      </c>
      <c r="DU130" s="229">
        <f t="shared" si="239"/>
        <v>0</v>
      </c>
      <c r="DV130" s="229">
        <f t="shared" si="240"/>
        <v>0</v>
      </c>
      <c r="DW130" s="229">
        <f t="shared" si="241"/>
        <v>0</v>
      </c>
      <c r="DX130" s="228">
        <f t="shared" si="217"/>
        <v>92.6</v>
      </c>
      <c r="DY130" s="229"/>
      <c r="DZ130" s="229"/>
      <c r="EA130" s="229"/>
      <c r="EB130" s="229"/>
      <c r="EC130" s="229"/>
      <c r="ED130" s="229"/>
      <c r="EE130" s="229"/>
      <c r="EF130" s="228">
        <f t="shared" si="220"/>
        <v>0</v>
      </c>
      <c r="EG130" s="228">
        <f t="shared" si="218"/>
        <v>92.6</v>
      </c>
      <c r="EH130" s="229">
        <f t="shared" si="221"/>
        <v>227.49</v>
      </c>
      <c r="EI130" s="229">
        <v>0</v>
      </c>
      <c r="EJ130" s="228">
        <f t="shared" si="308"/>
        <v>227.49</v>
      </c>
      <c r="EK130" s="229"/>
      <c r="EL130" s="229"/>
      <c r="EM130" s="228">
        <f t="shared" si="372"/>
        <v>0</v>
      </c>
      <c r="EN130" s="229">
        <f t="shared" si="361"/>
        <v>227.49</v>
      </c>
      <c r="EO130" s="229">
        <f t="shared" si="388"/>
        <v>0</v>
      </c>
      <c r="EP130" s="228">
        <f t="shared" si="345"/>
        <v>227.49</v>
      </c>
      <c r="EQ130" s="173">
        <f t="shared" si="222"/>
        <v>57.490000000000009</v>
      </c>
      <c r="ER130" s="189">
        <v>0</v>
      </c>
      <c r="ES130" s="189">
        <v>39</v>
      </c>
      <c r="ET130" s="189">
        <v>15.7</v>
      </c>
      <c r="EU130" s="189">
        <v>36</v>
      </c>
      <c r="EV130" s="189">
        <v>0</v>
      </c>
      <c r="EW130" s="189">
        <v>189.7</v>
      </c>
      <c r="EX130" s="189">
        <v>0</v>
      </c>
      <c r="EY130" s="189">
        <v>116</v>
      </c>
      <c r="EZ130" s="189">
        <v>0</v>
      </c>
      <c r="FA130" s="189">
        <v>0</v>
      </c>
      <c r="FB130" s="189">
        <v>0</v>
      </c>
      <c r="FC130" s="189">
        <v>120</v>
      </c>
      <c r="FD130" s="189">
        <v>90</v>
      </c>
      <c r="FE130" s="189">
        <v>2</v>
      </c>
      <c r="FF130" s="189">
        <v>0</v>
      </c>
      <c r="FG130" s="189">
        <v>0.6</v>
      </c>
      <c r="FH130" s="189">
        <v>0</v>
      </c>
      <c r="FI130" s="189">
        <v>0</v>
      </c>
      <c r="FJ130" s="189">
        <v>0</v>
      </c>
      <c r="FK130" s="189">
        <v>609</v>
      </c>
      <c r="FL130" s="189">
        <v>518</v>
      </c>
      <c r="FN130" s="132">
        <v>227.49</v>
      </c>
    </row>
    <row r="131" spans="1:170" ht="45">
      <c r="A131" s="88">
        <f>COUNTIF($H$12:H131,H131)</f>
        <v>32</v>
      </c>
      <c r="B131" s="88" t="s">
        <v>1995</v>
      </c>
      <c r="C131" s="88" t="s">
        <v>2602</v>
      </c>
      <c r="D131" s="88"/>
      <c r="E131" s="88"/>
      <c r="F131" s="301" t="s">
        <v>3153</v>
      </c>
      <c r="G131" s="89" t="s">
        <v>3154</v>
      </c>
      <c r="H131" s="88">
        <v>2</v>
      </c>
      <c r="I131" s="88"/>
      <c r="J131" s="88">
        <v>2</v>
      </c>
      <c r="K131" s="90"/>
      <c r="L131" s="90" t="s">
        <v>1614</v>
      </c>
      <c r="M131" s="214"/>
      <c r="N131" s="88" t="s">
        <v>606</v>
      </c>
      <c r="O131" s="216">
        <f t="shared" si="317"/>
        <v>5.42</v>
      </c>
      <c r="P131" s="88" t="str">
        <f t="shared" si="382"/>
        <v>B1_6</v>
      </c>
      <c r="Q131" s="88">
        <f t="shared" si="331"/>
        <v>270</v>
      </c>
      <c r="R131" s="88">
        <f t="shared" si="332"/>
        <v>170</v>
      </c>
      <c r="S131" s="230" t="s">
        <v>3167</v>
      </c>
      <c r="T131" s="88" t="s">
        <v>3090</v>
      </c>
      <c r="U131" s="88">
        <f>IF(RIGHT(T131,1)="K",(VLOOKUP(T131,ma_miengiam!$A$3:$B$80,2,0)*100)/2,VLOOKUP(T131,ma_miengiam!$A$3:$B$80,2,0)*100)</f>
        <v>15</v>
      </c>
      <c r="V131" s="88">
        <v>1</v>
      </c>
      <c r="W131" s="220">
        <f>IF(AND(T131="NTS",V131&gt;0),(Q131-(Q131*V131)/12)*VLOOKUP(T131,ma_miengiam!$A$3:$B$80,2,0)+(Q131-(Q131*(12-V131))/12),IF(AND(RIGHT(T131,1)="K",V131&gt;0),(VLOOKUP(T131,ma_miengiam!$A$3:$B$80,2,0)/2)*(Q131*V131)/12,IF(RIGHT(T131,1)="K",(VLOOKUP(T131,ma_miengiam!$A$3:$B$80,2,0)*Q131)/2,IF(V131&gt;0,VLOOKUP(T131,ma_miengiam!$A$3:$B$80,2,0)*Q131*V131/12,VLOOKUP(T131,ma_miengiam!$A$3:$B$80,2,0)*Q131))))</f>
        <v>3.375</v>
      </c>
      <c r="X131" s="220">
        <f>IF(T131="NTS",VLOOKUP(T131,ma_miengiam!$A$3:$B$80,2,0)*R131*V131,IF(AND(T131="NTS",V131=0),0,IF(AND(LEFT(T131,1)="K",V131=0),VLOOKUP(T131,ma_miengiam!$A$3:$B$80,2,0)*R131,IF(LEFT(T131,1)="K",(VLOOKUP(T131,ma_miengiam!$A$3:$B$80,2,0)*R131/12)*V131,IF(AND(LEFT(T131,1)="S",V131&gt;0),(R131/12)*V131,IF(AND(LEFT(T131,1)="S",V131=0),R131,IF(T131="DH",VLOOKUP(T131,ma_miengiam!$A$3:$B$80,2,0)*R131,0)))))))</f>
        <v>0</v>
      </c>
      <c r="Y131" s="220">
        <f t="shared" si="336"/>
        <v>19.125</v>
      </c>
      <c r="Z131" s="220">
        <f t="shared" si="337"/>
        <v>14.166666666666666</v>
      </c>
      <c r="AA131" s="220"/>
      <c r="AB131" s="220"/>
      <c r="AC131" s="220"/>
      <c r="AD131" s="220"/>
      <c r="AE131" s="220"/>
      <c r="AF131" s="220"/>
      <c r="AG131" s="220"/>
      <c r="AH131" s="220"/>
      <c r="AI131" s="220"/>
      <c r="AJ131" s="220"/>
      <c r="AK131" s="216"/>
      <c r="AL131" s="220"/>
      <c r="AM131" s="220"/>
      <c r="AN131" s="221"/>
      <c r="AO131" s="220"/>
      <c r="AP131" s="220"/>
      <c r="AQ131" s="220"/>
      <c r="AR131" s="220"/>
      <c r="AS131" s="220"/>
      <c r="AT131" s="216"/>
      <c r="AU131" s="222"/>
      <c r="AV131" s="220"/>
      <c r="AW131" s="220"/>
      <c r="AX131" s="216"/>
      <c r="AY131" s="220"/>
      <c r="AZ131" s="220"/>
      <c r="BA131" s="220"/>
      <c r="BB131" s="220"/>
      <c r="BC131" s="220"/>
      <c r="BD131" s="216"/>
      <c r="BE131" s="220"/>
      <c r="BF131" s="220"/>
      <c r="BG131" s="220"/>
      <c r="BH131" s="220"/>
      <c r="BI131" s="220"/>
      <c r="BJ131" s="220" t="s">
        <v>1171</v>
      </c>
      <c r="BK131" s="220"/>
      <c r="BL131" s="223">
        <f t="shared" si="257"/>
        <v>0</v>
      </c>
      <c r="BM131" s="220">
        <v>5.42</v>
      </c>
      <c r="BN131" s="220"/>
      <c r="BO131" s="220">
        <f t="shared" si="383"/>
        <v>5.42</v>
      </c>
      <c r="BP131" s="220">
        <f>IF(AND(BL131&gt;0,BL131&lt;tiet!$D$1),BL131,IF(BL131&lt;=0,0,IF(BL131&gt;tiet!$C$1,tiet!$C$1)))</f>
        <v>0</v>
      </c>
      <c r="BQ131" s="87">
        <f t="shared" si="376"/>
        <v>75000</v>
      </c>
      <c r="BR131" s="224">
        <f t="shared" si="377"/>
        <v>0</v>
      </c>
      <c r="BS131" s="220">
        <f t="shared" si="219"/>
        <v>0</v>
      </c>
      <c r="BT131" s="224">
        <f>VLOOKUP(N131,ma_dinhmuc!$A$1:$J$31,10,0)</f>
        <v>55000</v>
      </c>
      <c r="BU131" s="224">
        <f>ROUND(IF(BS131&gt;0,VLOOKUP(N131,ma_dinhmuc!$A$1:$J$31,10,0)*BS131,0),0)</f>
        <v>0</v>
      </c>
      <c r="BV131" s="224">
        <f t="shared" si="378"/>
        <v>0</v>
      </c>
      <c r="BW131" s="224"/>
      <c r="BX131" s="224">
        <v>0</v>
      </c>
      <c r="BY131" s="224"/>
      <c r="BZ131" s="224"/>
      <c r="CA131" s="224"/>
      <c r="CB131" s="224"/>
      <c r="CC131" s="225">
        <f t="shared" si="384"/>
        <v>0</v>
      </c>
      <c r="CD131" s="224">
        <f t="shared" si="385"/>
        <v>0</v>
      </c>
      <c r="CE131" s="224"/>
      <c r="CF131" s="226"/>
      <c r="CG131" s="87"/>
      <c r="CH131" s="87">
        <f t="shared" si="381"/>
        <v>32</v>
      </c>
      <c r="CI131" s="227" t="str">
        <f t="shared" si="340"/>
        <v>Nguyễn Thị Tuyết</v>
      </c>
      <c r="CJ131" s="227" t="str">
        <f t="shared" si="341"/>
        <v>Lê</v>
      </c>
      <c r="CK131" s="87">
        <f t="shared" si="396"/>
        <v>2</v>
      </c>
      <c r="CL131" s="227" t="str">
        <f t="shared" ref="CL131:CL140" si="397">L131</f>
        <v>Dinh dưỡng và Thức ăn</v>
      </c>
      <c r="CM131" s="87" t="str">
        <f t="shared" si="358"/>
        <v>CS3</v>
      </c>
      <c r="CN131" s="87">
        <f t="shared" si="386"/>
        <v>270</v>
      </c>
      <c r="CO131" s="87">
        <f t="shared" si="387"/>
        <v>170</v>
      </c>
      <c r="CP131" s="229">
        <f t="shared" si="223"/>
        <v>0</v>
      </c>
      <c r="CQ131" s="229">
        <f t="shared" si="224"/>
        <v>0</v>
      </c>
      <c r="CR131" s="229">
        <f t="shared" si="225"/>
        <v>0</v>
      </c>
      <c r="CS131" s="229">
        <f t="shared" si="226"/>
        <v>0</v>
      </c>
      <c r="CT131" s="229">
        <f t="shared" si="227"/>
        <v>0</v>
      </c>
      <c r="CU131" s="229">
        <f t="shared" si="228"/>
        <v>0</v>
      </c>
      <c r="CV131" s="229">
        <f t="shared" si="229"/>
        <v>0</v>
      </c>
      <c r="CW131" s="229">
        <f t="shared" si="230"/>
        <v>0</v>
      </c>
      <c r="CX131" s="229">
        <f t="shared" si="231"/>
        <v>0</v>
      </c>
      <c r="CY131" s="229">
        <f t="shared" si="232"/>
        <v>0</v>
      </c>
      <c r="CZ131" s="229">
        <f t="shared" si="233"/>
        <v>0</v>
      </c>
      <c r="DA131" s="229">
        <f t="shared" si="234"/>
        <v>0</v>
      </c>
      <c r="DB131" s="228">
        <f t="shared" si="214"/>
        <v>0</v>
      </c>
      <c r="DC131" s="229"/>
      <c r="DD131" s="229"/>
      <c r="DE131" s="229"/>
      <c r="DF131" s="229"/>
      <c r="DG131" s="229"/>
      <c r="DH131" s="229"/>
      <c r="DI131" s="229"/>
      <c r="DJ131" s="229"/>
      <c r="DK131" s="229"/>
      <c r="DL131" s="229"/>
      <c r="DM131" s="229"/>
      <c r="DN131" s="229"/>
      <c r="DO131" s="228">
        <f t="shared" si="215"/>
        <v>0</v>
      </c>
      <c r="DP131" s="228">
        <f t="shared" si="216"/>
        <v>0</v>
      </c>
      <c r="DQ131" s="229">
        <f t="shared" si="235"/>
        <v>0</v>
      </c>
      <c r="DR131" s="229">
        <f t="shared" si="236"/>
        <v>0</v>
      </c>
      <c r="DS131" s="229">
        <f t="shared" si="237"/>
        <v>0</v>
      </c>
      <c r="DT131" s="229">
        <f t="shared" si="238"/>
        <v>0</v>
      </c>
      <c r="DU131" s="229">
        <f t="shared" si="239"/>
        <v>0</v>
      </c>
      <c r="DV131" s="229">
        <f t="shared" si="240"/>
        <v>0</v>
      </c>
      <c r="DW131" s="229">
        <f t="shared" si="241"/>
        <v>0</v>
      </c>
      <c r="DX131" s="228">
        <f t="shared" si="217"/>
        <v>0</v>
      </c>
      <c r="DY131" s="229"/>
      <c r="DZ131" s="229"/>
      <c r="EA131" s="229"/>
      <c r="EB131" s="229"/>
      <c r="EC131" s="229"/>
      <c r="ED131" s="229"/>
      <c r="EE131" s="229"/>
      <c r="EF131" s="228">
        <f t="shared" si="220"/>
        <v>0</v>
      </c>
      <c r="EG131" s="228">
        <f t="shared" si="218"/>
        <v>0</v>
      </c>
      <c r="EH131" s="229">
        <f t="shared" si="221"/>
        <v>0</v>
      </c>
      <c r="EI131" s="229">
        <v>0</v>
      </c>
      <c r="EJ131" s="228">
        <f t="shared" si="308"/>
        <v>0</v>
      </c>
      <c r="EK131" s="229"/>
      <c r="EL131" s="229"/>
      <c r="EM131" s="228">
        <f t="shared" ref="EM131:EM167" si="398">SUM(EK131:EL131)</f>
        <v>0</v>
      </c>
      <c r="EN131" s="229">
        <f t="shared" si="361"/>
        <v>0</v>
      </c>
      <c r="EO131" s="229">
        <f t="shared" si="388"/>
        <v>0</v>
      </c>
      <c r="EP131" s="228">
        <f t="shared" si="345"/>
        <v>0</v>
      </c>
      <c r="EQ131" s="173">
        <f t="shared" si="222"/>
        <v>0</v>
      </c>
      <c r="ER131" s="189">
        <v>0</v>
      </c>
      <c r="ES131" s="189">
        <v>0</v>
      </c>
      <c r="ET131" s="189">
        <v>0</v>
      </c>
      <c r="EU131" s="189">
        <v>0</v>
      </c>
      <c r="EV131" s="189">
        <v>0</v>
      </c>
      <c r="EW131" s="189">
        <v>0</v>
      </c>
      <c r="EX131" s="189">
        <v>0</v>
      </c>
      <c r="EY131" s="189">
        <v>0</v>
      </c>
      <c r="EZ131" s="189">
        <v>0</v>
      </c>
      <c r="FA131" s="189">
        <v>0</v>
      </c>
      <c r="FB131" s="189">
        <v>0</v>
      </c>
      <c r="FC131" s="189">
        <v>0</v>
      </c>
      <c r="FD131" s="189">
        <v>0</v>
      </c>
      <c r="FE131" s="189">
        <v>0</v>
      </c>
      <c r="FF131" s="189">
        <v>0</v>
      </c>
      <c r="FG131" s="189">
        <v>0</v>
      </c>
      <c r="FH131" s="189">
        <v>0</v>
      </c>
      <c r="FI131" s="189">
        <v>0</v>
      </c>
      <c r="FJ131" s="189">
        <v>0</v>
      </c>
      <c r="FK131" s="189">
        <v>0</v>
      </c>
      <c r="FL131" s="189">
        <v>0</v>
      </c>
      <c r="FN131" s="132">
        <v>0</v>
      </c>
    </row>
    <row r="132" spans="1:170" ht="30">
      <c r="A132" s="88">
        <f>COUNTIF($H$12:H132,H132)</f>
        <v>33</v>
      </c>
      <c r="B132" s="88" t="s">
        <v>1995</v>
      </c>
      <c r="C132" s="88" t="s">
        <v>2602</v>
      </c>
      <c r="D132" s="88"/>
      <c r="E132" s="88"/>
      <c r="F132" s="301" t="s">
        <v>3153</v>
      </c>
      <c r="G132" s="89" t="s">
        <v>3154</v>
      </c>
      <c r="H132" s="88">
        <v>2</v>
      </c>
      <c r="I132" s="88"/>
      <c r="J132" s="88">
        <v>2</v>
      </c>
      <c r="K132" s="90"/>
      <c r="L132" s="90" t="s">
        <v>1614</v>
      </c>
      <c r="M132" s="214"/>
      <c r="N132" s="88" t="s">
        <v>606</v>
      </c>
      <c r="O132" s="216">
        <f>BO132</f>
        <v>5.42</v>
      </c>
      <c r="P132" s="88" t="str">
        <f>IF(AND(BO132&gt;=2.34,BO132&lt;3.33),"B1_3",IF(AND(BO132&gt;=3.33,BO132&lt;4.65),"B1_4",IF(AND(BO132&gt;=4.65,BO132&lt;5.42),"B1_5",IF(AND(BO132&gt;=5.42,BO132&lt;6.44),"B1_6",IF(AND(BO132&gt;=6.44,BO132&lt;=6.92),"B1_7","B1_8")))))</f>
        <v>B1_6</v>
      </c>
      <c r="Q132" s="88">
        <f>IF(M132&gt;0,VLOOKUP(P132,ma_dinhmuc_moi,2,0)/2,VLOOKUP(P132,ma_dinhmuc_moi,2,0))</f>
        <v>270</v>
      </c>
      <c r="R132" s="88">
        <f>IF(M132&gt;0,VLOOKUP(P132,ma_dinhmuc_moi,3,0)/2,VLOOKUP(P132,ma_dinhmuc_moi,3,0))</f>
        <v>170</v>
      </c>
      <c r="S132" s="230" t="s">
        <v>3168</v>
      </c>
      <c r="T132" s="88" t="s">
        <v>3091</v>
      </c>
      <c r="U132" s="88">
        <f>IF(RIGHT(T132,1)="K",(VLOOKUP(T132,ma_miengiam!$A$3:$B$80,2,0)*100)/2,VLOOKUP(T132,ma_miengiam!$A$3:$B$80,2,0)*100)</f>
        <v>20</v>
      </c>
      <c r="V132" s="88">
        <v>8</v>
      </c>
      <c r="W132" s="220">
        <f>IF(AND(T132="NTS",V132&gt;0),(Q132-(Q132*V132)/12)*VLOOKUP(T132,ma_miengiam!$A$3:$B$80,2,0)+(Q132-(Q132*(12-V132))/12),IF(AND(RIGHT(T132,1)="K",V132&gt;0),(VLOOKUP(T132,ma_miengiam!$A$3:$B$80,2,0)/2)*(Q132*V132)/12,IF(RIGHT(T132,1)="K",(VLOOKUP(T132,ma_miengiam!$A$3:$B$80,2,0)*Q132)/2,IF(V132&gt;0,VLOOKUP(T132,ma_miengiam!$A$3:$B$80,2,0)*Q132*V132/12,VLOOKUP(T132,ma_miengiam!$A$3:$B$80,2,0)*Q132))))</f>
        <v>36</v>
      </c>
      <c r="X132" s="220">
        <f>IF(T132="NTS",VLOOKUP(T132,ma_miengiam!$A$3:$B$80,2,0)*R132*V132,IF(AND(T132="NTS",V132=0),0,IF(AND(LEFT(T132,1)="K",V132=0),VLOOKUP(T132,ma_miengiam!$A$3:$B$80,2,0)*R132,IF(LEFT(T132,1)="K",(VLOOKUP(T132,ma_miengiam!$A$3:$B$80,2,0)*R132/12)*V132,IF(AND(LEFT(T132,1)="S",V132&gt;0),(R132/12)*V132,IF(AND(LEFT(T132,1)="S",V132=0),R132,IF(T132="DH",VLOOKUP(T132,ma_miengiam!$A$3:$B$80,2,0)*R132,0)))))))</f>
        <v>0</v>
      </c>
      <c r="Y132" s="220">
        <f>IF(AND(T132="DH",V132&gt;0),(S132*V132/12),IF(AND(T132&lt;&gt;"NTS",V132&gt;0),(Q132*V132/12)-W132,IF(AND(T132="NTS",V132&gt;0),Q132-W132,Q132-W132)))</f>
        <v>144</v>
      </c>
      <c r="Z132" s="220">
        <f>IF(AND(T132="SĐH",V132&gt;0),(R132/12)*V132-X132,IF(AND(T132="DH",V132&gt;0),(R132*V132/12),IF(AND(T132&lt;&gt;"NTS",V132&gt;0),(R132*V132/12)-X132,IF(AND(T132="NTS",V132&gt;0),R132-X132,R132-X132))))</f>
        <v>113.33333333333333</v>
      </c>
      <c r="AA132" s="220"/>
      <c r="AB132" s="220"/>
      <c r="AC132" s="220"/>
      <c r="AD132" s="220"/>
      <c r="AE132" s="220"/>
      <c r="AF132" s="220"/>
      <c r="AG132" s="220"/>
      <c r="AH132" s="220"/>
      <c r="AI132" s="220"/>
      <c r="AJ132" s="220"/>
      <c r="AK132" s="216"/>
      <c r="AL132" s="220"/>
      <c r="AM132" s="220"/>
      <c r="AN132" s="221"/>
      <c r="AO132" s="220"/>
      <c r="AP132" s="220"/>
      <c r="AQ132" s="220"/>
      <c r="AR132" s="220"/>
      <c r="AS132" s="220"/>
      <c r="AT132" s="216"/>
      <c r="AU132" s="222"/>
      <c r="AV132" s="220"/>
      <c r="AW132" s="220"/>
      <c r="AX132" s="216"/>
      <c r="AY132" s="220"/>
      <c r="AZ132" s="220"/>
      <c r="BA132" s="220"/>
      <c r="BB132" s="220"/>
      <c r="BC132" s="220"/>
      <c r="BD132" s="216"/>
      <c r="BE132" s="220"/>
      <c r="BF132" s="220"/>
      <c r="BG132" s="220"/>
      <c r="BH132" s="220"/>
      <c r="BI132" s="220"/>
      <c r="BJ132" s="220" t="s">
        <v>1171</v>
      </c>
      <c r="BK132" s="220"/>
      <c r="BL132" s="223">
        <f>IF(AW132&lt;BK132,0,IF(AND(BK132=0,AW132&gt;0),AW132,IF(AW132&lt;0,0,IF(BK132&gt;0,AW132-BK132,IF(BK132&lt;0,0,AW132)))))</f>
        <v>0</v>
      </c>
      <c r="BM132" s="220">
        <v>5.42</v>
      </c>
      <c r="BN132" s="220"/>
      <c r="BO132" s="220">
        <f>ROUND(BM132+(BM132*BN132),2)</f>
        <v>5.42</v>
      </c>
      <c r="BP132" s="220">
        <f>IF(AND(BL132&gt;0,BL132&lt;tiet!$D$1),BL132,IF(BL132&lt;=0,0,IF(BL132&gt;tiet!$C$1,tiet!$C$1)))</f>
        <v>0</v>
      </c>
      <c r="BQ132" s="87">
        <f>VLOOKUP(P132,ma_dinhmuc_moi,4,0)</f>
        <v>75000</v>
      </c>
      <c r="BR132" s="224">
        <f>ROUND(BQ132*BP132,0)</f>
        <v>0</v>
      </c>
      <c r="BS132" s="220">
        <f t="shared" si="219"/>
        <v>0</v>
      </c>
      <c r="BT132" s="224">
        <f>VLOOKUP(N132,ma_dinhmuc!$A$1:$J$31,10,0)</f>
        <v>55000</v>
      </c>
      <c r="BU132" s="224">
        <f>ROUND(IF(BS132&gt;0,VLOOKUP(N132,ma_dinhmuc!$A$1:$J$31,10,0)*BS132,0),0)</f>
        <v>0</v>
      </c>
      <c r="BV132" s="224">
        <f>ROUND(BU132+BR132,0)</f>
        <v>0</v>
      </c>
      <c r="BW132" s="224"/>
      <c r="BX132" s="224">
        <v>0</v>
      </c>
      <c r="BY132" s="224"/>
      <c r="BZ132" s="224"/>
      <c r="CA132" s="224"/>
      <c r="CB132" s="224"/>
      <c r="CC132" s="225">
        <f>ROUND(IF(BV132+BW132&gt;BX132+BY132+BZ132+CA132+CB132,(BW132+BV132)-(BX132+BY132+BZ132+CA132+CB132+CB132),0),0)</f>
        <v>0</v>
      </c>
      <c r="CD132" s="224">
        <f>ROUND(IF(BV132+BW132&lt;BX132+BY132+BZ132+CA132-CB132,(BX132+BY132+BZ132+CA132-CB132)-(BW132+BV132),0),0)</f>
        <v>0</v>
      </c>
      <c r="CE132" s="224"/>
      <c r="CF132" s="226"/>
      <c r="CG132" s="87"/>
      <c r="CH132" s="87">
        <f>A132</f>
        <v>33</v>
      </c>
      <c r="CI132" s="227" t="str">
        <f t="shared" ref="CI132:CK133" si="399">F132</f>
        <v>Nguyễn Thị Tuyết</v>
      </c>
      <c r="CJ132" s="227" t="str">
        <f t="shared" si="399"/>
        <v>Lê</v>
      </c>
      <c r="CK132" s="87">
        <f t="shared" si="399"/>
        <v>2</v>
      </c>
      <c r="CL132" s="227" t="str">
        <f>L132</f>
        <v>Dinh dưỡng và Thức ăn</v>
      </c>
      <c r="CM132" s="87" t="str">
        <f>N132</f>
        <v>CS3</v>
      </c>
      <c r="CN132" s="87">
        <f>Q132</f>
        <v>270</v>
      </c>
      <c r="CO132" s="87">
        <f>R132</f>
        <v>170</v>
      </c>
      <c r="CP132" s="229">
        <f t="shared" si="223"/>
        <v>0</v>
      </c>
      <c r="CQ132" s="229">
        <f t="shared" si="224"/>
        <v>0</v>
      </c>
      <c r="CR132" s="229">
        <f t="shared" si="225"/>
        <v>0</v>
      </c>
      <c r="CS132" s="229">
        <f t="shared" si="226"/>
        <v>0</v>
      </c>
      <c r="CT132" s="229">
        <f t="shared" si="227"/>
        <v>0</v>
      </c>
      <c r="CU132" s="229">
        <f t="shared" si="228"/>
        <v>0</v>
      </c>
      <c r="CV132" s="229">
        <f t="shared" si="229"/>
        <v>0</v>
      </c>
      <c r="CW132" s="229">
        <f t="shared" si="230"/>
        <v>0</v>
      </c>
      <c r="CX132" s="229">
        <f t="shared" si="231"/>
        <v>0</v>
      </c>
      <c r="CY132" s="229">
        <f t="shared" si="232"/>
        <v>0</v>
      </c>
      <c r="CZ132" s="229">
        <f t="shared" si="233"/>
        <v>0</v>
      </c>
      <c r="DA132" s="229">
        <f t="shared" si="234"/>
        <v>0</v>
      </c>
      <c r="DB132" s="228">
        <f>SUM(CP132:DA132)</f>
        <v>0</v>
      </c>
      <c r="DC132" s="229"/>
      <c r="DD132" s="229"/>
      <c r="DE132" s="229"/>
      <c r="DF132" s="229"/>
      <c r="DG132" s="229"/>
      <c r="DH132" s="229"/>
      <c r="DI132" s="229"/>
      <c r="DJ132" s="229"/>
      <c r="DK132" s="229"/>
      <c r="DL132" s="229"/>
      <c r="DM132" s="229"/>
      <c r="DN132" s="229"/>
      <c r="DO132" s="228">
        <f>SUM(DC132:DN132)</f>
        <v>0</v>
      </c>
      <c r="DP132" s="228">
        <f>DO132+DB132</f>
        <v>0</v>
      </c>
      <c r="DQ132" s="229">
        <f t="shared" si="235"/>
        <v>0</v>
      </c>
      <c r="DR132" s="229">
        <f t="shared" si="236"/>
        <v>0</v>
      </c>
      <c r="DS132" s="229">
        <f t="shared" si="237"/>
        <v>0</v>
      </c>
      <c r="DT132" s="229">
        <f t="shared" si="238"/>
        <v>0</v>
      </c>
      <c r="DU132" s="229">
        <f t="shared" si="239"/>
        <v>0</v>
      </c>
      <c r="DV132" s="229">
        <f t="shared" si="240"/>
        <v>0</v>
      </c>
      <c r="DW132" s="229">
        <f t="shared" si="241"/>
        <v>0</v>
      </c>
      <c r="DX132" s="228">
        <f>SUM(DQ132:DW132)</f>
        <v>0</v>
      </c>
      <c r="DY132" s="229"/>
      <c r="DZ132" s="229"/>
      <c r="EA132" s="229"/>
      <c r="EB132" s="229"/>
      <c r="EC132" s="229"/>
      <c r="ED132" s="229"/>
      <c r="EE132" s="229"/>
      <c r="EF132" s="228">
        <f t="shared" si="220"/>
        <v>0</v>
      </c>
      <c r="EG132" s="228">
        <f>EF132+DX132</f>
        <v>0</v>
      </c>
      <c r="EH132" s="229">
        <f t="shared" si="221"/>
        <v>0</v>
      </c>
      <c r="EI132" s="229">
        <v>0</v>
      </c>
      <c r="EJ132" s="228">
        <f t="shared" si="308"/>
        <v>0</v>
      </c>
      <c r="EK132" s="229"/>
      <c r="EL132" s="229"/>
      <c r="EM132" s="228">
        <f>SUM(EK132:EL132)</f>
        <v>0</v>
      </c>
      <c r="EN132" s="229">
        <f>EK132+EH132+EL132</f>
        <v>0</v>
      </c>
      <c r="EO132" s="229">
        <f>EI132</f>
        <v>0</v>
      </c>
      <c r="EP132" s="228">
        <f>EM132+EJ132</f>
        <v>0</v>
      </c>
      <c r="EQ132" s="173">
        <f t="shared" si="222"/>
        <v>0</v>
      </c>
      <c r="ER132" s="189">
        <v>0</v>
      </c>
      <c r="ES132" s="189">
        <v>0</v>
      </c>
      <c r="ET132" s="189">
        <v>0</v>
      </c>
      <c r="EU132" s="189">
        <v>0</v>
      </c>
      <c r="EV132" s="189">
        <v>0</v>
      </c>
      <c r="EW132" s="189">
        <v>0</v>
      </c>
      <c r="EX132" s="189">
        <v>0</v>
      </c>
      <c r="EY132" s="189">
        <v>0</v>
      </c>
      <c r="EZ132" s="189">
        <v>0</v>
      </c>
      <c r="FA132" s="189">
        <v>0</v>
      </c>
      <c r="FB132" s="189">
        <v>0</v>
      </c>
      <c r="FC132" s="189">
        <v>0</v>
      </c>
      <c r="FD132" s="189">
        <v>0</v>
      </c>
      <c r="FE132" s="189">
        <v>0</v>
      </c>
      <c r="FF132" s="189">
        <v>0</v>
      </c>
      <c r="FG132" s="189">
        <v>0</v>
      </c>
      <c r="FH132" s="189">
        <v>0</v>
      </c>
      <c r="FI132" s="189">
        <v>0</v>
      </c>
      <c r="FJ132" s="189">
        <v>0</v>
      </c>
      <c r="FK132" s="189">
        <v>0</v>
      </c>
      <c r="FL132" s="189">
        <v>0</v>
      </c>
      <c r="FN132" s="132">
        <v>0</v>
      </c>
    </row>
    <row r="133" spans="1:170" ht="30">
      <c r="A133" s="88">
        <f>COUNTIF($H$12:H133,H133)</f>
        <v>34</v>
      </c>
      <c r="B133" s="88" t="s">
        <v>1995</v>
      </c>
      <c r="C133" s="88" t="s">
        <v>2602</v>
      </c>
      <c r="D133" s="88"/>
      <c r="E133" s="88"/>
      <c r="F133" s="301" t="s">
        <v>3153</v>
      </c>
      <c r="G133" s="89" t="s">
        <v>3154</v>
      </c>
      <c r="H133" s="88">
        <v>2</v>
      </c>
      <c r="I133" s="88">
        <v>2</v>
      </c>
      <c r="J133" s="88">
        <v>2</v>
      </c>
      <c r="K133" s="90" t="s">
        <v>1614</v>
      </c>
      <c r="L133" s="90" t="s">
        <v>1614</v>
      </c>
      <c r="M133" s="214"/>
      <c r="N133" s="88" t="s">
        <v>606</v>
      </c>
      <c r="O133" s="216">
        <f>BO133</f>
        <v>5.42</v>
      </c>
      <c r="P133" s="88" t="str">
        <f>IF(AND(BO133&gt;=2.34,BO133&lt;3.33),"B1_3",IF(AND(BO133&gt;=3.33,BO133&lt;4.65),"B1_4",IF(AND(BO133&gt;=4.65,BO133&lt;5.42),"B1_5",IF(AND(BO133&gt;=5.42,BO133&lt;6.44),"B1_6",IF(AND(BO133&gt;=6.44,BO133&lt;=6.92),"B1_7","B1_8")))))</f>
        <v>B1_6</v>
      </c>
      <c r="Q133" s="88">
        <f>IF(M133&gt;0,VLOOKUP(P133,ma_dinhmuc_moi,2,0)/2,VLOOKUP(P133,ma_dinhmuc_moi,2,0))</f>
        <v>270</v>
      </c>
      <c r="R133" s="88">
        <f>IF(M133&gt;0,VLOOKUP(P133,ma_dinhmuc_moi,3,0)/2,VLOOKUP(P133,ma_dinhmuc_moi,3,0))</f>
        <v>170</v>
      </c>
      <c r="S133" s="230" t="s">
        <v>3168</v>
      </c>
      <c r="T133" s="88" t="s">
        <v>3091</v>
      </c>
      <c r="U133" s="88">
        <f>IF(RIGHT(T133,1)="K",(VLOOKUP(T133,ma_miengiam!$A$3:$B$80,2,0)*100)/2,VLOOKUP(T133,ma_miengiam!$A$3:$B$80,2,0)*100)</f>
        <v>20</v>
      </c>
      <c r="V133" s="88"/>
      <c r="W133" s="220">
        <f>W132+W131</f>
        <v>39.375</v>
      </c>
      <c r="X133" s="220">
        <f>X132+X131</f>
        <v>0</v>
      </c>
      <c r="Y133" s="220">
        <f>Y132+Y131</f>
        <v>163.125</v>
      </c>
      <c r="Z133" s="220">
        <f>Z132+Z131</f>
        <v>127.5</v>
      </c>
      <c r="AA133" s="220">
        <f>Q133</f>
        <v>270</v>
      </c>
      <c r="AB133" s="220">
        <f>R133</f>
        <v>170</v>
      </c>
      <c r="AC133" s="220">
        <f t="shared" ref="AC133:AF134" si="400">W133</f>
        <v>39.375</v>
      </c>
      <c r="AD133" s="220">
        <f t="shared" si="400"/>
        <v>0</v>
      </c>
      <c r="AE133" s="220">
        <f t="shared" si="400"/>
        <v>163.125</v>
      </c>
      <c r="AF133" s="220">
        <f t="shared" si="400"/>
        <v>127.5</v>
      </c>
      <c r="AG133" s="220">
        <f>AH133+AI133</f>
        <v>63.59</v>
      </c>
      <c r="AH133" s="220">
        <f>EO133</f>
        <v>0</v>
      </c>
      <c r="AI133" s="220">
        <f>EN133</f>
        <v>63.59</v>
      </c>
      <c r="AJ133" s="220">
        <f>IF(AG133-Z133&gt;0,0,AG133-Z133)</f>
        <v>-63.91</v>
      </c>
      <c r="AK133" s="216">
        <f>IF(AJ133&gt;=0,Y133,Y133-AJ133)</f>
        <v>227.035</v>
      </c>
      <c r="AL133" s="220">
        <f>SUM(CP133:CX133)+SUM(DC133:DK133)</f>
        <v>41.6</v>
      </c>
      <c r="AM133" s="220">
        <f>SUM(DQ133:DU133)+SUM(DY133:EC133)</f>
        <v>36.700000000000003</v>
      </c>
      <c r="AN133" s="221">
        <f>AM133+AL133</f>
        <v>78.300000000000011</v>
      </c>
      <c r="AO133" s="220">
        <f>CY133+DL133</f>
        <v>0</v>
      </c>
      <c r="AP133" s="220">
        <f>CZ133+DM133</f>
        <v>0</v>
      </c>
      <c r="AQ133" s="220">
        <f>DA133+DN133</f>
        <v>140</v>
      </c>
      <c r="AR133" s="220">
        <f>DV133+ED133</f>
        <v>0</v>
      </c>
      <c r="AS133" s="220">
        <f>DW133+EE133</f>
        <v>0</v>
      </c>
      <c r="AT133" s="216">
        <f>AN133+SUM(AO133:AS133)</f>
        <v>218.3</v>
      </c>
      <c r="AU133" s="222">
        <f>AN133-AK133</f>
        <v>-148.73499999999999</v>
      </c>
      <c r="AV133" s="220"/>
      <c r="AW133" s="220">
        <f>IF(AU133&gt;0,AU133,AV133+AU133)</f>
        <v>-148.73499999999999</v>
      </c>
      <c r="AX133" s="216">
        <f>IF(AN133&gt;AK133,0,IF(AW133&lt;0,AN133-AK133+AV133,IF(AW133&gt;=0,0)))</f>
        <v>-148.73499999999999</v>
      </c>
      <c r="AY133" s="220">
        <f>IF(AN133&gt;=AK133,AO133,IF(AN133+AO133-AK133&gt;=0,AN133+AO133-AK133,0))</f>
        <v>0</v>
      </c>
      <c r="AZ133" s="220">
        <f>IF(OR(AN133&gt;=AK133,AN133+AO133&gt;=AK133),AP133,IF(AN133+AO133+AP133&gt;AK133,AN133+AO133+AP133-AK133,0))</f>
        <v>0</v>
      </c>
      <c r="BA133" s="220">
        <f>IF(OR(AN133&gt;=AK133,AN133+AO133&gt;=AK133,AN133+AO133+AP133&gt;=AK133),AQ133,IF(AN133+AO133+AP133+AQ133&gt;=AK133,AN133+AO133+AP133+AQ133-AK133,0))</f>
        <v>0</v>
      </c>
      <c r="BB133" s="220">
        <f>IF(OR(AN133&gt;=AK133,AN133+AO133&gt;=AK133,AN133+AO133+AP133&gt;=AK133,AN133+AO133+AP133+AQ133&gt;=AK133),AR133,IF(AN133+AO133+AP133+AQ133+AR133&gt;=AK133,AN133+AO133+AP133+AQ133+AR133-AK133,0))</f>
        <v>0</v>
      </c>
      <c r="BC133" s="220">
        <f>IF(OR(AN133&gt;=AK133,AN133+AO133&gt;=AK133,AN133+AO133+AP133&gt;=AK133,AN133+AO133+AP133+AQ133&gt;=AK133,AN133+AO133+AP133+AQ133+AR133&gt;=AK133),AS133,IF(AN133+AO133+AP133+AQ133+AR133+AS133&gt;=AK133,AN133+AO133+AP133+AQ133+AR133+AS133-AK133,0))</f>
        <v>0</v>
      </c>
      <c r="BD133" s="216">
        <f>SUM(AY133:BC133)</f>
        <v>0</v>
      </c>
      <c r="BE133" s="220">
        <f>AY133-AO133</f>
        <v>0</v>
      </c>
      <c r="BF133" s="220">
        <f>AZ133-AP133</f>
        <v>0</v>
      </c>
      <c r="BG133" s="220">
        <f>BA133-AQ133</f>
        <v>-140</v>
      </c>
      <c r="BH133" s="220">
        <f>BB133-AR133</f>
        <v>0</v>
      </c>
      <c r="BI133" s="220">
        <f>BC133-AS133</f>
        <v>0</v>
      </c>
      <c r="BJ133" s="220" t="s">
        <v>1171</v>
      </c>
      <c r="BK133" s="220"/>
      <c r="BL133" s="223">
        <f>IF(AW133&lt;BK133,0,IF(AND(BK133=0,AW133&gt;0),AW133,IF(AW133&lt;0,0,IF(BK133&gt;0,AW133-BK133,IF(BK133&lt;0,0,AW133)))))</f>
        <v>0</v>
      </c>
      <c r="BM133" s="220">
        <v>5.42</v>
      </c>
      <c r="BN133" s="220"/>
      <c r="BO133" s="220">
        <f>ROUND(BM133+(BM133*BN133),2)</f>
        <v>5.42</v>
      </c>
      <c r="BP133" s="220">
        <f>IF(AND(BL133&gt;0,BL133&lt;tiet!$D$1),BL133,IF(BL133&lt;=0,0,IF(BL133&gt;tiet!$C$1,tiet!$C$1)))</f>
        <v>0</v>
      </c>
      <c r="BQ133" s="87">
        <f>VLOOKUP(P133,ma_dinhmuc_moi,4,0)</f>
        <v>75000</v>
      </c>
      <c r="BR133" s="224">
        <f>ROUND(BQ133*BP133,0)</f>
        <v>0</v>
      </c>
      <c r="BS133" s="220">
        <f t="shared" si="219"/>
        <v>0</v>
      </c>
      <c r="BT133" s="224">
        <f>VLOOKUP(N133,ma_dinhmuc!$A$1:$J$31,10,0)</f>
        <v>55000</v>
      </c>
      <c r="BU133" s="224">
        <f>ROUND(IF(BS133&gt;0,VLOOKUP(N133,ma_dinhmuc!$A$1:$J$31,10,0)*BS133,0),0)</f>
        <v>0</v>
      </c>
      <c r="BV133" s="224">
        <f>ROUND(BU133+BR133,0)</f>
        <v>0</v>
      </c>
      <c r="BW133" s="224"/>
      <c r="BX133" s="224">
        <v>0</v>
      </c>
      <c r="BY133" s="224"/>
      <c r="BZ133" s="224"/>
      <c r="CA133" s="224"/>
      <c r="CB133" s="224"/>
      <c r="CC133" s="225">
        <f>ROUND(IF(BV133+BW133&gt;BX133+BY133+BZ133+CA133+CB133,(BW133+BV133)-(BX133+BY133+BZ133+CA133+CB133+CB133),0),0)</f>
        <v>0</v>
      </c>
      <c r="CD133" s="224">
        <f>ROUND(IF(BV133+BW133&lt;BX133+BY133+BZ133+CA133-CB133,(BX133+BY133+BZ133+CA133-CB133)-(BW133+BV133),0),0)</f>
        <v>0</v>
      </c>
      <c r="CE133" s="224"/>
      <c r="CF133" s="226"/>
      <c r="CG133" s="87"/>
      <c r="CH133" s="87">
        <f>A133</f>
        <v>34</v>
      </c>
      <c r="CI133" s="227" t="str">
        <f t="shared" si="399"/>
        <v>Nguyễn Thị Tuyết</v>
      </c>
      <c r="CJ133" s="227" t="str">
        <f t="shared" si="399"/>
        <v>Lê</v>
      </c>
      <c r="CK133" s="87">
        <f t="shared" si="399"/>
        <v>2</v>
      </c>
      <c r="CL133" s="227" t="str">
        <f>L133</f>
        <v>Dinh dưỡng và Thức ăn</v>
      </c>
      <c r="CM133" s="87" t="str">
        <f>N133</f>
        <v>CS3</v>
      </c>
      <c r="CN133" s="87">
        <f>Q133</f>
        <v>270</v>
      </c>
      <c r="CO133" s="87">
        <f>R133</f>
        <v>170</v>
      </c>
      <c r="CP133" s="229">
        <f t="shared" si="223"/>
        <v>0</v>
      </c>
      <c r="CQ133" s="229">
        <f t="shared" si="224"/>
        <v>2.9</v>
      </c>
      <c r="CR133" s="229">
        <f t="shared" si="225"/>
        <v>1.2</v>
      </c>
      <c r="CS133" s="229">
        <f t="shared" si="226"/>
        <v>0</v>
      </c>
      <c r="CT133" s="229">
        <f t="shared" si="227"/>
        <v>0</v>
      </c>
      <c r="CU133" s="229">
        <f t="shared" si="228"/>
        <v>15</v>
      </c>
      <c r="CV133" s="229">
        <f t="shared" si="229"/>
        <v>0</v>
      </c>
      <c r="CW133" s="229">
        <f t="shared" si="230"/>
        <v>22.5</v>
      </c>
      <c r="CX133" s="229">
        <f t="shared" si="231"/>
        <v>0</v>
      </c>
      <c r="CY133" s="229">
        <f t="shared" si="232"/>
        <v>0</v>
      </c>
      <c r="CZ133" s="229">
        <f t="shared" si="233"/>
        <v>0</v>
      </c>
      <c r="DA133" s="229">
        <f t="shared" si="234"/>
        <v>140</v>
      </c>
      <c r="DB133" s="228">
        <f>SUM(CP133:DA133)</f>
        <v>181.6</v>
      </c>
      <c r="DC133" s="229"/>
      <c r="DD133" s="229"/>
      <c r="DE133" s="229"/>
      <c r="DF133" s="229"/>
      <c r="DG133" s="229"/>
      <c r="DH133" s="229"/>
      <c r="DI133" s="229"/>
      <c r="DJ133" s="229"/>
      <c r="DK133" s="229"/>
      <c r="DL133" s="229"/>
      <c r="DM133" s="229"/>
      <c r="DN133" s="229"/>
      <c r="DO133" s="228">
        <f>SUM(DC133:DN133)</f>
        <v>0</v>
      </c>
      <c r="DP133" s="228">
        <f>DO133+DB133</f>
        <v>181.6</v>
      </c>
      <c r="DQ133" s="229">
        <f t="shared" si="235"/>
        <v>36</v>
      </c>
      <c r="DR133" s="229">
        <f t="shared" si="236"/>
        <v>0.5</v>
      </c>
      <c r="DS133" s="229">
        <f t="shared" si="237"/>
        <v>0</v>
      </c>
      <c r="DT133" s="229">
        <f t="shared" si="238"/>
        <v>0.2</v>
      </c>
      <c r="DU133" s="229">
        <f t="shared" si="239"/>
        <v>0</v>
      </c>
      <c r="DV133" s="229">
        <f t="shared" si="240"/>
        <v>0</v>
      </c>
      <c r="DW133" s="229">
        <f t="shared" si="241"/>
        <v>0</v>
      </c>
      <c r="DX133" s="228">
        <f>SUM(DQ133:DW133)</f>
        <v>36.700000000000003</v>
      </c>
      <c r="DY133" s="229"/>
      <c r="DZ133" s="229"/>
      <c r="EA133" s="229"/>
      <c r="EB133" s="229"/>
      <c r="EC133" s="229"/>
      <c r="ED133" s="229"/>
      <c r="EE133" s="229"/>
      <c r="EF133" s="228">
        <f t="shared" si="220"/>
        <v>0</v>
      </c>
      <c r="EG133" s="228">
        <f>EF133+DX133</f>
        <v>36.700000000000003</v>
      </c>
      <c r="EH133" s="229">
        <f t="shared" si="221"/>
        <v>63.59</v>
      </c>
      <c r="EI133" s="229">
        <v>0</v>
      </c>
      <c r="EJ133" s="228">
        <f t="shared" si="308"/>
        <v>63.59</v>
      </c>
      <c r="EK133" s="229"/>
      <c r="EL133" s="229"/>
      <c r="EM133" s="228">
        <f>SUM(EK133:EL133)</f>
        <v>0</v>
      </c>
      <c r="EN133" s="229">
        <f>EK133+EH133+EL133</f>
        <v>63.59</v>
      </c>
      <c r="EO133" s="229">
        <f>EI133</f>
        <v>0</v>
      </c>
      <c r="EP133" s="228">
        <f>EM133+EJ133</f>
        <v>63.59</v>
      </c>
      <c r="EQ133" s="173">
        <f t="shared" si="222"/>
        <v>0</v>
      </c>
      <c r="ER133" s="189">
        <v>0</v>
      </c>
      <c r="ES133" s="189">
        <v>2.9</v>
      </c>
      <c r="ET133" s="189">
        <v>1.2</v>
      </c>
      <c r="EU133" s="189">
        <v>0</v>
      </c>
      <c r="EV133" s="189">
        <v>0</v>
      </c>
      <c r="EW133" s="189">
        <v>15</v>
      </c>
      <c r="EX133" s="189">
        <v>0</v>
      </c>
      <c r="EY133" s="189">
        <v>22.5</v>
      </c>
      <c r="EZ133" s="189">
        <v>0</v>
      </c>
      <c r="FA133" s="189">
        <v>0</v>
      </c>
      <c r="FB133" s="189">
        <v>0</v>
      </c>
      <c r="FC133" s="189">
        <v>140</v>
      </c>
      <c r="FD133" s="189">
        <v>36</v>
      </c>
      <c r="FE133" s="189">
        <v>0.5</v>
      </c>
      <c r="FF133" s="189">
        <v>0</v>
      </c>
      <c r="FG133" s="189">
        <v>0.2</v>
      </c>
      <c r="FH133" s="189">
        <v>0</v>
      </c>
      <c r="FI133" s="189">
        <v>0</v>
      </c>
      <c r="FJ133" s="189">
        <v>0</v>
      </c>
      <c r="FK133" s="189">
        <v>218.3</v>
      </c>
      <c r="FL133" s="189">
        <v>194</v>
      </c>
      <c r="FN133" s="132">
        <v>63.59</v>
      </c>
    </row>
    <row r="134" spans="1:170" ht="30" customHeight="1">
      <c r="A134" s="88">
        <f>COUNTIF($H$12:H134,H134)</f>
        <v>35</v>
      </c>
      <c r="B134" s="88" t="s">
        <v>1996</v>
      </c>
      <c r="C134" s="88" t="s">
        <v>2603</v>
      </c>
      <c r="D134" s="88"/>
      <c r="E134" s="88"/>
      <c r="F134" s="301" t="s">
        <v>2996</v>
      </c>
      <c r="G134" s="89" t="s">
        <v>24</v>
      </c>
      <c r="H134" s="88">
        <v>2</v>
      </c>
      <c r="I134" s="88">
        <v>2</v>
      </c>
      <c r="J134" s="88">
        <v>2</v>
      </c>
      <c r="K134" s="90" t="s">
        <v>3083</v>
      </c>
      <c r="L134" s="90" t="s">
        <v>3083</v>
      </c>
      <c r="M134" s="214"/>
      <c r="N134" s="88" t="s">
        <v>605</v>
      </c>
      <c r="O134" s="216">
        <f t="shared" ref="O134:O139" si="401">BO134</f>
        <v>6.92</v>
      </c>
      <c r="P134" s="88" t="str">
        <f t="shared" ref="P134:P143" si="402">IF(BO134&lt;3.33,"B1_3",IF(AND(BO134&gt;=3.33,BO134&lt;4.65),"B1_4",IF(AND(BO134&gt;=4.65,BO134&lt;5.42),"B1_5",IF(AND(BO134&gt;=5.42,BO134&lt;6.44),"B1_6",IF(AND(BO134&gt;=6.44,BO134&lt;=6.92),"B1_7","B1_8")))))</f>
        <v>B1_7</v>
      </c>
      <c r="Q134" s="88">
        <f t="shared" si="331"/>
        <v>270</v>
      </c>
      <c r="R134" s="88">
        <f t="shared" si="332"/>
        <v>200</v>
      </c>
      <c r="S134" s="230" t="s">
        <v>2031</v>
      </c>
      <c r="T134" s="88" t="s">
        <v>3091</v>
      </c>
      <c r="U134" s="88">
        <f>IF(RIGHT(T134,1)="K",(VLOOKUP(T134,ma_miengiam!$A$3:$B$80,2,0)*100)/2,VLOOKUP(T134,ma_miengiam!$A$3:$B$80,2,0)*100)</f>
        <v>20</v>
      </c>
      <c r="V134" s="88"/>
      <c r="W134" s="220">
        <f>IF(AND(T134="NTS",V134&gt;0),(Q134-(Q134*V134)/12)*VLOOKUP(T134,ma_miengiam!$A$3:$B$80,2,0)+(Q134-(Q134*(12-V134))/12),IF(AND(RIGHT(T134,1)="K",V134&gt;0),(VLOOKUP(T134,ma_miengiam!$A$3:$B$80,2,0)/2)*(Q134*V134)/12,IF(RIGHT(T134,1)="K",(VLOOKUP(T134,ma_miengiam!$A$3:$B$80,2,0)*Q134)/2,IF(V134&gt;0,VLOOKUP(T134,ma_miengiam!$A$3:$B$80,2,0)*Q134*V134/12,VLOOKUP(T134,ma_miengiam!$A$3:$B$80,2,0)*Q134))))</f>
        <v>54</v>
      </c>
      <c r="X134" s="220">
        <f>IF(T134="NTS",VLOOKUP(T134,ma_miengiam!$A$3:$B$80,2,0)*R134*V134,IF(AND(T134="NTS",V134=0),0,IF(AND(LEFT(T134,1)="K",V134=0),VLOOKUP(T134,ma_miengiam!$A$3:$B$80,2,0)*R134,IF(LEFT(T134,1)="K",(VLOOKUP(T134,ma_miengiam!$A$3:$B$80,2,0)*R134/12)*V134,IF(AND(LEFT(T134,1)="S",V134&gt;0),(R134/12)*V134,IF(AND(LEFT(T134,1)="S",V134=0),R134,IF(T134="DH",VLOOKUP(T134,ma_miengiam!$A$3:$B$80,2,0)*R134,0)))))))</f>
        <v>0</v>
      </c>
      <c r="Y134" s="220">
        <f t="shared" si="336"/>
        <v>216</v>
      </c>
      <c r="Z134" s="220">
        <f t="shared" si="337"/>
        <v>200</v>
      </c>
      <c r="AA134" s="220">
        <f t="shared" ref="AA134:AB137" si="403">Q134</f>
        <v>270</v>
      </c>
      <c r="AB134" s="220">
        <f t="shared" si="403"/>
        <v>200</v>
      </c>
      <c r="AC134" s="220">
        <f t="shared" si="400"/>
        <v>54</v>
      </c>
      <c r="AD134" s="220">
        <f t="shared" si="400"/>
        <v>0</v>
      </c>
      <c r="AE134" s="220">
        <f t="shared" si="400"/>
        <v>216</v>
      </c>
      <c r="AF134" s="220">
        <f t="shared" si="400"/>
        <v>200</v>
      </c>
      <c r="AG134" s="220">
        <f t="shared" si="392"/>
        <v>0</v>
      </c>
      <c r="AH134" s="220">
        <f t="shared" si="393"/>
        <v>0</v>
      </c>
      <c r="AI134" s="220">
        <f t="shared" si="394"/>
        <v>0</v>
      </c>
      <c r="AJ134" s="220">
        <f t="shared" si="380"/>
        <v>-200</v>
      </c>
      <c r="AK134" s="216">
        <f t="shared" si="247"/>
        <v>416</v>
      </c>
      <c r="AL134" s="220">
        <f t="shared" si="248"/>
        <v>978.3</v>
      </c>
      <c r="AM134" s="220">
        <f t="shared" si="249"/>
        <v>0</v>
      </c>
      <c r="AN134" s="221">
        <f t="shared" si="250"/>
        <v>978.3</v>
      </c>
      <c r="AO134" s="220">
        <f t="shared" si="251"/>
        <v>0</v>
      </c>
      <c r="AP134" s="220">
        <f t="shared" si="252"/>
        <v>0</v>
      </c>
      <c r="AQ134" s="220">
        <f t="shared" si="253"/>
        <v>156</v>
      </c>
      <c r="AR134" s="220">
        <f t="shared" si="254"/>
        <v>40</v>
      </c>
      <c r="AS134" s="220">
        <f t="shared" si="255"/>
        <v>0</v>
      </c>
      <c r="AT134" s="216">
        <f t="shared" si="256"/>
        <v>1174.3</v>
      </c>
      <c r="AU134" s="222">
        <f t="shared" si="395"/>
        <v>562.29999999999995</v>
      </c>
      <c r="AV134" s="220"/>
      <c r="AW134" s="220">
        <f t="shared" si="350"/>
        <v>562.29999999999995</v>
      </c>
      <c r="AX134" s="216">
        <f t="shared" si="265"/>
        <v>0</v>
      </c>
      <c r="AY134" s="220">
        <f t="shared" si="362"/>
        <v>0</v>
      </c>
      <c r="AZ134" s="220">
        <f t="shared" si="363"/>
        <v>0</v>
      </c>
      <c r="BA134" s="220">
        <f t="shared" si="364"/>
        <v>156</v>
      </c>
      <c r="BB134" s="220">
        <f t="shared" si="365"/>
        <v>40</v>
      </c>
      <c r="BC134" s="220">
        <f t="shared" si="366"/>
        <v>0</v>
      </c>
      <c r="BD134" s="216">
        <f t="shared" si="375"/>
        <v>196</v>
      </c>
      <c r="BE134" s="220">
        <f t="shared" si="351"/>
        <v>0</v>
      </c>
      <c r="BF134" s="220">
        <f t="shared" si="352"/>
        <v>0</v>
      </c>
      <c r="BG134" s="220">
        <f t="shared" si="353"/>
        <v>0</v>
      </c>
      <c r="BH134" s="220">
        <f t="shared" si="354"/>
        <v>0</v>
      </c>
      <c r="BI134" s="220">
        <f t="shared" si="355"/>
        <v>0</v>
      </c>
      <c r="BJ134" s="220" t="s">
        <v>1173</v>
      </c>
      <c r="BK134" s="220"/>
      <c r="BL134" s="223">
        <f t="shared" si="257"/>
        <v>562.29999999999995</v>
      </c>
      <c r="BM134" s="220">
        <v>6.92</v>
      </c>
      <c r="BN134" s="220"/>
      <c r="BO134" s="220">
        <f t="shared" ref="BO134:BO163" si="404">ROUND(BM134+(BM134*BN134),2)</f>
        <v>6.92</v>
      </c>
      <c r="BP134" s="220">
        <f>IF(AND(BL134&gt;0,BL134&lt;tiet!$D$1),BL134,IF(BL134&lt;=0,0,IF(BL134&gt;tiet!$C$1,tiet!$C$1)))</f>
        <v>200</v>
      </c>
      <c r="BQ134" s="87">
        <f t="shared" si="376"/>
        <v>80000</v>
      </c>
      <c r="BR134" s="224">
        <f t="shared" si="377"/>
        <v>16000000</v>
      </c>
      <c r="BS134" s="220">
        <f t="shared" si="219"/>
        <v>362.29999999999995</v>
      </c>
      <c r="BT134" s="224">
        <f>VLOOKUP(N134,ma_dinhmuc!$A$1:$J$31,10,0)</f>
        <v>65000</v>
      </c>
      <c r="BU134" s="224">
        <f>ROUND(IF(BS134&gt;0,VLOOKUP(N134,ma_dinhmuc!$A$1:$J$31,10,0)*BS134,0),0)</f>
        <v>23549500</v>
      </c>
      <c r="BV134" s="224">
        <f t="shared" si="378"/>
        <v>39549500</v>
      </c>
      <c r="BW134" s="224"/>
      <c r="BX134" s="224">
        <v>0</v>
      </c>
      <c r="BY134" s="224"/>
      <c r="BZ134" s="224"/>
      <c r="CA134" s="224"/>
      <c r="CB134" s="224"/>
      <c r="CC134" s="225">
        <f t="shared" si="384"/>
        <v>39549500</v>
      </c>
      <c r="CD134" s="224">
        <f t="shared" si="385"/>
        <v>0</v>
      </c>
      <c r="CE134" s="224"/>
      <c r="CF134" s="226"/>
      <c r="CG134" s="87"/>
      <c r="CH134" s="87">
        <f t="shared" si="381"/>
        <v>35</v>
      </c>
      <c r="CI134" s="227" t="str">
        <f t="shared" ref="CI134:CJ137" si="405">F134</f>
        <v>Đặng Thái</v>
      </c>
      <c r="CJ134" s="227" t="str">
        <f t="shared" si="405"/>
        <v>Hải</v>
      </c>
      <c r="CK134" s="87">
        <f t="shared" si="396"/>
        <v>2</v>
      </c>
      <c r="CL134" s="227" t="str">
        <f t="shared" si="397"/>
        <v>Hóa sinh động vật</v>
      </c>
      <c r="CM134" s="87" t="str">
        <f t="shared" si="358"/>
        <v>CS4</v>
      </c>
      <c r="CN134" s="87">
        <f t="shared" ref="CN134:CO136" si="406">Q134</f>
        <v>270</v>
      </c>
      <c r="CO134" s="87">
        <f t="shared" si="406"/>
        <v>200</v>
      </c>
      <c r="CP134" s="229">
        <f t="shared" si="223"/>
        <v>0</v>
      </c>
      <c r="CQ134" s="229">
        <f t="shared" si="224"/>
        <v>208.1</v>
      </c>
      <c r="CR134" s="229">
        <f t="shared" si="225"/>
        <v>83.7</v>
      </c>
      <c r="CS134" s="229">
        <f t="shared" si="226"/>
        <v>0</v>
      </c>
      <c r="CT134" s="229">
        <f t="shared" si="227"/>
        <v>0</v>
      </c>
      <c r="CU134" s="229">
        <f t="shared" si="228"/>
        <v>530.5</v>
      </c>
      <c r="CV134" s="229">
        <f t="shared" si="229"/>
        <v>0</v>
      </c>
      <c r="CW134" s="229">
        <f t="shared" si="230"/>
        <v>156</v>
      </c>
      <c r="CX134" s="229">
        <f t="shared" si="231"/>
        <v>0</v>
      </c>
      <c r="CY134" s="229">
        <f t="shared" si="232"/>
        <v>0</v>
      </c>
      <c r="CZ134" s="229">
        <f t="shared" si="233"/>
        <v>0</v>
      </c>
      <c r="DA134" s="229">
        <f t="shared" si="234"/>
        <v>156</v>
      </c>
      <c r="DB134" s="228">
        <f t="shared" si="214"/>
        <v>1134.3</v>
      </c>
      <c r="DC134" s="229"/>
      <c r="DD134" s="229"/>
      <c r="DE134" s="229"/>
      <c r="DF134" s="229"/>
      <c r="DG134" s="229"/>
      <c r="DH134" s="229"/>
      <c r="DI134" s="229"/>
      <c r="DJ134" s="229"/>
      <c r="DK134" s="229"/>
      <c r="DL134" s="229"/>
      <c r="DM134" s="229"/>
      <c r="DN134" s="229"/>
      <c r="DO134" s="228">
        <f t="shared" si="215"/>
        <v>0</v>
      </c>
      <c r="DP134" s="228">
        <f t="shared" si="216"/>
        <v>1134.3</v>
      </c>
      <c r="DQ134" s="229">
        <f t="shared" si="235"/>
        <v>0</v>
      </c>
      <c r="DR134" s="229">
        <f t="shared" si="236"/>
        <v>0</v>
      </c>
      <c r="DS134" s="229">
        <f t="shared" si="237"/>
        <v>0</v>
      </c>
      <c r="DT134" s="229">
        <f t="shared" si="238"/>
        <v>0</v>
      </c>
      <c r="DU134" s="229">
        <f t="shared" si="239"/>
        <v>0</v>
      </c>
      <c r="DV134" s="229">
        <f t="shared" si="240"/>
        <v>40</v>
      </c>
      <c r="DW134" s="229">
        <f t="shared" si="241"/>
        <v>0</v>
      </c>
      <c r="DX134" s="228">
        <f t="shared" si="217"/>
        <v>40</v>
      </c>
      <c r="DY134" s="229"/>
      <c r="DZ134" s="229"/>
      <c r="EA134" s="229"/>
      <c r="EB134" s="229"/>
      <c r="EC134" s="229"/>
      <c r="ED134" s="229"/>
      <c r="EE134" s="229"/>
      <c r="EF134" s="228">
        <f t="shared" si="220"/>
        <v>0</v>
      </c>
      <c r="EG134" s="228">
        <f t="shared" si="218"/>
        <v>40</v>
      </c>
      <c r="EH134" s="229">
        <f t="shared" si="221"/>
        <v>0</v>
      </c>
      <c r="EI134" s="229">
        <v>0</v>
      </c>
      <c r="EJ134" s="228">
        <f t="shared" ref="EJ134:EJ148" si="407">SUM(EH134:EI134)</f>
        <v>0</v>
      </c>
      <c r="EK134" s="229"/>
      <c r="EL134" s="229"/>
      <c r="EM134" s="228">
        <f t="shared" si="398"/>
        <v>0</v>
      </c>
      <c r="EN134" s="229">
        <f>EK134+EH134+EL134</f>
        <v>0</v>
      </c>
      <c r="EO134" s="229">
        <f t="shared" si="388"/>
        <v>0</v>
      </c>
      <c r="EP134" s="228">
        <f t="shared" ref="EP134:EP142" si="408">EM134+EJ134</f>
        <v>0</v>
      </c>
      <c r="EQ134" s="173">
        <f t="shared" si="222"/>
        <v>0</v>
      </c>
      <c r="ER134" s="189">
        <v>0</v>
      </c>
      <c r="ES134" s="189">
        <v>208.1</v>
      </c>
      <c r="ET134" s="189">
        <v>83.7</v>
      </c>
      <c r="EU134" s="189">
        <v>0</v>
      </c>
      <c r="EV134" s="189">
        <v>0</v>
      </c>
      <c r="EW134" s="189">
        <v>530.5</v>
      </c>
      <c r="EX134" s="189">
        <v>0</v>
      </c>
      <c r="EY134" s="189">
        <v>156</v>
      </c>
      <c r="EZ134" s="189">
        <v>0</v>
      </c>
      <c r="FA134" s="189">
        <v>0</v>
      </c>
      <c r="FB134" s="189">
        <v>0</v>
      </c>
      <c r="FC134" s="189">
        <v>156</v>
      </c>
      <c r="FD134" s="189">
        <v>0</v>
      </c>
      <c r="FE134" s="189">
        <v>0</v>
      </c>
      <c r="FF134" s="189">
        <v>0</v>
      </c>
      <c r="FG134" s="189">
        <v>0</v>
      </c>
      <c r="FH134" s="189">
        <v>40</v>
      </c>
      <c r="FI134" s="189">
        <v>0</v>
      </c>
      <c r="FJ134" s="189">
        <v>0</v>
      </c>
      <c r="FK134" s="189">
        <v>1174.3</v>
      </c>
      <c r="FL134" s="189">
        <v>684</v>
      </c>
      <c r="FN134" s="132">
        <v>0</v>
      </c>
    </row>
    <row r="135" spans="1:170" ht="30" customHeight="1">
      <c r="A135" s="88">
        <f>COUNTIF($H$12:H135,H135)</f>
        <v>36</v>
      </c>
      <c r="B135" s="88" t="s">
        <v>259</v>
      </c>
      <c r="C135" s="88" t="s">
        <v>522</v>
      </c>
      <c r="D135" s="88" t="s">
        <v>622</v>
      </c>
      <c r="E135" s="88"/>
      <c r="F135" s="301" t="s">
        <v>1146</v>
      </c>
      <c r="G135" s="89" t="s">
        <v>1505</v>
      </c>
      <c r="H135" s="88">
        <v>2</v>
      </c>
      <c r="I135" s="88">
        <v>2</v>
      </c>
      <c r="J135" s="88">
        <v>2</v>
      </c>
      <c r="K135" s="90" t="s">
        <v>3083</v>
      </c>
      <c r="L135" s="90" t="s">
        <v>3083</v>
      </c>
      <c r="M135" s="214"/>
      <c r="N135" s="88" t="s">
        <v>1804</v>
      </c>
      <c r="O135" s="216">
        <f>BO135</f>
        <v>2.67</v>
      </c>
      <c r="P135" s="88" t="str">
        <f t="shared" si="402"/>
        <v>B1_3</v>
      </c>
      <c r="Q135" s="88">
        <f t="shared" si="331"/>
        <v>270</v>
      </c>
      <c r="R135" s="88">
        <f t="shared" si="332"/>
        <v>100</v>
      </c>
      <c r="S135" s="218" t="s">
        <v>2010</v>
      </c>
      <c r="T135" s="219" t="s">
        <v>3088</v>
      </c>
      <c r="U135" s="88">
        <f>IF(RIGHT(T135,1)="K",(VLOOKUP(T135,ma_miengiam!$A$3:$B$80,2,0)*100)/2,VLOOKUP(T135,ma_miengiam!$A$3:$B$80,2,0)*100)</f>
        <v>0</v>
      </c>
      <c r="V135" s="88"/>
      <c r="W135" s="220">
        <f>IF(AND(T135="NTS",V135&gt;0),(Q135-(Q135*V135)/12)*VLOOKUP(T135,ma_miengiam!$A$3:$B$80,2,0)+(Q135-(Q135*(12-V135))/12),IF(AND(RIGHT(T135,1)="K",V135&gt;0),(VLOOKUP(T135,ma_miengiam!$A$3:$B$80,2,0)/2)*(Q135*V135)/12,IF(RIGHT(T135,1)="K",(VLOOKUP(T135,ma_miengiam!$A$3:$B$80,2,0)*Q135)/2,IF(V135&gt;0,VLOOKUP(T135,ma_miengiam!$A$3:$B$80,2,0)*Q135*V135/12,VLOOKUP(T135,ma_miengiam!$A$3:$B$80,2,0)*Q135))))</f>
        <v>0</v>
      </c>
      <c r="X135" s="220">
        <f>IF(T135="NTS",VLOOKUP(T135,ma_miengiam!$A$3:$B$80,2,0)*R135*V135,IF(AND(T135="NTS",V135=0),0,IF(AND(LEFT(T135,1)="K",V135=0),VLOOKUP(T135,ma_miengiam!$A$3:$B$80,2,0)*R135,IF(LEFT(T135,1)="K",(VLOOKUP(T135,ma_miengiam!$A$3:$B$80,2,0)*R135/12)*V135,IF(AND(LEFT(T135,1)="S",V135&gt;0),(R135/12)*V135,IF(AND(LEFT(T135,1)="S",V135=0),R135,IF(T135="DH",VLOOKUP(T135,ma_miengiam!$A$3:$B$80,2,0)*R135,0)))))))</f>
        <v>0</v>
      </c>
      <c r="Y135" s="220">
        <f>IF(AND(T135="DH",V135&gt;0),(S135*V135/12),IF(AND(T135&lt;&gt;"NTS",V135&gt;0),(Q135*V135/12)-W135,IF(AND(T135="NTS",V135&gt;0),Q135-W135,Q135-W135)))</f>
        <v>270</v>
      </c>
      <c r="Z135" s="220">
        <f>IF(AND(T135="SĐH",V135&gt;0),(R135/12)*V135-X135,IF(AND(T135="DH",V135&gt;0),(R135*V135/12),IF(AND(T135&lt;&gt;"NTS",V135&gt;0),(R135*V135/12)-X135,IF(AND(T135="NTS",V135&gt;0),R135-X135,R135-X135))))</f>
        <v>100</v>
      </c>
      <c r="AA135" s="220">
        <f>Q135</f>
        <v>270</v>
      </c>
      <c r="AB135" s="220">
        <f>R135</f>
        <v>100</v>
      </c>
      <c r="AC135" s="220">
        <f t="shared" ref="AC135:AF137" si="409">W135</f>
        <v>0</v>
      </c>
      <c r="AD135" s="220">
        <f t="shared" si="409"/>
        <v>0</v>
      </c>
      <c r="AE135" s="220">
        <f t="shared" si="409"/>
        <v>270</v>
      </c>
      <c r="AF135" s="220">
        <f t="shared" si="409"/>
        <v>100</v>
      </c>
      <c r="AG135" s="220">
        <f>AH135+AI135</f>
        <v>0</v>
      </c>
      <c r="AH135" s="220">
        <f>EO135</f>
        <v>0</v>
      </c>
      <c r="AI135" s="220">
        <f>EN135</f>
        <v>0</v>
      </c>
      <c r="AJ135" s="220">
        <f>IF(AG135-Z135&gt;0,0,AG135-Z135)</f>
        <v>-100</v>
      </c>
      <c r="AK135" s="216">
        <f t="shared" ref="AK135:AK198" si="410">IF(AJ135&gt;=0,Y135,Y135-AJ135)</f>
        <v>370</v>
      </c>
      <c r="AL135" s="220">
        <f>SUM(CP135:CX135)+SUM(DC135:DK135)</f>
        <v>396</v>
      </c>
      <c r="AM135" s="220">
        <f>SUM(DQ135:DU135)+SUM(DY135:EC135)</f>
        <v>0</v>
      </c>
      <c r="AN135" s="216">
        <f>AM135+AL135</f>
        <v>396</v>
      </c>
      <c r="AO135" s="220">
        <f>CY135+DL135</f>
        <v>0</v>
      </c>
      <c r="AP135" s="220">
        <f>CZ135+DM135</f>
        <v>0</v>
      </c>
      <c r="AQ135" s="220">
        <f>DA135+DN135</f>
        <v>64</v>
      </c>
      <c r="AR135" s="220">
        <f>DV135+ED135</f>
        <v>0</v>
      </c>
      <c r="AS135" s="220">
        <f>DW135+EE135</f>
        <v>0</v>
      </c>
      <c r="AT135" s="216">
        <f>AN135+SUM(AO135:AS135)</f>
        <v>460</v>
      </c>
      <c r="AU135" s="220">
        <f>AN135-AK135</f>
        <v>26</v>
      </c>
      <c r="AV135" s="220"/>
      <c r="AW135" s="220">
        <f>IF(AU135&gt;0,AU135,AV135+AU135)</f>
        <v>26</v>
      </c>
      <c r="AX135" s="216">
        <f t="shared" ref="AX135:AX200" si="411">IF(AN135&gt;AK135,0,IF(AW135&lt;0,AN135-AK135+AV135,IF(AW135&gt;=0,0)))</f>
        <v>0</v>
      </c>
      <c r="AY135" s="220">
        <f>IF(AN135&gt;=AK135,AO135,IF(AN135+AO135-AK135&gt;=0,AN135+AO135-AK135,0))</f>
        <v>0</v>
      </c>
      <c r="AZ135" s="220">
        <f>IF(OR(AN135&gt;=AK135,AN135+AO135&gt;=AK135),AP135,IF(AN135+AO135+AP135&gt;AK135,AN135+AO135+AP135-AK135,0))</f>
        <v>0</v>
      </c>
      <c r="BA135" s="220">
        <f>IF(OR(AN135&gt;=AK135,AN135+AO135&gt;=AK135,AN135+AO135+AP135&gt;=AK135),AQ135,IF(AN135+AO135+AP135+AQ135&gt;=AK135,AN135+AO135+AP135+AQ135-AK135,0))</f>
        <v>64</v>
      </c>
      <c r="BB135" s="220">
        <f>IF(OR(AN135&gt;=AK135,AN135+AO135&gt;=AK135,AN135+AO135+AP135&gt;=AK135,AN135+AO135+AP135+AQ135&gt;=AK135),AR135,IF(AN135+AO135+AP135+AQ135+AR135&gt;=AK135,AN135+AO135+AP135+AQ135+AR135-AK135,0))</f>
        <v>0</v>
      </c>
      <c r="BC135" s="220">
        <f>IF(OR(AN135&gt;=AK135,AN135+AO135&gt;=AK135,AN135+AO135+AP135&gt;=AK135,AN135+AO135+AP135+AQ135&gt;=AK135,AN135+AO135+AP135+AQ135+AR135&gt;=AK135),AS135,IF(AN135+AO135+AP135+AQ135+AR135+AS135&gt;=AK135,AN135+AO135+AP135+AQ135+AR135+AS135-AK135,0))</f>
        <v>0</v>
      </c>
      <c r="BD135" s="216">
        <f t="shared" si="375"/>
        <v>64</v>
      </c>
      <c r="BE135" s="220">
        <f>AY135-AO135</f>
        <v>0</v>
      </c>
      <c r="BF135" s="220">
        <f>AZ135-AP135</f>
        <v>0</v>
      </c>
      <c r="BG135" s="220">
        <f>BA135-AQ135</f>
        <v>0</v>
      </c>
      <c r="BH135" s="220">
        <f>BB135-AR135</f>
        <v>0</v>
      </c>
      <c r="BI135" s="220">
        <f>BC135-AS135</f>
        <v>0</v>
      </c>
      <c r="BJ135" s="220" t="s">
        <v>1173</v>
      </c>
      <c r="BK135" s="220"/>
      <c r="BL135" s="223">
        <f t="shared" ref="BL135:BL191" si="412">IF(AW135&lt;BK135,0,IF(AND(BK135=0,AW135&gt;0),AW135,IF(AW135&lt;0,0,IF(BK135&gt;0,AW135-BK135,IF(BK135&lt;0,0,AW135)))))</f>
        <v>26</v>
      </c>
      <c r="BM135" s="220">
        <v>2.67</v>
      </c>
      <c r="BN135" s="220"/>
      <c r="BO135" s="220">
        <f t="shared" si="404"/>
        <v>2.67</v>
      </c>
      <c r="BP135" s="220">
        <f>IF(AND(BL135&gt;0,BL135&lt;tiet!$D$1),BL135,IF(BL135&lt;=0,0,IF(BL135&gt;tiet!$C$1,tiet!$C$1)))</f>
        <v>26</v>
      </c>
      <c r="BQ135" s="87">
        <f>VLOOKUP(P135,ma_dinhmuc_moi,4,0)</f>
        <v>60000</v>
      </c>
      <c r="BR135" s="224">
        <f>ROUND(BQ135*BP135,0)</f>
        <v>1560000</v>
      </c>
      <c r="BS135" s="220">
        <f t="shared" si="219"/>
        <v>0</v>
      </c>
      <c r="BT135" s="224">
        <f>VLOOKUP(N135,ma_dinhmuc!$A$1:$J$31,10,0)</f>
        <v>51000</v>
      </c>
      <c r="BU135" s="224">
        <f>ROUND(IF(BS135&gt;0,VLOOKUP(N135,ma_dinhmuc!$A$1:$J$31,10,0)*BS135,0),0)</f>
        <v>0</v>
      </c>
      <c r="BV135" s="224">
        <f>ROUND(BU135+BR135,0)</f>
        <v>1560000</v>
      </c>
      <c r="BW135" s="224"/>
      <c r="BX135" s="224">
        <v>0</v>
      </c>
      <c r="BY135" s="224"/>
      <c r="BZ135" s="224"/>
      <c r="CA135" s="224"/>
      <c r="CB135" s="224"/>
      <c r="CC135" s="225">
        <f>ROUND(IF(BV135+BW135&gt;BX135+BY135+BZ135+CA135+CB135,(BW135+BV135)-(BX135+BY135+BZ135+CA135+CB135+CB135),0),0)</f>
        <v>1560000</v>
      </c>
      <c r="CD135" s="224">
        <f>ROUND(IF(BV135+BW135&lt;BX135+BY135+BZ135+CA135-CB135,(BX135+BY135+BZ135+CA135-CB135)-(BW135+BV135),0),0)</f>
        <v>0</v>
      </c>
      <c r="CE135" s="224"/>
      <c r="CF135" s="226"/>
      <c r="CG135" s="87"/>
      <c r="CH135" s="87">
        <f>A135</f>
        <v>36</v>
      </c>
      <c r="CI135" s="227" t="str">
        <f t="shared" si="405"/>
        <v>Đinh Thị</v>
      </c>
      <c r="CJ135" s="227" t="str">
        <f t="shared" si="405"/>
        <v>Yên</v>
      </c>
      <c r="CK135" s="87">
        <f t="shared" si="396"/>
        <v>2</v>
      </c>
      <c r="CL135" s="227" t="str">
        <f>L135</f>
        <v>Hóa sinh động vật</v>
      </c>
      <c r="CM135" s="87" t="str">
        <f>N135</f>
        <v>CS2</v>
      </c>
      <c r="CN135" s="87">
        <f>Q135</f>
        <v>270</v>
      </c>
      <c r="CO135" s="87">
        <f>R135</f>
        <v>100</v>
      </c>
      <c r="CP135" s="229">
        <f t="shared" si="223"/>
        <v>0</v>
      </c>
      <c r="CQ135" s="229">
        <f t="shared" si="224"/>
        <v>0</v>
      </c>
      <c r="CR135" s="229">
        <f t="shared" si="225"/>
        <v>0</v>
      </c>
      <c r="CS135" s="229">
        <f t="shared" si="226"/>
        <v>0</v>
      </c>
      <c r="CT135" s="229">
        <f t="shared" si="227"/>
        <v>0</v>
      </c>
      <c r="CU135" s="229">
        <f t="shared" si="228"/>
        <v>0</v>
      </c>
      <c r="CV135" s="229">
        <f t="shared" si="229"/>
        <v>0</v>
      </c>
      <c r="CW135" s="229">
        <f t="shared" si="230"/>
        <v>396</v>
      </c>
      <c r="CX135" s="229">
        <f t="shared" si="231"/>
        <v>0</v>
      </c>
      <c r="CY135" s="229">
        <f t="shared" si="232"/>
        <v>0</v>
      </c>
      <c r="CZ135" s="229">
        <f t="shared" si="233"/>
        <v>0</v>
      </c>
      <c r="DA135" s="229">
        <f t="shared" si="234"/>
        <v>64</v>
      </c>
      <c r="DB135" s="228">
        <f>SUM(CP135:DA135)</f>
        <v>460</v>
      </c>
      <c r="DC135" s="229"/>
      <c r="DD135" s="229"/>
      <c r="DE135" s="229"/>
      <c r="DF135" s="229"/>
      <c r="DG135" s="229"/>
      <c r="DH135" s="229"/>
      <c r="DI135" s="229"/>
      <c r="DJ135" s="229"/>
      <c r="DK135" s="229"/>
      <c r="DL135" s="229"/>
      <c r="DM135" s="229"/>
      <c r="DN135" s="229"/>
      <c r="DO135" s="228">
        <f>SUM(DC135:DN135)</f>
        <v>0</v>
      </c>
      <c r="DP135" s="228">
        <f>DO135+DB135</f>
        <v>460</v>
      </c>
      <c r="DQ135" s="229">
        <f t="shared" si="235"/>
        <v>0</v>
      </c>
      <c r="DR135" s="229">
        <f t="shared" si="236"/>
        <v>0</v>
      </c>
      <c r="DS135" s="229">
        <f t="shared" si="237"/>
        <v>0</v>
      </c>
      <c r="DT135" s="229">
        <f t="shared" si="238"/>
        <v>0</v>
      </c>
      <c r="DU135" s="229">
        <f t="shared" si="239"/>
        <v>0</v>
      </c>
      <c r="DV135" s="229">
        <f t="shared" si="240"/>
        <v>0</v>
      </c>
      <c r="DW135" s="229">
        <f t="shared" si="241"/>
        <v>0</v>
      </c>
      <c r="DX135" s="228">
        <f>SUM(DQ135:DW135)</f>
        <v>0</v>
      </c>
      <c r="DY135" s="229"/>
      <c r="DZ135" s="229"/>
      <c r="EA135" s="229"/>
      <c r="EB135" s="229"/>
      <c r="EC135" s="229"/>
      <c r="ED135" s="229"/>
      <c r="EE135" s="229"/>
      <c r="EF135" s="228">
        <f t="shared" si="220"/>
        <v>0</v>
      </c>
      <c r="EG135" s="228">
        <f>EF135+DX135</f>
        <v>0</v>
      </c>
      <c r="EH135" s="229">
        <f t="shared" si="221"/>
        <v>0</v>
      </c>
      <c r="EI135" s="229">
        <v>0</v>
      </c>
      <c r="EJ135" s="228">
        <f>SUM(EH135:EI135)</f>
        <v>0</v>
      </c>
      <c r="EK135" s="229"/>
      <c r="EL135" s="229"/>
      <c r="EM135" s="228">
        <f>SUM(EK135:EL135)</f>
        <v>0</v>
      </c>
      <c r="EN135" s="229">
        <f>EK135+EH135+EL135</f>
        <v>0</v>
      </c>
      <c r="EO135" s="229">
        <f>EI135</f>
        <v>0</v>
      </c>
      <c r="EP135" s="228">
        <f>EM135+EJ135</f>
        <v>0</v>
      </c>
      <c r="EQ135" s="173">
        <f t="shared" si="222"/>
        <v>0</v>
      </c>
      <c r="ER135" s="189">
        <v>0</v>
      </c>
      <c r="ES135" s="189">
        <v>0</v>
      </c>
      <c r="ET135" s="189">
        <v>0</v>
      </c>
      <c r="EU135" s="189">
        <v>0</v>
      </c>
      <c r="EV135" s="189">
        <v>0</v>
      </c>
      <c r="EW135" s="189">
        <v>0</v>
      </c>
      <c r="EX135" s="189">
        <v>0</v>
      </c>
      <c r="EY135" s="189">
        <v>396</v>
      </c>
      <c r="EZ135" s="189">
        <v>0</v>
      </c>
      <c r="FA135" s="189">
        <v>0</v>
      </c>
      <c r="FB135" s="189">
        <v>0</v>
      </c>
      <c r="FC135" s="189">
        <v>64</v>
      </c>
      <c r="FD135" s="189">
        <v>0</v>
      </c>
      <c r="FE135" s="189">
        <v>0</v>
      </c>
      <c r="FF135" s="189">
        <v>0</v>
      </c>
      <c r="FG135" s="189">
        <v>0</v>
      </c>
      <c r="FH135" s="189">
        <v>0</v>
      </c>
      <c r="FI135" s="189">
        <v>0</v>
      </c>
      <c r="FJ135" s="189">
        <v>0</v>
      </c>
      <c r="FK135" s="189">
        <v>460</v>
      </c>
      <c r="FL135" s="189">
        <v>448</v>
      </c>
      <c r="FN135" s="132">
        <v>0</v>
      </c>
    </row>
    <row r="136" spans="1:170" ht="30" customHeight="1">
      <c r="A136" s="88">
        <f>COUNTIF($H$12:H136,H136)</f>
        <v>37</v>
      </c>
      <c r="B136" s="88" t="s">
        <v>1997</v>
      </c>
      <c r="C136" s="88" t="s">
        <v>2604</v>
      </c>
      <c r="D136" s="88"/>
      <c r="E136" s="88"/>
      <c r="F136" s="301" t="s">
        <v>2997</v>
      </c>
      <c r="G136" s="303" t="s">
        <v>3158</v>
      </c>
      <c r="H136" s="88">
        <v>2</v>
      </c>
      <c r="I136" s="88">
        <v>2</v>
      </c>
      <c r="J136" s="88">
        <v>2</v>
      </c>
      <c r="K136" s="90" t="s">
        <v>3083</v>
      </c>
      <c r="L136" s="90" t="s">
        <v>3083</v>
      </c>
      <c r="M136" s="214"/>
      <c r="N136" s="88" t="s">
        <v>1804</v>
      </c>
      <c r="O136" s="216">
        <f t="shared" si="401"/>
        <v>3.33</v>
      </c>
      <c r="P136" s="88" t="str">
        <f t="shared" si="402"/>
        <v>B1_4</v>
      </c>
      <c r="Q136" s="88">
        <f t="shared" si="331"/>
        <v>270</v>
      </c>
      <c r="R136" s="88">
        <f t="shared" si="332"/>
        <v>120</v>
      </c>
      <c r="S136" s="218" t="s">
        <v>1926</v>
      </c>
      <c r="T136" s="88" t="s">
        <v>2961</v>
      </c>
      <c r="U136" s="88">
        <f>IF(RIGHT(T136,1)="K",(VLOOKUP(T136,ma_miengiam!$A$3:$B$80,2,0)*100)/2,VLOOKUP(T136,ma_miengiam!$A$3:$B$80,2,0)*100)</f>
        <v>100</v>
      </c>
      <c r="V136" s="88"/>
      <c r="W136" s="220">
        <f>IF(AND(T136="NTS",V136&gt;0),(Q136-(Q136*V136)/12)*VLOOKUP(T136,ma_miengiam!$A$3:$B$80,2,0)+(Q136-(Q136*(12-V136))/12),IF(AND(RIGHT(T136,1)="K",V136&gt;0),(VLOOKUP(T136,ma_miengiam!$A$3:$B$80,2,0)/2)*(Q136*V136)/12,IF(RIGHT(T136,1)="K",(VLOOKUP(T136,ma_miengiam!$A$3:$B$80,2,0)*Q136)/2,IF(V136&gt;0,VLOOKUP(T136,ma_miengiam!$A$3:$B$80,2,0)*Q136*V136/12,VLOOKUP(T136,ma_miengiam!$A$3:$B$80,2,0)*Q136))))</f>
        <v>270</v>
      </c>
      <c r="X136" s="220">
        <f>IF(T136="NTS",VLOOKUP(T136,ma_miengiam!$A$3:$B$80,2,0)*R136*V136,IF(AND(T136="NTS",V136=0),0,IF(AND(LEFT(T136,1)="K",V136=0),VLOOKUP(T136,ma_miengiam!$A$3:$B$80,2,0)*R136,IF(LEFT(T136,1)="K",(VLOOKUP(T136,ma_miengiam!$A$3:$B$80,2,0)*R136/12)*V136,IF(AND(LEFT(T136,1)="S",V136&gt;0),(R136/12)*V136,IF(AND(LEFT(T136,1)="S",V136=0),R136,IF(T136="DH",VLOOKUP(T136,ma_miengiam!$A$3:$B$80,2,0)*R136,0)))))))</f>
        <v>120</v>
      </c>
      <c r="Y136" s="220">
        <f t="shared" si="336"/>
        <v>0</v>
      </c>
      <c r="Z136" s="220">
        <f t="shared" si="337"/>
        <v>0</v>
      </c>
      <c r="AA136" s="220">
        <f t="shared" si="403"/>
        <v>270</v>
      </c>
      <c r="AB136" s="220">
        <f t="shared" si="403"/>
        <v>120</v>
      </c>
      <c r="AC136" s="220">
        <f t="shared" si="409"/>
        <v>270</v>
      </c>
      <c r="AD136" s="220">
        <f t="shared" si="409"/>
        <v>120</v>
      </c>
      <c r="AE136" s="220">
        <f t="shared" si="409"/>
        <v>0</v>
      </c>
      <c r="AF136" s="220">
        <f t="shared" si="409"/>
        <v>0</v>
      </c>
      <c r="AG136" s="220">
        <f t="shared" si="392"/>
        <v>0</v>
      </c>
      <c r="AH136" s="220">
        <f t="shared" si="393"/>
        <v>0</v>
      </c>
      <c r="AI136" s="220">
        <f t="shared" si="394"/>
        <v>0</v>
      </c>
      <c r="AJ136" s="220">
        <f t="shared" si="380"/>
        <v>0</v>
      </c>
      <c r="AK136" s="216">
        <f t="shared" si="410"/>
        <v>0</v>
      </c>
      <c r="AL136" s="220">
        <f t="shared" si="248"/>
        <v>0</v>
      </c>
      <c r="AM136" s="220">
        <f t="shared" si="249"/>
        <v>0</v>
      </c>
      <c r="AN136" s="221">
        <f t="shared" si="250"/>
        <v>0</v>
      </c>
      <c r="AO136" s="220">
        <f t="shared" si="251"/>
        <v>0</v>
      </c>
      <c r="AP136" s="220">
        <f t="shared" si="252"/>
        <v>0</v>
      </c>
      <c r="AQ136" s="220">
        <f t="shared" si="253"/>
        <v>0</v>
      </c>
      <c r="AR136" s="220">
        <f t="shared" si="254"/>
        <v>0</v>
      </c>
      <c r="AS136" s="220">
        <f t="shared" si="255"/>
        <v>0</v>
      </c>
      <c r="AT136" s="216">
        <f t="shared" si="256"/>
        <v>0</v>
      </c>
      <c r="AU136" s="222">
        <f t="shared" si="395"/>
        <v>0</v>
      </c>
      <c r="AV136" s="220"/>
      <c r="AW136" s="220">
        <f t="shared" si="350"/>
        <v>0</v>
      </c>
      <c r="AX136" s="216">
        <f t="shared" si="411"/>
        <v>0</v>
      </c>
      <c r="AY136" s="220">
        <f t="shared" si="362"/>
        <v>0</v>
      </c>
      <c r="AZ136" s="220">
        <f t="shared" si="363"/>
        <v>0</v>
      </c>
      <c r="BA136" s="220">
        <f t="shared" si="364"/>
        <v>0</v>
      </c>
      <c r="BB136" s="220">
        <f t="shared" si="365"/>
        <v>0</v>
      </c>
      <c r="BC136" s="220">
        <f t="shared" si="366"/>
        <v>0</v>
      </c>
      <c r="BD136" s="216">
        <f t="shared" si="375"/>
        <v>0</v>
      </c>
      <c r="BE136" s="220">
        <f t="shared" si="351"/>
        <v>0</v>
      </c>
      <c r="BF136" s="220">
        <f t="shared" si="352"/>
        <v>0</v>
      </c>
      <c r="BG136" s="220">
        <f t="shared" si="353"/>
        <v>0</v>
      </c>
      <c r="BH136" s="220">
        <f t="shared" si="354"/>
        <v>0</v>
      </c>
      <c r="BI136" s="220">
        <f t="shared" si="355"/>
        <v>0</v>
      </c>
      <c r="BJ136" s="220" t="s">
        <v>1173</v>
      </c>
      <c r="BK136" s="220"/>
      <c r="BL136" s="223">
        <f t="shared" si="412"/>
        <v>0</v>
      </c>
      <c r="BM136" s="220">
        <v>3.33</v>
      </c>
      <c r="BN136" s="220"/>
      <c r="BO136" s="220">
        <f t="shared" si="404"/>
        <v>3.33</v>
      </c>
      <c r="BP136" s="220">
        <f>IF(AND(BL136&gt;0,BL136&lt;tiet!$D$1),BL136,IF(BL136&lt;=0,0,IF(BL136&gt;tiet!$C$1,tiet!$C$1)))</f>
        <v>0</v>
      </c>
      <c r="BQ136" s="87">
        <f t="shared" si="376"/>
        <v>65000</v>
      </c>
      <c r="BR136" s="224">
        <f t="shared" si="377"/>
        <v>0</v>
      </c>
      <c r="BS136" s="220">
        <f t="shared" si="219"/>
        <v>0</v>
      </c>
      <c r="BT136" s="224">
        <f>VLOOKUP(N136,ma_dinhmuc!$A$1:$J$31,10,0)</f>
        <v>51000</v>
      </c>
      <c r="BU136" s="224">
        <f>ROUND(IF(BS136&gt;0,VLOOKUP(N136,ma_dinhmuc!$A$1:$J$31,10,0)*BS136,0),0)</f>
        <v>0</v>
      </c>
      <c r="BV136" s="224">
        <f t="shared" si="378"/>
        <v>0</v>
      </c>
      <c r="BW136" s="224"/>
      <c r="BX136" s="224">
        <v>0</v>
      </c>
      <c r="BY136" s="224"/>
      <c r="BZ136" s="224"/>
      <c r="CA136" s="224"/>
      <c r="CB136" s="224"/>
      <c r="CC136" s="225">
        <f t="shared" si="384"/>
        <v>0</v>
      </c>
      <c r="CD136" s="224">
        <f t="shared" si="385"/>
        <v>0</v>
      </c>
      <c r="CE136" s="224"/>
      <c r="CF136" s="226"/>
      <c r="CG136" s="87"/>
      <c r="CH136" s="87">
        <f t="shared" si="381"/>
        <v>37</v>
      </c>
      <c r="CI136" s="227" t="str">
        <f t="shared" si="405"/>
        <v>Bùi Huy</v>
      </c>
      <c r="CJ136" s="227" t="str">
        <f t="shared" si="405"/>
        <v>Doanh</v>
      </c>
      <c r="CK136" s="87">
        <f t="shared" si="396"/>
        <v>2</v>
      </c>
      <c r="CL136" s="227" t="str">
        <f t="shared" si="397"/>
        <v>Hóa sinh động vật</v>
      </c>
      <c r="CM136" s="87" t="str">
        <f t="shared" si="358"/>
        <v>CS2</v>
      </c>
      <c r="CN136" s="87">
        <f t="shared" si="406"/>
        <v>270</v>
      </c>
      <c r="CO136" s="87">
        <f t="shared" si="406"/>
        <v>120</v>
      </c>
      <c r="CP136" s="229">
        <f t="shared" si="223"/>
        <v>0</v>
      </c>
      <c r="CQ136" s="229">
        <f t="shared" si="224"/>
        <v>0</v>
      </c>
      <c r="CR136" s="229">
        <f t="shared" si="225"/>
        <v>0</v>
      </c>
      <c r="CS136" s="229">
        <f t="shared" si="226"/>
        <v>0</v>
      </c>
      <c r="CT136" s="229">
        <f t="shared" si="227"/>
        <v>0</v>
      </c>
      <c r="CU136" s="229">
        <f t="shared" si="228"/>
        <v>0</v>
      </c>
      <c r="CV136" s="229">
        <f t="shared" si="229"/>
        <v>0</v>
      </c>
      <c r="CW136" s="229">
        <f t="shared" si="230"/>
        <v>0</v>
      </c>
      <c r="CX136" s="229">
        <f t="shared" si="231"/>
        <v>0</v>
      </c>
      <c r="CY136" s="229">
        <f t="shared" si="232"/>
        <v>0</v>
      </c>
      <c r="CZ136" s="229">
        <f t="shared" si="233"/>
        <v>0</v>
      </c>
      <c r="DA136" s="229">
        <f t="shared" si="234"/>
        <v>0</v>
      </c>
      <c r="DB136" s="228">
        <f t="shared" si="214"/>
        <v>0</v>
      </c>
      <c r="DC136" s="229"/>
      <c r="DD136" s="229"/>
      <c r="DE136" s="229"/>
      <c r="DF136" s="229"/>
      <c r="DG136" s="229"/>
      <c r="DH136" s="229"/>
      <c r="DI136" s="229"/>
      <c r="DJ136" s="229"/>
      <c r="DK136" s="229"/>
      <c r="DL136" s="229"/>
      <c r="DM136" s="229"/>
      <c r="DN136" s="229"/>
      <c r="DO136" s="228">
        <f t="shared" si="215"/>
        <v>0</v>
      </c>
      <c r="DP136" s="228">
        <f t="shared" si="216"/>
        <v>0</v>
      </c>
      <c r="DQ136" s="229">
        <f t="shared" si="235"/>
        <v>0</v>
      </c>
      <c r="DR136" s="229">
        <f t="shared" si="236"/>
        <v>0</v>
      </c>
      <c r="DS136" s="229">
        <f t="shared" si="237"/>
        <v>0</v>
      </c>
      <c r="DT136" s="229">
        <f t="shared" si="238"/>
        <v>0</v>
      </c>
      <c r="DU136" s="229">
        <f t="shared" si="239"/>
        <v>0</v>
      </c>
      <c r="DV136" s="229">
        <f t="shared" si="240"/>
        <v>0</v>
      </c>
      <c r="DW136" s="229">
        <f t="shared" si="241"/>
        <v>0</v>
      </c>
      <c r="DX136" s="228">
        <f t="shared" si="217"/>
        <v>0</v>
      </c>
      <c r="DY136" s="229"/>
      <c r="DZ136" s="229"/>
      <c r="EA136" s="229"/>
      <c r="EB136" s="229"/>
      <c r="EC136" s="229"/>
      <c r="ED136" s="229"/>
      <c r="EE136" s="229"/>
      <c r="EF136" s="228">
        <f t="shared" si="220"/>
        <v>0</v>
      </c>
      <c r="EG136" s="228">
        <f t="shared" si="218"/>
        <v>0</v>
      </c>
      <c r="EH136" s="229">
        <f t="shared" si="221"/>
        <v>0</v>
      </c>
      <c r="EI136" s="229">
        <v>0</v>
      </c>
      <c r="EJ136" s="228">
        <f t="shared" si="407"/>
        <v>0</v>
      </c>
      <c r="EK136" s="229"/>
      <c r="EL136" s="229"/>
      <c r="EM136" s="228">
        <f t="shared" si="398"/>
        <v>0</v>
      </c>
      <c r="EN136" s="229">
        <f t="shared" ref="EN136:EN187" si="413">EK136+EH136+EL136</f>
        <v>0</v>
      </c>
      <c r="EO136" s="229">
        <f t="shared" si="388"/>
        <v>0</v>
      </c>
      <c r="EP136" s="228">
        <f t="shared" si="408"/>
        <v>0</v>
      </c>
      <c r="EQ136" s="173">
        <f t="shared" si="222"/>
        <v>0</v>
      </c>
      <c r="ER136" s="189">
        <v>0</v>
      </c>
      <c r="ES136" s="189">
        <v>0</v>
      </c>
      <c r="ET136" s="189">
        <v>0</v>
      </c>
      <c r="EU136" s="189">
        <v>0</v>
      </c>
      <c r="EV136" s="189">
        <v>0</v>
      </c>
      <c r="EW136" s="189">
        <v>0</v>
      </c>
      <c r="EX136" s="189">
        <v>0</v>
      </c>
      <c r="EY136" s="189">
        <v>0</v>
      </c>
      <c r="EZ136" s="189">
        <v>0</v>
      </c>
      <c r="FA136" s="189">
        <v>0</v>
      </c>
      <c r="FB136" s="189">
        <v>0</v>
      </c>
      <c r="FC136" s="189">
        <v>0</v>
      </c>
      <c r="FD136" s="189">
        <v>0</v>
      </c>
      <c r="FE136" s="189">
        <v>0</v>
      </c>
      <c r="FF136" s="189">
        <v>0</v>
      </c>
      <c r="FG136" s="189">
        <v>0</v>
      </c>
      <c r="FH136" s="189">
        <v>0</v>
      </c>
      <c r="FI136" s="189">
        <v>0</v>
      </c>
      <c r="FJ136" s="189">
        <v>0</v>
      </c>
      <c r="FK136" s="189">
        <v>0</v>
      </c>
      <c r="FL136" s="189">
        <v>0</v>
      </c>
      <c r="FN136" s="132">
        <v>0</v>
      </c>
    </row>
    <row r="137" spans="1:170" ht="25.5" customHeight="1">
      <c r="A137" s="88">
        <f>COUNTIF($H$12:H137,H137)</f>
        <v>38</v>
      </c>
      <c r="B137" s="88" t="s">
        <v>1998</v>
      </c>
      <c r="C137" s="88" t="s">
        <v>2605</v>
      </c>
      <c r="D137" s="88"/>
      <c r="E137" s="88"/>
      <c r="F137" s="301" t="s">
        <v>2899</v>
      </c>
      <c r="G137" s="89" t="s">
        <v>2998</v>
      </c>
      <c r="H137" s="88">
        <v>2</v>
      </c>
      <c r="I137" s="88">
        <v>2</v>
      </c>
      <c r="J137" s="88">
        <v>2</v>
      </c>
      <c r="K137" s="90" t="s">
        <v>3083</v>
      </c>
      <c r="L137" s="90" t="s">
        <v>3083</v>
      </c>
      <c r="M137" s="214"/>
      <c r="N137" s="88" t="s">
        <v>1804</v>
      </c>
      <c r="O137" s="216">
        <f t="shared" si="401"/>
        <v>3.66</v>
      </c>
      <c r="P137" s="88" t="str">
        <f t="shared" si="402"/>
        <v>B1_4</v>
      </c>
      <c r="Q137" s="88">
        <f t="shared" si="331"/>
        <v>270</v>
      </c>
      <c r="R137" s="88">
        <f t="shared" si="332"/>
        <v>120</v>
      </c>
      <c r="S137" s="218" t="s">
        <v>3189</v>
      </c>
      <c r="T137" s="88" t="s">
        <v>2961</v>
      </c>
      <c r="U137" s="88">
        <f>IF(RIGHT(T137,1)="K",(VLOOKUP(T137,ma_miengiam!$A$3:$B$80,2,0)*100)/2,VLOOKUP(T137,ma_miengiam!$A$3:$B$80,2,0)*100)</f>
        <v>100</v>
      </c>
      <c r="V137" s="88"/>
      <c r="W137" s="220">
        <f>IF(AND(T137="NTS",V137&gt;0),(Q137-(Q137*V137)/12)*VLOOKUP(T137,ma_miengiam!$A$3:$B$80,2,0)+(Q137-(Q137*(12-V137))/12),IF(AND(RIGHT(T137,1)="K",V137&gt;0),(VLOOKUP(T137,ma_miengiam!$A$3:$B$80,2,0)/2)*(Q137*V137)/12,IF(RIGHT(T137,1)="K",(VLOOKUP(T137,ma_miengiam!$A$3:$B$80,2,0)*Q137)/2,IF(V137&gt;0,VLOOKUP(T137,ma_miengiam!$A$3:$B$80,2,0)*Q137*V137/12,VLOOKUP(T137,ma_miengiam!$A$3:$B$80,2,0)*Q137))))</f>
        <v>270</v>
      </c>
      <c r="X137" s="220">
        <f>IF(T137="NTS",VLOOKUP(T137,ma_miengiam!$A$3:$B$80,2,0)*R137*V137,IF(AND(T137="NTS",V137=0),0,IF(AND(LEFT(T137,1)="K",V137=0),VLOOKUP(T137,ma_miengiam!$A$3:$B$80,2,0)*R137,IF(LEFT(T137,1)="K",(VLOOKUP(T137,ma_miengiam!$A$3:$B$80,2,0)*R137/12)*V137,IF(AND(LEFT(T137,1)="S",V137&gt;0),(R137/12)*V137,IF(AND(LEFT(T137,1)="S",V137=0),R137,IF(T137="DH",VLOOKUP(T137,ma_miengiam!$A$3:$B$80,2,0)*R137,0)))))))</f>
        <v>120</v>
      </c>
      <c r="Y137" s="220">
        <f t="shared" si="336"/>
        <v>0</v>
      </c>
      <c r="Z137" s="220">
        <f t="shared" si="337"/>
        <v>0</v>
      </c>
      <c r="AA137" s="220">
        <f t="shared" si="403"/>
        <v>270</v>
      </c>
      <c r="AB137" s="220">
        <f t="shared" si="403"/>
        <v>120</v>
      </c>
      <c r="AC137" s="220">
        <f t="shared" si="409"/>
        <v>270</v>
      </c>
      <c r="AD137" s="220">
        <f t="shared" si="409"/>
        <v>120</v>
      </c>
      <c r="AE137" s="220">
        <f t="shared" si="409"/>
        <v>0</v>
      </c>
      <c r="AF137" s="220">
        <f t="shared" si="409"/>
        <v>0</v>
      </c>
      <c r="AG137" s="220">
        <f t="shared" si="392"/>
        <v>0</v>
      </c>
      <c r="AH137" s="220">
        <f t="shared" si="393"/>
        <v>0</v>
      </c>
      <c r="AI137" s="220">
        <f t="shared" si="394"/>
        <v>0</v>
      </c>
      <c r="AJ137" s="220">
        <f t="shared" si="380"/>
        <v>0</v>
      </c>
      <c r="AK137" s="216">
        <f t="shared" si="410"/>
        <v>0</v>
      </c>
      <c r="AL137" s="220">
        <f t="shared" si="248"/>
        <v>0</v>
      </c>
      <c r="AM137" s="220">
        <f t="shared" si="249"/>
        <v>0</v>
      </c>
      <c r="AN137" s="221">
        <f t="shared" si="250"/>
        <v>0</v>
      </c>
      <c r="AO137" s="220">
        <f t="shared" si="251"/>
        <v>0</v>
      </c>
      <c r="AP137" s="220">
        <f t="shared" si="252"/>
        <v>0</v>
      </c>
      <c r="AQ137" s="220">
        <f t="shared" si="253"/>
        <v>0</v>
      </c>
      <c r="AR137" s="220">
        <f t="shared" si="254"/>
        <v>0</v>
      </c>
      <c r="AS137" s="220">
        <f t="shared" si="255"/>
        <v>0</v>
      </c>
      <c r="AT137" s="216">
        <f t="shared" si="256"/>
        <v>0</v>
      </c>
      <c r="AU137" s="222">
        <f t="shared" si="395"/>
        <v>0</v>
      </c>
      <c r="AV137" s="220"/>
      <c r="AW137" s="220">
        <f t="shared" si="350"/>
        <v>0</v>
      </c>
      <c r="AX137" s="216">
        <f t="shared" si="411"/>
        <v>0</v>
      </c>
      <c r="AY137" s="220">
        <f t="shared" si="362"/>
        <v>0</v>
      </c>
      <c r="AZ137" s="220">
        <f t="shared" si="363"/>
        <v>0</v>
      </c>
      <c r="BA137" s="220">
        <f t="shared" si="364"/>
        <v>0</v>
      </c>
      <c r="BB137" s="220">
        <f t="shared" si="365"/>
        <v>0</v>
      </c>
      <c r="BC137" s="220">
        <f t="shared" si="366"/>
        <v>0</v>
      </c>
      <c r="BD137" s="216">
        <f t="shared" si="375"/>
        <v>0</v>
      </c>
      <c r="BE137" s="220">
        <f t="shared" si="351"/>
        <v>0</v>
      </c>
      <c r="BF137" s="220">
        <f t="shared" si="352"/>
        <v>0</v>
      </c>
      <c r="BG137" s="220">
        <f t="shared" si="353"/>
        <v>0</v>
      </c>
      <c r="BH137" s="220">
        <f t="shared" si="354"/>
        <v>0</v>
      </c>
      <c r="BI137" s="220">
        <f t="shared" si="355"/>
        <v>0</v>
      </c>
      <c r="BJ137" s="220" t="s">
        <v>2218</v>
      </c>
      <c r="BK137" s="220"/>
      <c r="BL137" s="223">
        <f t="shared" si="412"/>
        <v>0</v>
      </c>
      <c r="BM137" s="220">
        <v>3.66</v>
      </c>
      <c r="BN137" s="220"/>
      <c r="BO137" s="220">
        <f t="shared" si="404"/>
        <v>3.66</v>
      </c>
      <c r="BP137" s="220">
        <f>IF(AND(BL137&gt;0,BL137&lt;tiet!$D$1),BL137,IF(BL137&lt;=0,0,IF(BL137&gt;tiet!$C$1,tiet!$C$1)))</f>
        <v>0</v>
      </c>
      <c r="BQ137" s="87">
        <f t="shared" si="376"/>
        <v>65000</v>
      </c>
      <c r="BR137" s="224">
        <f t="shared" si="377"/>
        <v>0</v>
      </c>
      <c r="BS137" s="220">
        <f t="shared" si="219"/>
        <v>0</v>
      </c>
      <c r="BT137" s="224">
        <f>VLOOKUP(N137,ma_dinhmuc!$A$1:$J$31,10,0)</f>
        <v>51000</v>
      </c>
      <c r="BU137" s="224">
        <f>ROUND(IF(BS137&gt;0,VLOOKUP(N137,ma_dinhmuc!$A$1:$J$31,10,0)*BS137,0),0)</f>
        <v>0</v>
      </c>
      <c r="BV137" s="224">
        <f t="shared" si="378"/>
        <v>0</v>
      </c>
      <c r="BW137" s="224"/>
      <c r="BX137" s="224">
        <v>0</v>
      </c>
      <c r="BY137" s="224"/>
      <c r="BZ137" s="224"/>
      <c r="CA137" s="224"/>
      <c r="CB137" s="224"/>
      <c r="CC137" s="225">
        <f t="shared" si="384"/>
        <v>0</v>
      </c>
      <c r="CD137" s="224">
        <f t="shared" si="385"/>
        <v>0</v>
      </c>
      <c r="CE137" s="224"/>
      <c r="CF137" s="226"/>
      <c r="CG137" s="87"/>
      <c r="CH137" s="87">
        <f t="shared" ref="CH137:CH154" si="414">A137</f>
        <v>38</v>
      </c>
      <c r="CI137" s="227" t="str">
        <f t="shared" si="405"/>
        <v>Ngô Thị</v>
      </c>
      <c r="CJ137" s="227" t="str">
        <f t="shared" si="405"/>
        <v>Thuỳ</v>
      </c>
      <c r="CK137" s="87">
        <f t="shared" si="396"/>
        <v>2</v>
      </c>
      <c r="CL137" s="227" t="str">
        <f t="shared" si="397"/>
        <v>Hóa sinh động vật</v>
      </c>
      <c r="CM137" s="87" t="str">
        <f t="shared" si="358"/>
        <v>CS2</v>
      </c>
      <c r="CN137" s="87">
        <f t="shared" ref="CN137:CO139" si="415">Q137</f>
        <v>270</v>
      </c>
      <c r="CO137" s="87">
        <f t="shared" si="415"/>
        <v>120</v>
      </c>
      <c r="CP137" s="229">
        <f t="shared" si="223"/>
        <v>0</v>
      </c>
      <c r="CQ137" s="229">
        <f t="shared" si="224"/>
        <v>0</v>
      </c>
      <c r="CR137" s="229">
        <f t="shared" si="225"/>
        <v>0</v>
      </c>
      <c r="CS137" s="229">
        <f t="shared" si="226"/>
        <v>0</v>
      </c>
      <c r="CT137" s="229">
        <f t="shared" si="227"/>
        <v>0</v>
      </c>
      <c r="CU137" s="229">
        <f t="shared" si="228"/>
        <v>0</v>
      </c>
      <c r="CV137" s="229">
        <f t="shared" si="229"/>
        <v>0</v>
      </c>
      <c r="CW137" s="229">
        <f t="shared" si="230"/>
        <v>0</v>
      </c>
      <c r="CX137" s="229">
        <f t="shared" si="231"/>
        <v>0</v>
      </c>
      <c r="CY137" s="229">
        <f t="shared" si="232"/>
        <v>0</v>
      </c>
      <c r="CZ137" s="229">
        <f t="shared" si="233"/>
        <v>0</v>
      </c>
      <c r="DA137" s="229">
        <f t="shared" si="234"/>
        <v>0</v>
      </c>
      <c r="DB137" s="228">
        <f t="shared" si="214"/>
        <v>0</v>
      </c>
      <c r="DC137" s="229"/>
      <c r="DD137" s="229"/>
      <c r="DE137" s="229"/>
      <c r="DF137" s="229"/>
      <c r="DG137" s="229"/>
      <c r="DH137" s="229"/>
      <c r="DI137" s="229"/>
      <c r="DJ137" s="229"/>
      <c r="DK137" s="229"/>
      <c r="DL137" s="229"/>
      <c r="DM137" s="229"/>
      <c r="DN137" s="229"/>
      <c r="DO137" s="228">
        <f t="shared" si="215"/>
        <v>0</v>
      </c>
      <c r="DP137" s="228">
        <f t="shared" si="216"/>
        <v>0</v>
      </c>
      <c r="DQ137" s="229">
        <f t="shared" si="235"/>
        <v>0</v>
      </c>
      <c r="DR137" s="229">
        <f t="shared" si="236"/>
        <v>0</v>
      </c>
      <c r="DS137" s="229">
        <f t="shared" si="237"/>
        <v>0</v>
      </c>
      <c r="DT137" s="229">
        <f t="shared" si="238"/>
        <v>0</v>
      </c>
      <c r="DU137" s="229">
        <f t="shared" si="239"/>
        <v>0</v>
      </c>
      <c r="DV137" s="229">
        <f t="shared" si="240"/>
        <v>0</v>
      </c>
      <c r="DW137" s="229">
        <f t="shared" si="241"/>
        <v>0</v>
      </c>
      <c r="DX137" s="228">
        <f t="shared" si="217"/>
        <v>0</v>
      </c>
      <c r="DY137" s="229"/>
      <c r="DZ137" s="229"/>
      <c r="EA137" s="229"/>
      <c r="EB137" s="229"/>
      <c r="EC137" s="229"/>
      <c r="ED137" s="229"/>
      <c r="EE137" s="229"/>
      <c r="EF137" s="228">
        <f t="shared" si="220"/>
        <v>0</v>
      </c>
      <c r="EG137" s="228">
        <f t="shared" si="218"/>
        <v>0</v>
      </c>
      <c r="EH137" s="229">
        <f t="shared" si="221"/>
        <v>0</v>
      </c>
      <c r="EI137" s="229">
        <v>0</v>
      </c>
      <c r="EJ137" s="228">
        <f t="shared" si="407"/>
        <v>0</v>
      </c>
      <c r="EK137" s="229"/>
      <c r="EL137" s="229"/>
      <c r="EM137" s="228">
        <f t="shared" si="398"/>
        <v>0</v>
      </c>
      <c r="EN137" s="229">
        <f t="shared" si="413"/>
        <v>0</v>
      </c>
      <c r="EO137" s="229">
        <f t="shared" si="388"/>
        <v>0</v>
      </c>
      <c r="EP137" s="228">
        <f t="shared" si="408"/>
        <v>0</v>
      </c>
      <c r="EQ137" s="173">
        <f t="shared" si="222"/>
        <v>0</v>
      </c>
      <c r="ER137" s="189">
        <v>0</v>
      </c>
      <c r="ES137" s="189">
        <v>0</v>
      </c>
      <c r="ET137" s="189">
        <v>0</v>
      </c>
      <c r="EU137" s="189">
        <v>0</v>
      </c>
      <c r="EV137" s="189">
        <v>0</v>
      </c>
      <c r="EW137" s="189">
        <v>0</v>
      </c>
      <c r="EX137" s="189">
        <v>0</v>
      </c>
      <c r="EY137" s="189">
        <v>0</v>
      </c>
      <c r="EZ137" s="189">
        <v>0</v>
      </c>
      <c r="FA137" s="189">
        <v>0</v>
      </c>
      <c r="FB137" s="189">
        <v>0</v>
      </c>
      <c r="FC137" s="189">
        <v>0</v>
      </c>
      <c r="FD137" s="189">
        <v>0</v>
      </c>
      <c r="FE137" s="189">
        <v>0</v>
      </c>
      <c r="FF137" s="189">
        <v>0</v>
      </c>
      <c r="FG137" s="189">
        <v>0</v>
      </c>
      <c r="FH137" s="189">
        <v>0</v>
      </c>
      <c r="FI137" s="189">
        <v>0</v>
      </c>
      <c r="FJ137" s="189">
        <v>0</v>
      </c>
      <c r="FK137" s="189">
        <v>0</v>
      </c>
      <c r="FL137" s="189">
        <v>0</v>
      </c>
      <c r="FN137" s="132">
        <v>0</v>
      </c>
    </row>
    <row r="138" spans="1:170" ht="30" customHeight="1">
      <c r="A138" s="88">
        <f>COUNTIF($H$12:H138,H138)</f>
        <v>39</v>
      </c>
      <c r="B138" s="88" t="s">
        <v>1999</v>
      </c>
      <c r="C138" s="88" t="s">
        <v>2606</v>
      </c>
      <c r="D138" s="88"/>
      <c r="E138" s="88"/>
      <c r="F138" s="301" t="s">
        <v>2458</v>
      </c>
      <c r="G138" s="89" t="s">
        <v>2459</v>
      </c>
      <c r="H138" s="88">
        <v>2</v>
      </c>
      <c r="I138" s="88">
        <v>2</v>
      </c>
      <c r="J138" s="88">
        <v>2</v>
      </c>
      <c r="K138" s="90" t="s">
        <v>2951</v>
      </c>
      <c r="L138" s="90" t="s">
        <v>2951</v>
      </c>
      <c r="M138" s="214"/>
      <c r="N138" s="88" t="s">
        <v>605</v>
      </c>
      <c r="O138" s="216">
        <f t="shared" si="401"/>
        <v>6.92</v>
      </c>
      <c r="P138" s="88" t="str">
        <f t="shared" si="402"/>
        <v>B1_7</v>
      </c>
      <c r="Q138" s="88">
        <f t="shared" si="331"/>
        <v>270</v>
      </c>
      <c r="R138" s="88">
        <f t="shared" si="332"/>
        <v>200</v>
      </c>
      <c r="S138" s="230"/>
      <c r="T138" s="88" t="s">
        <v>3088</v>
      </c>
      <c r="U138" s="88">
        <f>IF(RIGHT(T138,1)="K",(VLOOKUP(T138,ma_miengiam!$A$3:$B$80,2,0)*100)/2,VLOOKUP(T138,ma_miengiam!$A$3:$B$80,2,0)*100)</f>
        <v>0</v>
      </c>
      <c r="V138" s="88"/>
      <c r="W138" s="220">
        <f>IF(AND(T138="NTS",V138&gt;0),(Q138-(Q138*V138)/12)*VLOOKUP(T138,ma_miengiam!$A$3:$B$80,2,0)+(Q138-(Q138*(12-V138))/12),IF(AND(RIGHT(T138,1)="K",V138&gt;0),(VLOOKUP(T138,ma_miengiam!$A$3:$B$80,2,0)/2)*(Q138*V138)/12,IF(RIGHT(T138,1)="K",(VLOOKUP(T138,ma_miengiam!$A$3:$B$80,2,0)*Q138)/2,IF(V138&gt;0,VLOOKUP(T138,ma_miengiam!$A$3:$B$80,2,0)*Q138*V138/12,VLOOKUP(T138,ma_miengiam!$A$3:$B$80,2,0)*Q138))))</f>
        <v>0</v>
      </c>
      <c r="X138" s="220">
        <f>IF(T138="NTS",VLOOKUP(T138,ma_miengiam!$A$3:$B$80,2,0)*R138*V138,IF(AND(T138="NTS",V138=0),0,IF(AND(LEFT(T138,1)="K",V138=0),VLOOKUP(T138,ma_miengiam!$A$3:$B$80,2,0)*R138,IF(LEFT(T138,1)="K",(VLOOKUP(T138,ma_miengiam!$A$3:$B$80,2,0)*R138/12)*V138,IF(AND(LEFT(T138,1)="S",V138&gt;0),(R138/12)*V138,IF(AND(LEFT(T138,1)="S",V138=0),R138,IF(T138="DH",VLOOKUP(T138,ma_miengiam!$A$3:$B$80,2,0)*R138,0)))))))</f>
        <v>0</v>
      </c>
      <c r="Y138" s="220">
        <f t="shared" si="336"/>
        <v>270</v>
      </c>
      <c r="Z138" s="220">
        <f t="shared" si="337"/>
        <v>200</v>
      </c>
      <c r="AA138" s="220">
        <f t="shared" ref="AA138:AB140" si="416">Q138</f>
        <v>270</v>
      </c>
      <c r="AB138" s="220">
        <f t="shared" si="416"/>
        <v>200</v>
      </c>
      <c r="AC138" s="220">
        <f t="shared" ref="AC138:AF139" si="417">W138</f>
        <v>0</v>
      </c>
      <c r="AD138" s="220">
        <f t="shared" si="417"/>
        <v>0</v>
      </c>
      <c r="AE138" s="220">
        <f t="shared" si="417"/>
        <v>270</v>
      </c>
      <c r="AF138" s="220">
        <f t="shared" si="417"/>
        <v>200</v>
      </c>
      <c r="AG138" s="220">
        <f t="shared" ref="AG138:AG143" si="418">AH138+AI138</f>
        <v>223.96</v>
      </c>
      <c r="AH138" s="220">
        <f t="shared" ref="AH138:AH143" si="419">EO138</f>
        <v>117.29</v>
      </c>
      <c r="AI138" s="220">
        <f t="shared" ref="AI138:AI143" si="420">EN138</f>
        <v>106.67</v>
      </c>
      <c r="AJ138" s="220">
        <f t="shared" si="380"/>
        <v>0</v>
      </c>
      <c r="AK138" s="216">
        <f t="shared" si="410"/>
        <v>270</v>
      </c>
      <c r="AL138" s="220">
        <f t="shared" si="248"/>
        <v>411.20000000000005</v>
      </c>
      <c r="AM138" s="220">
        <f t="shared" si="249"/>
        <v>54.9</v>
      </c>
      <c r="AN138" s="221">
        <f t="shared" si="250"/>
        <v>466.1</v>
      </c>
      <c r="AO138" s="220">
        <f t="shared" si="251"/>
        <v>0</v>
      </c>
      <c r="AP138" s="220">
        <f t="shared" si="252"/>
        <v>0</v>
      </c>
      <c r="AQ138" s="220">
        <f t="shared" si="253"/>
        <v>140</v>
      </c>
      <c r="AR138" s="220">
        <f t="shared" si="254"/>
        <v>24</v>
      </c>
      <c r="AS138" s="220">
        <f t="shared" si="255"/>
        <v>50</v>
      </c>
      <c r="AT138" s="216">
        <f t="shared" si="256"/>
        <v>680.1</v>
      </c>
      <c r="AU138" s="222">
        <f t="shared" si="395"/>
        <v>196.10000000000002</v>
      </c>
      <c r="AV138" s="220"/>
      <c r="AW138" s="220">
        <f t="shared" si="350"/>
        <v>196.10000000000002</v>
      </c>
      <c r="AX138" s="216">
        <f t="shared" si="411"/>
        <v>0</v>
      </c>
      <c r="AY138" s="220">
        <f t="shared" si="362"/>
        <v>0</v>
      </c>
      <c r="AZ138" s="220">
        <f t="shared" si="363"/>
        <v>0</v>
      </c>
      <c r="BA138" s="220">
        <f t="shared" si="364"/>
        <v>140</v>
      </c>
      <c r="BB138" s="220">
        <f t="shared" si="365"/>
        <v>24</v>
      </c>
      <c r="BC138" s="220">
        <f t="shared" si="366"/>
        <v>50</v>
      </c>
      <c r="BD138" s="216">
        <f t="shared" si="375"/>
        <v>214</v>
      </c>
      <c r="BE138" s="220">
        <f t="shared" si="351"/>
        <v>0</v>
      </c>
      <c r="BF138" s="220">
        <f t="shared" si="352"/>
        <v>0</v>
      </c>
      <c r="BG138" s="220">
        <f t="shared" si="353"/>
        <v>0</v>
      </c>
      <c r="BH138" s="220">
        <f t="shared" si="354"/>
        <v>0</v>
      </c>
      <c r="BI138" s="220">
        <f t="shared" si="355"/>
        <v>0</v>
      </c>
      <c r="BJ138" s="220" t="s">
        <v>2969</v>
      </c>
      <c r="BK138" s="220"/>
      <c r="BL138" s="223">
        <f t="shared" si="412"/>
        <v>196.10000000000002</v>
      </c>
      <c r="BM138" s="220">
        <v>6.92</v>
      </c>
      <c r="BN138" s="220"/>
      <c r="BO138" s="220">
        <f t="shared" si="404"/>
        <v>6.92</v>
      </c>
      <c r="BP138" s="220">
        <f>IF(AND(BL138&gt;0,BL138&lt;tiet!$D$1),BL138,IF(BL138&lt;=0,0,IF(BL138&gt;tiet!$C$1,tiet!$C$1)))</f>
        <v>196.10000000000002</v>
      </c>
      <c r="BQ138" s="87">
        <f t="shared" si="376"/>
        <v>80000</v>
      </c>
      <c r="BR138" s="224">
        <f t="shared" si="377"/>
        <v>15688000</v>
      </c>
      <c r="BS138" s="220">
        <f t="shared" si="219"/>
        <v>0</v>
      </c>
      <c r="BT138" s="224">
        <f>VLOOKUP(N138,ma_dinhmuc!$A$1:$J$31,10,0)</f>
        <v>65000</v>
      </c>
      <c r="BU138" s="224">
        <f>ROUND(IF(BS138&gt;0,VLOOKUP(N138,ma_dinhmuc!$A$1:$J$31,10,0)*BS138,0),0)</f>
        <v>0</v>
      </c>
      <c r="BV138" s="224">
        <f t="shared" si="378"/>
        <v>15688000</v>
      </c>
      <c r="BW138" s="224"/>
      <c r="BX138" s="224">
        <v>0</v>
      </c>
      <c r="BY138" s="224"/>
      <c r="BZ138" s="224"/>
      <c r="CA138" s="224"/>
      <c r="CB138" s="224"/>
      <c r="CC138" s="225">
        <f t="shared" si="384"/>
        <v>15688000</v>
      </c>
      <c r="CD138" s="224">
        <f t="shared" si="385"/>
        <v>0</v>
      </c>
      <c r="CE138" s="224"/>
      <c r="CF138" s="226"/>
      <c r="CG138" s="87"/>
      <c r="CH138" s="87">
        <f t="shared" si="414"/>
        <v>39</v>
      </c>
      <c r="CI138" s="227" t="str">
        <f t="shared" ref="CI138:CJ142" si="421">F138</f>
        <v>Nguyễn Bá</v>
      </c>
      <c r="CJ138" s="227" t="str">
        <f t="shared" si="421"/>
        <v>Mùi</v>
      </c>
      <c r="CK138" s="87">
        <f t="shared" ref="CK138:CK147" si="422">H138</f>
        <v>2</v>
      </c>
      <c r="CL138" s="227" t="str">
        <f t="shared" si="397"/>
        <v>Sinh lý - Tập tính động vật</v>
      </c>
      <c r="CM138" s="87" t="str">
        <f t="shared" si="358"/>
        <v>CS4</v>
      </c>
      <c r="CN138" s="87">
        <f t="shared" si="415"/>
        <v>270</v>
      </c>
      <c r="CO138" s="87">
        <f t="shared" si="415"/>
        <v>200</v>
      </c>
      <c r="CP138" s="229">
        <f t="shared" si="223"/>
        <v>0</v>
      </c>
      <c r="CQ138" s="229">
        <f t="shared" si="224"/>
        <v>48.7</v>
      </c>
      <c r="CR138" s="229">
        <f t="shared" si="225"/>
        <v>19.600000000000001</v>
      </c>
      <c r="CS138" s="229">
        <f t="shared" si="226"/>
        <v>0</v>
      </c>
      <c r="CT138" s="229">
        <f t="shared" si="227"/>
        <v>0</v>
      </c>
      <c r="CU138" s="229">
        <f t="shared" si="228"/>
        <v>170.9</v>
      </c>
      <c r="CV138" s="229">
        <f t="shared" si="229"/>
        <v>0</v>
      </c>
      <c r="CW138" s="229">
        <f t="shared" si="230"/>
        <v>172</v>
      </c>
      <c r="CX138" s="229">
        <f t="shared" si="231"/>
        <v>0</v>
      </c>
      <c r="CY138" s="229">
        <f t="shared" si="232"/>
        <v>0</v>
      </c>
      <c r="CZ138" s="229">
        <f t="shared" si="233"/>
        <v>0</v>
      </c>
      <c r="DA138" s="229">
        <f t="shared" si="234"/>
        <v>140</v>
      </c>
      <c r="DB138" s="228">
        <f t="shared" si="214"/>
        <v>551.20000000000005</v>
      </c>
      <c r="DC138" s="229"/>
      <c r="DD138" s="229"/>
      <c r="DE138" s="229"/>
      <c r="DF138" s="229"/>
      <c r="DG138" s="229"/>
      <c r="DH138" s="229"/>
      <c r="DI138" s="229"/>
      <c r="DJ138" s="229"/>
      <c r="DK138" s="229"/>
      <c r="DL138" s="229"/>
      <c r="DM138" s="229"/>
      <c r="DN138" s="229"/>
      <c r="DO138" s="228">
        <f t="shared" si="215"/>
        <v>0</v>
      </c>
      <c r="DP138" s="228">
        <f t="shared" si="216"/>
        <v>551.20000000000005</v>
      </c>
      <c r="DQ138" s="229">
        <f t="shared" si="235"/>
        <v>54</v>
      </c>
      <c r="DR138" s="229">
        <f t="shared" si="236"/>
        <v>0.6</v>
      </c>
      <c r="DS138" s="229">
        <f t="shared" si="237"/>
        <v>0</v>
      </c>
      <c r="DT138" s="229">
        <f t="shared" si="238"/>
        <v>0.3</v>
      </c>
      <c r="DU138" s="229">
        <f t="shared" si="239"/>
        <v>0</v>
      </c>
      <c r="DV138" s="229">
        <f t="shared" si="240"/>
        <v>24</v>
      </c>
      <c r="DW138" s="229">
        <f t="shared" si="241"/>
        <v>50</v>
      </c>
      <c r="DX138" s="228">
        <f t="shared" si="217"/>
        <v>128.9</v>
      </c>
      <c r="DY138" s="229"/>
      <c r="DZ138" s="229"/>
      <c r="EA138" s="229"/>
      <c r="EB138" s="229"/>
      <c r="EC138" s="229"/>
      <c r="ED138" s="229"/>
      <c r="EE138" s="229"/>
      <c r="EF138" s="228">
        <f t="shared" si="220"/>
        <v>0</v>
      </c>
      <c r="EG138" s="228">
        <f t="shared" si="218"/>
        <v>128.9</v>
      </c>
      <c r="EH138" s="229">
        <f t="shared" si="221"/>
        <v>106.67</v>
      </c>
      <c r="EI138" s="229">
        <v>117.29</v>
      </c>
      <c r="EJ138" s="228">
        <f t="shared" si="407"/>
        <v>223.96</v>
      </c>
      <c r="EK138" s="229"/>
      <c r="EL138" s="229"/>
      <c r="EM138" s="228">
        <f t="shared" si="398"/>
        <v>0</v>
      </c>
      <c r="EN138" s="229">
        <f t="shared" si="413"/>
        <v>106.67</v>
      </c>
      <c r="EO138" s="229">
        <f t="shared" si="388"/>
        <v>117.29</v>
      </c>
      <c r="EP138" s="228">
        <f t="shared" si="408"/>
        <v>223.96</v>
      </c>
      <c r="EQ138" s="173">
        <f t="shared" si="222"/>
        <v>0</v>
      </c>
      <c r="ER138" s="189">
        <v>0</v>
      </c>
      <c r="ES138" s="189">
        <v>48.7</v>
      </c>
      <c r="ET138" s="189">
        <v>19.600000000000001</v>
      </c>
      <c r="EU138" s="189">
        <v>0</v>
      </c>
      <c r="EV138" s="189">
        <v>0</v>
      </c>
      <c r="EW138" s="189">
        <v>170.9</v>
      </c>
      <c r="EX138" s="189">
        <v>0</v>
      </c>
      <c r="EY138" s="189">
        <v>172</v>
      </c>
      <c r="EZ138" s="189">
        <v>0</v>
      </c>
      <c r="FA138" s="189">
        <v>0</v>
      </c>
      <c r="FB138" s="189">
        <v>0</v>
      </c>
      <c r="FC138" s="189">
        <v>140</v>
      </c>
      <c r="FD138" s="189">
        <v>54</v>
      </c>
      <c r="FE138" s="189">
        <v>0.6</v>
      </c>
      <c r="FF138" s="189">
        <v>0</v>
      </c>
      <c r="FG138" s="189">
        <v>0.3</v>
      </c>
      <c r="FH138" s="189">
        <v>24</v>
      </c>
      <c r="FI138" s="189">
        <v>0</v>
      </c>
      <c r="FJ138" s="189">
        <v>50</v>
      </c>
      <c r="FK138" s="189">
        <v>680.1</v>
      </c>
      <c r="FL138" s="189">
        <v>534</v>
      </c>
      <c r="FN138" s="132">
        <v>106.67</v>
      </c>
    </row>
    <row r="139" spans="1:170" ht="36" customHeight="1">
      <c r="A139" s="88">
        <f>COUNTIF($H$12:H139,H139)</f>
        <v>40</v>
      </c>
      <c r="B139" s="88" t="s">
        <v>2000</v>
      </c>
      <c r="C139" s="88" t="s">
        <v>2607</v>
      </c>
      <c r="D139" s="88"/>
      <c r="E139" s="88"/>
      <c r="F139" s="301" t="s">
        <v>1580</v>
      </c>
      <c r="G139" s="303" t="s">
        <v>2088</v>
      </c>
      <c r="H139" s="88">
        <v>2</v>
      </c>
      <c r="I139" s="88">
        <v>2</v>
      </c>
      <c r="J139" s="88">
        <v>2</v>
      </c>
      <c r="K139" s="90" t="s">
        <v>2951</v>
      </c>
      <c r="L139" s="90" t="s">
        <v>2951</v>
      </c>
      <c r="M139" s="214"/>
      <c r="N139" s="88" t="s">
        <v>1804</v>
      </c>
      <c r="O139" s="216">
        <f t="shared" si="401"/>
        <v>3.66</v>
      </c>
      <c r="P139" s="88" t="str">
        <f t="shared" si="402"/>
        <v>B1_4</v>
      </c>
      <c r="Q139" s="88">
        <f t="shared" si="331"/>
        <v>270</v>
      </c>
      <c r="R139" s="88">
        <f t="shared" si="332"/>
        <v>120</v>
      </c>
      <c r="S139" s="233" t="s">
        <v>2649</v>
      </c>
      <c r="T139" s="88" t="s">
        <v>3090</v>
      </c>
      <c r="U139" s="88">
        <f>IF(RIGHT(T139,1)="K",(VLOOKUP(T139,ma_miengiam!$A$3:$B$80,2,0)*100)/2,VLOOKUP(T139,ma_miengiam!$A$3:$B$80,2,0)*100)</f>
        <v>15</v>
      </c>
      <c r="V139" s="88"/>
      <c r="W139" s="220">
        <f>IF(AND(T139="NTS",V139&gt;0),(Q139-(Q139*V139)/12)*VLOOKUP(T139,ma_miengiam!$A$3:$B$80,2,0)+(Q139-(Q139*(12-V139))/12),IF(AND(RIGHT(T139,1)="K",V139&gt;0),(VLOOKUP(T139,ma_miengiam!$A$3:$B$80,2,0)/2)*(Q139*V139)/12,IF(RIGHT(T139,1)="K",(VLOOKUP(T139,ma_miengiam!$A$3:$B$80,2,0)*Q139)/2,IF(V139&gt;0,VLOOKUP(T139,ma_miengiam!$A$3:$B$80,2,0)*Q139*V139/12,VLOOKUP(T139,ma_miengiam!$A$3:$B$80,2,0)*Q139))))</f>
        <v>40.5</v>
      </c>
      <c r="X139" s="220">
        <f>IF(T139="NTS",VLOOKUP(T139,ma_miengiam!$A$3:$B$80,2,0)*R139*V139,IF(AND(T139="NTS",V139=0),0,IF(AND(LEFT(T139,1)="K",V139=0),VLOOKUP(T139,ma_miengiam!$A$3:$B$80,2,0)*R139,IF(LEFT(T139,1)="K",(VLOOKUP(T139,ma_miengiam!$A$3:$B$80,2,0)*R139/12)*V139,IF(AND(LEFT(T139,1)="S",V139&gt;0),(R139/12)*V139,IF(AND(LEFT(T139,1)="S",V139=0),R139,IF(T139="DH",VLOOKUP(T139,ma_miengiam!$A$3:$B$80,2,0)*R139,0)))))))</f>
        <v>0</v>
      </c>
      <c r="Y139" s="220">
        <f t="shared" si="336"/>
        <v>229.5</v>
      </c>
      <c r="Z139" s="220">
        <f t="shared" si="337"/>
        <v>120</v>
      </c>
      <c r="AA139" s="220">
        <f t="shared" si="416"/>
        <v>270</v>
      </c>
      <c r="AB139" s="220">
        <f t="shared" si="416"/>
        <v>120</v>
      </c>
      <c r="AC139" s="220">
        <f t="shared" si="417"/>
        <v>40.5</v>
      </c>
      <c r="AD139" s="220">
        <f t="shared" si="417"/>
        <v>0</v>
      </c>
      <c r="AE139" s="220">
        <f t="shared" si="417"/>
        <v>229.5</v>
      </c>
      <c r="AF139" s="220">
        <f t="shared" si="417"/>
        <v>120</v>
      </c>
      <c r="AG139" s="220">
        <f t="shared" si="418"/>
        <v>167.5</v>
      </c>
      <c r="AH139" s="220">
        <f t="shared" si="419"/>
        <v>30</v>
      </c>
      <c r="AI139" s="220">
        <f t="shared" si="420"/>
        <v>137.5</v>
      </c>
      <c r="AJ139" s="220">
        <f t="shared" si="380"/>
        <v>0</v>
      </c>
      <c r="AK139" s="216">
        <f t="shared" si="410"/>
        <v>229.5</v>
      </c>
      <c r="AL139" s="220">
        <f t="shared" si="248"/>
        <v>266.3</v>
      </c>
      <c r="AM139" s="220">
        <f t="shared" si="249"/>
        <v>0</v>
      </c>
      <c r="AN139" s="221">
        <f t="shared" si="250"/>
        <v>266.3</v>
      </c>
      <c r="AO139" s="220">
        <f t="shared" si="251"/>
        <v>0</v>
      </c>
      <c r="AP139" s="220">
        <f t="shared" si="252"/>
        <v>0</v>
      </c>
      <c r="AQ139" s="220">
        <f t="shared" si="253"/>
        <v>80</v>
      </c>
      <c r="AR139" s="220">
        <f t="shared" si="254"/>
        <v>0</v>
      </c>
      <c r="AS139" s="220">
        <f t="shared" si="255"/>
        <v>0</v>
      </c>
      <c r="AT139" s="216">
        <f t="shared" si="256"/>
        <v>346.3</v>
      </c>
      <c r="AU139" s="222">
        <f t="shared" si="395"/>
        <v>36.800000000000011</v>
      </c>
      <c r="AV139" s="220"/>
      <c r="AW139" s="220">
        <f t="shared" si="350"/>
        <v>36.800000000000011</v>
      </c>
      <c r="AX139" s="216">
        <f t="shared" si="411"/>
        <v>0</v>
      </c>
      <c r="AY139" s="220">
        <f t="shared" si="362"/>
        <v>0</v>
      </c>
      <c r="AZ139" s="220">
        <f t="shared" si="363"/>
        <v>0</v>
      </c>
      <c r="BA139" s="220">
        <f t="shared" si="364"/>
        <v>80</v>
      </c>
      <c r="BB139" s="220">
        <f t="shared" si="365"/>
        <v>0</v>
      </c>
      <c r="BC139" s="220">
        <f t="shared" si="366"/>
        <v>0</v>
      </c>
      <c r="BD139" s="216">
        <f t="shared" si="375"/>
        <v>80</v>
      </c>
      <c r="BE139" s="220">
        <f t="shared" si="351"/>
        <v>0</v>
      </c>
      <c r="BF139" s="220">
        <f t="shared" si="352"/>
        <v>0</v>
      </c>
      <c r="BG139" s="220">
        <f t="shared" si="353"/>
        <v>0</v>
      </c>
      <c r="BH139" s="220">
        <f t="shared" si="354"/>
        <v>0</v>
      </c>
      <c r="BI139" s="220">
        <f t="shared" si="355"/>
        <v>0</v>
      </c>
      <c r="BJ139" s="220" t="s">
        <v>2969</v>
      </c>
      <c r="BK139" s="220"/>
      <c r="BL139" s="223">
        <f t="shared" si="412"/>
        <v>36.800000000000011</v>
      </c>
      <c r="BM139" s="220">
        <v>3.66</v>
      </c>
      <c r="BN139" s="220"/>
      <c r="BO139" s="220">
        <f t="shared" si="404"/>
        <v>3.66</v>
      </c>
      <c r="BP139" s="220">
        <f>IF(AND(BL139&gt;0,BL139&lt;tiet!$D$1),BL139,IF(BL139&lt;=0,0,IF(BL139&gt;tiet!$C$1,tiet!$C$1)))</f>
        <v>36.800000000000011</v>
      </c>
      <c r="BQ139" s="87">
        <f t="shared" si="376"/>
        <v>65000</v>
      </c>
      <c r="BR139" s="224">
        <f t="shared" si="377"/>
        <v>2392000</v>
      </c>
      <c r="BS139" s="220">
        <f t="shared" si="219"/>
        <v>0</v>
      </c>
      <c r="BT139" s="224">
        <f>VLOOKUP(N139,ma_dinhmuc!$A$1:$J$31,10,0)</f>
        <v>51000</v>
      </c>
      <c r="BU139" s="224">
        <f>ROUND(IF(BS139&gt;0,VLOOKUP(N139,ma_dinhmuc!$A$1:$J$31,10,0)*BS139,0),0)</f>
        <v>0</v>
      </c>
      <c r="BV139" s="224">
        <f t="shared" si="378"/>
        <v>2392000</v>
      </c>
      <c r="BW139" s="224"/>
      <c r="BX139" s="224">
        <v>0</v>
      </c>
      <c r="BY139" s="224"/>
      <c r="BZ139" s="224"/>
      <c r="CA139" s="224"/>
      <c r="CB139" s="224"/>
      <c r="CC139" s="225">
        <f t="shared" si="384"/>
        <v>2392000</v>
      </c>
      <c r="CD139" s="224">
        <f t="shared" si="385"/>
        <v>0</v>
      </c>
      <c r="CE139" s="224"/>
      <c r="CF139" s="226"/>
      <c r="CG139" s="87"/>
      <c r="CH139" s="87">
        <f t="shared" si="414"/>
        <v>40</v>
      </c>
      <c r="CI139" s="227" t="str">
        <f t="shared" si="421"/>
        <v>Nguyễn Thị Phương</v>
      </c>
      <c r="CJ139" s="227" t="str">
        <f t="shared" si="421"/>
        <v>Giang</v>
      </c>
      <c r="CK139" s="87">
        <f t="shared" si="422"/>
        <v>2</v>
      </c>
      <c r="CL139" s="227" t="str">
        <f t="shared" si="397"/>
        <v>Sinh lý - Tập tính động vật</v>
      </c>
      <c r="CM139" s="87" t="str">
        <f t="shared" si="358"/>
        <v>CS2</v>
      </c>
      <c r="CN139" s="87">
        <f t="shared" si="415"/>
        <v>270</v>
      </c>
      <c r="CO139" s="87">
        <f t="shared" si="415"/>
        <v>120</v>
      </c>
      <c r="CP139" s="229">
        <f t="shared" si="223"/>
        <v>0</v>
      </c>
      <c r="CQ139" s="229">
        <f t="shared" si="224"/>
        <v>37.4</v>
      </c>
      <c r="CR139" s="229">
        <f t="shared" si="225"/>
        <v>15</v>
      </c>
      <c r="CS139" s="229">
        <f t="shared" si="226"/>
        <v>0</v>
      </c>
      <c r="CT139" s="229">
        <f t="shared" si="227"/>
        <v>0</v>
      </c>
      <c r="CU139" s="229">
        <f t="shared" si="228"/>
        <v>93.9</v>
      </c>
      <c r="CV139" s="229">
        <f t="shared" si="229"/>
        <v>0</v>
      </c>
      <c r="CW139" s="229">
        <f t="shared" si="230"/>
        <v>120</v>
      </c>
      <c r="CX139" s="229">
        <f t="shared" si="231"/>
        <v>0</v>
      </c>
      <c r="CY139" s="229">
        <f t="shared" si="232"/>
        <v>0</v>
      </c>
      <c r="CZ139" s="229">
        <f t="shared" si="233"/>
        <v>0</v>
      </c>
      <c r="DA139" s="229">
        <f t="shared" si="234"/>
        <v>80</v>
      </c>
      <c r="DB139" s="228">
        <f t="shared" ref="DB139:DB199" si="423">SUM(CP139:DA139)</f>
        <v>346.3</v>
      </c>
      <c r="DC139" s="229"/>
      <c r="DD139" s="229"/>
      <c r="DE139" s="229"/>
      <c r="DF139" s="229"/>
      <c r="DG139" s="229"/>
      <c r="DH139" s="229"/>
      <c r="DI139" s="229"/>
      <c r="DJ139" s="229"/>
      <c r="DK139" s="229"/>
      <c r="DL139" s="229"/>
      <c r="DM139" s="229"/>
      <c r="DN139" s="229"/>
      <c r="DO139" s="228">
        <f t="shared" si="215"/>
        <v>0</v>
      </c>
      <c r="DP139" s="228">
        <f t="shared" si="216"/>
        <v>346.3</v>
      </c>
      <c r="DQ139" s="229">
        <f t="shared" si="235"/>
        <v>0</v>
      </c>
      <c r="DR139" s="229">
        <f t="shared" si="236"/>
        <v>0</v>
      </c>
      <c r="DS139" s="229">
        <f t="shared" si="237"/>
        <v>0</v>
      </c>
      <c r="DT139" s="229">
        <f t="shared" si="238"/>
        <v>0</v>
      </c>
      <c r="DU139" s="229">
        <f t="shared" si="239"/>
        <v>0</v>
      </c>
      <c r="DV139" s="229">
        <f t="shared" si="240"/>
        <v>0</v>
      </c>
      <c r="DW139" s="229">
        <f t="shared" si="241"/>
        <v>0</v>
      </c>
      <c r="DX139" s="228">
        <f t="shared" ref="DX139:DX199" si="424">SUM(DQ139:DW139)</f>
        <v>0</v>
      </c>
      <c r="DY139" s="229"/>
      <c r="DZ139" s="229"/>
      <c r="EA139" s="229"/>
      <c r="EB139" s="229"/>
      <c r="EC139" s="229"/>
      <c r="ED139" s="229"/>
      <c r="EE139" s="229"/>
      <c r="EF139" s="228">
        <f t="shared" si="220"/>
        <v>0</v>
      </c>
      <c r="EG139" s="228">
        <f t="shared" si="218"/>
        <v>0</v>
      </c>
      <c r="EH139" s="229">
        <f t="shared" si="221"/>
        <v>137.5</v>
      </c>
      <c r="EI139" s="229">
        <v>30</v>
      </c>
      <c r="EJ139" s="228">
        <f t="shared" si="407"/>
        <v>167.5</v>
      </c>
      <c r="EK139" s="229"/>
      <c r="EL139" s="229"/>
      <c r="EM139" s="228">
        <f t="shared" si="398"/>
        <v>0</v>
      </c>
      <c r="EN139" s="229">
        <f t="shared" si="413"/>
        <v>137.5</v>
      </c>
      <c r="EO139" s="229">
        <f t="shared" si="388"/>
        <v>30</v>
      </c>
      <c r="EP139" s="228">
        <f t="shared" si="408"/>
        <v>167.5</v>
      </c>
      <c r="EQ139" s="173">
        <f t="shared" si="222"/>
        <v>17.5</v>
      </c>
      <c r="ER139" s="189">
        <v>0</v>
      </c>
      <c r="ES139" s="189">
        <v>37.4</v>
      </c>
      <c r="ET139" s="189">
        <v>15</v>
      </c>
      <c r="EU139" s="189">
        <v>0</v>
      </c>
      <c r="EV139" s="189">
        <v>0</v>
      </c>
      <c r="EW139" s="189">
        <v>93.9</v>
      </c>
      <c r="EX139" s="189">
        <v>0</v>
      </c>
      <c r="EY139" s="189">
        <v>120</v>
      </c>
      <c r="EZ139" s="189">
        <v>0</v>
      </c>
      <c r="FA139" s="189">
        <v>0</v>
      </c>
      <c r="FB139" s="189">
        <v>0</v>
      </c>
      <c r="FC139" s="189">
        <v>80</v>
      </c>
      <c r="FD139" s="189">
        <v>0</v>
      </c>
      <c r="FE139" s="189">
        <v>0</v>
      </c>
      <c r="FF139" s="189">
        <v>0</v>
      </c>
      <c r="FG139" s="189">
        <v>0</v>
      </c>
      <c r="FH139" s="189">
        <v>0</v>
      </c>
      <c r="FI139" s="189">
        <v>0</v>
      </c>
      <c r="FJ139" s="189">
        <v>0</v>
      </c>
      <c r="FK139" s="189">
        <v>346.3</v>
      </c>
      <c r="FL139" s="189">
        <v>272</v>
      </c>
      <c r="FN139" s="132">
        <v>137.5</v>
      </c>
    </row>
    <row r="140" spans="1:170" ht="28.5" customHeight="1">
      <c r="A140" s="88">
        <f>COUNTIF($H$12:H140,H140)</f>
        <v>41</v>
      </c>
      <c r="B140" s="88" t="s">
        <v>2001</v>
      </c>
      <c r="C140" s="88" t="s">
        <v>2608</v>
      </c>
      <c r="D140" s="88"/>
      <c r="E140" s="88"/>
      <c r="F140" s="301" t="s">
        <v>2999</v>
      </c>
      <c r="G140" s="303" t="s">
        <v>1649</v>
      </c>
      <c r="H140" s="88">
        <v>2</v>
      </c>
      <c r="I140" s="88">
        <v>2</v>
      </c>
      <c r="J140" s="88">
        <v>2</v>
      </c>
      <c r="K140" s="90" t="s">
        <v>2951</v>
      </c>
      <c r="L140" s="90" t="s">
        <v>2951</v>
      </c>
      <c r="M140" s="214"/>
      <c r="N140" s="88" t="s">
        <v>606</v>
      </c>
      <c r="O140" s="216">
        <f>BO140</f>
        <v>4.4000000000000004</v>
      </c>
      <c r="P140" s="88" t="str">
        <f t="shared" si="402"/>
        <v>B1_4</v>
      </c>
      <c r="Q140" s="88">
        <f t="shared" si="331"/>
        <v>270</v>
      </c>
      <c r="R140" s="88">
        <f t="shared" si="332"/>
        <v>120</v>
      </c>
      <c r="S140" s="230" t="s">
        <v>2031</v>
      </c>
      <c r="T140" s="88" t="s">
        <v>3091</v>
      </c>
      <c r="U140" s="88">
        <f>IF(RIGHT(T140,1)="K",(VLOOKUP(T140,ma_miengiam!$A$3:$B$80,2,0)*100)/2,VLOOKUP(T140,ma_miengiam!$A$3:$B$80,2,0)*100)</f>
        <v>20</v>
      </c>
      <c r="V140" s="88"/>
      <c r="W140" s="220">
        <f>IF(AND(T140="NTS",V140&gt;0),(Q140-(Q140*V140)/12)*VLOOKUP(T140,ma_miengiam!$A$3:$B$80,2,0)+(Q140-(Q140*(12-V140))/12),IF(AND(RIGHT(T140,1)="K",V140&gt;0),(VLOOKUP(T140,ma_miengiam!$A$3:$B$80,2,0)/2)*(Q140*V140)/12,IF(RIGHT(T140,1)="K",(VLOOKUP(T140,ma_miengiam!$A$3:$B$80,2,0)*Q140)/2,IF(V140&gt;0,VLOOKUP(T140,ma_miengiam!$A$3:$B$80,2,0)*Q140*V140/12,VLOOKUP(T140,ma_miengiam!$A$3:$B$80,2,0)*Q140))))</f>
        <v>54</v>
      </c>
      <c r="X140" s="220">
        <f>IF(T140="NTS",VLOOKUP(T140,ma_miengiam!$A$3:$B$80,2,0)*R140*V140,IF(AND(T140="NTS",V140=0),0,IF(AND(LEFT(T140,1)="K",V140=0),VLOOKUP(T140,ma_miengiam!$A$3:$B$80,2,0)*R140,IF(LEFT(T140,1)="K",(VLOOKUP(T140,ma_miengiam!$A$3:$B$80,2,0)*R140/12)*V140,IF(AND(LEFT(T140,1)="S",V140&gt;0),(R140/12)*V140,IF(AND(LEFT(T140,1)="S",V140=0),R140,IF(T140="DH",VLOOKUP(T140,ma_miengiam!$A$3:$B$80,2,0)*R140,0)))))))</f>
        <v>0</v>
      </c>
      <c r="Y140" s="220">
        <f t="shared" si="336"/>
        <v>216</v>
      </c>
      <c r="Z140" s="220">
        <f t="shared" si="337"/>
        <v>120</v>
      </c>
      <c r="AA140" s="220">
        <f t="shared" si="416"/>
        <v>270</v>
      </c>
      <c r="AB140" s="220">
        <f t="shared" si="416"/>
        <v>120</v>
      </c>
      <c r="AC140" s="220">
        <f>W140</f>
        <v>54</v>
      </c>
      <c r="AD140" s="220">
        <f>X140</f>
        <v>0</v>
      </c>
      <c r="AE140" s="220">
        <f>Y140</f>
        <v>216</v>
      </c>
      <c r="AF140" s="220">
        <f>Z140</f>
        <v>120</v>
      </c>
      <c r="AG140" s="220">
        <f t="shared" si="418"/>
        <v>37.5</v>
      </c>
      <c r="AH140" s="220">
        <f t="shared" si="419"/>
        <v>0</v>
      </c>
      <c r="AI140" s="220">
        <f t="shared" si="420"/>
        <v>37.5</v>
      </c>
      <c r="AJ140" s="220">
        <f>IF(AG140-Z140&gt;0,0,AG140-Z140)</f>
        <v>-82.5</v>
      </c>
      <c r="AK140" s="216">
        <f t="shared" si="410"/>
        <v>298.5</v>
      </c>
      <c r="AL140" s="220">
        <f t="shared" ref="AL140:AL200" si="425">SUM(CP140:CX140)+SUM(DC140:DK140)</f>
        <v>302.8</v>
      </c>
      <c r="AM140" s="220">
        <f t="shared" ref="AM140:AM200" si="426">SUM(DQ140:DU140)+SUM(DY140:EC140)</f>
        <v>0.7</v>
      </c>
      <c r="AN140" s="221">
        <f t="shared" ref="AN140:AN200" si="427">AM140+AL140</f>
        <v>303.5</v>
      </c>
      <c r="AO140" s="220">
        <f t="shared" ref="AO140:AO200" si="428">CY140+DL140</f>
        <v>0</v>
      </c>
      <c r="AP140" s="220">
        <f t="shared" ref="AP140:AP200" si="429">CZ140+DM140</f>
        <v>0</v>
      </c>
      <c r="AQ140" s="220">
        <f t="shared" ref="AQ140:AQ200" si="430">DA140+DN140</f>
        <v>120</v>
      </c>
      <c r="AR140" s="220">
        <f t="shared" ref="AR140:AR200" si="431">DV140+ED140</f>
        <v>70</v>
      </c>
      <c r="AS140" s="220">
        <f t="shared" ref="AS140:AS200" si="432">DW140+EE140</f>
        <v>0</v>
      </c>
      <c r="AT140" s="216">
        <f t="shared" ref="AT140:AT200" si="433">AN140+SUM(AO140:AS140)</f>
        <v>493.5</v>
      </c>
      <c r="AU140" s="222">
        <f t="shared" si="395"/>
        <v>5</v>
      </c>
      <c r="AV140" s="220"/>
      <c r="AW140" s="220">
        <f t="shared" si="350"/>
        <v>5</v>
      </c>
      <c r="AX140" s="216">
        <f t="shared" si="411"/>
        <v>0</v>
      </c>
      <c r="AY140" s="220">
        <f t="shared" si="362"/>
        <v>0</v>
      </c>
      <c r="AZ140" s="220">
        <f t="shared" si="363"/>
        <v>0</v>
      </c>
      <c r="BA140" s="220">
        <f t="shared" si="364"/>
        <v>120</v>
      </c>
      <c r="BB140" s="220">
        <f t="shared" si="365"/>
        <v>70</v>
      </c>
      <c r="BC140" s="220">
        <f t="shared" si="366"/>
        <v>0</v>
      </c>
      <c r="BD140" s="216">
        <f t="shared" si="375"/>
        <v>190</v>
      </c>
      <c r="BE140" s="220">
        <f t="shared" si="351"/>
        <v>0</v>
      </c>
      <c r="BF140" s="220">
        <f t="shared" si="352"/>
        <v>0</v>
      </c>
      <c r="BG140" s="220">
        <f t="shared" si="353"/>
        <v>0</v>
      </c>
      <c r="BH140" s="220">
        <f t="shared" si="354"/>
        <v>0</v>
      </c>
      <c r="BI140" s="220">
        <f t="shared" si="355"/>
        <v>0</v>
      </c>
      <c r="BJ140" s="220" t="s">
        <v>2969</v>
      </c>
      <c r="BK140" s="220"/>
      <c r="BL140" s="223">
        <f t="shared" si="412"/>
        <v>5</v>
      </c>
      <c r="BM140" s="220">
        <v>4.4000000000000004</v>
      </c>
      <c r="BN140" s="220"/>
      <c r="BO140" s="220">
        <f t="shared" si="404"/>
        <v>4.4000000000000004</v>
      </c>
      <c r="BP140" s="220">
        <f>IF(AND(BL140&gt;0,BL140&lt;tiet!$D$1),BL140,IF(BL140&lt;=0,0,IF(BL140&gt;tiet!$C$1,tiet!$C$1)))</f>
        <v>5</v>
      </c>
      <c r="BQ140" s="87">
        <f>VLOOKUP(P140,ma_dinhmuc_moi,4,0)</f>
        <v>65000</v>
      </c>
      <c r="BR140" s="224">
        <f>ROUND(BQ140*BP140,0)</f>
        <v>325000</v>
      </c>
      <c r="BS140" s="220">
        <f t="shared" ref="BS140:BS203" si="434">BL140-BP140</f>
        <v>0</v>
      </c>
      <c r="BT140" s="224">
        <f>VLOOKUP(N140,ma_dinhmuc!$A$1:$J$31,10,0)</f>
        <v>55000</v>
      </c>
      <c r="BU140" s="224">
        <f>ROUND(IF(BS140&gt;0,VLOOKUP(N140,ma_dinhmuc!$A$1:$J$31,10,0)*BS140,0),0)</f>
        <v>0</v>
      </c>
      <c r="BV140" s="224">
        <f>ROUND(BU140+BR140,0)</f>
        <v>325000</v>
      </c>
      <c r="BW140" s="224"/>
      <c r="BX140" s="224">
        <v>0</v>
      </c>
      <c r="BY140" s="224"/>
      <c r="BZ140" s="224"/>
      <c r="CA140" s="224"/>
      <c r="CB140" s="224"/>
      <c r="CC140" s="225">
        <f t="shared" si="384"/>
        <v>325000</v>
      </c>
      <c r="CD140" s="224">
        <f t="shared" si="385"/>
        <v>0</v>
      </c>
      <c r="CE140" s="224"/>
      <c r="CF140" s="226"/>
      <c r="CG140" s="87"/>
      <c r="CH140" s="87">
        <f t="shared" si="414"/>
        <v>41</v>
      </c>
      <c r="CI140" s="227" t="str">
        <f t="shared" si="421"/>
        <v>Cù Thị Thiên</v>
      </c>
      <c r="CJ140" s="227" t="str">
        <f t="shared" si="421"/>
        <v>Thu</v>
      </c>
      <c r="CK140" s="87">
        <f t="shared" si="422"/>
        <v>2</v>
      </c>
      <c r="CL140" s="227" t="str">
        <f t="shared" si="397"/>
        <v>Sinh lý - Tập tính động vật</v>
      </c>
      <c r="CM140" s="87" t="str">
        <f t="shared" si="358"/>
        <v>CS3</v>
      </c>
      <c r="CN140" s="87">
        <f t="shared" ref="CN140:CO142" si="435">Q140</f>
        <v>270</v>
      </c>
      <c r="CO140" s="87">
        <f t="shared" si="435"/>
        <v>120</v>
      </c>
      <c r="CP140" s="229">
        <f t="shared" si="223"/>
        <v>0</v>
      </c>
      <c r="CQ140" s="229">
        <f t="shared" si="224"/>
        <v>49.8</v>
      </c>
      <c r="CR140" s="229">
        <f t="shared" si="225"/>
        <v>20</v>
      </c>
      <c r="CS140" s="229">
        <f t="shared" si="226"/>
        <v>0</v>
      </c>
      <c r="CT140" s="229">
        <f t="shared" si="227"/>
        <v>0</v>
      </c>
      <c r="CU140" s="229">
        <f t="shared" si="228"/>
        <v>125</v>
      </c>
      <c r="CV140" s="229">
        <f t="shared" si="229"/>
        <v>0</v>
      </c>
      <c r="CW140" s="229">
        <f t="shared" si="230"/>
        <v>108</v>
      </c>
      <c r="CX140" s="229">
        <f t="shared" si="231"/>
        <v>0</v>
      </c>
      <c r="CY140" s="229">
        <f t="shared" si="232"/>
        <v>0</v>
      </c>
      <c r="CZ140" s="229">
        <f t="shared" si="233"/>
        <v>0</v>
      </c>
      <c r="DA140" s="229">
        <f t="shared" si="234"/>
        <v>120</v>
      </c>
      <c r="DB140" s="228">
        <f t="shared" si="423"/>
        <v>422.8</v>
      </c>
      <c r="DC140" s="229"/>
      <c r="DD140" s="229"/>
      <c r="DE140" s="229"/>
      <c r="DF140" s="229"/>
      <c r="DG140" s="229"/>
      <c r="DH140" s="229"/>
      <c r="DI140" s="229"/>
      <c r="DJ140" s="229"/>
      <c r="DK140" s="229"/>
      <c r="DL140" s="229"/>
      <c r="DM140" s="229"/>
      <c r="DN140" s="229"/>
      <c r="DO140" s="228">
        <f t="shared" ref="DO140:DO200" si="436">SUM(DC140:DN140)</f>
        <v>0</v>
      </c>
      <c r="DP140" s="228">
        <f t="shared" ref="DP140:DP200" si="437">DO140+DB140</f>
        <v>422.8</v>
      </c>
      <c r="DQ140" s="229">
        <f t="shared" si="235"/>
        <v>0</v>
      </c>
      <c r="DR140" s="229">
        <f t="shared" si="236"/>
        <v>0.5</v>
      </c>
      <c r="DS140" s="229">
        <f t="shared" si="237"/>
        <v>0</v>
      </c>
      <c r="DT140" s="229">
        <f t="shared" si="238"/>
        <v>0.2</v>
      </c>
      <c r="DU140" s="229">
        <f t="shared" si="239"/>
        <v>0</v>
      </c>
      <c r="DV140" s="229">
        <f t="shared" si="240"/>
        <v>70</v>
      </c>
      <c r="DW140" s="229">
        <f t="shared" si="241"/>
        <v>0</v>
      </c>
      <c r="DX140" s="228">
        <f t="shared" si="424"/>
        <v>70.7</v>
      </c>
      <c r="DY140" s="229"/>
      <c r="DZ140" s="229"/>
      <c r="EA140" s="229"/>
      <c r="EB140" s="229"/>
      <c r="EC140" s="229"/>
      <c r="ED140" s="229"/>
      <c r="EE140" s="229"/>
      <c r="EF140" s="228">
        <f t="shared" ref="EF140:EF203" si="438">SUM(DY140:EE140)</f>
        <v>0</v>
      </c>
      <c r="EG140" s="228">
        <f t="shared" ref="EG140:EG200" si="439">EF140+DX140</f>
        <v>70.7</v>
      </c>
      <c r="EH140" s="229">
        <f t="shared" ref="EH140:EH203" si="440">FN140</f>
        <v>37.5</v>
      </c>
      <c r="EI140" s="229">
        <v>0</v>
      </c>
      <c r="EJ140" s="228">
        <f t="shared" si="407"/>
        <v>37.5</v>
      </c>
      <c r="EK140" s="229"/>
      <c r="EL140" s="229"/>
      <c r="EM140" s="228">
        <f t="shared" si="398"/>
        <v>0</v>
      </c>
      <c r="EN140" s="229">
        <f t="shared" si="413"/>
        <v>37.5</v>
      </c>
      <c r="EO140" s="229">
        <f t="shared" si="388"/>
        <v>0</v>
      </c>
      <c r="EP140" s="228">
        <f>EM140+EJ140</f>
        <v>37.5</v>
      </c>
      <c r="EQ140" s="173">
        <f t="shared" ref="EQ140:EQ203" si="441">IF(EN140&gt;Z140,EN140-Z140,0)</f>
        <v>0</v>
      </c>
      <c r="ER140" s="189">
        <v>0</v>
      </c>
      <c r="ES140" s="189">
        <v>49.8</v>
      </c>
      <c r="ET140" s="189">
        <v>20</v>
      </c>
      <c r="EU140" s="189">
        <v>0</v>
      </c>
      <c r="EV140" s="189">
        <v>0</v>
      </c>
      <c r="EW140" s="189">
        <v>125</v>
      </c>
      <c r="EX140" s="189">
        <v>0</v>
      </c>
      <c r="EY140" s="189">
        <v>108</v>
      </c>
      <c r="EZ140" s="189">
        <v>0</v>
      </c>
      <c r="FA140" s="189">
        <v>0</v>
      </c>
      <c r="FB140" s="189">
        <v>0</v>
      </c>
      <c r="FC140" s="189">
        <v>120</v>
      </c>
      <c r="FD140" s="189">
        <v>0</v>
      </c>
      <c r="FE140" s="189">
        <v>0.5</v>
      </c>
      <c r="FF140" s="189">
        <v>0</v>
      </c>
      <c r="FG140" s="189">
        <v>0.2</v>
      </c>
      <c r="FH140" s="189">
        <v>70</v>
      </c>
      <c r="FI140" s="189">
        <v>0</v>
      </c>
      <c r="FJ140" s="189">
        <v>0</v>
      </c>
      <c r="FK140" s="189">
        <v>493.5</v>
      </c>
      <c r="FL140" s="189">
        <v>392</v>
      </c>
      <c r="FN140" s="132">
        <v>37.5</v>
      </c>
    </row>
    <row r="141" spans="1:170" ht="45">
      <c r="A141" s="88">
        <f>COUNTIF($H$12:H141,H141)</f>
        <v>42</v>
      </c>
      <c r="B141" s="88" t="s">
        <v>2002</v>
      </c>
      <c r="C141" s="88" t="s">
        <v>2609</v>
      </c>
      <c r="D141" s="88"/>
      <c r="E141" s="88"/>
      <c r="F141" s="301" t="s">
        <v>3000</v>
      </c>
      <c r="G141" s="89" t="s">
        <v>2405</v>
      </c>
      <c r="H141" s="88">
        <v>2</v>
      </c>
      <c r="I141" s="88">
        <v>2</v>
      </c>
      <c r="J141" s="88">
        <v>2</v>
      </c>
      <c r="K141" s="90" t="s">
        <v>2951</v>
      </c>
      <c r="L141" s="90" t="s">
        <v>2951</v>
      </c>
      <c r="M141" s="214"/>
      <c r="N141" s="88" t="s">
        <v>605</v>
      </c>
      <c r="O141" s="216">
        <f>BO141</f>
        <v>6.2</v>
      </c>
      <c r="P141" s="88" t="str">
        <f t="shared" si="402"/>
        <v>B1_6</v>
      </c>
      <c r="Q141" s="88">
        <f t="shared" si="331"/>
        <v>270</v>
      </c>
      <c r="R141" s="88">
        <f t="shared" si="332"/>
        <v>170</v>
      </c>
      <c r="S141" s="231" t="s">
        <v>489</v>
      </c>
      <c r="T141" s="88" t="s">
        <v>3093</v>
      </c>
      <c r="U141" s="88">
        <f>IF(RIGHT(T141,1)="K",(VLOOKUP(T141,ma_miengiam!$A$3:$B$80,2,0)*100)/2,VLOOKUP(T141,ma_miengiam!$A$3:$B$80,2,0)*100)</f>
        <v>30</v>
      </c>
      <c r="V141" s="88"/>
      <c r="W141" s="220">
        <f>IF(AND(T141="NTS",V141&gt;0),(Q141-(Q141*V141)/12)*VLOOKUP(T141,ma_miengiam!$A$3:$B$80,2,0)+(Q141-(Q141*(12-V141))/12),IF(AND(RIGHT(T141,1)="K",V141&gt;0),(VLOOKUP(T141,ma_miengiam!$A$3:$B$80,2,0)/2)*(Q141*V141)/12,IF(RIGHT(T141,1)="K",(VLOOKUP(T141,ma_miengiam!$A$3:$B$80,2,0)*Q141)/2,IF(V141&gt;0,VLOOKUP(T141,ma_miengiam!$A$3:$B$80,2,0)*Q141*V141/12,VLOOKUP(T141,ma_miengiam!$A$3:$B$80,2,0)*Q141))))</f>
        <v>81</v>
      </c>
      <c r="X141" s="220">
        <f>IF(T141="NTS",VLOOKUP(T141,ma_miengiam!$A$3:$B$80,2,0)*R141*V141,IF(AND(T141="NTS",V141=0),0,IF(AND(LEFT(T141,1)="K",V141=0),VLOOKUP(T141,ma_miengiam!$A$3:$B$80,2,0)*R141,IF(LEFT(T141,1)="K",(VLOOKUP(T141,ma_miengiam!$A$3:$B$80,2,0)*R141/12)*V141,IF(AND(LEFT(T141,1)="S",V141&gt;0),(R141/12)*V141,IF(AND(LEFT(T141,1)="S",V141=0),R141,IF(T141="DH",VLOOKUP(T141,ma_miengiam!$A$3:$B$80,2,0)*R141,0)))))))</f>
        <v>0</v>
      </c>
      <c r="Y141" s="220">
        <f>IF(AND(T141="DH",V141&gt;0),(S141*V141/12),IF(AND(T141&lt;&gt;"NTS",V141&gt;0),(Q141*V141/12)-W141,IF(AND(T141="NTS",V141&gt;0),Q141-W141,Q141-W141)))</f>
        <v>189</v>
      </c>
      <c r="Z141" s="220">
        <f>IF(AND(T141="SĐH",V141&gt;0),(R141/12)*V141-X141,IF(AND(T141="DH",V141&gt;0),(R141*V141/12),IF(AND(T141&lt;&gt;"NTS",V141&gt;0),(R141*V141/12)-X141,IF(AND(T141="NTS",V141&gt;0),R141-X141,R141-X141))))</f>
        <v>170</v>
      </c>
      <c r="AA141" s="220">
        <f t="shared" ref="AA141:AB143" si="442">Q141</f>
        <v>270</v>
      </c>
      <c r="AB141" s="220">
        <f t="shared" si="442"/>
        <v>170</v>
      </c>
      <c r="AC141" s="220">
        <f t="shared" ref="AC141:AF143" si="443">W141</f>
        <v>81</v>
      </c>
      <c r="AD141" s="220">
        <f t="shared" si="443"/>
        <v>0</v>
      </c>
      <c r="AE141" s="220">
        <f t="shared" si="443"/>
        <v>189</v>
      </c>
      <c r="AF141" s="220">
        <f t="shared" si="443"/>
        <v>170</v>
      </c>
      <c r="AG141" s="220">
        <f t="shared" si="418"/>
        <v>560.08000000000004</v>
      </c>
      <c r="AH141" s="220">
        <f t="shared" si="419"/>
        <v>99.7</v>
      </c>
      <c r="AI141" s="220">
        <f t="shared" si="420"/>
        <v>460.38</v>
      </c>
      <c r="AJ141" s="220">
        <f>IF(AG141-Z141&gt;0,0,AG141-Z141)</f>
        <v>0</v>
      </c>
      <c r="AK141" s="216">
        <f t="shared" si="410"/>
        <v>189</v>
      </c>
      <c r="AL141" s="220">
        <f>SUM(CP141:CX141)+SUM(DC141:DK141)</f>
        <v>84</v>
      </c>
      <c r="AM141" s="220">
        <f>SUM(DQ141:DU141)+SUM(DY141:EC141)</f>
        <v>84.4</v>
      </c>
      <c r="AN141" s="221">
        <f>AM141+AL141</f>
        <v>168.4</v>
      </c>
      <c r="AO141" s="220">
        <f>CY141+DL141</f>
        <v>0</v>
      </c>
      <c r="AP141" s="220">
        <f>CZ141+DM141</f>
        <v>0</v>
      </c>
      <c r="AQ141" s="220">
        <f>DA141+DN141</f>
        <v>100</v>
      </c>
      <c r="AR141" s="220">
        <f>DV141+ED141</f>
        <v>12</v>
      </c>
      <c r="AS141" s="220">
        <f>DW141+EE141</f>
        <v>40</v>
      </c>
      <c r="AT141" s="216">
        <f>AN141+SUM(AO141:AS141)</f>
        <v>320.39999999999998</v>
      </c>
      <c r="AU141" s="222">
        <f>AN141-AK141</f>
        <v>-20.599999999999994</v>
      </c>
      <c r="AV141" s="220"/>
      <c r="AW141" s="220">
        <f>IF(AU141&gt;0,AU141,AV141+AU141)</f>
        <v>-20.599999999999994</v>
      </c>
      <c r="AX141" s="216">
        <f t="shared" si="411"/>
        <v>-20.599999999999994</v>
      </c>
      <c r="AY141" s="220">
        <f>IF(AN141&gt;=AK141,AO141,IF(AN141+AO141-AK141&gt;=0,AN141+AO141-AK141,0))</f>
        <v>0</v>
      </c>
      <c r="AZ141" s="220">
        <f>IF(OR(AN141&gt;=AK141,AN141+AO141&gt;=AK141),AP141,IF(AN141+AO141+AP141&gt;AK141,AN141+AO141+AP141-AK141,0))</f>
        <v>0</v>
      </c>
      <c r="BA141" s="220">
        <f>IF(OR(AN141&gt;=AK141,AN141+AO141&gt;=AK141,AN141+AO141+AP141&gt;=AK141),AQ141,IF(AN141+AO141+AP141+AQ141&gt;=AK141,AN141+AO141+AP141+AQ141-AK141,0))</f>
        <v>79.399999999999977</v>
      </c>
      <c r="BB141" s="220">
        <f>IF(OR(AN141&gt;=AK141,AN141+AO141&gt;=AK141,AN141+AO141+AP141&gt;=AK141,AN141+AO141+AP141+AQ141&gt;=AK141),AR141,IF(AN141+AO141+AP141+AQ141+AR141&gt;=AK141,AN141+AO141+AP141+AQ141+AR141-AK141,0))</f>
        <v>12</v>
      </c>
      <c r="BC141" s="220">
        <f>IF(OR(AN141&gt;=AK141,AN141+AO141&gt;=AK141,AN141+AO141+AP141&gt;=AK141,AN141+AO141+AP141+AQ141&gt;=AK141,AN141+AO141+AP141+AQ141+AR141&gt;=AK141),AS141,IF(AN141+AO141+AP141+AQ141+AR141+AS141&gt;=AK141,AN141+AO141+AP141+AQ141+AR141+AS141-AK141,0))</f>
        <v>40</v>
      </c>
      <c r="BD141" s="216">
        <f t="shared" si="375"/>
        <v>131.39999999999998</v>
      </c>
      <c r="BE141" s="220">
        <f>AY141-AO141</f>
        <v>0</v>
      </c>
      <c r="BF141" s="220">
        <f>AZ141-AP141</f>
        <v>0</v>
      </c>
      <c r="BG141" s="220">
        <f>BA141-AQ141</f>
        <v>-20.600000000000023</v>
      </c>
      <c r="BH141" s="220">
        <f>BB141-AR141</f>
        <v>0</v>
      </c>
      <c r="BI141" s="220">
        <f>BC141-AS141</f>
        <v>0</v>
      </c>
      <c r="BJ141" s="220" t="s">
        <v>2969</v>
      </c>
      <c r="BK141" s="220"/>
      <c r="BL141" s="223">
        <f t="shared" si="412"/>
        <v>0</v>
      </c>
      <c r="BM141" s="220">
        <v>6.2</v>
      </c>
      <c r="BN141" s="220"/>
      <c r="BO141" s="220">
        <f t="shared" si="404"/>
        <v>6.2</v>
      </c>
      <c r="BP141" s="220">
        <f>IF(AND(BL141&gt;0,BL141&lt;tiet!$D$1),BL141,IF(BL141&lt;=0,0,IF(BL141&gt;tiet!$C$1,tiet!$C$1)))</f>
        <v>0</v>
      </c>
      <c r="BQ141" s="87">
        <f>VLOOKUP(P141,ma_dinhmuc_moi,4,0)</f>
        <v>75000</v>
      </c>
      <c r="BR141" s="224">
        <f>ROUND(BQ141*BP141,0)</f>
        <v>0</v>
      </c>
      <c r="BS141" s="220">
        <f t="shared" si="434"/>
        <v>0</v>
      </c>
      <c r="BT141" s="224">
        <f>VLOOKUP(N141,ma_dinhmuc!$A$1:$J$31,10,0)</f>
        <v>65000</v>
      </c>
      <c r="BU141" s="224">
        <f>ROUND(IF(BS141&gt;0,VLOOKUP(N141,ma_dinhmuc!$A$1:$J$31,10,0)*BS141,0),0)</f>
        <v>0</v>
      </c>
      <c r="BV141" s="224">
        <f>ROUND(BU141+BR141,0)</f>
        <v>0</v>
      </c>
      <c r="BW141" s="224"/>
      <c r="BX141" s="224">
        <v>0</v>
      </c>
      <c r="BY141" s="224"/>
      <c r="BZ141" s="224"/>
      <c r="CA141" s="224"/>
      <c r="CB141" s="224"/>
      <c r="CC141" s="225">
        <f>ROUND(IF(BV141+BW141&gt;BX141+BY141+BZ141+CA141+CB141,(BW141+BV141)-(BX141+BY141+BZ141+CA141+CB141+CB141),0),0)</f>
        <v>0</v>
      </c>
      <c r="CD141" s="224">
        <f>ROUND(IF(BV141+BW141&lt;BX141+BY141+BZ141+CA141-CB141,(BX141+BY141+BZ141+CA141-CB141)-(BW141+BV141),0),0)</f>
        <v>0</v>
      </c>
      <c r="CE141" s="224"/>
      <c r="CF141" s="226"/>
      <c r="CG141" s="87"/>
      <c r="CH141" s="87">
        <f>A141</f>
        <v>42</v>
      </c>
      <c r="CI141" s="227" t="str">
        <f>F141</f>
        <v>Phạm Kim</v>
      </c>
      <c r="CJ141" s="227" t="str">
        <f>G141</f>
        <v>Đăng</v>
      </c>
      <c r="CK141" s="87">
        <f>H141</f>
        <v>2</v>
      </c>
      <c r="CL141" s="227" t="str">
        <f>L141</f>
        <v>Sinh lý - Tập tính động vật</v>
      </c>
      <c r="CM141" s="87" t="str">
        <f>N141</f>
        <v>CS4</v>
      </c>
      <c r="CN141" s="87">
        <f>Q141</f>
        <v>270</v>
      </c>
      <c r="CO141" s="87">
        <f>R141</f>
        <v>170</v>
      </c>
      <c r="CP141" s="229">
        <f t="shared" ref="CP141:CP204" si="444">ER141</f>
        <v>0</v>
      </c>
      <c r="CQ141" s="229">
        <f t="shared" ref="CQ141:CQ204" si="445">ES141</f>
        <v>15.8</v>
      </c>
      <c r="CR141" s="229">
        <f t="shared" ref="CR141:CR204" si="446">ET141</f>
        <v>6.3</v>
      </c>
      <c r="CS141" s="229">
        <f t="shared" ref="CS141:CS204" si="447">EU141</f>
        <v>0</v>
      </c>
      <c r="CT141" s="229">
        <f t="shared" ref="CT141:CT204" si="448">EV141</f>
        <v>0</v>
      </c>
      <c r="CU141" s="229">
        <f t="shared" ref="CU141:CU204" si="449">EW141</f>
        <v>45.9</v>
      </c>
      <c r="CV141" s="229">
        <f t="shared" ref="CV141:CV204" si="450">EX141</f>
        <v>0</v>
      </c>
      <c r="CW141" s="229">
        <f t="shared" ref="CW141:CW204" si="451">EY141</f>
        <v>16</v>
      </c>
      <c r="CX141" s="229">
        <f t="shared" ref="CX141:CX204" si="452">EZ141</f>
        <v>0</v>
      </c>
      <c r="CY141" s="229">
        <f t="shared" ref="CY141:CY204" si="453">FA141</f>
        <v>0</v>
      </c>
      <c r="CZ141" s="229">
        <f t="shared" ref="CZ141:CZ204" si="454">FB141</f>
        <v>0</v>
      </c>
      <c r="DA141" s="229">
        <f t="shared" ref="DA141:DA204" si="455">FC141</f>
        <v>100</v>
      </c>
      <c r="DB141" s="228">
        <f>SUM(CP141:DA141)</f>
        <v>184</v>
      </c>
      <c r="DC141" s="229"/>
      <c r="DD141" s="229"/>
      <c r="DE141" s="229"/>
      <c r="DF141" s="229"/>
      <c r="DG141" s="229"/>
      <c r="DH141" s="229"/>
      <c r="DI141" s="229"/>
      <c r="DJ141" s="229"/>
      <c r="DK141" s="229"/>
      <c r="DL141" s="229"/>
      <c r="DM141" s="229"/>
      <c r="DN141" s="229"/>
      <c r="DO141" s="228">
        <f>SUM(DC141:DN141)</f>
        <v>0</v>
      </c>
      <c r="DP141" s="228">
        <f>DO141+DB141</f>
        <v>184</v>
      </c>
      <c r="DQ141" s="229">
        <f t="shared" ref="DQ141:DQ204" si="456">FD141</f>
        <v>81</v>
      </c>
      <c r="DR141" s="229">
        <f t="shared" ref="DR141:DR204" si="457">FE141</f>
        <v>2.4</v>
      </c>
      <c r="DS141" s="229">
        <f t="shared" ref="DS141:DS204" si="458">FF141</f>
        <v>0</v>
      </c>
      <c r="DT141" s="229">
        <f t="shared" ref="DT141:DT204" si="459">FG141</f>
        <v>1</v>
      </c>
      <c r="DU141" s="229">
        <f t="shared" ref="DU141:DU204" si="460">FI141</f>
        <v>0</v>
      </c>
      <c r="DV141" s="229">
        <f t="shared" ref="DV141:DV204" si="461">FH141</f>
        <v>12</v>
      </c>
      <c r="DW141" s="229">
        <f t="shared" ref="DW141:DW204" si="462">FJ141</f>
        <v>40</v>
      </c>
      <c r="DX141" s="228">
        <f>SUM(DQ141:DW141)</f>
        <v>136.4</v>
      </c>
      <c r="DY141" s="229"/>
      <c r="DZ141" s="229"/>
      <c r="EA141" s="229"/>
      <c r="EB141" s="229"/>
      <c r="EC141" s="229"/>
      <c r="ED141" s="229"/>
      <c r="EE141" s="229"/>
      <c r="EF141" s="228">
        <f t="shared" si="438"/>
        <v>0</v>
      </c>
      <c r="EG141" s="228">
        <f>EF141+DX141</f>
        <v>136.4</v>
      </c>
      <c r="EH141" s="229">
        <f t="shared" si="440"/>
        <v>460.38</v>
      </c>
      <c r="EI141" s="229">
        <v>99.7</v>
      </c>
      <c r="EJ141" s="228">
        <f>SUM(EH141:EI141)</f>
        <v>560.08000000000004</v>
      </c>
      <c r="EK141" s="229"/>
      <c r="EL141" s="229"/>
      <c r="EM141" s="228">
        <f>SUM(EK141:EL141)</f>
        <v>0</v>
      </c>
      <c r="EN141" s="229">
        <f>EK141+EH141+EL141</f>
        <v>460.38</v>
      </c>
      <c r="EO141" s="229">
        <f>EI141</f>
        <v>99.7</v>
      </c>
      <c r="EP141" s="228">
        <f>EM141+EJ141</f>
        <v>560.08000000000004</v>
      </c>
      <c r="EQ141" s="173">
        <f t="shared" si="441"/>
        <v>290.38</v>
      </c>
      <c r="ER141" s="189">
        <v>0</v>
      </c>
      <c r="ES141" s="189">
        <v>15.8</v>
      </c>
      <c r="ET141" s="189">
        <v>6.3</v>
      </c>
      <c r="EU141" s="189">
        <v>0</v>
      </c>
      <c r="EV141" s="189">
        <v>0</v>
      </c>
      <c r="EW141" s="189">
        <v>45.9</v>
      </c>
      <c r="EX141" s="189">
        <v>0</v>
      </c>
      <c r="EY141" s="189">
        <v>16</v>
      </c>
      <c r="EZ141" s="189">
        <v>0</v>
      </c>
      <c r="FA141" s="189">
        <v>0</v>
      </c>
      <c r="FB141" s="189">
        <v>0</v>
      </c>
      <c r="FC141" s="189">
        <v>100</v>
      </c>
      <c r="FD141" s="189">
        <v>81</v>
      </c>
      <c r="FE141" s="189">
        <v>2.4</v>
      </c>
      <c r="FF141" s="189">
        <v>0</v>
      </c>
      <c r="FG141" s="189">
        <v>1</v>
      </c>
      <c r="FH141" s="189">
        <v>12</v>
      </c>
      <c r="FI141" s="189">
        <v>0</v>
      </c>
      <c r="FJ141" s="189">
        <v>40</v>
      </c>
      <c r="FK141" s="189">
        <v>320.39999999999998</v>
      </c>
      <c r="FL141" s="189">
        <v>269</v>
      </c>
      <c r="FN141" s="132">
        <v>460.38</v>
      </c>
    </row>
    <row r="142" spans="1:170" ht="30" customHeight="1">
      <c r="A142" s="88">
        <f>COUNTIF($H$12:H142,H142)</f>
        <v>43</v>
      </c>
      <c r="B142" s="88" t="s">
        <v>2003</v>
      </c>
      <c r="C142" s="88" t="s">
        <v>2610</v>
      </c>
      <c r="D142" s="88"/>
      <c r="E142" s="88"/>
      <c r="F142" s="301" t="s">
        <v>2458</v>
      </c>
      <c r="G142" s="89" t="s">
        <v>1909</v>
      </c>
      <c r="H142" s="88">
        <v>2</v>
      </c>
      <c r="I142" s="88">
        <v>2</v>
      </c>
      <c r="J142" s="88">
        <v>2</v>
      </c>
      <c r="K142" s="90" t="s">
        <v>2951</v>
      </c>
      <c r="L142" s="90" t="s">
        <v>2951</v>
      </c>
      <c r="M142" s="214"/>
      <c r="N142" s="88" t="s">
        <v>1804</v>
      </c>
      <c r="O142" s="216">
        <f t="shared" ref="O142:O166" si="463">BO142</f>
        <v>3</v>
      </c>
      <c r="P142" s="88" t="str">
        <f t="shared" si="402"/>
        <v>B1_3</v>
      </c>
      <c r="Q142" s="88">
        <f t="shared" si="331"/>
        <v>270</v>
      </c>
      <c r="R142" s="88">
        <f t="shared" si="332"/>
        <v>100</v>
      </c>
      <c r="S142" s="218" t="s">
        <v>523</v>
      </c>
      <c r="T142" s="88" t="s">
        <v>2961</v>
      </c>
      <c r="U142" s="88">
        <f>IF(RIGHT(T142,1)="K",(VLOOKUP(T142,ma_miengiam!$A$3:$B$80,2,0)*100)/2,VLOOKUP(T142,ma_miengiam!$A$3:$B$80,2,0)*100)</f>
        <v>100</v>
      </c>
      <c r="V142" s="88"/>
      <c r="W142" s="220">
        <f>IF(AND(T142="NTS",V142&gt;0),(Q142-(Q142*V142)/12)*VLOOKUP(T142,ma_miengiam!$A$3:$B$80,2,0)+(Q142-(Q142*(12-V142))/12),IF(AND(RIGHT(T142,1)="K",V142&gt;0),(VLOOKUP(T142,ma_miengiam!$A$3:$B$80,2,0)/2)*(Q142*V142)/12,IF(RIGHT(T142,1)="K",(VLOOKUP(T142,ma_miengiam!$A$3:$B$80,2,0)*Q142)/2,IF(V142&gt;0,VLOOKUP(T142,ma_miengiam!$A$3:$B$80,2,0)*Q142*V142/12,VLOOKUP(T142,ma_miengiam!$A$3:$B$80,2,0)*Q142))))</f>
        <v>270</v>
      </c>
      <c r="X142" s="220">
        <f>IF(T142="NTS",VLOOKUP(T142,ma_miengiam!$A$3:$B$80,2,0)*R142*V142,IF(AND(T142="NTS",V142=0),0,IF(AND(LEFT(T142,1)="K",V142=0),VLOOKUP(T142,ma_miengiam!$A$3:$B$80,2,0)*R142,IF(LEFT(T142,1)="K",(VLOOKUP(T142,ma_miengiam!$A$3:$B$80,2,0)*R142/12)*V142,IF(AND(LEFT(T142,1)="S",V142&gt;0),(R142/12)*V142,IF(AND(LEFT(T142,1)="S",V142=0),R142,IF(T142="DH",VLOOKUP(T142,ma_miengiam!$A$3:$B$80,2,0)*R142,0)))))))</f>
        <v>100</v>
      </c>
      <c r="Y142" s="220">
        <f t="shared" si="336"/>
        <v>0</v>
      </c>
      <c r="Z142" s="220">
        <f t="shared" si="337"/>
        <v>0</v>
      </c>
      <c r="AA142" s="220">
        <f t="shared" si="442"/>
        <v>270</v>
      </c>
      <c r="AB142" s="220">
        <f t="shared" si="442"/>
        <v>100</v>
      </c>
      <c r="AC142" s="220">
        <f t="shared" si="443"/>
        <v>270</v>
      </c>
      <c r="AD142" s="220">
        <f t="shared" si="443"/>
        <v>100</v>
      </c>
      <c r="AE142" s="220">
        <f t="shared" si="443"/>
        <v>0</v>
      </c>
      <c r="AF142" s="220">
        <f t="shared" si="443"/>
        <v>0</v>
      </c>
      <c r="AG142" s="220">
        <f t="shared" si="418"/>
        <v>100</v>
      </c>
      <c r="AH142" s="220">
        <f t="shared" si="419"/>
        <v>100</v>
      </c>
      <c r="AI142" s="220">
        <f t="shared" si="420"/>
        <v>0</v>
      </c>
      <c r="AJ142" s="220">
        <f t="shared" si="380"/>
        <v>0</v>
      </c>
      <c r="AK142" s="216">
        <f t="shared" si="410"/>
        <v>0</v>
      </c>
      <c r="AL142" s="220">
        <f t="shared" si="425"/>
        <v>0</v>
      </c>
      <c r="AM142" s="220">
        <f t="shared" si="426"/>
        <v>0</v>
      </c>
      <c r="AN142" s="221">
        <f t="shared" si="427"/>
        <v>0</v>
      </c>
      <c r="AO142" s="220">
        <f t="shared" si="428"/>
        <v>0</v>
      </c>
      <c r="AP142" s="220">
        <f t="shared" si="429"/>
        <v>0</v>
      </c>
      <c r="AQ142" s="220">
        <f t="shared" si="430"/>
        <v>0</v>
      </c>
      <c r="AR142" s="220">
        <f t="shared" si="431"/>
        <v>0</v>
      </c>
      <c r="AS142" s="220">
        <f t="shared" si="432"/>
        <v>0</v>
      </c>
      <c r="AT142" s="216">
        <f t="shared" si="433"/>
        <v>0</v>
      </c>
      <c r="AU142" s="222">
        <f t="shared" si="395"/>
        <v>0</v>
      </c>
      <c r="AV142" s="220"/>
      <c r="AW142" s="220">
        <f t="shared" si="350"/>
        <v>0</v>
      </c>
      <c r="AX142" s="216">
        <f t="shared" si="411"/>
        <v>0</v>
      </c>
      <c r="AY142" s="220">
        <f t="shared" si="362"/>
        <v>0</v>
      </c>
      <c r="AZ142" s="220">
        <f t="shared" si="363"/>
        <v>0</v>
      </c>
      <c r="BA142" s="220">
        <f t="shared" si="364"/>
        <v>0</v>
      </c>
      <c r="BB142" s="220">
        <f t="shared" si="365"/>
        <v>0</v>
      </c>
      <c r="BC142" s="220">
        <f t="shared" si="366"/>
        <v>0</v>
      </c>
      <c r="BD142" s="216">
        <f t="shared" si="375"/>
        <v>0</v>
      </c>
      <c r="BE142" s="220">
        <f t="shared" si="351"/>
        <v>0</v>
      </c>
      <c r="BF142" s="220">
        <f t="shared" si="352"/>
        <v>0</v>
      </c>
      <c r="BG142" s="220">
        <f t="shared" si="353"/>
        <v>0</v>
      </c>
      <c r="BH142" s="220">
        <f t="shared" si="354"/>
        <v>0</v>
      </c>
      <c r="BI142" s="220">
        <f t="shared" si="355"/>
        <v>0</v>
      </c>
      <c r="BJ142" s="220" t="s">
        <v>2969</v>
      </c>
      <c r="BK142" s="220"/>
      <c r="BL142" s="223">
        <f t="shared" si="412"/>
        <v>0</v>
      </c>
      <c r="BM142" s="220">
        <v>3</v>
      </c>
      <c r="BN142" s="220"/>
      <c r="BO142" s="220">
        <f t="shared" si="404"/>
        <v>3</v>
      </c>
      <c r="BP142" s="220">
        <f>IF(AND(BL142&gt;0,BL142&lt;tiet!$D$1),BL142,IF(BL142&lt;=0,0,IF(BL142&gt;tiet!$C$1,tiet!$C$1)))</f>
        <v>0</v>
      </c>
      <c r="BQ142" s="87">
        <f t="shared" si="376"/>
        <v>60000</v>
      </c>
      <c r="BR142" s="224">
        <f t="shared" si="377"/>
        <v>0</v>
      </c>
      <c r="BS142" s="220">
        <f t="shared" si="434"/>
        <v>0</v>
      </c>
      <c r="BT142" s="224">
        <f>VLOOKUP(N142,ma_dinhmuc!$A$1:$J$31,10,0)</f>
        <v>51000</v>
      </c>
      <c r="BU142" s="224">
        <f>ROUND(IF(BS142&gt;0,VLOOKUP(N142,ma_dinhmuc!$A$1:$J$31,10,0)*BS142,0),0)</f>
        <v>0</v>
      </c>
      <c r="BV142" s="224">
        <f t="shared" si="378"/>
        <v>0</v>
      </c>
      <c r="BW142" s="224"/>
      <c r="BX142" s="224">
        <v>0</v>
      </c>
      <c r="BY142" s="224"/>
      <c r="BZ142" s="224"/>
      <c r="CA142" s="224"/>
      <c r="CB142" s="224"/>
      <c r="CC142" s="225">
        <f t="shared" si="384"/>
        <v>0</v>
      </c>
      <c r="CD142" s="224">
        <f t="shared" si="385"/>
        <v>0</v>
      </c>
      <c r="CE142" s="224"/>
      <c r="CF142" s="226"/>
      <c r="CG142" s="87"/>
      <c r="CH142" s="87">
        <f t="shared" si="414"/>
        <v>43</v>
      </c>
      <c r="CI142" s="227" t="str">
        <f t="shared" si="421"/>
        <v>Nguyễn Bá</v>
      </c>
      <c r="CJ142" s="227" t="str">
        <f t="shared" si="421"/>
        <v>Hiếu</v>
      </c>
      <c r="CK142" s="87">
        <f t="shared" si="422"/>
        <v>2</v>
      </c>
      <c r="CL142" s="227" t="str">
        <f t="shared" ref="CL142:CL147" si="464">L142</f>
        <v>Sinh lý - Tập tính động vật</v>
      </c>
      <c r="CM142" s="87" t="str">
        <f t="shared" si="358"/>
        <v>CS2</v>
      </c>
      <c r="CN142" s="87">
        <f t="shared" si="435"/>
        <v>270</v>
      </c>
      <c r="CO142" s="87">
        <f t="shared" si="435"/>
        <v>100</v>
      </c>
      <c r="CP142" s="229">
        <f t="shared" si="444"/>
        <v>0</v>
      </c>
      <c r="CQ142" s="229">
        <f t="shared" si="445"/>
        <v>0</v>
      </c>
      <c r="CR142" s="229">
        <f t="shared" si="446"/>
        <v>0</v>
      </c>
      <c r="CS142" s="229">
        <f t="shared" si="447"/>
        <v>0</v>
      </c>
      <c r="CT142" s="229">
        <f t="shared" si="448"/>
        <v>0</v>
      </c>
      <c r="CU142" s="229">
        <f t="shared" si="449"/>
        <v>0</v>
      </c>
      <c r="CV142" s="229">
        <f t="shared" si="450"/>
        <v>0</v>
      </c>
      <c r="CW142" s="229">
        <f t="shared" si="451"/>
        <v>0</v>
      </c>
      <c r="CX142" s="229">
        <f t="shared" si="452"/>
        <v>0</v>
      </c>
      <c r="CY142" s="229">
        <f t="shared" si="453"/>
        <v>0</v>
      </c>
      <c r="CZ142" s="229">
        <f t="shared" si="454"/>
        <v>0</v>
      </c>
      <c r="DA142" s="229">
        <f t="shared" si="455"/>
        <v>0</v>
      </c>
      <c r="DB142" s="228">
        <f t="shared" si="423"/>
        <v>0</v>
      </c>
      <c r="DC142" s="229"/>
      <c r="DD142" s="229"/>
      <c r="DE142" s="229"/>
      <c r="DF142" s="229"/>
      <c r="DG142" s="229"/>
      <c r="DH142" s="229"/>
      <c r="DI142" s="229"/>
      <c r="DJ142" s="229"/>
      <c r="DK142" s="229"/>
      <c r="DL142" s="229"/>
      <c r="DM142" s="229"/>
      <c r="DN142" s="229"/>
      <c r="DO142" s="228">
        <f t="shared" si="436"/>
        <v>0</v>
      </c>
      <c r="DP142" s="228">
        <f t="shared" si="437"/>
        <v>0</v>
      </c>
      <c r="DQ142" s="229">
        <f t="shared" si="456"/>
        <v>0</v>
      </c>
      <c r="DR142" s="229">
        <f t="shared" si="457"/>
        <v>0</v>
      </c>
      <c r="DS142" s="229">
        <f t="shared" si="458"/>
        <v>0</v>
      </c>
      <c r="DT142" s="229">
        <f t="shared" si="459"/>
        <v>0</v>
      </c>
      <c r="DU142" s="229">
        <f t="shared" si="460"/>
        <v>0</v>
      </c>
      <c r="DV142" s="229">
        <f t="shared" si="461"/>
        <v>0</v>
      </c>
      <c r="DW142" s="229">
        <f t="shared" si="462"/>
        <v>0</v>
      </c>
      <c r="DX142" s="228">
        <f t="shared" si="424"/>
        <v>0</v>
      </c>
      <c r="DY142" s="229"/>
      <c r="DZ142" s="229"/>
      <c r="EA142" s="229"/>
      <c r="EB142" s="229"/>
      <c r="EC142" s="229"/>
      <c r="ED142" s="229"/>
      <c r="EE142" s="229"/>
      <c r="EF142" s="228">
        <f t="shared" si="438"/>
        <v>0</v>
      </c>
      <c r="EG142" s="228">
        <f t="shared" si="439"/>
        <v>0</v>
      </c>
      <c r="EH142" s="229">
        <f t="shared" si="440"/>
        <v>0</v>
      </c>
      <c r="EI142" s="229">
        <v>100</v>
      </c>
      <c r="EJ142" s="228">
        <f t="shared" si="407"/>
        <v>100</v>
      </c>
      <c r="EK142" s="229"/>
      <c r="EL142" s="229"/>
      <c r="EM142" s="228">
        <f t="shared" si="398"/>
        <v>0</v>
      </c>
      <c r="EN142" s="229">
        <f t="shared" si="413"/>
        <v>0</v>
      </c>
      <c r="EO142" s="229">
        <f t="shared" si="388"/>
        <v>100</v>
      </c>
      <c r="EP142" s="228">
        <f t="shared" si="408"/>
        <v>100</v>
      </c>
      <c r="EQ142" s="173">
        <f t="shared" si="441"/>
        <v>0</v>
      </c>
      <c r="ER142" s="189">
        <v>0</v>
      </c>
      <c r="ES142" s="189">
        <v>0</v>
      </c>
      <c r="ET142" s="189">
        <v>0</v>
      </c>
      <c r="EU142" s="189">
        <v>0</v>
      </c>
      <c r="EV142" s="189">
        <v>0</v>
      </c>
      <c r="EW142" s="189">
        <v>0</v>
      </c>
      <c r="EX142" s="189">
        <v>0</v>
      </c>
      <c r="EY142" s="189">
        <v>0</v>
      </c>
      <c r="EZ142" s="189">
        <v>0</v>
      </c>
      <c r="FA142" s="189">
        <v>0</v>
      </c>
      <c r="FB142" s="189">
        <v>0</v>
      </c>
      <c r="FC142" s="189">
        <v>0</v>
      </c>
      <c r="FD142" s="189">
        <v>0</v>
      </c>
      <c r="FE142" s="189">
        <v>0</v>
      </c>
      <c r="FF142" s="189">
        <v>0</v>
      </c>
      <c r="FG142" s="189">
        <v>0</v>
      </c>
      <c r="FH142" s="189">
        <v>0</v>
      </c>
      <c r="FI142" s="189">
        <v>0</v>
      </c>
      <c r="FJ142" s="189">
        <v>0</v>
      </c>
      <c r="FK142" s="189">
        <v>0</v>
      </c>
      <c r="FL142" s="189">
        <v>0</v>
      </c>
      <c r="FN142" s="132">
        <v>0</v>
      </c>
    </row>
    <row r="143" spans="1:170" ht="30" customHeight="1">
      <c r="A143" s="88">
        <f>COUNTIF($H$12:H143,H143)</f>
        <v>1</v>
      </c>
      <c r="B143" s="88" t="s">
        <v>106</v>
      </c>
      <c r="C143" s="88" t="s">
        <v>2611</v>
      </c>
      <c r="D143" s="88"/>
      <c r="E143" s="88" t="s">
        <v>3064</v>
      </c>
      <c r="F143" s="301" t="s">
        <v>1584</v>
      </c>
      <c r="G143" s="89" t="s">
        <v>8</v>
      </c>
      <c r="H143" s="88">
        <v>3</v>
      </c>
      <c r="I143" s="88">
        <v>3</v>
      </c>
      <c r="J143" s="88">
        <v>3</v>
      </c>
      <c r="K143" s="90" t="s">
        <v>1618</v>
      </c>
      <c r="L143" s="90" t="s">
        <v>1618</v>
      </c>
      <c r="M143" s="214"/>
      <c r="N143" s="88" t="s">
        <v>605</v>
      </c>
      <c r="O143" s="216">
        <f>BO143</f>
        <v>7.28</v>
      </c>
      <c r="P143" s="88" t="str">
        <f t="shared" si="402"/>
        <v>B1_8</v>
      </c>
      <c r="Q143" s="88">
        <f t="shared" si="331"/>
        <v>270</v>
      </c>
      <c r="R143" s="88">
        <f t="shared" si="332"/>
        <v>280</v>
      </c>
      <c r="S143" s="218"/>
      <c r="T143" s="88" t="s">
        <v>3088</v>
      </c>
      <c r="U143" s="88">
        <f>IF(RIGHT(T143,1)="K",(VLOOKUP(T143,ma_miengiam!$A$3:$B$80,2,0)*100)/2,VLOOKUP(T143,ma_miengiam!$A$3:$B$80,2,0)*100)</f>
        <v>0</v>
      </c>
      <c r="V143" s="88"/>
      <c r="W143" s="220">
        <f>IF(AND(T143="NTS",V143&gt;0),(Q143-(Q143*V143)/12)*VLOOKUP(T143,ma_miengiam!$A$3:$B$80,2,0)+(Q143-(Q143*(12-V143))/12),IF(AND(RIGHT(T143,1)="K",V143&gt;0),(VLOOKUP(T143,ma_miengiam!$A$3:$B$80,2,0)/2)*(Q143*V143)/12,IF(RIGHT(T143,1)="K",(VLOOKUP(T143,ma_miengiam!$A$3:$B$80,2,0)*Q143)/2,IF(V143&gt;0,VLOOKUP(T143,ma_miengiam!$A$3:$B$80,2,0)*Q143*V143/12,VLOOKUP(T143,ma_miengiam!$A$3:$B$80,2,0)*Q143))))</f>
        <v>0</v>
      </c>
      <c r="X143" s="220">
        <f>IF(T143="NTS",VLOOKUP(T143,ma_miengiam!$A$3:$B$80,2,0)*R143*V143,IF(AND(T143="NTS",V143=0),0,IF(AND(LEFT(T143,1)="K",V143=0),VLOOKUP(T143,ma_miengiam!$A$3:$B$80,2,0)*R143,IF(LEFT(T143,1)="K",(VLOOKUP(T143,ma_miengiam!$A$3:$B$80,2,0)*R143/12)*V143,IF(AND(LEFT(T143,1)="S",V143&gt;0),(R143/12)*V143,IF(AND(LEFT(T143,1)="S",V143=0),R143,IF(T143="DH",VLOOKUP(T143,ma_miengiam!$A$3:$B$80,2,0)*R143,0)))))))</f>
        <v>0</v>
      </c>
      <c r="Y143" s="220">
        <f t="shared" si="336"/>
        <v>270</v>
      </c>
      <c r="Z143" s="220">
        <f>IF(AND(T143="SĐH",V143&gt;0),(R143/12)*V143-X143,IF(AND(T143="DH",V143&gt;0),(R143*V143/12),IF(AND(T143&lt;&gt;"NTS",V143&gt;0),(R143*V143/12)-X143,IF(AND(T143="NTS",V143&gt;0),R143-X143,R143-X143))))</f>
        <v>280</v>
      </c>
      <c r="AA143" s="220">
        <f t="shared" si="442"/>
        <v>270</v>
      </c>
      <c r="AB143" s="220">
        <f t="shared" si="442"/>
        <v>280</v>
      </c>
      <c r="AC143" s="220">
        <f t="shared" si="443"/>
        <v>0</v>
      </c>
      <c r="AD143" s="220">
        <f t="shared" si="443"/>
        <v>0</v>
      </c>
      <c r="AE143" s="220">
        <f t="shared" si="443"/>
        <v>270</v>
      </c>
      <c r="AF143" s="220">
        <f t="shared" si="443"/>
        <v>280</v>
      </c>
      <c r="AG143" s="220">
        <f t="shared" si="418"/>
        <v>95</v>
      </c>
      <c r="AH143" s="220">
        <f t="shared" si="419"/>
        <v>5</v>
      </c>
      <c r="AI143" s="220">
        <f t="shared" si="420"/>
        <v>90</v>
      </c>
      <c r="AJ143" s="220">
        <f>IF(AG143-Z143&gt;0,0,AG143-Z143)</f>
        <v>-185</v>
      </c>
      <c r="AK143" s="216">
        <f t="shared" si="410"/>
        <v>455</v>
      </c>
      <c r="AL143" s="220">
        <f t="shared" si="425"/>
        <v>90.8</v>
      </c>
      <c r="AM143" s="220">
        <f t="shared" si="426"/>
        <v>0</v>
      </c>
      <c r="AN143" s="221">
        <f t="shared" si="427"/>
        <v>90.8</v>
      </c>
      <c r="AO143" s="220">
        <f t="shared" si="428"/>
        <v>0</v>
      </c>
      <c r="AP143" s="220">
        <f t="shared" si="429"/>
        <v>0</v>
      </c>
      <c r="AQ143" s="220">
        <f t="shared" si="430"/>
        <v>20</v>
      </c>
      <c r="AR143" s="220">
        <f t="shared" si="431"/>
        <v>160</v>
      </c>
      <c r="AS143" s="220">
        <f t="shared" si="432"/>
        <v>0</v>
      </c>
      <c r="AT143" s="216">
        <f t="shared" si="433"/>
        <v>270.8</v>
      </c>
      <c r="AU143" s="222">
        <f t="shared" si="395"/>
        <v>-364.2</v>
      </c>
      <c r="AV143" s="220"/>
      <c r="AW143" s="220">
        <f t="shared" si="350"/>
        <v>-364.2</v>
      </c>
      <c r="AX143" s="216">
        <f t="shared" si="411"/>
        <v>-364.2</v>
      </c>
      <c r="AY143" s="220">
        <f t="shared" si="362"/>
        <v>0</v>
      </c>
      <c r="AZ143" s="220">
        <f t="shared" si="363"/>
        <v>0</v>
      </c>
      <c r="BA143" s="220">
        <f t="shared" si="364"/>
        <v>0</v>
      </c>
      <c r="BB143" s="220">
        <f t="shared" si="365"/>
        <v>0</v>
      </c>
      <c r="BC143" s="220">
        <f t="shared" si="366"/>
        <v>0</v>
      </c>
      <c r="BD143" s="216">
        <f t="shared" si="375"/>
        <v>0</v>
      </c>
      <c r="BE143" s="220">
        <f t="shared" si="351"/>
        <v>0</v>
      </c>
      <c r="BF143" s="220">
        <f t="shared" si="352"/>
        <v>0</v>
      </c>
      <c r="BG143" s="220">
        <f t="shared" si="353"/>
        <v>-20</v>
      </c>
      <c r="BH143" s="220">
        <f t="shared" si="354"/>
        <v>-160</v>
      </c>
      <c r="BI143" s="220">
        <f t="shared" si="355"/>
        <v>0</v>
      </c>
      <c r="BJ143" s="220" t="s">
        <v>40</v>
      </c>
      <c r="BK143" s="220"/>
      <c r="BL143" s="223">
        <f t="shared" si="412"/>
        <v>0</v>
      </c>
      <c r="BM143" s="220">
        <v>7.28</v>
      </c>
      <c r="BN143" s="220"/>
      <c r="BO143" s="220">
        <f t="shared" si="404"/>
        <v>7.28</v>
      </c>
      <c r="BP143" s="220">
        <f>IF(AND(BL143&gt;0,BL143&lt;tiet!$D$1),BL143,IF(BL143&lt;=0,0,IF(BL143&gt;tiet!$C$1,tiet!$C$1)))</f>
        <v>0</v>
      </c>
      <c r="BQ143" s="87">
        <f>VLOOKUP(P143,ma_dinhmuc_moi,4,0)</f>
        <v>85000</v>
      </c>
      <c r="BR143" s="224">
        <f>ROUND(BQ143*BP143,0)</f>
        <v>0</v>
      </c>
      <c r="BS143" s="220">
        <f t="shared" si="434"/>
        <v>0</v>
      </c>
      <c r="BT143" s="224">
        <f>VLOOKUP(N143,ma_dinhmuc!$A$1:$J$31,10,0)</f>
        <v>65000</v>
      </c>
      <c r="BU143" s="224">
        <f>ROUND(IF(BS143&gt;0,VLOOKUP(N143,ma_dinhmuc!$A$1:$J$31,10,0)*BS143,0),0)</f>
        <v>0</v>
      </c>
      <c r="BV143" s="224">
        <f>ROUND(BU143+BR143,0)</f>
        <v>0</v>
      </c>
      <c r="BW143" s="224"/>
      <c r="BX143" s="224">
        <v>0</v>
      </c>
      <c r="BY143" s="224"/>
      <c r="BZ143" s="224"/>
      <c r="CA143" s="224"/>
      <c r="CB143" s="224"/>
      <c r="CC143" s="225">
        <f t="shared" si="384"/>
        <v>0</v>
      </c>
      <c r="CD143" s="224">
        <f t="shared" si="385"/>
        <v>0</v>
      </c>
      <c r="CE143" s="224"/>
      <c r="CF143" s="226"/>
      <c r="CG143" s="87"/>
      <c r="CH143" s="87">
        <f t="shared" si="414"/>
        <v>1</v>
      </c>
      <c r="CI143" s="227" t="str">
        <f t="shared" ref="CI143:CJ146" si="465">F143</f>
        <v>Nguyễn Hữu</v>
      </c>
      <c r="CJ143" s="227" t="str">
        <f t="shared" si="465"/>
        <v>Thành</v>
      </c>
      <c r="CK143" s="87">
        <f t="shared" si="422"/>
        <v>3</v>
      </c>
      <c r="CL143" s="227" t="str">
        <f t="shared" si="464"/>
        <v>Khoa học đất</v>
      </c>
      <c r="CM143" s="87" t="str">
        <f t="shared" si="358"/>
        <v>CS4</v>
      </c>
      <c r="CN143" s="87">
        <f t="shared" ref="CN143:CO147" si="466">Q143</f>
        <v>270</v>
      </c>
      <c r="CO143" s="87">
        <f t="shared" si="466"/>
        <v>280</v>
      </c>
      <c r="CP143" s="229">
        <f t="shared" si="444"/>
        <v>0</v>
      </c>
      <c r="CQ143" s="229">
        <f t="shared" si="445"/>
        <v>11.8</v>
      </c>
      <c r="CR143" s="229">
        <f t="shared" si="446"/>
        <v>4.7</v>
      </c>
      <c r="CS143" s="229">
        <f t="shared" si="447"/>
        <v>0</v>
      </c>
      <c r="CT143" s="229">
        <f t="shared" si="448"/>
        <v>0</v>
      </c>
      <c r="CU143" s="229">
        <f t="shared" si="449"/>
        <v>58.3</v>
      </c>
      <c r="CV143" s="229">
        <f t="shared" si="450"/>
        <v>0</v>
      </c>
      <c r="CW143" s="229">
        <f t="shared" si="451"/>
        <v>16</v>
      </c>
      <c r="CX143" s="229">
        <f t="shared" si="452"/>
        <v>0</v>
      </c>
      <c r="CY143" s="229">
        <f t="shared" si="453"/>
        <v>0</v>
      </c>
      <c r="CZ143" s="229">
        <f t="shared" si="454"/>
        <v>0</v>
      </c>
      <c r="DA143" s="229">
        <f t="shared" si="455"/>
        <v>20</v>
      </c>
      <c r="DB143" s="228">
        <f t="shared" si="423"/>
        <v>110.8</v>
      </c>
      <c r="DC143" s="229"/>
      <c r="DD143" s="229"/>
      <c r="DE143" s="229"/>
      <c r="DF143" s="229"/>
      <c r="DG143" s="229"/>
      <c r="DH143" s="229"/>
      <c r="DI143" s="229"/>
      <c r="DJ143" s="229"/>
      <c r="DK143" s="229"/>
      <c r="DL143" s="229"/>
      <c r="DM143" s="229"/>
      <c r="DN143" s="229"/>
      <c r="DO143" s="228">
        <f t="shared" si="436"/>
        <v>0</v>
      </c>
      <c r="DP143" s="228">
        <f t="shared" si="437"/>
        <v>110.8</v>
      </c>
      <c r="DQ143" s="229">
        <f t="shared" si="456"/>
        <v>0</v>
      </c>
      <c r="DR143" s="229">
        <f t="shared" si="457"/>
        <v>0</v>
      </c>
      <c r="DS143" s="229">
        <f t="shared" si="458"/>
        <v>0</v>
      </c>
      <c r="DT143" s="229">
        <f t="shared" si="459"/>
        <v>0</v>
      </c>
      <c r="DU143" s="229">
        <f t="shared" si="460"/>
        <v>0</v>
      </c>
      <c r="DV143" s="229">
        <f t="shared" si="461"/>
        <v>160</v>
      </c>
      <c r="DW143" s="229">
        <f t="shared" si="462"/>
        <v>0</v>
      </c>
      <c r="DX143" s="228">
        <f t="shared" si="424"/>
        <v>160</v>
      </c>
      <c r="DY143" s="229"/>
      <c r="DZ143" s="229"/>
      <c r="EA143" s="229"/>
      <c r="EB143" s="229"/>
      <c r="EC143" s="229"/>
      <c r="ED143" s="229"/>
      <c r="EE143" s="229"/>
      <c r="EF143" s="228">
        <f t="shared" si="438"/>
        <v>0</v>
      </c>
      <c r="EG143" s="228">
        <f t="shared" si="439"/>
        <v>160</v>
      </c>
      <c r="EH143" s="229">
        <f t="shared" si="440"/>
        <v>90</v>
      </c>
      <c r="EI143" s="229">
        <v>5</v>
      </c>
      <c r="EJ143" s="228">
        <f t="shared" si="407"/>
        <v>95</v>
      </c>
      <c r="EK143" s="229"/>
      <c r="EL143" s="229"/>
      <c r="EM143" s="228">
        <f>SUM(EK143:EL143)</f>
        <v>0</v>
      </c>
      <c r="EN143" s="229">
        <f t="shared" si="413"/>
        <v>90</v>
      </c>
      <c r="EO143" s="229">
        <f t="shared" si="388"/>
        <v>5</v>
      </c>
      <c r="EP143" s="228">
        <f t="shared" ref="EP143:EP148" si="467">EM143+EJ143</f>
        <v>95</v>
      </c>
      <c r="EQ143" s="173">
        <f t="shared" si="441"/>
        <v>0</v>
      </c>
      <c r="ER143" s="189">
        <v>0</v>
      </c>
      <c r="ES143" s="189">
        <v>11.8</v>
      </c>
      <c r="ET143" s="189">
        <v>4.7</v>
      </c>
      <c r="EU143" s="189">
        <v>0</v>
      </c>
      <c r="EV143" s="189">
        <v>0</v>
      </c>
      <c r="EW143" s="189">
        <v>58.3</v>
      </c>
      <c r="EX143" s="189">
        <v>0</v>
      </c>
      <c r="EY143" s="189">
        <v>16</v>
      </c>
      <c r="EZ143" s="189">
        <v>0</v>
      </c>
      <c r="FA143" s="189">
        <v>0</v>
      </c>
      <c r="FB143" s="189">
        <v>0</v>
      </c>
      <c r="FC143" s="189">
        <v>20</v>
      </c>
      <c r="FD143" s="189">
        <v>0</v>
      </c>
      <c r="FE143" s="189">
        <v>0</v>
      </c>
      <c r="FF143" s="189">
        <v>0</v>
      </c>
      <c r="FG143" s="189">
        <v>0</v>
      </c>
      <c r="FH143" s="189">
        <v>160</v>
      </c>
      <c r="FI143" s="189">
        <v>0</v>
      </c>
      <c r="FJ143" s="189">
        <v>0</v>
      </c>
      <c r="FK143" s="189">
        <v>270.8</v>
      </c>
      <c r="FL143" s="189">
        <v>252</v>
      </c>
      <c r="FN143" s="132">
        <v>90</v>
      </c>
    </row>
    <row r="144" spans="1:170" ht="30" customHeight="1">
      <c r="A144" s="88">
        <f>COUNTIF($H$12:H144,H144)</f>
        <v>2</v>
      </c>
      <c r="B144" s="88" t="s">
        <v>107</v>
      </c>
      <c r="C144" s="88" t="s">
        <v>2612</v>
      </c>
      <c r="D144" s="88"/>
      <c r="E144" s="88" t="s">
        <v>3064</v>
      </c>
      <c r="F144" s="301" t="s">
        <v>1777</v>
      </c>
      <c r="G144" s="89" t="s">
        <v>24</v>
      </c>
      <c r="H144" s="88">
        <v>3</v>
      </c>
      <c r="I144" s="88"/>
      <c r="J144" s="88">
        <v>3</v>
      </c>
      <c r="K144" s="90"/>
      <c r="L144" s="90" t="s">
        <v>1618</v>
      </c>
      <c r="M144" s="214"/>
      <c r="N144" s="88" t="s">
        <v>605</v>
      </c>
      <c r="O144" s="216">
        <f>BO144</f>
        <v>7.28</v>
      </c>
      <c r="P144" s="88" t="str">
        <f t="shared" ref="P144:P209" si="468">IF(BO144&lt;3.33,"B1_3",IF(AND(BO144&gt;=3.33,BO144&lt;4.65),"B1_4",IF(AND(BO144&gt;=4.65,BO144&lt;5.42),"B1_5",IF(AND(BO144&gt;=5.42,BO144&lt;6.44),"B1_6",IF(AND(BO144&gt;=6.44,BO144&lt;=6.92),"B1_7","B1_8")))))</f>
        <v>B1_8</v>
      </c>
      <c r="Q144" s="88">
        <f t="shared" si="331"/>
        <v>270</v>
      </c>
      <c r="R144" s="88">
        <f t="shared" si="332"/>
        <v>280</v>
      </c>
      <c r="S144" s="218" t="s">
        <v>1430</v>
      </c>
      <c r="T144" s="88" t="s">
        <v>3091</v>
      </c>
      <c r="U144" s="88">
        <f>IF(RIGHT(T144,1)="K",(VLOOKUP(T144,ma_miengiam!$A$3:$B$80,2,0)*100)/2,VLOOKUP(T144,ma_miengiam!$A$3:$B$80,2,0)*100)</f>
        <v>20</v>
      </c>
      <c r="V144" s="88">
        <v>1</v>
      </c>
      <c r="W144" s="220">
        <f>IF(AND(T144="NTS",V144&gt;0),(Q144-(Q144*V144)/12)*VLOOKUP(T144,ma_miengiam!$A$3:$B$80,2,0)+(Q144-(Q144*(12-V144))/12),IF(AND(RIGHT(T144,1)="K",V144&gt;0),(VLOOKUP(T144,ma_miengiam!$A$3:$B$80,2,0)/2)*(Q144*V144)/12,IF(RIGHT(T144,1)="K",(VLOOKUP(T144,ma_miengiam!$A$3:$B$80,2,0)*Q144)/2,IF(V144&gt;0,VLOOKUP(T144,ma_miengiam!$A$3:$B$80,2,0)*Q144*V144/12,VLOOKUP(T144,ma_miengiam!$A$3:$B$80,2,0)*Q144))))</f>
        <v>4.5</v>
      </c>
      <c r="X144" s="220">
        <f>IF(T144="NTS",VLOOKUP(T144,ma_miengiam!$A$3:$B$80,2,0)*R144*V144,IF(AND(T144="NTS",V144=0),0,IF(AND(LEFT(T144,1)="K",V144=0),VLOOKUP(T144,ma_miengiam!$A$3:$B$80,2,0)*R144,IF(LEFT(T144,1)="K",(VLOOKUP(T144,ma_miengiam!$A$3:$B$80,2,0)*R144/12)*V144,IF(AND(LEFT(T144,1)="S",V144&gt;0),(R144/12)*V144,IF(AND(LEFT(T144,1)="S",V144=0),R144,IF(T144="DH",VLOOKUP(T144,ma_miengiam!$A$3:$B$80,2,0)*R144,0)))))))</f>
        <v>0</v>
      </c>
      <c r="Y144" s="220">
        <f t="shared" ref="Y144:Y152" si="469">IF(AND(T144="DH",V144&gt;0),(S144*V144/12),IF(AND(T144&lt;&gt;"NTS",V144&gt;0),(Q144*V144/12)-W144,IF(AND(T144="NTS",V144&gt;0),Q144-W144,Q144-W144)))</f>
        <v>18</v>
      </c>
      <c r="Z144" s="220">
        <f t="shared" si="337"/>
        <v>23.333333333333332</v>
      </c>
      <c r="AA144" s="220"/>
      <c r="AB144" s="220"/>
      <c r="AC144" s="220"/>
      <c r="AD144" s="220"/>
      <c r="AE144" s="220"/>
      <c r="AF144" s="220"/>
      <c r="AG144" s="220"/>
      <c r="AH144" s="220"/>
      <c r="AI144" s="220"/>
      <c r="AJ144" s="220"/>
      <c r="AK144" s="216"/>
      <c r="AL144" s="220"/>
      <c r="AM144" s="220"/>
      <c r="AN144" s="221"/>
      <c r="AO144" s="220"/>
      <c r="AP144" s="220"/>
      <c r="AQ144" s="220"/>
      <c r="AR144" s="220"/>
      <c r="AS144" s="220"/>
      <c r="AT144" s="216"/>
      <c r="AU144" s="222"/>
      <c r="AV144" s="220"/>
      <c r="AW144" s="220"/>
      <c r="AX144" s="216"/>
      <c r="AY144" s="220"/>
      <c r="AZ144" s="220"/>
      <c r="BA144" s="220"/>
      <c r="BB144" s="220"/>
      <c r="BC144" s="220"/>
      <c r="BD144" s="216"/>
      <c r="BE144" s="220"/>
      <c r="BF144" s="220"/>
      <c r="BG144" s="220"/>
      <c r="BH144" s="220"/>
      <c r="BI144" s="220"/>
      <c r="BJ144" s="220" t="s">
        <v>40</v>
      </c>
      <c r="BK144" s="220"/>
      <c r="BL144" s="223">
        <f t="shared" si="412"/>
        <v>0</v>
      </c>
      <c r="BM144" s="220">
        <v>7.28</v>
      </c>
      <c r="BN144" s="220"/>
      <c r="BO144" s="220">
        <f t="shared" si="404"/>
        <v>7.28</v>
      </c>
      <c r="BP144" s="220">
        <f>IF(AND(BL144&gt;0,BL144&lt;tiet!$D$1),BL144,IF(BL144&lt;=0,0,IF(BL144&gt;tiet!$C$1,tiet!$C$1)))</f>
        <v>0</v>
      </c>
      <c r="BQ144" s="87">
        <f>VLOOKUP(P144,ma_dinhmuc_moi,4,0)</f>
        <v>85000</v>
      </c>
      <c r="BR144" s="224">
        <f>ROUND(BQ144*BP144,0)</f>
        <v>0</v>
      </c>
      <c r="BS144" s="220">
        <f t="shared" si="434"/>
        <v>0</v>
      </c>
      <c r="BT144" s="224">
        <f>VLOOKUP(N144,ma_dinhmuc!$A$1:$J$31,10,0)</f>
        <v>65000</v>
      </c>
      <c r="BU144" s="224">
        <f>ROUND(IF(BS144&gt;0,VLOOKUP(N144,ma_dinhmuc!$A$1:$J$31,10,0)*BS144,0),0)</f>
        <v>0</v>
      </c>
      <c r="BV144" s="224">
        <f>ROUND(BU144+BR144,0)</f>
        <v>0</v>
      </c>
      <c r="BW144" s="224"/>
      <c r="BX144" s="224">
        <v>0</v>
      </c>
      <c r="BY144" s="224"/>
      <c r="BZ144" s="224"/>
      <c r="CA144" s="224"/>
      <c r="CB144" s="224"/>
      <c r="CC144" s="225">
        <f t="shared" si="384"/>
        <v>0</v>
      </c>
      <c r="CD144" s="224">
        <f t="shared" si="385"/>
        <v>0</v>
      </c>
      <c r="CE144" s="224"/>
      <c r="CF144" s="226"/>
      <c r="CG144" s="87"/>
      <c r="CH144" s="87">
        <f>A144</f>
        <v>2</v>
      </c>
      <c r="CI144" s="227" t="str">
        <f t="shared" si="465"/>
        <v>Đỗ Nguyên</v>
      </c>
      <c r="CJ144" s="227" t="str">
        <f t="shared" si="465"/>
        <v>Hải</v>
      </c>
      <c r="CK144" s="87">
        <f t="shared" si="422"/>
        <v>3</v>
      </c>
      <c r="CL144" s="227" t="str">
        <f t="shared" si="464"/>
        <v>Khoa học đất</v>
      </c>
      <c r="CM144" s="87" t="str">
        <f t="shared" si="358"/>
        <v>CS4</v>
      </c>
      <c r="CN144" s="87">
        <f t="shared" si="466"/>
        <v>270</v>
      </c>
      <c r="CO144" s="87">
        <f t="shared" si="466"/>
        <v>280</v>
      </c>
      <c r="CP144" s="229">
        <f t="shared" si="444"/>
        <v>0</v>
      </c>
      <c r="CQ144" s="229">
        <f t="shared" si="445"/>
        <v>0</v>
      </c>
      <c r="CR144" s="229">
        <f t="shared" si="446"/>
        <v>0</v>
      </c>
      <c r="CS144" s="229">
        <f t="shared" si="447"/>
        <v>0</v>
      </c>
      <c r="CT144" s="229">
        <f t="shared" si="448"/>
        <v>0</v>
      </c>
      <c r="CU144" s="229">
        <f t="shared" si="449"/>
        <v>0</v>
      </c>
      <c r="CV144" s="229">
        <f t="shared" si="450"/>
        <v>0</v>
      </c>
      <c r="CW144" s="229">
        <f t="shared" si="451"/>
        <v>0</v>
      </c>
      <c r="CX144" s="229">
        <f t="shared" si="452"/>
        <v>0</v>
      </c>
      <c r="CY144" s="229">
        <f t="shared" si="453"/>
        <v>0</v>
      </c>
      <c r="CZ144" s="229">
        <f t="shared" si="454"/>
        <v>0</v>
      </c>
      <c r="DA144" s="229">
        <f t="shared" si="455"/>
        <v>0</v>
      </c>
      <c r="DB144" s="228">
        <f t="shared" si="423"/>
        <v>0</v>
      </c>
      <c r="DC144" s="229"/>
      <c r="DD144" s="229"/>
      <c r="DE144" s="229"/>
      <c r="DF144" s="229"/>
      <c r="DG144" s="229"/>
      <c r="DH144" s="229"/>
      <c r="DI144" s="229"/>
      <c r="DJ144" s="229"/>
      <c r="DK144" s="229"/>
      <c r="DL144" s="229"/>
      <c r="DM144" s="229"/>
      <c r="DN144" s="229"/>
      <c r="DO144" s="228">
        <f t="shared" si="436"/>
        <v>0</v>
      </c>
      <c r="DP144" s="228">
        <f t="shared" si="437"/>
        <v>0</v>
      </c>
      <c r="DQ144" s="229">
        <f t="shared" si="456"/>
        <v>0</v>
      </c>
      <c r="DR144" s="229">
        <f t="shared" si="457"/>
        <v>0</v>
      </c>
      <c r="DS144" s="229">
        <f t="shared" si="458"/>
        <v>0</v>
      </c>
      <c r="DT144" s="229">
        <f t="shared" si="459"/>
        <v>0</v>
      </c>
      <c r="DU144" s="229">
        <f t="shared" si="460"/>
        <v>0</v>
      </c>
      <c r="DV144" s="229">
        <f t="shared" si="461"/>
        <v>0</v>
      </c>
      <c r="DW144" s="229">
        <f t="shared" si="462"/>
        <v>0</v>
      </c>
      <c r="DX144" s="228">
        <f t="shared" si="424"/>
        <v>0</v>
      </c>
      <c r="DY144" s="229"/>
      <c r="DZ144" s="229"/>
      <c r="EA144" s="229"/>
      <c r="EB144" s="229"/>
      <c r="EC144" s="229"/>
      <c r="ED144" s="229"/>
      <c r="EE144" s="229"/>
      <c r="EF144" s="228">
        <f t="shared" si="438"/>
        <v>0</v>
      </c>
      <c r="EG144" s="228">
        <f t="shared" si="439"/>
        <v>0</v>
      </c>
      <c r="EH144" s="229">
        <f t="shared" si="440"/>
        <v>0</v>
      </c>
      <c r="EI144" s="229">
        <v>13.955</v>
      </c>
      <c r="EJ144" s="228">
        <f t="shared" si="407"/>
        <v>13.955</v>
      </c>
      <c r="EK144" s="229"/>
      <c r="EL144" s="229"/>
      <c r="EM144" s="228">
        <f>SUM(EK144:EL144)</f>
        <v>0</v>
      </c>
      <c r="EN144" s="229">
        <f t="shared" si="413"/>
        <v>0</v>
      </c>
      <c r="EO144" s="229">
        <f t="shared" si="388"/>
        <v>13.955</v>
      </c>
      <c r="EP144" s="228">
        <f t="shared" si="467"/>
        <v>13.955</v>
      </c>
      <c r="EQ144" s="173">
        <f t="shared" si="441"/>
        <v>0</v>
      </c>
      <c r="ER144" s="189">
        <v>0</v>
      </c>
      <c r="ES144" s="189">
        <v>0</v>
      </c>
      <c r="ET144" s="189">
        <v>0</v>
      </c>
      <c r="EU144" s="189">
        <v>0</v>
      </c>
      <c r="EV144" s="189">
        <v>0</v>
      </c>
      <c r="EW144" s="189">
        <v>0</v>
      </c>
      <c r="EX144" s="189">
        <v>0</v>
      </c>
      <c r="EY144" s="189">
        <v>0</v>
      </c>
      <c r="EZ144" s="189">
        <v>0</v>
      </c>
      <c r="FA144" s="189">
        <v>0</v>
      </c>
      <c r="FB144" s="189">
        <v>0</v>
      </c>
      <c r="FC144" s="189">
        <v>0</v>
      </c>
      <c r="FD144" s="189">
        <v>0</v>
      </c>
      <c r="FE144" s="189">
        <v>0</v>
      </c>
      <c r="FF144" s="189">
        <v>0</v>
      </c>
      <c r="FG144" s="189">
        <v>0</v>
      </c>
      <c r="FH144" s="189">
        <v>0</v>
      </c>
      <c r="FI144" s="189">
        <v>0</v>
      </c>
      <c r="FJ144" s="189">
        <v>0</v>
      </c>
      <c r="FK144" s="189">
        <v>0</v>
      </c>
      <c r="FL144" s="189">
        <v>0</v>
      </c>
      <c r="FN144" s="132">
        <v>0</v>
      </c>
    </row>
    <row r="145" spans="1:170" ht="30" customHeight="1">
      <c r="A145" s="88">
        <f>COUNTIF($H$12:H145,H145)</f>
        <v>3</v>
      </c>
      <c r="B145" s="88" t="s">
        <v>107</v>
      </c>
      <c r="C145" s="88" t="s">
        <v>2612</v>
      </c>
      <c r="D145" s="88"/>
      <c r="E145" s="88" t="s">
        <v>3064</v>
      </c>
      <c r="F145" s="301" t="s">
        <v>1777</v>
      </c>
      <c r="G145" s="89" t="s">
        <v>24</v>
      </c>
      <c r="H145" s="88">
        <v>3</v>
      </c>
      <c r="I145" s="88"/>
      <c r="J145" s="88">
        <v>3</v>
      </c>
      <c r="K145" s="90"/>
      <c r="L145" s="90" t="s">
        <v>1618</v>
      </c>
      <c r="M145" s="214"/>
      <c r="N145" s="88" t="s">
        <v>605</v>
      </c>
      <c r="O145" s="216">
        <f>BO145</f>
        <v>7.28</v>
      </c>
      <c r="P145" s="88" t="str">
        <f>IF(BO145&lt;3.33,"B1_3",IF(AND(BO145&gt;=3.33,BO145&lt;4.65),"B1_4",IF(AND(BO145&gt;=4.65,BO145&lt;5.42),"B1_5",IF(AND(BO145&gt;=5.42,BO145&lt;6.44),"B1_6",IF(AND(BO145&gt;=6.44,BO145&lt;=6.92),"B1_7","B1_8")))))</f>
        <v>B1_8</v>
      </c>
      <c r="Q145" s="88">
        <f>IF(M145&gt;0,VLOOKUP(P145,ma_dinhmuc_moi,2,0)/2,VLOOKUP(P145,ma_dinhmuc_moi,2,0))</f>
        <v>270</v>
      </c>
      <c r="R145" s="88">
        <f>IF(M145&gt;0,VLOOKUP(P145,ma_dinhmuc_moi,3,0)/2,VLOOKUP(P145,ma_dinhmuc_moi,3,0))</f>
        <v>280</v>
      </c>
      <c r="S145" s="218"/>
      <c r="T145" s="88" t="s">
        <v>3088</v>
      </c>
      <c r="U145" s="88">
        <f>IF(RIGHT(T145,1)="K",(VLOOKUP(T145,ma_miengiam!$A$3:$B$80,2,0)*100)/2,VLOOKUP(T145,ma_miengiam!$A$3:$B$80,2,0)*100)</f>
        <v>0</v>
      </c>
      <c r="V145" s="88">
        <v>11</v>
      </c>
      <c r="W145" s="220">
        <f>IF(AND(T145="NTS",V145&gt;0),(Q145-(Q145*V145)/12)*VLOOKUP(T145,ma_miengiam!$A$3:$B$80,2,0)+(Q145-(Q145*(12-V145))/12),IF(AND(RIGHT(T145,1)="K",V145&gt;0),(VLOOKUP(T145,ma_miengiam!$A$3:$B$80,2,0)/2)*(Q145*V145)/12,IF(RIGHT(T145,1)="K",(VLOOKUP(T145,ma_miengiam!$A$3:$B$80,2,0)*Q145)/2,IF(V145&gt;0,VLOOKUP(T145,ma_miengiam!$A$3:$B$80,2,0)*Q145*V145/12,VLOOKUP(T145,ma_miengiam!$A$3:$B$80,2,0)*Q145))))</f>
        <v>0</v>
      </c>
      <c r="X145" s="220">
        <f>IF(T145="NTS",VLOOKUP(T145,ma_miengiam!$A$3:$B$80,2,0)*R145*V145,IF(AND(T145="NTS",V145=0),0,IF(AND(LEFT(T145,1)="K",V145=0),VLOOKUP(T145,ma_miengiam!$A$3:$B$80,2,0)*R145,IF(LEFT(T145,1)="K",(VLOOKUP(T145,ma_miengiam!$A$3:$B$80,2,0)*R145/12)*V145,IF(AND(LEFT(T145,1)="S",V145&gt;0),(R145/12)*V145,IF(AND(LEFT(T145,1)="S",V145=0),R145,IF(T145="DH",VLOOKUP(T145,ma_miengiam!$A$3:$B$80,2,0)*R145,0)))))))</f>
        <v>0</v>
      </c>
      <c r="Y145" s="220">
        <f>IF(AND(T145="DH",V145&gt;0),(S145*V145/12),IF(AND(T145&lt;&gt;"NTS",V145&gt;0),(Q145*V145/12)-W145,IF(AND(T145="NTS",V145&gt;0),Q145-W145,Q145-W145)))</f>
        <v>247.5</v>
      </c>
      <c r="Z145" s="220">
        <f>IF(AND(T145="SĐH",V145&gt;0),(R145/12)*V145-X145,IF(AND(T145="DH",V145&gt;0),(R145*V145/12),IF(AND(T145&lt;&gt;"NTS",V145&gt;0),(R145*V145/12)-X145,IF(AND(T145="NTS",V145&gt;0),R145-X145,R145-X145))))</f>
        <v>256.66666666666669</v>
      </c>
      <c r="AA145" s="220"/>
      <c r="AB145" s="220"/>
      <c r="AC145" s="220"/>
      <c r="AD145" s="220"/>
      <c r="AE145" s="220"/>
      <c r="AF145" s="220"/>
      <c r="AG145" s="220"/>
      <c r="AH145" s="220"/>
      <c r="AI145" s="220"/>
      <c r="AJ145" s="220"/>
      <c r="AK145" s="216"/>
      <c r="AL145" s="220"/>
      <c r="AM145" s="220"/>
      <c r="AN145" s="221"/>
      <c r="AO145" s="220"/>
      <c r="AP145" s="220"/>
      <c r="AQ145" s="220"/>
      <c r="AR145" s="220"/>
      <c r="AS145" s="220"/>
      <c r="AT145" s="216"/>
      <c r="AU145" s="222"/>
      <c r="AV145" s="220"/>
      <c r="AW145" s="220"/>
      <c r="AX145" s="216"/>
      <c r="AY145" s="220"/>
      <c r="AZ145" s="220"/>
      <c r="BA145" s="220"/>
      <c r="BB145" s="220"/>
      <c r="BC145" s="220"/>
      <c r="BD145" s="216"/>
      <c r="BE145" s="220"/>
      <c r="BF145" s="220"/>
      <c r="BG145" s="220"/>
      <c r="BH145" s="220"/>
      <c r="BI145" s="220"/>
      <c r="BJ145" s="220" t="s">
        <v>40</v>
      </c>
      <c r="BK145" s="220"/>
      <c r="BL145" s="223">
        <f>IF(AW145&lt;BK145,0,IF(AND(BK145=0,AW145&gt;0),AW145,IF(AW145&lt;0,0,IF(BK145&gt;0,AW145-BK145,IF(BK145&lt;0,0,AW145)))))</f>
        <v>0</v>
      </c>
      <c r="BM145" s="220">
        <v>7.28</v>
      </c>
      <c r="BN145" s="220"/>
      <c r="BO145" s="220">
        <f>ROUND(BM145+(BM145*BN145),2)</f>
        <v>7.28</v>
      </c>
      <c r="BP145" s="220">
        <f>IF(AND(BL145&gt;0,BL145&lt;tiet!$D$1),BL145,IF(BL145&lt;=0,0,IF(BL145&gt;tiet!$C$1,tiet!$C$1)))</f>
        <v>0</v>
      </c>
      <c r="BQ145" s="87">
        <f>VLOOKUP(P145,ma_dinhmuc_moi,4,0)</f>
        <v>85000</v>
      </c>
      <c r="BR145" s="224">
        <f>ROUND(BQ145*BP145,0)</f>
        <v>0</v>
      </c>
      <c r="BS145" s="220">
        <f t="shared" si="434"/>
        <v>0</v>
      </c>
      <c r="BT145" s="224">
        <f>VLOOKUP(N145,ma_dinhmuc!$A$1:$J$31,10,0)</f>
        <v>65000</v>
      </c>
      <c r="BU145" s="224">
        <f>ROUND(IF(BS145&gt;0,VLOOKUP(N145,ma_dinhmuc!$A$1:$J$31,10,0)*BS145,0),0)</f>
        <v>0</v>
      </c>
      <c r="BV145" s="224">
        <f>ROUND(BU145+BR145,0)</f>
        <v>0</v>
      </c>
      <c r="BW145" s="224"/>
      <c r="BX145" s="224">
        <v>0</v>
      </c>
      <c r="BY145" s="224"/>
      <c r="BZ145" s="224"/>
      <c r="CA145" s="224"/>
      <c r="CB145" s="224"/>
      <c r="CC145" s="225">
        <f>ROUND(IF(BV145+BW145&gt;BX145+BY145+BZ145+CA145+CB145,(BW145+BV145)-(BX145+BY145+BZ145+CA145+CB145+CB145),0),0)</f>
        <v>0</v>
      </c>
      <c r="CD145" s="224">
        <f>ROUND(IF(BV145+BW145&lt;BX145+BY145+BZ145+CA145-CB145,(BX145+BY145+BZ145+CA145-CB145)-(BW145+BV145),0),0)</f>
        <v>0</v>
      </c>
      <c r="CE145" s="224"/>
      <c r="CF145" s="226"/>
      <c r="CG145" s="87"/>
      <c r="CH145" s="87">
        <f>A145</f>
        <v>3</v>
      </c>
      <c r="CI145" s="227" t="str">
        <f t="shared" si="465"/>
        <v>Đỗ Nguyên</v>
      </c>
      <c r="CJ145" s="227" t="str">
        <f t="shared" si="465"/>
        <v>Hải</v>
      </c>
      <c r="CK145" s="87">
        <f>H145</f>
        <v>3</v>
      </c>
      <c r="CL145" s="227" t="str">
        <f>L145</f>
        <v>Khoa học đất</v>
      </c>
      <c r="CM145" s="87" t="str">
        <f>N145</f>
        <v>CS4</v>
      </c>
      <c r="CN145" s="87">
        <f>Q145</f>
        <v>270</v>
      </c>
      <c r="CO145" s="87">
        <f>R145</f>
        <v>280</v>
      </c>
      <c r="CP145" s="229">
        <f t="shared" si="444"/>
        <v>0</v>
      </c>
      <c r="CQ145" s="229">
        <f t="shared" si="445"/>
        <v>0</v>
      </c>
      <c r="CR145" s="229">
        <f t="shared" si="446"/>
        <v>0</v>
      </c>
      <c r="CS145" s="229">
        <f t="shared" si="447"/>
        <v>0</v>
      </c>
      <c r="CT145" s="229">
        <f t="shared" si="448"/>
        <v>0</v>
      </c>
      <c r="CU145" s="229">
        <f t="shared" si="449"/>
        <v>0</v>
      </c>
      <c r="CV145" s="229">
        <f t="shared" si="450"/>
        <v>0</v>
      </c>
      <c r="CW145" s="229">
        <f t="shared" si="451"/>
        <v>0</v>
      </c>
      <c r="CX145" s="229">
        <f t="shared" si="452"/>
        <v>0</v>
      </c>
      <c r="CY145" s="229">
        <f t="shared" si="453"/>
        <v>0</v>
      </c>
      <c r="CZ145" s="229">
        <f t="shared" si="454"/>
        <v>0</v>
      </c>
      <c r="DA145" s="229">
        <f t="shared" si="455"/>
        <v>0</v>
      </c>
      <c r="DB145" s="228">
        <f>SUM(CP145:DA145)</f>
        <v>0</v>
      </c>
      <c r="DC145" s="229"/>
      <c r="DD145" s="229"/>
      <c r="DE145" s="229"/>
      <c r="DF145" s="229"/>
      <c r="DG145" s="229"/>
      <c r="DH145" s="229"/>
      <c r="DI145" s="229"/>
      <c r="DJ145" s="229"/>
      <c r="DK145" s="229"/>
      <c r="DL145" s="229"/>
      <c r="DM145" s="229"/>
      <c r="DN145" s="229"/>
      <c r="DO145" s="228">
        <f>SUM(DC145:DN145)</f>
        <v>0</v>
      </c>
      <c r="DP145" s="228">
        <f>DO145+DB145</f>
        <v>0</v>
      </c>
      <c r="DQ145" s="229">
        <f t="shared" si="456"/>
        <v>0</v>
      </c>
      <c r="DR145" s="229">
        <f t="shared" si="457"/>
        <v>0</v>
      </c>
      <c r="DS145" s="229">
        <f t="shared" si="458"/>
        <v>0</v>
      </c>
      <c r="DT145" s="229">
        <f t="shared" si="459"/>
        <v>0</v>
      </c>
      <c r="DU145" s="229">
        <f t="shared" si="460"/>
        <v>0</v>
      </c>
      <c r="DV145" s="229">
        <f t="shared" si="461"/>
        <v>0</v>
      </c>
      <c r="DW145" s="229">
        <f t="shared" si="462"/>
        <v>0</v>
      </c>
      <c r="DX145" s="228">
        <f>SUM(DQ145:DW145)</f>
        <v>0</v>
      </c>
      <c r="DY145" s="229"/>
      <c r="DZ145" s="229"/>
      <c r="EA145" s="229"/>
      <c r="EB145" s="229"/>
      <c r="EC145" s="229"/>
      <c r="ED145" s="229"/>
      <c r="EE145" s="229"/>
      <c r="EF145" s="228">
        <f t="shared" si="438"/>
        <v>0</v>
      </c>
      <c r="EG145" s="228">
        <f>EF145+DX145</f>
        <v>0</v>
      </c>
      <c r="EH145" s="229">
        <f t="shared" si="440"/>
        <v>0</v>
      </c>
      <c r="EI145" s="229">
        <v>13.955</v>
      </c>
      <c r="EJ145" s="228">
        <f>SUM(EH145:EI145)</f>
        <v>13.955</v>
      </c>
      <c r="EK145" s="229"/>
      <c r="EL145" s="229"/>
      <c r="EM145" s="228">
        <f>SUM(EK145:EL145)</f>
        <v>0</v>
      </c>
      <c r="EN145" s="229">
        <f>EK145+EH145+EL145</f>
        <v>0</v>
      </c>
      <c r="EO145" s="229">
        <f>EI145</f>
        <v>13.955</v>
      </c>
      <c r="EP145" s="228">
        <f t="shared" si="467"/>
        <v>13.955</v>
      </c>
      <c r="EQ145" s="173">
        <f t="shared" si="441"/>
        <v>0</v>
      </c>
      <c r="ER145" s="189">
        <v>0</v>
      </c>
      <c r="ES145" s="189">
        <v>0</v>
      </c>
      <c r="ET145" s="189">
        <v>0</v>
      </c>
      <c r="EU145" s="189">
        <v>0</v>
      </c>
      <c r="EV145" s="189">
        <v>0</v>
      </c>
      <c r="EW145" s="189">
        <v>0</v>
      </c>
      <c r="EX145" s="189">
        <v>0</v>
      </c>
      <c r="EY145" s="189">
        <v>0</v>
      </c>
      <c r="EZ145" s="189">
        <v>0</v>
      </c>
      <c r="FA145" s="189">
        <v>0</v>
      </c>
      <c r="FB145" s="189">
        <v>0</v>
      </c>
      <c r="FC145" s="189">
        <v>0</v>
      </c>
      <c r="FD145" s="189">
        <v>0</v>
      </c>
      <c r="FE145" s="189">
        <v>0</v>
      </c>
      <c r="FF145" s="189">
        <v>0</v>
      </c>
      <c r="FG145" s="189">
        <v>0</v>
      </c>
      <c r="FH145" s="189">
        <v>0</v>
      </c>
      <c r="FI145" s="189">
        <v>0</v>
      </c>
      <c r="FJ145" s="189">
        <v>0</v>
      </c>
      <c r="FK145" s="189">
        <v>0</v>
      </c>
      <c r="FL145" s="189">
        <v>0</v>
      </c>
      <c r="FN145" s="132">
        <v>0</v>
      </c>
    </row>
    <row r="146" spans="1:170" ht="30" customHeight="1">
      <c r="A146" s="88">
        <f>COUNTIF($H$12:H146,H146)</f>
        <v>4</v>
      </c>
      <c r="B146" s="88" t="s">
        <v>107</v>
      </c>
      <c r="C146" s="88" t="s">
        <v>2612</v>
      </c>
      <c r="D146" s="88"/>
      <c r="E146" s="88" t="s">
        <v>3064</v>
      </c>
      <c r="F146" s="301" t="s">
        <v>1777</v>
      </c>
      <c r="G146" s="89" t="s">
        <v>24</v>
      </c>
      <c r="H146" s="88">
        <v>3</v>
      </c>
      <c r="I146" s="88">
        <v>3</v>
      </c>
      <c r="J146" s="88">
        <v>3</v>
      </c>
      <c r="K146" s="90" t="s">
        <v>1618</v>
      </c>
      <c r="L146" s="90" t="s">
        <v>1618</v>
      </c>
      <c r="M146" s="214"/>
      <c r="N146" s="88" t="s">
        <v>605</v>
      </c>
      <c r="O146" s="216">
        <f>BO146</f>
        <v>7.28</v>
      </c>
      <c r="P146" s="88" t="str">
        <f>IF(BO146&lt;3.33,"B1_3",IF(AND(BO146&gt;=3.33,BO146&lt;4.65),"B1_4",IF(AND(BO146&gt;=4.65,BO146&lt;5.42),"B1_5",IF(AND(BO146&gt;=5.42,BO146&lt;6.44),"B1_6",IF(AND(BO146&gt;=6.44,BO146&lt;=6.92),"B1_7","B1_8")))))</f>
        <v>B1_8</v>
      </c>
      <c r="Q146" s="88">
        <f>IF(M146&gt;0,VLOOKUP(P146,ma_dinhmuc_moi,2,0)/2,VLOOKUP(P146,ma_dinhmuc_moi,2,0))</f>
        <v>270</v>
      </c>
      <c r="R146" s="88">
        <f>IF(M146&gt;0,VLOOKUP(P146,ma_dinhmuc_moi,3,0)/2,VLOOKUP(P146,ma_dinhmuc_moi,3,0))</f>
        <v>280</v>
      </c>
      <c r="S146" s="218"/>
      <c r="T146" s="88" t="s">
        <v>3088</v>
      </c>
      <c r="U146" s="88">
        <f>IF(RIGHT(T146,1)="K",(VLOOKUP(T146,ma_miengiam!$A$3:$B$80,2,0)*100)/2,VLOOKUP(T146,ma_miengiam!$A$3:$B$80,2,0)*100)</f>
        <v>0</v>
      </c>
      <c r="V146" s="88"/>
      <c r="W146" s="220">
        <f>W145+W144</f>
        <v>4.5</v>
      </c>
      <c r="X146" s="220">
        <f>X145+X144</f>
        <v>0</v>
      </c>
      <c r="Y146" s="220">
        <f>Y145+Y144</f>
        <v>265.5</v>
      </c>
      <c r="Z146" s="220">
        <f>Z145+Z144</f>
        <v>280</v>
      </c>
      <c r="AA146" s="220">
        <f>Q146</f>
        <v>270</v>
      </c>
      <c r="AB146" s="220">
        <f>R146</f>
        <v>280</v>
      </c>
      <c r="AC146" s="220">
        <f t="shared" ref="AC146:AF148" si="470">W146</f>
        <v>4.5</v>
      </c>
      <c r="AD146" s="220">
        <f t="shared" si="470"/>
        <v>0</v>
      </c>
      <c r="AE146" s="220">
        <f t="shared" si="470"/>
        <v>265.5</v>
      </c>
      <c r="AF146" s="220">
        <f t="shared" si="470"/>
        <v>280</v>
      </c>
      <c r="AG146" s="220">
        <f>AH146+AI146</f>
        <v>137.91499999999999</v>
      </c>
      <c r="AH146" s="220">
        <f>EO146</f>
        <v>13.955</v>
      </c>
      <c r="AI146" s="220">
        <f>EN146</f>
        <v>123.96</v>
      </c>
      <c r="AJ146" s="220">
        <f>IF(AG146-Z146&gt;0,0,AG146-Z146)</f>
        <v>-142.08500000000001</v>
      </c>
      <c r="AK146" s="216">
        <f>IF(AJ146&gt;=0,Y146,Y146-AJ146)</f>
        <v>407.58500000000004</v>
      </c>
      <c r="AL146" s="220">
        <f>SUM(CP146:CX146)+SUM(DC146:DK146)</f>
        <v>111.5</v>
      </c>
      <c r="AM146" s="220">
        <f>SUM(DQ146:DU146)+SUM(DY146:EC146)</f>
        <v>180.3</v>
      </c>
      <c r="AN146" s="221">
        <f>AM146+AL146</f>
        <v>291.8</v>
      </c>
      <c r="AO146" s="220">
        <f>CY146+DL146</f>
        <v>0</v>
      </c>
      <c r="AP146" s="220">
        <f>CZ146+DM146</f>
        <v>0</v>
      </c>
      <c r="AQ146" s="220">
        <f>DA146+DN146</f>
        <v>0</v>
      </c>
      <c r="AR146" s="220">
        <f>DV146+ED146</f>
        <v>160</v>
      </c>
      <c r="AS146" s="220">
        <f>DW146+EE146</f>
        <v>40</v>
      </c>
      <c r="AT146" s="216">
        <f>AN146+SUM(AO146:AS146)</f>
        <v>491.8</v>
      </c>
      <c r="AU146" s="222">
        <f>AN146-AK146</f>
        <v>-115.78500000000003</v>
      </c>
      <c r="AV146" s="220"/>
      <c r="AW146" s="220">
        <f>IF(AU146&gt;0,AU146,AV146+AU146)</f>
        <v>-115.78500000000003</v>
      </c>
      <c r="AX146" s="216">
        <f>IF(AN146&gt;AK146,0,IF(AW146&lt;0,AN146-AK146+AV146,IF(AW146&gt;=0,0)))</f>
        <v>-115.78500000000003</v>
      </c>
      <c r="AY146" s="220">
        <f>IF(AN146&gt;=AK146,AO146,IF(AN146+AO146-AK146&gt;=0,AN146+AO146-AK146,0))</f>
        <v>0</v>
      </c>
      <c r="AZ146" s="220">
        <f>IF(OR(AN146&gt;=AK146,AN146+AO146&gt;=AK146),AP146,IF(AN146+AO146+AP146&gt;AK146,AN146+AO146+AP146-AK146,0))</f>
        <v>0</v>
      </c>
      <c r="BA146" s="220">
        <f>IF(OR(AN146&gt;=AK146,AN146+AO146&gt;=AK146,AN146+AO146+AP146&gt;=AK146),AQ146,IF(AN146+AO146+AP146+AQ146&gt;=AK146,AN146+AO146+AP146+AQ146-AK146,0))</f>
        <v>0</v>
      </c>
      <c r="BB146" s="220">
        <f>IF(OR(AN146&gt;=AK146,AN146+AO146&gt;=AK146,AN146+AO146+AP146&gt;=AK146,AN146+AO146+AP146+AQ146&gt;=AK146),AR146,IF(AN146+AO146+AP146+AQ146+AR146&gt;=AK146,AN146+AO146+AP146+AQ146+AR146-AK146,0))</f>
        <v>44.214999999999975</v>
      </c>
      <c r="BC146" s="220">
        <f>IF(OR(AN146&gt;=AK146,AN146+AO146&gt;=AK146,AN146+AO146+AP146&gt;=AK146,AN146+AO146+AP146+AQ146&gt;=AK146,AN146+AO146+AP146+AQ146+AR146&gt;=AK146),AS146,IF(AN146+AO146+AP146+AQ146+AR146+AS146&gt;=AK146,AN146+AO146+AP146+AQ146+AR146+AS146-AK146,0))</f>
        <v>40</v>
      </c>
      <c r="BD146" s="216">
        <f>SUM(AY146:BC146)</f>
        <v>84.214999999999975</v>
      </c>
      <c r="BE146" s="220">
        <f>AY146-AO146</f>
        <v>0</v>
      </c>
      <c r="BF146" s="220">
        <f>AZ146-AP146</f>
        <v>0</v>
      </c>
      <c r="BG146" s="220">
        <f>BA146-AQ146</f>
        <v>0</v>
      </c>
      <c r="BH146" s="220">
        <f>BB146-AR146</f>
        <v>-115.78500000000003</v>
      </c>
      <c r="BI146" s="220">
        <f>BC146-AS146</f>
        <v>0</v>
      </c>
      <c r="BJ146" s="220" t="s">
        <v>40</v>
      </c>
      <c r="BK146" s="220"/>
      <c r="BL146" s="223">
        <f>IF(AW146&lt;BK146,0,IF(AND(BK146=0,AW146&gt;0),AW146,IF(AW146&lt;0,0,IF(BK146&gt;0,AW146-BK146,IF(BK146&lt;0,0,AW146)))))</f>
        <v>0</v>
      </c>
      <c r="BM146" s="220">
        <v>7.28</v>
      </c>
      <c r="BN146" s="220"/>
      <c r="BO146" s="220">
        <f>ROUND(BM146+(BM146*BN146),2)</f>
        <v>7.28</v>
      </c>
      <c r="BP146" s="220">
        <f>IF(AND(BL146&gt;0,BL146&lt;tiet!$D$1),BL146,IF(BL146&lt;=0,0,IF(BL146&gt;tiet!$C$1,tiet!$C$1)))</f>
        <v>0</v>
      </c>
      <c r="BQ146" s="87">
        <f>VLOOKUP(P146,ma_dinhmuc_moi,4,0)</f>
        <v>85000</v>
      </c>
      <c r="BR146" s="224">
        <f>ROUND(BQ146*BP146,0)</f>
        <v>0</v>
      </c>
      <c r="BS146" s="220">
        <f t="shared" si="434"/>
        <v>0</v>
      </c>
      <c r="BT146" s="224">
        <f>VLOOKUP(N146,ma_dinhmuc!$A$1:$J$31,10,0)</f>
        <v>65000</v>
      </c>
      <c r="BU146" s="224">
        <f>ROUND(IF(BS146&gt;0,VLOOKUP(N146,ma_dinhmuc!$A$1:$J$31,10,0)*BS146,0),0)</f>
        <v>0</v>
      </c>
      <c r="BV146" s="224">
        <f>ROUND(BU146+BR146,0)</f>
        <v>0</v>
      </c>
      <c r="BW146" s="224">
        <v>909500</v>
      </c>
      <c r="BX146" s="224">
        <v>0</v>
      </c>
      <c r="BY146" s="224"/>
      <c r="BZ146" s="224"/>
      <c r="CA146" s="224"/>
      <c r="CB146" s="224"/>
      <c r="CC146" s="225">
        <f>ROUND(IF(BV146+BW146&gt;BX146+BY146+BZ146+CA146+CB146,(BW146+BV146)-(BX146+BY146+BZ146+CA146+CB146+CB146),0),0)</f>
        <v>909500</v>
      </c>
      <c r="CD146" s="224">
        <f>ROUND(IF(BV146+BW146&lt;BX146+BY146+BZ146+CA146-CB146,(BX146+BY146+BZ146+CA146-CB146)-(BW146+BV146),0),0)</f>
        <v>0</v>
      </c>
      <c r="CE146" s="224"/>
      <c r="CF146" s="226"/>
      <c r="CG146" s="87"/>
      <c r="CH146" s="87">
        <f>A146</f>
        <v>4</v>
      </c>
      <c r="CI146" s="227" t="str">
        <f t="shared" si="465"/>
        <v>Đỗ Nguyên</v>
      </c>
      <c r="CJ146" s="227" t="str">
        <f t="shared" si="465"/>
        <v>Hải</v>
      </c>
      <c r="CK146" s="87">
        <f>H146</f>
        <v>3</v>
      </c>
      <c r="CL146" s="227" t="str">
        <f>L146</f>
        <v>Khoa học đất</v>
      </c>
      <c r="CM146" s="87" t="str">
        <f>N146</f>
        <v>CS4</v>
      </c>
      <c r="CN146" s="87">
        <f>Q146</f>
        <v>270</v>
      </c>
      <c r="CO146" s="87">
        <f>R146</f>
        <v>280</v>
      </c>
      <c r="CP146" s="229">
        <f t="shared" si="444"/>
        <v>0</v>
      </c>
      <c r="CQ146" s="229">
        <f t="shared" si="445"/>
        <v>12.9</v>
      </c>
      <c r="CR146" s="229">
        <f t="shared" si="446"/>
        <v>5.2</v>
      </c>
      <c r="CS146" s="229">
        <f t="shared" si="447"/>
        <v>0</v>
      </c>
      <c r="CT146" s="229">
        <f t="shared" si="448"/>
        <v>0</v>
      </c>
      <c r="CU146" s="229">
        <f t="shared" si="449"/>
        <v>61.4</v>
      </c>
      <c r="CV146" s="229">
        <f t="shared" si="450"/>
        <v>0</v>
      </c>
      <c r="CW146" s="229">
        <f t="shared" si="451"/>
        <v>32</v>
      </c>
      <c r="CX146" s="229">
        <f t="shared" si="452"/>
        <v>0</v>
      </c>
      <c r="CY146" s="229">
        <f t="shared" si="453"/>
        <v>0</v>
      </c>
      <c r="CZ146" s="229">
        <f t="shared" si="454"/>
        <v>0</v>
      </c>
      <c r="DA146" s="229">
        <f t="shared" si="455"/>
        <v>0</v>
      </c>
      <c r="DB146" s="228">
        <f>SUM(CP146:DA146)</f>
        <v>111.5</v>
      </c>
      <c r="DC146" s="229"/>
      <c r="DD146" s="229"/>
      <c r="DE146" s="229"/>
      <c r="DF146" s="229"/>
      <c r="DG146" s="229"/>
      <c r="DH146" s="229"/>
      <c r="DI146" s="229"/>
      <c r="DJ146" s="229"/>
      <c r="DK146" s="229"/>
      <c r="DL146" s="229"/>
      <c r="DM146" s="229"/>
      <c r="DN146" s="229"/>
      <c r="DO146" s="228">
        <f>SUM(DC146:DN146)</f>
        <v>0</v>
      </c>
      <c r="DP146" s="228">
        <f>DO146+DB146</f>
        <v>111.5</v>
      </c>
      <c r="DQ146" s="229">
        <f t="shared" si="456"/>
        <v>103.5</v>
      </c>
      <c r="DR146" s="229">
        <f t="shared" si="457"/>
        <v>1.2</v>
      </c>
      <c r="DS146" s="229">
        <f t="shared" si="458"/>
        <v>0</v>
      </c>
      <c r="DT146" s="229">
        <f t="shared" si="459"/>
        <v>0.6</v>
      </c>
      <c r="DU146" s="229">
        <f t="shared" si="460"/>
        <v>75</v>
      </c>
      <c r="DV146" s="229">
        <f t="shared" si="461"/>
        <v>160</v>
      </c>
      <c r="DW146" s="229">
        <f t="shared" si="462"/>
        <v>40</v>
      </c>
      <c r="DX146" s="228">
        <f>SUM(DQ146:DW146)</f>
        <v>380.3</v>
      </c>
      <c r="DY146" s="229"/>
      <c r="DZ146" s="229"/>
      <c r="EA146" s="229"/>
      <c r="EB146" s="229"/>
      <c r="EC146" s="229"/>
      <c r="ED146" s="229"/>
      <c r="EE146" s="229"/>
      <c r="EF146" s="228">
        <f t="shared" si="438"/>
        <v>0</v>
      </c>
      <c r="EG146" s="228">
        <f>EF146+DX146</f>
        <v>380.3</v>
      </c>
      <c r="EH146" s="229">
        <f t="shared" si="440"/>
        <v>123.96</v>
      </c>
      <c r="EI146" s="229">
        <v>13.955</v>
      </c>
      <c r="EJ146" s="228">
        <f>SUM(EH146:EI146)</f>
        <v>137.91499999999999</v>
      </c>
      <c r="EK146" s="229"/>
      <c r="EL146" s="229"/>
      <c r="EM146" s="228">
        <f>SUM(EK146:EL146)</f>
        <v>0</v>
      </c>
      <c r="EN146" s="229">
        <f>EK146+EH146+EL146</f>
        <v>123.96</v>
      </c>
      <c r="EO146" s="229">
        <f>EI146</f>
        <v>13.955</v>
      </c>
      <c r="EP146" s="228">
        <f t="shared" si="467"/>
        <v>137.91499999999999</v>
      </c>
      <c r="EQ146" s="173">
        <f t="shared" si="441"/>
        <v>0</v>
      </c>
      <c r="ER146" s="189">
        <v>0</v>
      </c>
      <c r="ES146" s="189">
        <v>12.9</v>
      </c>
      <c r="ET146" s="189">
        <v>5.2</v>
      </c>
      <c r="EU146" s="189">
        <v>0</v>
      </c>
      <c r="EV146" s="189">
        <v>0</v>
      </c>
      <c r="EW146" s="189">
        <v>61.4</v>
      </c>
      <c r="EX146" s="189">
        <v>0</v>
      </c>
      <c r="EY146" s="189">
        <v>32</v>
      </c>
      <c r="EZ146" s="189">
        <v>0</v>
      </c>
      <c r="FA146" s="189">
        <v>0</v>
      </c>
      <c r="FB146" s="189">
        <v>0</v>
      </c>
      <c r="FC146" s="189">
        <v>0</v>
      </c>
      <c r="FD146" s="189">
        <v>103.5</v>
      </c>
      <c r="FE146" s="189">
        <v>1.2</v>
      </c>
      <c r="FF146" s="189">
        <v>0</v>
      </c>
      <c r="FG146" s="189">
        <v>0.6</v>
      </c>
      <c r="FH146" s="189">
        <v>160</v>
      </c>
      <c r="FI146" s="189">
        <v>75</v>
      </c>
      <c r="FJ146" s="189">
        <v>40</v>
      </c>
      <c r="FK146" s="189">
        <v>491.8</v>
      </c>
      <c r="FL146" s="189">
        <v>427</v>
      </c>
      <c r="FN146" s="132">
        <v>123.96</v>
      </c>
    </row>
    <row r="147" spans="1:170" ht="31.5" customHeight="1">
      <c r="A147" s="88">
        <f>COUNTIF($H$12:H147,H147)</f>
        <v>5</v>
      </c>
      <c r="B147" s="88" t="s">
        <v>108</v>
      </c>
      <c r="C147" s="88" t="s">
        <v>2613</v>
      </c>
      <c r="D147" s="88"/>
      <c r="E147" s="88" t="s">
        <v>3064</v>
      </c>
      <c r="F147" s="301" t="s">
        <v>1778</v>
      </c>
      <c r="G147" s="89" t="s">
        <v>1779</v>
      </c>
      <c r="H147" s="88">
        <v>3</v>
      </c>
      <c r="I147" s="88">
        <v>3</v>
      </c>
      <c r="J147" s="88">
        <v>3</v>
      </c>
      <c r="K147" s="90" t="s">
        <v>1618</v>
      </c>
      <c r="L147" s="90" t="s">
        <v>1618</v>
      </c>
      <c r="M147" s="214"/>
      <c r="N147" s="88" t="s">
        <v>605</v>
      </c>
      <c r="O147" s="216">
        <f t="shared" si="463"/>
        <v>6.2</v>
      </c>
      <c r="P147" s="88" t="str">
        <f t="shared" si="468"/>
        <v>B1_6</v>
      </c>
      <c r="Q147" s="88">
        <f t="shared" si="331"/>
        <v>270</v>
      </c>
      <c r="R147" s="88">
        <f t="shared" si="332"/>
        <v>170</v>
      </c>
      <c r="S147" s="218" t="s">
        <v>2528</v>
      </c>
      <c r="T147" s="88" t="s">
        <v>3091</v>
      </c>
      <c r="U147" s="88">
        <f>IF(RIGHT(T147,1)="K",(VLOOKUP(T147,ma_miengiam!$A$3:$B$80,2,0)*100)/2,VLOOKUP(T147,ma_miengiam!$A$3:$B$80,2,0)*100)</f>
        <v>20</v>
      </c>
      <c r="V147" s="88"/>
      <c r="W147" s="220">
        <f>IF(AND(T147="NTS",V147&gt;0),(Q147-(Q147*V147)/12)*VLOOKUP(T147,ma_miengiam!$A$3:$B$80,2,0)+(Q147-(Q147*(12-V147))/12),IF(AND(RIGHT(T147,1)="K",V147&gt;0),(VLOOKUP(T147,ma_miengiam!$A$3:$B$80,2,0)/2)*(Q147*V147)/12,IF(RIGHT(T147,1)="K",(VLOOKUP(T147,ma_miengiam!$A$3:$B$80,2,0)*Q147)/2,IF(V147&gt;0,VLOOKUP(T147,ma_miengiam!$A$3:$B$80,2,0)*Q147*V147/12,VLOOKUP(T147,ma_miengiam!$A$3:$B$80,2,0)*Q147))))</f>
        <v>54</v>
      </c>
      <c r="X147" s="220">
        <f>IF(T147="NTS",VLOOKUP(T147,ma_miengiam!$A$3:$B$80,2,0)*R147*V147,IF(AND(T147="NTS",V147=0),0,IF(AND(LEFT(T147,1)="K",V147=0),VLOOKUP(T147,ma_miengiam!$A$3:$B$80,2,0)*R147,IF(LEFT(T147,1)="K",(VLOOKUP(T147,ma_miengiam!$A$3:$B$80,2,0)*R147/12)*V147,IF(AND(LEFT(T147,1)="S",V147&gt;0),(R147/12)*V147,IF(AND(LEFT(T147,1)="S",V147=0),R147,IF(T147="DH",VLOOKUP(T147,ma_miengiam!$A$3:$B$80,2,0)*R147,0)))))))</f>
        <v>0</v>
      </c>
      <c r="Y147" s="220">
        <f t="shared" si="469"/>
        <v>216</v>
      </c>
      <c r="Z147" s="220">
        <f t="shared" si="337"/>
        <v>170</v>
      </c>
      <c r="AA147" s="220">
        <f>Q147</f>
        <v>270</v>
      </c>
      <c r="AB147" s="220">
        <f>R147</f>
        <v>170</v>
      </c>
      <c r="AC147" s="220">
        <f t="shared" si="470"/>
        <v>54</v>
      </c>
      <c r="AD147" s="220">
        <f t="shared" si="470"/>
        <v>0</v>
      </c>
      <c r="AE147" s="220">
        <f t="shared" si="470"/>
        <v>216</v>
      </c>
      <c r="AF147" s="220">
        <f t="shared" si="470"/>
        <v>170</v>
      </c>
      <c r="AG147" s="220">
        <f>AH147+AI147</f>
        <v>52.08</v>
      </c>
      <c r="AH147" s="220">
        <f>EO147</f>
        <v>0</v>
      </c>
      <c r="AI147" s="220">
        <f>EN147</f>
        <v>52.08</v>
      </c>
      <c r="AJ147" s="220">
        <f t="shared" si="380"/>
        <v>-117.92</v>
      </c>
      <c r="AK147" s="216">
        <f t="shared" si="410"/>
        <v>333.92</v>
      </c>
      <c r="AL147" s="220">
        <f t="shared" si="425"/>
        <v>56.4</v>
      </c>
      <c r="AM147" s="220">
        <f t="shared" si="426"/>
        <v>0</v>
      </c>
      <c r="AN147" s="221">
        <f t="shared" si="427"/>
        <v>56.4</v>
      </c>
      <c r="AO147" s="220">
        <f t="shared" si="428"/>
        <v>0</v>
      </c>
      <c r="AP147" s="220">
        <f t="shared" si="429"/>
        <v>0</v>
      </c>
      <c r="AQ147" s="220">
        <f t="shared" si="430"/>
        <v>0</v>
      </c>
      <c r="AR147" s="220">
        <f t="shared" si="431"/>
        <v>80</v>
      </c>
      <c r="AS147" s="220">
        <f t="shared" si="432"/>
        <v>0</v>
      </c>
      <c r="AT147" s="216">
        <f t="shared" si="433"/>
        <v>136.4</v>
      </c>
      <c r="AU147" s="222">
        <f t="shared" si="395"/>
        <v>-277.52000000000004</v>
      </c>
      <c r="AV147" s="220"/>
      <c r="AW147" s="220">
        <f t="shared" si="350"/>
        <v>-277.52000000000004</v>
      </c>
      <c r="AX147" s="216">
        <f t="shared" si="411"/>
        <v>-277.52000000000004</v>
      </c>
      <c r="AY147" s="220">
        <f t="shared" si="362"/>
        <v>0</v>
      </c>
      <c r="AZ147" s="220">
        <f t="shared" si="363"/>
        <v>0</v>
      </c>
      <c r="BA147" s="220">
        <f t="shared" si="364"/>
        <v>0</v>
      </c>
      <c r="BB147" s="220">
        <f t="shared" si="365"/>
        <v>0</v>
      </c>
      <c r="BC147" s="220">
        <f t="shared" si="366"/>
        <v>0</v>
      </c>
      <c r="BD147" s="216">
        <f t="shared" si="375"/>
        <v>0</v>
      </c>
      <c r="BE147" s="220">
        <f t="shared" si="351"/>
        <v>0</v>
      </c>
      <c r="BF147" s="220">
        <f t="shared" si="352"/>
        <v>0</v>
      </c>
      <c r="BG147" s="220">
        <f t="shared" si="353"/>
        <v>0</v>
      </c>
      <c r="BH147" s="220">
        <f t="shared" si="354"/>
        <v>-80</v>
      </c>
      <c r="BI147" s="220">
        <f t="shared" si="355"/>
        <v>0</v>
      </c>
      <c r="BJ147" s="220" t="s">
        <v>40</v>
      </c>
      <c r="BK147" s="220"/>
      <c r="BL147" s="223">
        <f t="shared" si="412"/>
        <v>0</v>
      </c>
      <c r="BM147" s="220">
        <v>6.2</v>
      </c>
      <c r="BN147" s="220"/>
      <c r="BO147" s="220">
        <f t="shared" si="404"/>
        <v>6.2</v>
      </c>
      <c r="BP147" s="220">
        <f>IF(AND(BL147&gt;0,BL147&lt;tiet!$D$1),BL147,IF(BL147&lt;=0,0,IF(BL147&gt;tiet!$C$1,tiet!$C$1)))</f>
        <v>0</v>
      </c>
      <c r="BQ147" s="87">
        <f t="shared" si="376"/>
        <v>75000</v>
      </c>
      <c r="BR147" s="224">
        <f t="shared" si="377"/>
        <v>0</v>
      </c>
      <c r="BS147" s="220">
        <f t="shared" si="434"/>
        <v>0</v>
      </c>
      <c r="BT147" s="224">
        <f>VLOOKUP(N147,ma_dinhmuc!$A$1:$J$31,10,0)</f>
        <v>65000</v>
      </c>
      <c r="BU147" s="224">
        <f>ROUND(IF(BS147&gt;0,VLOOKUP(N147,ma_dinhmuc!$A$1:$J$31,10,0)*BS147,0),0)</f>
        <v>0</v>
      </c>
      <c r="BV147" s="224">
        <f t="shared" si="378"/>
        <v>0</v>
      </c>
      <c r="BW147" s="224"/>
      <c r="BX147" s="224">
        <v>0</v>
      </c>
      <c r="BY147" s="224"/>
      <c r="BZ147" s="224"/>
      <c r="CA147" s="224"/>
      <c r="CB147" s="224"/>
      <c r="CC147" s="225">
        <f t="shared" si="384"/>
        <v>0</v>
      </c>
      <c r="CD147" s="224">
        <f t="shared" si="385"/>
        <v>0</v>
      </c>
      <c r="CE147" s="224"/>
      <c r="CF147" s="226"/>
      <c r="CG147" s="87"/>
      <c r="CH147" s="87">
        <f t="shared" si="414"/>
        <v>5</v>
      </c>
      <c r="CI147" s="227" t="str">
        <f t="shared" ref="CI147:CI167" si="471">F147</f>
        <v>Phan Quốc</v>
      </c>
      <c r="CJ147" s="227" t="str">
        <f t="shared" ref="CJ147:CJ167" si="472">G147</f>
        <v>Hưng</v>
      </c>
      <c r="CK147" s="87">
        <f t="shared" si="422"/>
        <v>3</v>
      </c>
      <c r="CL147" s="227" t="str">
        <f t="shared" si="464"/>
        <v>Khoa học đất</v>
      </c>
      <c r="CM147" s="87" t="str">
        <f t="shared" si="358"/>
        <v>CS4</v>
      </c>
      <c r="CN147" s="87">
        <f t="shared" si="466"/>
        <v>270</v>
      </c>
      <c r="CO147" s="87">
        <f t="shared" si="466"/>
        <v>170</v>
      </c>
      <c r="CP147" s="229">
        <f t="shared" si="444"/>
        <v>0</v>
      </c>
      <c r="CQ147" s="229">
        <f t="shared" si="445"/>
        <v>3.1</v>
      </c>
      <c r="CR147" s="229">
        <f t="shared" si="446"/>
        <v>1.3</v>
      </c>
      <c r="CS147" s="229">
        <f t="shared" si="447"/>
        <v>30</v>
      </c>
      <c r="CT147" s="229">
        <f t="shared" si="448"/>
        <v>0</v>
      </c>
      <c r="CU147" s="229">
        <f t="shared" si="449"/>
        <v>22</v>
      </c>
      <c r="CV147" s="229">
        <f t="shared" si="450"/>
        <v>0</v>
      </c>
      <c r="CW147" s="229">
        <f t="shared" si="451"/>
        <v>0</v>
      </c>
      <c r="CX147" s="229">
        <f t="shared" si="452"/>
        <v>0</v>
      </c>
      <c r="CY147" s="229">
        <f t="shared" si="453"/>
        <v>0</v>
      </c>
      <c r="CZ147" s="229">
        <f t="shared" si="454"/>
        <v>0</v>
      </c>
      <c r="DA147" s="229">
        <f t="shared" si="455"/>
        <v>0</v>
      </c>
      <c r="DB147" s="228">
        <f t="shared" si="423"/>
        <v>56.4</v>
      </c>
      <c r="DC147" s="229"/>
      <c r="DD147" s="229"/>
      <c r="DE147" s="229"/>
      <c r="DF147" s="229"/>
      <c r="DG147" s="229"/>
      <c r="DH147" s="229"/>
      <c r="DI147" s="229"/>
      <c r="DJ147" s="229"/>
      <c r="DK147" s="229"/>
      <c r="DL147" s="229"/>
      <c r="DM147" s="229"/>
      <c r="DN147" s="229"/>
      <c r="DO147" s="228">
        <f t="shared" si="436"/>
        <v>0</v>
      </c>
      <c r="DP147" s="228">
        <f t="shared" si="437"/>
        <v>56.4</v>
      </c>
      <c r="DQ147" s="229">
        <f t="shared" si="456"/>
        <v>0</v>
      </c>
      <c r="DR147" s="229">
        <f t="shared" si="457"/>
        <v>0</v>
      </c>
      <c r="DS147" s="229">
        <f t="shared" si="458"/>
        <v>0</v>
      </c>
      <c r="DT147" s="229">
        <f t="shared" si="459"/>
        <v>0</v>
      </c>
      <c r="DU147" s="229">
        <f t="shared" si="460"/>
        <v>0</v>
      </c>
      <c r="DV147" s="229">
        <f t="shared" si="461"/>
        <v>80</v>
      </c>
      <c r="DW147" s="229">
        <f t="shared" si="462"/>
        <v>0</v>
      </c>
      <c r="DX147" s="228">
        <f t="shared" si="424"/>
        <v>80</v>
      </c>
      <c r="DY147" s="229"/>
      <c r="DZ147" s="229"/>
      <c r="EA147" s="229"/>
      <c r="EB147" s="229"/>
      <c r="EC147" s="229"/>
      <c r="ED147" s="229"/>
      <c r="EE147" s="229"/>
      <c r="EF147" s="228">
        <f t="shared" si="438"/>
        <v>0</v>
      </c>
      <c r="EG147" s="228">
        <f t="shared" si="439"/>
        <v>80</v>
      </c>
      <c r="EH147" s="229">
        <f t="shared" si="440"/>
        <v>52.08</v>
      </c>
      <c r="EI147" s="229">
        <v>0</v>
      </c>
      <c r="EJ147" s="228">
        <f t="shared" si="407"/>
        <v>52.08</v>
      </c>
      <c r="EK147" s="229"/>
      <c r="EL147" s="229"/>
      <c r="EM147" s="228">
        <f t="shared" si="398"/>
        <v>0</v>
      </c>
      <c r="EN147" s="229">
        <f t="shared" si="413"/>
        <v>52.08</v>
      </c>
      <c r="EO147" s="229">
        <f t="shared" si="388"/>
        <v>0</v>
      </c>
      <c r="EP147" s="228">
        <f t="shared" si="467"/>
        <v>52.08</v>
      </c>
      <c r="EQ147" s="173">
        <f t="shared" si="441"/>
        <v>0</v>
      </c>
      <c r="ER147" s="189">
        <v>0</v>
      </c>
      <c r="ES147" s="189">
        <v>3.1</v>
      </c>
      <c r="ET147" s="189">
        <v>1.3</v>
      </c>
      <c r="EU147" s="189">
        <v>30</v>
      </c>
      <c r="EV147" s="189">
        <v>0</v>
      </c>
      <c r="EW147" s="189">
        <v>22</v>
      </c>
      <c r="EX147" s="189">
        <v>0</v>
      </c>
      <c r="EY147" s="189">
        <v>0</v>
      </c>
      <c r="EZ147" s="189">
        <v>0</v>
      </c>
      <c r="FA147" s="189">
        <v>0</v>
      </c>
      <c r="FB147" s="189">
        <v>0</v>
      </c>
      <c r="FC147" s="189">
        <v>0</v>
      </c>
      <c r="FD147" s="189">
        <v>0</v>
      </c>
      <c r="FE147" s="189">
        <v>0</v>
      </c>
      <c r="FF147" s="189">
        <v>0</v>
      </c>
      <c r="FG147" s="189">
        <v>0</v>
      </c>
      <c r="FH147" s="189">
        <v>80</v>
      </c>
      <c r="FI147" s="189">
        <v>0</v>
      </c>
      <c r="FJ147" s="189">
        <v>0</v>
      </c>
      <c r="FK147" s="189">
        <v>136.4</v>
      </c>
      <c r="FL147" s="189">
        <v>134</v>
      </c>
      <c r="FN147" s="132">
        <v>52.08</v>
      </c>
    </row>
    <row r="148" spans="1:170" ht="45">
      <c r="A148" s="88">
        <f>COUNTIF($H$12:H148,H148)</f>
        <v>6</v>
      </c>
      <c r="B148" s="88" t="s">
        <v>109</v>
      </c>
      <c r="C148" s="88" t="s">
        <v>2614</v>
      </c>
      <c r="D148" s="88"/>
      <c r="E148" s="88" t="s">
        <v>3064</v>
      </c>
      <c r="F148" s="301" t="s">
        <v>1780</v>
      </c>
      <c r="G148" s="89" t="s">
        <v>1781</v>
      </c>
      <c r="H148" s="88">
        <v>3</v>
      </c>
      <c r="I148" s="88">
        <v>3</v>
      </c>
      <c r="J148" s="88">
        <v>3</v>
      </c>
      <c r="K148" s="90" t="s">
        <v>1618</v>
      </c>
      <c r="L148" s="90" t="s">
        <v>1618</v>
      </c>
      <c r="M148" s="214"/>
      <c r="N148" s="88" t="s">
        <v>606</v>
      </c>
      <c r="O148" s="216">
        <f>BO148</f>
        <v>4.4000000000000004</v>
      </c>
      <c r="P148" s="88" t="str">
        <f t="shared" si="468"/>
        <v>B1_4</v>
      </c>
      <c r="Q148" s="88">
        <f t="shared" si="331"/>
        <v>270</v>
      </c>
      <c r="R148" s="88">
        <f t="shared" si="332"/>
        <v>120</v>
      </c>
      <c r="S148" s="234" t="s">
        <v>3170</v>
      </c>
      <c r="T148" s="88" t="s">
        <v>3090</v>
      </c>
      <c r="U148" s="88">
        <f>IF(RIGHT(T148,1)="K",(VLOOKUP(T148,ma_miengiam!$A$3:$B$80,2,0)*100)/2,VLOOKUP(T148,ma_miengiam!$A$3:$B$80,2,0)*100)</f>
        <v>15</v>
      </c>
      <c r="V148" s="88"/>
      <c r="W148" s="220">
        <f>IF(AND(T148="NTS",V148&gt;0),(Q148-(Q148*V148)/12)*VLOOKUP(T148,ma_miengiam!$A$3:$B$80,2,0)+(Q148-(Q148*(12-V148))/12),IF(AND(RIGHT(T148,1)="K",V148&gt;0),(VLOOKUP(T148,ma_miengiam!$A$3:$B$80,2,0)/2)*(Q148*V148)/12,IF(RIGHT(T148,1)="K",(VLOOKUP(T148,ma_miengiam!$A$3:$B$80,2,0)*Q148)/2,IF(V148&gt;0,VLOOKUP(T148,ma_miengiam!$A$3:$B$80,2,0)*Q148*V148/12,VLOOKUP(T148,ma_miengiam!$A$3:$B$80,2,0)*Q148))))</f>
        <v>40.5</v>
      </c>
      <c r="X148" s="220">
        <f>IF(T148="NTS",VLOOKUP(T148,ma_miengiam!$A$3:$B$80,2,0)*R148*V148,IF(AND(T148="NTS",V148=0),0,IF(AND(LEFT(T148,1)="K",V148=0),VLOOKUP(T148,ma_miengiam!$A$3:$B$80,2,0)*R148,IF(LEFT(T148,1)="K",(VLOOKUP(T148,ma_miengiam!$A$3:$B$80,2,0)*R148/12)*V148,IF(AND(LEFT(T148,1)="S",V148&gt;0),(R148/12)*V148,IF(AND(LEFT(T148,1)="S",V148=0),R148,IF(T148="DH",VLOOKUP(T148,ma_miengiam!$A$3:$B$80,2,0)*R148,0)))))))</f>
        <v>0</v>
      </c>
      <c r="Y148" s="220">
        <f t="shared" si="469"/>
        <v>229.5</v>
      </c>
      <c r="Z148" s="220">
        <f>IF(AND(T148="SĐH",V148&gt;0),(R148/12)*V148-X148,IF(AND(T148="DH",V148&gt;0),(R148*V148/12),IF(AND(T148&lt;&gt;"NTS",V148&gt;0),(R148*V148/12)-X148,IF(AND(T148="NTS",V148&gt;0),R148-X148,R148-X148))))</f>
        <v>120</v>
      </c>
      <c r="AA148" s="220">
        <f t="shared" ref="AA148:AB150" si="473">Q148</f>
        <v>270</v>
      </c>
      <c r="AB148" s="220">
        <f t="shared" si="473"/>
        <v>120</v>
      </c>
      <c r="AC148" s="220">
        <f t="shared" si="470"/>
        <v>40.5</v>
      </c>
      <c r="AD148" s="220">
        <f t="shared" si="470"/>
        <v>0</v>
      </c>
      <c r="AE148" s="220">
        <f t="shared" si="470"/>
        <v>229.5</v>
      </c>
      <c r="AF148" s="220">
        <f t="shared" si="470"/>
        <v>120</v>
      </c>
      <c r="AG148" s="220">
        <f>AH148+AI148</f>
        <v>74.585000000000008</v>
      </c>
      <c r="AH148" s="220">
        <f>EO148</f>
        <v>14.585000000000001</v>
      </c>
      <c r="AI148" s="220">
        <f>EN148</f>
        <v>60</v>
      </c>
      <c r="AJ148" s="220">
        <f>IF(AG148-Z148&gt;0,0,AG148-Z148)</f>
        <v>-45.414999999999992</v>
      </c>
      <c r="AK148" s="216">
        <f t="shared" si="410"/>
        <v>274.91499999999996</v>
      </c>
      <c r="AL148" s="220">
        <f t="shared" si="425"/>
        <v>30</v>
      </c>
      <c r="AM148" s="220">
        <f t="shared" si="426"/>
        <v>0</v>
      </c>
      <c r="AN148" s="221">
        <f t="shared" si="427"/>
        <v>30</v>
      </c>
      <c r="AO148" s="220">
        <f t="shared" si="428"/>
        <v>20</v>
      </c>
      <c r="AP148" s="220">
        <f t="shared" si="429"/>
        <v>0</v>
      </c>
      <c r="AQ148" s="220">
        <f t="shared" si="430"/>
        <v>20</v>
      </c>
      <c r="AR148" s="220">
        <f t="shared" si="431"/>
        <v>80</v>
      </c>
      <c r="AS148" s="220">
        <f t="shared" si="432"/>
        <v>0</v>
      </c>
      <c r="AT148" s="216">
        <f t="shared" si="433"/>
        <v>150</v>
      </c>
      <c r="AU148" s="222">
        <f t="shared" si="395"/>
        <v>-244.91499999999996</v>
      </c>
      <c r="AV148" s="220"/>
      <c r="AW148" s="220">
        <f t="shared" si="350"/>
        <v>-244.91499999999996</v>
      </c>
      <c r="AX148" s="216">
        <f t="shared" si="411"/>
        <v>-244.91499999999996</v>
      </c>
      <c r="AY148" s="220">
        <f t="shared" si="362"/>
        <v>0</v>
      </c>
      <c r="AZ148" s="220">
        <f t="shared" si="363"/>
        <v>0</v>
      </c>
      <c r="BA148" s="220">
        <f t="shared" si="364"/>
        <v>0</v>
      </c>
      <c r="BB148" s="220">
        <f t="shared" si="365"/>
        <v>0</v>
      </c>
      <c r="BC148" s="220">
        <f t="shared" si="366"/>
        <v>0</v>
      </c>
      <c r="BD148" s="216">
        <f t="shared" si="375"/>
        <v>0</v>
      </c>
      <c r="BE148" s="220">
        <f t="shared" si="351"/>
        <v>-20</v>
      </c>
      <c r="BF148" s="220">
        <f t="shared" si="352"/>
        <v>0</v>
      </c>
      <c r="BG148" s="220">
        <f t="shared" si="353"/>
        <v>-20</v>
      </c>
      <c r="BH148" s="220">
        <f t="shared" si="354"/>
        <v>-80</v>
      </c>
      <c r="BI148" s="220">
        <f t="shared" si="355"/>
        <v>0</v>
      </c>
      <c r="BJ148" s="220" t="s">
        <v>40</v>
      </c>
      <c r="BK148" s="220"/>
      <c r="BL148" s="223">
        <f t="shared" si="412"/>
        <v>0</v>
      </c>
      <c r="BM148" s="220">
        <v>4.4000000000000004</v>
      </c>
      <c r="BN148" s="220"/>
      <c r="BO148" s="220">
        <f t="shared" si="404"/>
        <v>4.4000000000000004</v>
      </c>
      <c r="BP148" s="220">
        <f>IF(AND(BL148&gt;0,BL148&lt;tiet!$D$1),BL148,IF(BL148&lt;=0,0,IF(BL148&gt;tiet!$C$1,tiet!$C$1)))</f>
        <v>0</v>
      </c>
      <c r="BQ148" s="87">
        <f>VLOOKUP(P148,ma_dinhmuc_moi,4,0)</f>
        <v>65000</v>
      </c>
      <c r="BR148" s="224">
        <f>ROUND(BQ148*BP148,0)</f>
        <v>0</v>
      </c>
      <c r="BS148" s="220">
        <f t="shared" si="434"/>
        <v>0</v>
      </c>
      <c r="BT148" s="224">
        <f>VLOOKUP(N148,ma_dinhmuc!$A$1:$J$31,10,0)</f>
        <v>55000</v>
      </c>
      <c r="BU148" s="224">
        <f>ROUND(IF(BS148&gt;0,VLOOKUP(N148,ma_dinhmuc!$A$1:$J$31,10,0)*BS148,0),0)</f>
        <v>0</v>
      </c>
      <c r="BV148" s="224">
        <f>ROUND(BU148+BR148,0)</f>
        <v>0</v>
      </c>
      <c r="BW148" s="224"/>
      <c r="BX148" s="224">
        <v>0</v>
      </c>
      <c r="BY148" s="224"/>
      <c r="BZ148" s="224"/>
      <c r="CA148" s="224"/>
      <c r="CB148" s="224"/>
      <c r="CC148" s="225">
        <f>ROUND(IF(BV148+BW148&gt;BX148+BY148+BZ148+CA148+CB148,(BW148+BV148)-(BX148+BY148+BZ148+CA148+CB148+CB148),0),0)</f>
        <v>0</v>
      </c>
      <c r="CD148" s="224">
        <f>ROUND(IF(BV148+BW148&lt;BX148+BY148+BZ148+CA148-CB148,(BX148+BY148+BZ148+CA148-CB148)-(BW148+BV148),0),0)</f>
        <v>0</v>
      </c>
      <c r="CE148" s="224"/>
      <c r="CF148" s="226"/>
      <c r="CG148" s="87"/>
      <c r="CH148" s="87">
        <f>A148</f>
        <v>6</v>
      </c>
      <c r="CI148" s="227" t="str">
        <f t="shared" ref="CI148:CJ153" si="474">F148</f>
        <v>Luyện Hữu</v>
      </c>
      <c r="CJ148" s="227" t="str">
        <f t="shared" si="474"/>
        <v>Cử</v>
      </c>
      <c r="CK148" s="87">
        <f t="shared" ref="CK148:CK153" si="475">H148</f>
        <v>3</v>
      </c>
      <c r="CL148" s="227" t="str">
        <f t="shared" ref="CL148:CL153" si="476">L148</f>
        <v>Khoa học đất</v>
      </c>
      <c r="CM148" s="87" t="str">
        <f t="shared" si="358"/>
        <v>CS3</v>
      </c>
      <c r="CN148" s="87">
        <f t="shared" ref="CN148:CO152" si="477">Q148</f>
        <v>270</v>
      </c>
      <c r="CO148" s="87">
        <f t="shared" si="477"/>
        <v>120</v>
      </c>
      <c r="CP148" s="229">
        <f t="shared" si="444"/>
        <v>0</v>
      </c>
      <c r="CQ148" s="229">
        <f t="shared" si="445"/>
        <v>0</v>
      </c>
      <c r="CR148" s="229">
        <f t="shared" si="446"/>
        <v>0</v>
      </c>
      <c r="CS148" s="229">
        <f t="shared" si="447"/>
        <v>30</v>
      </c>
      <c r="CT148" s="229">
        <f t="shared" si="448"/>
        <v>0</v>
      </c>
      <c r="CU148" s="229">
        <f t="shared" si="449"/>
        <v>0</v>
      </c>
      <c r="CV148" s="229">
        <f t="shared" si="450"/>
        <v>0</v>
      </c>
      <c r="CW148" s="229">
        <f t="shared" si="451"/>
        <v>0</v>
      </c>
      <c r="CX148" s="229">
        <f t="shared" si="452"/>
        <v>0</v>
      </c>
      <c r="CY148" s="229">
        <f t="shared" si="453"/>
        <v>20</v>
      </c>
      <c r="CZ148" s="229">
        <f t="shared" si="454"/>
        <v>0</v>
      </c>
      <c r="DA148" s="229">
        <f t="shared" si="455"/>
        <v>20</v>
      </c>
      <c r="DB148" s="228">
        <f t="shared" si="423"/>
        <v>70</v>
      </c>
      <c r="DC148" s="229"/>
      <c r="DD148" s="229"/>
      <c r="DE148" s="229"/>
      <c r="DF148" s="229"/>
      <c r="DG148" s="229"/>
      <c r="DH148" s="229"/>
      <c r="DI148" s="229"/>
      <c r="DJ148" s="229"/>
      <c r="DK148" s="229"/>
      <c r="DL148" s="229"/>
      <c r="DM148" s="229"/>
      <c r="DN148" s="229"/>
      <c r="DO148" s="228">
        <f t="shared" si="436"/>
        <v>0</v>
      </c>
      <c r="DP148" s="228">
        <f t="shared" si="437"/>
        <v>70</v>
      </c>
      <c r="DQ148" s="229">
        <f t="shared" si="456"/>
        <v>0</v>
      </c>
      <c r="DR148" s="229">
        <f t="shared" si="457"/>
        <v>0</v>
      </c>
      <c r="DS148" s="229">
        <f t="shared" si="458"/>
        <v>0</v>
      </c>
      <c r="DT148" s="229">
        <f t="shared" si="459"/>
        <v>0</v>
      </c>
      <c r="DU148" s="229">
        <f t="shared" si="460"/>
        <v>0</v>
      </c>
      <c r="DV148" s="229">
        <f t="shared" si="461"/>
        <v>80</v>
      </c>
      <c r="DW148" s="229">
        <f t="shared" si="462"/>
        <v>0</v>
      </c>
      <c r="DX148" s="228">
        <f t="shared" si="424"/>
        <v>80</v>
      </c>
      <c r="DY148" s="229"/>
      <c r="DZ148" s="229"/>
      <c r="EA148" s="229"/>
      <c r="EB148" s="229"/>
      <c r="EC148" s="229"/>
      <c r="ED148" s="229"/>
      <c r="EE148" s="229"/>
      <c r="EF148" s="228">
        <f t="shared" si="438"/>
        <v>0</v>
      </c>
      <c r="EG148" s="228">
        <f t="shared" si="439"/>
        <v>80</v>
      </c>
      <c r="EH148" s="229">
        <f t="shared" si="440"/>
        <v>60</v>
      </c>
      <c r="EI148" s="229">
        <v>14.585000000000001</v>
      </c>
      <c r="EJ148" s="228">
        <f t="shared" si="407"/>
        <v>74.585000000000008</v>
      </c>
      <c r="EK148" s="229"/>
      <c r="EL148" s="229"/>
      <c r="EM148" s="228">
        <f>SUM(EK148:EL148)</f>
        <v>0</v>
      </c>
      <c r="EN148" s="229">
        <f t="shared" si="413"/>
        <v>60</v>
      </c>
      <c r="EO148" s="229">
        <f t="shared" si="388"/>
        <v>14.585000000000001</v>
      </c>
      <c r="EP148" s="228">
        <f t="shared" si="467"/>
        <v>74.585000000000008</v>
      </c>
      <c r="EQ148" s="173">
        <f t="shared" si="441"/>
        <v>0</v>
      </c>
      <c r="ER148" s="189">
        <v>0</v>
      </c>
      <c r="ES148" s="189">
        <v>0</v>
      </c>
      <c r="ET148" s="189">
        <v>0</v>
      </c>
      <c r="EU148" s="189">
        <v>30</v>
      </c>
      <c r="EV148" s="189">
        <v>0</v>
      </c>
      <c r="EW148" s="189">
        <v>0</v>
      </c>
      <c r="EX148" s="189">
        <v>0</v>
      </c>
      <c r="EY148" s="189">
        <v>0</v>
      </c>
      <c r="EZ148" s="189">
        <v>0</v>
      </c>
      <c r="FA148" s="189">
        <v>20</v>
      </c>
      <c r="FB148" s="189">
        <v>0</v>
      </c>
      <c r="FC148" s="189">
        <v>20</v>
      </c>
      <c r="FD148" s="189">
        <v>0</v>
      </c>
      <c r="FE148" s="189">
        <v>0</v>
      </c>
      <c r="FF148" s="189">
        <v>0</v>
      </c>
      <c r="FG148" s="189">
        <v>0</v>
      </c>
      <c r="FH148" s="189">
        <v>80</v>
      </c>
      <c r="FI148" s="189">
        <v>0</v>
      </c>
      <c r="FJ148" s="189">
        <v>0</v>
      </c>
      <c r="FK148" s="189">
        <v>150</v>
      </c>
      <c r="FL148" s="189">
        <v>150</v>
      </c>
      <c r="FN148" s="132">
        <v>60</v>
      </c>
    </row>
    <row r="149" spans="1:170" ht="45">
      <c r="A149" s="88">
        <f>COUNTIF($H$12:H149,H149)</f>
        <v>7</v>
      </c>
      <c r="B149" s="88" t="s">
        <v>110</v>
      </c>
      <c r="C149" s="88" t="s">
        <v>2615</v>
      </c>
      <c r="D149" s="88"/>
      <c r="E149" s="88" t="s">
        <v>3064</v>
      </c>
      <c r="F149" s="301" t="s">
        <v>1782</v>
      </c>
      <c r="G149" s="89" t="s">
        <v>17</v>
      </c>
      <c r="H149" s="88">
        <v>3</v>
      </c>
      <c r="I149" s="88">
        <v>3</v>
      </c>
      <c r="J149" s="88">
        <v>3</v>
      </c>
      <c r="K149" s="90" t="s">
        <v>1618</v>
      </c>
      <c r="L149" s="90" t="s">
        <v>1618</v>
      </c>
      <c r="M149" s="214"/>
      <c r="N149" s="88" t="s">
        <v>605</v>
      </c>
      <c r="O149" s="216">
        <f>BO149</f>
        <v>6.56</v>
      </c>
      <c r="P149" s="88" t="str">
        <f t="shared" si="468"/>
        <v>B1_7</v>
      </c>
      <c r="Q149" s="88">
        <f t="shared" si="331"/>
        <v>270</v>
      </c>
      <c r="R149" s="88">
        <f t="shared" si="332"/>
        <v>200</v>
      </c>
      <c r="S149" s="230" t="s">
        <v>2030</v>
      </c>
      <c r="T149" s="88" t="s">
        <v>3093</v>
      </c>
      <c r="U149" s="88">
        <f>IF(RIGHT(T149,1)="K",(VLOOKUP(T149,ma_miengiam!$A$3:$B$80,2,0)*100)/2,VLOOKUP(T149,ma_miengiam!$A$3:$B$80,2,0)*100)</f>
        <v>30</v>
      </c>
      <c r="V149" s="88"/>
      <c r="W149" s="220">
        <f>IF(AND(T149="NTS",V149&gt;0),(Q149-(Q149*V149)/12)*VLOOKUP(T149,ma_miengiam!$A$3:$B$80,2,0)+(Q149-(Q149*(12-V149))/12),IF(AND(RIGHT(T149,1)="K",V149&gt;0),(VLOOKUP(T149,ma_miengiam!$A$3:$B$80,2,0)/2)*(Q149*V149)/12,IF(RIGHT(T149,1)="K",(VLOOKUP(T149,ma_miengiam!$A$3:$B$80,2,0)*Q149)/2,IF(V149&gt;0,VLOOKUP(T149,ma_miengiam!$A$3:$B$80,2,0)*Q149*V149/12,VLOOKUP(T149,ma_miengiam!$A$3:$B$80,2,0)*Q149))))</f>
        <v>81</v>
      </c>
      <c r="X149" s="220">
        <f>IF(T149="NTS",VLOOKUP(T149,ma_miengiam!$A$3:$B$80,2,0)*R149*V149,IF(AND(T149="NTS",V149=0),0,IF(AND(LEFT(T149,1)="K",V149=0),VLOOKUP(T149,ma_miengiam!$A$3:$B$80,2,0)*R149,IF(LEFT(T149,1)="K",(VLOOKUP(T149,ma_miengiam!$A$3:$B$80,2,0)*R149/12)*V149,IF(AND(LEFT(T149,1)="S",V149&gt;0),(R149/12)*V149,IF(AND(LEFT(T149,1)="S",V149=0),R149,IF(T149="DH",VLOOKUP(T149,ma_miengiam!$A$3:$B$80,2,0)*R149,0)))))))</f>
        <v>0</v>
      </c>
      <c r="Y149" s="220">
        <f t="shared" si="469"/>
        <v>189</v>
      </c>
      <c r="Z149" s="220">
        <f>IF(AND(T149="SĐH",V149&gt;0),(R149/12)*V149-X149,IF(AND(T149="DH",V149&gt;0),(R149*V149/12),IF(AND(T149&lt;&gt;"NTS",V149&gt;0),(R149*V149/12)-X149,IF(AND(T149="NTS",V149&gt;0),R149-X149,R149-X149))))</f>
        <v>200</v>
      </c>
      <c r="AA149" s="220">
        <f t="shared" si="473"/>
        <v>270</v>
      </c>
      <c r="AB149" s="220">
        <f t="shared" si="473"/>
        <v>200</v>
      </c>
      <c r="AC149" s="220">
        <f t="shared" ref="AC149:AF150" si="478">W149</f>
        <v>81</v>
      </c>
      <c r="AD149" s="220">
        <f t="shared" si="478"/>
        <v>0</v>
      </c>
      <c r="AE149" s="220">
        <f t="shared" si="478"/>
        <v>189</v>
      </c>
      <c r="AF149" s="220">
        <f t="shared" si="478"/>
        <v>200</v>
      </c>
      <c r="AG149" s="220">
        <f>AH149+AI149</f>
        <v>387.68</v>
      </c>
      <c r="AH149" s="220">
        <f>EO149</f>
        <v>73.930000000000007</v>
      </c>
      <c r="AI149" s="220">
        <f>EN149</f>
        <v>313.75</v>
      </c>
      <c r="AJ149" s="220">
        <f>IF(AG149-Z149&gt;0,0,AG149-Z149)</f>
        <v>0</v>
      </c>
      <c r="AK149" s="216">
        <f t="shared" si="410"/>
        <v>189</v>
      </c>
      <c r="AL149" s="220">
        <f t="shared" si="425"/>
        <v>98.2</v>
      </c>
      <c r="AM149" s="220">
        <f t="shared" si="426"/>
        <v>15</v>
      </c>
      <c r="AN149" s="221">
        <f t="shared" si="427"/>
        <v>113.2</v>
      </c>
      <c r="AO149" s="220">
        <f t="shared" si="428"/>
        <v>0</v>
      </c>
      <c r="AP149" s="220">
        <f t="shared" si="429"/>
        <v>0</v>
      </c>
      <c r="AQ149" s="220">
        <f t="shared" si="430"/>
        <v>0</v>
      </c>
      <c r="AR149" s="220">
        <f t="shared" si="431"/>
        <v>108</v>
      </c>
      <c r="AS149" s="220">
        <f t="shared" si="432"/>
        <v>20</v>
      </c>
      <c r="AT149" s="216">
        <f t="shared" si="433"/>
        <v>241.2</v>
      </c>
      <c r="AU149" s="222">
        <f t="shared" si="395"/>
        <v>-75.8</v>
      </c>
      <c r="AV149" s="220"/>
      <c r="AW149" s="220">
        <f t="shared" si="350"/>
        <v>-75.8</v>
      </c>
      <c r="AX149" s="216">
        <f t="shared" si="411"/>
        <v>-75.8</v>
      </c>
      <c r="AY149" s="220">
        <f t="shared" si="362"/>
        <v>0</v>
      </c>
      <c r="AZ149" s="220">
        <f t="shared" si="363"/>
        <v>0</v>
      </c>
      <c r="BA149" s="220">
        <f t="shared" si="364"/>
        <v>0</v>
      </c>
      <c r="BB149" s="220">
        <f t="shared" si="365"/>
        <v>32.199999999999989</v>
      </c>
      <c r="BC149" s="220">
        <f t="shared" si="366"/>
        <v>20</v>
      </c>
      <c r="BD149" s="216">
        <f t="shared" si="375"/>
        <v>52.199999999999989</v>
      </c>
      <c r="BE149" s="220">
        <f t="shared" si="351"/>
        <v>0</v>
      </c>
      <c r="BF149" s="220">
        <f t="shared" si="352"/>
        <v>0</v>
      </c>
      <c r="BG149" s="220">
        <f t="shared" si="353"/>
        <v>0</v>
      </c>
      <c r="BH149" s="220">
        <f t="shared" si="354"/>
        <v>-75.800000000000011</v>
      </c>
      <c r="BI149" s="220">
        <f t="shared" si="355"/>
        <v>0</v>
      </c>
      <c r="BJ149" s="220" t="s">
        <v>40</v>
      </c>
      <c r="BK149" s="220"/>
      <c r="BL149" s="223">
        <f t="shared" si="412"/>
        <v>0</v>
      </c>
      <c r="BM149" s="220">
        <v>6.56</v>
      </c>
      <c r="BN149" s="220"/>
      <c r="BO149" s="220">
        <f t="shared" si="404"/>
        <v>6.56</v>
      </c>
      <c r="BP149" s="220">
        <f>IF(AND(BL149&gt;0,BL149&lt;tiet!$D$1),BL149,IF(BL149&lt;=0,0,IF(BL149&gt;tiet!$C$1,tiet!$C$1)))</f>
        <v>0</v>
      </c>
      <c r="BQ149" s="87">
        <f>VLOOKUP(P149,ma_dinhmuc_moi,4,0)</f>
        <v>80000</v>
      </c>
      <c r="BR149" s="224">
        <f>ROUND(BQ149*BP149,0)</f>
        <v>0</v>
      </c>
      <c r="BS149" s="220">
        <f t="shared" si="434"/>
        <v>0</v>
      </c>
      <c r="BT149" s="224">
        <f>VLOOKUP(N149,ma_dinhmuc!$A$1:$J$31,10,0)</f>
        <v>65000</v>
      </c>
      <c r="BU149" s="224">
        <f>ROUND(IF(BS149&gt;0,VLOOKUP(N149,ma_dinhmuc!$A$1:$J$31,10,0)*BS149,0),0)</f>
        <v>0</v>
      </c>
      <c r="BV149" s="224">
        <f>ROUND(BU149+BR149,0)</f>
        <v>0</v>
      </c>
      <c r="BW149" s="224"/>
      <c r="BX149" s="224">
        <v>0</v>
      </c>
      <c r="BY149" s="224"/>
      <c r="BZ149" s="224"/>
      <c r="CA149" s="224"/>
      <c r="CB149" s="224"/>
      <c r="CC149" s="225">
        <f t="shared" si="384"/>
        <v>0</v>
      </c>
      <c r="CD149" s="224">
        <f t="shared" si="385"/>
        <v>0</v>
      </c>
      <c r="CE149" s="224"/>
      <c r="CF149" s="226"/>
      <c r="CG149" s="87"/>
      <c r="CH149" s="87">
        <f>A149</f>
        <v>7</v>
      </c>
      <c r="CI149" s="227" t="str">
        <f t="shared" si="474"/>
        <v>Cao Việt</v>
      </c>
      <c r="CJ149" s="227" t="str">
        <f t="shared" si="474"/>
        <v>Hà</v>
      </c>
      <c r="CK149" s="87">
        <f t="shared" si="475"/>
        <v>3</v>
      </c>
      <c r="CL149" s="227" t="str">
        <f t="shared" si="476"/>
        <v>Khoa học đất</v>
      </c>
      <c r="CM149" s="87" t="str">
        <f t="shared" si="358"/>
        <v>CS4</v>
      </c>
      <c r="CN149" s="87">
        <f t="shared" si="477"/>
        <v>270</v>
      </c>
      <c r="CO149" s="87">
        <f t="shared" si="477"/>
        <v>200</v>
      </c>
      <c r="CP149" s="229">
        <f t="shared" si="444"/>
        <v>0</v>
      </c>
      <c r="CQ149" s="229">
        <f t="shared" si="445"/>
        <v>7.3</v>
      </c>
      <c r="CR149" s="229">
        <f t="shared" si="446"/>
        <v>2.9</v>
      </c>
      <c r="CS149" s="229">
        <f t="shared" si="447"/>
        <v>0</v>
      </c>
      <c r="CT149" s="229">
        <f t="shared" si="448"/>
        <v>0</v>
      </c>
      <c r="CU149" s="229">
        <f t="shared" si="449"/>
        <v>60</v>
      </c>
      <c r="CV149" s="229">
        <f t="shared" si="450"/>
        <v>0</v>
      </c>
      <c r="CW149" s="229">
        <f t="shared" si="451"/>
        <v>28</v>
      </c>
      <c r="CX149" s="229">
        <f t="shared" si="452"/>
        <v>0</v>
      </c>
      <c r="CY149" s="229">
        <f t="shared" si="453"/>
        <v>0</v>
      </c>
      <c r="CZ149" s="229">
        <f t="shared" si="454"/>
        <v>0</v>
      </c>
      <c r="DA149" s="229">
        <f t="shared" si="455"/>
        <v>0</v>
      </c>
      <c r="DB149" s="228">
        <f t="shared" si="423"/>
        <v>98.2</v>
      </c>
      <c r="DC149" s="229"/>
      <c r="DD149" s="229"/>
      <c r="DE149" s="229"/>
      <c r="DF149" s="229"/>
      <c r="DG149" s="229"/>
      <c r="DH149" s="229"/>
      <c r="DI149" s="229"/>
      <c r="DJ149" s="229"/>
      <c r="DK149" s="229"/>
      <c r="DL149" s="229"/>
      <c r="DM149" s="229"/>
      <c r="DN149" s="229"/>
      <c r="DO149" s="228">
        <f t="shared" si="436"/>
        <v>0</v>
      </c>
      <c r="DP149" s="228">
        <f t="shared" si="437"/>
        <v>98.2</v>
      </c>
      <c r="DQ149" s="229">
        <f t="shared" si="456"/>
        <v>0</v>
      </c>
      <c r="DR149" s="229">
        <f t="shared" si="457"/>
        <v>0</v>
      </c>
      <c r="DS149" s="229">
        <f t="shared" si="458"/>
        <v>0</v>
      </c>
      <c r="DT149" s="229">
        <f t="shared" si="459"/>
        <v>0</v>
      </c>
      <c r="DU149" s="229">
        <f t="shared" si="460"/>
        <v>15</v>
      </c>
      <c r="DV149" s="229">
        <f t="shared" si="461"/>
        <v>108</v>
      </c>
      <c r="DW149" s="229">
        <f t="shared" si="462"/>
        <v>20</v>
      </c>
      <c r="DX149" s="228">
        <f t="shared" si="424"/>
        <v>143</v>
      </c>
      <c r="DY149" s="229"/>
      <c r="DZ149" s="229"/>
      <c r="EA149" s="229"/>
      <c r="EB149" s="229"/>
      <c r="EC149" s="229"/>
      <c r="ED149" s="229"/>
      <c r="EE149" s="229"/>
      <c r="EF149" s="228">
        <f t="shared" si="438"/>
        <v>0</v>
      </c>
      <c r="EG149" s="228">
        <f t="shared" si="439"/>
        <v>143</v>
      </c>
      <c r="EH149" s="229">
        <f t="shared" si="440"/>
        <v>313.75</v>
      </c>
      <c r="EI149" s="229">
        <v>73.930000000000007</v>
      </c>
      <c r="EJ149" s="228">
        <f t="shared" ref="EJ149:EJ156" si="479">SUM(EH149:EI149)</f>
        <v>387.68</v>
      </c>
      <c r="EK149" s="229"/>
      <c r="EL149" s="229"/>
      <c r="EM149" s="228">
        <f>SUM(EK149:EL149)</f>
        <v>0</v>
      </c>
      <c r="EN149" s="229">
        <f t="shared" si="413"/>
        <v>313.75</v>
      </c>
      <c r="EO149" s="229">
        <f t="shared" si="388"/>
        <v>73.930000000000007</v>
      </c>
      <c r="EP149" s="228">
        <f t="shared" ref="EP149:EP156" si="480">EM149+EJ149</f>
        <v>387.68</v>
      </c>
      <c r="EQ149" s="173">
        <f t="shared" si="441"/>
        <v>113.75</v>
      </c>
      <c r="ER149" s="189">
        <v>0</v>
      </c>
      <c r="ES149" s="189">
        <v>7.3</v>
      </c>
      <c r="ET149" s="189">
        <v>2.9</v>
      </c>
      <c r="EU149" s="189">
        <v>0</v>
      </c>
      <c r="EV149" s="189">
        <v>0</v>
      </c>
      <c r="EW149" s="189">
        <v>60</v>
      </c>
      <c r="EX149" s="189">
        <v>0</v>
      </c>
      <c r="EY149" s="189">
        <v>28</v>
      </c>
      <c r="EZ149" s="189">
        <v>0</v>
      </c>
      <c r="FA149" s="189">
        <v>0</v>
      </c>
      <c r="FB149" s="189">
        <v>0</v>
      </c>
      <c r="FC149" s="189">
        <v>0</v>
      </c>
      <c r="FD149" s="189">
        <v>0</v>
      </c>
      <c r="FE149" s="189">
        <v>0</v>
      </c>
      <c r="FF149" s="189">
        <v>0</v>
      </c>
      <c r="FG149" s="189">
        <v>0</v>
      </c>
      <c r="FH149" s="189">
        <v>108</v>
      </c>
      <c r="FI149" s="189">
        <v>15</v>
      </c>
      <c r="FJ149" s="189">
        <v>20</v>
      </c>
      <c r="FK149" s="189">
        <v>241.2</v>
      </c>
      <c r="FL149" s="189">
        <v>231</v>
      </c>
      <c r="FN149" s="132">
        <v>313.75</v>
      </c>
    </row>
    <row r="150" spans="1:170" ht="30" customHeight="1">
      <c r="A150" s="88">
        <f>COUNTIF($H$12:H150,H150)</f>
        <v>8</v>
      </c>
      <c r="B150" s="88" t="s">
        <v>58</v>
      </c>
      <c r="C150" s="88" t="s">
        <v>2616</v>
      </c>
      <c r="D150" s="88"/>
      <c r="E150" s="88"/>
      <c r="F150" s="301" t="s">
        <v>197</v>
      </c>
      <c r="G150" s="89" t="s">
        <v>380</v>
      </c>
      <c r="H150" s="88">
        <v>3</v>
      </c>
      <c r="I150" s="88">
        <v>3</v>
      </c>
      <c r="J150" s="88">
        <v>3</v>
      </c>
      <c r="K150" s="90" t="s">
        <v>1618</v>
      </c>
      <c r="L150" s="90" t="s">
        <v>1618</v>
      </c>
      <c r="M150" s="214"/>
      <c r="N150" s="88" t="s">
        <v>1804</v>
      </c>
      <c r="O150" s="216">
        <f t="shared" si="463"/>
        <v>2.67</v>
      </c>
      <c r="P150" s="88" t="str">
        <f t="shared" si="468"/>
        <v>B1_3</v>
      </c>
      <c r="Q150" s="88">
        <f t="shared" si="331"/>
        <v>270</v>
      </c>
      <c r="R150" s="88">
        <f t="shared" si="332"/>
        <v>100</v>
      </c>
      <c r="S150" s="231" t="s">
        <v>3132</v>
      </c>
      <c r="T150" s="88" t="s">
        <v>2961</v>
      </c>
      <c r="U150" s="88">
        <f>IF(RIGHT(T150,1)="K",(VLOOKUP(T150,ma_miengiam!$A$3:$B$80,2,0)*100)/2,VLOOKUP(T150,ma_miengiam!$A$3:$B$80,2,0)*100)</f>
        <v>100</v>
      </c>
      <c r="V150" s="88"/>
      <c r="W150" s="220">
        <f>IF(AND(T150="NTS",V150&gt;0),(Q150-(Q150*V150)/12)*VLOOKUP(T150,ma_miengiam!$A$3:$B$80,2,0)+(Q150-(Q150*(12-V150))/12),IF(AND(RIGHT(T150,1)="K",V150&gt;0),(VLOOKUP(T150,ma_miengiam!$A$3:$B$80,2,0)/2)*(Q150*V150)/12,IF(RIGHT(T150,1)="K",(VLOOKUP(T150,ma_miengiam!$A$3:$B$80,2,0)*Q150)/2,IF(V150&gt;0,VLOOKUP(T150,ma_miengiam!$A$3:$B$80,2,0)*Q150*V150/12,VLOOKUP(T150,ma_miengiam!$A$3:$B$80,2,0)*Q150))))</f>
        <v>270</v>
      </c>
      <c r="X150" s="220">
        <f>IF(T150="NTS",VLOOKUP(T150,ma_miengiam!$A$3:$B$80,2,0)*R150*V150,IF(AND(T150="NTS",V150=0),0,IF(AND(LEFT(T150,1)="K",V150=0),VLOOKUP(T150,ma_miengiam!$A$3:$B$80,2,0)*R150,IF(LEFT(T150,1)="K",(VLOOKUP(T150,ma_miengiam!$A$3:$B$80,2,0)*R150/12)*V150,IF(AND(LEFT(T150,1)="S",V150&gt;0),(R150/12)*V150,IF(AND(LEFT(T150,1)="S",V150=0),R150,IF(T150="DH",VLOOKUP(T150,ma_miengiam!$A$3:$B$80,2,0)*R150,0)))))))</f>
        <v>100</v>
      </c>
      <c r="Y150" s="220">
        <f t="shared" si="469"/>
        <v>0</v>
      </c>
      <c r="Z150" s="220">
        <f t="shared" si="337"/>
        <v>0</v>
      </c>
      <c r="AA150" s="220">
        <f t="shared" si="473"/>
        <v>270</v>
      </c>
      <c r="AB150" s="220">
        <f t="shared" si="473"/>
        <v>100</v>
      </c>
      <c r="AC150" s="220">
        <f t="shared" si="478"/>
        <v>270</v>
      </c>
      <c r="AD150" s="220">
        <f t="shared" si="478"/>
        <v>100</v>
      </c>
      <c r="AE150" s="220">
        <f t="shared" si="478"/>
        <v>0</v>
      </c>
      <c r="AF150" s="220">
        <f t="shared" si="478"/>
        <v>0</v>
      </c>
      <c r="AG150" s="220">
        <f t="shared" ref="AG150:AG163" si="481">AH150+AI150</f>
        <v>18.37</v>
      </c>
      <c r="AH150" s="220">
        <f t="shared" ref="AH150:AH163" si="482">EO150</f>
        <v>18.37</v>
      </c>
      <c r="AI150" s="220">
        <f t="shared" ref="AI150:AI163" si="483">EN150</f>
        <v>0</v>
      </c>
      <c r="AJ150" s="220">
        <f t="shared" si="380"/>
        <v>0</v>
      </c>
      <c r="AK150" s="216">
        <f t="shared" si="410"/>
        <v>0</v>
      </c>
      <c r="AL150" s="220">
        <f t="shared" si="425"/>
        <v>0</v>
      </c>
      <c r="AM150" s="220">
        <f t="shared" si="426"/>
        <v>0</v>
      </c>
      <c r="AN150" s="216">
        <f t="shared" si="427"/>
        <v>0</v>
      </c>
      <c r="AO150" s="220">
        <f t="shared" si="428"/>
        <v>0</v>
      </c>
      <c r="AP150" s="220">
        <f t="shared" si="429"/>
        <v>0</v>
      </c>
      <c r="AQ150" s="220">
        <f t="shared" si="430"/>
        <v>0</v>
      </c>
      <c r="AR150" s="220">
        <f t="shared" si="431"/>
        <v>0</v>
      </c>
      <c r="AS150" s="220">
        <f t="shared" si="432"/>
        <v>0</v>
      </c>
      <c r="AT150" s="216">
        <f t="shared" si="433"/>
        <v>0</v>
      </c>
      <c r="AU150" s="220">
        <f t="shared" si="395"/>
        <v>0</v>
      </c>
      <c r="AV150" s="220"/>
      <c r="AW150" s="220">
        <f t="shared" si="350"/>
        <v>0</v>
      </c>
      <c r="AX150" s="216">
        <f t="shared" si="411"/>
        <v>0</v>
      </c>
      <c r="AY150" s="220">
        <f t="shared" si="362"/>
        <v>0</v>
      </c>
      <c r="AZ150" s="220">
        <f t="shared" si="363"/>
        <v>0</v>
      </c>
      <c r="BA150" s="220">
        <f t="shared" si="364"/>
        <v>0</v>
      </c>
      <c r="BB150" s="220">
        <f t="shared" si="365"/>
        <v>0</v>
      </c>
      <c r="BC150" s="220">
        <f t="shared" si="366"/>
        <v>0</v>
      </c>
      <c r="BD150" s="216">
        <f t="shared" si="375"/>
        <v>0</v>
      </c>
      <c r="BE150" s="220">
        <f t="shared" si="351"/>
        <v>0</v>
      </c>
      <c r="BF150" s="220">
        <f t="shared" si="352"/>
        <v>0</v>
      </c>
      <c r="BG150" s="220">
        <f t="shared" si="353"/>
        <v>0</v>
      </c>
      <c r="BH150" s="220">
        <f t="shared" si="354"/>
        <v>0</v>
      </c>
      <c r="BI150" s="220">
        <f t="shared" si="355"/>
        <v>0</v>
      </c>
      <c r="BJ150" s="220" t="s">
        <v>40</v>
      </c>
      <c r="BK150" s="220"/>
      <c r="BL150" s="223">
        <f t="shared" si="412"/>
        <v>0</v>
      </c>
      <c r="BM150" s="220">
        <v>2.67</v>
      </c>
      <c r="BN150" s="220"/>
      <c r="BO150" s="220">
        <f t="shared" si="404"/>
        <v>2.67</v>
      </c>
      <c r="BP150" s="220">
        <f>IF(AND(BL150&gt;0,BL150&lt;tiet!$D$1),BL150,IF(BL150&lt;=0,0,IF(BL150&gt;tiet!$C$1,tiet!$C$1)))</f>
        <v>0</v>
      </c>
      <c r="BQ150" s="87">
        <f t="shared" si="376"/>
        <v>60000</v>
      </c>
      <c r="BR150" s="224">
        <f t="shared" si="377"/>
        <v>0</v>
      </c>
      <c r="BS150" s="220">
        <f t="shared" si="434"/>
        <v>0</v>
      </c>
      <c r="BT150" s="224">
        <f>VLOOKUP(N150,ma_dinhmuc!$A$1:$J$31,10,0)</f>
        <v>51000</v>
      </c>
      <c r="BU150" s="224">
        <f>ROUND(IF(BS150&gt;0,VLOOKUP(N150,ma_dinhmuc!$A$1:$J$31,10,0)*BS150,0),0)</f>
        <v>0</v>
      </c>
      <c r="BV150" s="224">
        <f t="shared" si="378"/>
        <v>0</v>
      </c>
      <c r="BW150" s="224"/>
      <c r="BX150" s="224">
        <v>0</v>
      </c>
      <c r="BY150" s="224"/>
      <c r="BZ150" s="224"/>
      <c r="CA150" s="224"/>
      <c r="CB150" s="224"/>
      <c r="CC150" s="225">
        <f t="shared" si="384"/>
        <v>0</v>
      </c>
      <c r="CD150" s="224">
        <f t="shared" si="385"/>
        <v>0</v>
      </c>
      <c r="CE150" s="224"/>
      <c r="CF150" s="226"/>
      <c r="CG150" s="87"/>
      <c r="CH150" s="87">
        <f t="shared" si="414"/>
        <v>8</v>
      </c>
      <c r="CI150" s="227" t="str">
        <f t="shared" si="474"/>
        <v>Hoàng Quốc</v>
      </c>
      <c r="CJ150" s="227" t="str">
        <f t="shared" si="474"/>
        <v>Việt</v>
      </c>
      <c r="CK150" s="87">
        <f t="shared" si="475"/>
        <v>3</v>
      </c>
      <c r="CL150" s="227" t="str">
        <f t="shared" si="476"/>
        <v>Khoa học đất</v>
      </c>
      <c r="CM150" s="87" t="str">
        <f t="shared" si="358"/>
        <v>CS2</v>
      </c>
      <c r="CN150" s="87">
        <f t="shared" si="477"/>
        <v>270</v>
      </c>
      <c r="CO150" s="87">
        <f t="shared" si="477"/>
        <v>100</v>
      </c>
      <c r="CP150" s="229">
        <f t="shared" si="444"/>
        <v>0</v>
      </c>
      <c r="CQ150" s="229">
        <f t="shared" si="445"/>
        <v>0</v>
      </c>
      <c r="CR150" s="229">
        <f t="shared" si="446"/>
        <v>0</v>
      </c>
      <c r="CS150" s="229">
        <f t="shared" si="447"/>
        <v>0</v>
      </c>
      <c r="CT150" s="229">
        <f t="shared" si="448"/>
        <v>0</v>
      </c>
      <c r="CU150" s="229">
        <f t="shared" si="449"/>
        <v>0</v>
      </c>
      <c r="CV150" s="229">
        <f t="shared" si="450"/>
        <v>0</v>
      </c>
      <c r="CW150" s="229">
        <f t="shared" si="451"/>
        <v>0</v>
      </c>
      <c r="CX150" s="229">
        <f t="shared" si="452"/>
        <v>0</v>
      </c>
      <c r="CY150" s="229">
        <f t="shared" si="453"/>
        <v>0</v>
      </c>
      <c r="CZ150" s="229">
        <f t="shared" si="454"/>
        <v>0</v>
      </c>
      <c r="DA150" s="229">
        <f t="shared" si="455"/>
        <v>0</v>
      </c>
      <c r="DB150" s="228">
        <f t="shared" si="423"/>
        <v>0</v>
      </c>
      <c r="DC150" s="229"/>
      <c r="DD150" s="229"/>
      <c r="DE150" s="229"/>
      <c r="DF150" s="229"/>
      <c r="DG150" s="229"/>
      <c r="DH150" s="229"/>
      <c r="DI150" s="229"/>
      <c r="DJ150" s="229"/>
      <c r="DK150" s="229"/>
      <c r="DL150" s="229"/>
      <c r="DM150" s="229"/>
      <c r="DN150" s="229"/>
      <c r="DO150" s="228">
        <f t="shared" si="436"/>
        <v>0</v>
      </c>
      <c r="DP150" s="228">
        <f t="shared" si="437"/>
        <v>0</v>
      </c>
      <c r="DQ150" s="229">
        <f t="shared" si="456"/>
        <v>0</v>
      </c>
      <c r="DR150" s="229">
        <f t="shared" si="457"/>
        <v>0</v>
      </c>
      <c r="DS150" s="229">
        <f t="shared" si="458"/>
        <v>0</v>
      </c>
      <c r="DT150" s="229">
        <f t="shared" si="459"/>
        <v>0</v>
      </c>
      <c r="DU150" s="229">
        <f t="shared" si="460"/>
        <v>0</v>
      </c>
      <c r="DV150" s="229">
        <f t="shared" si="461"/>
        <v>0</v>
      </c>
      <c r="DW150" s="229">
        <f t="shared" si="462"/>
        <v>0</v>
      </c>
      <c r="DX150" s="228">
        <f t="shared" si="424"/>
        <v>0</v>
      </c>
      <c r="DY150" s="229"/>
      <c r="DZ150" s="229"/>
      <c r="EA150" s="229"/>
      <c r="EB150" s="229"/>
      <c r="EC150" s="229"/>
      <c r="ED150" s="229"/>
      <c r="EE150" s="229"/>
      <c r="EF150" s="228">
        <f t="shared" si="438"/>
        <v>0</v>
      </c>
      <c r="EG150" s="228">
        <f t="shared" si="439"/>
        <v>0</v>
      </c>
      <c r="EH150" s="229">
        <f t="shared" si="440"/>
        <v>0</v>
      </c>
      <c r="EI150" s="229">
        <v>18.37</v>
      </c>
      <c r="EJ150" s="228">
        <f t="shared" si="479"/>
        <v>18.37</v>
      </c>
      <c r="EK150" s="229"/>
      <c r="EL150" s="229"/>
      <c r="EM150" s="228">
        <f t="shared" si="398"/>
        <v>0</v>
      </c>
      <c r="EN150" s="229">
        <f t="shared" si="413"/>
        <v>0</v>
      </c>
      <c r="EO150" s="229">
        <f t="shared" si="388"/>
        <v>18.37</v>
      </c>
      <c r="EP150" s="228">
        <f t="shared" si="480"/>
        <v>18.37</v>
      </c>
      <c r="EQ150" s="173">
        <f t="shared" si="441"/>
        <v>0</v>
      </c>
      <c r="ER150" s="189">
        <v>0</v>
      </c>
      <c r="ES150" s="189">
        <v>0</v>
      </c>
      <c r="ET150" s="189">
        <v>0</v>
      </c>
      <c r="EU150" s="189">
        <v>0</v>
      </c>
      <c r="EV150" s="189">
        <v>0</v>
      </c>
      <c r="EW150" s="189">
        <v>0</v>
      </c>
      <c r="EX150" s="189">
        <v>0</v>
      </c>
      <c r="EY150" s="189">
        <v>0</v>
      </c>
      <c r="EZ150" s="189">
        <v>0</v>
      </c>
      <c r="FA150" s="189">
        <v>0</v>
      </c>
      <c r="FB150" s="189">
        <v>0</v>
      </c>
      <c r="FC150" s="189">
        <v>0</v>
      </c>
      <c r="FD150" s="189">
        <v>0</v>
      </c>
      <c r="FE150" s="189">
        <v>0</v>
      </c>
      <c r="FF150" s="189">
        <v>0</v>
      </c>
      <c r="FG150" s="189">
        <v>0</v>
      </c>
      <c r="FH150" s="189">
        <v>0</v>
      </c>
      <c r="FI150" s="189">
        <v>0</v>
      </c>
      <c r="FJ150" s="189">
        <v>0</v>
      </c>
      <c r="FK150" s="189">
        <v>0</v>
      </c>
      <c r="FL150" s="189">
        <v>0</v>
      </c>
      <c r="FN150" s="132">
        <v>0</v>
      </c>
    </row>
    <row r="151" spans="1:170" ht="30" customHeight="1">
      <c r="A151" s="88">
        <f>COUNTIF($H$12:H151,H151)</f>
        <v>9</v>
      </c>
      <c r="B151" s="88" t="s">
        <v>59</v>
      </c>
      <c r="C151" s="88" t="s">
        <v>2617</v>
      </c>
      <c r="D151" s="88"/>
      <c r="E151" s="88"/>
      <c r="F151" s="301" t="s">
        <v>2327</v>
      </c>
      <c r="G151" s="89" t="s">
        <v>2852</v>
      </c>
      <c r="H151" s="88">
        <v>3</v>
      </c>
      <c r="I151" s="88">
        <v>3</v>
      </c>
      <c r="J151" s="88">
        <v>3</v>
      </c>
      <c r="K151" s="90" t="s">
        <v>1620</v>
      </c>
      <c r="L151" s="90" t="s">
        <v>1620</v>
      </c>
      <c r="M151" s="214"/>
      <c r="N151" s="88" t="s">
        <v>1804</v>
      </c>
      <c r="O151" s="216">
        <f>BO151</f>
        <v>5.38</v>
      </c>
      <c r="P151" s="88" t="str">
        <f t="shared" si="468"/>
        <v>B1_5</v>
      </c>
      <c r="Q151" s="88">
        <f t="shared" si="331"/>
        <v>270</v>
      </c>
      <c r="R151" s="88">
        <f t="shared" si="332"/>
        <v>150</v>
      </c>
      <c r="S151" s="230" t="s">
        <v>490</v>
      </c>
      <c r="T151" s="88" t="s">
        <v>3088</v>
      </c>
      <c r="U151" s="88">
        <f>IF(RIGHT(T151,1)="K",(VLOOKUP(T151,ma_miengiam!$A$3:$B$80,2,0)*100)/2,VLOOKUP(T151,ma_miengiam!$A$3:$B$80,2,0)*100)</f>
        <v>0</v>
      </c>
      <c r="V151" s="88">
        <v>1</v>
      </c>
      <c r="W151" s="220">
        <f>IF(AND(T151="NTS",V151&gt;0),(Q151-(Q151*V151)/12)*VLOOKUP(T151,ma_miengiam!$A$3:$B$80,2,0)+(Q151-(Q151*(12-V151))/12),IF(AND(RIGHT(T151,1)="K",V151&gt;0),(VLOOKUP(T151,ma_miengiam!$A$3:$B$80,2,0)/2)*(Q151*V151)/12,IF(RIGHT(T151,1)="K",(VLOOKUP(T151,ma_miengiam!$A$3:$B$80,2,0)*Q151)/2,IF(V151&gt;0,VLOOKUP(T151,ma_miengiam!$A$3:$B$80,2,0)*Q151*V151/12,VLOOKUP(T151,ma_miengiam!$A$3:$B$80,2,0)*Q151))))</f>
        <v>0</v>
      </c>
      <c r="X151" s="220">
        <f>IF(T151="NTS",VLOOKUP(T151,ma_miengiam!$A$3:$B$80,2,0)*R151*V151,IF(AND(T151="NTS",V151=0),0,IF(AND(LEFT(T151,1)="K",V151=0),VLOOKUP(T151,ma_miengiam!$A$3:$B$80,2,0)*R151,IF(LEFT(T151,1)="K",(VLOOKUP(T151,ma_miengiam!$A$3:$B$80,2,0)*R151/12)*V151,IF(AND(LEFT(T151,1)="S",V151&gt;0),(R151/12)*V151,IF(AND(LEFT(T151,1)="S",V151=0),R151,IF(T151="DH",VLOOKUP(T151,ma_miengiam!$A$3:$B$80,2,0)*R151,0)))))))</f>
        <v>0</v>
      </c>
      <c r="Y151" s="220">
        <f t="shared" si="469"/>
        <v>22.5</v>
      </c>
      <c r="Z151" s="220">
        <f t="shared" si="337"/>
        <v>12.5</v>
      </c>
      <c r="AA151" s="220">
        <f>Q151</f>
        <v>270</v>
      </c>
      <c r="AB151" s="220">
        <f>R151</f>
        <v>150</v>
      </c>
      <c r="AC151" s="220">
        <f t="shared" ref="AC151:AF152" si="484">W151</f>
        <v>0</v>
      </c>
      <c r="AD151" s="220">
        <f t="shared" si="484"/>
        <v>0</v>
      </c>
      <c r="AE151" s="220">
        <f t="shared" si="484"/>
        <v>22.5</v>
      </c>
      <c r="AF151" s="220">
        <f t="shared" si="484"/>
        <v>12.5</v>
      </c>
      <c r="AG151" s="220">
        <f>AH151+AI151</f>
        <v>105.19</v>
      </c>
      <c r="AH151" s="220">
        <f>EO151</f>
        <v>0.18999999999999773</v>
      </c>
      <c r="AI151" s="220">
        <f>EN151</f>
        <v>105</v>
      </c>
      <c r="AJ151" s="220">
        <f t="shared" si="380"/>
        <v>0</v>
      </c>
      <c r="AK151" s="216">
        <f t="shared" si="410"/>
        <v>22.5</v>
      </c>
      <c r="AL151" s="220">
        <f t="shared" si="425"/>
        <v>0</v>
      </c>
      <c r="AM151" s="220">
        <f t="shared" si="426"/>
        <v>0</v>
      </c>
      <c r="AN151" s="221">
        <f t="shared" si="427"/>
        <v>0</v>
      </c>
      <c r="AO151" s="220">
        <f t="shared" si="428"/>
        <v>0</v>
      </c>
      <c r="AP151" s="220">
        <f t="shared" si="429"/>
        <v>0</v>
      </c>
      <c r="AQ151" s="220">
        <f t="shared" si="430"/>
        <v>0</v>
      </c>
      <c r="AR151" s="220">
        <f t="shared" si="431"/>
        <v>92</v>
      </c>
      <c r="AS151" s="220">
        <f t="shared" si="432"/>
        <v>0</v>
      </c>
      <c r="AT151" s="216">
        <f t="shared" si="433"/>
        <v>92</v>
      </c>
      <c r="AU151" s="222">
        <f t="shared" si="395"/>
        <v>-22.5</v>
      </c>
      <c r="AV151" s="220"/>
      <c r="AW151" s="220">
        <f t="shared" si="350"/>
        <v>-22.5</v>
      </c>
      <c r="AX151" s="216">
        <f t="shared" si="411"/>
        <v>-22.5</v>
      </c>
      <c r="AY151" s="220">
        <f t="shared" si="362"/>
        <v>0</v>
      </c>
      <c r="AZ151" s="220">
        <f t="shared" si="363"/>
        <v>0</v>
      </c>
      <c r="BA151" s="220">
        <f t="shared" si="364"/>
        <v>0</v>
      </c>
      <c r="BB151" s="220">
        <f t="shared" si="365"/>
        <v>69.5</v>
      </c>
      <c r="BC151" s="220">
        <f t="shared" si="366"/>
        <v>0</v>
      </c>
      <c r="BD151" s="216">
        <f t="shared" si="375"/>
        <v>69.5</v>
      </c>
      <c r="BE151" s="220">
        <f t="shared" si="351"/>
        <v>0</v>
      </c>
      <c r="BF151" s="220">
        <f t="shared" si="352"/>
        <v>0</v>
      </c>
      <c r="BG151" s="220">
        <f t="shared" si="353"/>
        <v>0</v>
      </c>
      <c r="BH151" s="220">
        <f t="shared" si="354"/>
        <v>-22.5</v>
      </c>
      <c r="BI151" s="220">
        <f t="shared" si="355"/>
        <v>0</v>
      </c>
      <c r="BJ151" s="220" t="s">
        <v>42</v>
      </c>
      <c r="BK151" s="220"/>
      <c r="BL151" s="223">
        <f t="shared" si="412"/>
        <v>0</v>
      </c>
      <c r="BM151" s="220">
        <v>4.9800000000000004</v>
      </c>
      <c r="BN151" s="220">
        <v>0.08</v>
      </c>
      <c r="BO151" s="220">
        <f t="shared" si="404"/>
        <v>5.38</v>
      </c>
      <c r="BP151" s="220">
        <f>IF(AND(BL151&gt;0,BL151&lt;tiet!$D$1),BL151,IF(BL151&lt;=0,0,IF(BL151&gt;tiet!$C$1,tiet!$C$1)))</f>
        <v>0</v>
      </c>
      <c r="BQ151" s="87">
        <f t="shared" si="376"/>
        <v>70000</v>
      </c>
      <c r="BR151" s="224">
        <f t="shared" si="377"/>
        <v>0</v>
      </c>
      <c r="BS151" s="220">
        <f t="shared" si="434"/>
        <v>0</v>
      </c>
      <c r="BT151" s="224">
        <f>VLOOKUP(N151,ma_dinhmuc!$A$1:$J$31,10,0)</f>
        <v>51000</v>
      </c>
      <c r="BU151" s="224">
        <f>ROUND(IF(BS151&gt;0,VLOOKUP(N151,ma_dinhmuc!$A$1:$J$31,10,0)*BS151,0),0)</f>
        <v>0</v>
      </c>
      <c r="BV151" s="224">
        <f t="shared" si="378"/>
        <v>0</v>
      </c>
      <c r="BW151" s="224"/>
      <c r="BX151" s="224">
        <v>0</v>
      </c>
      <c r="BY151" s="224"/>
      <c r="BZ151" s="224"/>
      <c r="CA151" s="224"/>
      <c r="CB151" s="224"/>
      <c r="CC151" s="225">
        <f t="shared" si="384"/>
        <v>0</v>
      </c>
      <c r="CD151" s="224">
        <f t="shared" si="385"/>
        <v>0</v>
      </c>
      <c r="CE151" s="224"/>
      <c r="CF151" s="226"/>
      <c r="CG151" s="87"/>
      <c r="CH151" s="87">
        <f t="shared" si="414"/>
        <v>9</v>
      </c>
      <c r="CI151" s="227" t="str">
        <f t="shared" si="474"/>
        <v>Nguyễn Duy</v>
      </c>
      <c r="CJ151" s="227" t="str">
        <f t="shared" si="474"/>
        <v>Bình</v>
      </c>
      <c r="CK151" s="87">
        <f t="shared" si="475"/>
        <v>3</v>
      </c>
      <c r="CL151" s="227" t="str">
        <f t="shared" si="476"/>
        <v>Tài nguyên nước</v>
      </c>
      <c r="CM151" s="87" t="str">
        <f t="shared" si="358"/>
        <v>CS2</v>
      </c>
      <c r="CN151" s="87">
        <f t="shared" si="477"/>
        <v>270</v>
      </c>
      <c r="CO151" s="87">
        <f t="shared" si="477"/>
        <v>150</v>
      </c>
      <c r="CP151" s="229">
        <f t="shared" si="444"/>
        <v>0</v>
      </c>
      <c r="CQ151" s="229">
        <f t="shared" si="445"/>
        <v>0</v>
      </c>
      <c r="CR151" s="229">
        <f t="shared" si="446"/>
        <v>0</v>
      </c>
      <c r="CS151" s="229">
        <f t="shared" si="447"/>
        <v>0</v>
      </c>
      <c r="CT151" s="229">
        <f t="shared" si="448"/>
        <v>0</v>
      </c>
      <c r="CU151" s="229">
        <f t="shared" si="449"/>
        <v>0</v>
      </c>
      <c r="CV151" s="229">
        <f t="shared" si="450"/>
        <v>0</v>
      </c>
      <c r="CW151" s="229">
        <f t="shared" si="451"/>
        <v>0</v>
      </c>
      <c r="CX151" s="229">
        <f t="shared" si="452"/>
        <v>0</v>
      </c>
      <c r="CY151" s="229">
        <f t="shared" si="453"/>
        <v>0</v>
      </c>
      <c r="CZ151" s="229">
        <f t="shared" si="454"/>
        <v>0</v>
      </c>
      <c r="DA151" s="229">
        <f t="shared" si="455"/>
        <v>0</v>
      </c>
      <c r="DB151" s="228">
        <f t="shared" si="423"/>
        <v>0</v>
      </c>
      <c r="DC151" s="229"/>
      <c r="DD151" s="229"/>
      <c r="DE151" s="229"/>
      <c r="DF151" s="229"/>
      <c r="DG151" s="229"/>
      <c r="DH151" s="229"/>
      <c r="DI151" s="229"/>
      <c r="DJ151" s="229"/>
      <c r="DK151" s="229"/>
      <c r="DL151" s="229"/>
      <c r="DM151" s="229"/>
      <c r="DN151" s="229"/>
      <c r="DO151" s="228">
        <f t="shared" si="436"/>
        <v>0</v>
      </c>
      <c r="DP151" s="228">
        <f t="shared" si="437"/>
        <v>0</v>
      </c>
      <c r="DQ151" s="229">
        <f t="shared" si="456"/>
        <v>0</v>
      </c>
      <c r="DR151" s="229">
        <f t="shared" si="457"/>
        <v>0</v>
      </c>
      <c r="DS151" s="229">
        <f t="shared" si="458"/>
        <v>0</v>
      </c>
      <c r="DT151" s="229">
        <f t="shared" si="459"/>
        <v>0</v>
      </c>
      <c r="DU151" s="229">
        <f t="shared" si="460"/>
        <v>0</v>
      </c>
      <c r="DV151" s="229">
        <f t="shared" si="461"/>
        <v>92</v>
      </c>
      <c r="DW151" s="229">
        <f t="shared" si="462"/>
        <v>0</v>
      </c>
      <c r="DX151" s="228">
        <f t="shared" si="424"/>
        <v>92</v>
      </c>
      <c r="DY151" s="229"/>
      <c r="DZ151" s="229"/>
      <c r="EA151" s="229"/>
      <c r="EB151" s="229"/>
      <c r="EC151" s="229"/>
      <c r="ED151" s="229"/>
      <c r="EE151" s="229"/>
      <c r="EF151" s="228">
        <f t="shared" si="438"/>
        <v>0</v>
      </c>
      <c r="EG151" s="228">
        <f t="shared" si="439"/>
        <v>92</v>
      </c>
      <c r="EH151" s="229">
        <f t="shared" si="440"/>
        <v>105</v>
      </c>
      <c r="EI151" s="229">
        <v>0.18999999999999773</v>
      </c>
      <c r="EJ151" s="228">
        <f t="shared" si="479"/>
        <v>105.19</v>
      </c>
      <c r="EK151" s="229"/>
      <c r="EL151" s="229"/>
      <c r="EM151" s="228">
        <f t="shared" si="398"/>
        <v>0</v>
      </c>
      <c r="EN151" s="229">
        <f t="shared" si="413"/>
        <v>105</v>
      </c>
      <c r="EO151" s="229">
        <f t="shared" si="388"/>
        <v>0.18999999999999773</v>
      </c>
      <c r="EP151" s="228">
        <f t="shared" si="480"/>
        <v>105.19</v>
      </c>
      <c r="EQ151" s="173">
        <f t="shared" si="441"/>
        <v>92.5</v>
      </c>
      <c r="ER151" s="189">
        <v>0</v>
      </c>
      <c r="ES151" s="189">
        <v>0</v>
      </c>
      <c r="ET151" s="189">
        <v>0</v>
      </c>
      <c r="EU151" s="189">
        <v>0</v>
      </c>
      <c r="EV151" s="189">
        <v>0</v>
      </c>
      <c r="EW151" s="189">
        <v>0</v>
      </c>
      <c r="EX151" s="189">
        <v>0</v>
      </c>
      <c r="EY151" s="189">
        <v>0</v>
      </c>
      <c r="EZ151" s="189">
        <v>0</v>
      </c>
      <c r="FA151" s="189">
        <v>0</v>
      </c>
      <c r="FB151" s="189">
        <v>0</v>
      </c>
      <c r="FC151" s="189">
        <v>0</v>
      </c>
      <c r="FD151" s="189">
        <v>0</v>
      </c>
      <c r="FE151" s="189">
        <v>0</v>
      </c>
      <c r="FF151" s="189">
        <v>0</v>
      </c>
      <c r="FG151" s="189">
        <v>0</v>
      </c>
      <c r="FH151" s="189">
        <v>92</v>
      </c>
      <c r="FI151" s="189">
        <v>0</v>
      </c>
      <c r="FJ151" s="189">
        <v>0</v>
      </c>
      <c r="FK151" s="189">
        <v>92</v>
      </c>
      <c r="FL151" s="189">
        <v>92</v>
      </c>
      <c r="FN151" s="132">
        <v>105</v>
      </c>
    </row>
    <row r="152" spans="1:170" ht="30" customHeight="1">
      <c r="A152" s="88">
        <f>COUNTIF($H$12:H152,H152)</f>
        <v>10</v>
      </c>
      <c r="B152" s="88" t="s">
        <v>60</v>
      </c>
      <c r="C152" s="88" t="s">
        <v>2618</v>
      </c>
      <c r="D152" s="88"/>
      <c r="E152" s="88" t="s">
        <v>3064</v>
      </c>
      <c r="F152" s="301" t="s">
        <v>2895</v>
      </c>
      <c r="G152" s="303" t="s">
        <v>2087</v>
      </c>
      <c r="H152" s="88">
        <v>3</v>
      </c>
      <c r="I152" s="88">
        <v>3</v>
      </c>
      <c r="J152" s="88">
        <v>3</v>
      </c>
      <c r="K152" s="90" t="s">
        <v>1620</v>
      </c>
      <c r="L152" s="90" t="s">
        <v>1620</v>
      </c>
      <c r="M152" s="214"/>
      <c r="N152" s="88" t="s">
        <v>605</v>
      </c>
      <c r="O152" s="216">
        <f>BO152</f>
        <v>7.28</v>
      </c>
      <c r="P152" s="88" t="str">
        <f t="shared" si="468"/>
        <v>B1_8</v>
      </c>
      <c r="Q152" s="88">
        <f t="shared" si="331"/>
        <v>270</v>
      </c>
      <c r="R152" s="88">
        <f t="shared" si="332"/>
        <v>280</v>
      </c>
      <c r="S152" s="218"/>
      <c r="T152" s="215" t="s">
        <v>3088</v>
      </c>
      <c r="U152" s="88">
        <f>IF(RIGHT(T152,1)="K",(VLOOKUP(T152,ma_miengiam!$A$3:$B$80,2,0)*100)/2,VLOOKUP(T152,ma_miengiam!$A$3:$B$80,2,0)*100)</f>
        <v>0</v>
      </c>
      <c r="V152" s="88"/>
      <c r="W152" s="220">
        <f>IF(AND(T152="NTS",V152&gt;0),(Q152-(Q152*V152)/12)*VLOOKUP(T152,ma_miengiam!$A$3:$B$80,2,0)+(Q152-(Q152*(12-V152))/12),IF(AND(RIGHT(T152,1)="K",V152&gt;0),(VLOOKUP(T152,ma_miengiam!$A$3:$B$80,2,0)/2)*(Q152*V152)/12,IF(RIGHT(T152,1)="K",(VLOOKUP(T152,ma_miengiam!$A$3:$B$80,2,0)*Q152)/2,IF(V152&gt;0,VLOOKUP(T152,ma_miengiam!$A$3:$B$80,2,0)*Q152*V152/12,VLOOKUP(T152,ma_miengiam!$A$3:$B$80,2,0)*Q152))))</f>
        <v>0</v>
      </c>
      <c r="X152" s="220">
        <f>IF(T152="NTS",VLOOKUP(T152,ma_miengiam!$A$3:$B$80,2,0)*R152*V152,IF(AND(T152="NTS",V152=0),0,IF(AND(LEFT(T152,1)="K",V152=0),VLOOKUP(T152,ma_miengiam!$A$3:$B$80,2,0)*R152,IF(LEFT(T152,1)="K",(VLOOKUP(T152,ma_miengiam!$A$3:$B$80,2,0)*R152/12)*V152,IF(AND(LEFT(T152,1)="S",V152&gt;0),(R152/12)*V152,IF(AND(LEFT(T152,1)="S",V152=0),R152,IF(T152="DH",VLOOKUP(T152,ma_miengiam!$A$3:$B$80,2,0)*R152,0)))))))</f>
        <v>0</v>
      </c>
      <c r="Y152" s="220">
        <f t="shared" si="469"/>
        <v>270</v>
      </c>
      <c r="Z152" s="220">
        <f>IF(AND(T152="SĐH",V152&gt;0),(R152/12)*V152-X152,IF(AND(T152="DH",V152&gt;0),(R152*V152/12),IF(AND(T152&lt;&gt;"NTS",V152&gt;0),(R152*V152/12)-X152,IF(AND(T152="NTS",V152&gt;0),R152-X152,R152-X152))))</f>
        <v>280</v>
      </c>
      <c r="AA152" s="220">
        <f>Q152</f>
        <v>270</v>
      </c>
      <c r="AB152" s="220">
        <f>R152</f>
        <v>280</v>
      </c>
      <c r="AC152" s="220">
        <f t="shared" si="484"/>
        <v>0</v>
      </c>
      <c r="AD152" s="220">
        <f t="shared" si="484"/>
        <v>0</v>
      </c>
      <c r="AE152" s="220">
        <f t="shared" si="484"/>
        <v>270</v>
      </c>
      <c r="AF152" s="220">
        <f t="shared" si="484"/>
        <v>280</v>
      </c>
      <c r="AG152" s="220">
        <f>AH152+AI152</f>
        <v>330</v>
      </c>
      <c r="AH152" s="220">
        <f>EO152</f>
        <v>90</v>
      </c>
      <c r="AI152" s="220">
        <f>EN152</f>
        <v>240</v>
      </c>
      <c r="AJ152" s="220">
        <f>IF(AG152-Z152&gt;0,0,AG152-Z152)</f>
        <v>0</v>
      </c>
      <c r="AK152" s="216">
        <f t="shared" si="410"/>
        <v>270</v>
      </c>
      <c r="AL152" s="220">
        <f t="shared" si="425"/>
        <v>60.1</v>
      </c>
      <c r="AM152" s="220">
        <f t="shared" si="426"/>
        <v>194.1</v>
      </c>
      <c r="AN152" s="221">
        <f t="shared" si="427"/>
        <v>254.2</v>
      </c>
      <c r="AO152" s="220">
        <f t="shared" si="428"/>
        <v>0</v>
      </c>
      <c r="AP152" s="220">
        <f t="shared" si="429"/>
        <v>0</v>
      </c>
      <c r="AQ152" s="220">
        <f t="shared" si="430"/>
        <v>0</v>
      </c>
      <c r="AR152" s="220">
        <f t="shared" si="431"/>
        <v>160</v>
      </c>
      <c r="AS152" s="220">
        <f t="shared" si="432"/>
        <v>20</v>
      </c>
      <c r="AT152" s="216">
        <f t="shared" si="433"/>
        <v>434.2</v>
      </c>
      <c r="AU152" s="222">
        <f>AN152-AK152</f>
        <v>-15.800000000000011</v>
      </c>
      <c r="AV152" s="220"/>
      <c r="AW152" s="220">
        <f t="shared" si="350"/>
        <v>-15.800000000000011</v>
      </c>
      <c r="AX152" s="216">
        <f t="shared" si="411"/>
        <v>-15.800000000000011</v>
      </c>
      <c r="AY152" s="220">
        <f t="shared" si="362"/>
        <v>0</v>
      </c>
      <c r="AZ152" s="220">
        <f t="shared" si="363"/>
        <v>0</v>
      </c>
      <c r="BA152" s="220">
        <f t="shared" si="364"/>
        <v>0</v>
      </c>
      <c r="BB152" s="220">
        <f t="shared" si="365"/>
        <v>144.19999999999999</v>
      </c>
      <c r="BC152" s="220">
        <f t="shared" si="366"/>
        <v>20</v>
      </c>
      <c r="BD152" s="216">
        <f t="shared" si="375"/>
        <v>164.2</v>
      </c>
      <c r="BE152" s="220">
        <f t="shared" si="351"/>
        <v>0</v>
      </c>
      <c r="BF152" s="220">
        <f t="shared" si="352"/>
        <v>0</v>
      </c>
      <c r="BG152" s="220">
        <f t="shared" si="353"/>
        <v>0</v>
      </c>
      <c r="BH152" s="220">
        <f t="shared" si="354"/>
        <v>-15.800000000000011</v>
      </c>
      <c r="BI152" s="220">
        <f t="shared" si="355"/>
        <v>0</v>
      </c>
      <c r="BJ152" s="220" t="s">
        <v>42</v>
      </c>
      <c r="BK152" s="220"/>
      <c r="BL152" s="223">
        <f t="shared" si="412"/>
        <v>0</v>
      </c>
      <c r="BM152" s="220">
        <v>7.28</v>
      </c>
      <c r="BN152" s="220"/>
      <c r="BO152" s="220">
        <f t="shared" si="404"/>
        <v>7.28</v>
      </c>
      <c r="BP152" s="220">
        <f>IF(AND(BL152&gt;0,BL152&lt;tiet!$D$1),BL152,IF(BL152&lt;=0,0,IF(BL152&gt;tiet!$C$1,tiet!$C$1)))</f>
        <v>0</v>
      </c>
      <c r="BQ152" s="87">
        <f>VLOOKUP(P152,ma_dinhmuc_moi,4,0)</f>
        <v>85000</v>
      </c>
      <c r="BR152" s="224">
        <f>ROUND(BQ152*BP152,0)</f>
        <v>0</v>
      </c>
      <c r="BS152" s="220">
        <f t="shared" si="434"/>
        <v>0</v>
      </c>
      <c r="BT152" s="224">
        <f>VLOOKUP(N152,ma_dinhmuc!$A$1:$J$31,10,0)</f>
        <v>65000</v>
      </c>
      <c r="BU152" s="224">
        <f>ROUND(IF(BS152&gt;0,VLOOKUP(N152,ma_dinhmuc!$A$1:$J$31,10,0)*BS152,0),0)</f>
        <v>0</v>
      </c>
      <c r="BV152" s="224">
        <f>ROUND(BU152+BR152,0)</f>
        <v>0</v>
      </c>
      <c r="BW152" s="224"/>
      <c r="BX152" s="224">
        <v>0</v>
      </c>
      <c r="BY152" s="224"/>
      <c r="BZ152" s="224"/>
      <c r="CA152" s="224"/>
      <c r="CB152" s="224"/>
      <c r="CC152" s="225">
        <f>ROUND(IF(BV152+BW152&gt;BX152+BY152+BZ152+CA152+CB152,(BW152+BV152)-(BX152+BY152+BZ152+CA152+CB152+CB152),0),0)</f>
        <v>0</v>
      </c>
      <c r="CD152" s="224">
        <f>ROUND(IF(BV152+BW152&lt;BX152+BY152+BZ152+CA152-CB152,(BX152+BY152+BZ152+CA152-CB152)-(BW152+BV152),0),0)</f>
        <v>0</v>
      </c>
      <c r="CE152" s="224"/>
      <c r="CF152" s="226"/>
      <c r="CG152" s="87"/>
      <c r="CH152" s="87">
        <f>A152</f>
        <v>10</v>
      </c>
      <c r="CI152" s="227" t="str">
        <f t="shared" si="474"/>
        <v>Nguyễn Văn</v>
      </c>
      <c r="CJ152" s="227" t="str">
        <f t="shared" si="474"/>
        <v>Dung</v>
      </c>
      <c r="CK152" s="87">
        <f t="shared" si="475"/>
        <v>3</v>
      </c>
      <c r="CL152" s="227" t="str">
        <f t="shared" si="476"/>
        <v>Tài nguyên nước</v>
      </c>
      <c r="CM152" s="87" t="str">
        <f t="shared" si="358"/>
        <v>CS4</v>
      </c>
      <c r="CN152" s="87">
        <f t="shared" si="477"/>
        <v>270</v>
      </c>
      <c r="CO152" s="87">
        <f t="shared" si="477"/>
        <v>280</v>
      </c>
      <c r="CP152" s="229">
        <f t="shared" si="444"/>
        <v>0</v>
      </c>
      <c r="CQ152" s="229">
        <f t="shared" si="445"/>
        <v>5.8</v>
      </c>
      <c r="CR152" s="229">
        <f t="shared" si="446"/>
        <v>2.2999999999999998</v>
      </c>
      <c r="CS152" s="229">
        <f t="shared" si="447"/>
        <v>0</v>
      </c>
      <c r="CT152" s="229">
        <f t="shared" si="448"/>
        <v>0</v>
      </c>
      <c r="CU152" s="229">
        <f t="shared" si="449"/>
        <v>44</v>
      </c>
      <c r="CV152" s="229">
        <f t="shared" si="450"/>
        <v>0</v>
      </c>
      <c r="CW152" s="229">
        <f t="shared" si="451"/>
        <v>8</v>
      </c>
      <c r="CX152" s="229">
        <f t="shared" si="452"/>
        <v>0</v>
      </c>
      <c r="CY152" s="229">
        <f t="shared" si="453"/>
        <v>0</v>
      </c>
      <c r="CZ152" s="229">
        <f t="shared" si="454"/>
        <v>0</v>
      </c>
      <c r="DA152" s="229">
        <f t="shared" si="455"/>
        <v>0</v>
      </c>
      <c r="DB152" s="228">
        <f t="shared" si="423"/>
        <v>60.1</v>
      </c>
      <c r="DC152" s="229"/>
      <c r="DD152" s="229"/>
      <c r="DE152" s="229"/>
      <c r="DF152" s="229"/>
      <c r="DG152" s="229"/>
      <c r="DH152" s="229"/>
      <c r="DI152" s="229"/>
      <c r="DJ152" s="229"/>
      <c r="DK152" s="229"/>
      <c r="DL152" s="229"/>
      <c r="DM152" s="229"/>
      <c r="DN152" s="229"/>
      <c r="DO152" s="228">
        <f t="shared" si="436"/>
        <v>0</v>
      </c>
      <c r="DP152" s="228">
        <f t="shared" si="437"/>
        <v>60.1</v>
      </c>
      <c r="DQ152" s="229">
        <f t="shared" si="456"/>
        <v>182</v>
      </c>
      <c r="DR152" s="229">
        <f t="shared" si="457"/>
        <v>8.6</v>
      </c>
      <c r="DS152" s="229">
        <f t="shared" si="458"/>
        <v>0</v>
      </c>
      <c r="DT152" s="229">
        <f t="shared" si="459"/>
        <v>3.5</v>
      </c>
      <c r="DU152" s="229">
        <f t="shared" si="460"/>
        <v>0</v>
      </c>
      <c r="DV152" s="229">
        <f t="shared" si="461"/>
        <v>160</v>
      </c>
      <c r="DW152" s="229">
        <f t="shared" si="462"/>
        <v>20</v>
      </c>
      <c r="DX152" s="228">
        <f t="shared" si="424"/>
        <v>374.1</v>
      </c>
      <c r="DY152" s="229"/>
      <c r="DZ152" s="229"/>
      <c r="EA152" s="229"/>
      <c r="EB152" s="229"/>
      <c r="EC152" s="229"/>
      <c r="ED152" s="229"/>
      <c r="EE152" s="229"/>
      <c r="EF152" s="228">
        <f t="shared" si="438"/>
        <v>0</v>
      </c>
      <c r="EG152" s="228">
        <f t="shared" si="439"/>
        <v>374.1</v>
      </c>
      <c r="EH152" s="229">
        <f t="shared" si="440"/>
        <v>240</v>
      </c>
      <c r="EI152" s="229">
        <v>90</v>
      </c>
      <c r="EJ152" s="228">
        <f>SUM(EH152:EI152)</f>
        <v>330</v>
      </c>
      <c r="EK152" s="229"/>
      <c r="EL152" s="229"/>
      <c r="EM152" s="228">
        <f>SUM(EK152:EL152)</f>
        <v>0</v>
      </c>
      <c r="EN152" s="229">
        <f t="shared" si="413"/>
        <v>240</v>
      </c>
      <c r="EO152" s="229">
        <f>EI152</f>
        <v>90</v>
      </c>
      <c r="EP152" s="228">
        <f>EM152+EJ152</f>
        <v>330</v>
      </c>
      <c r="EQ152" s="173">
        <f t="shared" si="441"/>
        <v>0</v>
      </c>
      <c r="ER152" s="189">
        <v>0</v>
      </c>
      <c r="ES152" s="189">
        <v>5.8</v>
      </c>
      <c r="ET152" s="189">
        <v>2.2999999999999998</v>
      </c>
      <c r="EU152" s="189">
        <v>0</v>
      </c>
      <c r="EV152" s="189">
        <v>0</v>
      </c>
      <c r="EW152" s="189">
        <v>44</v>
      </c>
      <c r="EX152" s="189">
        <v>0</v>
      </c>
      <c r="EY152" s="189">
        <v>8</v>
      </c>
      <c r="EZ152" s="189">
        <v>0</v>
      </c>
      <c r="FA152" s="189">
        <v>0</v>
      </c>
      <c r="FB152" s="189">
        <v>0</v>
      </c>
      <c r="FC152" s="189">
        <v>0</v>
      </c>
      <c r="FD152" s="189">
        <v>182</v>
      </c>
      <c r="FE152" s="189">
        <v>8.6</v>
      </c>
      <c r="FF152" s="189">
        <v>0</v>
      </c>
      <c r="FG152" s="189">
        <v>3.5</v>
      </c>
      <c r="FH152" s="189">
        <v>160</v>
      </c>
      <c r="FI152" s="189">
        <v>0</v>
      </c>
      <c r="FJ152" s="189">
        <v>20</v>
      </c>
      <c r="FK152" s="189">
        <v>434.2</v>
      </c>
      <c r="FL152" s="189">
        <v>346</v>
      </c>
      <c r="FN152" s="132">
        <v>240</v>
      </c>
    </row>
    <row r="153" spans="1:170" ht="27.75" customHeight="1">
      <c r="A153" s="88">
        <f>COUNTIF($H$12:H153,H153)</f>
        <v>11</v>
      </c>
      <c r="B153" s="88" t="s">
        <v>61</v>
      </c>
      <c r="C153" s="88" t="s">
        <v>2619</v>
      </c>
      <c r="D153" s="88"/>
      <c r="E153" s="88" t="s">
        <v>3064</v>
      </c>
      <c r="F153" s="301" t="s">
        <v>2899</v>
      </c>
      <c r="G153" s="303" t="s">
        <v>2087</v>
      </c>
      <c r="H153" s="88">
        <v>3</v>
      </c>
      <c r="I153" s="88">
        <v>3</v>
      </c>
      <c r="J153" s="88">
        <v>3</v>
      </c>
      <c r="K153" s="90" t="s">
        <v>1620</v>
      </c>
      <c r="L153" s="90" t="s">
        <v>1620</v>
      </c>
      <c r="M153" s="214"/>
      <c r="N153" s="88" t="s">
        <v>1804</v>
      </c>
      <c r="O153" s="216">
        <f>BO153</f>
        <v>3.99</v>
      </c>
      <c r="P153" s="88" t="str">
        <f t="shared" si="468"/>
        <v>B1_4</v>
      </c>
      <c r="Q153" s="88">
        <f t="shared" si="331"/>
        <v>270</v>
      </c>
      <c r="R153" s="88">
        <f t="shared" si="332"/>
        <v>120</v>
      </c>
      <c r="S153" s="230" t="s">
        <v>2031</v>
      </c>
      <c r="T153" s="88" t="s">
        <v>3091</v>
      </c>
      <c r="U153" s="88">
        <f>IF(RIGHT(T153,1)="K",(VLOOKUP(T153,ma_miengiam!$A$3:$B$80,2,0)*100)/2,VLOOKUP(T153,ma_miengiam!$A$3:$B$80,2,0)*100)</f>
        <v>20</v>
      </c>
      <c r="V153" s="88"/>
      <c r="W153" s="220">
        <f>IF(AND(T153="NTS",V153&gt;0),(Q153-(Q153*V153)/12)*VLOOKUP(T153,ma_miengiam!$A$3:$B$80,2,0)+(Q153-(Q153*(12-V153))/12),IF(AND(RIGHT(T153,1)="K",V153&gt;0),(VLOOKUP(T153,ma_miengiam!$A$3:$B$80,2,0)/2)*(Q153*V153)/12,IF(RIGHT(T153,1)="K",(VLOOKUP(T153,ma_miengiam!$A$3:$B$80,2,0)*Q153)/2,IF(V153&gt;0,VLOOKUP(T153,ma_miengiam!$A$3:$B$80,2,0)*Q153*V153/12,VLOOKUP(T153,ma_miengiam!$A$3:$B$80,2,0)*Q153))))</f>
        <v>54</v>
      </c>
      <c r="X153" s="220">
        <f>IF(T153="NTS",VLOOKUP(T153,ma_miengiam!$A$3:$B$80,2,0)*R153*V153,IF(AND(T153="NTS",V153=0),0,IF(AND(LEFT(T153,1)="K",V153=0),VLOOKUP(T153,ma_miengiam!$A$3:$B$80,2,0)*R153,IF(LEFT(T153,1)="K",(VLOOKUP(T153,ma_miengiam!$A$3:$B$80,2,0)*R153/12)*V153,IF(AND(LEFT(T153,1)="S",V153&gt;0),(R153/12)*V153,IF(AND(LEFT(T153,1)="S",V153=0),R153,IF(T153="DH",VLOOKUP(T153,ma_miengiam!$A$3:$B$80,2,0)*R153,0)))))))</f>
        <v>0</v>
      </c>
      <c r="Y153" s="220">
        <f>IF(AND(T153="DH",V153&gt;0),(S153*V153/12),IF(AND(T153&lt;&gt;"NTS",V153&gt;0),(Q153*V153/12)-W153,IF(AND(T153="NTS",V153&gt;0),Q153-W153,Q153-W153)))</f>
        <v>216</v>
      </c>
      <c r="Z153" s="220">
        <f>IF(AND(T153="SĐH",V153&gt;0),(R153/12)*V153-X153,IF(AND(T153="DH",V153&gt;0),(R153*V153/12),IF(AND(T153&lt;&gt;"NTS",V153&gt;0),(R153*V153/12)-X153,IF(AND(T153="NTS",V153&gt;0),R153-X153,R153-X153))))</f>
        <v>120</v>
      </c>
      <c r="AA153" s="220">
        <f t="shared" ref="AA153:AB155" si="485">Q153</f>
        <v>270</v>
      </c>
      <c r="AB153" s="220">
        <f t="shared" si="485"/>
        <v>120</v>
      </c>
      <c r="AC153" s="220">
        <f t="shared" ref="AC153:AF155" si="486">W153</f>
        <v>54</v>
      </c>
      <c r="AD153" s="220">
        <f t="shared" si="486"/>
        <v>0</v>
      </c>
      <c r="AE153" s="220">
        <f t="shared" si="486"/>
        <v>216</v>
      </c>
      <c r="AF153" s="220">
        <f t="shared" si="486"/>
        <v>120</v>
      </c>
      <c r="AG153" s="220">
        <f>AH153+AI153</f>
        <v>248.32999999999998</v>
      </c>
      <c r="AH153" s="220">
        <f>EO153</f>
        <v>78.33</v>
      </c>
      <c r="AI153" s="220">
        <f>EN153</f>
        <v>170</v>
      </c>
      <c r="AJ153" s="220">
        <f>IF(AG153-Z153&gt;0,0,AG153-Z153)</f>
        <v>0</v>
      </c>
      <c r="AK153" s="216">
        <f t="shared" si="410"/>
        <v>216</v>
      </c>
      <c r="AL153" s="220">
        <f t="shared" si="425"/>
        <v>76.8</v>
      </c>
      <c r="AM153" s="220">
        <f t="shared" si="426"/>
        <v>18.400000000000002</v>
      </c>
      <c r="AN153" s="221">
        <f t="shared" si="427"/>
        <v>95.2</v>
      </c>
      <c r="AO153" s="220">
        <f t="shared" si="428"/>
        <v>0</v>
      </c>
      <c r="AP153" s="220">
        <f t="shared" si="429"/>
        <v>15</v>
      </c>
      <c r="AQ153" s="220">
        <f t="shared" si="430"/>
        <v>0</v>
      </c>
      <c r="AR153" s="220">
        <f t="shared" si="431"/>
        <v>0</v>
      </c>
      <c r="AS153" s="220">
        <f t="shared" si="432"/>
        <v>0</v>
      </c>
      <c r="AT153" s="216">
        <f t="shared" si="433"/>
        <v>110.2</v>
      </c>
      <c r="AU153" s="222">
        <f>AN153-AK153</f>
        <v>-120.8</v>
      </c>
      <c r="AV153" s="220"/>
      <c r="AW153" s="220">
        <f>IF(AU153&gt;0,AU153,AV153+AU153)</f>
        <v>-120.8</v>
      </c>
      <c r="AX153" s="216">
        <f t="shared" si="411"/>
        <v>-120.8</v>
      </c>
      <c r="AY153" s="220">
        <f>IF(AN153&gt;=AK153,AO153,IF(AN153+AO153-AK153&gt;=0,AN153+AO153-AK153,0))</f>
        <v>0</v>
      </c>
      <c r="AZ153" s="220">
        <f>IF(OR(AN153&gt;=AK153,AN153+AO153&gt;=AK153),AP153,IF(AN153+AO153+AP153&gt;AK153,AN153+AO153+AP153-AK153,0))</f>
        <v>0</v>
      </c>
      <c r="BA153" s="220">
        <f>IF(OR(AN153&gt;=AK153,AN153+AO153&gt;=AK153,AN153+AO153+AP153&gt;=AK153),AQ153,IF(AN153+AO153+AP153+AQ153&gt;=AK153,AN153+AO153+AP153+AQ153-AK153,0))</f>
        <v>0</v>
      </c>
      <c r="BB153" s="220">
        <f>IF(OR(AN153&gt;=AK153,AN153+AO153&gt;=AK153,AN153+AO153+AP153&gt;=AK153,AN153+AO153+AP153+AQ153&gt;=AK153),AR153,IF(AN153+AO153+AP153+AQ153+AR153&gt;=AK153,AN153+AO153+AP153+AQ153+AR153-AK153,0))</f>
        <v>0</v>
      </c>
      <c r="BC153" s="220">
        <f>IF(OR(AN153&gt;=AK153,AN153+AO153&gt;=AK153,AN153+AO153+AP153&gt;=AK153,AN153+AO153+AP153+AQ153&gt;=AK153,AN153+AO153+AP153+AQ153+AR153&gt;=AK153),AS153,IF(AN153+AO153+AP153+AQ153+AR153+AS153&gt;=AK153,AN153+AO153+AP153+AQ153+AR153+AS153-AK153,0))</f>
        <v>0</v>
      </c>
      <c r="BD153" s="216">
        <f t="shared" si="375"/>
        <v>0</v>
      </c>
      <c r="BE153" s="220">
        <f>AY153-AO153</f>
        <v>0</v>
      </c>
      <c r="BF153" s="220">
        <f>AZ153-AP153</f>
        <v>-15</v>
      </c>
      <c r="BG153" s="220">
        <f>BA153-AQ153</f>
        <v>0</v>
      </c>
      <c r="BH153" s="220">
        <f>BB153-AR153</f>
        <v>0</v>
      </c>
      <c r="BI153" s="220">
        <f>BC153-AS153</f>
        <v>0</v>
      </c>
      <c r="BJ153" s="220" t="s">
        <v>42</v>
      </c>
      <c r="BK153" s="220"/>
      <c r="BL153" s="223">
        <f t="shared" si="412"/>
        <v>0</v>
      </c>
      <c r="BM153" s="220">
        <v>3.99</v>
      </c>
      <c r="BN153" s="220"/>
      <c r="BO153" s="220">
        <f t="shared" si="404"/>
        <v>3.99</v>
      </c>
      <c r="BP153" s="220">
        <f>IF(AND(BL153&gt;0,BL153&lt;tiet!$D$1),BL153,IF(BL153&lt;=0,0,IF(BL153&gt;tiet!$C$1,tiet!$C$1)))</f>
        <v>0</v>
      </c>
      <c r="BQ153" s="87">
        <f>VLOOKUP(P153,ma_dinhmuc_moi,4,0)</f>
        <v>65000</v>
      </c>
      <c r="BR153" s="224">
        <f>ROUND(BQ153*BP153,0)</f>
        <v>0</v>
      </c>
      <c r="BS153" s="220">
        <f t="shared" si="434"/>
        <v>0</v>
      </c>
      <c r="BT153" s="224">
        <f>VLOOKUP(N153,ma_dinhmuc!$A$1:$J$31,10,0)</f>
        <v>51000</v>
      </c>
      <c r="BU153" s="224">
        <f>ROUND(IF(BS153&gt;0,VLOOKUP(N153,ma_dinhmuc!$A$1:$J$31,10,0)*BS153,0),0)</f>
        <v>0</v>
      </c>
      <c r="BV153" s="224">
        <f>ROUND(BU153+BR153,0)</f>
        <v>0</v>
      </c>
      <c r="BW153" s="224"/>
      <c r="BX153" s="224">
        <v>782600</v>
      </c>
      <c r="BY153" s="224"/>
      <c r="BZ153" s="224"/>
      <c r="CA153" s="224"/>
      <c r="CB153" s="224"/>
      <c r="CC153" s="225">
        <f>ROUND(IF(BV153+BW153&gt;BX153+BY153+BZ153+CA153+CB153,(BW153+BV153)-(BX153+BY153+BZ153+CA153+CB153+CB153),0),0)</f>
        <v>0</v>
      </c>
      <c r="CD153" s="224">
        <f>ROUND(IF(BV153+BW153&lt;BX153+BY153+BZ153+CA153-CB153,(BX153+BY153+BZ153+CA153-CB153)-(BW153+BV153),0),0)</f>
        <v>782600</v>
      </c>
      <c r="CE153" s="224"/>
      <c r="CF153" s="226"/>
      <c r="CG153" s="87"/>
      <c r="CH153" s="87">
        <f>A153</f>
        <v>11</v>
      </c>
      <c r="CI153" s="227" t="str">
        <f t="shared" si="474"/>
        <v>Ngô Thị</v>
      </c>
      <c r="CJ153" s="227" t="str">
        <f t="shared" si="474"/>
        <v>Dung</v>
      </c>
      <c r="CK153" s="87">
        <f t="shared" si="475"/>
        <v>3</v>
      </c>
      <c r="CL153" s="227" t="str">
        <f t="shared" si="476"/>
        <v>Tài nguyên nước</v>
      </c>
      <c r="CM153" s="87" t="str">
        <f>N153</f>
        <v>CS2</v>
      </c>
      <c r="CN153" s="87">
        <f t="shared" ref="CN153:CO155" si="487">Q153</f>
        <v>270</v>
      </c>
      <c r="CO153" s="87">
        <f t="shared" si="487"/>
        <v>120</v>
      </c>
      <c r="CP153" s="229">
        <f t="shared" si="444"/>
        <v>0</v>
      </c>
      <c r="CQ153" s="229">
        <f t="shared" si="445"/>
        <v>1.2</v>
      </c>
      <c r="CR153" s="229">
        <f t="shared" si="446"/>
        <v>0.6</v>
      </c>
      <c r="CS153" s="229">
        <f t="shared" si="447"/>
        <v>0</v>
      </c>
      <c r="CT153" s="229">
        <f t="shared" si="448"/>
        <v>0</v>
      </c>
      <c r="CU153" s="229">
        <f t="shared" si="449"/>
        <v>75</v>
      </c>
      <c r="CV153" s="229">
        <f t="shared" si="450"/>
        <v>0</v>
      </c>
      <c r="CW153" s="229">
        <f t="shared" si="451"/>
        <v>0</v>
      </c>
      <c r="CX153" s="229">
        <f t="shared" si="452"/>
        <v>0</v>
      </c>
      <c r="CY153" s="229">
        <f t="shared" si="453"/>
        <v>0</v>
      </c>
      <c r="CZ153" s="229">
        <f t="shared" si="454"/>
        <v>15</v>
      </c>
      <c r="DA153" s="229">
        <f t="shared" si="455"/>
        <v>0</v>
      </c>
      <c r="DB153" s="228">
        <f t="shared" si="423"/>
        <v>91.8</v>
      </c>
      <c r="DC153" s="229"/>
      <c r="DD153" s="229"/>
      <c r="DE153" s="229"/>
      <c r="DF153" s="229"/>
      <c r="DG153" s="229"/>
      <c r="DH153" s="229"/>
      <c r="DI153" s="229"/>
      <c r="DJ153" s="229"/>
      <c r="DK153" s="229"/>
      <c r="DL153" s="229"/>
      <c r="DM153" s="229"/>
      <c r="DN153" s="229"/>
      <c r="DO153" s="228">
        <f t="shared" si="436"/>
        <v>0</v>
      </c>
      <c r="DP153" s="228">
        <f t="shared" si="437"/>
        <v>91.8</v>
      </c>
      <c r="DQ153" s="229">
        <f t="shared" si="456"/>
        <v>18</v>
      </c>
      <c r="DR153" s="229">
        <f t="shared" si="457"/>
        <v>0.3</v>
      </c>
      <c r="DS153" s="229">
        <f t="shared" si="458"/>
        <v>0</v>
      </c>
      <c r="DT153" s="229">
        <f t="shared" si="459"/>
        <v>0.1</v>
      </c>
      <c r="DU153" s="229">
        <f t="shared" si="460"/>
        <v>0</v>
      </c>
      <c r="DV153" s="229">
        <f t="shared" si="461"/>
        <v>0</v>
      </c>
      <c r="DW153" s="229">
        <f t="shared" si="462"/>
        <v>0</v>
      </c>
      <c r="DX153" s="228">
        <f t="shared" si="424"/>
        <v>18.400000000000002</v>
      </c>
      <c r="DY153" s="229"/>
      <c r="DZ153" s="229"/>
      <c r="EA153" s="229"/>
      <c r="EB153" s="229"/>
      <c r="EC153" s="229"/>
      <c r="ED153" s="229"/>
      <c r="EE153" s="229"/>
      <c r="EF153" s="228">
        <f t="shared" si="438"/>
        <v>0</v>
      </c>
      <c r="EG153" s="228">
        <f t="shared" si="439"/>
        <v>18.400000000000002</v>
      </c>
      <c r="EH153" s="229">
        <f t="shared" si="440"/>
        <v>170</v>
      </c>
      <c r="EI153" s="229">
        <v>78.33</v>
      </c>
      <c r="EJ153" s="228">
        <f>SUM(EH153:EI153)</f>
        <v>248.32999999999998</v>
      </c>
      <c r="EK153" s="229"/>
      <c r="EL153" s="229"/>
      <c r="EM153" s="228">
        <f>SUM(EK153:EL153)</f>
        <v>0</v>
      </c>
      <c r="EN153" s="229">
        <f>EK153+EH153+EL153</f>
        <v>170</v>
      </c>
      <c r="EO153" s="229">
        <f>EI153</f>
        <v>78.33</v>
      </c>
      <c r="EP153" s="228">
        <f>EM153+EJ153</f>
        <v>248.32999999999998</v>
      </c>
      <c r="EQ153" s="173">
        <f t="shared" si="441"/>
        <v>50</v>
      </c>
      <c r="ER153" s="189">
        <v>0</v>
      </c>
      <c r="ES153" s="189">
        <v>1.2</v>
      </c>
      <c r="ET153" s="189">
        <v>0.6</v>
      </c>
      <c r="EU153" s="189">
        <v>0</v>
      </c>
      <c r="EV153" s="189">
        <v>0</v>
      </c>
      <c r="EW153" s="189">
        <v>75</v>
      </c>
      <c r="EX153" s="189">
        <v>0</v>
      </c>
      <c r="EY153" s="189">
        <v>0</v>
      </c>
      <c r="EZ153" s="189">
        <v>0</v>
      </c>
      <c r="FA153" s="189">
        <v>0</v>
      </c>
      <c r="FB153" s="189">
        <v>15</v>
      </c>
      <c r="FC153" s="189">
        <v>0</v>
      </c>
      <c r="FD153" s="189">
        <v>18</v>
      </c>
      <c r="FE153" s="189">
        <v>0.3</v>
      </c>
      <c r="FF153" s="189">
        <v>0</v>
      </c>
      <c r="FG153" s="189">
        <v>0.1</v>
      </c>
      <c r="FH153" s="189">
        <v>0</v>
      </c>
      <c r="FI153" s="189">
        <v>0</v>
      </c>
      <c r="FJ153" s="189">
        <v>0</v>
      </c>
      <c r="FK153" s="189">
        <v>110.2</v>
      </c>
      <c r="FL153" s="189">
        <v>106</v>
      </c>
      <c r="FN153" s="132">
        <v>170</v>
      </c>
    </row>
    <row r="154" spans="1:170" ht="30">
      <c r="A154" s="88">
        <f>COUNTIF($H$12:H154,H154)</f>
        <v>12</v>
      </c>
      <c r="B154" s="88" t="s">
        <v>62</v>
      </c>
      <c r="C154" s="88" t="s">
        <v>2620</v>
      </c>
      <c r="D154" s="88"/>
      <c r="E154" s="88"/>
      <c r="F154" s="301" t="s">
        <v>1139</v>
      </c>
      <c r="G154" s="303" t="s">
        <v>2088</v>
      </c>
      <c r="H154" s="88">
        <v>3</v>
      </c>
      <c r="I154" s="88">
        <v>3</v>
      </c>
      <c r="J154" s="88">
        <v>3</v>
      </c>
      <c r="K154" s="90" t="s">
        <v>1620</v>
      </c>
      <c r="L154" s="90" t="s">
        <v>1620</v>
      </c>
      <c r="M154" s="214"/>
      <c r="N154" s="88" t="s">
        <v>1804</v>
      </c>
      <c r="O154" s="216">
        <f t="shared" si="463"/>
        <v>3.66</v>
      </c>
      <c r="P154" s="88" t="str">
        <f t="shared" si="468"/>
        <v>B1_4</v>
      </c>
      <c r="Q154" s="88">
        <f t="shared" si="331"/>
        <v>270</v>
      </c>
      <c r="R154" s="88">
        <f t="shared" si="332"/>
        <v>120</v>
      </c>
      <c r="S154" s="231" t="s">
        <v>157</v>
      </c>
      <c r="T154" s="88" t="s">
        <v>1326</v>
      </c>
      <c r="U154" s="88">
        <f>IF(RIGHT(T154,1)="K",(VLOOKUP(T154,ma_miengiam!$A$3:$B$80,2,0)*100)/2,VLOOKUP(T154,ma_miengiam!$A$3:$B$80,2,0)*100)</f>
        <v>65</v>
      </c>
      <c r="V154" s="88"/>
      <c r="W154" s="220">
        <f>IF(AND(T154="NTS",V154&gt;0),(Q154-(Q154*V154)/12)*VLOOKUP(T154,ma_miengiam!$A$3:$B$80,2,0)+(Q154-(Q154*(12-V154))/12),IF(AND(RIGHT(T154,1)="K",V154&gt;0),(VLOOKUP(T154,ma_miengiam!$A$3:$B$80,2,0)/2)*(Q154*V154)/12,IF(RIGHT(T154,1)="K",(VLOOKUP(T154,ma_miengiam!$A$3:$B$80,2,0)*Q154)/2,IF(V154&gt;0,VLOOKUP(T154,ma_miengiam!$A$3:$B$80,2,0)*Q154*V154/12,VLOOKUP(T154,ma_miengiam!$A$3:$B$80,2,0)*Q154))))</f>
        <v>175.5</v>
      </c>
      <c r="X154" s="220">
        <f>IF(T154="NTS",VLOOKUP(T154,ma_miengiam!$A$3:$B$80,2,0)*R154*V154,IF(AND(T154="NTS",V154=0),0,IF(AND(LEFT(T154,1)="K",V154=0),VLOOKUP(T154,ma_miengiam!$A$3:$B$80,2,0)*R154,IF(LEFT(T154,1)="K",(VLOOKUP(T154,ma_miengiam!$A$3:$B$80,2,0)*R154/12)*V154,IF(AND(LEFT(T154,1)="S",V154&gt;0),(R154/12)*V154,IF(AND(LEFT(T154,1)="S",V154=0),R154,IF(T154="DH",VLOOKUP(T154,ma_miengiam!$A$3:$B$80,2,0)*R154,0)))))))</f>
        <v>120</v>
      </c>
      <c r="Y154" s="220">
        <f t="shared" ref="Y154:Y163" si="488">IF(AND(T154="DH",V154&gt;0),(S154*V154/12),IF(AND(T154&lt;&gt;"NTS",V154&gt;0),(Q154*V154/12)-W154,IF(AND(T154="NTS",V154&gt;0),Q154-W154,Q154-W154)))</f>
        <v>94.5</v>
      </c>
      <c r="Z154" s="220">
        <f t="shared" si="337"/>
        <v>0</v>
      </c>
      <c r="AA154" s="220">
        <f t="shared" si="485"/>
        <v>270</v>
      </c>
      <c r="AB154" s="220">
        <f t="shared" si="485"/>
        <v>120</v>
      </c>
      <c r="AC154" s="220">
        <f t="shared" si="486"/>
        <v>175.5</v>
      </c>
      <c r="AD154" s="220">
        <f t="shared" si="486"/>
        <v>120</v>
      </c>
      <c r="AE154" s="220">
        <f t="shared" si="486"/>
        <v>94.5</v>
      </c>
      <c r="AF154" s="220">
        <f t="shared" si="486"/>
        <v>0</v>
      </c>
      <c r="AG154" s="220">
        <f t="shared" si="481"/>
        <v>222.57</v>
      </c>
      <c r="AH154" s="220">
        <f t="shared" si="482"/>
        <v>182.57</v>
      </c>
      <c r="AI154" s="220">
        <f t="shared" si="483"/>
        <v>40</v>
      </c>
      <c r="AJ154" s="220">
        <f t="shared" si="380"/>
        <v>0</v>
      </c>
      <c r="AK154" s="216">
        <f t="shared" si="410"/>
        <v>94.5</v>
      </c>
      <c r="AL154" s="220">
        <f t="shared" si="425"/>
        <v>76.7</v>
      </c>
      <c r="AM154" s="220">
        <f t="shared" si="426"/>
        <v>0</v>
      </c>
      <c r="AN154" s="221">
        <f t="shared" si="427"/>
        <v>76.7</v>
      </c>
      <c r="AO154" s="220">
        <f t="shared" si="428"/>
        <v>0</v>
      </c>
      <c r="AP154" s="220">
        <f t="shared" si="429"/>
        <v>0</v>
      </c>
      <c r="AQ154" s="220">
        <f t="shared" si="430"/>
        <v>0</v>
      </c>
      <c r="AR154" s="220">
        <f t="shared" si="431"/>
        <v>0</v>
      </c>
      <c r="AS154" s="220">
        <f t="shared" si="432"/>
        <v>0</v>
      </c>
      <c r="AT154" s="216">
        <f t="shared" si="433"/>
        <v>76.7</v>
      </c>
      <c r="AU154" s="222">
        <f t="shared" si="395"/>
        <v>-17.799999999999997</v>
      </c>
      <c r="AV154" s="220"/>
      <c r="AW154" s="220">
        <f t="shared" si="350"/>
        <v>-17.799999999999997</v>
      </c>
      <c r="AX154" s="216">
        <f t="shared" si="411"/>
        <v>-17.799999999999997</v>
      </c>
      <c r="AY154" s="220">
        <f t="shared" si="362"/>
        <v>0</v>
      </c>
      <c r="AZ154" s="220">
        <f t="shared" si="363"/>
        <v>0</v>
      </c>
      <c r="BA154" s="220">
        <f t="shared" si="364"/>
        <v>0</v>
      </c>
      <c r="BB154" s="220">
        <f t="shared" si="365"/>
        <v>0</v>
      </c>
      <c r="BC154" s="220">
        <f t="shared" si="366"/>
        <v>0</v>
      </c>
      <c r="BD154" s="216">
        <f t="shared" si="375"/>
        <v>0</v>
      </c>
      <c r="BE154" s="220">
        <f t="shared" si="351"/>
        <v>0</v>
      </c>
      <c r="BF154" s="220">
        <f t="shared" si="352"/>
        <v>0</v>
      </c>
      <c r="BG154" s="220">
        <f t="shared" si="353"/>
        <v>0</v>
      </c>
      <c r="BH154" s="220">
        <f t="shared" si="354"/>
        <v>0</v>
      </c>
      <c r="BI154" s="220">
        <f t="shared" si="355"/>
        <v>0</v>
      </c>
      <c r="BJ154" s="220" t="s">
        <v>42</v>
      </c>
      <c r="BK154" s="220"/>
      <c r="BL154" s="223">
        <f t="shared" si="412"/>
        <v>0</v>
      </c>
      <c r="BM154" s="220">
        <v>3.66</v>
      </c>
      <c r="BN154" s="220"/>
      <c r="BO154" s="220">
        <f t="shared" si="404"/>
        <v>3.66</v>
      </c>
      <c r="BP154" s="220">
        <f>IF(AND(BL154&gt;0,BL154&lt;tiet!$D$1),BL154,IF(BL154&lt;=0,0,IF(BL154&gt;tiet!$C$1,tiet!$C$1)))</f>
        <v>0</v>
      </c>
      <c r="BQ154" s="87">
        <f t="shared" si="376"/>
        <v>65000</v>
      </c>
      <c r="BR154" s="224">
        <f t="shared" si="377"/>
        <v>0</v>
      </c>
      <c r="BS154" s="220">
        <f t="shared" si="434"/>
        <v>0</v>
      </c>
      <c r="BT154" s="224">
        <f>VLOOKUP(N154,ma_dinhmuc!$A$1:$J$31,10,0)</f>
        <v>51000</v>
      </c>
      <c r="BU154" s="224">
        <f>ROUND(IF(BS154&gt;0,VLOOKUP(N154,ma_dinhmuc!$A$1:$J$31,10,0)*BS154,0),0)</f>
        <v>0</v>
      </c>
      <c r="BV154" s="224">
        <f t="shared" si="378"/>
        <v>0</v>
      </c>
      <c r="BW154" s="224"/>
      <c r="BX154" s="224">
        <v>0</v>
      </c>
      <c r="BY154" s="224"/>
      <c r="BZ154" s="224"/>
      <c r="CA154" s="224"/>
      <c r="CB154" s="224"/>
      <c r="CC154" s="225">
        <f t="shared" si="384"/>
        <v>0</v>
      </c>
      <c r="CD154" s="224">
        <f t="shared" si="385"/>
        <v>0</v>
      </c>
      <c r="CE154" s="224"/>
      <c r="CF154" s="226"/>
      <c r="CG154" s="87"/>
      <c r="CH154" s="87">
        <f t="shared" si="414"/>
        <v>12</v>
      </c>
      <c r="CI154" s="227" t="str">
        <f t="shared" si="471"/>
        <v>Nguyễn Thị</v>
      </c>
      <c r="CJ154" s="227" t="str">
        <f t="shared" si="472"/>
        <v>Giang</v>
      </c>
      <c r="CK154" s="87">
        <f t="shared" ref="CK154:CK167" si="489">H154</f>
        <v>3</v>
      </c>
      <c r="CL154" s="227" t="str">
        <f t="shared" ref="CL154:CL167" si="490">L154</f>
        <v>Tài nguyên nước</v>
      </c>
      <c r="CM154" s="87" t="str">
        <f t="shared" si="358"/>
        <v>CS2</v>
      </c>
      <c r="CN154" s="87">
        <f t="shared" si="487"/>
        <v>270</v>
      </c>
      <c r="CO154" s="87">
        <f t="shared" si="487"/>
        <v>120</v>
      </c>
      <c r="CP154" s="229">
        <f t="shared" si="444"/>
        <v>0</v>
      </c>
      <c r="CQ154" s="229">
        <f t="shared" si="445"/>
        <v>6.2</v>
      </c>
      <c r="CR154" s="229">
        <f t="shared" si="446"/>
        <v>2.5</v>
      </c>
      <c r="CS154" s="229">
        <f t="shared" si="447"/>
        <v>0</v>
      </c>
      <c r="CT154" s="229">
        <f t="shared" si="448"/>
        <v>0</v>
      </c>
      <c r="CU154" s="229">
        <f t="shared" si="449"/>
        <v>44</v>
      </c>
      <c r="CV154" s="229">
        <f t="shared" si="450"/>
        <v>0</v>
      </c>
      <c r="CW154" s="229">
        <f t="shared" si="451"/>
        <v>24</v>
      </c>
      <c r="CX154" s="229">
        <f t="shared" si="452"/>
        <v>0</v>
      </c>
      <c r="CY154" s="229">
        <f t="shared" si="453"/>
        <v>0</v>
      </c>
      <c r="CZ154" s="229">
        <f t="shared" si="454"/>
        <v>0</v>
      </c>
      <c r="DA154" s="229">
        <f t="shared" si="455"/>
        <v>0</v>
      </c>
      <c r="DB154" s="228">
        <f t="shared" si="423"/>
        <v>76.7</v>
      </c>
      <c r="DC154" s="229"/>
      <c r="DD154" s="229"/>
      <c r="DE154" s="229"/>
      <c r="DF154" s="229"/>
      <c r="DG154" s="229"/>
      <c r="DH154" s="229"/>
      <c r="DI154" s="229"/>
      <c r="DJ154" s="229"/>
      <c r="DK154" s="229"/>
      <c r="DL154" s="229"/>
      <c r="DM154" s="229"/>
      <c r="DN154" s="229"/>
      <c r="DO154" s="228">
        <f t="shared" si="436"/>
        <v>0</v>
      </c>
      <c r="DP154" s="228">
        <f t="shared" si="437"/>
        <v>76.7</v>
      </c>
      <c r="DQ154" s="229">
        <f t="shared" si="456"/>
        <v>0</v>
      </c>
      <c r="DR154" s="229">
        <f t="shared" si="457"/>
        <v>0</v>
      </c>
      <c r="DS154" s="229">
        <f t="shared" si="458"/>
        <v>0</v>
      </c>
      <c r="DT154" s="229">
        <f t="shared" si="459"/>
        <v>0</v>
      </c>
      <c r="DU154" s="229">
        <f t="shared" si="460"/>
        <v>0</v>
      </c>
      <c r="DV154" s="229">
        <f t="shared" si="461"/>
        <v>0</v>
      </c>
      <c r="DW154" s="229">
        <f t="shared" si="462"/>
        <v>0</v>
      </c>
      <c r="DX154" s="228">
        <f t="shared" si="424"/>
        <v>0</v>
      </c>
      <c r="DY154" s="229"/>
      <c r="DZ154" s="229"/>
      <c r="EA154" s="229"/>
      <c r="EB154" s="229"/>
      <c r="EC154" s="229"/>
      <c r="ED154" s="229"/>
      <c r="EE154" s="229"/>
      <c r="EF154" s="228">
        <f t="shared" si="438"/>
        <v>0</v>
      </c>
      <c r="EG154" s="228">
        <f t="shared" si="439"/>
        <v>0</v>
      </c>
      <c r="EH154" s="229">
        <f t="shared" si="440"/>
        <v>40</v>
      </c>
      <c r="EI154" s="229">
        <v>182.57</v>
      </c>
      <c r="EJ154" s="228">
        <f t="shared" si="479"/>
        <v>222.57</v>
      </c>
      <c r="EK154" s="229"/>
      <c r="EL154" s="229"/>
      <c r="EM154" s="228">
        <f t="shared" si="398"/>
        <v>0</v>
      </c>
      <c r="EN154" s="229">
        <f t="shared" si="413"/>
        <v>40</v>
      </c>
      <c r="EO154" s="229">
        <f t="shared" si="388"/>
        <v>182.57</v>
      </c>
      <c r="EP154" s="228">
        <f t="shared" si="480"/>
        <v>222.57</v>
      </c>
      <c r="EQ154" s="173">
        <f t="shared" si="441"/>
        <v>40</v>
      </c>
      <c r="ER154" s="189">
        <v>0</v>
      </c>
      <c r="ES154" s="189">
        <v>6.2</v>
      </c>
      <c r="ET154" s="189">
        <v>2.5</v>
      </c>
      <c r="EU154" s="189">
        <v>0</v>
      </c>
      <c r="EV154" s="189">
        <v>0</v>
      </c>
      <c r="EW154" s="189">
        <v>44</v>
      </c>
      <c r="EX154" s="189">
        <v>0</v>
      </c>
      <c r="EY154" s="189">
        <v>24</v>
      </c>
      <c r="EZ154" s="189">
        <v>0</v>
      </c>
      <c r="FA154" s="189">
        <v>0</v>
      </c>
      <c r="FB154" s="189">
        <v>0</v>
      </c>
      <c r="FC154" s="189">
        <v>0</v>
      </c>
      <c r="FD154" s="189">
        <v>0</v>
      </c>
      <c r="FE154" s="189">
        <v>0</v>
      </c>
      <c r="FF154" s="189">
        <v>0</v>
      </c>
      <c r="FG154" s="189">
        <v>0</v>
      </c>
      <c r="FH154" s="189">
        <v>0</v>
      </c>
      <c r="FI154" s="189">
        <v>0</v>
      </c>
      <c r="FJ154" s="189">
        <v>0</v>
      </c>
      <c r="FK154" s="189">
        <v>76.7</v>
      </c>
      <c r="FL154" s="189">
        <v>72</v>
      </c>
      <c r="FN154" s="132">
        <v>40</v>
      </c>
    </row>
    <row r="155" spans="1:170" ht="30" customHeight="1">
      <c r="A155" s="88">
        <f>COUNTIF($H$12:H155,H155)</f>
        <v>13</v>
      </c>
      <c r="B155" s="88" t="s">
        <v>63</v>
      </c>
      <c r="C155" s="88" t="s">
        <v>2621</v>
      </c>
      <c r="D155" s="88"/>
      <c r="E155" s="88" t="s">
        <v>3064</v>
      </c>
      <c r="F155" s="301" t="s">
        <v>2329</v>
      </c>
      <c r="G155" s="89" t="s">
        <v>14</v>
      </c>
      <c r="H155" s="88">
        <v>3</v>
      </c>
      <c r="I155" s="88">
        <v>3</v>
      </c>
      <c r="J155" s="88">
        <v>3</v>
      </c>
      <c r="K155" s="90" t="s">
        <v>1620</v>
      </c>
      <c r="L155" s="90" t="s">
        <v>1620</v>
      </c>
      <c r="M155" s="214"/>
      <c r="N155" s="88" t="s">
        <v>1804</v>
      </c>
      <c r="O155" s="216">
        <f>BO155</f>
        <v>3.66</v>
      </c>
      <c r="P155" s="88" t="str">
        <f t="shared" si="468"/>
        <v>B1_4</v>
      </c>
      <c r="Q155" s="88">
        <f t="shared" si="331"/>
        <v>270</v>
      </c>
      <c r="R155" s="88">
        <f t="shared" si="332"/>
        <v>120</v>
      </c>
      <c r="S155" s="231" t="s">
        <v>1283</v>
      </c>
      <c r="T155" s="88" t="s">
        <v>3088</v>
      </c>
      <c r="U155" s="88">
        <f>IF(RIGHT(T155,1)="K",(VLOOKUP(T155,ma_miengiam!$A$3:$B$80,2,0)*100)/2,VLOOKUP(T155,ma_miengiam!$A$3:$B$80,2,0)*100)</f>
        <v>0</v>
      </c>
      <c r="V155" s="88">
        <v>5</v>
      </c>
      <c r="W155" s="220">
        <f>IF(AND(T155="NTS",V155&gt;0),(Q155-(Q155*V155)/12)*VLOOKUP(T155,ma_miengiam!$A$3:$B$80,2,0)+(Q155-(Q155*(12-V155))/12),IF(AND(RIGHT(T155,1)="K",V155&gt;0),(VLOOKUP(T155,ma_miengiam!$A$3:$B$80,2,0)/2)*(Q155*V155)/12,IF(RIGHT(T155,1)="K",(VLOOKUP(T155,ma_miengiam!$A$3:$B$80,2,0)*Q155)/2,IF(V155&gt;0,VLOOKUP(T155,ma_miengiam!$A$3:$B$80,2,0)*Q155*V155/12,VLOOKUP(T155,ma_miengiam!$A$3:$B$80,2,0)*Q155))))</f>
        <v>0</v>
      </c>
      <c r="X155" s="220">
        <f>IF(T155="NTS",VLOOKUP(T155,ma_miengiam!$A$3:$B$80,2,0)*R155*V155,IF(AND(T155="NTS",V155=0),0,IF(AND(LEFT(T155,1)="K",V155=0),VLOOKUP(T155,ma_miengiam!$A$3:$B$80,2,0)*R155,IF(LEFT(T155,1)="K",(VLOOKUP(T155,ma_miengiam!$A$3:$B$80,2,0)*R155/12)*V155,IF(AND(LEFT(T155,1)="S",V155&gt;0),(R155/12)*V155,IF(AND(LEFT(T155,1)="S",V155=0),R155,IF(T155="DH",VLOOKUP(T155,ma_miengiam!$A$3:$B$80,2,0)*R155,0)))))))</f>
        <v>0</v>
      </c>
      <c r="Y155" s="220">
        <f t="shared" si="488"/>
        <v>112.5</v>
      </c>
      <c r="Z155" s="220">
        <f>IF(AND(T155="SĐH",V155&gt;0),(R155/12)*V155-X155,IF(AND(T155="DH",V155&gt;0),(R155*V155/12),IF(AND(T155&lt;&gt;"NTS",V155&gt;0),(R155*V155/12)-X155,IF(AND(T155="NTS",V155&gt;0),R155-X155,R155-X155))))</f>
        <v>50</v>
      </c>
      <c r="AA155" s="220">
        <f t="shared" si="485"/>
        <v>270</v>
      </c>
      <c r="AB155" s="220">
        <f t="shared" si="485"/>
        <v>120</v>
      </c>
      <c r="AC155" s="220">
        <f t="shared" si="486"/>
        <v>0</v>
      </c>
      <c r="AD155" s="220">
        <f t="shared" si="486"/>
        <v>0</v>
      </c>
      <c r="AE155" s="220">
        <f t="shared" si="486"/>
        <v>112.5</v>
      </c>
      <c r="AF155" s="220">
        <f t="shared" si="486"/>
        <v>50</v>
      </c>
      <c r="AG155" s="220">
        <f>AH155+AI155</f>
        <v>217.2</v>
      </c>
      <c r="AH155" s="220">
        <f>EO155</f>
        <v>134.16</v>
      </c>
      <c r="AI155" s="220">
        <f>EN155</f>
        <v>83.04</v>
      </c>
      <c r="AJ155" s="220">
        <f>IF(AG155-Z155&gt;0,0,AG155-Z155)</f>
        <v>0</v>
      </c>
      <c r="AK155" s="216">
        <f t="shared" si="410"/>
        <v>112.5</v>
      </c>
      <c r="AL155" s="220">
        <f t="shared" si="425"/>
        <v>132</v>
      </c>
      <c r="AM155" s="220">
        <f t="shared" si="426"/>
        <v>0</v>
      </c>
      <c r="AN155" s="221">
        <f t="shared" si="427"/>
        <v>132</v>
      </c>
      <c r="AO155" s="220">
        <f t="shared" si="428"/>
        <v>0</v>
      </c>
      <c r="AP155" s="220">
        <f t="shared" si="429"/>
        <v>0</v>
      </c>
      <c r="AQ155" s="220">
        <f t="shared" si="430"/>
        <v>0</v>
      </c>
      <c r="AR155" s="220">
        <f t="shared" si="431"/>
        <v>28</v>
      </c>
      <c r="AS155" s="220">
        <f t="shared" si="432"/>
        <v>0</v>
      </c>
      <c r="AT155" s="216">
        <f t="shared" si="433"/>
        <v>160</v>
      </c>
      <c r="AU155" s="222">
        <f t="shared" si="395"/>
        <v>19.5</v>
      </c>
      <c r="AV155" s="220"/>
      <c r="AW155" s="220">
        <f t="shared" si="350"/>
        <v>19.5</v>
      </c>
      <c r="AX155" s="216">
        <f t="shared" si="411"/>
        <v>0</v>
      </c>
      <c r="AY155" s="220">
        <f t="shared" si="362"/>
        <v>0</v>
      </c>
      <c r="AZ155" s="220">
        <f t="shared" si="363"/>
        <v>0</v>
      </c>
      <c r="BA155" s="220">
        <f t="shared" si="364"/>
        <v>0</v>
      </c>
      <c r="BB155" s="220">
        <f t="shared" si="365"/>
        <v>28</v>
      </c>
      <c r="BC155" s="220">
        <f t="shared" si="366"/>
        <v>0</v>
      </c>
      <c r="BD155" s="216">
        <f t="shared" si="375"/>
        <v>28</v>
      </c>
      <c r="BE155" s="220">
        <f t="shared" si="351"/>
        <v>0</v>
      </c>
      <c r="BF155" s="220">
        <f t="shared" si="352"/>
        <v>0</v>
      </c>
      <c r="BG155" s="220">
        <f t="shared" si="353"/>
        <v>0</v>
      </c>
      <c r="BH155" s="220">
        <f t="shared" si="354"/>
        <v>0</v>
      </c>
      <c r="BI155" s="220">
        <f t="shared" si="355"/>
        <v>0</v>
      </c>
      <c r="BJ155" s="220" t="s">
        <v>42</v>
      </c>
      <c r="BK155" s="220"/>
      <c r="BL155" s="223">
        <f t="shared" si="412"/>
        <v>19.5</v>
      </c>
      <c r="BM155" s="220">
        <v>3.66</v>
      </c>
      <c r="BN155" s="220"/>
      <c r="BO155" s="220">
        <f t="shared" si="404"/>
        <v>3.66</v>
      </c>
      <c r="BP155" s="220">
        <f>IF(AND(BL155&gt;0,BL155&lt;tiet!$D$1),BL155,IF(BL155&lt;=0,0,IF(BL155&gt;tiet!$C$1,tiet!$C$1)))</f>
        <v>19.5</v>
      </c>
      <c r="BQ155" s="87">
        <f>VLOOKUP(P155,ma_dinhmuc_moi,4,0)</f>
        <v>65000</v>
      </c>
      <c r="BR155" s="224">
        <f>ROUND(BQ155*BP155,0)</f>
        <v>1267500</v>
      </c>
      <c r="BS155" s="220">
        <f t="shared" si="434"/>
        <v>0</v>
      </c>
      <c r="BT155" s="224">
        <f>VLOOKUP(N155,ma_dinhmuc!$A$1:$J$31,10,0)</f>
        <v>51000</v>
      </c>
      <c r="BU155" s="224">
        <f>ROUND(IF(BS155&gt;0,VLOOKUP(N155,ma_dinhmuc!$A$1:$J$31,10,0)*BS155,0),0)</f>
        <v>0</v>
      </c>
      <c r="BV155" s="224">
        <f>ROUND(BU155+BR155,0)</f>
        <v>1267500</v>
      </c>
      <c r="BW155" s="224"/>
      <c r="BX155" s="224">
        <v>0</v>
      </c>
      <c r="BY155" s="224"/>
      <c r="BZ155" s="224"/>
      <c r="CA155" s="224"/>
      <c r="CB155" s="224"/>
      <c r="CC155" s="225">
        <f t="shared" si="384"/>
        <v>1267500</v>
      </c>
      <c r="CD155" s="224">
        <f t="shared" si="385"/>
        <v>0</v>
      </c>
      <c r="CE155" s="224"/>
      <c r="CF155" s="226"/>
      <c r="CG155" s="87"/>
      <c r="CH155" s="87">
        <f t="shared" ref="CH155:CH170" si="491">A155</f>
        <v>13</v>
      </c>
      <c r="CI155" s="227" t="str">
        <f>F155</f>
        <v>Ngô Thanh</v>
      </c>
      <c r="CJ155" s="227" t="str">
        <f>G155</f>
        <v>Sơn</v>
      </c>
      <c r="CK155" s="87">
        <f>H155</f>
        <v>3</v>
      </c>
      <c r="CL155" s="227" t="str">
        <f>L155</f>
        <v>Tài nguyên nước</v>
      </c>
      <c r="CM155" s="87" t="str">
        <f t="shared" si="358"/>
        <v>CS2</v>
      </c>
      <c r="CN155" s="87">
        <f t="shared" si="487"/>
        <v>270</v>
      </c>
      <c r="CO155" s="87">
        <f t="shared" si="487"/>
        <v>120</v>
      </c>
      <c r="CP155" s="229">
        <f t="shared" si="444"/>
        <v>0</v>
      </c>
      <c r="CQ155" s="229">
        <f t="shared" si="445"/>
        <v>18.399999999999999</v>
      </c>
      <c r="CR155" s="229">
        <f t="shared" si="446"/>
        <v>7.4</v>
      </c>
      <c r="CS155" s="229">
        <f t="shared" si="447"/>
        <v>0</v>
      </c>
      <c r="CT155" s="229">
        <f t="shared" si="448"/>
        <v>0</v>
      </c>
      <c r="CU155" s="229">
        <f t="shared" si="449"/>
        <v>46.2</v>
      </c>
      <c r="CV155" s="229">
        <f t="shared" si="450"/>
        <v>0</v>
      </c>
      <c r="CW155" s="229">
        <f t="shared" si="451"/>
        <v>60</v>
      </c>
      <c r="CX155" s="229">
        <f t="shared" si="452"/>
        <v>0</v>
      </c>
      <c r="CY155" s="229">
        <f t="shared" si="453"/>
        <v>0</v>
      </c>
      <c r="CZ155" s="229">
        <f t="shared" si="454"/>
        <v>0</v>
      </c>
      <c r="DA155" s="229">
        <f t="shared" si="455"/>
        <v>0</v>
      </c>
      <c r="DB155" s="228">
        <f t="shared" si="423"/>
        <v>132</v>
      </c>
      <c r="DC155" s="229"/>
      <c r="DD155" s="229"/>
      <c r="DE155" s="229"/>
      <c r="DF155" s="229"/>
      <c r="DG155" s="229"/>
      <c r="DH155" s="229"/>
      <c r="DI155" s="229"/>
      <c r="DJ155" s="229"/>
      <c r="DK155" s="229"/>
      <c r="DL155" s="229"/>
      <c r="DM155" s="229"/>
      <c r="DN155" s="229"/>
      <c r="DO155" s="228">
        <f t="shared" si="436"/>
        <v>0</v>
      </c>
      <c r="DP155" s="228">
        <f t="shared" si="437"/>
        <v>132</v>
      </c>
      <c r="DQ155" s="229">
        <f t="shared" si="456"/>
        <v>0</v>
      </c>
      <c r="DR155" s="229">
        <f t="shared" si="457"/>
        <v>0</v>
      </c>
      <c r="DS155" s="229">
        <f t="shared" si="458"/>
        <v>0</v>
      </c>
      <c r="DT155" s="229">
        <f t="shared" si="459"/>
        <v>0</v>
      </c>
      <c r="DU155" s="229">
        <f t="shared" si="460"/>
        <v>0</v>
      </c>
      <c r="DV155" s="229">
        <f t="shared" si="461"/>
        <v>28</v>
      </c>
      <c r="DW155" s="229">
        <f t="shared" si="462"/>
        <v>0</v>
      </c>
      <c r="DX155" s="228">
        <f t="shared" si="424"/>
        <v>28</v>
      </c>
      <c r="DY155" s="229"/>
      <c r="DZ155" s="229"/>
      <c r="EA155" s="229"/>
      <c r="EB155" s="229"/>
      <c r="EC155" s="229"/>
      <c r="ED155" s="229"/>
      <c r="EE155" s="229"/>
      <c r="EF155" s="228">
        <f t="shared" si="438"/>
        <v>0</v>
      </c>
      <c r="EG155" s="228">
        <f t="shared" si="439"/>
        <v>28</v>
      </c>
      <c r="EH155" s="229">
        <f t="shared" si="440"/>
        <v>83.04</v>
      </c>
      <c r="EI155" s="229">
        <v>134.16</v>
      </c>
      <c r="EJ155" s="228">
        <f t="shared" si="479"/>
        <v>217.2</v>
      </c>
      <c r="EK155" s="229"/>
      <c r="EL155" s="229"/>
      <c r="EM155" s="228">
        <f>SUM(EK155:EL155)</f>
        <v>0</v>
      </c>
      <c r="EN155" s="229">
        <f t="shared" si="413"/>
        <v>83.04</v>
      </c>
      <c r="EO155" s="229">
        <f t="shared" si="388"/>
        <v>134.16</v>
      </c>
      <c r="EP155" s="228">
        <f t="shared" si="480"/>
        <v>217.2</v>
      </c>
      <c r="EQ155" s="173">
        <f t="shared" si="441"/>
        <v>33.040000000000006</v>
      </c>
      <c r="ER155" s="189">
        <v>0</v>
      </c>
      <c r="ES155" s="189">
        <v>18.399999999999999</v>
      </c>
      <c r="ET155" s="189">
        <v>7.4</v>
      </c>
      <c r="EU155" s="189">
        <v>0</v>
      </c>
      <c r="EV155" s="189">
        <v>0</v>
      </c>
      <c r="EW155" s="189">
        <v>46.2</v>
      </c>
      <c r="EX155" s="189">
        <v>0</v>
      </c>
      <c r="EY155" s="189">
        <v>60</v>
      </c>
      <c r="EZ155" s="189">
        <v>0</v>
      </c>
      <c r="FA155" s="189">
        <v>0</v>
      </c>
      <c r="FB155" s="189">
        <v>0</v>
      </c>
      <c r="FC155" s="189">
        <v>0</v>
      </c>
      <c r="FD155" s="189">
        <v>0</v>
      </c>
      <c r="FE155" s="189">
        <v>0</v>
      </c>
      <c r="FF155" s="189">
        <v>0</v>
      </c>
      <c r="FG155" s="189">
        <v>0</v>
      </c>
      <c r="FH155" s="189">
        <v>28</v>
      </c>
      <c r="FI155" s="189">
        <v>0</v>
      </c>
      <c r="FJ155" s="189">
        <v>0</v>
      </c>
      <c r="FK155" s="189">
        <v>160</v>
      </c>
      <c r="FL155" s="189">
        <v>124</v>
      </c>
      <c r="FN155" s="132">
        <v>83.04</v>
      </c>
    </row>
    <row r="156" spans="1:170" ht="30" customHeight="1">
      <c r="A156" s="88">
        <f>COUNTIF($H$12:H156,H156)</f>
        <v>14</v>
      </c>
      <c r="B156" s="88" t="s">
        <v>64</v>
      </c>
      <c r="C156" s="88" t="s">
        <v>2622</v>
      </c>
      <c r="D156" s="88"/>
      <c r="E156" s="88" t="s">
        <v>3064</v>
      </c>
      <c r="F156" s="301" t="s">
        <v>724</v>
      </c>
      <c r="G156" s="89" t="s">
        <v>1876</v>
      </c>
      <c r="H156" s="88">
        <v>3</v>
      </c>
      <c r="I156" s="88">
        <v>3</v>
      </c>
      <c r="J156" s="88">
        <v>3</v>
      </c>
      <c r="K156" s="90" t="s">
        <v>1620</v>
      </c>
      <c r="L156" s="90" t="s">
        <v>1620</v>
      </c>
      <c r="M156" s="214"/>
      <c r="N156" s="88" t="s">
        <v>1804</v>
      </c>
      <c r="O156" s="216">
        <f t="shared" si="463"/>
        <v>3.33</v>
      </c>
      <c r="P156" s="88" t="str">
        <f t="shared" si="468"/>
        <v>B1_4</v>
      </c>
      <c r="Q156" s="88">
        <f t="shared" si="331"/>
        <v>270</v>
      </c>
      <c r="R156" s="88">
        <f t="shared" si="332"/>
        <v>120</v>
      </c>
      <c r="S156" s="233" t="s">
        <v>2339</v>
      </c>
      <c r="T156" s="88" t="s">
        <v>3091</v>
      </c>
      <c r="U156" s="88">
        <f>IF(RIGHT(T156,1)="K",(VLOOKUP(T156,ma_miengiam!$A$3:$B$80,2,0)*100)/2,VLOOKUP(T156,ma_miengiam!$A$3:$B$80,2,0)*100)</f>
        <v>20</v>
      </c>
      <c r="V156" s="88"/>
      <c r="W156" s="220">
        <f>IF(AND(T156="NTS",V156&gt;0),(Q156-(Q156*V156)/12)*VLOOKUP(T156,ma_miengiam!$A$3:$B$80,2,0)+(Q156-(Q156*(12-V156))/12),IF(AND(RIGHT(T156,1)="K",V156&gt;0),(VLOOKUP(T156,ma_miengiam!$A$3:$B$80,2,0)/2)*(Q156*V156)/12,IF(RIGHT(T156,1)="K",(VLOOKUP(T156,ma_miengiam!$A$3:$B$80,2,0)*Q156)/2,IF(V156&gt;0,VLOOKUP(T156,ma_miengiam!$A$3:$B$80,2,0)*Q156*V156/12,VLOOKUP(T156,ma_miengiam!$A$3:$B$80,2,0)*Q156))))</f>
        <v>54</v>
      </c>
      <c r="X156" s="220">
        <f>IF(T156="NTS",VLOOKUP(T156,ma_miengiam!$A$3:$B$80,2,0)*R156*V156,IF(AND(T156="NTS",V156=0),0,IF(AND(LEFT(T156,1)="K",V156=0),VLOOKUP(T156,ma_miengiam!$A$3:$B$80,2,0)*R156,IF(LEFT(T156,1)="K",(VLOOKUP(T156,ma_miengiam!$A$3:$B$80,2,0)*R156/12)*V156,IF(AND(LEFT(T156,1)="S",V156&gt;0),(R156/12)*V156,IF(AND(LEFT(T156,1)="S",V156=0),R156,IF(T156="DH",VLOOKUP(T156,ma_miengiam!$A$3:$B$80,2,0)*R156,0)))))))</f>
        <v>0</v>
      </c>
      <c r="Y156" s="220">
        <f t="shared" si="488"/>
        <v>216</v>
      </c>
      <c r="Z156" s="220">
        <f t="shared" si="337"/>
        <v>120</v>
      </c>
      <c r="AA156" s="220">
        <f>Q156</f>
        <v>270</v>
      </c>
      <c r="AB156" s="220">
        <f>R156</f>
        <v>120</v>
      </c>
      <c r="AC156" s="220">
        <f t="shared" ref="AC156:AF157" si="492">W156</f>
        <v>54</v>
      </c>
      <c r="AD156" s="220">
        <f t="shared" si="492"/>
        <v>0</v>
      </c>
      <c r="AE156" s="220">
        <f t="shared" si="492"/>
        <v>216</v>
      </c>
      <c r="AF156" s="220">
        <f t="shared" si="492"/>
        <v>120</v>
      </c>
      <c r="AG156" s="220">
        <f t="shared" si="481"/>
        <v>113.75</v>
      </c>
      <c r="AH156" s="220">
        <f t="shared" si="482"/>
        <v>21.25</v>
      </c>
      <c r="AI156" s="220">
        <f t="shared" si="483"/>
        <v>92.5</v>
      </c>
      <c r="AJ156" s="220">
        <f t="shared" si="380"/>
        <v>-6.25</v>
      </c>
      <c r="AK156" s="216">
        <f t="shared" si="410"/>
        <v>222.25</v>
      </c>
      <c r="AL156" s="220">
        <f t="shared" si="425"/>
        <v>110.7</v>
      </c>
      <c r="AM156" s="220">
        <f t="shared" si="426"/>
        <v>0</v>
      </c>
      <c r="AN156" s="221">
        <f t="shared" si="427"/>
        <v>110.7</v>
      </c>
      <c r="AO156" s="220">
        <f t="shared" si="428"/>
        <v>0</v>
      </c>
      <c r="AP156" s="220">
        <f t="shared" si="429"/>
        <v>15</v>
      </c>
      <c r="AQ156" s="220">
        <f t="shared" si="430"/>
        <v>20</v>
      </c>
      <c r="AR156" s="220">
        <f t="shared" si="431"/>
        <v>0</v>
      </c>
      <c r="AS156" s="220">
        <f t="shared" si="432"/>
        <v>0</v>
      </c>
      <c r="AT156" s="216">
        <f t="shared" si="433"/>
        <v>145.69999999999999</v>
      </c>
      <c r="AU156" s="222">
        <f t="shared" si="395"/>
        <v>-111.55</v>
      </c>
      <c r="AV156" s="220"/>
      <c r="AW156" s="220">
        <f t="shared" si="350"/>
        <v>-111.55</v>
      </c>
      <c r="AX156" s="216">
        <f t="shared" si="411"/>
        <v>-111.55</v>
      </c>
      <c r="AY156" s="220">
        <f t="shared" si="362"/>
        <v>0</v>
      </c>
      <c r="AZ156" s="220">
        <f t="shared" si="363"/>
        <v>0</v>
      </c>
      <c r="BA156" s="220">
        <f t="shared" si="364"/>
        <v>0</v>
      </c>
      <c r="BB156" s="220">
        <f t="shared" si="365"/>
        <v>0</v>
      </c>
      <c r="BC156" s="220">
        <f t="shared" si="366"/>
        <v>0</v>
      </c>
      <c r="BD156" s="216">
        <f t="shared" si="375"/>
        <v>0</v>
      </c>
      <c r="BE156" s="220">
        <f t="shared" si="351"/>
        <v>0</v>
      </c>
      <c r="BF156" s="220">
        <f t="shared" si="352"/>
        <v>-15</v>
      </c>
      <c r="BG156" s="220">
        <f t="shared" si="353"/>
        <v>-20</v>
      </c>
      <c r="BH156" s="220">
        <f t="shared" si="354"/>
        <v>0</v>
      </c>
      <c r="BI156" s="220">
        <f t="shared" si="355"/>
        <v>0</v>
      </c>
      <c r="BJ156" s="220" t="s">
        <v>42</v>
      </c>
      <c r="BK156" s="220"/>
      <c r="BL156" s="223">
        <f t="shared" si="412"/>
        <v>0</v>
      </c>
      <c r="BM156" s="220">
        <v>3.33</v>
      </c>
      <c r="BN156" s="220"/>
      <c r="BO156" s="220">
        <f t="shared" si="404"/>
        <v>3.33</v>
      </c>
      <c r="BP156" s="220">
        <f>IF(AND(BL156&gt;0,BL156&lt;tiet!$D$1),BL156,IF(BL156&lt;=0,0,IF(BL156&gt;tiet!$C$1,tiet!$C$1)))</f>
        <v>0</v>
      </c>
      <c r="BQ156" s="87">
        <f t="shared" si="376"/>
        <v>65000</v>
      </c>
      <c r="BR156" s="224">
        <f t="shared" si="377"/>
        <v>0</v>
      </c>
      <c r="BS156" s="220">
        <f t="shared" si="434"/>
        <v>0</v>
      </c>
      <c r="BT156" s="224">
        <f>VLOOKUP(N156,ma_dinhmuc!$A$1:$J$31,10,0)</f>
        <v>51000</v>
      </c>
      <c r="BU156" s="224">
        <f>ROUND(IF(BS156&gt;0,VLOOKUP(N156,ma_dinhmuc!$A$1:$J$31,10,0)*BS156,0),0)</f>
        <v>0</v>
      </c>
      <c r="BV156" s="224">
        <f t="shared" si="378"/>
        <v>0</v>
      </c>
      <c r="BW156" s="224"/>
      <c r="BX156" s="224">
        <v>782600</v>
      </c>
      <c r="BY156" s="224"/>
      <c r="BZ156" s="224"/>
      <c r="CA156" s="224"/>
      <c r="CB156" s="224"/>
      <c r="CC156" s="225">
        <f t="shared" si="384"/>
        <v>0</v>
      </c>
      <c r="CD156" s="224">
        <f t="shared" si="385"/>
        <v>782600</v>
      </c>
      <c r="CE156" s="224"/>
      <c r="CF156" s="226"/>
      <c r="CG156" s="87"/>
      <c r="CH156" s="87">
        <f t="shared" si="491"/>
        <v>14</v>
      </c>
      <c r="CI156" s="227" t="str">
        <f t="shared" si="471"/>
        <v>Vũ Thị</v>
      </c>
      <c r="CJ156" s="227" t="str">
        <f t="shared" si="472"/>
        <v>Xuân</v>
      </c>
      <c r="CK156" s="87">
        <f t="shared" si="489"/>
        <v>3</v>
      </c>
      <c r="CL156" s="227" t="str">
        <f t="shared" si="490"/>
        <v>Tài nguyên nước</v>
      </c>
      <c r="CM156" s="87" t="str">
        <f t="shared" si="358"/>
        <v>CS2</v>
      </c>
      <c r="CN156" s="87">
        <f t="shared" ref="CN156:CN163" si="493">Q156</f>
        <v>270</v>
      </c>
      <c r="CO156" s="87">
        <f t="shared" ref="CO156:CO163" si="494">R156</f>
        <v>120</v>
      </c>
      <c r="CP156" s="229">
        <f t="shared" si="444"/>
        <v>0</v>
      </c>
      <c r="CQ156" s="229">
        <f t="shared" si="445"/>
        <v>12.2</v>
      </c>
      <c r="CR156" s="229">
        <f t="shared" si="446"/>
        <v>4.9000000000000004</v>
      </c>
      <c r="CS156" s="229">
        <f t="shared" si="447"/>
        <v>0</v>
      </c>
      <c r="CT156" s="229">
        <f t="shared" si="448"/>
        <v>0</v>
      </c>
      <c r="CU156" s="229">
        <f t="shared" si="449"/>
        <v>45.6</v>
      </c>
      <c r="CV156" s="229">
        <f t="shared" si="450"/>
        <v>0</v>
      </c>
      <c r="CW156" s="229">
        <f t="shared" si="451"/>
        <v>48</v>
      </c>
      <c r="CX156" s="229">
        <f t="shared" si="452"/>
        <v>0</v>
      </c>
      <c r="CY156" s="229">
        <f t="shared" si="453"/>
        <v>0</v>
      </c>
      <c r="CZ156" s="229">
        <f t="shared" si="454"/>
        <v>15</v>
      </c>
      <c r="DA156" s="229">
        <f t="shared" si="455"/>
        <v>20</v>
      </c>
      <c r="DB156" s="228">
        <f t="shared" si="423"/>
        <v>145.69999999999999</v>
      </c>
      <c r="DC156" s="229"/>
      <c r="DD156" s="229"/>
      <c r="DE156" s="229"/>
      <c r="DF156" s="229"/>
      <c r="DG156" s="229"/>
      <c r="DH156" s="229"/>
      <c r="DI156" s="229"/>
      <c r="DJ156" s="229"/>
      <c r="DK156" s="229"/>
      <c r="DL156" s="229"/>
      <c r="DM156" s="229"/>
      <c r="DN156" s="229"/>
      <c r="DO156" s="228">
        <f t="shared" si="436"/>
        <v>0</v>
      </c>
      <c r="DP156" s="228">
        <f t="shared" si="437"/>
        <v>145.69999999999999</v>
      </c>
      <c r="DQ156" s="229">
        <f t="shared" si="456"/>
        <v>0</v>
      </c>
      <c r="DR156" s="229">
        <f t="shared" si="457"/>
        <v>0</v>
      </c>
      <c r="DS156" s="229">
        <f t="shared" si="458"/>
        <v>0</v>
      </c>
      <c r="DT156" s="229">
        <f t="shared" si="459"/>
        <v>0</v>
      </c>
      <c r="DU156" s="229">
        <f t="shared" si="460"/>
        <v>0</v>
      </c>
      <c r="DV156" s="229">
        <f t="shared" si="461"/>
        <v>0</v>
      </c>
      <c r="DW156" s="229">
        <f t="shared" si="462"/>
        <v>0</v>
      </c>
      <c r="DX156" s="228">
        <f t="shared" si="424"/>
        <v>0</v>
      </c>
      <c r="DY156" s="229"/>
      <c r="DZ156" s="229"/>
      <c r="EA156" s="229"/>
      <c r="EB156" s="229"/>
      <c r="EC156" s="229"/>
      <c r="ED156" s="229"/>
      <c r="EE156" s="229"/>
      <c r="EF156" s="228">
        <f t="shared" si="438"/>
        <v>0</v>
      </c>
      <c r="EG156" s="228">
        <f t="shared" si="439"/>
        <v>0</v>
      </c>
      <c r="EH156" s="229">
        <f t="shared" si="440"/>
        <v>92.5</v>
      </c>
      <c r="EI156" s="229">
        <v>21.25</v>
      </c>
      <c r="EJ156" s="228">
        <f t="shared" si="479"/>
        <v>113.75</v>
      </c>
      <c r="EK156" s="229"/>
      <c r="EL156" s="229"/>
      <c r="EM156" s="228">
        <f t="shared" si="398"/>
        <v>0</v>
      </c>
      <c r="EN156" s="229">
        <f t="shared" si="413"/>
        <v>92.5</v>
      </c>
      <c r="EO156" s="229">
        <f t="shared" si="388"/>
        <v>21.25</v>
      </c>
      <c r="EP156" s="228">
        <f t="shared" si="480"/>
        <v>113.75</v>
      </c>
      <c r="EQ156" s="173">
        <f t="shared" si="441"/>
        <v>0</v>
      </c>
      <c r="ER156" s="189">
        <v>0</v>
      </c>
      <c r="ES156" s="189">
        <v>12.2</v>
      </c>
      <c r="ET156" s="189">
        <v>4.9000000000000004</v>
      </c>
      <c r="EU156" s="189">
        <v>0</v>
      </c>
      <c r="EV156" s="189">
        <v>0</v>
      </c>
      <c r="EW156" s="189">
        <v>45.6</v>
      </c>
      <c r="EX156" s="189">
        <v>0</v>
      </c>
      <c r="EY156" s="189">
        <v>48</v>
      </c>
      <c r="EZ156" s="189">
        <v>0</v>
      </c>
      <c r="FA156" s="189">
        <v>0</v>
      </c>
      <c r="FB156" s="189">
        <v>15</v>
      </c>
      <c r="FC156" s="189">
        <v>20</v>
      </c>
      <c r="FD156" s="189">
        <v>0</v>
      </c>
      <c r="FE156" s="189">
        <v>0</v>
      </c>
      <c r="FF156" s="189">
        <v>0</v>
      </c>
      <c r="FG156" s="189">
        <v>0</v>
      </c>
      <c r="FH156" s="189">
        <v>0</v>
      </c>
      <c r="FI156" s="189">
        <v>0</v>
      </c>
      <c r="FJ156" s="189">
        <v>0</v>
      </c>
      <c r="FK156" s="189">
        <v>145.69999999999999</v>
      </c>
      <c r="FL156" s="189">
        <v>123</v>
      </c>
      <c r="FN156" s="132">
        <v>92.5</v>
      </c>
    </row>
    <row r="157" spans="1:170" ht="30" customHeight="1">
      <c r="A157" s="88">
        <f>COUNTIF($H$12:H157,H157)</f>
        <v>15</v>
      </c>
      <c r="B157" s="88" t="s">
        <v>65</v>
      </c>
      <c r="C157" s="88" t="s">
        <v>2623</v>
      </c>
      <c r="D157" s="88"/>
      <c r="E157" s="88" t="s">
        <v>3064</v>
      </c>
      <c r="F157" s="301" t="s">
        <v>2817</v>
      </c>
      <c r="G157" s="89" t="s">
        <v>1623</v>
      </c>
      <c r="H157" s="88">
        <v>3</v>
      </c>
      <c r="I157" s="88">
        <v>3</v>
      </c>
      <c r="J157" s="88">
        <v>3</v>
      </c>
      <c r="K157" s="90" t="s">
        <v>1621</v>
      </c>
      <c r="L157" s="90" t="s">
        <v>1621</v>
      </c>
      <c r="M157" s="214"/>
      <c r="N157" s="88" t="s">
        <v>605</v>
      </c>
      <c r="O157" s="216">
        <f t="shared" si="463"/>
        <v>6.2</v>
      </c>
      <c r="P157" s="88" t="str">
        <f t="shared" si="468"/>
        <v>B1_6</v>
      </c>
      <c r="Q157" s="88">
        <f t="shared" si="331"/>
        <v>270</v>
      </c>
      <c r="R157" s="88">
        <f t="shared" si="332"/>
        <v>170</v>
      </c>
      <c r="S157" s="218"/>
      <c r="T157" s="88" t="s">
        <v>3088</v>
      </c>
      <c r="U157" s="88">
        <f>IF(RIGHT(T157,1)="K",(VLOOKUP(T157,ma_miengiam!$A$3:$B$80,2,0)*100)/2,VLOOKUP(T157,ma_miengiam!$A$3:$B$80,2,0)*100)</f>
        <v>0</v>
      </c>
      <c r="V157" s="88"/>
      <c r="W157" s="220">
        <f>IF(AND(T157="NTS",V157&gt;0),(Q157-(Q157*V157)/12)*VLOOKUP(T157,ma_miengiam!$A$3:$B$80,2,0)+(Q157-(Q157*(12-V157))/12),IF(AND(RIGHT(T157,1)="K",V157&gt;0),(VLOOKUP(T157,ma_miengiam!$A$3:$B$80,2,0)/2)*(Q157*V157)/12,IF(RIGHT(T157,1)="K",(VLOOKUP(T157,ma_miengiam!$A$3:$B$80,2,0)*Q157)/2,IF(V157&gt;0,VLOOKUP(T157,ma_miengiam!$A$3:$B$80,2,0)*Q157*V157/12,VLOOKUP(T157,ma_miengiam!$A$3:$B$80,2,0)*Q157))))</f>
        <v>0</v>
      </c>
      <c r="X157" s="220">
        <f>IF(T157="NTS",VLOOKUP(T157,ma_miengiam!$A$3:$B$80,2,0)*R157*V157,IF(AND(T157="NTS",V157=0),0,IF(AND(LEFT(T157,1)="K",V157=0),VLOOKUP(T157,ma_miengiam!$A$3:$B$80,2,0)*R157,IF(LEFT(T157,1)="K",(VLOOKUP(T157,ma_miengiam!$A$3:$B$80,2,0)*R157/12)*V157,IF(AND(LEFT(T157,1)="S",V157&gt;0),(R157/12)*V157,IF(AND(LEFT(T157,1)="S",V157=0),R157,IF(T157="DH",VLOOKUP(T157,ma_miengiam!$A$3:$B$80,2,0)*R157,0)))))))</f>
        <v>0</v>
      </c>
      <c r="Y157" s="220">
        <f t="shared" si="488"/>
        <v>270</v>
      </c>
      <c r="Z157" s="220">
        <f t="shared" si="337"/>
        <v>170</v>
      </c>
      <c r="AA157" s="220">
        <f>Q157</f>
        <v>270</v>
      </c>
      <c r="AB157" s="220">
        <f>R157</f>
        <v>170</v>
      </c>
      <c r="AC157" s="220">
        <f t="shared" si="492"/>
        <v>0</v>
      </c>
      <c r="AD157" s="220">
        <f t="shared" si="492"/>
        <v>0</v>
      </c>
      <c r="AE157" s="220">
        <f t="shared" si="492"/>
        <v>270</v>
      </c>
      <c r="AF157" s="220">
        <f t="shared" si="492"/>
        <v>170</v>
      </c>
      <c r="AG157" s="220">
        <f t="shared" si="481"/>
        <v>205</v>
      </c>
      <c r="AH157" s="220">
        <f t="shared" si="482"/>
        <v>166.25</v>
      </c>
      <c r="AI157" s="220">
        <f t="shared" si="483"/>
        <v>38.75</v>
      </c>
      <c r="AJ157" s="220">
        <f t="shared" si="380"/>
        <v>0</v>
      </c>
      <c r="AK157" s="216">
        <f t="shared" si="410"/>
        <v>270</v>
      </c>
      <c r="AL157" s="220">
        <f t="shared" si="425"/>
        <v>121.4</v>
      </c>
      <c r="AM157" s="220">
        <f t="shared" si="426"/>
        <v>404.90000000000003</v>
      </c>
      <c r="AN157" s="221">
        <f t="shared" si="427"/>
        <v>526.30000000000007</v>
      </c>
      <c r="AO157" s="220">
        <f t="shared" si="428"/>
        <v>0</v>
      </c>
      <c r="AP157" s="220">
        <f t="shared" si="429"/>
        <v>0</v>
      </c>
      <c r="AQ157" s="220">
        <f t="shared" si="430"/>
        <v>0</v>
      </c>
      <c r="AR157" s="220">
        <f t="shared" si="431"/>
        <v>68</v>
      </c>
      <c r="AS157" s="220">
        <f t="shared" si="432"/>
        <v>20</v>
      </c>
      <c r="AT157" s="216">
        <f t="shared" si="433"/>
        <v>614.30000000000007</v>
      </c>
      <c r="AU157" s="222">
        <f t="shared" si="395"/>
        <v>256.30000000000007</v>
      </c>
      <c r="AV157" s="220"/>
      <c r="AW157" s="220">
        <f t="shared" si="350"/>
        <v>256.30000000000007</v>
      </c>
      <c r="AX157" s="216">
        <f t="shared" si="411"/>
        <v>0</v>
      </c>
      <c r="AY157" s="220">
        <f t="shared" si="362"/>
        <v>0</v>
      </c>
      <c r="AZ157" s="220">
        <f t="shared" si="363"/>
        <v>0</v>
      </c>
      <c r="BA157" s="220">
        <f t="shared" si="364"/>
        <v>0</v>
      </c>
      <c r="BB157" s="220">
        <f t="shared" si="365"/>
        <v>68</v>
      </c>
      <c r="BC157" s="220">
        <f t="shared" si="366"/>
        <v>20</v>
      </c>
      <c r="BD157" s="216">
        <f t="shared" si="375"/>
        <v>88</v>
      </c>
      <c r="BE157" s="220">
        <f t="shared" si="351"/>
        <v>0</v>
      </c>
      <c r="BF157" s="220">
        <f t="shared" si="352"/>
        <v>0</v>
      </c>
      <c r="BG157" s="220">
        <f t="shared" si="353"/>
        <v>0</v>
      </c>
      <c r="BH157" s="220">
        <f t="shared" si="354"/>
        <v>0</v>
      </c>
      <c r="BI157" s="220">
        <f t="shared" si="355"/>
        <v>0</v>
      </c>
      <c r="BJ157" s="220" t="s">
        <v>44</v>
      </c>
      <c r="BK157" s="220"/>
      <c r="BL157" s="223">
        <f t="shared" si="412"/>
        <v>256.30000000000007</v>
      </c>
      <c r="BM157" s="220">
        <v>6.2</v>
      </c>
      <c r="BN157" s="220"/>
      <c r="BO157" s="220">
        <f t="shared" si="404"/>
        <v>6.2</v>
      </c>
      <c r="BP157" s="220">
        <f>IF(AND(BL157&gt;0,BL157&lt;tiet!$D$1),BL157,IF(BL157&lt;=0,0,IF(BL157&gt;tiet!$C$1,tiet!$C$1)))</f>
        <v>200</v>
      </c>
      <c r="BQ157" s="87">
        <f t="shared" si="376"/>
        <v>75000</v>
      </c>
      <c r="BR157" s="224">
        <f t="shared" si="377"/>
        <v>15000000</v>
      </c>
      <c r="BS157" s="220">
        <f t="shared" si="434"/>
        <v>56.300000000000068</v>
      </c>
      <c r="BT157" s="224">
        <f>VLOOKUP(N157,ma_dinhmuc!$A$1:$J$31,10,0)</f>
        <v>65000</v>
      </c>
      <c r="BU157" s="224">
        <f>ROUND(IF(BS157&gt;0,VLOOKUP(N157,ma_dinhmuc!$A$1:$J$31,10,0)*BS157,0),0)</f>
        <v>3659500</v>
      </c>
      <c r="BV157" s="224">
        <f t="shared" si="378"/>
        <v>18659500</v>
      </c>
      <c r="BW157" s="224"/>
      <c r="BX157" s="224">
        <v>0</v>
      </c>
      <c r="BY157" s="224"/>
      <c r="BZ157" s="224"/>
      <c r="CA157" s="224"/>
      <c r="CB157" s="224"/>
      <c r="CC157" s="225">
        <f t="shared" si="384"/>
        <v>18659500</v>
      </c>
      <c r="CD157" s="224">
        <f t="shared" si="385"/>
        <v>0</v>
      </c>
      <c r="CE157" s="224"/>
      <c r="CF157" s="226"/>
      <c r="CG157" s="87"/>
      <c r="CH157" s="87">
        <f t="shared" si="491"/>
        <v>15</v>
      </c>
      <c r="CI157" s="227" t="str">
        <f t="shared" si="471"/>
        <v>Đỗ Thị</v>
      </c>
      <c r="CJ157" s="227" t="str">
        <f t="shared" si="472"/>
        <v>Tám</v>
      </c>
      <c r="CK157" s="87">
        <f t="shared" si="489"/>
        <v>3</v>
      </c>
      <c r="CL157" s="227" t="str">
        <f t="shared" si="490"/>
        <v>Quy hoạch đất</v>
      </c>
      <c r="CM157" s="87" t="str">
        <f t="shared" si="358"/>
        <v>CS4</v>
      </c>
      <c r="CN157" s="87">
        <f t="shared" si="493"/>
        <v>270</v>
      </c>
      <c r="CO157" s="87">
        <f t="shared" si="494"/>
        <v>170</v>
      </c>
      <c r="CP157" s="229">
        <f t="shared" si="444"/>
        <v>0</v>
      </c>
      <c r="CQ157" s="229">
        <f t="shared" si="445"/>
        <v>14.7</v>
      </c>
      <c r="CR157" s="229">
        <f t="shared" si="446"/>
        <v>5.9</v>
      </c>
      <c r="CS157" s="229">
        <f t="shared" si="447"/>
        <v>16.8</v>
      </c>
      <c r="CT157" s="229">
        <f t="shared" si="448"/>
        <v>0</v>
      </c>
      <c r="CU157" s="229">
        <f t="shared" si="449"/>
        <v>84</v>
      </c>
      <c r="CV157" s="229">
        <f t="shared" si="450"/>
        <v>0</v>
      </c>
      <c r="CW157" s="229">
        <f t="shared" si="451"/>
        <v>0</v>
      </c>
      <c r="CX157" s="229">
        <f t="shared" si="452"/>
        <v>0</v>
      </c>
      <c r="CY157" s="229">
        <f t="shared" si="453"/>
        <v>0</v>
      </c>
      <c r="CZ157" s="229">
        <f t="shared" si="454"/>
        <v>0</v>
      </c>
      <c r="DA157" s="229">
        <f t="shared" si="455"/>
        <v>0</v>
      </c>
      <c r="DB157" s="228">
        <f t="shared" si="423"/>
        <v>121.4</v>
      </c>
      <c r="DC157" s="229"/>
      <c r="DD157" s="229"/>
      <c r="DE157" s="229"/>
      <c r="DF157" s="229"/>
      <c r="DG157" s="229"/>
      <c r="DH157" s="229"/>
      <c r="DI157" s="229"/>
      <c r="DJ157" s="229"/>
      <c r="DK157" s="229"/>
      <c r="DL157" s="229"/>
      <c r="DM157" s="229"/>
      <c r="DN157" s="229"/>
      <c r="DO157" s="228">
        <f t="shared" si="436"/>
        <v>0</v>
      </c>
      <c r="DP157" s="228">
        <f t="shared" si="437"/>
        <v>121.4</v>
      </c>
      <c r="DQ157" s="229">
        <f t="shared" si="456"/>
        <v>378</v>
      </c>
      <c r="DR157" s="229">
        <f t="shared" si="457"/>
        <v>19.100000000000001</v>
      </c>
      <c r="DS157" s="229">
        <f t="shared" si="458"/>
        <v>0</v>
      </c>
      <c r="DT157" s="229">
        <f t="shared" si="459"/>
        <v>7.8</v>
      </c>
      <c r="DU157" s="229">
        <f t="shared" si="460"/>
        <v>0</v>
      </c>
      <c r="DV157" s="229">
        <f t="shared" si="461"/>
        <v>68</v>
      </c>
      <c r="DW157" s="229">
        <f t="shared" si="462"/>
        <v>20</v>
      </c>
      <c r="DX157" s="228">
        <f t="shared" si="424"/>
        <v>492.90000000000003</v>
      </c>
      <c r="DY157" s="229"/>
      <c r="DZ157" s="229"/>
      <c r="EA157" s="229"/>
      <c r="EB157" s="229"/>
      <c r="EC157" s="229"/>
      <c r="ED157" s="229"/>
      <c r="EE157" s="229"/>
      <c r="EF157" s="228">
        <f t="shared" si="438"/>
        <v>0</v>
      </c>
      <c r="EG157" s="228">
        <f t="shared" si="439"/>
        <v>492.90000000000003</v>
      </c>
      <c r="EH157" s="229">
        <f t="shared" si="440"/>
        <v>38.75</v>
      </c>
      <c r="EI157" s="229">
        <v>166.25</v>
      </c>
      <c r="EJ157" s="228">
        <f t="shared" ref="EJ157:EJ166" si="495">SUM(EH157:EI157)</f>
        <v>205</v>
      </c>
      <c r="EK157" s="229"/>
      <c r="EL157" s="229"/>
      <c r="EM157" s="228">
        <f t="shared" si="398"/>
        <v>0</v>
      </c>
      <c r="EN157" s="229">
        <f t="shared" si="413"/>
        <v>38.75</v>
      </c>
      <c r="EO157" s="229">
        <f t="shared" si="388"/>
        <v>166.25</v>
      </c>
      <c r="EP157" s="228">
        <f t="shared" ref="EP157:EP169" si="496">EM157+EJ157</f>
        <v>205</v>
      </c>
      <c r="EQ157" s="173">
        <f t="shared" si="441"/>
        <v>0</v>
      </c>
      <c r="ER157" s="189">
        <v>0</v>
      </c>
      <c r="ES157" s="189">
        <v>14.7</v>
      </c>
      <c r="ET157" s="189">
        <v>5.9</v>
      </c>
      <c r="EU157" s="189">
        <v>16.8</v>
      </c>
      <c r="EV157" s="189">
        <v>0</v>
      </c>
      <c r="EW157" s="189">
        <v>84</v>
      </c>
      <c r="EX157" s="189">
        <v>0</v>
      </c>
      <c r="EY157" s="189">
        <v>0</v>
      </c>
      <c r="EZ157" s="189">
        <v>0</v>
      </c>
      <c r="FA157" s="189">
        <v>0</v>
      </c>
      <c r="FB157" s="189">
        <v>0</v>
      </c>
      <c r="FC157" s="189">
        <v>0</v>
      </c>
      <c r="FD157" s="189">
        <v>378</v>
      </c>
      <c r="FE157" s="189">
        <v>19.100000000000001</v>
      </c>
      <c r="FF157" s="189">
        <v>0</v>
      </c>
      <c r="FG157" s="189">
        <v>7.8</v>
      </c>
      <c r="FH157" s="189">
        <v>68</v>
      </c>
      <c r="FI157" s="189">
        <v>0</v>
      </c>
      <c r="FJ157" s="189">
        <v>20</v>
      </c>
      <c r="FK157" s="189">
        <v>614.29999999999995</v>
      </c>
      <c r="FL157" s="189">
        <v>420.8</v>
      </c>
      <c r="FN157" s="132">
        <v>38.75</v>
      </c>
    </row>
    <row r="158" spans="1:170" ht="30" customHeight="1">
      <c r="A158" s="88">
        <f>COUNTIF($H$12:H158,H158)</f>
        <v>16</v>
      </c>
      <c r="B158" s="88" t="s">
        <v>66</v>
      </c>
      <c r="C158" s="88" t="s">
        <v>2624</v>
      </c>
      <c r="D158" s="88"/>
      <c r="E158" s="88"/>
      <c r="F158" s="301" t="s">
        <v>724</v>
      </c>
      <c r="G158" s="303" t="s">
        <v>1649</v>
      </c>
      <c r="H158" s="88">
        <v>3</v>
      </c>
      <c r="I158" s="88">
        <v>3</v>
      </c>
      <c r="J158" s="88">
        <v>3</v>
      </c>
      <c r="K158" s="90" t="s">
        <v>1621</v>
      </c>
      <c r="L158" s="90" t="s">
        <v>1621</v>
      </c>
      <c r="M158" s="214"/>
      <c r="N158" s="88" t="s">
        <v>1804</v>
      </c>
      <c r="O158" s="216">
        <f t="shared" si="463"/>
        <v>3</v>
      </c>
      <c r="P158" s="88" t="str">
        <f t="shared" si="468"/>
        <v>B1_3</v>
      </c>
      <c r="Q158" s="88">
        <f t="shared" si="331"/>
        <v>270</v>
      </c>
      <c r="R158" s="88">
        <f t="shared" si="332"/>
        <v>100</v>
      </c>
      <c r="S158" s="233" t="s">
        <v>3133</v>
      </c>
      <c r="T158" s="88" t="s">
        <v>2961</v>
      </c>
      <c r="U158" s="88">
        <f>IF(RIGHT(T158,1)="K",(VLOOKUP(T158,ma_miengiam!$A$3:$B$80,2,0)*100)/2,VLOOKUP(T158,ma_miengiam!$A$3:$B$80,2,0)*100)</f>
        <v>100</v>
      </c>
      <c r="V158" s="88"/>
      <c r="W158" s="220">
        <f>IF(AND(T158="NTS",V158&gt;0),(Q158-(Q158*V158)/12)*VLOOKUP(T158,ma_miengiam!$A$3:$B$80,2,0)+(Q158-(Q158*(12-V158))/12),IF(AND(RIGHT(T158,1)="K",V158&gt;0),(VLOOKUP(T158,ma_miengiam!$A$3:$B$80,2,0)/2)*(Q158*V158)/12,IF(RIGHT(T158,1)="K",(VLOOKUP(T158,ma_miengiam!$A$3:$B$80,2,0)*Q158)/2,IF(V158&gt;0,VLOOKUP(T158,ma_miengiam!$A$3:$B$80,2,0)*Q158*V158/12,VLOOKUP(T158,ma_miengiam!$A$3:$B$80,2,0)*Q158))))</f>
        <v>270</v>
      </c>
      <c r="X158" s="220">
        <f>IF(T158="NTS",VLOOKUP(T158,ma_miengiam!$A$3:$B$80,2,0)*R158*V158,IF(AND(T158="NTS",V158=0),0,IF(AND(LEFT(T158,1)="K",V158=0),VLOOKUP(T158,ma_miengiam!$A$3:$B$80,2,0)*R158,IF(LEFT(T158,1)="K",(VLOOKUP(T158,ma_miengiam!$A$3:$B$80,2,0)*R158/12)*V158,IF(AND(LEFT(T158,1)="S",V158&gt;0),(R158/12)*V158,IF(AND(LEFT(T158,1)="S",V158=0),R158,IF(T158="DH",VLOOKUP(T158,ma_miengiam!$A$3:$B$80,2,0)*R158,0)))))))</f>
        <v>100</v>
      </c>
      <c r="Y158" s="220">
        <f t="shared" si="488"/>
        <v>0</v>
      </c>
      <c r="Z158" s="220">
        <f t="shared" si="337"/>
        <v>0</v>
      </c>
      <c r="AA158" s="220">
        <f t="shared" ref="AA158:AB160" si="497">Q158</f>
        <v>270</v>
      </c>
      <c r="AB158" s="220">
        <f t="shared" si="497"/>
        <v>100</v>
      </c>
      <c r="AC158" s="220">
        <f t="shared" ref="AC158:AF159" si="498">W158</f>
        <v>270</v>
      </c>
      <c r="AD158" s="220">
        <f t="shared" si="498"/>
        <v>100</v>
      </c>
      <c r="AE158" s="220">
        <f t="shared" si="498"/>
        <v>0</v>
      </c>
      <c r="AF158" s="220">
        <f t="shared" si="498"/>
        <v>0</v>
      </c>
      <c r="AG158" s="220">
        <f t="shared" si="481"/>
        <v>131.74333333333334</v>
      </c>
      <c r="AH158" s="220">
        <f t="shared" si="482"/>
        <v>131.74333333333334</v>
      </c>
      <c r="AI158" s="220">
        <f t="shared" si="483"/>
        <v>0</v>
      </c>
      <c r="AJ158" s="220">
        <f t="shared" si="380"/>
        <v>0</v>
      </c>
      <c r="AK158" s="216">
        <f t="shared" si="410"/>
        <v>0</v>
      </c>
      <c r="AL158" s="220">
        <f t="shared" si="425"/>
        <v>0</v>
      </c>
      <c r="AM158" s="220">
        <f t="shared" si="426"/>
        <v>0</v>
      </c>
      <c r="AN158" s="216">
        <f t="shared" si="427"/>
        <v>0</v>
      </c>
      <c r="AO158" s="220">
        <f t="shared" si="428"/>
        <v>0</v>
      </c>
      <c r="AP158" s="220">
        <f t="shared" si="429"/>
        <v>0</v>
      </c>
      <c r="AQ158" s="220">
        <f t="shared" si="430"/>
        <v>0</v>
      </c>
      <c r="AR158" s="220">
        <f t="shared" si="431"/>
        <v>0</v>
      </c>
      <c r="AS158" s="220">
        <f t="shared" si="432"/>
        <v>0</v>
      </c>
      <c r="AT158" s="216">
        <f t="shared" si="433"/>
        <v>0</v>
      </c>
      <c r="AU158" s="220">
        <f t="shared" si="395"/>
        <v>0</v>
      </c>
      <c r="AV158" s="220"/>
      <c r="AW158" s="220">
        <f t="shared" si="350"/>
        <v>0</v>
      </c>
      <c r="AX158" s="216">
        <f t="shared" si="411"/>
        <v>0</v>
      </c>
      <c r="AY158" s="220">
        <f t="shared" si="362"/>
        <v>0</v>
      </c>
      <c r="AZ158" s="220">
        <f t="shared" si="363"/>
        <v>0</v>
      </c>
      <c r="BA158" s="220">
        <f t="shared" si="364"/>
        <v>0</v>
      </c>
      <c r="BB158" s="220">
        <f t="shared" si="365"/>
        <v>0</v>
      </c>
      <c r="BC158" s="220">
        <f t="shared" si="366"/>
        <v>0</v>
      </c>
      <c r="BD158" s="216">
        <f t="shared" si="375"/>
        <v>0</v>
      </c>
      <c r="BE158" s="220">
        <f t="shared" si="351"/>
        <v>0</v>
      </c>
      <c r="BF158" s="220">
        <f t="shared" si="352"/>
        <v>0</v>
      </c>
      <c r="BG158" s="220">
        <f t="shared" si="353"/>
        <v>0</v>
      </c>
      <c r="BH158" s="220">
        <f t="shared" si="354"/>
        <v>0</v>
      </c>
      <c r="BI158" s="220">
        <f t="shared" si="355"/>
        <v>0</v>
      </c>
      <c r="BJ158" s="220" t="s">
        <v>44</v>
      </c>
      <c r="BK158" s="220"/>
      <c r="BL158" s="223">
        <f t="shared" si="412"/>
        <v>0</v>
      </c>
      <c r="BM158" s="220">
        <v>3</v>
      </c>
      <c r="BN158" s="220"/>
      <c r="BO158" s="220">
        <f t="shared" si="404"/>
        <v>3</v>
      </c>
      <c r="BP158" s="220">
        <f>IF(AND(BL158&gt;0,BL158&lt;tiet!$D$1),BL158,IF(BL158&lt;=0,0,IF(BL158&gt;tiet!$C$1,tiet!$C$1)))</f>
        <v>0</v>
      </c>
      <c r="BQ158" s="87">
        <f t="shared" si="376"/>
        <v>60000</v>
      </c>
      <c r="BR158" s="224">
        <f t="shared" si="377"/>
        <v>0</v>
      </c>
      <c r="BS158" s="220">
        <f t="shared" si="434"/>
        <v>0</v>
      </c>
      <c r="BT158" s="224">
        <f>VLOOKUP(N158,ma_dinhmuc!$A$1:$J$31,10,0)</f>
        <v>51000</v>
      </c>
      <c r="BU158" s="224">
        <f>ROUND(IF(BS158&gt;0,VLOOKUP(N158,ma_dinhmuc!$A$1:$J$31,10,0)*BS158,0),0)</f>
        <v>0</v>
      </c>
      <c r="BV158" s="224">
        <f t="shared" si="378"/>
        <v>0</v>
      </c>
      <c r="BW158" s="224"/>
      <c r="BX158" s="224">
        <v>0</v>
      </c>
      <c r="BY158" s="224"/>
      <c r="BZ158" s="224"/>
      <c r="CA158" s="224"/>
      <c r="CB158" s="224"/>
      <c r="CC158" s="225">
        <f t="shared" si="384"/>
        <v>0</v>
      </c>
      <c r="CD158" s="224">
        <f t="shared" si="385"/>
        <v>0</v>
      </c>
      <c r="CE158" s="224"/>
      <c r="CF158" s="226"/>
      <c r="CG158" s="87"/>
      <c r="CH158" s="87">
        <f t="shared" si="491"/>
        <v>16</v>
      </c>
      <c r="CI158" s="227" t="str">
        <f t="shared" si="471"/>
        <v>Vũ Thị</v>
      </c>
      <c r="CJ158" s="227" t="str">
        <f t="shared" si="472"/>
        <v>Thu</v>
      </c>
      <c r="CK158" s="87">
        <f t="shared" si="489"/>
        <v>3</v>
      </c>
      <c r="CL158" s="227" t="str">
        <f t="shared" si="490"/>
        <v>Quy hoạch đất</v>
      </c>
      <c r="CM158" s="87" t="str">
        <f t="shared" si="358"/>
        <v>CS2</v>
      </c>
      <c r="CN158" s="87">
        <f t="shared" si="493"/>
        <v>270</v>
      </c>
      <c r="CO158" s="87">
        <f t="shared" si="494"/>
        <v>100</v>
      </c>
      <c r="CP158" s="229">
        <f t="shared" si="444"/>
        <v>0</v>
      </c>
      <c r="CQ158" s="229">
        <f t="shared" si="445"/>
        <v>0</v>
      </c>
      <c r="CR158" s="229">
        <f t="shared" si="446"/>
        <v>0</v>
      </c>
      <c r="CS158" s="229">
        <f t="shared" si="447"/>
        <v>0</v>
      </c>
      <c r="CT158" s="229">
        <f t="shared" si="448"/>
        <v>0</v>
      </c>
      <c r="CU158" s="229">
        <f t="shared" si="449"/>
        <v>0</v>
      </c>
      <c r="CV158" s="229">
        <f t="shared" si="450"/>
        <v>0</v>
      </c>
      <c r="CW158" s="229">
        <f t="shared" si="451"/>
        <v>0</v>
      </c>
      <c r="CX158" s="229">
        <f t="shared" si="452"/>
        <v>0</v>
      </c>
      <c r="CY158" s="229">
        <f t="shared" si="453"/>
        <v>0</v>
      </c>
      <c r="CZ158" s="229">
        <f t="shared" si="454"/>
        <v>0</v>
      </c>
      <c r="DA158" s="229">
        <f t="shared" si="455"/>
        <v>0</v>
      </c>
      <c r="DB158" s="228">
        <f t="shared" si="423"/>
        <v>0</v>
      </c>
      <c r="DC158" s="229"/>
      <c r="DD158" s="229"/>
      <c r="DE158" s="229"/>
      <c r="DF158" s="229"/>
      <c r="DG158" s="229"/>
      <c r="DH158" s="229"/>
      <c r="DI158" s="229"/>
      <c r="DJ158" s="229"/>
      <c r="DK158" s="229"/>
      <c r="DL158" s="229"/>
      <c r="DM158" s="229"/>
      <c r="DN158" s="229"/>
      <c r="DO158" s="228">
        <f t="shared" si="436"/>
        <v>0</v>
      </c>
      <c r="DP158" s="228">
        <f t="shared" si="437"/>
        <v>0</v>
      </c>
      <c r="DQ158" s="229">
        <f t="shared" si="456"/>
        <v>0</v>
      </c>
      <c r="DR158" s="229">
        <f t="shared" si="457"/>
        <v>0</v>
      </c>
      <c r="DS158" s="229">
        <f t="shared" si="458"/>
        <v>0</v>
      </c>
      <c r="DT158" s="229">
        <f t="shared" si="459"/>
        <v>0</v>
      </c>
      <c r="DU158" s="229">
        <f t="shared" si="460"/>
        <v>0</v>
      </c>
      <c r="DV158" s="229">
        <f t="shared" si="461"/>
        <v>0</v>
      </c>
      <c r="DW158" s="229">
        <f t="shared" si="462"/>
        <v>0</v>
      </c>
      <c r="DX158" s="228">
        <f t="shared" si="424"/>
        <v>0</v>
      </c>
      <c r="DY158" s="229"/>
      <c r="DZ158" s="229"/>
      <c r="EA158" s="229"/>
      <c r="EB158" s="229"/>
      <c r="EC158" s="229"/>
      <c r="ED158" s="229"/>
      <c r="EE158" s="229"/>
      <c r="EF158" s="228">
        <f t="shared" si="438"/>
        <v>0</v>
      </c>
      <c r="EG158" s="228">
        <f t="shared" si="439"/>
        <v>0</v>
      </c>
      <c r="EH158" s="229">
        <f t="shared" si="440"/>
        <v>0</v>
      </c>
      <c r="EI158" s="229">
        <v>131.74333333333334</v>
      </c>
      <c r="EJ158" s="228">
        <f t="shared" si="495"/>
        <v>131.74333333333334</v>
      </c>
      <c r="EK158" s="229"/>
      <c r="EL158" s="229"/>
      <c r="EM158" s="228">
        <f t="shared" si="398"/>
        <v>0</v>
      </c>
      <c r="EN158" s="229">
        <f t="shared" si="413"/>
        <v>0</v>
      </c>
      <c r="EO158" s="229">
        <f t="shared" si="388"/>
        <v>131.74333333333334</v>
      </c>
      <c r="EP158" s="228">
        <f t="shared" si="496"/>
        <v>131.74333333333334</v>
      </c>
      <c r="EQ158" s="173">
        <f t="shared" si="441"/>
        <v>0</v>
      </c>
      <c r="ER158" s="189">
        <v>0</v>
      </c>
      <c r="ES158" s="189">
        <v>0</v>
      </c>
      <c r="ET158" s="189">
        <v>0</v>
      </c>
      <c r="EU158" s="189">
        <v>0</v>
      </c>
      <c r="EV158" s="189">
        <v>0</v>
      </c>
      <c r="EW158" s="189">
        <v>0</v>
      </c>
      <c r="EX158" s="189">
        <v>0</v>
      </c>
      <c r="EY158" s="189">
        <v>0</v>
      </c>
      <c r="EZ158" s="189">
        <v>0</v>
      </c>
      <c r="FA158" s="189">
        <v>0</v>
      </c>
      <c r="FB158" s="189">
        <v>0</v>
      </c>
      <c r="FC158" s="189">
        <v>0</v>
      </c>
      <c r="FD158" s="189">
        <v>0</v>
      </c>
      <c r="FE158" s="189">
        <v>0</v>
      </c>
      <c r="FF158" s="189">
        <v>0</v>
      </c>
      <c r="FG158" s="189">
        <v>0</v>
      </c>
      <c r="FH158" s="189">
        <v>0</v>
      </c>
      <c r="FI158" s="189">
        <v>0</v>
      </c>
      <c r="FJ158" s="189">
        <v>0</v>
      </c>
      <c r="FK158" s="189">
        <v>0</v>
      </c>
      <c r="FL158" s="189">
        <v>0</v>
      </c>
      <c r="FN158" s="132">
        <v>0</v>
      </c>
    </row>
    <row r="159" spans="1:170" ht="30" customHeight="1">
      <c r="A159" s="88">
        <f>COUNTIF($H$12:H159,H159)</f>
        <v>17</v>
      </c>
      <c r="B159" s="88" t="s">
        <v>67</v>
      </c>
      <c r="C159" s="88" t="s">
        <v>2625</v>
      </c>
      <c r="D159" s="88"/>
      <c r="E159" s="88" t="s">
        <v>354</v>
      </c>
      <c r="F159" s="301" t="s">
        <v>2832</v>
      </c>
      <c r="G159" s="89" t="s">
        <v>2833</v>
      </c>
      <c r="H159" s="88">
        <v>3</v>
      </c>
      <c r="I159" s="88">
        <v>3</v>
      </c>
      <c r="J159" s="88">
        <v>3</v>
      </c>
      <c r="K159" s="90" t="s">
        <v>1621</v>
      </c>
      <c r="L159" s="90" t="s">
        <v>1621</v>
      </c>
      <c r="M159" s="214"/>
      <c r="N159" s="88" t="s">
        <v>605</v>
      </c>
      <c r="O159" s="216">
        <f t="shared" si="463"/>
        <v>6.92</v>
      </c>
      <c r="P159" s="88" t="str">
        <f t="shared" si="468"/>
        <v>B1_7</v>
      </c>
      <c r="Q159" s="88">
        <f t="shared" si="331"/>
        <v>270</v>
      </c>
      <c r="R159" s="88">
        <f t="shared" si="332"/>
        <v>200</v>
      </c>
      <c r="S159" s="218" t="s">
        <v>158</v>
      </c>
      <c r="T159" s="219" t="s">
        <v>1752</v>
      </c>
      <c r="U159" s="88">
        <f>IF(RIGHT(T159,1)="K",(VLOOKUP(T159,ma_miengiam!$A$3:$B$80,2,0)*100)/2,VLOOKUP(T159,ma_miengiam!$A$3:$B$80,2,0)*100)</f>
        <v>20</v>
      </c>
      <c r="V159" s="88"/>
      <c r="W159" s="220">
        <f>IF(AND(T159="NTS",V159&gt;0),(Q159-(Q159*V159)/12)*VLOOKUP(T159,ma_miengiam!$A$3:$B$80,2,0)+(Q159-(Q159*(12-V159))/12),IF(AND(RIGHT(T159,1)="K",V159&gt;0),(VLOOKUP(T159,ma_miengiam!$A$3:$B$80,2,0)/2)*(Q159*V159)/12,IF(RIGHT(T159,1)="K",(VLOOKUP(T159,ma_miengiam!$A$3:$B$80,2,0)*Q159)/2,IF(V159&gt;0,VLOOKUP(T159,ma_miengiam!$A$3:$B$80,2,0)*Q159*V159/12,VLOOKUP(T159,ma_miengiam!$A$3:$B$80,2,0)*Q159))))</f>
        <v>54</v>
      </c>
      <c r="X159" s="220">
        <f>IF(T159="NTS",VLOOKUP(T159,ma_miengiam!$A$3:$B$80,2,0)*R159*V159,IF(AND(T159="NTS",V159=0),0,IF(AND(LEFT(T159,1)="K",V159=0),VLOOKUP(T159,ma_miengiam!$A$3:$B$80,2,0)*R159,IF(LEFT(T159,1)="K",(VLOOKUP(T159,ma_miengiam!$A$3:$B$80,2,0)*R159/12)*V159,IF(AND(LEFT(T159,1)="S",V159&gt;0),(R159/12)*V159,IF(AND(LEFT(T159,1)="S",V159=0),R159,IF(T159="DH",VLOOKUP(T159,ma_miengiam!$A$3:$B$80,2,0)*R159,0)))))))</f>
        <v>40</v>
      </c>
      <c r="Y159" s="220">
        <f t="shared" si="488"/>
        <v>216</v>
      </c>
      <c r="Z159" s="220">
        <f t="shared" si="337"/>
        <v>160</v>
      </c>
      <c r="AA159" s="220">
        <f t="shared" si="497"/>
        <v>270</v>
      </c>
      <c r="AB159" s="220">
        <f t="shared" si="497"/>
        <v>200</v>
      </c>
      <c r="AC159" s="220">
        <f t="shared" si="498"/>
        <v>54</v>
      </c>
      <c r="AD159" s="220">
        <f t="shared" si="498"/>
        <v>40</v>
      </c>
      <c r="AE159" s="220">
        <f t="shared" si="498"/>
        <v>216</v>
      </c>
      <c r="AF159" s="220">
        <f t="shared" si="498"/>
        <v>160</v>
      </c>
      <c r="AG159" s="220">
        <f t="shared" si="481"/>
        <v>78.75</v>
      </c>
      <c r="AH159" s="220">
        <f t="shared" si="482"/>
        <v>38.75</v>
      </c>
      <c r="AI159" s="220">
        <f t="shared" si="483"/>
        <v>40</v>
      </c>
      <c r="AJ159" s="220">
        <f t="shared" si="380"/>
        <v>-81.25</v>
      </c>
      <c r="AK159" s="216">
        <f t="shared" si="410"/>
        <v>297.25</v>
      </c>
      <c r="AL159" s="220">
        <f t="shared" si="425"/>
        <v>31.8</v>
      </c>
      <c r="AM159" s="220">
        <f t="shared" si="426"/>
        <v>374.7</v>
      </c>
      <c r="AN159" s="221">
        <f t="shared" si="427"/>
        <v>406.5</v>
      </c>
      <c r="AO159" s="220">
        <f t="shared" si="428"/>
        <v>0</v>
      </c>
      <c r="AP159" s="220">
        <f t="shared" si="429"/>
        <v>0</v>
      </c>
      <c r="AQ159" s="220">
        <f t="shared" si="430"/>
        <v>20</v>
      </c>
      <c r="AR159" s="220">
        <f t="shared" si="431"/>
        <v>160</v>
      </c>
      <c r="AS159" s="220">
        <f t="shared" si="432"/>
        <v>0</v>
      </c>
      <c r="AT159" s="216">
        <f t="shared" si="433"/>
        <v>586.5</v>
      </c>
      <c r="AU159" s="222">
        <f t="shared" si="395"/>
        <v>109.25</v>
      </c>
      <c r="AV159" s="220"/>
      <c r="AW159" s="220">
        <f t="shared" si="350"/>
        <v>109.25</v>
      </c>
      <c r="AX159" s="216">
        <f t="shared" si="411"/>
        <v>0</v>
      </c>
      <c r="AY159" s="220">
        <f t="shared" si="362"/>
        <v>0</v>
      </c>
      <c r="AZ159" s="220">
        <f t="shared" si="363"/>
        <v>0</v>
      </c>
      <c r="BA159" s="220">
        <f t="shared" si="364"/>
        <v>20</v>
      </c>
      <c r="BB159" s="220">
        <f t="shared" si="365"/>
        <v>160</v>
      </c>
      <c r="BC159" s="220">
        <f t="shared" si="366"/>
        <v>0</v>
      </c>
      <c r="BD159" s="216">
        <f t="shared" si="375"/>
        <v>180</v>
      </c>
      <c r="BE159" s="220">
        <f t="shared" si="351"/>
        <v>0</v>
      </c>
      <c r="BF159" s="220">
        <f t="shared" si="352"/>
        <v>0</v>
      </c>
      <c r="BG159" s="220">
        <f t="shared" si="353"/>
        <v>0</v>
      </c>
      <c r="BH159" s="220">
        <f t="shared" si="354"/>
        <v>0</v>
      </c>
      <c r="BI159" s="220">
        <f t="shared" si="355"/>
        <v>0</v>
      </c>
      <c r="BJ159" s="220" t="s">
        <v>44</v>
      </c>
      <c r="BK159" s="220"/>
      <c r="BL159" s="223">
        <f t="shared" si="412"/>
        <v>109.25</v>
      </c>
      <c r="BM159" s="220">
        <v>6.92</v>
      </c>
      <c r="BN159" s="220"/>
      <c r="BO159" s="220">
        <f t="shared" si="404"/>
        <v>6.92</v>
      </c>
      <c r="BP159" s="220">
        <f>IF(AND(BL159&gt;0,BL159&lt;tiet!$D$1),BL159,IF(BL159&lt;=0,0,IF(BL159&gt;tiet!$C$1,tiet!$C$1)))</f>
        <v>109.25</v>
      </c>
      <c r="BQ159" s="87">
        <f t="shared" si="376"/>
        <v>80000</v>
      </c>
      <c r="BR159" s="224">
        <f t="shared" si="377"/>
        <v>8740000</v>
      </c>
      <c r="BS159" s="220">
        <f t="shared" si="434"/>
        <v>0</v>
      </c>
      <c r="BT159" s="224">
        <f>VLOOKUP(N159,ma_dinhmuc!$A$1:$J$31,10,0)</f>
        <v>65000</v>
      </c>
      <c r="BU159" s="224">
        <f>ROUND(IF(BS159&gt;0,VLOOKUP(N159,ma_dinhmuc!$A$1:$J$31,10,0)*BS159,0),0)</f>
        <v>0</v>
      </c>
      <c r="BV159" s="224">
        <f t="shared" si="378"/>
        <v>8740000</v>
      </c>
      <c r="BW159" s="224"/>
      <c r="BX159" s="224">
        <v>0</v>
      </c>
      <c r="BY159" s="224"/>
      <c r="BZ159" s="224"/>
      <c r="CA159" s="224"/>
      <c r="CB159" s="224"/>
      <c r="CC159" s="225">
        <f t="shared" si="384"/>
        <v>8740000</v>
      </c>
      <c r="CD159" s="224">
        <f t="shared" si="385"/>
        <v>0</v>
      </c>
      <c r="CE159" s="224"/>
      <c r="CF159" s="226"/>
      <c r="CG159" s="87"/>
      <c r="CH159" s="87">
        <f t="shared" si="491"/>
        <v>17</v>
      </c>
      <c r="CI159" s="227" t="str">
        <f t="shared" si="471"/>
        <v>Nguyễn Quang</v>
      </c>
      <c r="CJ159" s="227" t="str">
        <f t="shared" si="472"/>
        <v>Học</v>
      </c>
      <c r="CK159" s="87">
        <f t="shared" si="489"/>
        <v>3</v>
      </c>
      <c r="CL159" s="227" t="str">
        <f t="shared" si="490"/>
        <v>Quy hoạch đất</v>
      </c>
      <c r="CM159" s="87" t="str">
        <f t="shared" si="358"/>
        <v>CS4</v>
      </c>
      <c r="CN159" s="87">
        <f t="shared" si="493"/>
        <v>270</v>
      </c>
      <c r="CO159" s="87">
        <f t="shared" si="494"/>
        <v>200</v>
      </c>
      <c r="CP159" s="229">
        <f t="shared" si="444"/>
        <v>0</v>
      </c>
      <c r="CQ159" s="229">
        <f t="shared" si="445"/>
        <v>0</v>
      </c>
      <c r="CR159" s="229">
        <f t="shared" si="446"/>
        <v>0</v>
      </c>
      <c r="CS159" s="229">
        <f t="shared" si="447"/>
        <v>16.8</v>
      </c>
      <c r="CT159" s="229">
        <f t="shared" si="448"/>
        <v>0</v>
      </c>
      <c r="CU159" s="229">
        <f t="shared" si="449"/>
        <v>0</v>
      </c>
      <c r="CV159" s="229">
        <f t="shared" si="450"/>
        <v>0</v>
      </c>
      <c r="CW159" s="229">
        <f t="shared" si="451"/>
        <v>15</v>
      </c>
      <c r="CX159" s="229">
        <f t="shared" si="452"/>
        <v>0</v>
      </c>
      <c r="CY159" s="229">
        <f t="shared" si="453"/>
        <v>0</v>
      </c>
      <c r="CZ159" s="229">
        <f t="shared" si="454"/>
        <v>0</v>
      </c>
      <c r="DA159" s="229">
        <f t="shared" si="455"/>
        <v>20</v>
      </c>
      <c r="DB159" s="228">
        <f t="shared" si="423"/>
        <v>51.8</v>
      </c>
      <c r="DC159" s="229"/>
      <c r="DD159" s="229"/>
      <c r="DE159" s="229"/>
      <c r="DF159" s="229"/>
      <c r="DG159" s="229"/>
      <c r="DH159" s="229"/>
      <c r="DI159" s="229"/>
      <c r="DJ159" s="229"/>
      <c r="DK159" s="229"/>
      <c r="DL159" s="229"/>
      <c r="DM159" s="229"/>
      <c r="DN159" s="229"/>
      <c r="DO159" s="228">
        <f t="shared" si="436"/>
        <v>0</v>
      </c>
      <c r="DP159" s="228">
        <f t="shared" si="437"/>
        <v>51.8</v>
      </c>
      <c r="DQ159" s="229">
        <f t="shared" si="456"/>
        <v>360</v>
      </c>
      <c r="DR159" s="229">
        <f t="shared" si="457"/>
        <v>10.5</v>
      </c>
      <c r="DS159" s="229">
        <f t="shared" si="458"/>
        <v>0</v>
      </c>
      <c r="DT159" s="229">
        <f t="shared" si="459"/>
        <v>4.2</v>
      </c>
      <c r="DU159" s="229">
        <f t="shared" si="460"/>
        <v>0</v>
      </c>
      <c r="DV159" s="229">
        <f t="shared" si="461"/>
        <v>160</v>
      </c>
      <c r="DW159" s="229">
        <f t="shared" si="462"/>
        <v>0</v>
      </c>
      <c r="DX159" s="228">
        <f t="shared" si="424"/>
        <v>534.70000000000005</v>
      </c>
      <c r="DY159" s="229"/>
      <c r="DZ159" s="229"/>
      <c r="EA159" s="229"/>
      <c r="EB159" s="229"/>
      <c r="EC159" s="229"/>
      <c r="ED159" s="229"/>
      <c r="EE159" s="229"/>
      <c r="EF159" s="228">
        <f t="shared" si="438"/>
        <v>0</v>
      </c>
      <c r="EG159" s="228">
        <f t="shared" si="439"/>
        <v>534.70000000000005</v>
      </c>
      <c r="EH159" s="229">
        <f t="shared" si="440"/>
        <v>40</v>
      </c>
      <c r="EI159" s="229">
        <v>38.75</v>
      </c>
      <c r="EJ159" s="228">
        <f t="shared" si="495"/>
        <v>78.75</v>
      </c>
      <c r="EK159" s="229"/>
      <c r="EL159" s="229"/>
      <c r="EM159" s="228">
        <f t="shared" si="398"/>
        <v>0</v>
      </c>
      <c r="EN159" s="229">
        <f t="shared" si="413"/>
        <v>40</v>
      </c>
      <c r="EO159" s="229">
        <f t="shared" si="388"/>
        <v>38.75</v>
      </c>
      <c r="EP159" s="228">
        <f t="shared" si="496"/>
        <v>78.75</v>
      </c>
      <c r="EQ159" s="173">
        <f t="shared" si="441"/>
        <v>0</v>
      </c>
      <c r="ER159" s="189">
        <v>0</v>
      </c>
      <c r="ES159" s="189">
        <v>0</v>
      </c>
      <c r="ET159" s="189">
        <v>0</v>
      </c>
      <c r="EU159" s="189">
        <v>16.8</v>
      </c>
      <c r="EV159" s="189">
        <v>0</v>
      </c>
      <c r="EW159" s="189">
        <v>0</v>
      </c>
      <c r="EX159" s="189">
        <v>0</v>
      </c>
      <c r="EY159" s="189">
        <v>15</v>
      </c>
      <c r="EZ159" s="189">
        <v>0</v>
      </c>
      <c r="FA159" s="189">
        <v>0</v>
      </c>
      <c r="FB159" s="189">
        <v>0</v>
      </c>
      <c r="FC159" s="189">
        <v>20</v>
      </c>
      <c r="FD159" s="189">
        <v>360</v>
      </c>
      <c r="FE159" s="189">
        <v>10.5</v>
      </c>
      <c r="FF159" s="189">
        <v>0</v>
      </c>
      <c r="FG159" s="189">
        <v>4.2</v>
      </c>
      <c r="FH159" s="189">
        <v>160</v>
      </c>
      <c r="FI159" s="189">
        <v>0</v>
      </c>
      <c r="FJ159" s="189">
        <v>0</v>
      </c>
      <c r="FK159" s="189">
        <v>586.5</v>
      </c>
      <c r="FL159" s="189">
        <v>423.8</v>
      </c>
      <c r="FN159" s="132">
        <v>40</v>
      </c>
    </row>
    <row r="160" spans="1:170" ht="30" customHeight="1">
      <c r="A160" s="88">
        <f>COUNTIF($H$12:H160,H160)</f>
        <v>18</v>
      </c>
      <c r="B160" s="88" t="s">
        <v>68</v>
      </c>
      <c r="C160" s="88" t="s">
        <v>2626</v>
      </c>
      <c r="D160" s="88"/>
      <c r="E160" s="88"/>
      <c r="F160" s="301" t="s">
        <v>2834</v>
      </c>
      <c r="G160" s="303" t="s">
        <v>1176</v>
      </c>
      <c r="H160" s="88">
        <v>3</v>
      </c>
      <c r="I160" s="88">
        <v>3</v>
      </c>
      <c r="J160" s="88">
        <v>3</v>
      </c>
      <c r="K160" s="90" t="s">
        <v>1621</v>
      </c>
      <c r="L160" s="90" t="s">
        <v>1621</v>
      </c>
      <c r="M160" s="214"/>
      <c r="N160" s="88" t="s">
        <v>1804</v>
      </c>
      <c r="O160" s="216">
        <f>BO160</f>
        <v>3</v>
      </c>
      <c r="P160" s="88" t="str">
        <f t="shared" si="468"/>
        <v>B1_3</v>
      </c>
      <c r="Q160" s="88">
        <f t="shared" si="331"/>
        <v>270</v>
      </c>
      <c r="R160" s="88">
        <f t="shared" si="332"/>
        <v>100</v>
      </c>
      <c r="S160" s="233"/>
      <c r="T160" s="88" t="s">
        <v>3088</v>
      </c>
      <c r="U160" s="88">
        <f>IF(RIGHT(T160,1)="K",(VLOOKUP(T160,ma_miengiam!$A$3:$B$80,2,0)*100)/2,VLOOKUP(T160,ma_miengiam!$A$3:$B$80,2,0)*100)</f>
        <v>0</v>
      </c>
      <c r="V160" s="88"/>
      <c r="W160" s="220">
        <f>IF(AND(T160="NTS",V160&gt;0),(Q160-(Q160*V160)/12)*VLOOKUP(T160,ma_miengiam!$A$3:$B$80,2,0)+(Q160-(Q160*(12-V160))/12),IF(AND(RIGHT(T160,1)="K",V160&gt;0),(VLOOKUP(T160,ma_miengiam!$A$3:$B$80,2,0)/2)*(Q160*V160)/12,IF(RIGHT(T160,1)="K",(VLOOKUP(T160,ma_miengiam!$A$3:$B$80,2,0)*Q160)/2,IF(V160&gt;0,VLOOKUP(T160,ma_miengiam!$A$3:$B$80,2,0)*Q160*V160/12,VLOOKUP(T160,ma_miengiam!$A$3:$B$80,2,0)*Q160))))</f>
        <v>0</v>
      </c>
      <c r="X160" s="220">
        <f>IF(T160="NTS",VLOOKUP(T160,ma_miengiam!$A$3:$B$80,2,0)*R160*V160,IF(AND(T160="NTS",V160=0),0,IF(AND(LEFT(T160,1)="K",V160=0),VLOOKUP(T160,ma_miengiam!$A$3:$B$80,2,0)*R160,IF(LEFT(T160,1)="K",(VLOOKUP(T160,ma_miengiam!$A$3:$B$80,2,0)*R160/12)*V160,IF(AND(LEFT(T160,1)="S",V160&gt;0),(R160/12)*V160,IF(AND(LEFT(T160,1)="S",V160=0),R160,IF(T160="DH",VLOOKUP(T160,ma_miengiam!$A$3:$B$80,2,0)*R160,0)))))))</f>
        <v>0</v>
      </c>
      <c r="Y160" s="220">
        <f t="shared" si="488"/>
        <v>270</v>
      </c>
      <c r="Z160" s="220">
        <f>IF(AND(T160="SĐH",V160&gt;0),(R160/12)*V160-X160,IF(AND(T160="DH",V160&gt;0),(R160*V160/12),IF(AND(T160&lt;&gt;"NTS",V160&gt;0),(R160*V160/12)-X160,IF(AND(T160="NTS",V160&gt;0),R160-X160,R160-X160))))</f>
        <v>100</v>
      </c>
      <c r="AA160" s="220">
        <f t="shared" si="497"/>
        <v>270</v>
      </c>
      <c r="AB160" s="220">
        <f t="shared" si="497"/>
        <v>100</v>
      </c>
      <c r="AC160" s="220">
        <f>W160</f>
        <v>0</v>
      </c>
      <c r="AD160" s="220">
        <f>X160</f>
        <v>0</v>
      </c>
      <c r="AE160" s="220">
        <f>Y160</f>
        <v>270</v>
      </c>
      <c r="AF160" s="220">
        <f>Z160</f>
        <v>100</v>
      </c>
      <c r="AG160" s="220">
        <f>AH160+AI160</f>
        <v>78.41</v>
      </c>
      <c r="AH160" s="220">
        <f>EO160</f>
        <v>48.41</v>
      </c>
      <c r="AI160" s="220">
        <f>EN160</f>
        <v>30</v>
      </c>
      <c r="AJ160" s="220">
        <f>IF(AG160-Z160&gt;0,0,AG160-Z160)</f>
        <v>-21.590000000000003</v>
      </c>
      <c r="AK160" s="216">
        <f t="shared" si="410"/>
        <v>291.59000000000003</v>
      </c>
      <c r="AL160" s="220">
        <f t="shared" si="425"/>
        <v>112.8</v>
      </c>
      <c r="AM160" s="220">
        <f t="shared" si="426"/>
        <v>0</v>
      </c>
      <c r="AN160" s="221">
        <f t="shared" si="427"/>
        <v>112.8</v>
      </c>
      <c r="AO160" s="220">
        <f t="shared" si="428"/>
        <v>0</v>
      </c>
      <c r="AP160" s="220">
        <f t="shared" si="429"/>
        <v>30</v>
      </c>
      <c r="AQ160" s="220">
        <f t="shared" si="430"/>
        <v>40</v>
      </c>
      <c r="AR160" s="220">
        <f t="shared" si="431"/>
        <v>0</v>
      </c>
      <c r="AS160" s="220">
        <f t="shared" si="432"/>
        <v>0</v>
      </c>
      <c r="AT160" s="216">
        <f t="shared" si="433"/>
        <v>182.8</v>
      </c>
      <c r="AU160" s="222">
        <f>AN160-AK160</f>
        <v>-178.79000000000002</v>
      </c>
      <c r="AV160" s="220"/>
      <c r="AW160" s="220">
        <f t="shared" si="350"/>
        <v>-178.79000000000002</v>
      </c>
      <c r="AX160" s="216">
        <f t="shared" si="411"/>
        <v>-178.79000000000002</v>
      </c>
      <c r="AY160" s="220">
        <f t="shared" si="362"/>
        <v>0</v>
      </c>
      <c r="AZ160" s="220">
        <f t="shared" si="363"/>
        <v>0</v>
      </c>
      <c r="BA160" s="220">
        <f t="shared" si="364"/>
        <v>0</v>
      </c>
      <c r="BB160" s="220">
        <f t="shared" si="365"/>
        <v>0</v>
      </c>
      <c r="BC160" s="220">
        <f t="shared" si="366"/>
        <v>0</v>
      </c>
      <c r="BD160" s="216">
        <f t="shared" si="375"/>
        <v>0</v>
      </c>
      <c r="BE160" s="220">
        <f t="shared" si="351"/>
        <v>0</v>
      </c>
      <c r="BF160" s="220">
        <f t="shared" si="352"/>
        <v>-30</v>
      </c>
      <c r="BG160" s="220">
        <f t="shared" si="353"/>
        <v>-40</v>
      </c>
      <c r="BH160" s="220">
        <f t="shared" si="354"/>
        <v>0</v>
      </c>
      <c r="BI160" s="220">
        <f t="shared" si="355"/>
        <v>0</v>
      </c>
      <c r="BJ160" s="220" t="s">
        <v>44</v>
      </c>
      <c r="BK160" s="220"/>
      <c r="BL160" s="223">
        <f t="shared" si="412"/>
        <v>0</v>
      </c>
      <c r="BM160" s="220">
        <v>3</v>
      </c>
      <c r="BN160" s="220"/>
      <c r="BO160" s="220">
        <f t="shared" si="404"/>
        <v>3</v>
      </c>
      <c r="BP160" s="220">
        <f>IF(AND(BL160&gt;0,BL160&lt;tiet!$D$1),BL160,IF(BL160&lt;=0,0,IF(BL160&gt;tiet!$C$1,tiet!$C$1)))</f>
        <v>0</v>
      </c>
      <c r="BQ160" s="87">
        <f>VLOOKUP(P160,ma_dinhmuc_moi,4,0)</f>
        <v>60000</v>
      </c>
      <c r="BR160" s="224">
        <f>ROUND(BQ160*BP160,0)</f>
        <v>0</v>
      </c>
      <c r="BS160" s="220">
        <f t="shared" si="434"/>
        <v>0</v>
      </c>
      <c r="BT160" s="224">
        <f>VLOOKUP(N160,ma_dinhmuc!$A$1:$J$31,10,0)</f>
        <v>51000</v>
      </c>
      <c r="BU160" s="224">
        <f>ROUND(IF(BS160&gt;0,VLOOKUP(N160,ma_dinhmuc!$A$1:$J$31,10,0)*BS160,0),0)</f>
        <v>0</v>
      </c>
      <c r="BV160" s="224">
        <f>ROUND(BU160+BR160,0)</f>
        <v>0</v>
      </c>
      <c r="BW160" s="224"/>
      <c r="BX160" s="224">
        <v>0</v>
      </c>
      <c r="BY160" s="224"/>
      <c r="BZ160" s="224"/>
      <c r="CA160" s="224"/>
      <c r="CB160" s="224"/>
      <c r="CC160" s="225">
        <f>ROUND(IF(BV160+BW160&gt;BX160+BY160+BZ160+CA160+CB160,(BW160+BV160)-(BX160+BY160+BZ160+CA160+CB160+CB160),0),0)</f>
        <v>0</v>
      </c>
      <c r="CD160" s="224">
        <f>ROUND(IF(BV160+BW160&lt;BX160+BY160+BZ160+CA160-CB160,(BX160+BY160+BZ160+CA160-CB160)-(BW160+BV160),0),0)</f>
        <v>0</v>
      </c>
      <c r="CE160" s="224"/>
      <c r="CF160" s="226"/>
      <c r="CG160" s="87"/>
      <c r="CH160" s="87">
        <f t="shared" si="491"/>
        <v>18</v>
      </c>
      <c r="CI160" s="227" t="str">
        <f>F160</f>
        <v>Nguyễn Khắc Việt</v>
      </c>
      <c r="CJ160" s="227" t="str">
        <f>G160</f>
        <v>Ba</v>
      </c>
      <c r="CK160" s="87">
        <f>H160</f>
        <v>3</v>
      </c>
      <c r="CL160" s="227" t="str">
        <f>L160</f>
        <v>Quy hoạch đất</v>
      </c>
      <c r="CM160" s="87" t="str">
        <f t="shared" si="358"/>
        <v>CS2</v>
      </c>
      <c r="CN160" s="87">
        <f t="shared" si="493"/>
        <v>270</v>
      </c>
      <c r="CO160" s="87">
        <f t="shared" si="494"/>
        <v>100</v>
      </c>
      <c r="CP160" s="229">
        <f t="shared" si="444"/>
        <v>0</v>
      </c>
      <c r="CQ160" s="229">
        <f t="shared" si="445"/>
        <v>4.3</v>
      </c>
      <c r="CR160" s="229">
        <f t="shared" si="446"/>
        <v>1.7</v>
      </c>
      <c r="CS160" s="229">
        <f t="shared" si="447"/>
        <v>16.8</v>
      </c>
      <c r="CT160" s="229">
        <f t="shared" si="448"/>
        <v>0</v>
      </c>
      <c r="CU160" s="229">
        <f t="shared" si="449"/>
        <v>90</v>
      </c>
      <c r="CV160" s="229">
        <f t="shared" si="450"/>
        <v>0</v>
      </c>
      <c r="CW160" s="229">
        <f t="shared" si="451"/>
        <v>0</v>
      </c>
      <c r="CX160" s="229">
        <f t="shared" si="452"/>
        <v>0</v>
      </c>
      <c r="CY160" s="229">
        <f t="shared" si="453"/>
        <v>0</v>
      </c>
      <c r="CZ160" s="229">
        <f t="shared" si="454"/>
        <v>30</v>
      </c>
      <c r="DA160" s="229">
        <f t="shared" si="455"/>
        <v>40</v>
      </c>
      <c r="DB160" s="228">
        <f t="shared" si="423"/>
        <v>182.8</v>
      </c>
      <c r="DC160" s="229"/>
      <c r="DD160" s="229"/>
      <c r="DE160" s="229"/>
      <c r="DF160" s="229"/>
      <c r="DG160" s="229"/>
      <c r="DH160" s="229"/>
      <c r="DI160" s="229"/>
      <c r="DJ160" s="229"/>
      <c r="DK160" s="229"/>
      <c r="DL160" s="229"/>
      <c r="DM160" s="229"/>
      <c r="DN160" s="229"/>
      <c r="DO160" s="228">
        <f t="shared" si="436"/>
        <v>0</v>
      </c>
      <c r="DP160" s="228">
        <f t="shared" si="437"/>
        <v>182.8</v>
      </c>
      <c r="DQ160" s="229">
        <f t="shared" si="456"/>
        <v>0</v>
      </c>
      <c r="DR160" s="229">
        <f t="shared" si="457"/>
        <v>0</v>
      </c>
      <c r="DS160" s="229">
        <f t="shared" si="458"/>
        <v>0</v>
      </c>
      <c r="DT160" s="229">
        <f t="shared" si="459"/>
        <v>0</v>
      </c>
      <c r="DU160" s="229">
        <f t="shared" si="460"/>
        <v>0</v>
      </c>
      <c r="DV160" s="229">
        <f t="shared" si="461"/>
        <v>0</v>
      </c>
      <c r="DW160" s="229">
        <f t="shared" si="462"/>
        <v>0</v>
      </c>
      <c r="DX160" s="228">
        <f t="shared" si="424"/>
        <v>0</v>
      </c>
      <c r="DY160" s="229"/>
      <c r="DZ160" s="229"/>
      <c r="EA160" s="229"/>
      <c r="EB160" s="229"/>
      <c r="EC160" s="229"/>
      <c r="ED160" s="229"/>
      <c r="EE160" s="229"/>
      <c r="EF160" s="228">
        <f t="shared" si="438"/>
        <v>0</v>
      </c>
      <c r="EG160" s="228">
        <f t="shared" si="439"/>
        <v>0</v>
      </c>
      <c r="EH160" s="229">
        <f t="shared" si="440"/>
        <v>30</v>
      </c>
      <c r="EI160" s="229">
        <v>48.41</v>
      </c>
      <c r="EJ160" s="228">
        <f>SUM(EH160:EI160)</f>
        <v>78.41</v>
      </c>
      <c r="EK160" s="229"/>
      <c r="EL160" s="229"/>
      <c r="EM160" s="228">
        <f>SUM(EK160:EL160)</f>
        <v>0</v>
      </c>
      <c r="EN160" s="229">
        <f t="shared" si="413"/>
        <v>30</v>
      </c>
      <c r="EO160" s="229">
        <f>EI160</f>
        <v>48.41</v>
      </c>
      <c r="EP160" s="228">
        <f>EM160+EJ160</f>
        <v>78.41</v>
      </c>
      <c r="EQ160" s="173">
        <f t="shared" si="441"/>
        <v>0</v>
      </c>
      <c r="ER160" s="189">
        <v>0</v>
      </c>
      <c r="ES160" s="189">
        <v>4.3</v>
      </c>
      <c r="ET160" s="189">
        <v>1.7</v>
      </c>
      <c r="EU160" s="189">
        <v>16.8</v>
      </c>
      <c r="EV160" s="189">
        <v>0</v>
      </c>
      <c r="EW160" s="189">
        <v>90</v>
      </c>
      <c r="EX160" s="189">
        <v>0</v>
      </c>
      <c r="EY160" s="189">
        <v>0</v>
      </c>
      <c r="EZ160" s="189">
        <v>0</v>
      </c>
      <c r="FA160" s="189">
        <v>0</v>
      </c>
      <c r="FB160" s="189">
        <v>30</v>
      </c>
      <c r="FC160" s="189">
        <v>40</v>
      </c>
      <c r="FD160" s="189">
        <v>0</v>
      </c>
      <c r="FE160" s="189">
        <v>0</v>
      </c>
      <c r="FF160" s="189">
        <v>0</v>
      </c>
      <c r="FG160" s="189">
        <v>0</v>
      </c>
      <c r="FH160" s="189">
        <v>0</v>
      </c>
      <c r="FI160" s="189">
        <v>0</v>
      </c>
      <c r="FJ160" s="189">
        <v>0</v>
      </c>
      <c r="FK160" s="189">
        <v>182.8</v>
      </c>
      <c r="FL160" s="189">
        <v>180.8</v>
      </c>
      <c r="FN160" s="132">
        <v>30</v>
      </c>
    </row>
    <row r="161" spans="1:170" ht="30" customHeight="1">
      <c r="A161" s="88">
        <f>COUNTIF($H$12:H161,H161)</f>
        <v>19</v>
      </c>
      <c r="B161" s="88" t="s">
        <v>69</v>
      </c>
      <c r="C161" s="88" t="s">
        <v>2627</v>
      </c>
      <c r="D161" s="88"/>
      <c r="E161" s="88"/>
      <c r="F161" s="301" t="s">
        <v>2835</v>
      </c>
      <c r="G161" s="89" t="s">
        <v>13</v>
      </c>
      <c r="H161" s="88">
        <v>3</v>
      </c>
      <c r="I161" s="88">
        <v>3</v>
      </c>
      <c r="J161" s="88">
        <v>3</v>
      </c>
      <c r="K161" s="90" t="s">
        <v>1621</v>
      </c>
      <c r="L161" s="90" t="s">
        <v>1621</v>
      </c>
      <c r="M161" s="214"/>
      <c r="N161" s="88" t="s">
        <v>1804</v>
      </c>
      <c r="O161" s="216">
        <f t="shared" si="463"/>
        <v>3.66</v>
      </c>
      <c r="P161" s="88" t="str">
        <f t="shared" si="468"/>
        <v>B1_4</v>
      </c>
      <c r="Q161" s="88">
        <f t="shared" si="331"/>
        <v>270</v>
      </c>
      <c r="R161" s="88">
        <f t="shared" si="332"/>
        <v>120</v>
      </c>
      <c r="S161" s="231"/>
      <c r="T161" s="88" t="s">
        <v>3088</v>
      </c>
      <c r="U161" s="88">
        <f>IF(RIGHT(T161,1)="K",(VLOOKUP(T161,ma_miengiam!$A$3:$B$80,2,0)*100)/2,VLOOKUP(T161,ma_miengiam!$A$3:$B$80,2,0)*100)</f>
        <v>0</v>
      </c>
      <c r="V161" s="88"/>
      <c r="W161" s="220">
        <f>IF(AND(T161="NTS",V161&gt;0),(Q161-(Q161*V161)/12)*VLOOKUP(T161,ma_miengiam!$A$3:$B$80,2,0)+(Q161-(Q161*(12-V161))/12),IF(AND(RIGHT(T161,1)="K",V161&gt;0),(VLOOKUP(T161,ma_miengiam!$A$3:$B$80,2,0)/2)*(Q161*V161)/12,IF(RIGHT(T161,1)="K",(VLOOKUP(T161,ma_miengiam!$A$3:$B$80,2,0)*Q161)/2,IF(V161&gt;0,VLOOKUP(T161,ma_miengiam!$A$3:$B$80,2,0)*Q161*V161/12,VLOOKUP(T161,ma_miengiam!$A$3:$B$80,2,0)*Q161))))</f>
        <v>0</v>
      </c>
      <c r="X161" s="220">
        <f>IF(T161="NTS",VLOOKUP(T161,ma_miengiam!$A$3:$B$80,2,0)*R161*V161,IF(AND(T161="NTS",V161=0),0,IF(AND(LEFT(T161,1)="K",V161=0),VLOOKUP(T161,ma_miengiam!$A$3:$B$80,2,0)*R161,IF(LEFT(T161,1)="K",(VLOOKUP(T161,ma_miengiam!$A$3:$B$80,2,0)*R161/12)*V161,IF(AND(LEFT(T161,1)="S",V161&gt;0),(R161/12)*V161,IF(AND(LEFT(T161,1)="S",V161=0),R161,IF(T161="DH",VLOOKUP(T161,ma_miengiam!$A$3:$B$80,2,0)*R161,0)))))))</f>
        <v>0</v>
      </c>
      <c r="Y161" s="220">
        <f t="shared" si="488"/>
        <v>270</v>
      </c>
      <c r="Z161" s="220">
        <f t="shared" si="337"/>
        <v>120</v>
      </c>
      <c r="AA161" s="220">
        <f t="shared" ref="AA161:AB163" si="499">Q161</f>
        <v>270</v>
      </c>
      <c r="AB161" s="220">
        <f t="shared" si="499"/>
        <v>120</v>
      </c>
      <c r="AC161" s="220">
        <f t="shared" ref="AC161:AF163" si="500">W161</f>
        <v>0</v>
      </c>
      <c r="AD161" s="220">
        <f t="shared" si="500"/>
        <v>0</v>
      </c>
      <c r="AE161" s="220">
        <f t="shared" si="500"/>
        <v>270</v>
      </c>
      <c r="AF161" s="220">
        <f t="shared" si="500"/>
        <v>120</v>
      </c>
      <c r="AG161" s="220">
        <f t="shared" si="481"/>
        <v>158.09</v>
      </c>
      <c r="AH161" s="220">
        <f t="shared" si="482"/>
        <v>58.09</v>
      </c>
      <c r="AI161" s="220">
        <f t="shared" si="483"/>
        <v>100</v>
      </c>
      <c r="AJ161" s="220">
        <f t="shared" si="380"/>
        <v>0</v>
      </c>
      <c r="AK161" s="216">
        <f t="shared" si="410"/>
        <v>270</v>
      </c>
      <c r="AL161" s="220">
        <f t="shared" si="425"/>
        <v>208.10000000000002</v>
      </c>
      <c r="AM161" s="220">
        <f t="shared" si="426"/>
        <v>0</v>
      </c>
      <c r="AN161" s="221">
        <f t="shared" si="427"/>
        <v>208.10000000000002</v>
      </c>
      <c r="AO161" s="220">
        <f t="shared" si="428"/>
        <v>0</v>
      </c>
      <c r="AP161" s="220">
        <f t="shared" si="429"/>
        <v>0</v>
      </c>
      <c r="AQ161" s="220">
        <f t="shared" si="430"/>
        <v>20</v>
      </c>
      <c r="AR161" s="220">
        <f t="shared" si="431"/>
        <v>0</v>
      </c>
      <c r="AS161" s="220">
        <f t="shared" si="432"/>
        <v>0</v>
      </c>
      <c r="AT161" s="216">
        <f t="shared" si="433"/>
        <v>228.10000000000002</v>
      </c>
      <c r="AU161" s="222">
        <f t="shared" si="395"/>
        <v>-61.899999999999977</v>
      </c>
      <c r="AV161" s="220"/>
      <c r="AW161" s="220">
        <f t="shared" si="350"/>
        <v>-61.899999999999977</v>
      </c>
      <c r="AX161" s="216">
        <f t="shared" si="411"/>
        <v>-61.899999999999977</v>
      </c>
      <c r="AY161" s="220">
        <f t="shared" si="362"/>
        <v>0</v>
      </c>
      <c r="AZ161" s="220">
        <f t="shared" si="363"/>
        <v>0</v>
      </c>
      <c r="BA161" s="220">
        <f t="shared" si="364"/>
        <v>0</v>
      </c>
      <c r="BB161" s="220">
        <f t="shared" si="365"/>
        <v>0</v>
      </c>
      <c r="BC161" s="220">
        <f t="shared" si="366"/>
        <v>0</v>
      </c>
      <c r="BD161" s="216">
        <f t="shared" si="375"/>
        <v>0</v>
      </c>
      <c r="BE161" s="220">
        <f t="shared" si="351"/>
        <v>0</v>
      </c>
      <c r="BF161" s="220">
        <f t="shared" si="352"/>
        <v>0</v>
      </c>
      <c r="BG161" s="220">
        <f t="shared" si="353"/>
        <v>-20</v>
      </c>
      <c r="BH161" s="220">
        <f t="shared" si="354"/>
        <v>0</v>
      </c>
      <c r="BI161" s="220">
        <f t="shared" si="355"/>
        <v>0</v>
      </c>
      <c r="BJ161" s="220" t="s">
        <v>44</v>
      </c>
      <c r="BK161" s="220"/>
      <c r="BL161" s="223">
        <f t="shared" si="412"/>
        <v>0</v>
      </c>
      <c r="BM161" s="220">
        <v>3.66</v>
      </c>
      <c r="BN161" s="220"/>
      <c r="BO161" s="220">
        <f t="shared" si="404"/>
        <v>3.66</v>
      </c>
      <c r="BP161" s="220">
        <f>IF(AND(BL161&gt;0,BL161&lt;tiet!$D$1),BL161,IF(BL161&lt;=0,0,IF(BL161&gt;tiet!$C$1,tiet!$C$1)))</f>
        <v>0</v>
      </c>
      <c r="BQ161" s="87">
        <f t="shared" si="376"/>
        <v>65000</v>
      </c>
      <c r="BR161" s="224">
        <f t="shared" si="377"/>
        <v>0</v>
      </c>
      <c r="BS161" s="220">
        <f t="shared" si="434"/>
        <v>0</v>
      </c>
      <c r="BT161" s="224">
        <f>VLOOKUP(N161,ma_dinhmuc!$A$1:$J$31,10,0)</f>
        <v>51000</v>
      </c>
      <c r="BU161" s="224">
        <f>ROUND(IF(BS161&gt;0,VLOOKUP(N161,ma_dinhmuc!$A$1:$J$31,10,0)*BS161,0),0)</f>
        <v>0</v>
      </c>
      <c r="BV161" s="224">
        <f t="shared" si="378"/>
        <v>0</v>
      </c>
      <c r="BW161" s="224"/>
      <c r="BX161" s="224">
        <v>0</v>
      </c>
      <c r="BY161" s="224"/>
      <c r="BZ161" s="224"/>
      <c r="CA161" s="224"/>
      <c r="CB161" s="224"/>
      <c r="CC161" s="225">
        <f t="shared" si="384"/>
        <v>0</v>
      </c>
      <c r="CD161" s="224">
        <f t="shared" si="385"/>
        <v>0</v>
      </c>
      <c r="CE161" s="224"/>
      <c r="CF161" s="226"/>
      <c r="CG161" s="87"/>
      <c r="CH161" s="87">
        <f t="shared" si="491"/>
        <v>19</v>
      </c>
      <c r="CI161" s="227" t="str">
        <f t="shared" si="471"/>
        <v>Quyền Thị Lan</v>
      </c>
      <c r="CJ161" s="227" t="str">
        <f t="shared" si="472"/>
        <v>Phương</v>
      </c>
      <c r="CK161" s="87">
        <f t="shared" si="489"/>
        <v>3</v>
      </c>
      <c r="CL161" s="227" t="str">
        <f t="shared" si="490"/>
        <v>Quy hoạch đất</v>
      </c>
      <c r="CM161" s="87" t="str">
        <f t="shared" si="358"/>
        <v>CS2</v>
      </c>
      <c r="CN161" s="87">
        <f t="shared" si="493"/>
        <v>270</v>
      </c>
      <c r="CO161" s="87">
        <f t="shared" si="494"/>
        <v>120</v>
      </c>
      <c r="CP161" s="229">
        <f t="shared" si="444"/>
        <v>0</v>
      </c>
      <c r="CQ161" s="229">
        <f t="shared" si="445"/>
        <v>23.8</v>
      </c>
      <c r="CR161" s="229">
        <f t="shared" si="446"/>
        <v>9.6</v>
      </c>
      <c r="CS161" s="229">
        <f t="shared" si="447"/>
        <v>16.8</v>
      </c>
      <c r="CT161" s="229">
        <f t="shared" si="448"/>
        <v>0</v>
      </c>
      <c r="CU161" s="229">
        <f t="shared" si="449"/>
        <v>90.4</v>
      </c>
      <c r="CV161" s="229">
        <f t="shared" si="450"/>
        <v>0</v>
      </c>
      <c r="CW161" s="229">
        <f t="shared" si="451"/>
        <v>67.5</v>
      </c>
      <c r="CX161" s="229">
        <f t="shared" si="452"/>
        <v>0</v>
      </c>
      <c r="CY161" s="229">
        <f t="shared" si="453"/>
        <v>0</v>
      </c>
      <c r="CZ161" s="229">
        <f t="shared" si="454"/>
        <v>0</v>
      </c>
      <c r="DA161" s="229">
        <f t="shared" si="455"/>
        <v>20</v>
      </c>
      <c r="DB161" s="228">
        <f t="shared" si="423"/>
        <v>228.10000000000002</v>
      </c>
      <c r="DC161" s="229"/>
      <c r="DD161" s="229"/>
      <c r="DE161" s="229"/>
      <c r="DF161" s="229"/>
      <c r="DG161" s="229"/>
      <c r="DH161" s="229"/>
      <c r="DI161" s="229"/>
      <c r="DJ161" s="229"/>
      <c r="DK161" s="229"/>
      <c r="DL161" s="229"/>
      <c r="DM161" s="229"/>
      <c r="DN161" s="229"/>
      <c r="DO161" s="228">
        <f t="shared" si="436"/>
        <v>0</v>
      </c>
      <c r="DP161" s="228">
        <f t="shared" si="437"/>
        <v>228.10000000000002</v>
      </c>
      <c r="DQ161" s="229">
        <f t="shared" si="456"/>
        <v>0</v>
      </c>
      <c r="DR161" s="229">
        <f t="shared" si="457"/>
        <v>0</v>
      </c>
      <c r="DS161" s="229">
        <f t="shared" si="458"/>
        <v>0</v>
      </c>
      <c r="DT161" s="229">
        <f t="shared" si="459"/>
        <v>0</v>
      </c>
      <c r="DU161" s="229">
        <f t="shared" si="460"/>
        <v>0</v>
      </c>
      <c r="DV161" s="229">
        <f t="shared" si="461"/>
        <v>0</v>
      </c>
      <c r="DW161" s="229">
        <f t="shared" si="462"/>
        <v>0</v>
      </c>
      <c r="DX161" s="228">
        <f t="shared" si="424"/>
        <v>0</v>
      </c>
      <c r="DY161" s="229"/>
      <c r="DZ161" s="229"/>
      <c r="EA161" s="229"/>
      <c r="EB161" s="229"/>
      <c r="EC161" s="229"/>
      <c r="ED161" s="229"/>
      <c r="EE161" s="229"/>
      <c r="EF161" s="228">
        <f t="shared" si="438"/>
        <v>0</v>
      </c>
      <c r="EG161" s="228">
        <f t="shared" si="439"/>
        <v>0</v>
      </c>
      <c r="EH161" s="229">
        <f t="shared" si="440"/>
        <v>100</v>
      </c>
      <c r="EI161" s="229">
        <v>58.09</v>
      </c>
      <c r="EJ161" s="228">
        <f t="shared" si="495"/>
        <v>158.09</v>
      </c>
      <c r="EK161" s="229"/>
      <c r="EL161" s="229"/>
      <c r="EM161" s="228">
        <f t="shared" si="398"/>
        <v>0</v>
      </c>
      <c r="EN161" s="229">
        <f t="shared" si="413"/>
        <v>100</v>
      </c>
      <c r="EO161" s="229">
        <f t="shared" si="388"/>
        <v>58.09</v>
      </c>
      <c r="EP161" s="228">
        <f t="shared" si="496"/>
        <v>158.09</v>
      </c>
      <c r="EQ161" s="173">
        <f t="shared" si="441"/>
        <v>0</v>
      </c>
      <c r="ER161" s="189">
        <v>0</v>
      </c>
      <c r="ES161" s="189">
        <v>23.8</v>
      </c>
      <c r="ET161" s="189">
        <v>9.6</v>
      </c>
      <c r="EU161" s="189">
        <v>16.8</v>
      </c>
      <c r="EV161" s="189">
        <v>0</v>
      </c>
      <c r="EW161" s="189">
        <v>90.4</v>
      </c>
      <c r="EX161" s="189">
        <v>0</v>
      </c>
      <c r="EY161" s="189">
        <v>67.5</v>
      </c>
      <c r="EZ161" s="189">
        <v>0</v>
      </c>
      <c r="FA161" s="189">
        <v>0</v>
      </c>
      <c r="FB161" s="189">
        <v>0</v>
      </c>
      <c r="FC161" s="189">
        <v>20</v>
      </c>
      <c r="FD161" s="189">
        <v>0</v>
      </c>
      <c r="FE161" s="189">
        <v>0</v>
      </c>
      <c r="FF161" s="189">
        <v>0</v>
      </c>
      <c r="FG161" s="189">
        <v>0</v>
      </c>
      <c r="FH161" s="189">
        <v>0</v>
      </c>
      <c r="FI161" s="189">
        <v>0</v>
      </c>
      <c r="FJ161" s="189">
        <v>0</v>
      </c>
      <c r="FK161" s="189">
        <v>228.1</v>
      </c>
      <c r="FL161" s="189">
        <v>177.8</v>
      </c>
      <c r="FN161" s="132">
        <v>100</v>
      </c>
    </row>
    <row r="162" spans="1:170" ht="30" customHeight="1">
      <c r="A162" s="88">
        <f>COUNTIF($H$12:H162,H162)</f>
        <v>20</v>
      </c>
      <c r="B162" s="88" t="s">
        <v>70</v>
      </c>
      <c r="C162" s="88" t="s">
        <v>2628</v>
      </c>
      <c r="D162" s="88"/>
      <c r="E162" s="88" t="s">
        <v>3064</v>
      </c>
      <c r="F162" s="301" t="s">
        <v>2822</v>
      </c>
      <c r="G162" s="303" t="s">
        <v>2086</v>
      </c>
      <c r="H162" s="88">
        <v>3</v>
      </c>
      <c r="I162" s="88">
        <v>3</v>
      </c>
      <c r="J162" s="88">
        <v>3</v>
      </c>
      <c r="K162" s="90" t="s">
        <v>1621</v>
      </c>
      <c r="L162" s="90" t="s">
        <v>1621</v>
      </c>
      <c r="M162" s="214"/>
      <c r="N162" s="88" t="s">
        <v>1804</v>
      </c>
      <c r="O162" s="216">
        <f t="shared" si="463"/>
        <v>3.99</v>
      </c>
      <c r="P162" s="88" t="str">
        <f t="shared" si="468"/>
        <v>B1_4</v>
      </c>
      <c r="Q162" s="88">
        <f t="shared" si="331"/>
        <v>270</v>
      </c>
      <c r="R162" s="88">
        <f t="shared" si="332"/>
        <v>120</v>
      </c>
      <c r="S162" s="230"/>
      <c r="T162" s="88" t="s">
        <v>3088</v>
      </c>
      <c r="U162" s="88">
        <f>IF(RIGHT(T162,1)="K",(VLOOKUP(T162,ma_miengiam!$A$3:$B$80,2,0)*100)/2,VLOOKUP(T162,ma_miengiam!$A$3:$B$80,2,0)*100)</f>
        <v>0</v>
      </c>
      <c r="V162" s="88"/>
      <c r="W162" s="220">
        <f>IF(AND(T162="NTS",V162&gt;0),(Q162-(Q162*V162)/12)*VLOOKUP(T162,ma_miengiam!$A$3:$B$80,2,0)+(Q162-(Q162*(12-V162))/12),IF(AND(RIGHT(T162,1)="K",V162&gt;0),(VLOOKUP(T162,ma_miengiam!$A$3:$B$80,2,0)/2)*(Q162*V162)/12,IF(RIGHT(T162,1)="K",(VLOOKUP(T162,ma_miengiam!$A$3:$B$80,2,0)*Q162)/2,IF(V162&gt;0,VLOOKUP(T162,ma_miengiam!$A$3:$B$80,2,0)*Q162*V162/12,VLOOKUP(T162,ma_miengiam!$A$3:$B$80,2,0)*Q162))))</f>
        <v>0</v>
      </c>
      <c r="X162" s="220">
        <f>IF(T162="NTS",VLOOKUP(T162,ma_miengiam!$A$3:$B$80,2,0)*R162*V162,IF(AND(T162="NTS",V162=0),0,IF(AND(LEFT(T162,1)="K",V162=0),VLOOKUP(T162,ma_miengiam!$A$3:$B$80,2,0)*R162,IF(LEFT(T162,1)="K",(VLOOKUP(T162,ma_miengiam!$A$3:$B$80,2,0)*R162/12)*V162,IF(AND(LEFT(T162,1)="S",V162&gt;0),(R162/12)*V162,IF(AND(LEFT(T162,1)="S",V162=0),R162,IF(T162="DH",VLOOKUP(T162,ma_miengiam!$A$3:$B$80,2,0)*R162,0)))))))</f>
        <v>0</v>
      </c>
      <c r="Y162" s="220">
        <f t="shared" si="488"/>
        <v>270</v>
      </c>
      <c r="Z162" s="220">
        <f t="shared" si="337"/>
        <v>120</v>
      </c>
      <c r="AA162" s="220">
        <f t="shared" si="499"/>
        <v>270</v>
      </c>
      <c r="AB162" s="220">
        <f t="shared" si="499"/>
        <v>120</v>
      </c>
      <c r="AC162" s="220">
        <f t="shared" si="500"/>
        <v>0</v>
      </c>
      <c r="AD162" s="220">
        <f t="shared" si="500"/>
        <v>0</v>
      </c>
      <c r="AE162" s="220">
        <f t="shared" si="500"/>
        <v>270</v>
      </c>
      <c r="AF162" s="220">
        <f t="shared" si="500"/>
        <v>120</v>
      </c>
      <c r="AG162" s="220">
        <f t="shared" si="481"/>
        <v>264.375</v>
      </c>
      <c r="AH162" s="220">
        <f t="shared" si="482"/>
        <v>194.375</v>
      </c>
      <c r="AI162" s="220">
        <f t="shared" si="483"/>
        <v>70</v>
      </c>
      <c r="AJ162" s="220">
        <f t="shared" si="380"/>
        <v>0</v>
      </c>
      <c r="AK162" s="216">
        <f t="shared" si="410"/>
        <v>270</v>
      </c>
      <c r="AL162" s="220">
        <f t="shared" si="425"/>
        <v>208.8</v>
      </c>
      <c r="AM162" s="220">
        <f t="shared" si="426"/>
        <v>0</v>
      </c>
      <c r="AN162" s="221">
        <f t="shared" si="427"/>
        <v>208.8</v>
      </c>
      <c r="AO162" s="220">
        <f t="shared" si="428"/>
        <v>20</v>
      </c>
      <c r="AP162" s="220">
        <f t="shared" si="429"/>
        <v>0</v>
      </c>
      <c r="AQ162" s="220">
        <f t="shared" si="430"/>
        <v>30</v>
      </c>
      <c r="AR162" s="220">
        <f t="shared" si="431"/>
        <v>0</v>
      </c>
      <c r="AS162" s="220">
        <f t="shared" si="432"/>
        <v>0</v>
      </c>
      <c r="AT162" s="216">
        <f t="shared" si="433"/>
        <v>258.8</v>
      </c>
      <c r="AU162" s="222">
        <f t="shared" si="395"/>
        <v>-61.199999999999989</v>
      </c>
      <c r="AV162" s="220"/>
      <c r="AW162" s="220">
        <f t="shared" si="350"/>
        <v>-61.199999999999989</v>
      </c>
      <c r="AX162" s="216">
        <f t="shared" si="411"/>
        <v>-61.199999999999989</v>
      </c>
      <c r="AY162" s="220">
        <f t="shared" si="362"/>
        <v>0</v>
      </c>
      <c r="AZ162" s="220">
        <f t="shared" si="363"/>
        <v>0</v>
      </c>
      <c r="BA162" s="220">
        <f t="shared" si="364"/>
        <v>0</v>
      </c>
      <c r="BB162" s="220">
        <f t="shared" si="365"/>
        <v>0</v>
      </c>
      <c r="BC162" s="220">
        <f t="shared" si="366"/>
        <v>0</v>
      </c>
      <c r="BD162" s="216">
        <f t="shared" si="375"/>
        <v>0</v>
      </c>
      <c r="BE162" s="220">
        <f t="shared" si="351"/>
        <v>-20</v>
      </c>
      <c r="BF162" s="220">
        <f t="shared" si="352"/>
        <v>0</v>
      </c>
      <c r="BG162" s="220">
        <f t="shared" si="353"/>
        <v>-30</v>
      </c>
      <c r="BH162" s="220">
        <f t="shared" si="354"/>
        <v>0</v>
      </c>
      <c r="BI162" s="220">
        <f t="shared" si="355"/>
        <v>0</v>
      </c>
      <c r="BJ162" s="220" t="s">
        <v>44</v>
      </c>
      <c r="BK162" s="220"/>
      <c r="BL162" s="223">
        <f t="shared" si="412"/>
        <v>0</v>
      </c>
      <c r="BM162" s="220">
        <v>3.99</v>
      </c>
      <c r="BN162" s="220"/>
      <c r="BO162" s="220">
        <f t="shared" si="404"/>
        <v>3.99</v>
      </c>
      <c r="BP162" s="220">
        <f>IF(AND(BL162&gt;0,BL162&lt;tiet!$D$1),BL162,IF(BL162&lt;=0,0,IF(BL162&gt;tiet!$C$1,tiet!$C$1)))</f>
        <v>0</v>
      </c>
      <c r="BQ162" s="87">
        <f t="shared" si="376"/>
        <v>65000</v>
      </c>
      <c r="BR162" s="224">
        <f t="shared" si="377"/>
        <v>0</v>
      </c>
      <c r="BS162" s="220">
        <f t="shared" si="434"/>
        <v>0</v>
      </c>
      <c r="BT162" s="224">
        <f>VLOOKUP(N162,ma_dinhmuc!$A$1:$J$31,10,0)</f>
        <v>51000</v>
      </c>
      <c r="BU162" s="224">
        <f>ROUND(IF(BS162&gt;0,VLOOKUP(N162,ma_dinhmuc!$A$1:$J$31,10,0)*BS162,0),0)</f>
        <v>0</v>
      </c>
      <c r="BV162" s="224">
        <f t="shared" si="378"/>
        <v>0</v>
      </c>
      <c r="BW162" s="224"/>
      <c r="BX162" s="224">
        <v>0</v>
      </c>
      <c r="BY162" s="224"/>
      <c r="BZ162" s="224"/>
      <c r="CA162" s="224"/>
      <c r="CB162" s="224"/>
      <c r="CC162" s="225">
        <f t="shared" si="384"/>
        <v>0</v>
      </c>
      <c r="CD162" s="224">
        <f t="shared" si="385"/>
        <v>0</v>
      </c>
      <c r="CE162" s="224"/>
      <c r="CF162" s="226"/>
      <c r="CG162" s="87"/>
      <c r="CH162" s="87">
        <f t="shared" si="491"/>
        <v>20</v>
      </c>
      <c r="CI162" s="227" t="str">
        <f t="shared" si="471"/>
        <v>Nguyễn Tuấn</v>
      </c>
      <c r="CJ162" s="227" t="str">
        <f t="shared" si="472"/>
        <v>Anh</v>
      </c>
      <c r="CK162" s="87">
        <f t="shared" si="489"/>
        <v>3</v>
      </c>
      <c r="CL162" s="227" t="str">
        <f t="shared" si="490"/>
        <v>Quy hoạch đất</v>
      </c>
      <c r="CM162" s="87" t="str">
        <f t="shared" si="358"/>
        <v>CS2</v>
      </c>
      <c r="CN162" s="87">
        <f t="shared" si="493"/>
        <v>270</v>
      </c>
      <c r="CO162" s="87">
        <f t="shared" si="494"/>
        <v>120</v>
      </c>
      <c r="CP162" s="229">
        <f t="shared" si="444"/>
        <v>0</v>
      </c>
      <c r="CQ162" s="229">
        <f t="shared" si="445"/>
        <v>23.8</v>
      </c>
      <c r="CR162" s="229">
        <f t="shared" si="446"/>
        <v>9.6</v>
      </c>
      <c r="CS162" s="229">
        <f t="shared" si="447"/>
        <v>16.8</v>
      </c>
      <c r="CT162" s="229">
        <f t="shared" si="448"/>
        <v>0</v>
      </c>
      <c r="CU162" s="229">
        <f t="shared" si="449"/>
        <v>128.6</v>
      </c>
      <c r="CV162" s="229">
        <f t="shared" si="450"/>
        <v>0</v>
      </c>
      <c r="CW162" s="229">
        <f t="shared" si="451"/>
        <v>30</v>
      </c>
      <c r="CX162" s="229">
        <f t="shared" si="452"/>
        <v>0</v>
      </c>
      <c r="CY162" s="229">
        <f t="shared" si="453"/>
        <v>20</v>
      </c>
      <c r="CZ162" s="229">
        <f t="shared" si="454"/>
        <v>0</v>
      </c>
      <c r="DA162" s="229">
        <f t="shared" si="455"/>
        <v>30</v>
      </c>
      <c r="DB162" s="228">
        <f t="shared" si="423"/>
        <v>258.8</v>
      </c>
      <c r="DC162" s="229"/>
      <c r="DD162" s="229"/>
      <c r="DE162" s="229"/>
      <c r="DF162" s="229"/>
      <c r="DG162" s="229"/>
      <c r="DH162" s="229"/>
      <c r="DI162" s="229"/>
      <c r="DJ162" s="229"/>
      <c r="DK162" s="229"/>
      <c r="DL162" s="229"/>
      <c r="DM162" s="229"/>
      <c r="DN162" s="229"/>
      <c r="DO162" s="228">
        <f t="shared" si="436"/>
        <v>0</v>
      </c>
      <c r="DP162" s="228">
        <f t="shared" si="437"/>
        <v>258.8</v>
      </c>
      <c r="DQ162" s="229">
        <f t="shared" si="456"/>
        <v>0</v>
      </c>
      <c r="DR162" s="229">
        <f t="shared" si="457"/>
        <v>0</v>
      </c>
      <c r="DS162" s="229">
        <f t="shared" si="458"/>
        <v>0</v>
      </c>
      <c r="DT162" s="229">
        <f t="shared" si="459"/>
        <v>0</v>
      </c>
      <c r="DU162" s="229">
        <f t="shared" si="460"/>
        <v>0</v>
      </c>
      <c r="DV162" s="229">
        <f t="shared" si="461"/>
        <v>0</v>
      </c>
      <c r="DW162" s="229">
        <f t="shared" si="462"/>
        <v>0</v>
      </c>
      <c r="DX162" s="228">
        <f t="shared" si="424"/>
        <v>0</v>
      </c>
      <c r="DY162" s="229"/>
      <c r="DZ162" s="229"/>
      <c r="EA162" s="229"/>
      <c r="EB162" s="229"/>
      <c r="EC162" s="229"/>
      <c r="ED162" s="229"/>
      <c r="EE162" s="229"/>
      <c r="EF162" s="228">
        <f t="shared" si="438"/>
        <v>0</v>
      </c>
      <c r="EG162" s="228">
        <f t="shared" si="439"/>
        <v>0</v>
      </c>
      <c r="EH162" s="229">
        <f t="shared" si="440"/>
        <v>70</v>
      </c>
      <c r="EI162" s="229">
        <v>194.375</v>
      </c>
      <c r="EJ162" s="228">
        <f t="shared" si="495"/>
        <v>264.375</v>
      </c>
      <c r="EK162" s="229"/>
      <c r="EL162" s="229"/>
      <c r="EM162" s="228">
        <f t="shared" si="398"/>
        <v>0</v>
      </c>
      <c r="EN162" s="229">
        <f t="shared" si="413"/>
        <v>70</v>
      </c>
      <c r="EO162" s="229">
        <f t="shared" si="388"/>
        <v>194.375</v>
      </c>
      <c r="EP162" s="228">
        <f t="shared" si="496"/>
        <v>264.375</v>
      </c>
      <c r="EQ162" s="173">
        <f t="shared" si="441"/>
        <v>0</v>
      </c>
      <c r="ER162" s="189">
        <v>0</v>
      </c>
      <c r="ES162" s="189">
        <v>23.8</v>
      </c>
      <c r="ET162" s="189">
        <v>9.6</v>
      </c>
      <c r="EU162" s="189">
        <v>16.8</v>
      </c>
      <c r="EV162" s="189">
        <v>0</v>
      </c>
      <c r="EW162" s="189">
        <v>128.6</v>
      </c>
      <c r="EX162" s="189">
        <v>0</v>
      </c>
      <c r="EY162" s="189">
        <v>30</v>
      </c>
      <c r="EZ162" s="189">
        <v>0</v>
      </c>
      <c r="FA162" s="189">
        <v>20</v>
      </c>
      <c r="FB162" s="189">
        <v>0</v>
      </c>
      <c r="FC162" s="189">
        <v>30</v>
      </c>
      <c r="FD162" s="189">
        <v>0</v>
      </c>
      <c r="FE162" s="189">
        <v>0</v>
      </c>
      <c r="FF162" s="189">
        <v>0</v>
      </c>
      <c r="FG162" s="189">
        <v>0</v>
      </c>
      <c r="FH162" s="189">
        <v>0</v>
      </c>
      <c r="FI162" s="189">
        <v>0</v>
      </c>
      <c r="FJ162" s="189">
        <v>0</v>
      </c>
      <c r="FK162" s="189">
        <v>258.8</v>
      </c>
      <c r="FL162" s="189">
        <v>224.8</v>
      </c>
      <c r="FN162" s="132">
        <v>70</v>
      </c>
    </row>
    <row r="163" spans="1:170" ht="30">
      <c r="A163" s="88">
        <f>COUNTIF($H$12:H163,H163)</f>
        <v>21</v>
      </c>
      <c r="B163" s="88" t="s">
        <v>71</v>
      </c>
      <c r="C163" s="88" t="s">
        <v>2629</v>
      </c>
      <c r="D163" s="88"/>
      <c r="E163" s="88"/>
      <c r="F163" s="301" t="s">
        <v>2836</v>
      </c>
      <c r="G163" s="89" t="s">
        <v>2837</v>
      </c>
      <c r="H163" s="88">
        <v>3</v>
      </c>
      <c r="I163" s="88">
        <v>3</v>
      </c>
      <c r="J163" s="88">
        <v>3</v>
      </c>
      <c r="K163" s="90" t="s">
        <v>1621</v>
      </c>
      <c r="L163" s="90" t="s">
        <v>1621</v>
      </c>
      <c r="M163" s="214"/>
      <c r="N163" s="88" t="s">
        <v>605</v>
      </c>
      <c r="O163" s="216">
        <f t="shared" si="463"/>
        <v>6.2</v>
      </c>
      <c r="P163" s="88" t="str">
        <f t="shared" si="468"/>
        <v>B1_6</v>
      </c>
      <c r="Q163" s="88">
        <f t="shared" si="331"/>
        <v>270</v>
      </c>
      <c r="R163" s="88">
        <f t="shared" si="332"/>
        <v>170</v>
      </c>
      <c r="S163" s="218" t="s">
        <v>3171</v>
      </c>
      <c r="T163" s="88" t="s">
        <v>3091</v>
      </c>
      <c r="U163" s="88">
        <f>IF(RIGHT(T163,1)="K",(VLOOKUP(T163,ma_miengiam!$A$3:$B$80,2,0)*100)/2,VLOOKUP(T163,ma_miengiam!$A$3:$B$80,2,0)*100)</f>
        <v>20</v>
      </c>
      <c r="V163" s="88"/>
      <c r="W163" s="220">
        <f>IF(AND(T163="NTS",V163&gt;0),(Q163-(Q163*V163)/12)*VLOOKUP(T163,ma_miengiam!$A$3:$B$80,2,0)+(Q163-(Q163*(12-V163))/12),IF(AND(RIGHT(T163,1)="K",V163&gt;0),(VLOOKUP(T163,ma_miengiam!$A$3:$B$80,2,0)/2)*(Q163*V163)/12,IF(RIGHT(T163,1)="K",(VLOOKUP(T163,ma_miengiam!$A$3:$B$80,2,0)*Q163)/2,IF(V163&gt;0,VLOOKUP(T163,ma_miengiam!$A$3:$B$80,2,0)*Q163*V163/12,VLOOKUP(T163,ma_miengiam!$A$3:$B$80,2,0)*Q163))))</f>
        <v>54</v>
      </c>
      <c r="X163" s="220">
        <f>IF(T163="NTS",VLOOKUP(T163,ma_miengiam!$A$3:$B$80,2,0)*R163*V163,IF(AND(T163="NTS",V163=0),0,IF(AND(LEFT(T163,1)="K",V163=0),VLOOKUP(T163,ma_miengiam!$A$3:$B$80,2,0)*R163,IF(LEFT(T163,1)="K",(VLOOKUP(T163,ma_miengiam!$A$3:$B$80,2,0)*R163/12)*V163,IF(AND(LEFT(T163,1)="S",V163&gt;0),(R163/12)*V163,IF(AND(LEFT(T163,1)="S",V163=0),R163,IF(T163="DH",VLOOKUP(T163,ma_miengiam!$A$3:$B$80,2,0)*R163,0)))))))</f>
        <v>0</v>
      </c>
      <c r="Y163" s="220">
        <f t="shared" si="488"/>
        <v>216</v>
      </c>
      <c r="Z163" s="220">
        <f t="shared" si="337"/>
        <v>170</v>
      </c>
      <c r="AA163" s="220">
        <f t="shared" si="499"/>
        <v>270</v>
      </c>
      <c r="AB163" s="220">
        <f t="shared" si="499"/>
        <v>170</v>
      </c>
      <c r="AC163" s="220">
        <f t="shared" si="500"/>
        <v>54</v>
      </c>
      <c r="AD163" s="220">
        <f t="shared" si="500"/>
        <v>0</v>
      </c>
      <c r="AE163" s="220">
        <f t="shared" si="500"/>
        <v>216</v>
      </c>
      <c r="AF163" s="220">
        <f t="shared" si="500"/>
        <v>170</v>
      </c>
      <c r="AG163" s="220">
        <f t="shared" si="481"/>
        <v>112.3</v>
      </c>
      <c r="AH163" s="220">
        <f t="shared" si="482"/>
        <v>82.3</v>
      </c>
      <c r="AI163" s="220">
        <f t="shared" si="483"/>
        <v>30</v>
      </c>
      <c r="AJ163" s="220">
        <f t="shared" si="380"/>
        <v>-57.7</v>
      </c>
      <c r="AK163" s="216">
        <f t="shared" si="410"/>
        <v>273.7</v>
      </c>
      <c r="AL163" s="220">
        <f t="shared" si="425"/>
        <v>198.3</v>
      </c>
      <c r="AM163" s="220">
        <f t="shared" si="426"/>
        <v>116.2</v>
      </c>
      <c r="AN163" s="221">
        <f t="shared" si="427"/>
        <v>314.5</v>
      </c>
      <c r="AO163" s="220">
        <f t="shared" si="428"/>
        <v>0</v>
      </c>
      <c r="AP163" s="220">
        <f t="shared" si="429"/>
        <v>0</v>
      </c>
      <c r="AQ163" s="220">
        <f t="shared" si="430"/>
        <v>30</v>
      </c>
      <c r="AR163" s="220">
        <f t="shared" si="431"/>
        <v>80</v>
      </c>
      <c r="AS163" s="220">
        <f t="shared" si="432"/>
        <v>0</v>
      </c>
      <c r="AT163" s="216">
        <f t="shared" si="433"/>
        <v>424.5</v>
      </c>
      <c r="AU163" s="222">
        <f t="shared" si="395"/>
        <v>40.800000000000011</v>
      </c>
      <c r="AV163" s="220"/>
      <c r="AW163" s="220">
        <f t="shared" si="350"/>
        <v>40.800000000000011</v>
      </c>
      <c r="AX163" s="216">
        <f t="shared" si="411"/>
        <v>0</v>
      </c>
      <c r="AY163" s="220">
        <f t="shared" si="362"/>
        <v>0</v>
      </c>
      <c r="AZ163" s="220">
        <f t="shared" si="363"/>
        <v>0</v>
      </c>
      <c r="BA163" s="220">
        <f t="shared" si="364"/>
        <v>30</v>
      </c>
      <c r="BB163" s="220">
        <f t="shared" si="365"/>
        <v>80</v>
      </c>
      <c r="BC163" s="220">
        <f t="shared" si="366"/>
        <v>0</v>
      </c>
      <c r="BD163" s="216">
        <f t="shared" si="375"/>
        <v>110</v>
      </c>
      <c r="BE163" s="220">
        <f t="shared" si="351"/>
        <v>0</v>
      </c>
      <c r="BF163" s="220">
        <f t="shared" si="352"/>
        <v>0</v>
      </c>
      <c r="BG163" s="220">
        <f t="shared" si="353"/>
        <v>0</v>
      </c>
      <c r="BH163" s="220">
        <f t="shared" si="354"/>
        <v>0</v>
      </c>
      <c r="BI163" s="220">
        <f t="shared" si="355"/>
        <v>0</v>
      </c>
      <c r="BJ163" s="220" t="s">
        <v>44</v>
      </c>
      <c r="BK163" s="220"/>
      <c r="BL163" s="223">
        <f t="shared" si="412"/>
        <v>40.800000000000011</v>
      </c>
      <c r="BM163" s="220">
        <v>6.2</v>
      </c>
      <c r="BN163" s="220"/>
      <c r="BO163" s="220">
        <f t="shared" si="404"/>
        <v>6.2</v>
      </c>
      <c r="BP163" s="220">
        <f>IF(AND(BL163&gt;0,BL163&lt;tiet!$D$1),BL163,IF(BL163&lt;=0,0,IF(BL163&gt;tiet!$C$1,tiet!$C$1)))</f>
        <v>40.800000000000011</v>
      </c>
      <c r="BQ163" s="87">
        <f t="shared" si="376"/>
        <v>75000</v>
      </c>
      <c r="BR163" s="224">
        <f t="shared" si="377"/>
        <v>3060000</v>
      </c>
      <c r="BS163" s="220">
        <f t="shared" si="434"/>
        <v>0</v>
      </c>
      <c r="BT163" s="224">
        <f>VLOOKUP(N163,ma_dinhmuc!$A$1:$J$31,10,0)</f>
        <v>65000</v>
      </c>
      <c r="BU163" s="224">
        <f>ROUND(IF(BS163&gt;0,VLOOKUP(N163,ma_dinhmuc!$A$1:$J$31,10,0)*BS163,0),0)</f>
        <v>0</v>
      </c>
      <c r="BV163" s="224">
        <f t="shared" si="378"/>
        <v>3060000</v>
      </c>
      <c r="BW163" s="224"/>
      <c r="BX163" s="224">
        <v>0</v>
      </c>
      <c r="BY163" s="224"/>
      <c r="BZ163" s="224"/>
      <c r="CA163" s="224"/>
      <c r="CB163" s="224"/>
      <c r="CC163" s="225">
        <f t="shared" si="384"/>
        <v>3060000</v>
      </c>
      <c r="CD163" s="224">
        <f t="shared" si="385"/>
        <v>0</v>
      </c>
      <c r="CE163" s="224"/>
      <c r="CF163" s="226"/>
      <c r="CG163" s="87"/>
      <c r="CH163" s="87">
        <f t="shared" si="491"/>
        <v>21</v>
      </c>
      <c r="CI163" s="227" t="str">
        <f t="shared" si="471"/>
        <v>Đỗ Văn</v>
      </c>
      <c r="CJ163" s="227" t="str">
        <f t="shared" si="472"/>
        <v>Nhạ</v>
      </c>
      <c r="CK163" s="87">
        <f t="shared" si="489"/>
        <v>3</v>
      </c>
      <c r="CL163" s="227" t="str">
        <f t="shared" si="490"/>
        <v>Quy hoạch đất</v>
      </c>
      <c r="CM163" s="87" t="str">
        <f t="shared" si="358"/>
        <v>CS4</v>
      </c>
      <c r="CN163" s="87">
        <f t="shared" si="493"/>
        <v>270</v>
      </c>
      <c r="CO163" s="87">
        <f t="shared" si="494"/>
        <v>170</v>
      </c>
      <c r="CP163" s="229">
        <f t="shared" si="444"/>
        <v>0</v>
      </c>
      <c r="CQ163" s="229">
        <f t="shared" si="445"/>
        <v>24.3</v>
      </c>
      <c r="CR163" s="229">
        <f t="shared" si="446"/>
        <v>9.6999999999999993</v>
      </c>
      <c r="CS163" s="229">
        <f t="shared" si="447"/>
        <v>16.8</v>
      </c>
      <c r="CT163" s="229">
        <f t="shared" si="448"/>
        <v>0</v>
      </c>
      <c r="CU163" s="229">
        <f t="shared" si="449"/>
        <v>102.5</v>
      </c>
      <c r="CV163" s="229">
        <f t="shared" si="450"/>
        <v>0</v>
      </c>
      <c r="CW163" s="229">
        <f t="shared" si="451"/>
        <v>45</v>
      </c>
      <c r="CX163" s="229">
        <f t="shared" si="452"/>
        <v>0</v>
      </c>
      <c r="CY163" s="229">
        <f t="shared" si="453"/>
        <v>0</v>
      </c>
      <c r="CZ163" s="229">
        <f t="shared" si="454"/>
        <v>0</v>
      </c>
      <c r="DA163" s="229">
        <f t="shared" si="455"/>
        <v>30</v>
      </c>
      <c r="DB163" s="228">
        <f t="shared" si="423"/>
        <v>228.3</v>
      </c>
      <c r="DC163" s="229"/>
      <c r="DD163" s="229"/>
      <c r="DE163" s="229"/>
      <c r="DF163" s="229"/>
      <c r="DG163" s="229"/>
      <c r="DH163" s="229"/>
      <c r="DI163" s="229"/>
      <c r="DJ163" s="229"/>
      <c r="DK163" s="229"/>
      <c r="DL163" s="229"/>
      <c r="DM163" s="229"/>
      <c r="DN163" s="229"/>
      <c r="DO163" s="228">
        <f t="shared" si="436"/>
        <v>0</v>
      </c>
      <c r="DP163" s="228">
        <f t="shared" si="437"/>
        <v>228.3</v>
      </c>
      <c r="DQ163" s="229">
        <f t="shared" si="456"/>
        <v>108</v>
      </c>
      <c r="DR163" s="229">
        <f t="shared" si="457"/>
        <v>5.8</v>
      </c>
      <c r="DS163" s="229">
        <f t="shared" si="458"/>
        <v>0</v>
      </c>
      <c r="DT163" s="229">
        <f t="shared" si="459"/>
        <v>2.4</v>
      </c>
      <c r="DU163" s="229">
        <f t="shared" si="460"/>
        <v>0</v>
      </c>
      <c r="DV163" s="229">
        <f t="shared" si="461"/>
        <v>80</v>
      </c>
      <c r="DW163" s="229">
        <f t="shared" si="462"/>
        <v>0</v>
      </c>
      <c r="DX163" s="228">
        <f t="shared" si="424"/>
        <v>196.2</v>
      </c>
      <c r="DY163" s="229"/>
      <c r="DZ163" s="229"/>
      <c r="EA163" s="229"/>
      <c r="EB163" s="229"/>
      <c r="EC163" s="229"/>
      <c r="ED163" s="229"/>
      <c r="EE163" s="229"/>
      <c r="EF163" s="228">
        <f t="shared" si="438"/>
        <v>0</v>
      </c>
      <c r="EG163" s="228">
        <f t="shared" si="439"/>
        <v>196.2</v>
      </c>
      <c r="EH163" s="229">
        <f t="shared" si="440"/>
        <v>30</v>
      </c>
      <c r="EI163" s="229">
        <v>82.3</v>
      </c>
      <c r="EJ163" s="228">
        <f t="shared" si="495"/>
        <v>112.3</v>
      </c>
      <c r="EK163" s="229"/>
      <c r="EL163" s="229"/>
      <c r="EM163" s="228">
        <f t="shared" si="398"/>
        <v>0</v>
      </c>
      <c r="EN163" s="229">
        <f t="shared" si="413"/>
        <v>30</v>
      </c>
      <c r="EO163" s="229">
        <f t="shared" si="388"/>
        <v>82.3</v>
      </c>
      <c r="EP163" s="228">
        <f t="shared" si="496"/>
        <v>112.3</v>
      </c>
      <c r="EQ163" s="173">
        <f t="shared" si="441"/>
        <v>0</v>
      </c>
      <c r="ER163" s="189">
        <v>0</v>
      </c>
      <c r="ES163" s="189">
        <v>24.3</v>
      </c>
      <c r="ET163" s="189">
        <v>9.6999999999999993</v>
      </c>
      <c r="EU163" s="189">
        <v>16.8</v>
      </c>
      <c r="EV163" s="189">
        <v>0</v>
      </c>
      <c r="EW163" s="189">
        <v>102.5</v>
      </c>
      <c r="EX163" s="189">
        <v>0</v>
      </c>
      <c r="EY163" s="189">
        <v>45</v>
      </c>
      <c r="EZ163" s="189">
        <v>0</v>
      </c>
      <c r="FA163" s="189">
        <v>0</v>
      </c>
      <c r="FB163" s="189">
        <v>0</v>
      </c>
      <c r="FC163" s="189">
        <v>30</v>
      </c>
      <c r="FD163" s="189">
        <v>108</v>
      </c>
      <c r="FE163" s="189">
        <v>5.8</v>
      </c>
      <c r="FF163" s="189">
        <v>0</v>
      </c>
      <c r="FG163" s="189">
        <v>2.4</v>
      </c>
      <c r="FH163" s="189">
        <v>80</v>
      </c>
      <c r="FI163" s="189">
        <v>0</v>
      </c>
      <c r="FJ163" s="189">
        <v>0</v>
      </c>
      <c r="FK163" s="189">
        <v>424.5</v>
      </c>
      <c r="FL163" s="189">
        <v>314.8</v>
      </c>
      <c r="FN163" s="132">
        <v>30</v>
      </c>
    </row>
    <row r="164" spans="1:170" ht="30" customHeight="1">
      <c r="A164" s="88">
        <f>COUNTIF($H$12:H164,H164)</f>
        <v>22</v>
      </c>
      <c r="B164" s="88" t="s">
        <v>72</v>
      </c>
      <c r="C164" s="88" t="s">
        <v>2630</v>
      </c>
      <c r="D164" s="88" t="s">
        <v>621</v>
      </c>
      <c r="E164" s="88"/>
      <c r="F164" s="301" t="s">
        <v>2832</v>
      </c>
      <c r="G164" s="89" t="s">
        <v>607</v>
      </c>
      <c r="H164" s="88">
        <v>3</v>
      </c>
      <c r="I164" s="88">
        <v>3</v>
      </c>
      <c r="J164" s="88">
        <v>3</v>
      </c>
      <c r="K164" s="90" t="s">
        <v>1621</v>
      </c>
      <c r="L164" s="90" t="s">
        <v>1621</v>
      </c>
      <c r="M164" s="214"/>
      <c r="N164" s="88" t="s">
        <v>1804</v>
      </c>
      <c r="O164" s="216">
        <f>BO164</f>
        <v>2.34</v>
      </c>
      <c r="P164" s="88" t="str">
        <f t="shared" si="468"/>
        <v>B1_3</v>
      </c>
      <c r="Q164" s="88">
        <f t="shared" si="331"/>
        <v>270</v>
      </c>
      <c r="R164" s="88">
        <f t="shared" si="332"/>
        <v>100</v>
      </c>
      <c r="S164" s="218"/>
      <c r="T164" s="214" t="s">
        <v>3088</v>
      </c>
      <c r="U164" s="88">
        <f>IF(RIGHT(T164,1)="K",(VLOOKUP(T164,ma_miengiam!$A$3:$B$80,2,0)*100)/2,VLOOKUP(T164,ma_miengiam!$A$3:$B$80,2,0)*100)</f>
        <v>0</v>
      </c>
      <c r="V164" s="88"/>
      <c r="W164" s="220">
        <f>IF(AND(T164="NTS",V164&gt;0),(Q164-(Q164*V164)/12)*VLOOKUP(T164,ma_miengiam!$A$3:$B$80,2,0)+(Q164-(Q164*(12-V164))/12),IF(AND(RIGHT(T164,1)="K",V164&gt;0),(VLOOKUP(T164,ma_miengiam!$A$3:$B$80,2,0)/2)*(Q164*V164)/12,IF(RIGHT(T164,1)="K",(VLOOKUP(T164,ma_miengiam!$A$3:$B$80,2,0)*Q164)/2,IF(V164&gt;0,VLOOKUP(T164,ma_miengiam!$A$3:$B$80,2,0)*Q164*V164/12,VLOOKUP(T164,ma_miengiam!$A$3:$B$80,2,0)*Q164))))</f>
        <v>0</v>
      </c>
      <c r="X164" s="220">
        <f>IF(T164="NTS",VLOOKUP(T164,ma_miengiam!$A$3:$B$80,2,0)*R164*V164,IF(AND(T164="NTS",V164=0),0,IF(AND(LEFT(T164,1)="K",V164=0),VLOOKUP(T164,ma_miengiam!$A$3:$B$80,2,0)*R164,IF(LEFT(T164,1)="K",(VLOOKUP(T164,ma_miengiam!$A$3:$B$80,2,0)*R164/12)*V164,IF(AND(LEFT(T164,1)="S",V164&gt;0),(R164/12)*V164,IF(AND(LEFT(T164,1)="S",V164=0),R164,IF(T164="DH",VLOOKUP(T164,ma_miengiam!$A$3:$B$80,2,0)*R164,0)))))))</f>
        <v>0</v>
      </c>
      <c r="Y164" s="220">
        <f>IF(AND(T164="DH",V164&gt;0),(S164*V164/12),IF(AND(T164&lt;&gt;"NTS",V164&gt;0),(Q164*V164/12)-W164,IF(AND(T164="NTS",V164&gt;0),Q164-W164,Q164-W164)))</f>
        <v>270</v>
      </c>
      <c r="Z164" s="220">
        <f>IF(AND(T164="SĐH",V164&gt;0),(R164/12)*V164-X164,IF(AND(T164="DH",V164&gt;0),(R164*V164/12),IF(AND(T164&lt;&gt;"NTS",V164&gt;0),(R164*V164/12)-X164,IF(AND(T164="NTS",V164&gt;0),R164-X164,R164-X164))))</f>
        <v>100</v>
      </c>
      <c r="AA164" s="220">
        <f>Q164</f>
        <v>270</v>
      </c>
      <c r="AB164" s="220">
        <f>R164</f>
        <v>100</v>
      </c>
      <c r="AC164" s="220">
        <f t="shared" ref="AC164:AF165" si="501">W164</f>
        <v>0</v>
      </c>
      <c r="AD164" s="220">
        <f t="shared" si="501"/>
        <v>0</v>
      </c>
      <c r="AE164" s="220">
        <f t="shared" si="501"/>
        <v>270</v>
      </c>
      <c r="AF164" s="220">
        <f t="shared" si="501"/>
        <v>100</v>
      </c>
      <c r="AG164" s="220">
        <f>AH164+AI164</f>
        <v>78.41</v>
      </c>
      <c r="AH164" s="220">
        <f>EO164</f>
        <v>48.41</v>
      </c>
      <c r="AI164" s="220">
        <f>EN164</f>
        <v>30</v>
      </c>
      <c r="AJ164" s="220">
        <f>IF(AG164-Z164&gt;0,0,AG164-Z164)</f>
        <v>-21.590000000000003</v>
      </c>
      <c r="AK164" s="216">
        <f t="shared" si="410"/>
        <v>291.59000000000003</v>
      </c>
      <c r="AL164" s="220">
        <f t="shared" si="425"/>
        <v>82</v>
      </c>
      <c r="AM164" s="220">
        <f t="shared" si="426"/>
        <v>0</v>
      </c>
      <c r="AN164" s="221">
        <f t="shared" si="427"/>
        <v>82</v>
      </c>
      <c r="AO164" s="220">
        <f t="shared" si="428"/>
        <v>20</v>
      </c>
      <c r="AP164" s="220">
        <f t="shared" si="429"/>
        <v>15</v>
      </c>
      <c r="AQ164" s="220">
        <f t="shared" si="430"/>
        <v>0</v>
      </c>
      <c r="AR164" s="220">
        <f t="shared" si="431"/>
        <v>0</v>
      </c>
      <c r="AS164" s="220">
        <f t="shared" si="432"/>
        <v>0</v>
      </c>
      <c r="AT164" s="216">
        <f t="shared" si="433"/>
        <v>117</v>
      </c>
      <c r="AU164" s="222">
        <f>AN164-AK164</f>
        <v>-209.59000000000003</v>
      </c>
      <c r="AV164" s="220"/>
      <c r="AW164" s="220">
        <f>IF(AU164&gt;0,AU164,AV164+AU164)</f>
        <v>-209.59000000000003</v>
      </c>
      <c r="AX164" s="216">
        <f t="shared" si="411"/>
        <v>-209.59000000000003</v>
      </c>
      <c r="AY164" s="220">
        <f>IF(AN164&gt;=AK164,AO164,IF(AN164+AO164-AK164&gt;=0,AN164+AO164-AK164,0))</f>
        <v>0</v>
      </c>
      <c r="AZ164" s="220">
        <f>IF(OR(AN164&gt;=AK164,AN164+AO164&gt;=AK164),AP164,IF(AN164+AO164+AP164&gt;AK164,AN164+AO164+AP164-AK164,0))</f>
        <v>0</v>
      </c>
      <c r="BA164" s="220">
        <f>IF(OR(AN164&gt;=AK164,AN164+AO164&gt;=AK164,AN164+AO164+AP164&gt;=AK164),AQ164,IF(AN164+AO164+AP164+AQ164&gt;=AK164,AN164+AO164+AP164+AQ164-AK164,0))</f>
        <v>0</v>
      </c>
      <c r="BB164" s="220">
        <f>IF(OR(AN164&gt;=AK164,AN164+AO164&gt;=AK164,AN164+AO164+AP164&gt;=AK164,AN164+AO164+AP164+AQ164&gt;=AK164),AR164,IF(AN164+AO164+AP164+AQ164+AR164&gt;=AK164,AN164+AO164+AP164+AQ164+AR164-AK164,0))</f>
        <v>0</v>
      </c>
      <c r="BC164" s="220">
        <f>IF(OR(AN164&gt;=AK164,AN164+AO164&gt;=AK164,AN164+AO164+AP164&gt;=AK164,AN164+AO164+AP164+AQ164&gt;=AK164,AN164+AO164+AP164+AQ164+AR164&gt;=AK164),AS164,IF(AN164+AO164+AP164+AQ164+AR164+AS164&gt;=AK164,AN164+AO164+AP164+AQ164+AR164+AS164-AK164,0))</f>
        <v>0</v>
      </c>
      <c r="BD164" s="216">
        <f t="shared" si="375"/>
        <v>0</v>
      </c>
      <c r="BE164" s="220">
        <f>AY164-AO164</f>
        <v>-20</v>
      </c>
      <c r="BF164" s="220">
        <f>AZ164-AP164</f>
        <v>-15</v>
      </c>
      <c r="BG164" s="220">
        <f>BA164-AQ164</f>
        <v>0</v>
      </c>
      <c r="BH164" s="220">
        <f>BB164-AR164</f>
        <v>0</v>
      </c>
      <c r="BI164" s="220">
        <f>BC164-AS164</f>
        <v>0</v>
      </c>
      <c r="BJ164" s="220" t="s">
        <v>44</v>
      </c>
      <c r="BK164" s="220"/>
      <c r="BL164" s="223">
        <f t="shared" si="412"/>
        <v>0</v>
      </c>
      <c r="BM164" s="220">
        <v>2.34</v>
      </c>
      <c r="BN164" s="220"/>
      <c r="BO164" s="220">
        <f t="shared" ref="BO164:BO170" si="502">ROUND(BM164+(BM164*BN164),2)</f>
        <v>2.34</v>
      </c>
      <c r="BP164" s="220">
        <f>IF(AND(BL164&gt;0,BL164&lt;tiet!$D$1),BL164,IF(BL164&lt;=0,0,IF(BL164&gt;tiet!$C$1,tiet!$C$1)))</f>
        <v>0</v>
      </c>
      <c r="BQ164" s="87">
        <f>VLOOKUP(P164,ma_dinhmuc_moi,4,0)</f>
        <v>60000</v>
      </c>
      <c r="BR164" s="224">
        <f>ROUND(BQ164*BP164,0)</f>
        <v>0</v>
      </c>
      <c r="BS164" s="220">
        <f t="shared" si="434"/>
        <v>0</v>
      </c>
      <c r="BT164" s="224">
        <f>VLOOKUP(N164,ma_dinhmuc!$A$1:$J$31,10,0)</f>
        <v>51000</v>
      </c>
      <c r="BU164" s="224">
        <f>ROUND(IF(BS164&gt;0,VLOOKUP(N164,ma_dinhmuc!$A$1:$J$31,10,0)*BS164,0),0)</f>
        <v>0</v>
      </c>
      <c r="BV164" s="224">
        <f>ROUND(BU164+BR164,0)</f>
        <v>0</v>
      </c>
      <c r="BW164" s="224"/>
      <c r="BX164" s="224">
        <v>0</v>
      </c>
      <c r="BY164" s="224"/>
      <c r="BZ164" s="224"/>
      <c r="CA164" s="224"/>
      <c r="CB164" s="224"/>
      <c r="CC164" s="225">
        <f>ROUND(IF(BV164+BW164&gt;BX164+BY164+BZ164+CA164+CB164,(BW164+BV164)-(BX164+BY164+BZ164+CA164+CB164+CB164),0),0)</f>
        <v>0</v>
      </c>
      <c r="CD164" s="224">
        <f>ROUND(IF(BV164+BW164&lt;BX164+BY164+BZ164+CA164-CB164,(BX164+BY164+BZ164+CA164-CB164)-(BW164+BV164),0),0)</f>
        <v>0</v>
      </c>
      <c r="CE164" s="224"/>
      <c r="CF164" s="226"/>
      <c r="CG164" s="87"/>
      <c r="CH164" s="87">
        <f t="shared" si="491"/>
        <v>22</v>
      </c>
      <c r="CI164" s="227" t="str">
        <f>F164</f>
        <v>Nguyễn Quang</v>
      </c>
      <c r="CJ164" s="227" t="str">
        <f>G164</f>
        <v>Huy</v>
      </c>
      <c r="CK164" s="87">
        <f>H164</f>
        <v>3</v>
      </c>
      <c r="CL164" s="227" t="str">
        <f>L164</f>
        <v>Quy hoạch đất</v>
      </c>
      <c r="CM164" s="87" t="str">
        <f>N164</f>
        <v>CS2</v>
      </c>
      <c r="CN164" s="87">
        <f>Q164</f>
        <v>270</v>
      </c>
      <c r="CO164" s="87">
        <f>R164</f>
        <v>100</v>
      </c>
      <c r="CP164" s="229">
        <f t="shared" si="444"/>
        <v>0</v>
      </c>
      <c r="CQ164" s="229">
        <f t="shared" si="445"/>
        <v>8</v>
      </c>
      <c r="CR164" s="229">
        <f t="shared" si="446"/>
        <v>3.2</v>
      </c>
      <c r="CS164" s="229">
        <f t="shared" si="447"/>
        <v>16.8</v>
      </c>
      <c r="CT164" s="229">
        <f t="shared" si="448"/>
        <v>0</v>
      </c>
      <c r="CU164" s="229">
        <f t="shared" si="449"/>
        <v>54</v>
      </c>
      <c r="CV164" s="229">
        <f t="shared" si="450"/>
        <v>0</v>
      </c>
      <c r="CW164" s="229">
        <f t="shared" si="451"/>
        <v>0</v>
      </c>
      <c r="CX164" s="229">
        <f t="shared" si="452"/>
        <v>0</v>
      </c>
      <c r="CY164" s="229">
        <f t="shared" si="453"/>
        <v>20</v>
      </c>
      <c r="CZ164" s="229">
        <f t="shared" si="454"/>
        <v>15</v>
      </c>
      <c r="DA164" s="229">
        <f t="shared" si="455"/>
        <v>0</v>
      </c>
      <c r="DB164" s="228">
        <f t="shared" si="423"/>
        <v>117</v>
      </c>
      <c r="DC164" s="229"/>
      <c r="DD164" s="229"/>
      <c r="DE164" s="229"/>
      <c r="DF164" s="229"/>
      <c r="DG164" s="229"/>
      <c r="DH164" s="229"/>
      <c r="DI164" s="229"/>
      <c r="DJ164" s="229"/>
      <c r="DK164" s="229"/>
      <c r="DL164" s="229"/>
      <c r="DM164" s="229"/>
      <c r="DN164" s="229"/>
      <c r="DO164" s="228">
        <f t="shared" si="436"/>
        <v>0</v>
      </c>
      <c r="DP164" s="228">
        <f t="shared" si="437"/>
        <v>117</v>
      </c>
      <c r="DQ164" s="229">
        <f t="shared" si="456"/>
        <v>0</v>
      </c>
      <c r="DR164" s="229">
        <f t="shared" si="457"/>
        <v>0</v>
      </c>
      <c r="DS164" s="229">
        <f t="shared" si="458"/>
        <v>0</v>
      </c>
      <c r="DT164" s="229">
        <f t="shared" si="459"/>
        <v>0</v>
      </c>
      <c r="DU164" s="229">
        <f t="shared" si="460"/>
        <v>0</v>
      </c>
      <c r="DV164" s="229">
        <f t="shared" si="461"/>
        <v>0</v>
      </c>
      <c r="DW164" s="229">
        <f t="shared" si="462"/>
        <v>0</v>
      </c>
      <c r="DX164" s="228">
        <f t="shared" si="424"/>
        <v>0</v>
      </c>
      <c r="DY164" s="229"/>
      <c r="DZ164" s="229"/>
      <c r="EA164" s="229"/>
      <c r="EB164" s="229"/>
      <c r="EC164" s="229"/>
      <c r="ED164" s="229"/>
      <c r="EE164" s="229"/>
      <c r="EF164" s="228">
        <f t="shared" si="438"/>
        <v>0</v>
      </c>
      <c r="EG164" s="228">
        <f t="shared" si="439"/>
        <v>0</v>
      </c>
      <c r="EH164" s="229">
        <f t="shared" si="440"/>
        <v>30</v>
      </c>
      <c r="EI164" s="229">
        <v>48.41</v>
      </c>
      <c r="EJ164" s="228">
        <f>SUM(EH164:EI164)</f>
        <v>78.41</v>
      </c>
      <c r="EK164" s="229"/>
      <c r="EL164" s="229"/>
      <c r="EM164" s="228">
        <f>SUM(EK164:EL164)</f>
        <v>0</v>
      </c>
      <c r="EN164" s="229">
        <f>EK164+EH164+EL164</f>
        <v>30</v>
      </c>
      <c r="EO164" s="229">
        <f>EI164</f>
        <v>48.41</v>
      </c>
      <c r="EP164" s="228">
        <f>EM164+EJ164</f>
        <v>78.41</v>
      </c>
      <c r="EQ164" s="173">
        <f t="shared" si="441"/>
        <v>0</v>
      </c>
      <c r="ER164" s="189">
        <v>0</v>
      </c>
      <c r="ES164" s="189">
        <v>8</v>
      </c>
      <c r="ET164" s="189">
        <v>3.2</v>
      </c>
      <c r="EU164" s="189">
        <v>16.8</v>
      </c>
      <c r="EV164" s="189">
        <v>0</v>
      </c>
      <c r="EW164" s="189">
        <v>54</v>
      </c>
      <c r="EX164" s="189">
        <v>0</v>
      </c>
      <c r="EY164" s="189">
        <v>0</v>
      </c>
      <c r="EZ164" s="189">
        <v>0</v>
      </c>
      <c r="FA164" s="189">
        <v>20</v>
      </c>
      <c r="FB164" s="189">
        <v>15</v>
      </c>
      <c r="FC164" s="189">
        <v>0</v>
      </c>
      <c r="FD164" s="189">
        <v>0</v>
      </c>
      <c r="FE164" s="189">
        <v>0</v>
      </c>
      <c r="FF164" s="189">
        <v>0</v>
      </c>
      <c r="FG164" s="189">
        <v>0</v>
      </c>
      <c r="FH164" s="189">
        <v>0</v>
      </c>
      <c r="FI164" s="189">
        <v>0</v>
      </c>
      <c r="FJ164" s="189">
        <v>0</v>
      </c>
      <c r="FK164" s="189">
        <v>117</v>
      </c>
      <c r="FL164" s="189">
        <v>107.8</v>
      </c>
      <c r="FN164" s="132">
        <v>30</v>
      </c>
    </row>
    <row r="165" spans="1:170" ht="30" customHeight="1">
      <c r="A165" s="88">
        <f>COUNTIF($H$12:H165,H165)</f>
        <v>23</v>
      </c>
      <c r="B165" s="88" t="s">
        <v>73</v>
      </c>
      <c r="C165" s="88" t="s">
        <v>2631</v>
      </c>
      <c r="D165" s="88"/>
      <c r="E165" s="88"/>
      <c r="F165" s="301" t="s">
        <v>1027</v>
      </c>
      <c r="G165" s="89" t="s">
        <v>2911</v>
      </c>
      <c r="H165" s="88">
        <v>3</v>
      </c>
      <c r="I165" s="88">
        <v>3</v>
      </c>
      <c r="J165" s="88">
        <v>3</v>
      </c>
      <c r="K165" s="90" t="s">
        <v>1622</v>
      </c>
      <c r="L165" s="90" t="s">
        <v>1622</v>
      </c>
      <c r="M165" s="214"/>
      <c r="N165" s="88" t="s">
        <v>605</v>
      </c>
      <c r="O165" s="216">
        <f t="shared" si="463"/>
        <v>6.56</v>
      </c>
      <c r="P165" s="88" t="str">
        <f t="shared" si="468"/>
        <v>B1_7</v>
      </c>
      <c r="Q165" s="88">
        <f t="shared" si="331"/>
        <v>270</v>
      </c>
      <c r="R165" s="88">
        <f t="shared" si="332"/>
        <v>200</v>
      </c>
      <c r="S165" s="218"/>
      <c r="T165" s="219" t="s">
        <v>3088</v>
      </c>
      <c r="U165" s="88">
        <f>IF(RIGHT(T165,1)="K",(VLOOKUP(T165,ma_miengiam!$A$3:$B$80,2,0)*100)/2,VLOOKUP(T165,ma_miengiam!$A$3:$B$80,2,0)*100)</f>
        <v>0</v>
      </c>
      <c r="V165" s="88"/>
      <c r="W165" s="220">
        <f>IF(AND(T165="NTS",V165&gt;0),(Q165-(Q165*V165)/12)*VLOOKUP(T165,ma_miengiam!$A$3:$B$80,2,0)+(Q165-(Q165*(12-V165))/12),IF(AND(RIGHT(T165,1)="K",V165&gt;0),(VLOOKUP(T165,ma_miengiam!$A$3:$B$80,2,0)/2)*(Q165*V165)/12,IF(RIGHT(T165,1)="K",(VLOOKUP(T165,ma_miengiam!$A$3:$B$80,2,0)*Q165)/2,IF(V165&gt;0,VLOOKUP(T165,ma_miengiam!$A$3:$B$80,2,0)*Q165*V165/12,VLOOKUP(T165,ma_miengiam!$A$3:$B$80,2,0)*Q165))))</f>
        <v>0</v>
      </c>
      <c r="X165" s="220">
        <f>IF(T165="NTS",VLOOKUP(T165,ma_miengiam!$A$3:$B$80,2,0)*R165*V165,IF(AND(T165="NTS",V165=0),0,IF(AND(LEFT(T165,1)="K",V165=0),VLOOKUP(T165,ma_miengiam!$A$3:$B$80,2,0)*R165,IF(LEFT(T165,1)="K",(VLOOKUP(T165,ma_miengiam!$A$3:$B$80,2,0)*R165/12)*V165,IF(AND(LEFT(T165,1)="S",V165&gt;0),(R165/12)*V165,IF(AND(LEFT(T165,1)="S",V165=0),R165,IF(T165="DH",VLOOKUP(T165,ma_miengiam!$A$3:$B$80,2,0)*R165,0)))))))</f>
        <v>0</v>
      </c>
      <c r="Y165" s="220">
        <f t="shared" ref="Y165:Y197" si="503">IF(AND(T165="DH",V165&gt;0),(S165*V165/12),IF(AND(T165&lt;&gt;"NTS",V165&gt;0),(Q165*V165/12)-W165,IF(AND(T165="NTS",V165&gt;0),Q165-W165,Q165-W165)))</f>
        <v>270</v>
      </c>
      <c r="Z165" s="220">
        <f t="shared" ref="Z165:Z191" si="504">IF(AND(T165="SĐH",V165&gt;0),(R165/12)*V165-X165,IF(AND(T165="DH",V165&gt;0),(R165*V165/12),IF(AND(T165&lt;&gt;"NTS",V165&gt;0),(R165*V165/12)-X165,IF(AND(T165="NTS",V165&gt;0),R165-X165,R165-X165))))</f>
        <v>200</v>
      </c>
      <c r="AA165" s="220">
        <f t="shared" ref="AA165:AB167" si="505">Q165</f>
        <v>270</v>
      </c>
      <c r="AB165" s="220">
        <f t="shared" si="505"/>
        <v>200</v>
      </c>
      <c r="AC165" s="220">
        <f t="shared" si="501"/>
        <v>0</v>
      </c>
      <c r="AD165" s="220">
        <f t="shared" si="501"/>
        <v>0</v>
      </c>
      <c r="AE165" s="220">
        <f t="shared" si="501"/>
        <v>270</v>
      </c>
      <c r="AF165" s="220">
        <f t="shared" si="501"/>
        <v>200</v>
      </c>
      <c r="AG165" s="220">
        <f t="shared" ref="AG165:AG173" si="506">AH165+AI165</f>
        <v>317.07</v>
      </c>
      <c r="AH165" s="220">
        <f t="shared" ref="AH165:AH173" si="507">EO165</f>
        <v>160.41</v>
      </c>
      <c r="AI165" s="220">
        <f t="shared" ref="AI165:AI173" si="508">EN165</f>
        <v>156.66</v>
      </c>
      <c r="AJ165" s="220">
        <f t="shared" si="380"/>
        <v>0</v>
      </c>
      <c r="AK165" s="216">
        <f t="shared" si="410"/>
        <v>270</v>
      </c>
      <c r="AL165" s="220">
        <f t="shared" si="425"/>
        <v>62.7</v>
      </c>
      <c r="AM165" s="220">
        <f t="shared" si="426"/>
        <v>294.39999999999998</v>
      </c>
      <c r="AN165" s="221">
        <f t="shared" si="427"/>
        <v>357.09999999999997</v>
      </c>
      <c r="AO165" s="220">
        <f t="shared" si="428"/>
        <v>0</v>
      </c>
      <c r="AP165" s="220">
        <f t="shared" si="429"/>
        <v>0</v>
      </c>
      <c r="AQ165" s="220">
        <f t="shared" si="430"/>
        <v>0</v>
      </c>
      <c r="AR165" s="220">
        <f t="shared" si="431"/>
        <v>176</v>
      </c>
      <c r="AS165" s="220">
        <f t="shared" si="432"/>
        <v>20</v>
      </c>
      <c r="AT165" s="216">
        <f t="shared" si="433"/>
        <v>553.09999999999991</v>
      </c>
      <c r="AU165" s="222">
        <f t="shared" si="395"/>
        <v>87.099999999999966</v>
      </c>
      <c r="AV165" s="220"/>
      <c r="AW165" s="220">
        <f t="shared" si="350"/>
        <v>87.099999999999966</v>
      </c>
      <c r="AX165" s="216">
        <f t="shared" si="411"/>
        <v>0</v>
      </c>
      <c r="AY165" s="220">
        <f t="shared" si="362"/>
        <v>0</v>
      </c>
      <c r="AZ165" s="220">
        <f t="shared" si="363"/>
        <v>0</v>
      </c>
      <c r="BA165" s="220">
        <f t="shared" si="364"/>
        <v>0</v>
      </c>
      <c r="BB165" s="220">
        <f t="shared" si="365"/>
        <v>176</v>
      </c>
      <c r="BC165" s="220">
        <f t="shared" si="366"/>
        <v>20</v>
      </c>
      <c r="BD165" s="216">
        <f t="shared" si="375"/>
        <v>196</v>
      </c>
      <c r="BE165" s="220">
        <f t="shared" si="351"/>
        <v>0</v>
      </c>
      <c r="BF165" s="220">
        <f t="shared" si="352"/>
        <v>0</v>
      </c>
      <c r="BG165" s="220">
        <f t="shared" si="353"/>
        <v>0</v>
      </c>
      <c r="BH165" s="220">
        <f t="shared" si="354"/>
        <v>0</v>
      </c>
      <c r="BI165" s="220">
        <f t="shared" si="355"/>
        <v>0</v>
      </c>
      <c r="BJ165" s="220" t="s">
        <v>1805</v>
      </c>
      <c r="BK165" s="220"/>
      <c r="BL165" s="223">
        <f t="shared" si="412"/>
        <v>87.099999999999966</v>
      </c>
      <c r="BM165" s="220">
        <v>6.56</v>
      </c>
      <c r="BN165" s="220"/>
      <c r="BO165" s="220">
        <f t="shared" si="502"/>
        <v>6.56</v>
      </c>
      <c r="BP165" s="220">
        <f>IF(AND(BL165&gt;0,BL165&lt;tiet!$D$1),BL165,IF(BL165&lt;=0,0,IF(BL165&gt;tiet!$C$1,tiet!$C$1)))</f>
        <v>87.099999999999966</v>
      </c>
      <c r="BQ165" s="87">
        <f t="shared" ref="BQ165:BQ213" si="509">VLOOKUP(P165,ma_dinhmuc_moi,4,0)</f>
        <v>80000</v>
      </c>
      <c r="BR165" s="224">
        <f t="shared" ref="BR165:BR213" si="510">ROUND(BQ165*BP165,0)</f>
        <v>6968000</v>
      </c>
      <c r="BS165" s="220">
        <f t="shared" si="434"/>
        <v>0</v>
      </c>
      <c r="BT165" s="224">
        <f>VLOOKUP(N165,ma_dinhmuc!$A$1:$J$31,10,0)</f>
        <v>65000</v>
      </c>
      <c r="BU165" s="224">
        <f>ROUND(IF(BS165&gt;0,VLOOKUP(N165,ma_dinhmuc!$A$1:$J$31,10,0)*BS165,0),0)</f>
        <v>0</v>
      </c>
      <c r="BV165" s="224">
        <f t="shared" ref="BV165:BV213" si="511">ROUND(BU165+BR165,0)</f>
        <v>6968000</v>
      </c>
      <c r="BW165" s="224"/>
      <c r="BX165" s="224">
        <v>0</v>
      </c>
      <c r="BY165" s="224"/>
      <c r="BZ165" s="224"/>
      <c r="CA165" s="224"/>
      <c r="CB165" s="224"/>
      <c r="CC165" s="225">
        <f t="shared" si="384"/>
        <v>6968000</v>
      </c>
      <c r="CD165" s="224">
        <f t="shared" si="385"/>
        <v>0</v>
      </c>
      <c r="CE165" s="224"/>
      <c r="CF165" s="226"/>
      <c r="CG165" s="87"/>
      <c r="CH165" s="87">
        <f t="shared" si="491"/>
        <v>23</v>
      </c>
      <c r="CI165" s="227" t="str">
        <f t="shared" si="471"/>
        <v>Hồ Thị Lam</v>
      </c>
      <c r="CJ165" s="227" t="str">
        <f t="shared" si="472"/>
        <v>Trà</v>
      </c>
      <c r="CK165" s="87">
        <f t="shared" si="489"/>
        <v>3</v>
      </c>
      <c r="CL165" s="227" t="str">
        <f t="shared" si="490"/>
        <v>Quản lý đất đai</v>
      </c>
      <c r="CM165" s="87" t="str">
        <f t="shared" si="358"/>
        <v>CS4</v>
      </c>
      <c r="CN165" s="87">
        <f>Q165</f>
        <v>270</v>
      </c>
      <c r="CO165" s="87">
        <f>R165</f>
        <v>200</v>
      </c>
      <c r="CP165" s="229">
        <f t="shared" si="444"/>
        <v>0</v>
      </c>
      <c r="CQ165" s="229">
        <f t="shared" si="445"/>
        <v>1.9</v>
      </c>
      <c r="CR165" s="229">
        <f t="shared" si="446"/>
        <v>0.8</v>
      </c>
      <c r="CS165" s="229">
        <f t="shared" si="447"/>
        <v>0</v>
      </c>
      <c r="CT165" s="229">
        <f t="shared" si="448"/>
        <v>0</v>
      </c>
      <c r="CU165" s="229">
        <f t="shared" si="449"/>
        <v>30</v>
      </c>
      <c r="CV165" s="229">
        <f t="shared" si="450"/>
        <v>0</v>
      </c>
      <c r="CW165" s="229">
        <f t="shared" si="451"/>
        <v>30</v>
      </c>
      <c r="CX165" s="229">
        <f t="shared" si="452"/>
        <v>0</v>
      </c>
      <c r="CY165" s="229">
        <f t="shared" si="453"/>
        <v>0</v>
      </c>
      <c r="CZ165" s="229">
        <f t="shared" si="454"/>
        <v>0</v>
      </c>
      <c r="DA165" s="229">
        <f t="shared" si="455"/>
        <v>0</v>
      </c>
      <c r="DB165" s="228">
        <f t="shared" si="423"/>
        <v>62.7</v>
      </c>
      <c r="DC165" s="229"/>
      <c r="DD165" s="229"/>
      <c r="DE165" s="229"/>
      <c r="DF165" s="229"/>
      <c r="DG165" s="229"/>
      <c r="DH165" s="229"/>
      <c r="DI165" s="229"/>
      <c r="DJ165" s="229"/>
      <c r="DK165" s="229"/>
      <c r="DL165" s="229"/>
      <c r="DM165" s="229"/>
      <c r="DN165" s="229"/>
      <c r="DO165" s="228">
        <f t="shared" si="436"/>
        <v>0</v>
      </c>
      <c r="DP165" s="228">
        <f t="shared" si="437"/>
        <v>62.7</v>
      </c>
      <c r="DQ165" s="229">
        <f t="shared" si="456"/>
        <v>243</v>
      </c>
      <c r="DR165" s="229">
        <f t="shared" si="457"/>
        <v>4.5</v>
      </c>
      <c r="DS165" s="229">
        <f t="shared" si="458"/>
        <v>0</v>
      </c>
      <c r="DT165" s="229">
        <f t="shared" si="459"/>
        <v>1.9</v>
      </c>
      <c r="DU165" s="229">
        <f t="shared" si="460"/>
        <v>45</v>
      </c>
      <c r="DV165" s="229">
        <f t="shared" si="461"/>
        <v>176</v>
      </c>
      <c r="DW165" s="229">
        <f t="shared" si="462"/>
        <v>20</v>
      </c>
      <c r="DX165" s="228">
        <f t="shared" si="424"/>
        <v>490.4</v>
      </c>
      <c r="DY165" s="229"/>
      <c r="DZ165" s="229"/>
      <c r="EA165" s="229"/>
      <c r="EB165" s="229"/>
      <c r="EC165" s="229"/>
      <c r="ED165" s="229"/>
      <c r="EE165" s="229"/>
      <c r="EF165" s="228">
        <f t="shared" si="438"/>
        <v>0</v>
      </c>
      <c r="EG165" s="228">
        <f t="shared" si="439"/>
        <v>490.4</v>
      </c>
      <c r="EH165" s="229">
        <f t="shared" si="440"/>
        <v>156.66</v>
      </c>
      <c r="EI165" s="229">
        <v>160.41</v>
      </c>
      <c r="EJ165" s="228">
        <f t="shared" si="495"/>
        <v>317.07</v>
      </c>
      <c r="EK165" s="229"/>
      <c r="EL165" s="229"/>
      <c r="EM165" s="228">
        <f t="shared" si="398"/>
        <v>0</v>
      </c>
      <c r="EN165" s="229">
        <f t="shared" si="413"/>
        <v>156.66</v>
      </c>
      <c r="EO165" s="229">
        <f t="shared" si="388"/>
        <v>160.41</v>
      </c>
      <c r="EP165" s="228">
        <f t="shared" si="496"/>
        <v>317.07</v>
      </c>
      <c r="EQ165" s="173">
        <f t="shared" si="441"/>
        <v>0</v>
      </c>
      <c r="ER165" s="189">
        <v>0</v>
      </c>
      <c r="ES165" s="189">
        <v>1.9</v>
      </c>
      <c r="ET165" s="189">
        <v>0.8</v>
      </c>
      <c r="EU165" s="189">
        <v>0</v>
      </c>
      <c r="EV165" s="189">
        <v>0</v>
      </c>
      <c r="EW165" s="189">
        <v>30</v>
      </c>
      <c r="EX165" s="189">
        <v>0</v>
      </c>
      <c r="EY165" s="189">
        <v>30</v>
      </c>
      <c r="EZ165" s="189">
        <v>0</v>
      </c>
      <c r="FA165" s="189">
        <v>0</v>
      </c>
      <c r="FB165" s="189">
        <v>0</v>
      </c>
      <c r="FC165" s="189">
        <v>0</v>
      </c>
      <c r="FD165" s="189">
        <v>243</v>
      </c>
      <c r="FE165" s="189">
        <v>4.5</v>
      </c>
      <c r="FF165" s="189">
        <v>0</v>
      </c>
      <c r="FG165" s="189">
        <v>1.9</v>
      </c>
      <c r="FH165" s="189">
        <v>176</v>
      </c>
      <c r="FI165" s="189">
        <v>45</v>
      </c>
      <c r="FJ165" s="189">
        <v>20</v>
      </c>
      <c r="FK165" s="189">
        <v>553.1</v>
      </c>
      <c r="FL165" s="189">
        <v>442</v>
      </c>
      <c r="FN165" s="132">
        <v>156.66</v>
      </c>
    </row>
    <row r="166" spans="1:170" ht="26.25" customHeight="1">
      <c r="A166" s="88">
        <f>COUNTIF($H$12:H166,H166)</f>
        <v>24</v>
      </c>
      <c r="B166" s="88" t="s">
        <v>74</v>
      </c>
      <c r="C166" s="88" t="s">
        <v>3138</v>
      </c>
      <c r="D166" s="88"/>
      <c r="E166" s="88"/>
      <c r="F166" s="301" t="s">
        <v>2912</v>
      </c>
      <c r="G166" s="89" t="s">
        <v>963</v>
      </c>
      <c r="H166" s="88">
        <v>3</v>
      </c>
      <c r="I166" s="88">
        <v>3</v>
      </c>
      <c r="J166" s="88">
        <v>3</v>
      </c>
      <c r="K166" s="90" t="s">
        <v>1622</v>
      </c>
      <c r="L166" s="90" t="s">
        <v>1622</v>
      </c>
      <c r="M166" s="214"/>
      <c r="N166" s="88" t="s">
        <v>1804</v>
      </c>
      <c r="O166" s="216">
        <f t="shared" si="463"/>
        <v>3.99</v>
      </c>
      <c r="P166" s="88" t="str">
        <f t="shared" si="468"/>
        <v>B1_4</v>
      </c>
      <c r="Q166" s="88">
        <f t="shared" si="331"/>
        <v>270</v>
      </c>
      <c r="R166" s="88">
        <f t="shared" si="332"/>
        <v>120</v>
      </c>
      <c r="S166" s="234"/>
      <c r="T166" s="219" t="s">
        <v>3088</v>
      </c>
      <c r="U166" s="88">
        <f>IF(RIGHT(T166,1)="K",(VLOOKUP(T166,ma_miengiam!$A$3:$B$80,2,0)*100)/2,VLOOKUP(T166,ma_miengiam!$A$3:$B$80,2,0)*100)</f>
        <v>0</v>
      </c>
      <c r="V166" s="88"/>
      <c r="W166" s="220">
        <f>IF(AND(T166="NTS",V166&gt;0),(Q166-(Q166*V166)/12)*VLOOKUP(T166,ma_miengiam!$A$3:$B$80,2,0)+(Q166-(Q166*(12-V166))/12),IF(AND(RIGHT(T166,1)="K",V166&gt;0),(VLOOKUP(T166,ma_miengiam!$A$3:$B$80,2,0)/2)*(Q166*V166)/12,IF(RIGHT(T166,1)="K",(VLOOKUP(T166,ma_miengiam!$A$3:$B$80,2,0)*Q166)/2,IF(V166&gt;0,VLOOKUP(T166,ma_miengiam!$A$3:$B$80,2,0)*Q166*V166/12,VLOOKUP(T166,ma_miengiam!$A$3:$B$80,2,0)*Q166))))</f>
        <v>0</v>
      </c>
      <c r="X166" s="220">
        <f>IF(T166="NTS",VLOOKUP(T166,ma_miengiam!$A$3:$B$80,2,0)*R166*V166,IF(AND(T166="NTS",V166=0),0,IF(AND(LEFT(T166,1)="K",V166=0),VLOOKUP(T166,ma_miengiam!$A$3:$B$80,2,0)*R166,IF(LEFT(T166,1)="K",(VLOOKUP(T166,ma_miengiam!$A$3:$B$80,2,0)*R166/12)*V166,IF(AND(LEFT(T166,1)="S",V166&gt;0),(R166/12)*V166,IF(AND(LEFT(T166,1)="S",V166=0),R166,IF(T166="DH",VLOOKUP(T166,ma_miengiam!$A$3:$B$80,2,0)*R166,0)))))))</f>
        <v>0</v>
      </c>
      <c r="Y166" s="220">
        <f t="shared" si="503"/>
        <v>270</v>
      </c>
      <c r="Z166" s="220">
        <f t="shared" si="504"/>
        <v>120</v>
      </c>
      <c r="AA166" s="220">
        <f t="shared" si="505"/>
        <v>270</v>
      </c>
      <c r="AB166" s="220">
        <f t="shared" si="505"/>
        <v>120</v>
      </c>
      <c r="AC166" s="220">
        <f t="shared" ref="AC166:AF167" si="512">W166</f>
        <v>0</v>
      </c>
      <c r="AD166" s="220">
        <f t="shared" si="512"/>
        <v>0</v>
      </c>
      <c r="AE166" s="220">
        <f t="shared" si="512"/>
        <v>270</v>
      </c>
      <c r="AF166" s="220">
        <f t="shared" si="512"/>
        <v>120</v>
      </c>
      <c r="AG166" s="220">
        <f t="shared" si="506"/>
        <v>67.91</v>
      </c>
      <c r="AH166" s="220">
        <f t="shared" si="507"/>
        <v>49.16</v>
      </c>
      <c r="AI166" s="220">
        <f t="shared" si="508"/>
        <v>18.75</v>
      </c>
      <c r="AJ166" s="220">
        <f t="shared" ref="AJ166:AJ215" si="513">IF(AG166-Z166&gt;0,0,AG166-Z166)</f>
        <v>-52.09</v>
      </c>
      <c r="AK166" s="216">
        <f t="shared" si="410"/>
        <v>322.09000000000003</v>
      </c>
      <c r="AL166" s="220">
        <f t="shared" si="425"/>
        <v>55</v>
      </c>
      <c r="AM166" s="220">
        <f t="shared" si="426"/>
        <v>0</v>
      </c>
      <c r="AN166" s="221">
        <f t="shared" si="427"/>
        <v>55</v>
      </c>
      <c r="AO166" s="220">
        <f t="shared" si="428"/>
        <v>0</v>
      </c>
      <c r="AP166" s="220">
        <f t="shared" si="429"/>
        <v>0</v>
      </c>
      <c r="AQ166" s="220">
        <f t="shared" si="430"/>
        <v>110</v>
      </c>
      <c r="AR166" s="220">
        <f t="shared" si="431"/>
        <v>0</v>
      </c>
      <c r="AS166" s="220">
        <f t="shared" si="432"/>
        <v>0</v>
      </c>
      <c r="AT166" s="216">
        <f t="shared" si="433"/>
        <v>165</v>
      </c>
      <c r="AU166" s="222">
        <f t="shared" si="395"/>
        <v>-267.09000000000003</v>
      </c>
      <c r="AV166" s="220"/>
      <c r="AW166" s="220">
        <f t="shared" si="350"/>
        <v>-267.09000000000003</v>
      </c>
      <c r="AX166" s="216">
        <f t="shared" si="411"/>
        <v>-267.09000000000003</v>
      </c>
      <c r="AY166" s="220">
        <f t="shared" si="362"/>
        <v>0</v>
      </c>
      <c r="AZ166" s="220">
        <f t="shared" si="363"/>
        <v>0</v>
      </c>
      <c r="BA166" s="220">
        <f t="shared" si="364"/>
        <v>0</v>
      </c>
      <c r="BB166" s="220">
        <f t="shared" si="365"/>
        <v>0</v>
      </c>
      <c r="BC166" s="220">
        <f t="shared" si="366"/>
        <v>0</v>
      </c>
      <c r="BD166" s="216">
        <f t="shared" si="375"/>
        <v>0</v>
      </c>
      <c r="BE166" s="220">
        <f t="shared" si="351"/>
        <v>0</v>
      </c>
      <c r="BF166" s="220">
        <f t="shared" si="352"/>
        <v>0</v>
      </c>
      <c r="BG166" s="220">
        <f t="shared" si="353"/>
        <v>-110</v>
      </c>
      <c r="BH166" s="220">
        <f t="shared" si="354"/>
        <v>0</v>
      </c>
      <c r="BI166" s="220">
        <f t="shared" si="355"/>
        <v>0</v>
      </c>
      <c r="BJ166" s="220" t="s">
        <v>1805</v>
      </c>
      <c r="BK166" s="220"/>
      <c r="BL166" s="223">
        <f t="shared" si="412"/>
        <v>0</v>
      </c>
      <c r="BM166" s="220">
        <v>3.99</v>
      </c>
      <c r="BN166" s="220"/>
      <c r="BO166" s="220">
        <f t="shared" si="502"/>
        <v>3.99</v>
      </c>
      <c r="BP166" s="220">
        <f>IF(AND(BL166&gt;0,BL166&lt;tiet!$D$1),BL166,IF(BL166&lt;=0,0,IF(BL166&gt;tiet!$C$1,tiet!$C$1)))</f>
        <v>0</v>
      </c>
      <c r="BQ166" s="87">
        <f t="shared" si="509"/>
        <v>65000</v>
      </c>
      <c r="BR166" s="224">
        <f t="shared" si="510"/>
        <v>0</v>
      </c>
      <c r="BS166" s="220">
        <f t="shared" si="434"/>
        <v>0</v>
      </c>
      <c r="BT166" s="224">
        <f>VLOOKUP(N166,ma_dinhmuc!$A$1:$J$31,10,0)</f>
        <v>51000</v>
      </c>
      <c r="BU166" s="224">
        <f>ROUND(IF(BS166&gt;0,VLOOKUP(N166,ma_dinhmuc!$A$1:$J$31,10,0)*BS166,0),0)</f>
        <v>0</v>
      </c>
      <c r="BV166" s="224">
        <f t="shared" si="511"/>
        <v>0</v>
      </c>
      <c r="BW166" s="224"/>
      <c r="BX166" s="224">
        <v>0</v>
      </c>
      <c r="BY166" s="224"/>
      <c r="BZ166" s="224"/>
      <c r="CA166" s="224"/>
      <c r="CB166" s="224"/>
      <c r="CC166" s="225">
        <f t="shared" si="384"/>
        <v>0</v>
      </c>
      <c r="CD166" s="224">
        <f t="shared" si="385"/>
        <v>0</v>
      </c>
      <c r="CE166" s="224"/>
      <c r="CF166" s="226"/>
      <c r="CG166" s="87"/>
      <c r="CH166" s="87">
        <f t="shared" si="491"/>
        <v>24</v>
      </c>
      <c r="CI166" s="227" t="str">
        <f t="shared" si="471"/>
        <v>Nguyễn Thị Thu</v>
      </c>
      <c r="CJ166" s="227" t="str">
        <f t="shared" si="472"/>
        <v>Hương</v>
      </c>
      <c r="CK166" s="87">
        <f t="shared" si="489"/>
        <v>3</v>
      </c>
      <c r="CL166" s="227" t="str">
        <f t="shared" si="490"/>
        <v>Quản lý đất đai</v>
      </c>
      <c r="CM166" s="87" t="str">
        <f t="shared" si="358"/>
        <v>CS2</v>
      </c>
      <c r="CN166" s="87">
        <f t="shared" ref="CN166:CN174" si="514">Q166</f>
        <v>270</v>
      </c>
      <c r="CO166" s="87">
        <f t="shared" ref="CO166:CO174" si="515">R166</f>
        <v>120</v>
      </c>
      <c r="CP166" s="229">
        <f t="shared" si="444"/>
        <v>0</v>
      </c>
      <c r="CQ166" s="229">
        <f t="shared" si="445"/>
        <v>2.4</v>
      </c>
      <c r="CR166" s="229">
        <f t="shared" si="446"/>
        <v>1</v>
      </c>
      <c r="CS166" s="229">
        <f t="shared" si="447"/>
        <v>21.6</v>
      </c>
      <c r="CT166" s="229">
        <f t="shared" si="448"/>
        <v>0</v>
      </c>
      <c r="CU166" s="229">
        <f t="shared" si="449"/>
        <v>30</v>
      </c>
      <c r="CV166" s="229">
        <f t="shared" si="450"/>
        <v>0</v>
      </c>
      <c r="CW166" s="229">
        <f t="shared" si="451"/>
        <v>0</v>
      </c>
      <c r="CX166" s="229">
        <f t="shared" si="452"/>
        <v>0</v>
      </c>
      <c r="CY166" s="229">
        <f t="shared" si="453"/>
        <v>0</v>
      </c>
      <c r="CZ166" s="229">
        <f t="shared" si="454"/>
        <v>0</v>
      </c>
      <c r="DA166" s="229">
        <f t="shared" si="455"/>
        <v>110</v>
      </c>
      <c r="DB166" s="228">
        <f t="shared" si="423"/>
        <v>165</v>
      </c>
      <c r="DC166" s="229"/>
      <c r="DD166" s="229"/>
      <c r="DE166" s="229"/>
      <c r="DF166" s="229"/>
      <c r="DG166" s="229"/>
      <c r="DH166" s="229"/>
      <c r="DI166" s="229"/>
      <c r="DJ166" s="229"/>
      <c r="DK166" s="229"/>
      <c r="DL166" s="229"/>
      <c r="DM166" s="229"/>
      <c r="DN166" s="229"/>
      <c r="DO166" s="228">
        <f t="shared" si="436"/>
        <v>0</v>
      </c>
      <c r="DP166" s="228">
        <f t="shared" si="437"/>
        <v>165</v>
      </c>
      <c r="DQ166" s="229">
        <f t="shared" si="456"/>
        <v>0</v>
      </c>
      <c r="DR166" s="229">
        <f t="shared" si="457"/>
        <v>0</v>
      </c>
      <c r="DS166" s="229">
        <f t="shared" si="458"/>
        <v>0</v>
      </c>
      <c r="DT166" s="229">
        <f t="shared" si="459"/>
        <v>0</v>
      </c>
      <c r="DU166" s="229">
        <f t="shared" si="460"/>
        <v>0</v>
      </c>
      <c r="DV166" s="229">
        <f t="shared" si="461"/>
        <v>0</v>
      </c>
      <c r="DW166" s="229">
        <f t="shared" si="462"/>
        <v>0</v>
      </c>
      <c r="DX166" s="228">
        <f t="shared" si="424"/>
        <v>0</v>
      </c>
      <c r="DY166" s="229"/>
      <c r="DZ166" s="229"/>
      <c r="EA166" s="229"/>
      <c r="EB166" s="229"/>
      <c r="EC166" s="229"/>
      <c r="ED166" s="229"/>
      <c r="EE166" s="229"/>
      <c r="EF166" s="228">
        <f t="shared" si="438"/>
        <v>0</v>
      </c>
      <c r="EG166" s="228">
        <f t="shared" si="439"/>
        <v>0</v>
      </c>
      <c r="EH166" s="229">
        <f t="shared" si="440"/>
        <v>18.75</v>
      </c>
      <c r="EI166" s="229">
        <v>49.16</v>
      </c>
      <c r="EJ166" s="228">
        <f t="shared" si="495"/>
        <v>67.91</v>
      </c>
      <c r="EK166" s="229"/>
      <c r="EL166" s="229"/>
      <c r="EM166" s="228">
        <f t="shared" si="398"/>
        <v>0</v>
      </c>
      <c r="EN166" s="229">
        <f t="shared" si="413"/>
        <v>18.75</v>
      </c>
      <c r="EO166" s="229">
        <f t="shared" si="388"/>
        <v>49.16</v>
      </c>
      <c r="EP166" s="228">
        <f t="shared" si="496"/>
        <v>67.91</v>
      </c>
      <c r="EQ166" s="173">
        <f t="shared" si="441"/>
        <v>0</v>
      </c>
      <c r="ER166" s="189">
        <v>0</v>
      </c>
      <c r="ES166" s="189">
        <v>2.4</v>
      </c>
      <c r="ET166" s="189">
        <v>1</v>
      </c>
      <c r="EU166" s="189">
        <v>21.6</v>
      </c>
      <c r="EV166" s="189">
        <v>0</v>
      </c>
      <c r="EW166" s="189">
        <v>30</v>
      </c>
      <c r="EX166" s="189">
        <v>0</v>
      </c>
      <c r="EY166" s="189">
        <v>0</v>
      </c>
      <c r="EZ166" s="189">
        <v>0</v>
      </c>
      <c r="FA166" s="189">
        <v>0</v>
      </c>
      <c r="FB166" s="189">
        <v>0</v>
      </c>
      <c r="FC166" s="189">
        <v>110</v>
      </c>
      <c r="FD166" s="189">
        <v>0</v>
      </c>
      <c r="FE166" s="189">
        <v>0</v>
      </c>
      <c r="FF166" s="189">
        <v>0</v>
      </c>
      <c r="FG166" s="189">
        <v>0</v>
      </c>
      <c r="FH166" s="189">
        <v>0</v>
      </c>
      <c r="FI166" s="189">
        <v>0</v>
      </c>
      <c r="FJ166" s="189">
        <v>0</v>
      </c>
      <c r="FK166" s="189">
        <v>165</v>
      </c>
      <c r="FL166" s="189">
        <v>163.6</v>
      </c>
      <c r="FN166" s="132">
        <v>18.75</v>
      </c>
    </row>
    <row r="167" spans="1:170" ht="30" customHeight="1">
      <c r="A167" s="88">
        <f>COUNTIF($H$12:H167,H167)</f>
        <v>25</v>
      </c>
      <c r="B167" s="88" t="s">
        <v>75</v>
      </c>
      <c r="C167" s="88" t="s">
        <v>3139</v>
      </c>
      <c r="D167" s="88"/>
      <c r="E167" s="88"/>
      <c r="F167" s="301" t="s">
        <v>2913</v>
      </c>
      <c r="G167" s="303" t="s">
        <v>3021</v>
      </c>
      <c r="H167" s="88">
        <v>3</v>
      </c>
      <c r="I167" s="88">
        <v>3</v>
      </c>
      <c r="J167" s="88">
        <v>3</v>
      </c>
      <c r="K167" s="90" t="s">
        <v>1622</v>
      </c>
      <c r="L167" s="90" t="s">
        <v>1622</v>
      </c>
      <c r="M167" s="214"/>
      <c r="N167" s="88" t="s">
        <v>1804</v>
      </c>
      <c r="O167" s="216">
        <f t="shared" ref="O167:O200" si="516">BO167</f>
        <v>3.66</v>
      </c>
      <c r="P167" s="88" t="str">
        <f t="shared" si="468"/>
        <v>B1_4</v>
      </c>
      <c r="Q167" s="88">
        <f t="shared" si="331"/>
        <v>270</v>
      </c>
      <c r="R167" s="88">
        <f t="shared" si="332"/>
        <v>120</v>
      </c>
      <c r="S167" s="218"/>
      <c r="T167" s="219" t="s">
        <v>3088</v>
      </c>
      <c r="U167" s="88">
        <f>IF(RIGHT(T167,1)="K",(VLOOKUP(T167,ma_miengiam!$A$3:$B$80,2,0)*100)/2,VLOOKUP(T167,ma_miengiam!$A$3:$B$80,2,0)*100)</f>
        <v>0</v>
      </c>
      <c r="V167" s="88"/>
      <c r="W167" s="220">
        <f>IF(AND(T167="NTS",V167&gt;0),(Q167-(Q167*V167)/12)*VLOOKUP(T167,ma_miengiam!$A$3:$B$80,2,0)+(Q167-(Q167*(12-V167))/12),IF(AND(RIGHT(T167,1)="K",V167&gt;0),(VLOOKUP(T167,ma_miengiam!$A$3:$B$80,2,0)/2)*(Q167*V167)/12,IF(RIGHT(T167,1)="K",(VLOOKUP(T167,ma_miengiam!$A$3:$B$80,2,0)*Q167)/2,IF(V167&gt;0,VLOOKUP(T167,ma_miengiam!$A$3:$B$80,2,0)*Q167*V167/12,VLOOKUP(T167,ma_miengiam!$A$3:$B$80,2,0)*Q167))))</f>
        <v>0</v>
      </c>
      <c r="X167" s="220">
        <f>IF(T167="NTS",VLOOKUP(T167,ma_miengiam!$A$3:$B$80,2,0)*R167*V167,IF(AND(T167="NTS",V167=0),0,IF(AND(LEFT(T167,1)="K",V167=0),VLOOKUP(T167,ma_miengiam!$A$3:$B$80,2,0)*R167,IF(LEFT(T167,1)="K",(VLOOKUP(T167,ma_miengiam!$A$3:$B$80,2,0)*R167/12)*V167,IF(AND(LEFT(T167,1)="S",V167&gt;0),(R167/12)*V167,IF(AND(LEFT(T167,1)="S",V167=0),R167,IF(T167="DH",VLOOKUP(T167,ma_miengiam!$A$3:$B$80,2,0)*R167,0)))))))</f>
        <v>0</v>
      </c>
      <c r="Y167" s="220">
        <f t="shared" si="503"/>
        <v>270</v>
      </c>
      <c r="Z167" s="220">
        <f t="shared" si="504"/>
        <v>120</v>
      </c>
      <c r="AA167" s="220">
        <f t="shared" si="505"/>
        <v>270</v>
      </c>
      <c r="AB167" s="220">
        <f t="shared" si="505"/>
        <v>120</v>
      </c>
      <c r="AC167" s="220">
        <f t="shared" si="512"/>
        <v>0</v>
      </c>
      <c r="AD167" s="220">
        <f t="shared" si="512"/>
        <v>0</v>
      </c>
      <c r="AE167" s="220">
        <f t="shared" si="512"/>
        <v>270</v>
      </c>
      <c r="AF167" s="220">
        <f t="shared" si="512"/>
        <v>120</v>
      </c>
      <c r="AG167" s="220">
        <f t="shared" si="506"/>
        <v>60</v>
      </c>
      <c r="AH167" s="220">
        <f t="shared" si="507"/>
        <v>0</v>
      </c>
      <c r="AI167" s="220">
        <f t="shared" si="508"/>
        <v>60</v>
      </c>
      <c r="AJ167" s="220">
        <f t="shared" si="513"/>
        <v>-60</v>
      </c>
      <c r="AK167" s="216">
        <f t="shared" si="410"/>
        <v>330</v>
      </c>
      <c r="AL167" s="220">
        <f t="shared" si="425"/>
        <v>59.900000000000006</v>
      </c>
      <c r="AM167" s="220">
        <f t="shared" si="426"/>
        <v>0</v>
      </c>
      <c r="AN167" s="221">
        <f t="shared" si="427"/>
        <v>59.900000000000006</v>
      </c>
      <c r="AO167" s="220">
        <f t="shared" si="428"/>
        <v>0</v>
      </c>
      <c r="AP167" s="220">
        <f t="shared" si="429"/>
        <v>0</v>
      </c>
      <c r="AQ167" s="220">
        <f t="shared" si="430"/>
        <v>0</v>
      </c>
      <c r="AR167" s="220">
        <f t="shared" si="431"/>
        <v>40</v>
      </c>
      <c r="AS167" s="220">
        <f t="shared" si="432"/>
        <v>0</v>
      </c>
      <c r="AT167" s="216">
        <f t="shared" si="433"/>
        <v>99.9</v>
      </c>
      <c r="AU167" s="222">
        <f t="shared" si="395"/>
        <v>-270.10000000000002</v>
      </c>
      <c r="AV167" s="220"/>
      <c r="AW167" s="220">
        <f t="shared" si="350"/>
        <v>-270.10000000000002</v>
      </c>
      <c r="AX167" s="216">
        <f t="shared" si="411"/>
        <v>-270.10000000000002</v>
      </c>
      <c r="AY167" s="220">
        <f t="shared" si="362"/>
        <v>0</v>
      </c>
      <c r="AZ167" s="220">
        <f t="shared" si="363"/>
        <v>0</v>
      </c>
      <c r="BA167" s="220">
        <f t="shared" si="364"/>
        <v>0</v>
      </c>
      <c r="BB167" s="220">
        <f t="shared" si="365"/>
        <v>0</v>
      </c>
      <c r="BC167" s="220">
        <f t="shared" si="366"/>
        <v>0</v>
      </c>
      <c r="BD167" s="216">
        <f t="shared" si="375"/>
        <v>0</v>
      </c>
      <c r="BE167" s="220">
        <f t="shared" si="351"/>
        <v>0</v>
      </c>
      <c r="BF167" s="220">
        <f t="shared" si="352"/>
        <v>0</v>
      </c>
      <c r="BG167" s="220">
        <f t="shared" si="353"/>
        <v>0</v>
      </c>
      <c r="BH167" s="220">
        <f t="shared" si="354"/>
        <v>-40</v>
      </c>
      <c r="BI167" s="220">
        <f t="shared" si="355"/>
        <v>0</v>
      </c>
      <c r="BJ167" s="220" t="s">
        <v>1805</v>
      </c>
      <c r="BK167" s="220"/>
      <c r="BL167" s="223">
        <f t="shared" si="412"/>
        <v>0</v>
      </c>
      <c r="BM167" s="220">
        <v>3.66</v>
      </c>
      <c r="BN167" s="220"/>
      <c r="BO167" s="220">
        <f t="shared" si="502"/>
        <v>3.66</v>
      </c>
      <c r="BP167" s="220">
        <f>IF(AND(BL167&gt;0,BL167&lt;tiet!$D$1),BL167,IF(BL167&lt;=0,0,IF(BL167&gt;tiet!$C$1,tiet!$C$1)))</f>
        <v>0</v>
      </c>
      <c r="BQ167" s="87">
        <f t="shared" si="509"/>
        <v>65000</v>
      </c>
      <c r="BR167" s="224">
        <f t="shared" si="510"/>
        <v>0</v>
      </c>
      <c r="BS167" s="220">
        <f t="shared" si="434"/>
        <v>0</v>
      </c>
      <c r="BT167" s="224">
        <f>VLOOKUP(N167,ma_dinhmuc!$A$1:$J$31,10,0)</f>
        <v>51000</v>
      </c>
      <c r="BU167" s="224">
        <f>ROUND(IF(BS167&gt;0,VLOOKUP(N167,ma_dinhmuc!$A$1:$J$31,10,0)*BS167,0),0)</f>
        <v>0</v>
      </c>
      <c r="BV167" s="224">
        <f t="shared" si="511"/>
        <v>0</v>
      </c>
      <c r="BW167" s="224"/>
      <c r="BX167" s="224">
        <v>803000</v>
      </c>
      <c r="BY167" s="224"/>
      <c r="BZ167" s="224"/>
      <c r="CA167" s="224"/>
      <c r="CB167" s="224"/>
      <c r="CC167" s="225">
        <f t="shared" si="384"/>
        <v>0</v>
      </c>
      <c r="CD167" s="224">
        <f t="shared" si="385"/>
        <v>803000</v>
      </c>
      <c r="CE167" s="224"/>
      <c r="CF167" s="226"/>
      <c r="CG167" s="87"/>
      <c r="CH167" s="87">
        <f t="shared" si="491"/>
        <v>25</v>
      </c>
      <c r="CI167" s="227" t="str">
        <f t="shared" si="471"/>
        <v>Bùi Lê</v>
      </c>
      <c r="CJ167" s="227" t="str">
        <f t="shared" si="472"/>
        <v>Vinh</v>
      </c>
      <c r="CK167" s="87">
        <f t="shared" si="489"/>
        <v>3</v>
      </c>
      <c r="CL167" s="227" t="str">
        <f t="shared" si="490"/>
        <v>Quản lý đất đai</v>
      </c>
      <c r="CM167" s="87" t="str">
        <f t="shared" si="358"/>
        <v>CS2</v>
      </c>
      <c r="CN167" s="87">
        <f t="shared" si="514"/>
        <v>270</v>
      </c>
      <c r="CO167" s="87">
        <f t="shared" si="515"/>
        <v>120</v>
      </c>
      <c r="CP167" s="229">
        <f t="shared" si="444"/>
        <v>0</v>
      </c>
      <c r="CQ167" s="229">
        <f t="shared" si="445"/>
        <v>5.9</v>
      </c>
      <c r="CR167" s="229">
        <f t="shared" si="446"/>
        <v>2.4</v>
      </c>
      <c r="CS167" s="229">
        <f t="shared" si="447"/>
        <v>21.6</v>
      </c>
      <c r="CT167" s="229">
        <f t="shared" si="448"/>
        <v>0</v>
      </c>
      <c r="CU167" s="229">
        <f t="shared" si="449"/>
        <v>30</v>
      </c>
      <c r="CV167" s="229">
        <f t="shared" si="450"/>
        <v>0</v>
      </c>
      <c r="CW167" s="229">
        <f t="shared" si="451"/>
        <v>0</v>
      </c>
      <c r="CX167" s="229">
        <f t="shared" si="452"/>
        <v>0</v>
      </c>
      <c r="CY167" s="229">
        <f t="shared" si="453"/>
        <v>0</v>
      </c>
      <c r="CZ167" s="229">
        <f t="shared" si="454"/>
        <v>0</v>
      </c>
      <c r="DA167" s="229">
        <f t="shared" si="455"/>
        <v>0</v>
      </c>
      <c r="DB167" s="228">
        <f t="shared" si="423"/>
        <v>59.900000000000006</v>
      </c>
      <c r="DC167" s="229"/>
      <c r="DD167" s="229"/>
      <c r="DE167" s="229"/>
      <c r="DF167" s="229"/>
      <c r="DG167" s="229"/>
      <c r="DH167" s="229"/>
      <c r="DI167" s="229"/>
      <c r="DJ167" s="229"/>
      <c r="DK167" s="229"/>
      <c r="DL167" s="229"/>
      <c r="DM167" s="229"/>
      <c r="DN167" s="229"/>
      <c r="DO167" s="228">
        <f t="shared" si="436"/>
        <v>0</v>
      </c>
      <c r="DP167" s="228">
        <f t="shared" si="437"/>
        <v>59.900000000000006</v>
      </c>
      <c r="DQ167" s="229">
        <f t="shared" si="456"/>
        <v>0</v>
      </c>
      <c r="DR167" s="229">
        <f t="shared" si="457"/>
        <v>0</v>
      </c>
      <c r="DS167" s="229">
        <f t="shared" si="458"/>
        <v>0</v>
      </c>
      <c r="DT167" s="229">
        <f t="shared" si="459"/>
        <v>0</v>
      </c>
      <c r="DU167" s="229">
        <f t="shared" si="460"/>
        <v>0</v>
      </c>
      <c r="DV167" s="229">
        <f t="shared" si="461"/>
        <v>40</v>
      </c>
      <c r="DW167" s="229">
        <f t="shared" si="462"/>
        <v>0</v>
      </c>
      <c r="DX167" s="228">
        <f t="shared" si="424"/>
        <v>40</v>
      </c>
      <c r="DY167" s="229"/>
      <c r="DZ167" s="229"/>
      <c r="EA167" s="229"/>
      <c r="EB167" s="229"/>
      <c r="EC167" s="229"/>
      <c r="ED167" s="229"/>
      <c r="EE167" s="229"/>
      <c r="EF167" s="228">
        <f t="shared" si="438"/>
        <v>0</v>
      </c>
      <c r="EG167" s="228">
        <f t="shared" si="439"/>
        <v>40</v>
      </c>
      <c r="EH167" s="229">
        <f t="shared" si="440"/>
        <v>60</v>
      </c>
      <c r="EI167" s="229">
        <v>0</v>
      </c>
      <c r="EJ167" s="228">
        <f t="shared" ref="EJ167:EJ197" si="517">SUM(EH167:EI167)</f>
        <v>60</v>
      </c>
      <c r="EK167" s="229"/>
      <c r="EL167" s="229"/>
      <c r="EM167" s="228">
        <f t="shared" si="398"/>
        <v>0</v>
      </c>
      <c r="EN167" s="229">
        <f t="shared" si="413"/>
        <v>60</v>
      </c>
      <c r="EO167" s="229">
        <f t="shared" si="388"/>
        <v>0</v>
      </c>
      <c r="EP167" s="228">
        <f t="shared" si="496"/>
        <v>60</v>
      </c>
      <c r="EQ167" s="173">
        <f t="shared" si="441"/>
        <v>0</v>
      </c>
      <c r="ER167" s="189">
        <v>0</v>
      </c>
      <c r="ES167" s="189">
        <v>5.9</v>
      </c>
      <c r="ET167" s="189">
        <v>2.4</v>
      </c>
      <c r="EU167" s="189">
        <v>21.6</v>
      </c>
      <c r="EV167" s="189">
        <v>0</v>
      </c>
      <c r="EW167" s="189">
        <v>30</v>
      </c>
      <c r="EX167" s="189">
        <v>0</v>
      </c>
      <c r="EY167" s="189">
        <v>0</v>
      </c>
      <c r="EZ167" s="189">
        <v>0</v>
      </c>
      <c r="FA167" s="189">
        <v>0</v>
      </c>
      <c r="FB167" s="189">
        <v>0</v>
      </c>
      <c r="FC167" s="189">
        <v>0</v>
      </c>
      <c r="FD167" s="189">
        <v>0</v>
      </c>
      <c r="FE167" s="189">
        <v>0</v>
      </c>
      <c r="FF167" s="189">
        <v>0</v>
      </c>
      <c r="FG167" s="189">
        <v>0</v>
      </c>
      <c r="FH167" s="189">
        <v>40</v>
      </c>
      <c r="FI167" s="189">
        <v>0</v>
      </c>
      <c r="FJ167" s="189">
        <v>0</v>
      </c>
      <c r="FK167" s="189">
        <v>99.9</v>
      </c>
      <c r="FL167" s="189">
        <v>93.6</v>
      </c>
      <c r="FN167" s="132">
        <v>60</v>
      </c>
    </row>
    <row r="168" spans="1:170" ht="30">
      <c r="A168" s="88">
        <f>COUNTIF($H$12:H169,H168)</f>
        <v>27</v>
      </c>
      <c r="B168" s="88" t="s">
        <v>77</v>
      </c>
      <c r="C168" s="88" t="s">
        <v>3140</v>
      </c>
      <c r="D168" s="88"/>
      <c r="E168" s="88"/>
      <c r="F168" s="301" t="s">
        <v>2895</v>
      </c>
      <c r="G168" s="89" t="s">
        <v>2915</v>
      </c>
      <c r="H168" s="88">
        <v>3</v>
      </c>
      <c r="I168" s="88">
        <v>3</v>
      </c>
      <c r="J168" s="88">
        <v>3</v>
      </c>
      <c r="K168" s="90" t="s">
        <v>1622</v>
      </c>
      <c r="L168" s="90" t="s">
        <v>1622</v>
      </c>
      <c r="M168" s="214"/>
      <c r="N168" s="88" t="s">
        <v>606</v>
      </c>
      <c r="O168" s="216">
        <f>BO168</f>
        <v>5.08</v>
      </c>
      <c r="P168" s="88" t="str">
        <f t="shared" si="468"/>
        <v>B1_5</v>
      </c>
      <c r="Q168" s="88">
        <f t="shared" si="331"/>
        <v>270</v>
      </c>
      <c r="R168" s="88">
        <f t="shared" si="332"/>
        <v>150</v>
      </c>
      <c r="S168" s="230" t="s">
        <v>491</v>
      </c>
      <c r="T168" s="88" t="s">
        <v>1754</v>
      </c>
      <c r="U168" s="88">
        <f>IF(RIGHT(T168,1)="K",(VLOOKUP(T168,ma_miengiam!$A$3:$B$80,2,0)*100)/2,VLOOKUP(T168,ma_miengiam!$A$3:$B$80,2,0)*100)</f>
        <v>75</v>
      </c>
      <c r="V168" s="88"/>
      <c r="W168" s="220">
        <f>IF(AND(T168="NTS",V168&gt;0),(Q168-(Q168*V168)/12)*VLOOKUP(T168,ma_miengiam!$A$3:$B$80,2,0)+(Q168-(Q168*(12-V168))/12),IF(AND(RIGHT(T168,1)="K",V168&gt;0),(VLOOKUP(T168,ma_miengiam!$A$3:$B$80,2,0)/2)*(Q168*V168)/12,IF(RIGHT(T168,1)="K",(VLOOKUP(T168,ma_miengiam!$A$3:$B$80,2,0)*Q168)/2,IF(V168&gt;0,VLOOKUP(T168,ma_miengiam!$A$3:$B$80,2,0)*Q168*V168/12,VLOOKUP(T168,ma_miengiam!$A$3:$B$80,2,0)*Q168))))</f>
        <v>202.5</v>
      </c>
      <c r="X168" s="220">
        <f>IF(T168="NTS",VLOOKUP(T168,ma_miengiam!$A$3:$B$80,2,0)*R168*V168,IF(AND(T168="NTS",V168=0),0,IF(AND(LEFT(T168,1)="K",V168=0),VLOOKUP(T168,ma_miengiam!$A$3:$B$80,2,0)*R168,IF(LEFT(T168,1)="K",(VLOOKUP(T168,ma_miengiam!$A$3:$B$80,2,0)*R168/12)*V168,IF(AND(LEFT(T168,1)="S",V168&gt;0),(R168/12)*V168,IF(AND(LEFT(T168,1)="S",V168=0),R168,IF(T168="DH",VLOOKUP(T168,ma_miengiam!$A$3:$B$80,2,0)*R168,0)))))))</f>
        <v>112.5</v>
      </c>
      <c r="Y168" s="220">
        <f t="shared" si="503"/>
        <v>67.5</v>
      </c>
      <c r="Z168" s="220">
        <f>IF(AND(T168="SĐH",V168&gt;0),(R168/12)*V168-X168,IF(AND(T168="DH",V168&gt;0),(R168*V168/12),IF(AND(T168&lt;&gt;"NTS",V168&gt;0),(R168*V168/12)-X168,IF(AND(T168="NTS",V168&gt;0),R168-X168,R168-X168))))</f>
        <v>37.5</v>
      </c>
      <c r="AA168" s="220">
        <f>Q168</f>
        <v>270</v>
      </c>
      <c r="AB168" s="220">
        <f>R168</f>
        <v>150</v>
      </c>
      <c r="AC168" s="220">
        <f t="shared" ref="AC168:AF169" si="518">W168</f>
        <v>202.5</v>
      </c>
      <c r="AD168" s="220">
        <f t="shared" si="518"/>
        <v>112.5</v>
      </c>
      <c r="AE168" s="220">
        <f t="shared" si="518"/>
        <v>67.5</v>
      </c>
      <c r="AF168" s="220">
        <f t="shared" si="518"/>
        <v>37.5</v>
      </c>
      <c r="AG168" s="220">
        <f t="shared" si="506"/>
        <v>188.75</v>
      </c>
      <c r="AH168" s="220">
        <f t="shared" si="507"/>
        <v>150</v>
      </c>
      <c r="AI168" s="220">
        <f t="shared" si="508"/>
        <v>38.75</v>
      </c>
      <c r="AJ168" s="220">
        <f>IF(AG168-Z168&gt;0,0,AG168-Z168)</f>
        <v>0</v>
      </c>
      <c r="AK168" s="216">
        <f t="shared" si="410"/>
        <v>67.5</v>
      </c>
      <c r="AL168" s="220">
        <f t="shared" si="425"/>
        <v>58.6</v>
      </c>
      <c r="AM168" s="220">
        <f t="shared" si="426"/>
        <v>256.7</v>
      </c>
      <c r="AN168" s="221">
        <f t="shared" si="427"/>
        <v>315.3</v>
      </c>
      <c r="AO168" s="220">
        <f t="shared" si="428"/>
        <v>0</v>
      </c>
      <c r="AP168" s="220">
        <f t="shared" si="429"/>
        <v>0</v>
      </c>
      <c r="AQ168" s="220">
        <f t="shared" si="430"/>
        <v>20</v>
      </c>
      <c r="AR168" s="220">
        <f t="shared" si="431"/>
        <v>120</v>
      </c>
      <c r="AS168" s="220">
        <f t="shared" si="432"/>
        <v>40</v>
      </c>
      <c r="AT168" s="216">
        <f t="shared" si="433"/>
        <v>495.3</v>
      </c>
      <c r="AU168" s="222">
        <f>AN168-AK168</f>
        <v>247.8</v>
      </c>
      <c r="AV168" s="220"/>
      <c r="AW168" s="220">
        <f>IF(AU168&gt;0,AU168,AV168+AU168)</f>
        <v>247.8</v>
      </c>
      <c r="AX168" s="216">
        <f t="shared" si="411"/>
        <v>0</v>
      </c>
      <c r="AY168" s="220">
        <f>IF(AN168&gt;=AK168,AO168,IF(AN168+AO168-AK168&gt;=0,AN168+AO168-AK168,0))</f>
        <v>0</v>
      </c>
      <c r="AZ168" s="220">
        <f>IF(OR(AN168&gt;=AK168,AN168+AO168&gt;=AK168),AP168,IF(AN168+AO168+AP168&gt;AK168,AN168+AO168+AP168-AK168,0))</f>
        <v>0</v>
      </c>
      <c r="BA168" s="220">
        <f>IF(OR(AN168&gt;=AK168,AN168+AO168&gt;=AK168,AN168+AO168+AP168&gt;=AK168),AQ168,IF(AN168+AO168+AP168+AQ168&gt;=AK168,AN168+AO168+AP168+AQ168-AK168,0))</f>
        <v>20</v>
      </c>
      <c r="BB168" s="220">
        <f>IF(OR(AN168&gt;=AK168,AN168+AO168&gt;=AK168,AN168+AO168+AP168&gt;=AK168,AN168+AO168+AP168+AQ168&gt;=AK168),AR168,IF(AN168+AO168+AP168+AQ168+AR168&gt;=AK168,AN168+AO168+AP168+AQ168+AR168-AK168,0))</f>
        <v>120</v>
      </c>
      <c r="BC168" s="220">
        <f>IF(OR(AN168&gt;=AK168,AN168+AO168&gt;=AK168,AN168+AO168+AP168&gt;=AK168,AN168+AO168+AP168+AQ168&gt;=AK168,AN168+AO168+AP168+AQ168+AR168&gt;=AK168),AS168,IF(AN168+AO168+AP168+AQ168+AR168+AS168&gt;=AK168,AN168+AO168+AP168+AQ168+AR168+AS168-AK168,0))</f>
        <v>40</v>
      </c>
      <c r="BD168" s="216">
        <f t="shared" si="375"/>
        <v>180</v>
      </c>
      <c r="BE168" s="220">
        <f>AY168-AO168</f>
        <v>0</v>
      </c>
      <c r="BF168" s="220">
        <f>AZ168-AP168</f>
        <v>0</v>
      </c>
      <c r="BG168" s="220">
        <f>BA168-AQ168</f>
        <v>0</v>
      </c>
      <c r="BH168" s="220">
        <f>BB168-AR168</f>
        <v>0</v>
      </c>
      <c r="BI168" s="220">
        <f>BC168-AS168</f>
        <v>0</v>
      </c>
      <c r="BJ168" s="220" t="s">
        <v>1805</v>
      </c>
      <c r="BK168" s="220"/>
      <c r="BL168" s="223">
        <f t="shared" si="412"/>
        <v>247.8</v>
      </c>
      <c r="BM168" s="220">
        <v>5.08</v>
      </c>
      <c r="BN168" s="220"/>
      <c r="BO168" s="220">
        <f t="shared" si="502"/>
        <v>5.08</v>
      </c>
      <c r="BP168" s="220">
        <f>IF(AND(BL168&gt;0,BL168&lt;tiet!$D$1),BL168,IF(BL168&lt;=0,0,IF(BL168&gt;tiet!$C$1,tiet!$C$1)))</f>
        <v>200</v>
      </c>
      <c r="BQ168" s="87">
        <f>VLOOKUP(P168,ma_dinhmuc_moi,4,0)</f>
        <v>70000</v>
      </c>
      <c r="BR168" s="224">
        <f>ROUND(BQ168*BP168,0)</f>
        <v>14000000</v>
      </c>
      <c r="BS168" s="220">
        <f t="shared" si="434"/>
        <v>47.800000000000011</v>
      </c>
      <c r="BT168" s="224">
        <f>VLOOKUP(N168,ma_dinhmuc!$A$1:$J$31,10,0)</f>
        <v>55000</v>
      </c>
      <c r="BU168" s="224">
        <f>ROUND(IF(BS168&gt;0,VLOOKUP(N168,ma_dinhmuc!$A$1:$J$31,10,0)*BS168,0),0)</f>
        <v>2629000</v>
      </c>
      <c r="BV168" s="224">
        <f>ROUND(BU168+BR168,0)</f>
        <v>16629000</v>
      </c>
      <c r="BW168" s="224"/>
      <c r="BX168" s="224">
        <v>0</v>
      </c>
      <c r="BY168" s="224"/>
      <c r="BZ168" s="224"/>
      <c r="CA168" s="224"/>
      <c r="CB168" s="224"/>
      <c r="CC168" s="225">
        <f>ROUND(IF(BV168+BW168&gt;BX168+BY168+BZ168+CA168+CB168,(BW168+BV168)-(BX168+BY168+BZ168+CA168+CB168+CB168),0),0)</f>
        <v>16629000</v>
      </c>
      <c r="CD168" s="224">
        <f>ROUND(IF(BV168+BW168&lt;BX168+BY168+BZ168+CA168-CB168,(BX168+BY168+BZ168+CA168-CB168)-(BW168+BV168),0),0)</f>
        <v>0</v>
      </c>
      <c r="CE168" s="224"/>
      <c r="CF168" s="226"/>
      <c r="CG168" s="87"/>
      <c r="CH168" s="87">
        <f t="shared" si="491"/>
        <v>27</v>
      </c>
      <c r="CI168" s="227" t="str">
        <f>F168</f>
        <v>Nguyễn Văn</v>
      </c>
      <c r="CJ168" s="227" t="str">
        <f>G168</f>
        <v>Quân</v>
      </c>
      <c r="CK168" s="87">
        <f>H168</f>
        <v>3</v>
      </c>
      <c r="CL168" s="227" t="str">
        <f>L168</f>
        <v>Quản lý đất đai</v>
      </c>
      <c r="CM168" s="87" t="str">
        <f>N168</f>
        <v>CS3</v>
      </c>
      <c r="CN168" s="87">
        <f t="shared" si="514"/>
        <v>270</v>
      </c>
      <c r="CO168" s="87">
        <f t="shared" si="515"/>
        <v>150</v>
      </c>
      <c r="CP168" s="229">
        <f t="shared" si="444"/>
        <v>0</v>
      </c>
      <c r="CQ168" s="229">
        <f t="shared" si="445"/>
        <v>5</v>
      </c>
      <c r="CR168" s="229">
        <f t="shared" si="446"/>
        <v>2</v>
      </c>
      <c r="CS168" s="229">
        <f t="shared" si="447"/>
        <v>21.6</v>
      </c>
      <c r="CT168" s="229">
        <f t="shared" si="448"/>
        <v>0</v>
      </c>
      <c r="CU168" s="229">
        <f t="shared" si="449"/>
        <v>30</v>
      </c>
      <c r="CV168" s="229">
        <f t="shared" si="450"/>
        <v>0</v>
      </c>
      <c r="CW168" s="229">
        <f t="shared" si="451"/>
        <v>0</v>
      </c>
      <c r="CX168" s="229">
        <f t="shared" si="452"/>
        <v>0</v>
      </c>
      <c r="CY168" s="229">
        <f t="shared" si="453"/>
        <v>0</v>
      </c>
      <c r="CZ168" s="229">
        <f t="shared" si="454"/>
        <v>0</v>
      </c>
      <c r="DA168" s="229">
        <f t="shared" si="455"/>
        <v>20</v>
      </c>
      <c r="DB168" s="228">
        <f t="shared" si="423"/>
        <v>78.599999999999994</v>
      </c>
      <c r="DC168" s="229"/>
      <c r="DD168" s="229"/>
      <c r="DE168" s="229"/>
      <c r="DF168" s="229"/>
      <c r="DG168" s="229"/>
      <c r="DH168" s="229"/>
      <c r="DI168" s="229"/>
      <c r="DJ168" s="229"/>
      <c r="DK168" s="229"/>
      <c r="DL168" s="229"/>
      <c r="DM168" s="229"/>
      <c r="DN168" s="229"/>
      <c r="DO168" s="228">
        <f t="shared" si="436"/>
        <v>0</v>
      </c>
      <c r="DP168" s="228">
        <f t="shared" si="437"/>
        <v>78.599999999999994</v>
      </c>
      <c r="DQ168" s="229">
        <f t="shared" si="456"/>
        <v>243</v>
      </c>
      <c r="DR168" s="229">
        <f t="shared" si="457"/>
        <v>9.6999999999999993</v>
      </c>
      <c r="DS168" s="229">
        <f t="shared" si="458"/>
        <v>0</v>
      </c>
      <c r="DT168" s="229">
        <f t="shared" si="459"/>
        <v>4</v>
      </c>
      <c r="DU168" s="229">
        <f t="shared" si="460"/>
        <v>0</v>
      </c>
      <c r="DV168" s="229">
        <f t="shared" si="461"/>
        <v>120</v>
      </c>
      <c r="DW168" s="229">
        <f t="shared" si="462"/>
        <v>40</v>
      </c>
      <c r="DX168" s="228">
        <f t="shared" si="424"/>
        <v>416.7</v>
      </c>
      <c r="DY168" s="229"/>
      <c r="DZ168" s="229"/>
      <c r="EA168" s="229"/>
      <c r="EB168" s="229"/>
      <c r="EC168" s="229"/>
      <c r="ED168" s="229"/>
      <c r="EE168" s="229"/>
      <c r="EF168" s="228">
        <f t="shared" si="438"/>
        <v>0</v>
      </c>
      <c r="EG168" s="228">
        <f t="shared" si="439"/>
        <v>416.7</v>
      </c>
      <c r="EH168" s="229">
        <f t="shared" si="440"/>
        <v>38.75</v>
      </c>
      <c r="EI168" s="229">
        <v>150</v>
      </c>
      <c r="EJ168" s="228">
        <f>SUM(EH168:EI168)</f>
        <v>188.75</v>
      </c>
      <c r="EK168" s="229"/>
      <c r="EL168" s="229"/>
      <c r="EM168" s="228">
        <f>SUM(EK168:EL168)</f>
        <v>0</v>
      </c>
      <c r="EN168" s="229">
        <f>EK168+EH168+EL168</f>
        <v>38.75</v>
      </c>
      <c r="EO168" s="229">
        <f>EI168</f>
        <v>150</v>
      </c>
      <c r="EP168" s="228">
        <f>EM168+EJ168</f>
        <v>188.75</v>
      </c>
      <c r="EQ168" s="173">
        <f t="shared" si="441"/>
        <v>1.25</v>
      </c>
      <c r="ER168" s="189">
        <v>0</v>
      </c>
      <c r="ES168" s="189">
        <v>5</v>
      </c>
      <c r="ET168" s="189">
        <v>2</v>
      </c>
      <c r="EU168" s="189">
        <v>21.6</v>
      </c>
      <c r="EV168" s="189">
        <v>0</v>
      </c>
      <c r="EW168" s="189">
        <v>30</v>
      </c>
      <c r="EX168" s="189">
        <v>0</v>
      </c>
      <c r="EY168" s="189">
        <v>0</v>
      </c>
      <c r="EZ168" s="189">
        <v>0</v>
      </c>
      <c r="FA168" s="189">
        <v>0</v>
      </c>
      <c r="FB168" s="189">
        <v>0</v>
      </c>
      <c r="FC168" s="189">
        <v>20</v>
      </c>
      <c r="FD168" s="189">
        <v>243</v>
      </c>
      <c r="FE168" s="189">
        <v>9.6999999999999993</v>
      </c>
      <c r="FF168" s="189">
        <v>0</v>
      </c>
      <c r="FG168" s="189">
        <v>4</v>
      </c>
      <c r="FH168" s="189">
        <v>120</v>
      </c>
      <c r="FI168" s="189">
        <v>0</v>
      </c>
      <c r="FJ168" s="189">
        <v>40</v>
      </c>
      <c r="FK168" s="189">
        <v>495.3</v>
      </c>
      <c r="FL168" s="189">
        <v>376.6</v>
      </c>
      <c r="FN168" s="132">
        <v>38.75</v>
      </c>
    </row>
    <row r="169" spans="1:170" ht="30" customHeight="1">
      <c r="A169" s="88">
        <f>COUNTIF($H$12:H169,H169)</f>
        <v>27</v>
      </c>
      <c r="B169" s="88" t="s">
        <v>76</v>
      </c>
      <c r="C169" s="88" t="s">
        <v>3141</v>
      </c>
      <c r="D169" s="88"/>
      <c r="E169" s="88"/>
      <c r="F169" s="301" t="s">
        <v>2914</v>
      </c>
      <c r="G169" s="89" t="s">
        <v>1600</v>
      </c>
      <c r="H169" s="88">
        <v>3</v>
      </c>
      <c r="I169" s="88">
        <v>3</v>
      </c>
      <c r="J169" s="88">
        <v>3</v>
      </c>
      <c r="K169" s="90" t="s">
        <v>1622</v>
      </c>
      <c r="L169" s="90" t="s">
        <v>1622</v>
      </c>
      <c r="M169" s="214"/>
      <c r="N169" s="88" t="s">
        <v>606</v>
      </c>
      <c r="O169" s="216">
        <f t="shared" si="516"/>
        <v>5.42</v>
      </c>
      <c r="P169" s="88" t="str">
        <f t="shared" si="468"/>
        <v>B1_6</v>
      </c>
      <c r="Q169" s="88">
        <f t="shared" si="331"/>
        <v>270</v>
      </c>
      <c r="R169" s="88">
        <f t="shared" si="332"/>
        <v>170</v>
      </c>
      <c r="S169" s="230" t="s">
        <v>689</v>
      </c>
      <c r="T169" s="88" t="s">
        <v>3090</v>
      </c>
      <c r="U169" s="88">
        <f>IF(RIGHT(T169,1)="K",(VLOOKUP(T169,ma_miengiam!$A$3:$B$80,2,0)*100)/2,VLOOKUP(T169,ma_miengiam!$A$3:$B$80,2,0)*100)</f>
        <v>15</v>
      </c>
      <c r="V169" s="88"/>
      <c r="W169" s="220">
        <f>IF(AND(T169="NTS",V169&gt;0),(Q169-(Q169*V169)/12)*VLOOKUP(T169,ma_miengiam!$A$3:$B$80,2,0)+(Q169-(Q169*(12-V169))/12),IF(AND(RIGHT(T169,1)="K",V169&gt;0),(VLOOKUP(T169,ma_miengiam!$A$3:$B$80,2,0)/2)*(Q169*V169)/12,IF(RIGHT(T169,1)="K",(VLOOKUP(T169,ma_miengiam!$A$3:$B$80,2,0)*Q169)/2,IF(V169&gt;0,VLOOKUP(T169,ma_miengiam!$A$3:$B$80,2,0)*Q169*V169/12,VLOOKUP(T169,ma_miengiam!$A$3:$B$80,2,0)*Q169))))</f>
        <v>40.5</v>
      </c>
      <c r="X169" s="220">
        <f>IF(T169="NTS",VLOOKUP(T169,ma_miengiam!$A$3:$B$80,2,0)*R169*V169,IF(AND(T169="NTS",V169=0),0,IF(AND(LEFT(T169,1)="K",V169=0),VLOOKUP(T169,ma_miengiam!$A$3:$B$80,2,0)*R169,IF(LEFT(T169,1)="K",(VLOOKUP(T169,ma_miengiam!$A$3:$B$80,2,0)*R169/12)*V169,IF(AND(LEFT(T169,1)="S",V169&gt;0),(R169/12)*V169,IF(AND(LEFT(T169,1)="S",V169=0),R169,IF(T169="DH",VLOOKUP(T169,ma_miengiam!$A$3:$B$80,2,0)*R169,0)))))))</f>
        <v>0</v>
      </c>
      <c r="Y169" s="220">
        <f t="shared" si="503"/>
        <v>229.5</v>
      </c>
      <c r="Z169" s="220">
        <f t="shared" si="504"/>
        <v>170</v>
      </c>
      <c r="AA169" s="220">
        <f t="shared" ref="AA169:AB171" si="519">Q169</f>
        <v>270</v>
      </c>
      <c r="AB169" s="220">
        <f t="shared" si="519"/>
        <v>170</v>
      </c>
      <c r="AC169" s="220">
        <f t="shared" si="518"/>
        <v>40.5</v>
      </c>
      <c r="AD169" s="220">
        <f t="shared" si="518"/>
        <v>0</v>
      </c>
      <c r="AE169" s="220">
        <f t="shared" si="518"/>
        <v>229.5</v>
      </c>
      <c r="AF169" s="220">
        <f t="shared" si="518"/>
        <v>170</v>
      </c>
      <c r="AG169" s="220">
        <f t="shared" si="506"/>
        <v>24.99</v>
      </c>
      <c r="AH169" s="220">
        <f t="shared" si="507"/>
        <v>24.99</v>
      </c>
      <c r="AI169" s="220">
        <f t="shared" si="508"/>
        <v>0</v>
      </c>
      <c r="AJ169" s="220">
        <f t="shared" si="513"/>
        <v>-145.01</v>
      </c>
      <c r="AK169" s="216">
        <f t="shared" si="410"/>
        <v>374.51</v>
      </c>
      <c r="AL169" s="220">
        <f t="shared" si="425"/>
        <v>36.700000000000003</v>
      </c>
      <c r="AM169" s="220">
        <f t="shared" si="426"/>
        <v>200.70000000000002</v>
      </c>
      <c r="AN169" s="221">
        <f t="shared" si="427"/>
        <v>237.40000000000003</v>
      </c>
      <c r="AO169" s="220">
        <f t="shared" si="428"/>
        <v>0</v>
      </c>
      <c r="AP169" s="220">
        <f t="shared" si="429"/>
        <v>0</v>
      </c>
      <c r="AQ169" s="220">
        <f t="shared" si="430"/>
        <v>40</v>
      </c>
      <c r="AR169" s="220">
        <f t="shared" si="431"/>
        <v>120</v>
      </c>
      <c r="AS169" s="220">
        <f t="shared" si="432"/>
        <v>10</v>
      </c>
      <c r="AT169" s="216">
        <f t="shared" si="433"/>
        <v>407.40000000000003</v>
      </c>
      <c r="AU169" s="222">
        <f t="shared" si="395"/>
        <v>-137.10999999999996</v>
      </c>
      <c r="AV169" s="220"/>
      <c r="AW169" s="220">
        <f t="shared" si="350"/>
        <v>-137.10999999999996</v>
      </c>
      <c r="AX169" s="216">
        <f t="shared" si="411"/>
        <v>-137.10999999999996</v>
      </c>
      <c r="AY169" s="220">
        <f t="shared" si="362"/>
        <v>0</v>
      </c>
      <c r="AZ169" s="220">
        <f t="shared" si="363"/>
        <v>0</v>
      </c>
      <c r="BA169" s="220">
        <f t="shared" si="364"/>
        <v>0</v>
      </c>
      <c r="BB169" s="220">
        <f t="shared" si="365"/>
        <v>22.890000000000043</v>
      </c>
      <c r="BC169" s="220">
        <f t="shared" si="366"/>
        <v>10</v>
      </c>
      <c r="BD169" s="216">
        <f t="shared" si="375"/>
        <v>32.890000000000043</v>
      </c>
      <c r="BE169" s="220">
        <f t="shared" si="351"/>
        <v>0</v>
      </c>
      <c r="BF169" s="220">
        <f t="shared" si="352"/>
        <v>0</v>
      </c>
      <c r="BG169" s="220">
        <f t="shared" si="353"/>
        <v>-40</v>
      </c>
      <c r="BH169" s="220">
        <f t="shared" si="354"/>
        <v>-97.109999999999957</v>
      </c>
      <c r="BI169" s="220">
        <f t="shared" si="355"/>
        <v>0</v>
      </c>
      <c r="BJ169" s="220" t="s">
        <v>1805</v>
      </c>
      <c r="BK169" s="220"/>
      <c r="BL169" s="223">
        <f t="shared" si="412"/>
        <v>0</v>
      </c>
      <c r="BM169" s="220">
        <v>5.42</v>
      </c>
      <c r="BN169" s="220"/>
      <c r="BO169" s="220">
        <f t="shared" si="502"/>
        <v>5.42</v>
      </c>
      <c r="BP169" s="220">
        <f>IF(AND(BL169&gt;0,BL169&lt;tiet!$D$1),BL169,IF(BL169&lt;=0,0,IF(BL169&gt;tiet!$C$1,tiet!$C$1)))</f>
        <v>0</v>
      </c>
      <c r="BQ169" s="87">
        <f t="shared" si="509"/>
        <v>75000</v>
      </c>
      <c r="BR169" s="224">
        <f t="shared" si="510"/>
        <v>0</v>
      </c>
      <c r="BS169" s="220">
        <f t="shared" si="434"/>
        <v>0</v>
      </c>
      <c r="BT169" s="224">
        <f>VLOOKUP(N169,ma_dinhmuc!$A$1:$J$31,10,0)</f>
        <v>55000</v>
      </c>
      <c r="BU169" s="224">
        <f>ROUND(IF(BS169&gt;0,VLOOKUP(N169,ma_dinhmuc!$A$1:$J$31,10,0)*BS169,0),0)</f>
        <v>0</v>
      </c>
      <c r="BV169" s="224">
        <f t="shared" si="511"/>
        <v>0</v>
      </c>
      <c r="BW169" s="224"/>
      <c r="BX169" s="224">
        <v>0</v>
      </c>
      <c r="BY169" s="224"/>
      <c r="BZ169" s="224"/>
      <c r="CA169" s="224"/>
      <c r="CB169" s="224"/>
      <c r="CC169" s="225">
        <f t="shared" si="384"/>
        <v>0</v>
      </c>
      <c r="CD169" s="224">
        <f t="shared" si="385"/>
        <v>0</v>
      </c>
      <c r="CE169" s="224"/>
      <c r="CF169" s="226"/>
      <c r="CG169" s="87"/>
      <c r="CH169" s="87">
        <f t="shared" si="491"/>
        <v>27</v>
      </c>
      <c r="CI169" s="227" t="str">
        <f t="shared" ref="CI169:CI178" si="520">F169</f>
        <v>Đỗ Thị Đức</v>
      </c>
      <c r="CJ169" s="227" t="str">
        <f t="shared" ref="CJ169:CJ178" si="521">G169</f>
        <v>Hạnh</v>
      </c>
      <c r="CK169" s="87">
        <f t="shared" ref="CK169:CK178" si="522">H169</f>
        <v>3</v>
      </c>
      <c r="CL169" s="227" t="str">
        <f t="shared" ref="CL169:CL180" si="523">L169</f>
        <v>Quản lý đất đai</v>
      </c>
      <c r="CM169" s="87" t="str">
        <f t="shared" si="358"/>
        <v>CS3</v>
      </c>
      <c r="CN169" s="87">
        <f t="shared" si="514"/>
        <v>270</v>
      </c>
      <c r="CO169" s="87">
        <f t="shared" si="515"/>
        <v>170</v>
      </c>
      <c r="CP169" s="229">
        <f t="shared" si="444"/>
        <v>0</v>
      </c>
      <c r="CQ169" s="229">
        <f t="shared" si="445"/>
        <v>4.8</v>
      </c>
      <c r="CR169" s="229">
        <f t="shared" si="446"/>
        <v>1.9</v>
      </c>
      <c r="CS169" s="229">
        <f t="shared" si="447"/>
        <v>0</v>
      </c>
      <c r="CT169" s="229">
        <f t="shared" si="448"/>
        <v>0</v>
      </c>
      <c r="CU169" s="229">
        <f t="shared" si="449"/>
        <v>30</v>
      </c>
      <c r="CV169" s="229">
        <f t="shared" si="450"/>
        <v>0</v>
      </c>
      <c r="CW169" s="229">
        <f t="shared" si="451"/>
        <v>0</v>
      </c>
      <c r="CX169" s="229">
        <f t="shared" si="452"/>
        <v>0</v>
      </c>
      <c r="CY169" s="229">
        <f t="shared" si="453"/>
        <v>0</v>
      </c>
      <c r="CZ169" s="229">
        <f t="shared" si="454"/>
        <v>0</v>
      </c>
      <c r="DA169" s="229">
        <f t="shared" si="455"/>
        <v>40</v>
      </c>
      <c r="DB169" s="228">
        <f t="shared" si="423"/>
        <v>76.7</v>
      </c>
      <c r="DC169" s="229"/>
      <c r="DD169" s="229"/>
      <c r="DE169" s="229"/>
      <c r="DF169" s="229"/>
      <c r="DG169" s="229"/>
      <c r="DH169" s="229"/>
      <c r="DI169" s="229"/>
      <c r="DJ169" s="229"/>
      <c r="DK169" s="229"/>
      <c r="DL169" s="229"/>
      <c r="DM169" s="229"/>
      <c r="DN169" s="229"/>
      <c r="DO169" s="228">
        <f t="shared" si="436"/>
        <v>0</v>
      </c>
      <c r="DP169" s="228">
        <f t="shared" si="437"/>
        <v>76.7</v>
      </c>
      <c r="DQ169" s="229">
        <f t="shared" si="456"/>
        <v>189</v>
      </c>
      <c r="DR169" s="229">
        <f t="shared" si="457"/>
        <v>8.3000000000000007</v>
      </c>
      <c r="DS169" s="229">
        <f t="shared" si="458"/>
        <v>0</v>
      </c>
      <c r="DT169" s="229">
        <f t="shared" si="459"/>
        <v>3.4</v>
      </c>
      <c r="DU169" s="229">
        <f t="shared" si="460"/>
        <v>0</v>
      </c>
      <c r="DV169" s="229">
        <f t="shared" si="461"/>
        <v>120</v>
      </c>
      <c r="DW169" s="229">
        <f t="shared" si="462"/>
        <v>10</v>
      </c>
      <c r="DX169" s="228">
        <f t="shared" si="424"/>
        <v>330.70000000000005</v>
      </c>
      <c r="DY169" s="229"/>
      <c r="DZ169" s="229"/>
      <c r="EA169" s="229"/>
      <c r="EB169" s="229"/>
      <c r="EC169" s="229"/>
      <c r="ED169" s="229"/>
      <c r="EE169" s="229"/>
      <c r="EF169" s="228">
        <f t="shared" si="438"/>
        <v>0</v>
      </c>
      <c r="EG169" s="228">
        <f t="shared" si="439"/>
        <v>330.70000000000005</v>
      </c>
      <c r="EH169" s="229">
        <f t="shared" si="440"/>
        <v>0</v>
      </c>
      <c r="EI169" s="229">
        <v>24.99</v>
      </c>
      <c r="EJ169" s="228">
        <f t="shared" si="517"/>
        <v>24.99</v>
      </c>
      <c r="EK169" s="229"/>
      <c r="EL169" s="229"/>
      <c r="EM169" s="228">
        <f>SUM(EK169:EL169)</f>
        <v>0</v>
      </c>
      <c r="EN169" s="229">
        <f t="shared" si="413"/>
        <v>0</v>
      </c>
      <c r="EO169" s="229">
        <f t="shared" si="388"/>
        <v>24.99</v>
      </c>
      <c r="EP169" s="228">
        <f t="shared" si="496"/>
        <v>24.99</v>
      </c>
      <c r="EQ169" s="173">
        <f t="shared" si="441"/>
        <v>0</v>
      </c>
      <c r="ER169" s="189">
        <v>0</v>
      </c>
      <c r="ES169" s="189">
        <v>4.8</v>
      </c>
      <c r="ET169" s="189">
        <v>1.9</v>
      </c>
      <c r="EU169" s="189">
        <v>0</v>
      </c>
      <c r="EV169" s="189">
        <v>0</v>
      </c>
      <c r="EW169" s="189">
        <v>30</v>
      </c>
      <c r="EX169" s="189">
        <v>0</v>
      </c>
      <c r="EY169" s="189">
        <v>0</v>
      </c>
      <c r="EZ169" s="189">
        <v>0</v>
      </c>
      <c r="FA169" s="189">
        <v>0</v>
      </c>
      <c r="FB169" s="189">
        <v>0</v>
      </c>
      <c r="FC169" s="189">
        <v>40</v>
      </c>
      <c r="FD169" s="189">
        <v>189</v>
      </c>
      <c r="FE169" s="189">
        <v>8.3000000000000007</v>
      </c>
      <c r="FF169" s="189">
        <v>0</v>
      </c>
      <c r="FG169" s="189">
        <v>3.4</v>
      </c>
      <c r="FH169" s="189">
        <v>120</v>
      </c>
      <c r="FI169" s="189">
        <v>0</v>
      </c>
      <c r="FJ169" s="189">
        <v>10</v>
      </c>
      <c r="FK169" s="189">
        <v>407.4</v>
      </c>
      <c r="FL169" s="189">
        <v>315</v>
      </c>
      <c r="FN169" s="132">
        <v>0</v>
      </c>
    </row>
    <row r="170" spans="1:170" ht="30" customHeight="1">
      <c r="A170" s="88">
        <f>COUNTIF($H$12:H170,H170)</f>
        <v>28</v>
      </c>
      <c r="B170" s="88" t="s">
        <v>78</v>
      </c>
      <c r="C170" s="88" t="s">
        <v>3142</v>
      </c>
      <c r="D170" s="88"/>
      <c r="E170" s="88"/>
      <c r="F170" s="301" t="s">
        <v>2916</v>
      </c>
      <c r="G170" s="89" t="s">
        <v>1600</v>
      </c>
      <c r="H170" s="88">
        <v>3</v>
      </c>
      <c r="I170" s="88">
        <v>3</v>
      </c>
      <c r="J170" s="88">
        <v>3</v>
      </c>
      <c r="K170" s="90" t="s">
        <v>1622</v>
      </c>
      <c r="L170" s="90" t="s">
        <v>1622</v>
      </c>
      <c r="M170" s="214"/>
      <c r="N170" s="88" t="s">
        <v>1804</v>
      </c>
      <c r="O170" s="216">
        <f t="shared" si="516"/>
        <v>3.33</v>
      </c>
      <c r="P170" s="88" t="str">
        <f t="shared" si="468"/>
        <v>B1_4</v>
      </c>
      <c r="Q170" s="88">
        <f t="shared" si="331"/>
        <v>270</v>
      </c>
      <c r="R170" s="88">
        <f t="shared" si="332"/>
        <v>120</v>
      </c>
      <c r="S170" s="233"/>
      <c r="T170" s="88" t="s">
        <v>3088</v>
      </c>
      <c r="U170" s="88">
        <f>IF(RIGHT(T170,1)="K",(VLOOKUP(T170,ma_miengiam!$A$3:$B$80,2,0)*100)/2,VLOOKUP(T170,ma_miengiam!$A$3:$B$80,2,0)*100)</f>
        <v>0</v>
      </c>
      <c r="V170" s="88"/>
      <c r="W170" s="220">
        <f>IF(AND(T170="NTS",V170&gt;0),(Q170-(Q170*V170)/12)*VLOOKUP(T170,ma_miengiam!$A$3:$B$80,2,0)+(Q170-(Q170*(12-V170))/12),IF(AND(RIGHT(T170,1)="K",V170&gt;0),(VLOOKUP(T170,ma_miengiam!$A$3:$B$80,2,0)/2)*(Q170*V170)/12,IF(RIGHT(T170,1)="K",(VLOOKUP(T170,ma_miengiam!$A$3:$B$80,2,0)*Q170)/2,IF(V170&gt;0,VLOOKUP(T170,ma_miengiam!$A$3:$B$80,2,0)*Q170*V170/12,VLOOKUP(T170,ma_miengiam!$A$3:$B$80,2,0)*Q170))))</f>
        <v>0</v>
      </c>
      <c r="X170" s="220">
        <f>IF(T170="NTS",VLOOKUP(T170,ma_miengiam!$A$3:$B$80,2,0)*R170*V170,IF(AND(T170="NTS",V170=0),0,IF(AND(LEFT(T170,1)="K",V170=0),VLOOKUP(T170,ma_miengiam!$A$3:$B$80,2,0)*R170,IF(LEFT(T170,1)="K",(VLOOKUP(T170,ma_miengiam!$A$3:$B$80,2,0)*R170/12)*V170,IF(AND(LEFT(T170,1)="S",V170&gt;0),(R170/12)*V170,IF(AND(LEFT(T170,1)="S",V170=0),R170,IF(T170="DH",VLOOKUP(T170,ma_miengiam!$A$3:$B$80,2,0)*R170,0)))))))</f>
        <v>0</v>
      </c>
      <c r="Y170" s="220">
        <f t="shared" si="503"/>
        <v>270</v>
      </c>
      <c r="Z170" s="220">
        <f>IF(AND(T170="SĐH",V170&gt;0),(R170/12)*V170-X170,IF(AND(T170="DH",V170&gt;0),(R170*V170/12),IF(AND(T170&lt;&gt;"NTS",V170&gt;0),(R170*V170/12)-X170,IF(AND(T170="NTS",V170&gt;0),R170-X170,R170-X170))))</f>
        <v>120</v>
      </c>
      <c r="AA170" s="220">
        <f>Q170</f>
        <v>270</v>
      </c>
      <c r="AB170" s="220">
        <f>R170</f>
        <v>120</v>
      </c>
      <c r="AC170" s="220">
        <f t="shared" ref="AC170:AF171" si="524">W170</f>
        <v>0</v>
      </c>
      <c r="AD170" s="220">
        <f t="shared" si="524"/>
        <v>0</v>
      </c>
      <c r="AE170" s="220">
        <f t="shared" si="524"/>
        <v>270</v>
      </c>
      <c r="AF170" s="220">
        <f t="shared" si="524"/>
        <v>120</v>
      </c>
      <c r="AG170" s="220">
        <f t="shared" si="506"/>
        <v>223.33</v>
      </c>
      <c r="AH170" s="220">
        <f t="shared" si="507"/>
        <v>163.33000000000001</v>
      </c>
      <c r="AI170" s="220">
        <f t="shared" si="508"/>
        <v>60</v>
      </c>
      <c r="AJ170" s="220">
        <f>IF(AG170-Z170&gt;0,0,AG170-Z170)</f>
        <v>0</v>
      </c>
      <c r="AK170" s="216">
        <f t="shared" si="410"/>
        <v>270</v>
      </c>
      <c r="AL170" s="220">
        <f t="shared" si="425"/>
        <v>183.7</v>
      </c>
      <c r="AM170" s="220">
        <f t="shared" si="426"/>
        <v>0</v>
      </c>
      <c r="AN170" s="221">
        <f t="shared" si="427"/>
        <v>183.7</v>
      </c>
      <c r="AO170" s="220">
        <f t="shared" si="428"/>
        <v>0</v>
      </c>
      <c r="AP170" s="220">
        <f t="shared" si="429"/>
        <v>30</v>
      </c>
      <c r="AQ170" s="220">
        <f t="shared" si="430"/>
        <v>20</v>
      </c>
      <c r="AR170" s="220">
        <f t="shared" si="431"/>
        <v>0</v>
      </c>
      <c r="AS170" s="220">
        <f t="shared" si="432"/>
        <v>0</v>
      </c>
      <c r="AT170" s="216">
        <f t="shared" si="433"/>
        <v>233.7</v>
      </c>
      <c r="AU170" s="222">
        <f t="shared" si="395"/>
        <v>-86.300000000000011</v>
      </c>
      <c r="AV170" s="220"/>
      <c r="AW170" s="220">
        <f t="shared" si="350"/>
        <v>-86.300000000000011</v>
      </c>
      <c r="AX170" s="216">
        <f t="shared" si="411"/>
        <v>-86.300000000000011</v>
      </c>
      <c r="AY170" s="220">
        <f t="shared" si="362"/>
        <v>0</v>
      </c>
      <c r="AZ170" s="220">
        <f t="shared" si="363"/>
        <v>0</v>
      </c>
      <c r="BA170" s="220">
        <f t="shared" si="364"/>
        <v>0</v>
      </c>
      <c r="BB170" s="220">
        <f t="shared" si="365"/>
        <v>0</v>
      </c>
      <c r="BC170" s="220">
        <f t="shared" si="366"/>
        <v>0</v>
      </c>
      <c r="BD170" s="216">
        <f t="shared" si="375"/>
        <v>0</v>
      </c>
      <c r="BE170" s="220">
        <f t="shared" si="351"/>
        <v>0</v>
      </c>
      <c r="BF170" s="220">
        <f t="shared" si="352"/>
        <v>-30</v>
      </c>
      <c r="BG170" s="220">
        <f t="shared" si="353"/>
        <v>-20</v>
      </c>
      <c r="BH170" s="220">
        <f t="shared" si="354"/>
        <v>0</v>
      </c>
      <c r="BI170" s="220">
        <f t="shared" si="355"/>
        <v>0</v>
      </c>
      <c r="BJ170" s="220" t="s">
        <v>1805</v>
      </c>
      <c r="BK170" s="220"/>
      <c r="BL170" s="223">
        <f t="shared" si="412"/>
        <v>0</v>
      </c>
      <c r="BM170" s="220">
        <v>3.33</v>
      </c>
      <c r="BN170" s="220"/>
      <c r="BO170" s="220">
        <f t="shared" si="502"/>
        <v>3.33</v>
      </c>
      <c r="BP170" s="220">
        <f>IF(AND(BL170&gt;0,BL170&lt;tiet!$D$1),BL170,IF(BL170&lt;=0,0,IF(BL170&gt;tiet!$C$1,tiet!$C$1)))</f>
        <v>0</v>
      </c>
      <c r="BQ170" s="87">
        <f>VLOOKUP(P170,ma_dinhmuc_moi,4,0)</f>
        <v>65000</v>
      </c>
      <c r="BR170" s="224">
        <f>ROUND(BQ170*BP170,0)</f>
        <v>0</v>
      </c>
      <c r="BS170" s="220">
        <f t="shared" si="434"/>
        <v>0</v>
      </c>
      <c r="BT170" s="224">
        <f>VLOOKUP(N170,ma_dinhmuc!$A$1:$J$31,10,0)</f>
        <v>51000</v>
      </c>
      <c r="BU170" s="224">
        <f>ROUND(IF(BS170&gt;0,VLOOKUP(N170,ma_dinhmuc!$A$1:$J$31,10,0)*BS170,0),0)</f>
        <v>0</v>
      </c>
      <c r="BV170" s="224">
        <f>ROUND(BU170+BR170,0)</f>
        <v>0</v>
      </c>
      <c r="BW170" s="224"/>
      <c r="BX170" s="224">
        <v>0</v>
      </c>
      <c r="BY170" s="224"/>
      <c r="BZ170" s="224"/>
      <c r="CA170" s="224"/>
      <c r="CB170" s="224"/>
      <c r="CC170" s="225">
        <f t="shared" si="384"/>
        <v>0</v>
      </c>
      <c r="CD170" s="224">
        <f t="shared" si="385"/>
        <v>0</v>
      </c>
      <c r="CE170" s="224"/>
      <c r="CF170" s="226"/>
      <c r="CG170" s="87"/>
      <c r="CH170" s="87">
        <f t="shared" si="491"/>
        <v>28</v>
      </c>
      <c r="CI170" s="227" t="str">
        <f>F170</f>
        <v>Bùi Nguyên</v>
      </c>
      <c r="CJ170" s="227" t="str">
        <f>G170</f>
        <v>Hạnh</v>
      </c>
      <c r="CK170" s="87">
        <f>H170</f>
        <v>3</v>
      </c>
      <c r="CL170" s="227" t="str">
        <f t="shared" si="523"/>
        <v>Quản lý đất đai</v>
      </c>
      <c r="CM170" s="87" t="str">
        <f t="shared" si="358"/>
        <v>CS2</v>
      </c>
      <c r="CN170" s="87">
        <f t="shared" si="514"/>
        <v>270</v>
      </c>
      <c r="CO170" s="87">
        <f t="shared" si="515"/>
        <v>120</v>
      </c>
      <c r="CP170" s="229">
        <f t="shared" si="444"/>
        <v>0</v>
      </c>
      <c r="CQ170" s="229">
        <f t="shared" si="445"/>
        <v>17.8</v>
      </c>
      <c r="CR170" s="229">
        <f t="shared" si="446"/>
        <v>7.2</v>
      </c>
      <c r="CS170" s="229">
        <f t="shared" si="447"/>
        <v>21.6</v>
      </c>
      <c r="CT170" s="229">
        <f t="shared" si="448"/>
        <v>0</v>
      </c>
      <c r="CU170" s="229">
        <f t="shared" si="449"/>
        <v>62.1</v>
      </c>
      <c r="CV170" s="229">
        <f t="shared" si="450"/>
        <v>0</v>
      </c>
      <c r="CW170" s="229">
        <f t="shared" si="451"/>
        <v>75</v>
      </c>
      <c r="CX170" s="229">
        <f t="shared" si="452"/>
        <v>0</v>
      </c>
      <c r="CY170" s="229">
        <f t="shared" si="453"/>
        <v>0</v>
      </c>
      <c r="CZ170" s="229">
        <f t="shared" si="454"/>
        <v>30</v>
      </c>
      <c r="DA170" s="229">
        <f t="shared" si="455"/>
        <v>20</v>
      </c>
      <c r="DB170" s="228">
        <f t="shared" si="423"/>
        <v>233.7</v>
      </c>
      <c r="DC170" s="229"/>
      <c r="DD170" s="229"/>
      <c r="DE170" s="229"/>
      <c r="DF170" s="229"/>
      <c r="DG170" s="229"/>
      <c r="DH170" s="229"/>
      <c r="DI170" s="229"/>
      <c r="DJ170" s="229"/>
      <c r="DK170" s="229"/>
      <c r="DL170" s="229"/>
      <c r="DM170" s="229"/>
      <c r="DN170" s="229"/>
      <c r="DO170" s="228">
        <f t="shared" si="436"/>
        <v>0</v>
      </c>
      <c r="DP170" s="228">
        <f t="shared" si="437"/>
        <v>233.7</v>
      </c>
      <c r="DQ170" s="229">
        <f t="shared" si="456"/>
        <v>0</v>
      </c>
      <c r="DR170" s="229">
        <f t="shared" si="457"/>
        <v>0</v>
      </c>
      <c r="DS170" s="229">
        <f t="shared" si="458"/>
        <v>0</v>
      </c>
      <c r="DT170" s="229">
        <f t="shared" si="459"/>
        <v>0</v>
      </c>
      <c r="DU170" s="229">
        <f t="shared" si="460"/>
        <v>0</v>
      </c>
      <c r="DV170" s="229">
        <f t="shared" si="461"/>
        <v>0</v>
      </c>
      <c r="DW170" s="229">
        <f t="shared" si="462"/>
        <v>0</v>
      </c>
      <c r="DX170" s="228">
        <f t="shared" si="424"/>
        <v>0</v>
      </c>
      <c r="DY170" s="229"/>
      <c r="DZ170" s="229"/>
      <c r="EA170" s="229"/>
      <c r="EB170" s="229"/>
      <c r="EC170" s="229"/>
      <c r="ED170" s="229"/>
      <c r="EE170" s="229"/>
      <c r="EF170" s="228">
        <f t="shared" si="438"/>
        <v>0</v>
      </c>
      <c r="EG170" s="228">
        <f t="shared" si="439"/>
        <v>0</v>
      </c>
      <c r="EH170" s="229">
        <f t="shared" si="440"/>
        <v>60</v>
      </c>
      <c r="EI170" s="229">
        <v>163.33000000000001</v>
      </c>
      <c r="EJ170" s="228">
        <f>SUM(EH170:EI170)</f>
        <v>223.33</v>
      </c>
      <c r="EK170" s="229"/>
      <c r="EL170" s="229"/>
      <c r="EM170" s="228">
        <f t="shared" ref="EM170:EM180" si="525">SUM(EK170:EL170)</f>
        <v>0</v>
      </c>
      <c r="EN170" s="229">
        <f t="shared" si="413"/>
        <v>60</v>
      </c>
      <c r="EO170" s="229">
        <f t="shared" si="388"/>
        <v>163.33000000000001</v>
      </c>
      <c r="EP170" s="228">
        <f t="shared" ref="EP170:EP179" si="526">EM170+EJ170</f>
        <v>223.33</v>
      </c>
      <c r="EQ170" s="173">
        <f t="shared" si="441"/>
        <v>0</v>
      </c>
      <c r="ER170" s="189">
        <v>0</v>
      </c>
      <c r="ES170" s="189">
        <v>17.8</v>
      </c>
      <c r="ET170" s="189">
        <v>7.2</v>
      </c>
      <c r="EU170" s="189">
        <v>21.6</v>
      </c>
      <c r="EV170" s="189">
        <v>0</v>
      </c>
      <c r="EW170" s="189">
        <v>62.1</v>
      </c>
      <c r="EX170" s="189">
        <v>0</v>
      </c>
      <c r="EY170" s="189">
        <v>75</v>
      </c>
      <c r="EZ170" s="189">
        <v>0</v>
      </c>
      <c r="FA170" s="189">
        <v>0</v>
      </c>
      <c r="FB170" s="189">
        <v>30</v>
      </c>
      <c r="FC170" s="189">
        <v>20</v>
      </c>
      <c r="FD170" s="189">
        <v>0</v>
      </c>
      <c r="FE170" s="189">
        <v>0</v>
      </c>
      <c r="FF170" s="189">
        <v>0</v>
      </c>
      <c r="FG170" s="189">
        <v>0</v>
      </c>
      <c r="FH170" s="189">
        <v>0</v>
      </c>
      <c r="FI170" s="189">
        <v>0</v>
      </c>
      <c r="FJ170" s="189">
        <v>0</v>
      </c>
      <c r="FK170" s="189">
        <v>233.7</v>
      </c>
      <c r="FL170" s="189">
        <v>210.6</v>
      </c>
      <c r="FN170" s="132">
        <v>60</v>
      </c>
    </row>
    <row r="171" spans="1:170" ht="27.75" customHeight="1">
      <c r="A171" s="88">
        <f>COUNTIF($H$12:H171,H171)</f>
        <v>29</v>
      </c>
      <c r="B171" s="88" t="s">
        <v>79</v>
      </c>
      <c r="C171" s="88" t="s">
        <v>3143</v>
      </c>
      <c r="D171" s="88"/>
      <c r="E171" s="88"/>
      <c r="F171" s="301" t="s">
        <v>2899</v>
      </c>
      <c r="G171" s="89" t="s">
        <v>17</v>
      </c>
      <c r="H171" s="88">
        <v>3</v>
      </c>
      <c r="I171" s="88">
        <v>3</v>
      </c>
      <c r="J171" s="88">
        <v>3</v>
      </c>
      <c r="K171" s="90" t="s">
        <v>1622</v>
      </c>
      <c r="L171" s="90" t="s">
        <v>1622</v>
      </c>
      <c r="M171" s="214"/>
      <c r="N171" s="88" t="s">
        <v>1804</v>
      </c>
      <c r="O171" s="216">
        <f t="shared" si="516"/>
        <v>3</v>
      </c>
      <c r="P171" s="88" t="str">
        <f t="shared" si="468"/>
        <v>B1_3</v>
      </c>
      <c r="Q171" s="88">
        <f t="shared" ref="Q171:Q234" si="527">IF(M171&gt;0,VLOOKUP(P171,ma_dinhmuc_moi,2,0)/2,VLOOKUP(P171,ma_dinhmuc_moi,2,0))</f>
        <v>270</v>
      </c>
      <c r="R171" s="88">
        <f t="shared" ref="R171:R234" si="528">IF(M171&gt;0,VLOOKUP(P171,ma_dinhmuc_moi,3,0)/2,VLOOKUP(P171,ma_dinhmuc_moi,3,0))</f>
        <v>100</v>
      </c>
      <c r="S171" s="233" t="s">
        <v>3133</v>
      </c>
      <c r="T171" s="88" t="s">
        <v>2961</v>
      </c>
      <c r="U171" s="88">
        <f>IF(RIGHT(T171,1)="K",(VLOOKUP(T171,ma_miengiam!$A$3:$B$80,2,0)*100)/2,VLOOKUP(T171,ma_miengiam!$A$3:$B$80,2,0)*100)</f>
        <v>100</v>
      </c>
      <c r="V171" s="88"/>
      <c r="W171" s="220">
        <f>IF(AND(T171="NTS",V171&gt;0),(Q171-(Q171*V171)/12)*VLOOKUP(T171,ma_miengiam!$A$3:$B$80,2,0)+(Q171-(Q171*(12-V171))/12),IF(AND(RIGHT(T171,1)="K",V171&gt;0),(VLOOKUP(T171,ma_miengiam!$A$3:$B$80,2,0)/2)*(Q171*V171)/12,IF(RIGHT(T171,1)="K",(VLOOKUP(T171,ma_miengiam!$A$3:$B$80,2,0)*Q171)/2,IF(V171&gt;0,VLOOKUP(T171,ma_miengiam!$A$3:$B$80,2,0)*Q171*V171/12,VLOOKUP(T171,ma_miengiam!$A$3:$B$80,2,0)*Q171))))</f>
        <v>270</v>
      </c>
      <c r="X171" s="220">
        <f>IF(T171="NTS",VLOOKUP(T171,ma_miengiam!$A$3:$B$80,2,0)*R171*V171,IF(AND(T171="NTS",V171=0),0,IF(AND(LEFT(T171,1)="K",V171=0),VLOOKUP(T171,ma_miengiam!$A$3:$B$80,2,0)*R171,IF(LEFT(T171,1)="K",(VLOOKUP(T171,ma_miengiam!$A$3:$B$80,2,0)*R171/12)*V171,IF(AND(LEFT(T171,1)="S",V171&gt;0),(R171/12)*V171,IF(AND(LEFT(T171,1)="S",V171=0),R171,IF(T171="DH",VLOOKUP(T171,ma_miengiam!$A$3:$B$80,2,0)*R171,0)))))))</f>
        <v>100</v>
      </c>
      <c r="Y171" s="220">
        <f t="shared" si="503"/>
        <v>0</v>
      </c>
      <c r="Z171" s="220">
        <f t="shared" si="504"/>
        <v>0</v>
      </c>
      <c r="AA171" s="220">
        <f t="shared" si="519"/>
        <v>270</v>
      </c>
      <c r="AB171" s="220">
        <f t="shared" si="519"/>
        <v>100</v>
      </c>
      <c r="AC171" s="220">
        <f t="shared" si="524"/>
        <v>270</v>
      </c>
      <c r="AD171" s="220">
        <f t="shared" si="524"/>
        <v>100</v>
      </c>
      <c r="AE171" s="220">
        <f t="shared" si="524"/>
        <v>0</v>
      </c>
      <c r="AF171" s="220">
        <f t="shared" si="524"/>
        <v>0</v>
      </c>
      <c r="AG171" s="220">
        <f t="shared" si="506"/>
        <v>221.66333333333336</v>
      </c>
      <c r="AH171" s="220">
        <f t="shared" si="507"/>
        <v>221.66333333333336</v>
      </c>
      <c r="AI171" s="220">
        <f t="shared" si="508"/>
        <v>0</v>
      </c>
      <c r="AJ171" s="220">
        <f t="shared" si="513"/>
        <v>0</v>
      </c>
      <c r="AK171" s="216">
        <f t="shared" si="410"/>
        <v>0</v>
      </c>
      <c r="AL171" s="220">
        <f t="shared" si="425"/>
        <v>0</v>
      </c>
      <c r="AM171" s="220">
        <f t="shared" si="426"/>
        <v>0</v>
      </c>
      <c r="AN171" s="216">
        <f t="shared" si="427"/>
        <v>0</v>
      </c>
      <c r="AO171" s="220">
        <f t="shared" si="428"/>
        <v>0</v>
      </c>
      <c r="AP171" s="220">
        <f t="shared" si="429"/>
        <v>0</v>
      </c>
      <c r="AQ171" s="220">
        <f t="shared" si="430"/>
        <v>0</v>
      </c>
      <c r="AR171" s="220">
        <f t="shared" si="431"/>
        <v>0</v>
      </c>
      <c r="AS171" s="220">
        <f t="shared" si="432"/>
        <v>0</v>
      </c>
      <c r="AT171" s="216">
        <f t="shared" si="433"/>
        <v>0</v>
      </c>
      <c r="AU171" s="220">
        <f t="shared" si="395"/>
        <v>0</v>
      </c>
      <c r="AV171" s="220"/>
      <c r="AW171" s="220">
        <f t="shared" si="350"/>
        <v>0</v>
      </c>
      <c r="AX171" s="216">
        <f t="shared" si="411"/>
        <v>0</v>
      </c>
      <c r="AY171" s="220">
        <f t="shared" si="362"/>
        <v>0</v>
      </c>
      <c r="AZ171" s="220">
        <f t="shared" si="363"/>
        <v>0</v>
      </c>
      <c r="BA171" s="220">
        <f t="shared" si="364"/>
        <v>0</v>
      </c>
      <c r="BB171" s="220">
        <f t="shared" si="365"/>
        <v>0</v>
      </c>
      <c r="BC171" s="220">
        <f t="shared" si="366"/>
        <v>0</v>
      </c>
      <c r="BD171" s="216">
        <f t="shared" si="375"/>
        <v>0</v>
      </c>
      <c r="BE171" s="220">
        <f t="shared" si="351"/>
        <v>0</v>
      </c>
      <c r="BF171" s="220">
        <f t="shared" si="352"/>
        <v>0</v>
      </c>
      <c r="BG171" s="220">
        <f t="shared" si="353"/>
        <v>0</v>
      </c>
      <c r="BH171" s="220">
        <f t="shared" si="354"/>
        <v>0</v>
      </c>
      <c r="BI171" s="220">
        <f t="shared" si="355"/>
        <v>0</v>
      </c>
      <c r="BJ171" s="220" t="s">
        <v>1805</v>
      </c>
      <c r="BK171" s="220"/>
      <c r="BL171" s="223">
        <f t="shared" si="412"/>
        <v>0</v>
      </c>
      <c r="BM171" s="220">
        <v>3</v>
      </c>
      <c r="BN171" s="220"/>
      <c r="BO171" s="220">
        <f t="shared" ref="BO171:BO179" si="529">ROUND(BM171+(BM171*BN171),2)</f>
        <v>3</v>
      </c>
      <c r="BP171" s="220">
        <f>IF(AND(BL171&gt;0,BL171&lt;tiet!$D$1),BL171,IF(BL171&lt;=0,0,IF(BL171&gt;tiet!$C$1,tiet!$C$1)))</f>
        <v>0</v>
      </c>
      <c r="BQ171" s="87">
        <f t="shared" si="509"/>
        <v>60000</v>
      </c>
      <c r="BR171" s="224">
        <f t="shared" si="510"/>
        <v>0</v>
      </c>
      <c r="BS171" s="220">
        <f t="shared" si="434"/>
        <v>0</v>
      </c>
      <c r="BT171" s="224">
        <f>VLOOKUP(N171,ma_dinhmuc!$A$1:$J$31,10,0)</f>
        <v>51000</v>
      </c>
      <c r="BU171" s="224">
        <f>ROUND(IF(BS171&gt;0,VLOOKUP(N171,ma_dinhmuc!$A$1:$J$31,10,0)*BS171,0),0)</f>
        <v>0</v>
      </c>
      <c r="BV171" s="224">
        <f t="shared" si="511"/>
        <v>0</v>
      </c>
      <c r="BW171" s="224"/>
      <c r="BX171" s="224">
        <v>0</v>
      </c>
      <c r="BY171" s="224"/>
      <c r="BZ171" s="224"/>
      <c r="CA171" s="224"/>
      <c r="CB171" s="224"/>
      <c r="CC171" s="225">
        <f t="shared" si="384"/>
        <v>0</v>
      </c>
      <c r="CD171" s="224">
        <f t="shared" si="385"/>
        <v>0</v>
      </c>
      <c r="CE171" s="224"/>
      <c r="CF171" s="226"/>
      <c r="CG171" s="87"/>
      <c r="CH171" s="87">
        <f t="shared" ref="CH171:CH178" si="530">A171</f>
        <v>29</v>
      </c>
      <c r="CI171" s="227" t="str">
        <f t="shared" si="520"/>
        <v>Ngô Thị</v>
      </c>
      <c r="CJ171" s="227" t="str">
        <f t="shared" si="521"/>
        <v>Hà</v>
      </c>
      <c r="CK171" s="87">
        <f t="shared" si="522"/>
        <v>3</v>
      </c>
      <c r="CL171" s="227" t="str">
        <f t="shared" si="523"/>
        <v>Quản lý đất đai</v>
      </c>
      <c r="CM171" s="87" t="str">
        <f t="shared" si="358"/>
        <v>CS2</v>
      </c>
      <c r="CN171" s="87">
        <f t="shared" si="514"/>
        <v>270</v>
      </c>
      <c r="CO171" s="87">
        <f t="shared" si="515"/>
        <v>100</v>
      </c>
      <c r="CP171" s="229">
        <f t="shared" si="444"/>
        <v>0</v>
      </c>
      <c r="CQ171" s="229">
        <f t="shared" si="445"/>
        <v>0</v>
      </c>
      <c r="CR171" s="229">
        <f t="shared" si="446"/>
        <v>0</v>
      </c>
      <c r="CS171" s="229">
        <f t="shared" si="447"/>
        <v>0</v>
      </c>
      <c r="CT171" s="229">
        <f t="shared" si="448"/>
        <v>0</v>
      </c>
      <c r="CU171" s="229">
        <f t="shared" si="449"/>
        <v>0</v>
      </c>
      <c r="CV171" s="229">
        <f t="shared" si="450"/>
        <v>0</v>
      </c>
      <c r="CW171" s="229">
        <f t="shared" si="451"/>
        <v>0</v>
      </c>
      <c r="CX171" s="229">
        <f t="shared" si="452"/>
        <v>0</v>
      </c>
      <c r="CY171" s="229">
        <f t="shared" si="453"/>
        <v>0</v>
      </c>
      <c r="CZ171" s="229">
        <f t="shared" si="454"/>
        <v>0</v>
      </c>
      <c r="DA171" s="229">
        <f t="shared" si="455"/>
        <v>0</v>
      </c>
      <c r="DB171" s="228">
        <f t="shared" si="423"/>
        <v>0</v>
      </c>
      <c r="DC171" s="229"/>
      <c r="DD171" s="229"/>
      <c r="DE171" s="229"/>
      <c r="DF171" s="229"/>
      <c r="DG171" s="229"/>
      <c r="DH171" s="229"/>
      <c r="DI171" s="229"/>
      <c r="DJ171" s="229"/>
      <c r="DK171" s="229"/>
      <c r="DL171" s="229"/>
      <c r="DM171" s="229"/>
      <c r="DN171" s="229"/>
      <c r="DO171" s="228">
        <f t="shared" si="436"/>
        <v>0</v>
      </c>
      <c r="DP171" s="228">
        <f t="shared" si="437"/>
        <v>0</v>
      </c>
      <c r="DQ171" s="229">
        <f t="shared" si="456"/>
        <v>0</v>
      </c>
      <c r="DR171" s="229">
        <f t="shared" si="457"/>
        <v>0</v>
      </c>
      <c r="DS171" s="229">
        <f t="shared" si="458"/>
        <v>0</v>
      </c>
      <c r="DT171" s="229">
        <f t="shared" si="459"/>
        <v>0</v>
      </c>
      <c r="DU171" s="229">
        <f t="shared" si="460"/>
        <v>0</v>
      </c>
      <c r="DV171" s="229">
        <f t="shared" si="461"/>
        <v>0</v>
      </c>
      <c r="DW171" s="229">
        <f t="shared" si="462"/>
        <v>0</v>
      </c>
      <c r="DX171" s="228">
        <f t="shared" si="424"/>
        <v>0</v>
      </c>
      <c r="DY171" s="229"/>
      <c r="DZ171" s="229"/>
      <c r="EA171" s="229"/>
      <c r="EB171" s="229"/>
      <c r="EC171" s="229"/>
      <c r="ED171" s="229"/>
      <c r="EE171" s="229"/>
      <c r="EF171" s="228">
        <f t="shared" si="438"/>
        <v>0</v>
      </c>
      <c r="EG171" s="228">
        <f t="shared" si="439"/>
        <v>0</v>
      </c>
      <c r="EH171" s="229">
        <f t="shared" si="440"/>
        <v>0</v>
      </c>
      <c r="EI171" s="229">
        <v>221.66333333333336</v>
      </c>
      <c r="EJ171" s="228">
        <f t="shared" si="517"/>
        <v>221.66333333333336</v>
      </c>
      <c r="EK171" s="229"/>
      <c r="EL171" s="229"/>
      <c r="EM171" s="228">
        <f t="shared" si="525"/>
        <v>0</v>
      </c>
      <c r="EN171" s="229">
        <f t="shared" si="413"/>
        <v>0</v>
      </c>
      <c r="EO171" s="229">
        <f t="shared" si="388"/>
        <v>221.66333333333336</v>
      </c>
      <c r="EP171" s="228">
        <f t="shared" si="526"/>
        <v>221.66333333333336</v>
      </c>
      <c r="EQ171" s="173">
        <f t="shared" si="441"/>
        <v>0</v>
      </c>
      <c r="ER171" s="189">
        <v>0</v>
      </c>
      <c r="ES171" s="189">
        <v>0</v>
      </c>
      <c r="ET171" s="189">
        <v>0</v>
      </c>
      <c r="EU171" s="189">
        <v>0</v>
      </c>
      <c r="EV171" s="189">
        <v>0</v>
      </c>
      <c r="EW171" s="189">
        <v>0</v>
      </c>
      <c r="EX171" s="189">
        <v>0</v>
      </c>
      <c r="EY171" s="189">
        <v>0</v>
      </c>
      <c r="EZ171" s="189">
        <v>0</v>
      </c>
      <c r="FA171" s="189">
        <v>0</v>
      </c>
      <c r="FB171" s="189">
        <v>0</v>
      </c>
      <c r="FC171" s="189">
        <v>0</v>
      </c>
      <c r="FD171" s="189">
        <v>0</v>
      </c>
      <c r="FE171" s="189">
        <v>0</v>
      </c>
      <c r="FF171" s="189">
        <v>0</v>
      </c>
      <c r="FG171" s="189">
        <v>0</v>
      </c>
      <c r="FH171" s="189">
        <v>0</v>
      </c>
      <c r="FI171" s="189">
        <v>0</v>
      </c>
      <c r="FJ171" s="189">
        <v>0</v>
      </c>
      <c r="FK171" s="189">
        <v>0</v>
      </c>
      <c r="FL171" s="189">
        <v>0</v>
      </c>
      <c r="FN171" s="132">
        <v>0</v>
      </c>
    </row>
    <row r="172" spans="1:170" ht="30" customHeight="1">
      <c r="A172" s="88">
        <f>COUNTIF($H$12:H172,H172)</f>
        <v>30</v>
      </c>
      <c r="B172" s="88" t="s">
        <v>80</v>
      </c>
      <c r="C172" s="88" t="s">
        <v>3144</v>
      </c>
      <c r="D172" s="88"/>
      <c r="E172" s="88" t="s">
        <v>354</v>
      </c>
      <c r="F172" s="301" t="s">
        <v>2828</v>
      </c>
      <c r="G172" s="89" t="s">
        <v>2883</v>
      </c>
      <c r="H172" s="88">
        <v>3</v>
      </c>
      <c r="I172" s="88">
        <v>3</v>
      </c>
      <c r="J172" s="88">
        <v>3</v>
      </c>
      <c r="K172" s="90" t="s">
        <v>1622</v>
      </c>
      <c r="L172" s="90" t="s">
        <v>1622</v>
      </c>
      <c r="M172" s="214"/>
      <c r="N172" s="88" t="s">
        <v>605</v>
      </c>
      <c r="O172" s="216">
        <f t="shared" si="516"/>
        <v>6.2</v>
      </c>
      <c r="P172" s="88" t="str">
        <f t="shared" si="468"/>
        <v>B1_6</v>
      </c>
      <c r="Q172" s="88">
        <f t="shared" si="527"/>
        <v>270</v>
      </c>
      <c r="R172" s="88">
        <f t="shared" si="528"/>
        <v>170</v>
      </c>
      <c r="S172" s="233"/>
      <c r="T172" s="214" t="s">
        <v>3088</v>
      </c>
      <c r="U172" s="88">
        <f>IF(RIGHT(T172,1)="K",(VLOOKUP(T172,ma_miengiam!$A$3:$B$80,2,0)*100)/2,VLOOKUP(T172,ma_miengiam!$A$3:$B$80,2,0)*100)</f>
        <v>0</v>
      </c>
      <c r="V172" s="88"/>
      <c r="W172" s="220">
        <f>IF(AND(T172="NTS",V172&gt;0),(Q172-(Q172*V172)/12)*VLOOKUP(T172,ma_miengiam!$A$3:$B$80,2,0)+(Q172-(Q172*(12-V172))/12),IF(AND(RIGHT(T172,1)="K",V172&gt;0),(VLOOKUP(T172,ma_miengiam!$A$3:$B$80,2,0)/2)*(Q172*V172)/12,IF(RIGHT(T172,1)="K",(VLOOKUP(T172,ma_miengiam!$A$3:$B$80,2,0)*Q172)/2,IF(V172&gt;0,VLOOKUP(T172,ma_miengiam!$A$3:$B$80,2,0)*Q172*V172/12,VLOOKUP(T172,ma_miengiam!$A$3:$B$80,2,0)*Q172))))</f>
        <v>0</v>
      </c>
      <c r="X172" s="220">
        <f>IF(T172="NTS",VLOOKUP(T172,ma_miengiam!$A$3:$B$80,2,0)*R172*V172,IF(AND(T172="NTS",V172=0),0,IF(AND(LEFT(T172,1)="K",V172=0),VLOOKUP(T172,ma_miengiam!$A$3:$B$80,2,0)*R172,IF(LEFT(T172,1)="K",(VLOOKUP(T172,ma_miengiam!$A$3:$B$80,2,0)*R172/12)*V172,IF(AND(LEFT(T172,1)="S",V172&gt;0),(R172/12)*V172,IF(AND(LEFT(T172,1)="S",V172=0),R172,IF(T172="DH",VLOOKUP(T172,ma_miengiam!$A$3:$B$80,2,0)*R172,0)))))))</f>
        <v>0</v>
      </c>
      <c r="Y172" s="220">
        <f t="shared" si="503"/>
        <v>270</v>
      </c>
      <c r="Z172" s="220">
        <f t="shared" si="504"/>
        <v>170</v>
      </c>
      <c r="AA172" s="220">
        <f>Q172</f>
        <v>270</v>
      </c>
      <c r="AB172" s="220">
        <f>R172</f>
        <v>170</v>
      </c>
      <c r="AC172" s="220">
        <f t="shared" ref="AC172:AF173" si="531">W172</f>
        <v>0</v>
      </c>
      <c r="AD172" s="220">
        <f t="shared" si="531"/>
        <v>0</v>
      </c>
      <c r="AE172" s="220">
        <f t="shared" si="531"/>
        <v>270</v>
      </c>
      <c r="AF172" s="220">
        <f t="shared" si="531"/>
        <v>170</v>
      </c>
      <c r="AG172" s="220">
        <f t="shared" si="506"/>
        <v>629.99</v>
      </c>
      <c r="AH172" s="220">
        <f t="shared" si="507"/>
        <v>361.66</v>
      </c>
      <c r="AI172" s="220">
        <f t="shared" si="508"/>
        <v>268.33</v>
      </c>
      <c r="AJ172" s="220">
        <f t="shared" si="513"/>
        <v>0</v>
      </c>
      <c r="AK172" s="216">
        <f t="shared" si="410"/>
        <v>270</v>
      </c>
      <c r="AL172" s="220">
        <f t="shared" si="425"/>
        <v>79.3</v>
      </c>
      <c r="AM172" s="220">
        <f t="shared" si="426"/>
        <v>374.59999999999997</v>
      </c>
      <c r="AN172" s="221">
        <f t="shared" si="427"/>
        <v>453.9</v>
      </c>
      <c r="AO172" s="220">
        <f t="shared" si="428"/>
        <v>0</v>
      </c>
      <c r="AP172" s="220">
        <f t="shared" si="429"/>
        <v>0</v>
      </c>
      <c r="AQ172" s="220">
        <f t="shared" si="430"/>
        <v>40</v>
      </c>
      <c r="AR172" s="220">
        <f t="shared" si="431"/>
        <v>144</v>
      </c>
      <c r="AS172" s="220">
        <f t="shared" si="432"/>
        <v>10</v>
      </c>
      <c r="AT172" s="216">
        <f t="shared" si="433"/>
        <v>647.9</v>
      </c>
      <c r="AU172" s="222">
        <f t="shared" si="395"/>
        <v>183.89999999999998</v>
      </c>
      <c r="AV172" s="220"/>
      <c r="AW172" s="220">
        <f t="shared" ref="AW172:AW216" si="532">IF(AU172&gt;0,AU172,AV172+AU172)</f>
        <v>183.89999999999998</v>
      </c>
      <c r="AX172" s="216">
        <f t="shared" si="411"/>
        <v>0</v>
      </c>
      <c r="AY172" s="220">
        <f t="shared" si="362"/>
        <v>0</v>
      </c>
      <c r="AZ172" s="220">
        <f t="shared" si="363"/>
        <v>0</v>
      </c>
      <c r="BA172" s="220">
        <f t="shared" si="364"/>
        <v>40</v>
      </c>
      <c r="BB172" s="220">
        <f t="shared" si="365"/>
        <v>144</v>
      </c>
      <c r="BC172" s="220">
        <f t="shared" si="366"/>
        <v>10</v>
      </c>
      <c r="BD172" s="216">
        <f t="shared" si="375"/>
        <v>194</v>
      </c>
      <c r="BE172" s="220">
        <f t="shared" ref="BE172:BE216" si="533">AY172-AO172</f>
        <v>0</v>
      </c>
      <c r="BF172" s="220">
        <f t="shared" ref="BF172:BF216" si="534">AZ172-AP172</f>
        <v>0</v>
      </c>
      <c r="BG172" s="220">
        <f t="shared" ref="BG172:BG216" si="535">BA172-AQ172</f>
        <v>0</v>
      </c>
      <c r="BH172" s="220">
        <f t="shared" ref="BH172:BH216" si="536">BB172-AR172</f>
        <v>0</v>
      </c>
      <c r="BI172" s="220">
        <f t="shared" ref="BI172:BI216" si="537">BC172-AS172</f>
        <v>0</v>
      </c>
      <c r="BJ172" s="220" t="s">
        <v>1805</v>
      </c>
      <c r="BK172" s="220"/>
      <c r="BL172" s="223">
        <f t="shared" si="412"/>
        <v>183.89999999999998</v>
      </c>
      <c r="BM172" s="220">
        <v>6.2</v>
      </c>
      <c r="BN172" s="220"/>
      <c r="BO172" s="220">
        <f>ROUND(BM172+(BM172*BN172),2)</f>
        <v>6.2</v>
      </c>
      <c r="BP172" s="220">
        <f>IF(AND(BL172&gt;0,BL172&lt;tiet!$D$1),BL172,IF(BL172&lt;=0,0,IF(BL172&gt;tiet!$C$1,tiet!$C$1)))</f>
        <v>183.89999999999998</v>
      </c>
      <c r="BQ172" s="87">
        <f t="shared" si="509"/>
        <v>75000</v>
      </c>
      <c r="BR172" s="224">
        <f t="shared" si="510"/>
        <v>13792500</v>
      </c>
      <c r="BS172" s="220">
        <f t="shared" si="434"/>
        <v>0</v>
      </c>
      <c r="BT172" s="224">
        <f>VLOOKUP(N172,ma_dinhmuc!$A$1:$J$31,10,0)</f>
        <v>65000</v>
      </c>
      <c r="BU172" s="224">
        <f>ROUND(IF(BS172&gt;0,VLOOKUP(N172,ma_dinhmuc!$A$1:$J$31,10,0)*BS172,0),0)</f>
        <v>0</v>
      </c>
      <c r="BV172" s="224">
        <f t="shared" si="511"/>
        <v>13792500</v>
      </c>
      <c r="BW172" s="224"/>
      <c r="BX172" s="224">
        <v>0</v>
      </c>
      <c r="BY172" s="224"/>
      <c r="BZ172" s="224"/>
      <c r="CA172" s="224"/>
      <c r="CB172" s="224"/>
      <c r="CC172" s="225">
        <f t="shared" si="384"/>
        <v>13792500</v>
      </c>
      <c r="CD172" s="224">
        <f t="shared" si="385"/>
        <v>0</v>
      </c>
      <c r="CE172" s="224"/>
      <c r="CF172" s="226"/>
      <c r="CG172" s="87"/>
      <c r="CH172" s="87">
        <f>A172</f>
        <v>30</v>
      </c>
      <c r="CI172" s="227" t="str">
        <f>F172</f>
        <v>Phan Thị Thanh</v>
      </c>
      <c r="CJ172" s="227" t="str">
        <f>G172</f>
        <v>Huyền</v>
      </c>
      <c r="CK172" s="87">
        <f>H172</f>
        <v>3</v>
      </c>
      <c r="CL172" s="227" t="str">
        <f t="shared" si="523"/>
        <v>Quản lý đất đai</v>
      </c>
      <c r="CM172" s="87" t="str">
        <f t="shared" ref="CM172:CM216" si="538">N172</f>
        <v>CS4</v>
      </c>
      <c r="CN172" s="87">
        <f t="shared" si="514"/>
        <v>270</v>
      </c>
      <c r="CO172" s="87">
        <f t="shared" si="515"/>
        <v>170</v>
      </c>
      <c r="CP172" s="229">
        <f t="shared" si="444"/>
        <v>0</v>
      </c>
      <c r="CQ172" s="229">
        <f t="shared" si="445"/>
        <v>13.8</v>
      </c>
      <c r="CR172" s="229">
        <f t="shared" si="446"/>
        <v>5.5</v>
      </c>
      <c r="CS172" s="229">
        <f t="shared" si="447"/>
        <v>0</v>
      </c>
      <c r="CT172" s="229">
        <f t="shared" si="448"/>
        <v>0</v>
      </c>
      <c r="CU172" s="229">
        <f t="shared" si="449"/>
        <v>60</v>
      </c>
      <c r="CV172" s="229">
        <f t="shared" si="450"/>
        <v>0</v>
      </c>
      <c r="CW172" s="229">
        <f t="shared" si="451"/>
        <v>0</v>
      </c>
      <c r="CX172" s="229">
        <f t="shared" si="452"/>
        <v>0</v>
      </c>
      <c r="CY172" s="229">
        <f t="shared" si="453"/>
        <v>0</v>
      </c>
      <c r="CZ172" s="229">
        <f t="shared" si="454"/>
        <v>0</v>
      </c>
      <c r="DA172" s="229">
        <f t="shared" si="455"/>
        <v>40</v>
      </c>
      <c r="DB172" s="228">
        <f t="shared" si="423"/>
        <v>119.3</v>
      </c>
      <c r="DC172" s="229"/>
      <c r="DD172" s="229"/>
      <c r="DE172" s="229"/>
      <c r="DF172" s="229"/>
      <c r="DG172" s="229"/>
      <c r="DH172" s="229"/>
      <c r="DI172" s="229"/>
      <c r="DJ172" s="229"/>
      <c r="DK172" s="229"/>
      <c r="DL172" s="229"/>
      <c r="DM172" s="229"/>
      <c r="DN172" s="229"/>
      <c r="DO172" s="228">
        <f t="shared" si="436"/>
        <v>0</v>
      </c>
      <c r="DP172" s="228">
        <f t="shared" si="437"/>
        <v>119.3</v>
      </c>
      <c r="DQ172" s="229">
        <f t="shared" si="456"/>
        <v>351</v>
      </c>
      <c r="DR172" s="229">
        <f t="shared" si="457"/>
        <v>16.7</v>
      </c>
      <c r="DS172" s="229">
        <f t="shared" si="458"/>
        <v>0</v>
      </c>
      <c r="DT172" s="229">
        <f t="shared" si="459"/>
        <v>6.9</v>
      </c>
      <c r="DU172" s="229">
        <f t="shared" si="460"/>
        <v>0</v>
      </c>
      <c r="DV172" s="229">
        <f t="shared" si="461"/>
        <v>144</v>
      </c>
      <c r="DW172" s="229">
        <f t="shared" si="462"/>
        <v>10</v>
      </c>
      <c r="DX172" s="228">
        <f t="shared" si="424"/>
        <v>528.59999999999991</v>
      </c>
      <c r="DY172" s="229"/>
      <c r="DZ172" s="229"/>
      <c r="EA172" s="229"/>
      <c r="EB172" s="229"/>
      <c r="EC172" s="229"/>
      <c r="ED172" s="229"/>
      <c r="EE172" s="229"/>
      <c r="EF172" s="228">
        <f t="shared" si="438"/>
        <v>0</v>
      </c>
      <c r="EG172" s="228">
        <f t="shared" si="439"/>
        <v>528.59999999999991</v>
      </c>
      <c r="EH172" s="229">
        <f t="shared" si="440"/>
        <v>268.33</v>
      </c>
      <c r="EI172" s="229">
        <v>361.66</v>
      </c>
      <c r="EJ172" s="228">
        <f>SUM(EH172:EI172)</f>
        <v>629.99</v>
      </c>
      <c r="EK172" s="229"/>
      <c r="EL172" s="229"/>
      <c r="EM172" s="228">
        <f t="shared" si="525"/>
        <v>0</v>
      </c>
      <c r="EN172" s="229">
        <f t="shared" si="413"/>
        <v>268.33</v>
      </c>
      <c r="EO172" s="229">
        <f t="shared" si="388"/>
        <v>361.66</v>
      </c>
      <c r="EP172" s="228">
        <f t="shared" si="526"/>
        <v>629.99</v>
      </c>
      <c r="EQ172" s="173">
        <f t="shared" si="441"/>
        <v>98.329999999999984</v>
      </c>
      <c r="ER172" s="189">
        <v>0</v>
      </c>
      <c r="ES172" s="189">
        <v>13.8</v>
      </c>
      <c r="ET172" s="189">
        <v>5.5</v>
      </c>
      <c r="EU172" s="189">
        <v>0</v>
      </c>
      <c r="EV172" s="189">
        <v>0</v>
      </c>
      <c r="EW172" s="189">
        <v>60</v>
      </c>
      <c r="EX172" s="189">
        <v>0</v>
      </c>
      <c r="EY172" s="189">
        <v>0</v>
      </c>
      <c r="EZ172" s="189">
        <v>0</v>
      </c>
      <c r="FA172" s="189">
        <v>0</v>
      </c>
      <c r="FB172" s="189">
        <v>0</v>
      </c>
      <c r="FC172" s="189">
        <v>40</v>
      </c>
      <c r="FD172" s="189">
        <v>351</v>
      </c>
      <c r="FE172" s="189">
        <v>16.7</v>
      </c>
      <c r="FF172" s="189">
        <v>0</v>
      </c>
      <c r="FG172" s="189">
        <v>6.9</v>
      </c>
      <c r="FH172" s="189">
        <v>144</v>
      </c>
      <c r="FI172" s="189">
        <v>0</v>
      </c>
      <c r="FJ172" s="189">
        <v>10</v>
      </c>
      <c r="FK172" s="189">
        <v>647.9</v>
      </c>
      <c r="FL172" s="189">
        <v>467</v>
      </c>
      <c r="FN172" s="132">
        <v>268.33</v>
      </c>
    </row>
    <row r="173" spans="1:170" ht="30" customHeight="1">
      <c r="A173" s="88">
        <f>COUNTIF($H$12:H173,H173)</f>
        <v>31</v>
      </c>
      <c r="B173" s="88" t="s">
        <v>81</v>
      </c>
      <c r="C173" s="88" t="s">
        <v>3145</v>
      </c>
      <c r="D173" s="88"/>
      <c r="E173" s="88"/>
      <c r="F173" s="301" t="s">
        <v>2829</v>
      </c>
      <c r="G173" s="303" t="s">
        <v>1113</v>
      </c>
      <c r="H173" s="88">
        <v>3</v>
      </c>
      <c r="I173" s="88">
        <v>3</v>
      </c>
      <c r="J173" s="88">
        <v>3</v>
      </c>
      <c r="K173" s="90" t="s">
        <v>1622</v>
      </c>
      <c r="L173" s="90" t="s">
        <v>1622</v>
      </c>
      <c r="M173" s="214"/>
      <c r="N173" s="88" t="s">
        <v>606</v>
      </c>
      <c r="O173" s="216">
        <f t="shared" si="516"/>
        <v>5.08</v>
      </c>
      <c r="P173" s="88" t="str">
        <f t="shared" si="468"/>
        <v>B1_5</v>
      </c>
      <c r="Q173" s="88">
        <f t="shared" si="527"/>
        <v>270</v>
      </c>
      <c r="R173" s="88">
        <f t="shared" si="528"/>
        <v>150</v>
      </c>
      <c r="S173" s="233"/>
      <c r="T173" s="88" t="s">
        <v>3088</v>
      </c>
      <c r="U173" s="88">
        <f>IF(RIGHT(T173,1)="K",(VLOOKUP(T173,ma_miengiam!$A$3:$B$80,2,0)*100)/2,VLOOKUP(T173,ma_miengiam!$A$3:$B$80,2,0)*100)</f>
        <v>0</v>
      </c>
      <c r="V173" s="88"/>
      <c r="W173" s="220">
        <f>IF(AND(T173="NTS",V173&gt;0),(Q173-(Q173*V173)/12)*VLOOKUP(T173,ma_miengiam!$A$3:$B$80,2,0)+(Q173-(Q173*(12-V173))/12),IF(AND(RIGHT(T173,1)="K",V173&gt;0),(VLOOKUP(T173,ma_miengiam!$A$3:$B$80,2,0)/2)*(Q173*V173)/12,IF(RIGHT(T173,1)="K",(VLOOKUP(T173,ma_miengiam!$A$3:$B$80,2,0)*Q173)/2,IF(V173&gt;0,VLOOKUP(T173,ma_miengiam!$A$3:$B$80,2,0)*Q173*V173/12,VLOOKUP(T173,ma_miengiam!$A$3:$B$80,2,0)*Q173))))</f>
        <v>0</v>
      </c>
      <c r="X173" s="220">
        <f>IF(T173="NTS",VLOOKUP(T173,ma_miengiam!$A$3:$B$80,2,0)*R173*V173,IF(AND(T173="NTS",V173=0),0,IF(AND(LEFT(T173,1)="K",V173=0),VLOOKUP(T173,ma_miengiam!$A$3:$B$80,2,0)*R173,IF(LEFT(T173,1)="K",(VLOOKUP(T173,ma_miengiam!$A$3:$B$80,2,0)*R173/12)*V173,IF(AND(LEFT(T173,1)="S",V173&gt;0),(R173/12)*V173,IF(AND(LEFT(T173,1)="S",V173=0),R173,IF(T173="DH",VLOOKUP(T173,ma_miengiam!$A$3:$B$80,2,0)*R173,0)))))))</f>
        <v>0</v>
      </c>
      <c r="Y173" s="220">
        <f t="shared" si="503"/>
        <v>270</v>
      </c>
      <c r="Z173" s="220">
        <f t="shared" si="504"/>
        <v>150</v>
      </c>
      <c r="AA173" s="220">
        <f>Q173</f>
        <v>270</v>
      </c>
      <c r="AB173" s="220">
        <f>R173</f>
        <v>150</v>
      </c>
      <c r="AC173" s="220">
        <f t="shared" si="531"/>
        <v>0</v>
      </c>
      <c r="AD173" s="220">
        <f t="shared" si="531"/>
        <v>0</v>
      </c>
      <c r="AE173" s="220">
        <f t="shared" si="531"/>
        <v>270</v>
      </c>
      <c r="AF173" s="220">
        <f t="shared" si="531"/>
        <v>150</v>
      </c>
      <c r="AG173" s="220">
        <f t="shared" si="506"/>
        <v>622.91</v>
      </c>
      <c r="AH173" s="220">
        <f t="shared" si="507"/>
        <v>170.83</v>
      </c>
      <c r="AI173" s="220">
        <f t="shared" si="508"/>
        <v>452.08</v>
      </c>
      <c r="AJ173" s="220">
        <f t="shared" si="513"/>
        <v>0</v>
      </c>
      <c r="AK173" s="216">
        <f t="shared" si="410"/>
        <v>270</v>
      </c>
      <c r="AL173" s="220">
        <f t="shared" si="425"/>
        <v>96.5</v>
      </c>
      <c r="AM173" s="220">
        <f t="shared" si="426"/>
        <v>254.4</v>
      </c>
      <c r="AN173" s="221">
        <f t="shared" si="427"/>
        <v>350.9</v>
      </c>
      <c r="AO173" s="220">
        <f t="shared" si="428"/>
        <v>0</v>
      </c>
      <c r="AP173" s="220">
        <f t="shared" si="429"/>
        <v>15</v>
      </c>
      <c r="AQ173" s="220">
        <f t="shared" si="430"/>
        <v>0</v>
      </c>
      <c r="AR173" s="220">
        <f t="shared" si="431"/>
        <v>80</v>
      </c>
      <c r="AS173" s="220">
        <f t="shared" si="432"/>
        <v>0</v>
      </c>
      <c r="AT173" s="216">
        <f t="shared" si="433"/>
        <v>445.9</v>
      </c>
      <c r="AU173" s="222">
        <f t="shared" si="395"/>
        <v>80.899999999999977</v>
      </c>
      <c r="AV173" s="220"/>
      <c r="AW173" s="220">
        <f t="shared" si="532"/>
        <v>80.899999999999977</v>
      </c>
      <c r="AX173" s="216">
        <f t="shared" si="411"/>
        <v>0</v>
      </c>
      <c r="AY173" s="220">
        <f t="shared" ref="AY173:AY216" si="539">IF(AN173&gt;=AK173,AO173,IF(AN173+AO173-AK173&gt;=0,AN173+AO173-AK173,0))</f>
        <v>0</v>
      </c>
      <c r="AZ173" s="220">
        <f t="shared" ref="AZ173:AZ216" si="540">IF(OR(AN173&gt;=AK173,AN173+AO173&gt;=AK173),AP173,IF(AN173+AO173+AP173&gt;AK173,AN173+AO173+AP173-AK173,0))</f>
        <v>15</v>
      </c>
      <c r="BA173" s="220">
        <f t="shared" ref="BA173:BA216" si="541">IF(OR(AN173&gt;=AK173,AN173+AO173&gt;=AK173,AN173+AO173+AP173&gt;=AK173),AQ173,IF(AN173+AO173+AP173+AQ173&gt;=AK173,AN173+AO173+AP173+AQ173-AK173,0))</f>
        <v>0</v>
      </c>
      <c r="BB173" s="220">
        <f t="shared" ref="BB173:BB216" si="542">IF(OR(AN173&gt;=AK173,AN173+AO173&gt;=AK173,AN173+AO173+AP173&gt;=AK173,AN173+AO173+AP173+AQ173&gt;=AK173),AR173,IF(AN173+AO173+AP173+AQ173+AR173&gt;=AK173,AN173+AO173+AP173+AQ173+AR173-AK173,0))</f>
        <v>80</v>
      </c>
      <c r="BC173" s="220">
        <f t="shared" ref="BC173:BC216" si="543">IF(OR(AN173&gt;=AK173,AN173+AO173&gt;=AK173,AN173+AO173+AP173&gt;=AK173,AN173+AO173+AP173+AQ173&gt;=AK173,AN173+AO173+AP173+AQ173+AR173&gt;=AK173),AS173,IF(AN173+AO173+AP173+AQ173+AR173+AS173&gt;=AK173,AN173+AO173+AP173+AQ173+AR173+AS173-AK173,0))</f>
        <v>0</v>
      </c>
      <c r="BD173" s="216">
        <f t="shared" si="375"/>
        <v>95</v>
      </c>
      <c r="BE173" s="220">
        <f t="shared" si="533"/>
        <v>0</v>
      </c>
      <c r="BF173" s="220">
        <f t="shared" si="534"/>
        <v>0</v>
      </c>
      <c r="BG173" s="220">
        <f t="shared" si="535"/>
        <v>0</v>
      </c>
      <c r="BH173" s="220">
        <f t="shared" si="536"/>
        <v>0</v>
      </c>
      <c r="BI173" s="220">
        <f t="shared" si="537"/>
        <v>0</v>
      </c>
      <c r="BJ173" s="220" t="s">
        <v>1805</v>
      </c>
      <c r="BK173" s="220"/>
      <c r="BL173" s="223">
        <f t="shared" si="412"/>
        <v>80.899999999999977</v>
      </c>
      <c r="BM173" s="220">
        <v>5.08</v>
      </c>
      <c r="BN173" s="220"/>
      <c r="BO173" s="220">
        <f t="shared" si="529"/>
        <v>5.08</v>
      </c>
      <c r="BP173" s="220">
        <f>IF(AND(BL173&gt;0,BL173&lt;tiet!$D$1),BL173,IF(BL173&lt;=0,0,IF(BL173&gt;tiet!$C$1,tiet!$C$1)))</f>
        <v>80.899999999999977</v>
      </c>
      <c r="BQ173" s="87">
        <f t="shared" si="509"/>
        <v>70000</v>
      </c>
      <c r="BR173" s="224">
        <f t="shared" si="510"/>
        <v>5663000</v>
      </c>
      <c r="BS173" s="220">
        <f t="shared" si="434"/>
        <v>0</v>
      </c>
      <c r="BT173" s="224">
        <f>VLOOKUP(N173,ma_dinhmuc!$A$1:$J$31,10,0)</f>
        <v>55000</v>
      </c>
      <c r="BU173" s="224">
        <f>ROUND(IF(BS173&gt;0,VLOOKUP(N173,ma_dinhmuc!$A$1:$J$31,10,0)*BS173,0),0)</f>
        <v>0</v>
      </c>
      <c r="BV173" s="224">
        <f t="shared" si="511"/>
        <v>5663000</v>
      </c>
      <c r="BW173" s="224"/>
      <c r="BX173" s="224">
        <v>0</v>
      </c>
      <c r="BY173" s="224"/>
      <c r="BZ173" s="224"/>
      <c r="CA173" s="224"/>
      <c r="CB173" s="224"/>
      <c r="CC173" s="225">
        <f t="shared" ref="CC173:CC222" si="544">ROUND(IF(BV173+BW173&gt;BX173+BY173+BZ173+CA173+CB173,(BW173+BV173)-(BX173+BY173+BZ173+CA173+CB173+CB173),0),0)</f>
        <v>5663000</v>
      </c>
      <c r="CD173" s="224">
        <f t="shared" ref="CD173:CD222" si="545">ROUND(IF(BV173+BW173&lt;BX173+BY173+BZ173+CA173-CB173,(BX173+BY173+BZ173+CA173-CB173)-(BW173+BV173),0),0)</f>
        <v>0</v>
      </c>
      <c r="CE173" s="224"/>
      <c r="CF173" s="226"/>
      <c r="CG173" s="87"/>
      <c r="CH173" s="87">
        <f t="shared" si="530"/>
        <v>31</v>
      </c>
      <c r="CI173" s="227" t="str">
        <f t="shared" si="520"/>
        <v>Phạm Phương</v>
      </c>
      <c r="CJ173" s="227" t="str">
        <f t="shared" si="521"/>
        <v>Nam</v>
      </c>
      <c r="CK173" s="87">
        <f t="shared" si="522"/>
        <v>3</v>
      </c>
      <c r="CL173" s="227" t="str">
        <f t="shared" si="523"/>
        <v>Quản lý đất đai</v>
      </c>
      <c r="CM173" s="87" t="str">
        <f t="shared" si="538"/>
        <v>CS3</v>
      </c>
      <c r="CN173" s="87">
        <f t="shared" si="514"/>
        <v>270</v>
      </c>
      <c r="CO173" s="87">
        <f t="shared" si="515"/>
        <v>150</v>
      </c>
      <c r="CP173" s="229">
        <f t="shared" si="444"/>
        <v>0</v>
      </c>
      <c r="CQ173" s="229">
        <f t="shared" si="445"/>
        <v>10.6</v>
      </c>
      <c r="CR173" s="229">
        <f t="shared" si="446"/>
        <v>4.3</v>
      </c>
      <c r="CS173" s="229">
        <f t="shared" si="447"/>
        <v>21.6</v>
      </c>
      <c r="CT173" s="229">
        <f t="shared" si="448"/>
        <v>0</v>
      </c>
      <c r="CU173" s="229">
        <f t="shared" si="449"/>
        <v>60</v>
      </c>
      <c r="CV173" s="229">
        <f t="shared" si="450"/>
        <v>0</v>
      </c>
      <c r="CW173" s="229">
        <f t="shared" si="451"/>
        <v>0</v>
      </c>
      <c r="CX173" s="229">
        <f t="shared" si="452"/>
        <v>0</v>
      </c>
      <c r="CY173" s="229">
        <f t="shared" si="453"/>
        <v>0</v>
      </c>
      <c r="CZ173" s="229">
        <f t="shared" si="454"/>
        <v>15</v>
      </c>
      <c r="DA173" s="229">
        <f t="shared" si="455"/>
        <v>0</v>
      </c>
      <c r="DB173" s="228">
        <f t="shared" si="423"/>
        <v>111.5</v>
      </c>
      <c r="DC173" s="229"/>
      <c r="DD173" s="229"/>
      <c r="DE173" s="229"/>
      <c r="DF173" s="229"/>
      <c r="DG173" s="229"/>
      <c r="DH173" s="229"/>
      <c r="DI173" s="229"/>
      <c r="DJ173" s="229"/>
      <c r="DK173" s="229"/>
      <c r="DL173" s="229"/>
      <c r="DM173" s="229"/>
      <c r="DN173" s="229"/>
      <c r="DO173" s="228">
        <f t="shared" si="436"/>
        <v>0</v>
      </c>
      <c r="DP173" s="228">
        <f t="shared" si="437"/>
        <v>111.5</v>
      </c>
      <c r="DQ173" s="229">
        <f t="shared" si="456"/>
        <v>243</v>
      </c>
      <c r="DR173" s="229">
        <f t="shared" si="457"/>
        <v>8.1</v>
      </c>
      <c r="DS173" s="229">
        <f t="shared" si="458"/>
        <v>0</v>
      </c>
      <c r="DT173" s="229">
        <f t="shared" si="459"/>
        <v>3.3</v>
      </c>
      <c r="DU173" s="229">
        <f t="shared" si="460"/>
        <v>0</v>
      </c>
      <c r="DV173" s="229">
        <f t="shared" si="461"/>
        <v>80</v>
      </c>
      <c r="DW173" s="229">
        <f t="shared" si="462"/>
        <v>0</v>
      </c>
      <c r="DX173" s="228">
        <f t="shared" si="424"/>
        <v>334.4</v>
      </c>
      <c r="DY173" s="229"/>
      <c r="DZ173" s="229"/>
      <c r="EA173" s="229"/>
      <c r="EB173" s="229"/>
      <c r="EC173" s="229"/>
      <c r="ED173" s="229"/>
      <c r="EE173" s="229"/>
      <c r="EF173" s="228">
        <f t="shared" si="438"/>
        <v>0</v>
      </c>
      <c r="EG173" s="228">
        <f t="shared" si="439"/>
        <v>334.4</v>
      </c>
      <c r="EH173" s="229">
        <f t="shared" si="440"/>
        <v>452.08</v>
      </c>
      <c r="EI173" s="229">
        <v>170.83</v>
      </c>
      <c r="EJ173" s="228">
        <f t="shared" si="517"/>
        <v>622.91</v>
      </c>
      <c r="EK173" s="229"/>
      <c r="EL173" s="229"/>
      <c r="EM173" s="228">
        <f t="shared" si="525"/>
        <v>0</v>
      </c>
      <c r="EN173" s="229">
        <f t="shared" si="413"/>
        <v>452.08</v>
      </c>
      <c r="EO173" s="229">
        <f t="shared" si="388"/>
        <v>170.83</v>
      </c>
      <c r="EP173" s="228">
        <f t="shared" si="526"/>
        <v>622.91</v>
      </c>
      <c r="EQ173" s="173">
        <f t="shared" si="441"/>
        <v>302.08</v>
      </c>
      <c r="ER173" s="189">
        <v>0</v>
      </c>
      <c r="ES173" s="189">
        <v>10.6</v>
      </c>
      <c r="ET173" s="189">
        <v>4.3</v>
      </c>
      <c r="EU173" s="189">
        <v>21.6</v>
      </c>
      <c r="EV173" s="189">
        <v>0</v>
      </c>
      <c r="EW173" s="189">
        <v>60</v>
      </c>
      <c r="EX173" s="189">
        <v>0</v>
      </c>
      <c r="EY173" s="189">
        <v>0</v>
      </c>
      <c r="EZ173" s="189">
        <v>0</v>
      </c>
      <c r="FA173" s="189">
        <v>0</v>
      </c>
      <c r="FB173" s="189">
        <v>15</v>
      </c>
      <c r="FC173" s="189">
        <v>0</v>
      </c>
      <c r="FD173" s="189">
        <v>243</v>
      </c>
      <c r="FE173" s="189">
        <v>8.1</v>
      </c>
      <c r="FF173" s="189">
        <v>0</v>
      </c>
      <c r="FG173" s="189">
        <v>3.3</v>
      </c>
      <c r="FH173" s="189">
        <v>80</v>
      </c>
      <c r="FI173" s="189">
        <v>0</v>
      </c>
      <c r="FJ173" s="189">
        <v>0</v>
      </c>
      <c r="FK173" s="189">
        <v>445.9</v>
      </c>
      <c r="FL173" s="189">
        <v>325.60000000000002</v>
      </c>
      <c r="FN173" s="132">
        <v>452.08</v>
      </c>
    </row>
    <row r="174" spans="1:170" ht="30" customHeight="1">
      <c r="A174" s="88">
        <f>COUNTIF($H$12:H174,H174)</f>
        <v>32</v>
      </c>
      <c r="B174" s="88" t="s">
        <v>82</v>
      </c>
      <c r="C174" s="88" t="s">
        <v>3146</v>
      </c>
      <c r="D174" s="88"/>
      <c r="E174" s="88"/>
      <c r="F174" s="301" t="s">
        <v>1570</v>
      </c>
      <c r="G174" s="89" t="s">
        <v>1151</v>
      </c>
      <c r="H174" s="88">
        <v>3</v>
      </c>
      <c r="I174" s="88"/>
      <c r="J174" s="88">
        <v>3</v>
      </c>
      <c r="K174" s="90"/>
      <c r="L174" s="90" t="s">
        <v>1622</v>
      </c>
      <c r="M174" s="214"/>
      <c r="N174" s="88" t="s">
        <v>1804</v>
      </c>
      <c r="O174" s="216">
        <f t="shared" si="516"/>
        <v>2.67</v>
      </c>
      <c r="P174" s="88" t="str">
        <f t="shared" si="468"/>
        <v>B1_3</v>
      </c>
      <c r="Q174" s="88">
        <f t="shared" si="527"/>
        <v>270</v>
      </c>
      <c r="R174" s="88">
        <f t="shared" si="528"/>
        <v>100</v>
      </c>
      <c r="S174" s="233"/>
      <c r="T174" s="88" t="s">
        <v>3088</v>
      </c>
      <c r="U174" s="88">
        <f>IF(RIGHT(T174,1)="K",(VLOOKUP(T174,ma_miengiam!$A$3:$B$80,2,0)*100)/2,VLOOKUP(T174,ma_miengiam!$A$3:$B$80,2,0)*100)</f>
        <v>0</v>
      </c>
      <c r="V174" s="88">
        <v>3</v>
      </c>
      <c r="W174" s="220">
        <f>IF(AND(T174="NTS",V174&gt;0),(Q174-(Q174*V174)/12)*VLOOKUP(T174,ma_miengiam!$A$3:$B$80,2,0)+(Q174-(Q174*(12-V174))/12),IF(AND(RIGHT(T174,1)="K",V174&gt;0),(VLOOKUP(T174,ma_miengiam!$A$3:$B$80,2,0)/2)*(Q174*V174)/12,IF(RIGHT(T174,1)="K",(VLOOKUP(T174,ma_miengiam!$A$3:$B$80,2,0)*Q174)/2,IF(V174&gt;0,VLOOKUP(T174,ma_miengiam!$A$3:$B$80,2,0)*Q174*V174/12,VLOOKUP(T174,ma_miengiam!$A$3:$B$80,2,0)*Q174))))</f>
        <v>0</v>
      </c>
      <c r="X174" s="220">
        <f>IF(T174="NTS",VLOOKUP(T174,ma_miengiam!$A$3:$B$80,2,0)*R174*V174,IF(AND(T174="NTS",V174=0),0,IF(AND(LEFT(T174,1)="K",V174=0),VLOOKUP(T174,ma_miengiam!$A$3:$B$80,2,0)*R174,IF(LEFT(T174,1)="K",(VLOOKUP(T174,ma_miengiam!$A$3:$B$80,2,0)*R174/12)*V174,IF(AND(LEFT(T174,1)="S",V174&gt;0),(R174/12)*V174,IF(AND(LEFT(T174,1)="S",V174=0),R174,IF(T174="DH",VLOOKUP(T174,ma_miengiam!$A$3:$B$80,2,0)*R174,0)))))))</f>
        <v>0</v>
      </c>
      <c r="Y174" s="220">
        <f t="shared" si="503"/>
        <v>67.5</v>
      </c>
      <c r="Z174" s="220">
        <f t="shared" si="504"/>
        <v>25</v>
      </c>
      <c r="AA174" s="220"/>
      <c r="AB174" s="220"/>
      <c r="AC174" s="220"/>
      <c r="AD174" s="220"/>
      <c r="AE174" s="220"/>
      <c r="AF174" s="220"/>
      <c r="AG174" s="220"/>
      <c r="AH174" s="220"/>
      <c r="AI174" s="220"/>
      <c r="AJ174" s="220"/>
      <c r="AK174" s="216"/>
      <c r="AL174" s="220"/>
      <c r="AM174" s="220"/>
      <c r="AN174" s="221"/>
      <c r="AO174" s="220"/>
      <c r="AP174" s="220"/>
      <c r="AQ174" s="220"/>
      <c r="AR174" s="220"/>
      <c r="AS174" s="220"/>
      <c r="AT174" s="216"/>
      <c r="AU174" s="220"/>
      <c r="AV174" s="220"/>
      <c r="AW174" s="220"/>
      <c r="AX174" s="216"/>
      <c r="AY174" s="220"/>
      <c r="AZ174" s="220"/>
      <c r="BA174" s="220"/>
      <c r="BB174" s="220"/>
      <c r="BC174" s="220"/>
      <c r="BD174" s="216"/>
      <c r="BE174" s="220"/>
      <c r="BF174" s="220"/>
      <c r="BG174" s="220"/>
      <c r="BH174" s="220"/>
      <c r="BI174" s="220"/>
      <c r="BJ174" s="220" t="s">
        <v>1805</v>
      </c>
      <c r="BK174" s="220"/>
      <c r="BL174" s="223">
        <f t="shared" si="412"/>
        <v>0</v>
      </c>
      <c r="BM174" s="220">
        <v>2.67</v>
      </c>
      <c r="BN174" s="220"/>
      <c r="BO174" s="220">
        <f>ROUND(BM174+(BM174*BN174),2)</f>
        <v>2.67</v>
      </c>
      <c r="BP174" s="220">
        <f>IF(AND(BL174&gt;0,BL174&lt;tiet!$D$1),BL174,IF(BL174&lt;=0,0,IF(BL174&gt;tiet!$C$1,tiet!$C$1)))</f>
        <v>0</v>
      </c>
      <c r="BQ174" s="87">
        <f t="shared" si="509"/>
        <v>60000</v>
      </c>
      <c r="BR174" s="224">
        <f t="shared" si="510"/>
        <v>0</v>
      </c>
      <c r="BS174" s="220">
        <f t="shared" si="434"/>
        <v>0</v>
      </c>
      <c r="BT174" s="224">
        <f>VLOOKUP(N174,ma_dinhmuc!$A$1:$J$31,10,0)</f>
        <v>51000</v>
      </c>
      <c r="BU174" s="224">
        <f>ROUND(IF(BS174&gt;0,VLOOKUP(N174,ma_dinhmuc!$A$1:$J$31,10,0)*BS174,0),0)</f>
        <v>0</v>
      </c>
      <c r="BV174" s="224">
        <f t="shared" si="511"/>
        <v>0</v>
      </c>
      <c r="BW174" s="224"/>
      <c r="BX174" s="224">
        <v>0</v>
      </c>
      <c r="BY174" s="224"/>
      <c r="BZ174" s="224"/>
      <c r="CA174" s="224"/>
      <c r="CB174" s="224"/>
      <c r="CC174" s="225">
        <f t="shared" si="544"/>
        <v>0</v>
      </c>
      <c r="CD174" s="224">
        <f t="shared" si="545"/>
        <v>0</v>
      </c>
      <c r="CE174" s="224"/>
      <c r="CF174" s="226"/>
      <c r="CG174" s="87"/>
      <c r="CH174" s="87">
        <f>A174</f>
        <v>32</v>
      </c>
      <c r="CI174" s="227" t="str">
        <f t="shared" ref="CI174:CJ176" si="546">F174</f>
        <v>Vũ Thanh</v>
      </c>
      <c r="CJ174" s="227" t="str">
        <f t="shared" si="546"/>
        <v>Biển</v>
      </c>
      <c r="CK174" s="87">
        <f>H174</f>
        <v>3</v>
      </c>
      <c r="CL174" s="227" t="str">
        <f t="shared" si="523"/>
        <v>Quản lý đất đai</v>
      </c>
      <c r="CM174" s="87" t="str">
        <f t="shared" si="538"/>
        <v>CS2</v>
      </c>
      <c r="CN174" s="87">
        <f t="shared" si="514"/>
        <v>270</v>
      </c>
      <c r="CO174" s="87">
        <f t="shared" si="515"/>
        <v>100</v>
      </c>
      <c r="CP174" s="229">
        <f t="shared" si="444"/>
        <v>0</v>
      </c>
      <c r="CQ174" s="229">
        <f t="shared" si="445"/>
        <v>0</v>
      </c>
      <c r="CR174" s="229">
        <f t="shared" si="446"/>
        <v>0</v>
      </c>
      <c r="CS174" s="229">
        <f t="shared" si="447"/>
        <v>0</v>
      </c>
      <c r="CT174" s="229">
        <f t="shared" si="448"/>
        <v>0</v>
      </c>
      <c r="CU174" s="229">
        <f t="shared" si="449"/>
        <v>0</v>
      </c>
      <c r="CV174" s="229">
        <f t="shared" si="450"/>
        <v>0</v>
      </c>
      <c r="CW174" s="229">
        <f t="shared" si="451"/>
        <v>0</v>
      </c>
      <c r="CX174" s="229">
        <f t="shared" si="452"/>
        <v>0</v>
      </c>
      <c r="CY174" s="229">
        <f t="shared" si="453"/>
        <v>0</v>
      </c>
      <c r="CZ174" s="229">
        <f t="shared" si="454"/>
        <v>0</v>
      </c>
      <c r="DA174" s="229">
        <f t="shared" si="455"/>
        <v>0</v>
      </c>
      <c r="DB174" s="228">
        <f t="shared" si="423"/>
        <v>0</v>
      </c>
      <c r="DC174" s="229"/>
      <c r="DD174" s="229"/>
      <c r="DE174" s="229"/>
      <c r="DF174" s="229"/>
      <c r="DG174" s="229"/>
      <c r="DH174" s="229"/>
      <c r="DI174" s="229"/>
      <c r="DJ174" s="229"/>
      <c r="DK174" s="229"/>
      <c r="DL174" s="229"/>
      <c r="DM174" s="229"/>
      <c r="DN174" s="229"/>
      <c r="DO174" s="228">
        <f t="shared" si="436"/>
        <v>0</v>
      </c>
      <c r="DP174" s="228">
        <f t="shared" si="437"/>
        <v>0</v>
      </c>
      <c r="DQ174" s="229">
        <f t="shared" si="456"/>
        <v>0</v>
      </c>
      <c r="DR174" s="229">
        <f t="shared" si="457"/>
        <v>0</v>
      </c>
      <c r="DS174" s="229">
        <f t="shared" si="458"/>
        <v>0</v>
      </c>
      <c r="DT174" s="229">
        <f t="shared" si="459"/>
        <v>0</v>
      </c>
      <c r="DU174" s="229">
        <f t="shared" si="460"/>
        <v>0</v>
      </c>
      <c r="DV174" s="229">
        <f t="shared" si="461"/>
        <v>0</v>
      </c>
      <c r="DW174" s="229">
        <f t="shared" si="462"/>
        <v>0</v>
      </c>
      <c r="DX174" s="228">
        <f t="shared" si="424"/>
        <v>0</v>
      </c>
      <c r="DY174" s="229"/>
      <c r="DZ174" s="229"/>
      <c r="EA174" s="229"/>
      <c r="EB174" s="229"/>
      <c r="EC174" s="229"/>
      <c r="ED174" s="229"/>
      <c r="EE174" s="229"/>
      <c r="EF174" s="228">
        <f t="shared" si="438"/>
        <v>0</v>
      </c>
      <c r="EG174" s="228">
        <f t="shared" si="439"/>
        <v>0</v>
      </c>
      <c r="EH174" s="229">
        <f t="shared" si="440"/>
        <v>0</v>
      </c>
      <c r="EI174" s="229">
        <v>0</v>
      </c>
      <c r="EJ174" s="228">
        <f>SUM(EH174:EI174)</f>
        <v>0</v>
      </c>
      <c r="EK174" s="229"/>
      <c r="EL174" s="229"/>
      <c r="EM174" s="228">
        <f t="shared" si="525"/>
        <v>0</v>
      </c>
      <c r="EN174" s="229">
        <f t="shared" si="413"/>
        <v>0</v>
      </c>
      <c r="EO174" s="229">
        <f t="shared" si="388"/>
        <v>0</v>
      </c>
      <c r="EP174" s="228">
        <f t="shared" si="526"/>
        <v>0</v>
      </c>
      <c r="EQ174" s="173">
        <f t="shared" si="441"/>
        <v>0</v>
      </c>
      <c r="ER174" s="189">
        <v>0</v>
      </c>
      <c r="ES174" s="189">
        <v>0</v>
      </c>
      <c r="ET174" s="189">
        <v>0</v>
      </c>
      <c r="EU174" s="189">
        <v>0</v>
      </c>
      <c r="EV174" s="189">
        <v>0</v>
      </c>
      <c r="EW174" s="189">
        <v>0</v>
      </c>
      <c r="EX174" s="189">
        <v>0</v>
      </c>
      <c r="EY174" s="189">
        <v>0</v>
      </c>
      <c r="EZ174" s="189">
        <v>0</v>
      </c>
      <c r="FA174" s="189">
        <v>0</v>
      </c>
      <c r="FB174" s="189">
        <v>0</v>
      </c>
      <c r="FC174" s="189">
        <v>0</v>
      </c>
      <c r="FD174" s="189">
        <v>0</v>
      </c>
      <c r="FE174" s="189">
        <v>0</v>
      </c>
      <c r="FF174" s="189">
        <v>0</v>
      </c>
      <c r="FG174" s="189">
        <v>0</v>
      </c>
      <c r="FH174" s="189">
        <v>0</v>
      </c>
      <c r="FI174" s="189">
        <v>0</v>
      </c>
      <c r="FJ174" s="189">
        <v>0</v>
      </c>
      <c r="FK174" s="189">
        <v>0</v>
      </c>
      <c r="FL174" s="189">
        <v>0</v>
      </c>
      <c r="FN174" s="132">
        <v>0</v>
      </c>
    </row>
    <row r="175" spans="1:170" ht="30" customHeight="1">
      <c r="A175" s="88">
        <f>COUNTIF($H$12:H175,H175)</f>
        <v>33</v>
      </c>
      <c r="B175" s="88" t="s">
        <v>82</v>
      </c>
      <c r="C175" s="88" t="s">
        <v>3146</v>
      </c>
      <c r="D175" s="88"/>
      <c r="E175" s="88"/>
      <c r="F175" s="301" t="s">
        <v>1570</v>
      </c>
      <c r="G175" s="89" t="s">
        <v>1151</v>
      </c>
      <c r="H175" s="88">
        <v>3</v>
      </c>
      <c r="I175" s="88"/>
      <c r="J175" s="88">
        <v>3</v>
      </c>
      <c r="K175" s="90"/>
      <c r="L175" s="90" t="s">
        <v>1622</v>
      </c>
      <c r="M175" s="214"/>
      <c r="N175" s="88" t="s">
        <v>1804</v>
      </c>
      <c r="O175" s="216">
        <f>BO175</f>
        <v>2.67</v>
      </c>
      <c r="P175" s="88" t="str">
        <f>IF(BO175&lt;3.33,"B1_3",IF(AND(BO175&gt;=3.33,BO175&lt;4.65),"B1_4",IF(AND(BO175&gt;=4.65,BO175&lt;5.42),"B1_5",IF(AND(BO175&gt;=5.42,BO175&lt;6.44),"B1_6",IF(AND(BO175&gt;=6.44,BO175&lt;=6.92),"B1_7","B1_8")))))</f>
        <v>B1_3</v>
      </c>
      <c r="Q175" s="88">
        <f>IF(M175&gt;0,VLOOKUP(P175,ma_dinhmuc_moi,2,0)/2,VLOOKUP(P175,ma_dinhmuc_moi,2,0))</f>
        <v>270</v>
      </c>
      <c r="R175" s="88">
        <f>IF(M175&gt;0,VLOOKUP(P175,ma_dinhmuc_moi,3,0)/2,VLOOKUP(P175,ma_dinhmuc_moi,3,0))</f>
        <v>100</v>
      </c>
      <c r="S175" s="218" t="s">
        <v>1425</v>
      </c>
      <c r="T175" s="88" t="s">
        <v>3095</v>
      </c>
      <c r="U175" s="88">
        <f>IF(RIGHT(T175,1)="K",(VLOOKUP(T175,ma_miengiam!$A$3:$B$80,2,0)*100)/2,VLOOKUP(T175,ma_miengiam!$A$3:$B$80,2,0)*100)</f>
        <v>40</v>
      </c>
      <c r="V175" s="88">
        <v>9</v>
      </c>
      <c r="W175" s="220">
        <f>IF(AND(T175="NTS",V175&gt;0),(Q175-(Q175*V175)/12)*VLOOKUP(T175,ma_miengiam!$A$3:$B$80,2,0)+(Q175-(Q175*(12-V175))/12),IF(AND(RIGHT(T175,1)="K",V175&gt;0),(VLOOKUP(T175,ma_miengiam!$A$3:$B$80,2,0)/2)*(Q175*V175)/12,IF(RIGHT(T175,1)="K",(VLOOKUP(T175,ma_miengiam!$A$3:$B$80,2,0)*Q175)/2,IF(V175&gt;0,VLOOKUP(T175,ma_miengiam!$A$3:$B$80,2,0)*Q175*V175/12,VLOOKUP(T175,ma_miengiam!$A$3:$B$80,2,0)*Q175))))</f>
        <v>81</v>
      </c>
      <c r="X175" s="220">
        <f>IF(T175="NTS",VLOOKUP(T175,ma_miengiam!$A$3:$B$80,2,0)*R175*V175,IF(AND(T175="NTS",V175=0),0,IF(AND(LEFT(T175,1)="K",V175=0),VLOOKUP(T175,ma_miengiam!$A$3:$B$80,2,0)*R175,IF(LEFT(T175,1)="K",(VLOOKUP(T175,ma_miengiam!$A$3:$B$80,2,0)*R175/12)*V175,IF(AND(LEFT(T175,1)="S",V175&gt;0),(R175/12)*V175,IF(AND(LEFT(T175,1)="S",V175=0),R175,IF(T175="DH",VLOOKUP(T175,ma_miengiam!$A$3:$B$80,2,0)*R175,0)))))))</f>
        <v>0</v>
      </c>
      <c r="Y175" s="220">
        <f>IF(AND(T175="DH",V175&gt;0),(S175*V175/12),IF(AND(T175&lt;&gt;"NTS",V175&gt;0),(Q175*V175/12)-W175,IF(AND(T175="NTS",V175&gt;0),Q175-W175,Q175-W175)))</f>
        <v>121.5</v>
      </c>
      <c r="Z175" s="220">
        <f>IF(AND(T175="SĐH",V175&gt;0),(R175/12)*V175-X175,IF(AND(T175="DH",V175&gt;0),(R175*V175/12),IF(AND(T175&lt;&gt;"NTS",V175&gt;0),(R175*V175/12)-X175,IF(AND(T175="NTS",V175&gt;0),R175-X175,R175-X175))))</f>
        <v>75</v>
      </c>
      <c r="AA175" s="220"/>
      <c r="AB175" s="220"/>
      <c r="AC175" s="220"/>
      <c r="AD175" s="220"/>
      <c r="AE175" s="220"/>
      <c r="AF175" s="220"/>
      <c r="AG175" s="220"/>
      <c r="AH175" s="220"/>
      <c r="AI175" s="220"/>
      <c r="AJ175" s="220"/>
      <c r="AK175" s="216"/>
      <c r="AL175" s="220"/>
      <c r="AM175" s="220"/>
      <c r="AN175" s="221"/>
      <c r="AO175" s="220"/>
      <c r="AP175" s="220"/>
      <c r="AQ175" s="220"/>
      <c r="AR175" s="220"/>
      <c r="AS175" s="220"/>
      <c r="AT175" s="216"/>
      <c r="AU175" s="220"/>
      <c r="AV175" s="220"/>
      <c r="AW175" s="220"/>
      <c r="AX175" s="216"/>
      <c r="AY175" s="220"/>
      <c r="AZ175" s="220"/>
      <c r="BA175" s="220"/>
      <c r="BB175" s="220"/>
      <c r="BC175" s="220"/>
      <c r="BD175" s="216"/>
      <c r="BE175" s="220"/>
      <c r="BF175" s="220"/>
      <c r="BG175" s="220"/>
      <c r="BH175" s="220"/>
      <c r="BI175" s="220"/>
      <c r="BJ175" s="220" t="s">
        <v>1805</v>
      </c>
      <c r="BK175" s="220"/>
      <c r="BL175" s="223">
        <f>IF(AW175&lt;BK175,0,IF(AND(BK175=0,AW175&gt;0),AW175,IF(AW175&lt;0,0,IF(BK175&gt;0,AW175-BK175,IF(BK175&lt;0,0,AW175)))))</f>
        <v>0</v>
      </c>
      <c r="BM175" s="220">
        <v>2.67</v>
      </c>
      <c r="BN175" s="220"/>
      <c r="BO175" s="220">
        <f>ROUND(BM175+(BM175*BN175),2)</f>
        <v>2.67</v>
      </c>
      <c r="BP175" s="220">
        <f>IF(AND(BL175&gt;0,BL175&lt;tiet!$D$1),BL175,IF(BL175&lt;=0,0,IF(BL175&gt;tiet!$C$1,tiet!$C$1)))</f>
        <v>0</v>
      </c>
      <c r="BQ175" s="87">
        <f>VLOOKUP(P175,ma_dinhmuc_moi,4,0)</f>
        <v>60000</v>
      </c>
      <c r="BR175" s="224">
        <f>ROUND(BQ175*BP175,0)</f>
        <v>0</v>
      </c>
      <c r="BS175" s="220">
        <f t="shared" si="434"/>
        <v>0</v>
      </c>
      <c r="BT175" s="224">
        <f>VLOOKUP(N175,ma_dinhmuc!$A$1:$J$31,10,0)</f>
        <v>51000</v>
      </c>
      <c r="BU175" s="224">
        <f>ROUND(IF(BS175&gt;0,VLOOKUP(N175,ma_dinhmuc!$A$1:$J$31,10,0)*BS175,0),0)</f>
        <v>0</v>
      </c>
      <c r="BV175" s="224">
        <f>ROUND(BU175+BR175,0)</f>
        <v>0</v>
      </c>
      <c r="BW175" s="224"/>
      <c r="BX175" s="224">
        <v>0</v>
      </c>
      <c r="BY175" s="224"/>
      <c r="BZ175" s="224"/>
      <c r="CA175" s="224"/>
      <c r="CB175" s="224"/>
      <c r="CC175" s="225">
        <f>ROUND(IF(BV175+BW175&gt;BX175+BY175+BZ175+CA175+CB175,(BW175+BV175)-(BX175+BY175+BZ175+CA175+CB175+CB175),0),0)</f>
        <v>0</v>
      </c>
      <c r="CD175" s="224">
        <f>ROUND(IF(BV175+BW175&lt;BX175+BY175+BZ175+CA175-CB175,(BX175+BY175+BZ175+CA175-CB175)-(BW175+BV175),0),0)</f>
        <v>0</v>
      </c>
      <c r="CE175" s="224"/>
      <c r="CF175" s="226"/>
      <c r="CG175" s="87"/>
      <c r="CH175" s="87">
        <f>A175</f>
        <v>33</v>
      </c>
      <c r="CI175" s="227" t="str">
        <f t="shared" si="546"/>
        <v>Vũ Thanh</v>
      </c>
      <c r="CJ175" s="227" t="str">
        <f t="shared" si="546"/>
        <v>Biển</v>
      </c>
      <c r="CK175" s="87">
        <f>H175</f>
        <v>3</v>
      </c>
      <c r="CL175" s="227" t="str">
        <f>L175</f>
        <v>Quản lý đất đai</v>
      </c>
      <c r="CM175" s="87" t="str">
        <f>N175</f>
        <v>CS2</v>
      </c>
      <c r="CN175" s="87">
        <f>Q175</f>
        <v>270</v>
      </c>
      <c r="CO175" s="87">
        <f>R175</f>
        <v>100</v>
      </c>
      <c r="CP175" s="229">
        <f t="shared" si="444"/>
        <v>0</v>
      </c>
      <c r="CQ175" s="229">
        <f t="shared" si="445"/>
        <v>0</v>
      </c>
      <c r="CR175" s="229">
        <f t="shared" si="446"/>
        <v>0</v>
      </c>
      <c r="CS175" s="229">
        <f t="shared" si="447"/>
        <v>0</v>
      </c>
      <c r="CT175" s="229">
        <f t="shared" si="448"/>
        <v>0</v>
      </c>
      <c r="CU175" s="229">
        <f t="shared" si="449"/>
        <v>0</v>
      </c>
      <c r="CV175" s="229">
        <f t="shared" si="450"/>
        <v>0</v>
      </c>
      <c r="CW175" s="229">
        <f t="shared" si="451"/>
        <v>0</v>
      </c>
      <c r="CX175" s="229">
        <f t="shared" si="452"/>
        <v>0</v>
      </c>
      <c r="CY175" s="229">
        <f t="shared" si="453"/>
        <v>0</v>
      </c>
      <c r="CZ175" s="229">
        <f t="shared" si="454"/>
        <v>0</v>
      </c>
      <c r="DA175" s="229">
        <f t="shared" si="455"/>
        <v>0</v>
      </c>
      <c r="DB175" s="228">
        <f>SUM(CP175:DA175)</f>
        <v>0</v>
      </c>
      <c r="DC175" s="229"/>
      <c r="DD175" s="229"/>
      <c r="DE175" s="229"/>
      <c r="DF175" s="229"/>
      <c r="DG175" s="229"/>
      <c r="DH175" s="229"/>
      <c r="DI175" s="229"/>
      <c r="DJ175" s="229"/>
      <c r="DK175" s="229"/>
      <c r="DL175" s="229"/>
      <c r="DM175" s="229"/>
      <c r="DN175" s="229"/>
      <c r="DO175" s="228">
        <f>SUM(DC175:DN175)</f>
        <v>0</v>
      </c>
      <c r="DP175" s="228">
        <f>DO175+DB175</f>
        <v>0</v>
      </c>
      <c r="DQ175" s="229">
        <f t="shared" si="456"/>
        <v>0</v>
      </c>
      <c r="DR175" s="229">
        <f t="shared" si="457"/>
        <v>0</v>
      </c>
      <c r="DS175" s="229">
        <f t="shared" si="458"/>
        <v>0</v>
      </c>
      <c r="DT175" s="229">
        <f t="shared" si="459"/>
        <v>0</v>
      </c>
      <c r="DU175" s="229">
        <f t="shared" si="460"/>
        <v>0</v>
      </c>
      <c r="DV175" s="229">
        <f t="shared" si="461"/>
        <v>0</v>
      </c>
      <c r="DW175" s="229">
        <f t="shared" si="462"/>
        <v>0</v>
      </c>
      <c r="DX175" s="228">
        <f>SUM(DQ175:DW175)</f>
        <v>0</v>
      </c>
      <c r="DY175" s="229"/>
      <c r="DZ175" s="229"/>
      <c r="EA175" s="229"/>
      <c r="EB175" s="229"/>
      <c r="EC175" s="229"/>
      <c r="ED175" s="229"/>
      <c r="EE175" s="229"/>
      <c r="EF175" s="228">
        <f t="shared" si="438"/>
        <v>0</v>
      </c>
      <c r="EG175" s="228">
        <f>EF175+DX175</f>
        <v>0</v>
      </c>
      <c r="EH175" s="229">
        <f t="shared" si="440"/>
        <v>0</v>
      </c>
      <c r="EI175" s="229">
        <v>0</v>
      </c>
      <c r="EJ175" s="228">
        <f>SUM(EH175:EI175)</f>
        <v>0</v>
      </c>
      <c r="EK175" s="229"/>
      <c r="EL175" s="229"/>
      <c r="EM175" s="228">
        <f>SUM(EK175:EL175)</f>
        <v>0</v>
      </c>
      <c r="EN175" s="229">
        <f>EK175+EH175+EL175</f>
        <v>0</v>
      </c>
      <c r="EO175" s="229">
        <f>EI175</f>
        <v>0</v>
      </c>
      <c r="EP175" s="228">
        <f>EM175+EJ175</f>
        <v>0</v>
      </c>
      <c r="EQ175" s="173">
        <f t="shared" si="441"/>
        <v>0</v>
      </c>
      <c r="ER175" s="189">
        <v>0</v>
      </c>
      <c r="ES175" s="189">
        <v>0</v>
      </c>
      <c r="ET175" s="189">
        <v>0</v>
      </c>
      <c r="EU175" s="189">
        <v>0</v>
      </c>
      <c r="EV175" s="189">
        <v>0</v>
      </c>
      <c r="EW175" s="189">
        <v>0</v>
      </c>
      <c r="EX175" s="189">
        <v>0</v>
      </c>
      <c r="EY175" s="189">
        <v>0</v>
      </c>
      <c r="EZ175" s="189">
        <v>0</v>
      </c>
      <c r="FA175" s="189">
        <v>0</v>
      </c>
      <c r="FB175" s="189">
        <v>0</v>
      </c>
      <c r="FC175" s="189">
        <v>0</v>
      </c>
      <c r="FD175" s="189">
        <v>0</v>
      </c>
      <c r="FE175" s="189">
        <v>0</v>
      </c>
      <c r="FF175" s="189">
        <v>0</v>
      </c>
      <c r="FG175" s="189">
        <v>0</v>
      </c>
      <c r="FH175" s="189">
        <v>0</v>
      </c>
      <c r="FI175" s="189">
        <v>0</v>
      </c>
      <c r="FJ175" s="189">
        <v>0</v>
      </c>
      <c r="FK175" s="189">
        <v>0</v>
      </c>
      <c r="FL175" s="189">
        <v>0</v>
      </c>
      <c r="FN175" s="132">
        <v>0</v>
      </c>
    </row>
    <row r="176" spans="1:170" ht="30" customHeight="1">
      <c r="A176" s="88">
        <f>COUNTIF($H$12:H176,H176)</f>
        <v>34</v>
      </c>
      <c r="B176" s="88" t="s">
        <v>82</v>
      </c>
      <c r="C176" s="88" t="s">
        <v>3146</v>
      </c>
      <c r="D176" s="88"/>
      <c r="E176" s="88"/>
      <c r="F176" s="301" t="s">
        <v>1570</v>
      </c>
      <c r="G176" s="89" t="s">
        <v>1151</v>
      </c>
      <c r="H176" s="88">
        <v>3</v>
      </c>
      <c r="I176" s="88">
        <v>3</v>
      </c>
      <c r="J176" s="88">
        <v>3</v>
      </c>
      <c r="K176" s="90" t="s">
        <v>1622</v>
      </c>
      <c r="L176" s="90" t="s">
        <v>1622</v>
      </c>
      <c r="M176" s="214"/>
      <c r="N176" s="88" t="s">
        <v>1804</v>
      </c>
      <c r="O176" s="216">
        <f>BO176</f>
        <v>2.67</v>
      </c>
      <c r="P176" s="88" t="str">
        <f>IF(BO176&lt;3.33,"B1_3",IF(AND(BO176&gt;=3.33,BO176&lt;4.65),"B1_4",IF(AND(BO176&gt;=4.65,BO176&lt;5.42),"B1_5",IF(AND(BO176&gt;=5.42,BO176&lt;6.44),"B1_6",IF(AND(BO176&gt;=6.44,BO176&lt;=6.92),"B1_7","B1_8")))))</f>
        <v>B1_3</v>
      </c>
      <c r="Q176" s="88">
        <f>IF(M176&gt;0,VLOOKUP(P176,ma_dinhmuc_moi,2,0)/2,VLOOKUP(P176,ma_dinhmuc_moi,2,0))</f>
        <v>270</v>
      </c>
      <c r="R176" s="88">
        <f>IF(M176&gt;0,VLOOKUP(P176,ma_dinhmuc_moi,3,0)/2,VLOOKUP(P176,ma_dinhmuc_moi,3,0))</f>
        <v>100</v>
      </c>
      <c r="S176" s="218" t="s">
        <v>1425</v>
      </c>
      <c r="T176" s="88" t="s">
        <v>3095</v>
      </c>
      <c r="U176" s="88">
        <f>IF(RIGHT(T176,1)="K",(VLOOKUP(T176,ma_miengiam!$A$3:$B$80,2,0)*100)/2,VLOOKUP(T176,ma_miengiam!$A$3:$B$80,2,0)*100)</f>
        <v>40</v>
      </c>
      <c r="V176" s="88"/>
      <c r="W176" s="220">
        <f>W175+W174</f>
        <v>81</v>
      </c>
      <c r="X176" s="220">
        <f>X175+X174</f>
        <v>0</v>
      </c>
      <c r="Y176" s="220">
        <f>Y175+Y174</f>
        <v>189</v>
      </c>
      <c r="Z176" s="220">
        <f>Z175+Z174</f>
        <v>100</v>
      </c>
      <c r="AA176" s="220">
        <f>Q176</f>
        <v>270</v>
      </c>
      <c r="AB176" s="220">
        <f>R176</f>
        <v>100</v>
      </c>
      <c r="AC176" s="220">
        <f>W176</f>
        <v>81</v>
      </c>
      <c r="AD176" s="220">
        <f>X176</f>
        <v>0</v>
      </c>
      <c r="AE176" s="220">
        <f>Y176</f>
        <v>189</v>
      </c>
      <c r="AF176" s="220">
        <f>Z176</f>
        <v>100</v>
      </c>
      <c r="AG176" s="220">
        <f>AH176+AI176</f>
        <v>28.58</v>
      </c>
      <c r="AH176" s="220">
        <f>EO176</f>
        <v>0</v>
      </c>
      <c r="AI176" s="220">
        <f>EN176</f>
        <v>28.58</v>
      </c>
      <c r="AJ176" s="220">
        <f>IF(AG176-Z176&gt;0,0,AG176-Z176)</f>
        <v>-71.42</v>
      </c>
      <c r="AK176" s="216">
        <f>IF(AJ176&gt;=0,Y176,Y176-AJ176)</f>
        <v>260.42</v>
      </c>
      <c r="AL176" s="220">
        <f>SUM(CP176:CX176)+SUM(DC176:DK176)</f>
        <v>21.6</v>
      </c>
      <c r="AM176" s="220">
        <f>SUM(DQ176:DU176)+SUM(DY176:EC176)</f>
        <v>0</v>
      </c>
      <c r="AN176" s="221">
        <f>AM176+AL176</f>
        <v>21.6</v>
      </c>
      <c r="AO176" s="220">
        <f>CY176+DL176</f>
        <v>0</v>
      </c>
      <c r="AP176" s="220">
        <f>CZ176+DM176</f>
        <v>0</v>
      </c>
      <c r="AQ176" s="220">
        <f>DA176+DN176</f>
        <v>0</v>
      </c>
      <c r="AR176" s="220">
        <f>DV176+ED176</f>
        <v>0</v>
      </c>
      <c r="AS176" s="220">
        <f>DW176+EE176</f>
        <v>0</v>
      </c>
      <c r="AT176" s="216">
        <f>AN176+SUM(AO176:AS176)</f>
        <v>21.6</v>
      </c>
      <c r="AU176" s="220">
        <f>AN176-AK176</f>
        <v>-238.82000000000002</v>
      </c>
      <c r="AV176" s="220"/>
      <c r="AW176" s="220">
        <f>IF(AU176&gt;0,AU176,AV176+AU176)</f>
        <v>-238.82000000000002</v>
      </c>
      <c r="AX176" s="216">
        <f>IF(AN176&gt;AK176,0,IF(AW176&lt;0,AN176-AK176+AV176,IF(AW176&gt;=0,0)))</f>
        <v>-238.82000000000002</v>
      </c>
      <c r="AY176" s="220">
        <f>IF(AN176&gt;=AK176,AO176,IF(AN176+AO176-AK176&gt;=0,AN176+AO176-AK176,0))</f>
        <v>0</v>
      </c>
      <c r="AZ176" s="220">
        <f>IF(OR(AN176&gt;=AK176,AN176+AO176&gt;=AK176),AP176,IF(AN176+AO176+AP176&gt;AK176,AN176+AO176+AP176-AK176,0))</f>
        <v>0</v>
      </c>
      <c r="BA176" s="220">
        <f>IF(OR(AN176&gt;=AK176,AN176+AO176&gt;=AK176,AN176+AO176+AP176&gt;=AK176),AQ176,IF(AN176+AO176+AP176+AQ176&gt;=AK176,AN176+AO176+AP176+AQ176-AK176,0))</f>
        <v>0</v>
      </c>
      <c r="BB176" s="220">
        <f>IF(OR(AN176&gt;=AK176,AN176+AO176&gt;=AK176,AN176+AO176+AP176&gt;=AK176,AN176+AO176+AP176+AQ176&gt;=AK176),AR176,IF(AN176+AO176+AP176+AQ176+AR176&gt;=AK176,AN176+AO176+AP176+AQ176+AR176-AK176,0))</f>
        <v>0</v>
      </c>
      <c r="BC176" s="220">
        <f>IF(OR(AN176&gt;=AK176,AN176+AO176&gt;=AK176,AN176+AO176+AP176&gt;=AK176,AN176+AO176+AP176+AQ176&gt;=AK176,AN176+AO176+AP176+AQ176+AR176&gt;=AK176),AS176,IF(AN176+AO176+AP176+AQ176+AR176+AS176&gt;=AK176,AN176+AO176+AP176+AQ176+AR176+AS176-AK176,0))</f>
        <v>0</v>
      </c>
      <c r="BD176" s="216">
        <f>SUM(AY176:BC176)</f>
        <v>0</v>
      </c>
      <c r="BE176" s="220">
        <f>AY176-AO176</f>
        <v>0</v>
      </c>
      <c r="BF176" s="220">
        <f>AZ176-AP176</f>
        <v>0</v>
      </c>
      <c r="BG176" s="220">
        <f>BA176-AQ176</f>
        <v>0</v>
      </c>
      <c r="BH176" s="220">
        <f>BB176-AR176</f>
        <v>0</v>
      </c>
      <c r="BI176" s="220">
        <f>BC176-AS176</f>
        <v>0</v>
      </c>
      <c r="BJ176" s="220" t="s">
        <v>1805</v>
      </c>
      <c r="BK176" s="220"/>
      <c r="BL176" s="223">
        <f>IF(AW176&lt;BK176,0,IF(AND(BK176=0,AW176&gt;0),AW176,IF(AW176&lt;0,0,IF(BK176&gt;0,AW176-BK176,IF(BK176&lt;0,0,AW176)))))</f>
        <v>0</v>
      </c>
      <c r="BM176" s="220">
        <v>2.67</v>
      </c>
      <c r="BN176" s="220"/>
      <c r="BO176" s="220">
        <f>ROUND(BM176+(BM176*BN176),2)</f>
        <v>2.67</v>
      </c>
      <c r="BP176" s="220">
        <f>IF(AND(BL176&gt;0,BL176&lt;tiet!$D$1),BL176,IF(BL176&lt;=0,0,IF(BL176&gt;tiet!$C$1,tiet!$C$1)))</f>
        <v>0</v>
      </c>
      <c r="BQ176" s="87">
        <f>VLOOKUP(P176,ma_dinhmuc_moi,4,0)</f>
        <v>60000</v>
      </c>
      <c r="BR176" s="224">
        <f>ROUND(BQ176*BP176,0)</f>
        <v>0</v>
      </c>
      <c r="BS176" s="220">
        <f t="shared" si="434"/>
        <v>0</v>
      </c>
      <c r="BT176" s="224">
        <f>VLOOKUP(N176,ma_dinhmuc!$A$1:$J$31,10,0)</f>
        <v>51000</v>
      </c>
      <c r="BU176" s="224">
        <f>ROUND(IF(BS176&gt;0,VLOOKUP(N176,ma_dinhmuc!$A$1:$J$31,10,0)*BS176,0),0)</f>
        <v>0</v>
      </c>
      <c r="BV176" s="224">
        <f>ROUND(BU176+BR176,0)</f>
        <v>0</v>
      </c>
      <c r="BW176" s="224"/>
      <c r="BX176" s="224">
        <v>0</v>
      </c>
      <c r="BY176" s="224"/>
      <c r="BZ176" s="224"/>
      <c r="CA176" s="224"/>
      <c r="CB176" s="224"/>
      <c r="CC176" s="225">
        <f>ROUND(IF(BV176+BW176&gt;BX176+BY176+BZ176+CA176+CB176,(BW176+BV176)-(BX176+BY176+BZ176+CA176+CB176+CB176),0),0)</f>
        <v>0</v>
      </c>
      <c r="CD176" s="224">
        <f>ROUND(IF(BV176+BW176&lt;BX176+BY176+BZ176+CA176-CB176,(BX176+BY176+BZ176+CA176-CB176)-(BW176+BV176),0),0)</f>
        <v>0</v>
      </c>
      <c r="CE176" s="224"/>
      <c r="CF176" s="226"/>
      <c r="CG176" s="87"/>
      <c r="CH176" s="87">
        <f>A176</f>
        <v>34</v>
      </c>
      <c r="CI176" s="227" t="str">
        <f t="shared" si="546"/>
        <v>Vũ Thanh</v>
      </c>
      <c r="CJ176" s="227" t="str">
        <f t="shared" si="546"/>
        <v>Biển</v>
      </c>
      <c r="CK176" s="87">
        <f>H176</f>
        <v>3</v>
      </c>
      <c r="CL176" s="227" t="str">
        <f>L176</f>
        <v>Quản lý đất đai</v>
      </c>
      <c r="CM176" s="87" t="str">
        <f>N176</f>
        <v>CS2</v>
      </c>
      <c r="CN176" s="87">
        <f>Q176</f>
        <v>270</v>
      </c>
      <c r="CO176" s="87">
        <f>R176</f>
        <v>100</v>
      </c>
      <c r="CP176" s="229">
        <f t="shared" si="444"/>
        <v>0</v>
      </c>
      <c r="CQ176" s="229">
        <f t="shared" si="445"/>
        <v>0</v>
      </c>
      <c r="CR176" s="229">
        <f t="shared" si="446"/>
        <v>0</v>
      </c>
      <c r="CS176" s="229">
        <f t="shared" si="447"/>
        <v>21.6</v>
      </c>
      <c r="CT176" s="229">
        <f t="shared" si="448"/>
        <v>0</v>
      </c>
      <c r="CU176" s="229">
        <f t="shared" si="449"/>
        <v>0</v>
      </c>
      <c r="CV176" s="229">
        <f t="shared" si="450"/>
        <v>0</v>
      </c>
      <c r="CW176" s="229">
        <f t="shared" si="451"/>
        <v>0</v>
      </c>
      <c r="CX176" s="229">
        <f t="shared" si="452"/>
        <v>0</v>
      </c>
      <c r="CY176" s="229">
        <f t="shared" si="453"/>
        <v>0</v>
      </c>
      <c r="CZ176" s="229">
        <f t="shared" si="454"/>
        <v>0</v>
      </c>
      <c r="DA176" s="229">
        <f t="shared" si="455"/>
        <v>0</v>
      </c>
      <c r="DB176" s="228">
        <f>SUM(CP176:DA176)</f>
        <v>21.6</v>
      </c>
      <c r="DC176" s="229"/>
      <c r="DD176" s="229"/>
      <c r="DE176" s="229"/>
      <c r="DF176" s="229"/>
      <c r="DG176" s="229"/>
      <c r="DH176" s="229"/>
      <c r="DI176" s="229"/>
      <c r="DJ176" s="229"/>
      <c r="DK176" s="229"/>
      <c r="DL176" s="229"/>
      <c r="DM176" s="229"/>
      <c r="DN176" s="229"/>
      <c r="DO176" s="228">
        <f>SUM(DC176:DN176)</f>
        <v>0</v>
      </c>
      <c r="DP176" s="228">
        <f>DO176+DB176</f>
        <v>21.6</v>
      </c>
      <c r="DQ176" s="229">
        <f t="shared" si="456"/>
        <v>0</v>
      </c>
      <c r="DR176" s="229">
        <f t="shared" si="457"/>
        <v>0</v>
      </c>
      <c r="DS176" s="229">
        <f t="shared" si="458"/>
        <v>0</v>
      </c>
      <c r="DT176" s="229">
        <f t="shared" si="459"/>
        <v>0</v>
      </c>
      <c r="DU176" s="229">
        <f t="shared" si="460"/>
        <v>0</v>
      </c>
      <c r="DV176" s="229">
        <f t="shared" si="461"/>
        <v>0</v>
      </c>
      <c r="DW176" s="229">
        <f t="shared" si="462"/>
        <v>0</v>
      </c>
      <c r="DX176" s="228">
        <f>SUM(DQ176:DW176)</f>
        <v>0</v>
      </c>
      <c r="DY176" s="229"/>
      <c r="DZ176" s="229"/>
      <c r="EA176" s="229"/>
      <c r="EB176" s="229"/>
      <c r="EC176" s="229"/>
      <c r="ED176" s="229"/>
      <c r="EE176" s="229"/>
      <c r="EF176" s="228">
        <f t="shared" si="438"/>
        <v>0</v>
      </c>
      <c r="EG176" s="228">
        <f>EF176+DX176</f>
        <v>0</v>
      </c>
      <c r="EH176" s="229">
        <f t="shared" si="440"/>
        <v>28.58</v>
      </c>
      <c r="EI176" s="229">
        <v>0</v>
      </c>
      <c r="EJ176" s="228">
        <f>SUM(EH176:EI176)</f>
        <v>28.58</v>
      </c>
      <c r="EK176" s="229"/>
      <c r="EL176" s="229"/>
      <c r="EM176" s="228">
        <f>SUM(EK176:EL176)</f>
        <v>0</v>
      </c>
      <c r="EN176" s="229">
        <f>EK176+EH176+EL176</f>
        <v>28.58</v>
      </c>
      <c r="EO176" s="229">
        <f>EI176</f>
        <v>0</v>
      </c>
      <c r="EP176" s="228">
        <f>EM176+EJ176</f>
        <v>28.58</v>
      </c>
      <c r="EQ176" s="173">
        <f t="shared" si="441"/>
        <v>0</v>
      </c>
      <c r="ER176" s="189">
        <v>0</v>
      </c>
      <c r="ES176" s="189">
        <v>0</v>
      </c>
      <c r="ET176" s="189">
        <v>0</v>
      </c>
      <c r="EU176" s="189">
        <v>21.6</v>
      </c>
      <c r="EV176" s="189">
        <v>0</v>
      </c>
      <c r="EW176" s="189">
        <v>0</v>
      </c>
      <c r="EX176" s="189">
        <v>0</v>
      </c>
      <c r="EY176" s="189">
        <v>0</v>
      </c>
      <c r="EZ176" s="189">
        <v>0</v>
      </c>
      <c r="FA176" s="189">
        <v>0</v>
      </c>
      <c r="FB176" s="189">
        <v>0</v>
      </c>
      <c r="FC176" s="189">
        <v>0</v>
      </c>
      <c r="FD176" s="189">
        <v>0</v>
      </c>
      <c r="FE176" s="189">
        <v>0</v>
      </c>
      <c r="FF176" s="189">
        <v>0</v>
      </c>
      <c r="FG176" s="189">
        <v>0</v>
      </c>
      <c r="FH176" s="189">
        <v>0</v>
      </c>
      <c r="FI176" s="189">
        <v>0</v>
      </c>
      <c r="FJ176" s="189">
        <v>0</v>
      </c>
      <c r="FK176" s="189">
        <v>21.6</v>
      </c>
      <c r="FL176" s="189">
        <v>21.6</v>
      </c>
      <c r="FN176" s="132">
        <v>28.58</v>
      </c>
    </row>
    <row r="177" spans="1:170" ht="30" customHeight="1">
      <c r="A177" s="88">
        <f>COUNTIF($H$12:H177,H177)</f>
        <v>35</v>
      </c>
      <c r="B177" s="88" t="s">
        <v>83</v>
      </c>
      <c r="C177" s="88" t="s">
        <v>3147</v>
      </c>
      <c r="D177" s="88"/>
      <c r="E177" s="88"/>
      <c r="F177" s="301" t="s">
        <v>545</v>
      </c>
      <c r="G177" s="89" t="s">
        <v>546</v>
      </c>
      <c r="H177" s="88">
        <v>3</v>
      </c>
      <c r="I177" s="88">
        <v>3</v>
      </c>
      <c r="J177" s="88">
        <v>3</v>
      </c>
      <c r="K177" s="90" t="s">
        <v>2953</v>
      </c>
      <c r="L177" s="90" t="s">
        <v>2953</v>
      </c>
      <c r="M177" s="214"/>
      <c r="N177" s="88" t="s">
        <v>1804</v>
      </c>
      <c r="O177" s="216">
        <f t="shared" si="516"/>
        <v>3.33</v>
      </c>
      <c r="P177" s="88" t="str">
        <f t="shared" si="468"/>
        <v>B1_4</v>
      </c>
      <c r="Q177" s="88">
        <f t="shared" si="527"/>
        <v>270</v>
      </c>
      <c r="R177" s="88">
        <f t="shared" si="528"/>
        <v>120</v>
      </c>
      <c r="S177" s="230" t="s">
        <v>2540</v>
      </c>
      <c r="T177" s="88" t="s">
        <v>2961</v>
      </c>
      <c r="U177" s="88">
        <f>IF(RIGHT(T177,1)="K",(VLOOKUP(T177,ma_miengiam!$A$3:$B$80,2,0)*100)/2,VLOOKUP(T177,ma_miengiam!$A$3:$B$80,2,0)*100)</f>
        <v>100</v>
      </c>
      <c r="V177" s="88"/>
      <c r="W177" s="220">
        <f>IF(AND(T177="NTS",V177&gt;0),(Q177-(Q177*V177)/12)*VLOOKUP(T177,ma_miengiam!$A$3:$B$80,2,0)+(Q177-(Q177*(12-V177))/12),IF(AND(RIGHT(T177,1)="K",V177&gt;0),(VLOOKUP(T177,ma_miengiam!$A$3:$B$80,2,0)/2)*(Q177*V177)/12,IF(RIGHT(T177,1)="K",(VLOOKUP(T177,ma_miengiam!$A$3:$B$80,2,0)*Q177)/2,IF(V177&gt;0,VLOOKUP(T177,ma_miengiam!$A$3:$B$80,2,0)*Q177*V177/12,VLOOKUP(T177,ma_miengiam!$A$3:$B$80,2,0)*Q177))))</f>
        <v>270</v>
      </c>
      <c r="X177" s="220">
        <f>IF(T177="NTS",VLOOKUP(T177,ma_miengiam!$A$3:$B$80,2,0)*R177*V177,IF(AND(T177="NTS",V177=0),0,IF(AND(LEFT(T177,1)="K",V177=0),VLOOKUP(T177,ma_miengiam!$A$3:$B$80,2,0)*R177,IF(LEFT(T177,1)="K",(VLOOKUP(T177,ma_miengiam!$A$3:$B$80,2,0)*R177/12)*V177,IF(AND(LEFT(T177,1)="S",V177&gt;0),(R177/12)*V177,IF(AND(LEFT(T177,1)="S",V177=0),R177,IF(T177="DH",VLOOKUP(T177,ma_miengiam!$A$3:$B$80,2,0)*R177,0)))))))</f>
        <v>120</v>
      </c>
      <c r="Y177" s="220">
        <f t="shared" si="503"/>
        <v>0</v>
      </c>
      <c r="Z177" s="220">
        <f t="shared" si="504"/>
        <v>0</v>
      </c>
      <c r="AA177" s="220">
        <f t="shared" ref="AA177:AB179" si="547">Q177</f>
        <v>270</v>
      </c>
      <c r="AB177" s="220">
        <f t="shared" si="547"/>
        <v>120</v>
      </c>
      <c r="AC177" s="220">
        <f t="shared" ref="AC177:AF179" si="548">W177</f>
        <v>270</v>
      </c>
      <c r="AD177" s="220">
        <f t="shared" si="548"/>
        <v>120</v>
      </c>
      <c r="AE177" s="220">
        <f t="shared" si="548"/>
        <v>0</v>
      </c>
      <c r="AF177" s="220">
        <f t="shared" si="548"/>
        <v>0</v>
      </c>
      <c r="AG177" s="220">
        <f t="shared" ref="AG177:AG182" si="549">AH177+AI177</f>
        <v>50</v>
      </c>
      <c r="AH177" s="220">
        <f t="shared" ref="AH177:AH182" si="550">EO177</f>
        <v>50</v>
      </c>
      <c r="AI177" s="220">
        <f t="shared" ref="AI177:AI182" si="551">EN177</f>
        <v>0</v>
      </c>
      <c r="AJ177" s="220">
        <f t="shared" si="513"/>
        <v>0</v>
      </c>
      <c r="AK177" s="216">
        <f t="shared" si="410"/>
        <v>0</v>
      </c>
      <c r="AL177" s="220">
        <f t="shared" si="425"/>
        <v>0</v>
      </c>
      <c r="AM177" s="220">
        <f t="shared" si="426"/>
        <v>0</v>
      </c>
      <c r="AN177" s="221">
        <f t="shared" si="427"/>
        <v>0</v>
      </c>
      <c r="AO177" s="220">
        <f t="shared" si="428"/>
        <v>0</v>
      </c>
      <c r="AP177" s="220">
        <f t="shared" si="429"/>
        <v>0</v>
      </c>
      <c r="AQ177" s="220">
        <f t="shared" si="430"/>
        <v>0</v>
      </c>
      <c r="AR177" s="220">
        <f t="shared" si="431"/>
        <v>0</v>
      </c>
      <c r="AS177" s="220">
        <f t="shared" si="432"/>
        <v>0</v>
      </c>
      <c r="AT177" s="216">
        <f t="shared" si="433"/>
        <v>0</v>
      </c>
      <c r="AU177" s="222">
        <f t="shared" si="395"/>
        <v>0</v>
      </c>
      <c r="AV177" s="220"/>
      <c r="AW177" s="220">
        <f t="shared" si="532"/>
        <v>0</v>
      </c>
      <c r="AX177" s="216">
        <f t="shared" si="411"/>
        <v>0</v>
      </c>
      <c r="AY177" s="220">
        <f t="shared" si="539"/>
        <v>0</v>
      </c>
      <c r="AZ177" s="220">
        <f t="shared" si="540"/>
        <v>0</v>
      </c>
      <c r="BA177" s="220">
        <f t="shared" si="541"/>
        <v>0</v>
      </c>
      <c r="BB177" s="220">
        <f t="shared" si="542"/>
        <v>0</v>
      </c>
      <c r="BC177" s="220">
        <f t="shared" si="543"/>
        <v>0</v>
      </c>
      <c r="BD177" s="216">
        <f t="shared" si="375"/>
        <v>0</v>
      </c>
      <c r="BE177" s="220">
        <f t="shared" si="533"/>
        <v>0</v>
      </c>
      <c r="BF177" s="220">
        <f t="shared" si="534"/>
        <v>0</v>
      </c>
      <c r="BG177" s="220">
        <f t="shared" si="535"/>
        <v>0</v>
      </c>
      <c r="BH177" s="220">
        <f t="shared" si="536"/>
        <v>0</v>
      </c>
      <c r="BI177" s="220">
        <f t="shared" si="537"/>
        <v>0</v>
      </c>
      <c r="BJ177" s="220" t="s">
        <v>1806</v>
      </c>
      <c r="BK177" s="220"/>
      <c r="BL177" s="223">
        <f t="shared" si="412"/>
        <v>0</v>
      </c>
      <c r="BM177" s="220">
        <v>3.33</v>
      </c>
      <c r="BN177" s="220"/>
      <c r="BO177" s="220">
        <f t="shared" si="529"/>
        <v>3.33</v>
      </c>
      <c r="BP177" s="220">
        <f>IF(AND(BL177&gt;0,BL177&lt;tiet!$D$1),BL177,IF(BL177&lt;=0,0,IF(BL177&gt;tiet!$C$1,tiet!$C$1)))</f>
        <v>0</v>
      </c>
      <c r="BQ177" s="87">
        <f t="shared" si="509"/>
        <v>65000</v>
      </c>
      <c r="BR177" s="224">
        <f t="shared" si="510"/>
        <v>0</v>
      </c>
      <c r="BS177" s="220">
        <f t="shared" si="434"/>
        <v>0</v>
      </c>
      <c r="BT177" s="224">
        <f>VLOOKUP(N177,ma_dinhmuc!$A$1:$J$31,10,0)</f>
        <v>51000</v>
      </c>
      <c r="BU177" s="224">
        <f>ROUND(IF(BS177&gt;0,VLOOKUP(N177,ma_dinhmuc!$A$1:$J$31,10,0)*BS177,0),0)</f>
        <v>0</v>
      </c>
      <c r="BV177" s="224">
        <f t="shared" si="511"/>
        <v>0</v>
      </c>
      <c r="BW177" s="224"/>
      <c r="BX177" s="224">
        <v>0</v>
      </c>
      <c r="BY177" s="224"/>
      <c r="BZ177" s="224"/>
      <c r="CA177" s="224"/>
      <c r="CB177" s="224"/>
      <c r="CC177" s="225">
        <f t="shared" si="544"/>
        <v>0</v>
      </c>
      <c r="CD177" s="224">
        <f t="shared" si="545"/>
        <v>0</v>
      </c>
      <c r="CE177" s="224"/>
      <c r="CF177" s="226"/>
      <c r="CG177" s="87"/>
      <c r="CH177" s="87">
        <f t="shared" si="530"/>
        <v>35</v>
      </c>
      <c r="CI177" s="227" t="str">
        <f t="shared" si="520"/>
        <v>Phan Thành</v>
      </c>
      <c r="CJ177" s="227" t="str">
        <f t="shared" si="521"/>
        <v>Nội</v>
      </c>
      <c r="CK177" s="87">
        <f t="shared" si="522"/>
        <v>3</v>
      </c>
      <c r="CL177" s="227" t="str">
        <f t="shared" si="523"/>
        <v>Trắc địa bản đồ</v>
      </c>
      <c r="CM177" s="87" t="str">
        <f t="shared" si="538"/>
        <v>CS2</v>
      </c>
      <c r="CN177" s="87">
        <f t="shared" ref="CN177:CN182" si="552">Q177</f>
        <v>270</v>
      </c>
      <c r="CO177" s="87">
        <f t="shared" ref="CO177:CO190" si="553">R177</f>
        <v>120</v>
      </c>
      <c r="CP177" s="229">
        <f t="shared" si="444"/>
        <v>0</v>
      </c>
      <c r="CQ177" s="229">
        <f t="shared" si="445"/>
        <v>0</v>
      </c>
      <c r="CR177" s="229">
        <f t="shared" si="446"/>
        <v>0</v>
      </c>
      <c r="CS177" s="229">
        <f t="shared" si="447"/>
        <v>0</v>
      </c>
      <c r="CT177" s="229">
        <f t="shared" si="448"/>
        <v>0</v>
      </c>
      <c r="CU177" s="229">
        <f t="shared" si="449"/>
        <v>0</v>
      </c>
      <c r="CV177" s="229">
        <f t="shared" si="450"/>
        <v>0</v>
      </c>
      <c r="CW177" s="229">
        <f t="shared" si="451"/>
        <v>0</v>
      </c>
      <c r="CX177" s="229">
        <f t="shared" si="452"/>
        <v>0</v>
      </c>
      <c r="CY177" s="229">
        <f t="shared" si="453"/>
        <v>0</v>
      </c>
      <c r="CZ177" s="229">
        <f t="shared" si="454"/>
        <v>0</v>
      </c>
      <c r="DA177" s="229">
        <f t="shared" si="455"/>
        <v>0</v>
      </c>
      <c r="DB177" s="228">
        <f t="shared" si="423"/>
        <v>0</v>
      </c>
      <c r="DC177" s="229"/>
      <c r="DD177" s="229"/>
      <c r="DE177" s="229"/>
      <c r="DF177" s="229"/>
      <c r="DG177" s="229"/>
      <c r="DH177" s="229"/>
      <c r="DI177" s="229"/>
      <c r="DJ177" s="229"/>
      <c r="DK177" s="229"/>
      <c r="DL177" s="229"/>
      <c r="DM177" s="229"/>
      <c r="DN177" s="229"/>
      <c r="DO177" s="228">
        <f t="shared" si="436"/>
        <v>0</v>
      </c>
      <c r="DP177" s="228">
        <f t="shared" si="437"/>
        <v>0</v>
      </c>
      <c r="DQ177" s="229">
        <f t="shared" si="456"/>
        <v>0</v>
      </c>
      <c r="DR177" s="229">
        <f t="shared" si="457"/>
        <v>0</v>
      </c>
      <c r="DS177" s="229">
        <f t="shared" si="458"/>
        <v>0</v>
      </c>
      <c r="DT177" s="229">
        <f t="shared" si="459"/>
        <v>0</v>
      </c>
      <c r="DU177" s="229">
        <f t="shared" si="460"/>
        <v>0</v>
      </c>
      <c r="DV177" s="229">
        <f t="shared" si="461"/>
        <v>0</v>
      </c>
      <c r="DW177" s="229">
        <f t="shared" si="462"/>
        <v>0</v>
      </c>
      <c r="DX177" s="228">
        <f t="shared" si="424"/>
        <v>0</v>
      </c>
      <c r="DY177" s="229"/>
      <c r="DZ177" s="229"/>
      <c r="EA177" s="229"/>
      <c r="EB177" s="229"/>
      <c r="EC177" s="229"/>
      <c r="ED177" s="229"/>
      <c r="EE177" s="229"/>
      <c r="EF177" s="228">
        <f t="shared" si="438"/>
        <v>0</v>
      </c>
      <c r="EG177" s="228">
        <f t="shared" si="439"/>
        <v>0</v>
      </c>
      <c r="EH177" s="229">
        <f t="shared" si="440"/>
        <v>0</v>
      </c>
      <c r="EI177" s="229">
        <v>50</v>
      </c>
      <c r="EJ177" s="228">
        <f t="shared" si="517"/>
        <v>50</v>
      </c>
      <c r="EK177" s="229"/>
      <c r="EL177" s="229"/>
      <c r="EM177" s="228">
        <f t="shared" si="525"/>
        <v>0</v>
      </c>
      <c r="EN177" s="229">
        <f t="shared" si="413"/>
        <v>0</v>
      </c>
      <c r="EO177" s="229">
        <f t="shared" si="388"/>
        <v>50</v>
      </c>
      <c r="EP177" s="228">
        <f t="shared" si="526"/>
        <v>50</v>
      </c>
      <c r="EQ177" s="173">
        <f t="shared" si="441"/>
        <v>0</v>
      </c>
      <c r="ER177" s="189">
        <v>0</v>
      </c>
      <c r="ES177" s="189">
        <v>0</v>
      </c>
      <c r="ET177" s="189">
        <v>0</v>
      </c>
      <c r="EU177" s="189">
        <v>0</v>
      </c>
      <c r="EV177" s="189">
        <v>0</v>
      </c>
      <c r="EW177" s="189">
        <v>0</v>
      </c>
      <c r="EX177" s="189">
        <v>0</v>
      </c>
      <c r="EY177" s="189">
        <v>0</v>
      </c>
      <c r="EZ177" s="189">
        <v>0</v>
      </c>
      <c r="FA177" s="189">
        <v>0</v>
      </c>
      <c r="FB177" s="189">
        <v>0</v>
      </c>
      <c r="FC177" s="189">
        <v>0</v>
      </c>
      <c r="FD177" s="189">
        <v>0</v>
      </c>
      <c r="FE177" s="189">
        <v>0</v>
      </c>
      <c r="FF177" s="189">
        <v>0</v>
      </c>
      <c r="FG177" s="189">
        <v>0</v>
      </c>
      <c r="FH177" s="189">
        <v>0</v>
      </c>
      <c r="FI177" s="189">
        <v>0</v>
      </c>
      <c r="FJ177" s="189">
        <v>0</v>
      </c>
      <c r="FK177" s="189">
        <v>0</v>
      </c>
      <c r="FL177" s="189">
        <v>0</v>
      </c>
      <c r="FN177" s="132">
        <v>0</v>
      </c>
    </row>
    <row r="178" spans="1:170" ht="30" customHeight="1">
      <c r="A178" s="88">
        <f>COUNTIF($H$12:H178,H178)</f>
        <v>36</v>
      </c>
      <c r="B178" s="88" t="s">
        <v>84</v>
      </c>
      <c r="C178" s="88" t="s">
        <v>3148</v>
      </c>
      <c r="D178" s="88"/>
      <c r="E178" s="88" t="s">
        <v>3064</v>
      </c>
      <c r="F178" s="301" t="s">
        <v>20</v>
      </c>
      <c r="G178" s="303" t="s">
        <v>1114</v>
      </c>
      <c r="H178" s="88">
        <v>3</v>
      </c>
      <c r="I178" s="88">
        <v>3</v>
      </c>
      <c r="J178" s="88">
        <v>3</v>
      </c>
      <c r="K178" s="90" t="s">
        <v>2953</v>
      </c>
      <c r="L178" s="90" t="s">
        <v>2953</v>
      </c>
      <c r="M178" s="214"/>
      <c r="N178" s="88" t="s">
        <v>1804</v>
      </c>
      <c r="O178" s="216">
        <f t="shared" si="516"/>
        <v>3.33</v>
      </c>
      <c r="P178" s="88" t="str">
        <f t="shared" si="468"/>
        <v>B1_4</v>
      </c>
      <c r="Q178" s="88">
        <f t="shared" si="527"/>
        <v>270</v>
      </c>
      <c r="R178" s="88">
        <f t="shared" si="528"/>
        <v>120</v>
      </c>
      <c r="S178" s="234"/>
      <c r="T178" s="88" t="s">
        <v>3088</v>
      </c>
      <c r="U178" s="88">
        <f>IF(RIGHT(T178,1)="K",(VLOOKUP(T178,ma_miengiam!$A$3:$B$80,2,0)*100)/2,VLOOKUP(T178,ma_miengiam!$A$3:$B$80,2,0)*100)</f>
        <v>0</v>
      </c>
      <c r="V178" s="88"/>
      <c r="W178" s="220">
        <f>IF(AND(T178="NTS",V178&gt;0),(Q178-(Q178*V178)/12)*VLOOKUP(T178,ma_miengiam!$A$3:$B$80,2,0)+(Q178-(Q178*(12-V178))/12),IF(AND(RIGHT(T178,1)="K",V178&gt;0),(VLOOKUP(T178,ma_miengiam!$A$3:$B$80,2,0)/2)*(Q178*V178)/12,IF(RIGHT(T178,1)="K",(VLOOKUP(T178,ma_miengiam!$A$3:$B$80,2,0)*Q178)/2,IF(V178&gt;0,VLOOKUP(T178,ma_miengiam!$A$3:$B$80,2,0)*Q178*V178/12,VLOOKUP(T178,ma_miengiam!$A$3:$B$80,2,0)*Q178))))</f>
        <v>0</v>
      </c>
      <c r="X178" s="220">
        <f>IF(T178="NTS",VLOOKUP(T178,ma_miengiam!$A$3:$B$80,2,0)*R178*V178,IF(AND(T178="NTS",V178=0),0,IF(AND(LEFT(T178,1)="K",V178=0),VLOOKUP(T178,ma_miengiam!$A$3:$B$80,2,0)*R178,IF(LEFT(T178,1)="K",(VLOOKUP(T178,ma_miengiam!$A$3:$B$80,2,0)*R178/12)*V178,IF(AND(LEFT(T178,1)="S",V178&gt;0),(R178/12)*V178,IF(AND(LEFT(T178,1)="S",V178=0),R178,IF(T178="DH",VLOOKUP(T178,ma_miengiam!$A$3:$B$80,2,0)*R178,0)))))))</f>
        <v>0</v>
      </c>
      <c r="Y178" s="220">
        <f t="shared" si="503"/>
        <v>270</v>
      </c>
      <c r="Z178" s="220">
        <f t="shared" si="504"/>
        <v>120</v>
      </c>
      <c r="AA178" s="220">
        <f t="shared" si="547"/>
        <v>270</v>
      </c>
      <c r="AB178" s="220">
        <f t="shared" si="547"/>
        <v>120</v>
      </c>
      <c r="AC178" s="220">
        <f t="shared" si="548"/>
        <v>0</v>
      </c>
      <c r="AD178" s="220">
        <f t="shared" si="548"/>
        <v>0</v>
      </c>
      <c r="AE178" s="220">
        <f t="shared" si="548"/>
        <v>270</v>
      </c>
      <c r="AF178" s="220">
        <f t="shared" si="548"/>
        <v>120</v>
      </c>
      <c r="AG178" s="220">
        <f t="shared" si="549"/>
        <v>116.42</v>
      </c>
      <c r="AH178" s="220">
        <f t="shared" si="550"/>
        <v>60.71</v>
      </c>
      <c r="AI178" s="220">
        <f t="shared" si="551"/>
        <v>55.71</v>
      </c>
      <c r="AJ178" s="220">
        <f t="shared" si="513"/>
        <v>-3.5799999999999983</v>
      </c>
      <c r="AK178" s="216">
        <f t="shared" si="410"/>
        <v>273.58</v>
      </c>
      <c r="AL178" s="220">
        <f t="shared" si="425"/>
        <v>174.8</v>
      </c>
      <c r="AM178" s="220">
        <f t="shared" si="426"/>
        <v>0</v>
      </c>
      <c r="AN178" s="221">
        <f t="shared" si="427"/>
        <v>174.8</v>
      </c>
      <c r="AO178" s="220">
        <f t="shared" si="428"/>
        <v>20</v>
      </c>
      <c r="AP178" s="220">
        <f t="shared" si="429"/>
        <v>0</v>
      </c>
      <c r="AQ178" s="220">
        <f t="shared" si="430"/>
        <v>60</v>
      </c>
      <c r="AR178" s="220">
        <f t="shared" si="431"/>
        <v>0</v>
      </c>
      <c r="AS178" s="220">
        <f t="shared" si="432"/>
        <v>0</v>
      </c>
      <c r="AT178" s="216">
        <f t="shared" si="433"/>
        <v>254.8</v>
      </c>
      <c r="AU178" s="222">
        <f t="shared" si="395"/>
        <v>-98.779999999999973</v>
      </c>
      <c r="AV178" s="220"/>
      <c r="AW178" s="220">
        <f t="shared" si="532"/>
        <v>-98.779999999999973</v>
      </c>
      <c r="AX178" s="216">
        <f t="shared" si="411"/>
        <v>-98.779999999999973</v>
      </c>
      <c r="AY178" s="220">
        <f t="shared" si="539"/>
        <v>0</v>
      </c>
      <c r="AZ178" s="220">
        <f t="shared" si="540"/>
        <v>0</v>
      </c>
      <c r="BA178" s="220">
        <f t="shared" si="541"/>
        <v>0</v>
      </c>
      <c r="BB178" s="220">
        <f t="shared" si="542"/>
        <v>0</v>
      </c>
      <c r="BC178" s="220">
        <f t="shared" si="543"/>
        <v>0</v>
      </c>
      <c r="BD178" s="216">
        <f t="shared" si="375"/>
        <v>0</v>
      </c>
      <c r="BE178" s="220">
        <f t="shared" si="533"/>
        <v>-20</v>
      </c>
      <c r="BF178" s="220">
        <f t="shared" si="534"/>
        <v>0</v>
      </c>
      <c r="BG178" s="220">
        <f t="shared" si="535"/>
        <v>-60</v>
      </c>
      <c r="BH178" s="220">
        <f t="shared" si="536"/>
        <v>0</v>
      </c>
      <c r="BI178" s="220">
        <f t="shared" si="537"/>
        <v>0</v>
      </c>
      <c r="BJ178" s="220" t="s">
        <v>1806</v>
      </c>
      <c r="BK178" s="220"/>
      <c r="BL178" s="223">
        <f t="shared" si="412"/>
        <v>0</v>
      </c>
      <c r="BM178" s="220">
        <v>3.33</v>
      </c>
      <c r="BN178" s="220"/>
      <c r="BO178" s="220">
        <f t="shared" si="529"/>
        <v>3.33</v>
      </c>
      <c r="BP178" s="220">
        <f>IF(AND(BL178&gt;0,BL178&lt;tiet!$D$1),BL178,IF(BL178&lt;=0,0,IF(BL178&gt;tiet!$C$1,tiet!$C$1)))</f>
        <v>0</v>
      </c>
      <c r="BQ178" s="87">
        <f t="shared" si="509"/>
        <v>65000</v>
      </c>
      <c r="BR178" s="224">
        <f t="shared" si="510"/>
        <v>0</v>
      </c>
      <c r="BS178" s="220">
        <f t="shared" si="434"/>
        <v>0</v>
      </c>
      <c r="BT178" s="224">
        <f>VLOOKUP(N178,ma_dinhmuc!$A$1:$J$31,10,0)</f>
        <v>51000</v>
      </c>
      <c r="BU178" s="224">
        <f>ROUND(IF(BS178&gt;0,VLOOKUP(N178,ma_dinhmuc!$A$1:$J$31,10,0)*BS178,0),0)</f>
        <v>0</v>
      </c>
      <c r="BV178" s="224">
        <f t="shared" si="511"/>
        <v>0</v>
      </c>
      <c r="BW178" s="224"/>
      <c r="BX178" s="224">
        <v>0</v>
      </c>
      <c r="BY178" s="224"/>
      <c r="BZ178" s="224"/>
      <c r="CA178" s="224"/>
      <c r="CB178" s="224"/>
      <c r="CC178" s="225">
        <f t="shared" si="544"/>
        <v>0</v>
      </c>
      <c r="CD178" s="224">
        <f t="shared" si="545"/>
        <v>0</v>
      </c>
      <c r="CE178" s="224"/>
      <c r="CF178" s="226"/>
      <c r="CG178" s="87"/>
      <c r="CH178" s="87">
        <f t="shared" si="530"/>
        <v>36</v>
      </c>
      <c r="CI178" s="227" t="str">
        <f t="shared" si="520"/>
        <v>Nguyễn Đình</v>
      </c>
      <c r="CJ178" s="227" t="str">
        <f t="shared" si="521"/>
        <v>Trung</v>
      </c>
      <c r="CK178" s="87">
        <f t="shared" si="522"/>
        <v>3</v>
      </c>
      <c r="CL178" s="227" t="str">
        <f t="shared" si="523"/>
        <v>Trắc địa bản đồ</v>
      </c>
      <c r="CM178" s="87" t="str">
        <f t="shared" si="538"/>
        <v>CS2</v>
      </c>
      <c r="CN178" s="87">
        <f t="shared" si="552"/>
        <v>270</v>
      </c>
      <c r="CO178" s="87">
        <f t="shared" si="553"/>
        <v>120</v>
      </c>
      <c r="CP178" s="229">
        <f t="shared" si="444"/>
        <v>0</v>
      </c>
      <c r="CQ178" s="229">
        <f t="shared" si="445"/>
        <v>20.3</v>
      </c>
      <c r="CR178" s="229">
        <f t="shared" si="446"/>
        <v>8.1</v>
      </c>
      <c r="CS178" s="229">
        <f t="shared" si="447"/>
        <v>21.6</v>
      </c>
      <c r="CT178" s="229">
        <f t="shared" si="448"/>
        <v>0</v>
      </c>
      <c r="CU178" s="229">
        <f t="shared" si="449"/>
        <v>52.8</v>
      </c>
      <c r="CV178" s="229">
        <f t="shared" si="450"/>
        <v>0</v>
      </c>
      <c r="CW178" s="229">
        <f t="shared" si="451"/>
        <v>72</v>
      </c>
      <c r="CX178" s="229">
        <f t="shared" si="452"/>
        <v>0</v>
      </c>
      <c r="CY178" s="229">
        <f t="shared" si="453"/>
        <v>20</v>
      </c>
      <c r="CZ178" s="229">
        <f t="shared" si="454"/>
        <v>0</v>
      </c>
      <c r="DA178" s="229">
        <f t="shared" si="455"/>
        <v>60</v>
      </c>
      <c r="DB178" s="228">
        <f t="shared" si="423"/>
        <v>254.8</v>
      </c>
      <c r="DC178" s="229"/>
      <c r="DD178" s="229"/>
      <c r="DE178" s="229"/>
      <c r="DF178" s="229"/>
      <c r="DG178" s="229"/>
      <c r="DH178" s="229"/>
      <c r="DI178" s="229"/>
      <c r="DJ178" s="229"/>
      <c r="DK178" s="229"/>
      <c r="DL178" s="229"/>
      <c r="DM178" s="229"/>
      <c r="DN178" s="229"/>
      <c r="DO178" s="228">
        <f t="shared" si="436"/>
        <v>0</v>
      </c>
      <c r="DP178" s="228">
        <f t="shared" si="437"/>
        <v>254.8</v>
      </c>
      <c r="DQ178" s="229">
        <f t="shared" si="456"/>
        <v>0</v>
      </c>
      <c r="DR178" s="229">
        <f t="shared" si="457"/>
        <v>0</v>
      </c>
      <c r="DS178" s="229">
        <f t="shared" si="458"/>
        <v>0</v>
      </c>
      <c r="DT178" s="229">
        <f t="shared" si="459"/>
        <v>0</v>
      </c>
      <c r="DU178" s="229">
        <f t="shared" si="460"/>
        <v>0</v>
      </c>
      <c r="DV178" s="229">
        <f t="shared" si="461"/>
        <v>0</v>
      </c>
      <c r="DW178" s="229">
        <f t="shared" si="462"/>
        <v>0</v>
      </c>
      <c r="DX178" s="228">
        <f t="shared" si="424"/>
        <v>0</v>
      </c>
      <c r="DY178" s="229"/>
      <c r="DZ178" s="229"/>
      <c r="EA178" s="229"/>
      <c r="EB178" s="229"/>
      <c r="EC178" s="229"/>
      <c r="ED178" s="229"/>
      <c r="EE178" s="229"/>
      <c r="EF178" s="228">
        <f t="shared" si="438"/>
        <v>0</v>
      </c>
      <c r="EG178" s="228">
        <f t="shared" si="439"/>
        <v>0</v>
      </c>
      <c r="EH178" s="229">
        <f t="shared" si="440"/>
        <v>55.71</v>
      </c>
      <c r="EI178" s="229">
        <v>60.71</v>
      </c>
      <c r="EJ178" s="228">
        <f t="shared" si="517"/>
        <v>116.42</v>
      </c>
      <c r="EK178" s="229"/>
      <c r="EL178" s="229"/>
      <c r="EM178" s="228">
        <f t="shared" si="525"/>
        <v>0</v>
      </c>
      <c r="EN178" s="229">
        <f t="shared" si="413"/>
        <v>55.71</v>
      </c>
      <c r="EO178" s="229">
        <f t="shared" si="388"/>
        <v>60.71</v>
      </c>
      <c r="EP178" s="228">
        <f t="shared" si="526"/>
        <v>116.42</v>
      </c>
      <c r="EQ178" s="173">
        <f t="shared" si="441"/>
        <v>0</v>
      </c>
      <c r="ER178" s="189">
        <v>0</v>
      </c>
      <c r="ES178" s="189">
        <v>20.3</v>
      </c>
      <c r="ET178" s="189">
        <v>8.1</v>
      </c>
      <c r="EU178" s="189">
        <v>21.6</v>
      </c>
      <c r="EV178" s="189">
        <v>0</v>
      </c>
      <c r="EW178" s="189">
        <v>52.8</v>
      </c>
      <c r="EX178" s="189">
        <v>0</v>
      </c>
      <c r="EY178" s="189">
        <v>72</v>
      </c>
      <c r="EZ178" s="189">
        <v>0</v>
      </c>
      <c r="FA178" s="189">
        <v>20</v>
      </c>
      <c r="FB178" s="189">
        <v>0</v>
      </c>
      <c r="FC178" s="189">
        <v>60</v>
      </c>
      <c r="FD178" s="189">
        <v>0</v>
      </c>
      <c r="FE178" s="189">
        <v>0</v>
      </c>
      <c r="FF178" s="189">
        <v>0</v>
      </c>
      <c r="FG178" s="189">
        <v>0</v>
      </c>
      <c r="FH178" s="189">
        <v>0</v>
      </c>
      <c r="FI178" s="189">
        <v>0</v>
      </c>
      <c r="FJ178" s="189">
        <v>0</v>
      </c>
      <c r="FK178" s="189">
        <v>254.8</v>
      </c>
      <c r="FL178" s="189">
        <v>205.6</v>
      </c>
      <c r="FN178" s="132">
        <v>55.71</v>
      </c>
    </row>
    <row r="179" spans="1:170" ht="30" customHeight="1">
      <c r="A179" s="88">
        <f>COUNTIF($H$12:H179,H179)</f>
        <v>37</v>
      </c>
      <c r="B179" s="88" t="s">
        <v>85</v>
      </c>
      <c r="C179" s="88" t="s">
        <v>3149</v>
      </c>
      <c r="D179" s="88"/>
      <c r="E179" s="88"/>
      <c r="F179" s="301" t="s">
        <v>2912</v>
      </c>
      <c r="G179" s="89" t="s">
        <v>646</v>
      </c>
      <c r="H179" s="88">
        <v>3</v>
      </c>
      <c r="I179" s="88">
        <v>3</v>
      </c>
      <c r="J179" s="88">
        <v>3</v>
      </c>
      <c r="K179" s="90" t="s">
        <v>2953</v>
      </c>
      <c r="L179" s="90" t="s">
        <v>2953</v>
      </c>
      <c r="M179" s="214"/>
      <c r="N179" s="88" t="s">
        <v>606</v>
      </c>
      <c r="O179" s="216">
        <f t="shared" si="516"/>
        <v>4.4000000000000004</v>
      </c>
      <c r="P179" s="88" t="str">
        <f t="shared" si="468"/>
        <v>B1_4</v>
      </c>
      <c r="Q179" s="88">
        <f t="shared" si="527"/>
        <v>270</v>
      </c>
      <c r="R179" s="88">
        <f t="shared" si="528"/>
        <v>120</v>
      </c>
      <c r="S179" s="231"/>
      <c r="T179" s="88" t="s">
        <v>3088</v>
      </c>
      <c r="U179" s="88">
        <f>IF(RIGHT(T179,1)="K",(VLOOKUP(T179,ma_miengiam!$A$3:$B$80,2,0)*100)/2,VLOOKUP(T179,ma_miengiam!$A$3:$B$80,2,0)*100)</f>
        <v>0</v>
      </c>
      <c r="V179" s="88"/>
      <c r="W179" s="220">
        <f>IF(AND(T179="NTS",V179&gt;0),(Q179-(Q179*V179)/12)*VLOOKUP(T179,ma_miengiam!$A$3:$B$80,2,0)+(Q179-(Q179*(12-V179))/12),IF(AND(RIGHT(T179,1)="K",V179&gt;0),(VLOOKUP(T179,ma_miengiam!$A$3:$B$80,2,0)/2)*(Q179*V179)/12,IF(RIGHT(T179,1)="K",(VLOOKUP(T179,ma_miengiam!$A$3:$B$80,2,0)*Q179)/2,IF(V179&gt;0,VLOOKUP(T179,ma_miengiam!$A$3:$B$80,2,0)*Q179*V179/12,VLOOKUP(T179,ma_miengiam!$A$3:$B$80,2,0)*Q179))))</f>
        <v>0</v>
      </c>
      <c r="X179" s="220">
        <f>IF(T179="NTS",VLOOKUP(T179,ma_miengiam!$A$3:$B$80,2,0)*R179*V179,IF(AND(T179="NTS",V179=0),0,IF(AND(LEFT(T179,1)="K",V179=0),VLOOKUP(T179,ma_miengiam!$A$3:$B$80,2,0)*R179,IF(LEFT(T179,1)="K",(VLOOKUP(T179,ma_miengiam!$A$3:$B$80,2,0)*R179/12)*V179,IF(AND(LEFT(T179,1)="S",V179&gt;0),(R179/12)*V179,IF(AND(LEFT(T179,1)="S",V179=0),R179,IF(T179="DH",VLOOKUP(T179,ma_miengiam!$A$3:$B$80,2,0)*R179,0)))))))</f>
        <v>0</v>
      </c>
      <c r="Y179" s="220">
        <f t="shared" si="503"/>
        <v>270</v>
      </c>
      <c r="Z179" s="220">
        <f t="shared" si="504"/>
        <v>120</v>
      </c>
      <c r="AA179" s="220">
        <f t="shared" si="547"/>
        <v>270</v>
      </c>
      <c r="AB179" s="220">
        <f t="shared" si="547"/>
        <v>120</v>
      </c>
      <c r="AC179" s="220">
        <f t="shared" si="548"/>
        <v>0</v>
      </c>
      <c r="AD179" s="220">
        <f t="shared" si="548"/>
        <v>0</v>
      </c>
      <c r="AE179" s="220">
        <f t="shared" si="548"/>
        <v>270</v>
      </c>
      <c r="AF179" s="220">
        <f t="shared" si="548"/>
        <v>120</v>
      </c>
      <c r="AG179" s="220">
        <f t="shared" si="549"/>
        <v>168.32999999999998</v>
      </c>
      <c r="AH179" s="220">
        <f t="shared" si="550"/>
        <v>118.33</v>
      </c>
      <c r="AI179" s="220">
        <f t="shared" si="551"/>
        <v>50</v>
      </c>
      <c r="AJ179" s="220">
        <f t="shared" si="513"/>
        <v>0</v>
      </c>
      <c r="AK179" s="216">
        <f t="shared" si="410"/>
        <v>270</v>
      </c>
      <c r="AL179" s="220">
        <f t="shared" si="425"/>
        <v>202.2</v>
      </c>
      <c r="AM179" s="220">
        <f t="shared" si="426"/>
        <v>247.8</v>
      </c>
      <c r="AN179" s="221">
        <f t="shared" si="427"/>
        <v>450</v>
      </c>
      <c r="AO179" s="220">
        <f t="shared" si="428"/>
        <v>0</v>
      </c>
      <c r="AP179" s="220">
        <f t="shared" si="429"/>
        <v>0</v>
      </c>
      <c r="AQ179" s="220">
        <f t="shared" si="430"/>
        <v>40</v>
      </c>
      <c r="AR179" s="220">
        <f t="shared" si="431"/>
        <v>80</v>
      </c>
      <c r="AS179" s="220">
        <f t="shared" si="432"/>
        <v>0</v>
      </c>
      <c r="AT179" s="216">
        <f t="shared" si="433"/>
        <v>570</v>
      </c>
      <c r="AU179" s="222">
        <f t="shared" si="395"/>
        <v>180</v>
      </c>
      <c r="AV179" s="220"/>
      <c r="AW179" s="220">
        <f t="shared" si="532"/>
        <v>180</v>
      </c>
      <c r="AX179" s="216">
        <f t="shared" si="411"/>
        <v>0</v>
      </c>
      <c r="AY179" s="220">
        <f t="shared" si="539"/>
        <v>0</v>
      </c>
      <c r="AZ179" s="220">
        <f t="shared" si="540"/>
        <v>0</v>
      </c>
      <c r="BA179" s="220">
        <f t="shared" si="541"/>
        <v>40</v>
      </c>
      <c r="BB179" s="220">
        <f t="shared" si="542"/>
        <v>80</v>
      </c>
      <c r="BC179" s="220">
        <f t="shared" si="543"/>
        <v>0</v>
      </c>
      <c r="BD179" s="216">
        <f t="shared" si="375"/>
        <v>120</v>
      </c>
      <c r="BE179" s="220">
        <f t="shared" si="533"/>
        <v>0</v>
      </c>
      <c r="BF179" s="220">
        <f t="shared" si="534"/>
        <v>0</v>
      </c>
      <c r="BG179" s="220">
        <f t="shared" si="535"/>
        <v>0</v>
      </c>
      <c r="BH179" s="220">
        <f t="shared" si="536"/>
        <v>0</v>
      </c>
      <c r="BI179" s="220">
        <f t="shared" si="537"/>
        <v>0</v>
      </c>
      <c r="BJ179" s="220" t="s">
        <v>1806</v>
      </c>
      <c r="BK179" s="220"/>
      <c r="BL179" s="223">
        <f t="shared" si="412"/>
        <v>180</v>
      </c>
      <c r="BM179" s="220">
        <v>4.4000000000000004</v>
      </c>
      <c r="BN179" s="220"/>
      <c r="BO179" s="220">
        <f t="shared" si="529"/>
        <v>4.4000000000000004</v>
      </c>
      <c r="BP179" s="220">
        <f>IF(AND(BL179&gt;0,BL179&lt;tiet!$D$1),BL179,IF(BL179&lt;=0,0,IF(BL179&gt;tiet!$C$1,tiet!$C$1)))</f>
        <v>180</v>
      </c>
      <c r="BQ179" s="87">
        <f t="shared" si="509"/>
        <v>65000</v>
      </c>
      <c r="BR179" s="224">
        <f t="shared" si="510"/>
        <v>11700000</v>
      </c>
      <c r="BS179" s="220">
        <f t="shared" si="434"/>
        <v>0</v>
      </c>
      <c r="BT179" s="224">
        <f>VLOOKUP(N179,ma_dinhmuc!$A$1:$J$31,10,0)</f>
        <v>55000</v>
      </c>
      <c r="BU179" s="224">
        <f>ROUND(IF(BS179&gt;0,VLOOKUP(N179,ma_dinhmuc!$A$1:$J$31,10,0)*BS179,0),0)</f>
        <v>0</v>
      </c>
      <c r="BV179" s="224">
        <f t="shared" si="511"/>
        <v>11700000</v>
      </c>
      <c r="BW179" s="224"/>
      <c r="BX179" s="224">
        <v>0</v>
      </c>
      <c r="BY179" s="224"/>
      <c r="BZ179" s="224"/>
      <c r="CA179" s="224"/>
      <c r="CB179" s="224"/>
      <c r="CC179" s="225">
        <f t="shared" si="544"/>
        <v>11700000</v>
      </c>
      <c r="CD179" s="224">
        <f t="shared" si="545"/>
        <v>0</v>
      </c>
      <c r="CE179" s="224"/>
      <c r="CF179" s="226"/>
      <c r="CG179" s="87"/>
      <c r="CH179" s="87">
        <f t="shared" ref="CH179:CH186" si="554">A179</f>
        <v>37</v>
      </c>
      <c r="CI179" s="227" t="str">
        <f t="shared" ref="CI179:CI190" si="555">F179</f>
        <v>Nguyễn Thị Thu</v>
      </c>
      <c r="CJ179" s="227" t="str">
        <f t="shared" ref="CJ179:CJ190" si="556">G179</f>
        <v>Hiền</v>
      </c>
      <c r="CK179" s="87">
        <f t="shared" ref="CK179:CK190" si="557">H179</f>
        <v>3</v>
      </c>
      <c r="CL179" s="227" t="str">
        <f t="shared" si="523"/>
        <v>Trắc địa bản đồ</v>
      </c>
      <c r="CM179" s="87" t="str">
        <f t="shared" si="538"/>
        <v>CS3</v>
      </c>
      <c r="CN179" s="87">
        <f t="shared" si="552"/>
        <v>270</v>
      </c>
      <c r="CO179" s="87">
        <f t="shared" si="553"/>
        <v>120</v>
      </c>
      <c r="CP179" s="229">
        <f t="shared" si="444"/>
        <v>0</v>
      </c>
      <c r="CQ179" s="229">
        <f t="shared" si="445"/>
        <v>21.8</v>
      </c>
      <c r="CR179" s="229">
        <f t="shared" si="446"/>
        <v>6.8</v>
      </c>
      <c r="CS179" s="229">
        <f t="shared" si="447"/>
        <v>21.6</v>
      </c>
      <c r="CT179" s="229">
        <f t="shared" si="448"/>
        <v>0</v>
      </c>
      <c r="CU179" s="229">
        <f t="shared" si="449"/>
        <v>44</v>
      </c>
      <c r="CV179" s="229">
        <f t="shared" si="450"/>
        <v>0</v>
      </c>
      <c r="CW179" s="229">
        <f t="shared" si="451"/>
        <v>108</v>
      </c>
      <c r="CX179" s="229">
        <f t="shared" si="452"/>
        <v>0</v>
      </c>
      <c r="CY179" s="229">
        <f t="shared" si="453"/>
        <v>0</v>
      </c>
      <c r="CZ179" s="229">
        <f t="shared" si="454"/>
        <v>0</v>
      </c>
      <c r="DA179" s="229">
        <f t="shared" si="455"/>
        <v>40</v>
      </c>
      <c r="DB179" s="228">
        <f t="shared" si="423"/>
        <v>242.2</v>
      </c>
      <c r="DC179" s="229"/>
      <c r="DD179" s="229"/>
      <c r="DE179" s="229"/>
      <c r="DF179" s="229"/>
      <c r="DG179" s="229"/>
      <c r="DH179" s="229"/>
      <c r="DI179" s="229"/>
      <c r="DJ179" s="229"/>
      <c r="DK179" s="229"/>
      <c r="DL179" s="229"/>
      <c r="DM179" s="229"/>
      <c r="DN179" s="229"/>
      <c r="DO179" s="228">
        <f t="shared" si="436"/>
        <v>0</v>
      </c>
      <c r="DP179" s="228">
        <f t="shared" si="437"/>
        <v>242.2</v>
      </c>
      <c r="DQ179" s="229">
        <f t="shared" si="456"/>
        <v>189</v>
      </c>
      <c r="DR179" s="229">
        <f t="shared" si="457"/>
        <v>9.9</v>
      </c>
      <c r="DS179" s="229">
        <f t="shared" si="458"/>
        <v>0</v>
      </c>
      <c r="DT179" s="229">
        <f t="shared" si="459"/>
        <v>3.9</v>
      </c>
      <c r="DU179" s="229">
        <f t="shared" si="460"/>
        <v>45</v>
      </c>
      <c r="DV179" s="229">
        <f t="shared" si="461"/>
        <v>80</v>
      </c>
      <c r="DW179" s="229">
        <f t="shared" si="462"/>
        <v>0</v>
      </c>
      <c r="DX179" s="228">
        <f t="shared" si="424"/>
        <v>327.8</v>
      </c>
      <c r="DY179" s="229"/>
      <c r="DZ179" s="229"/>
      <c r="EA179" s="229"/>
      <c r="EB179" s="229"/>
      <c r="EC179" s="229"/>
      <c r="ED179" s="229"/>
      <c r="EE179" s="229"/>
      <c r="EF179" s="228">
        <f t="shared" si="438"/>
        <v>0</v>
      </c>
      <c r="EG179" s="228">
        <f t="shared" si="439"/>
        <v>327.8</v>
      </c>
      <c r="EH179" s="229">
        <f t="shared" si="440"/>
        <v>50</v>
      </c>
      <c r="EI179" s="229">
        <v>118.33</v>
      </c>
      <c r="EJ179" s="228">
        <f t="shared" si="517"/>
        <v>168.32999999999998</v>
      </c>
      <c r="EK179" s="229"/>
      <c r="EL179" s="229"/>
      <c r="EM179" s="228">
        <f t="shared" si="525"/>
        <v>0</v>
      </c>
      <c r="EN179" s="229">
        <f t="shared" si="413"/>
        <v>50</v>
      </c>
      <c r="EO179" s="229">
        <f t="shared" si="388"/>
        <v>118.33</v>
      </c>
      <c r="EP179" s="228">
        <f t="shared" si="526"/>
        <v>168.32999999999998</v>
      </c>
      <c r="EQ179" s="173">
        <f t="shared" si="441"/>
        <v>0</v>
      </c>
      <c r="ER179" s="189">
        <v>0</v>
      </c>
      <c r="ES179" s="189">
        <v>21.8</v>
      </c>
      <c r="ET179" s="189">
        <v>6.8</v>
      </c>
      <c r="EU179" s="189">
        <v>21.6</v>
      </c>
      <c r="EV179" s="189">
        <v>0</v>
      </c>
      <c r="EW179" s="189">
        <v>44</v>
      </c>
      <c r="EX179" s="189">
        <v>0</v>
      </c>
      <c r="EY179" s="189">
        <v>108</v>
      </c>
      <c r="EZ179" s="189">
        <v>0</v>
      </c>
      <c r="FA179" s="189">
        <v>0</v>
      </c>
      <c r="FB179" s="189">
        <v>0</v>
      </c>
      <c r="FC179" s="189">
        <v>40</v>
      </c>
      <c r="FD179" s="189">
        <v>189</v>
      </c>
      <c r="FE179" s="189">
        <v>9.9</v>
      </c>
      <c r="FF179" s="189">
        <v>0</v>
      </c>
      <c r="FG179" s="189">
        <v>3.9</v>
      </c>
      <c r="FH179" s="189">
        <v>80</v>
      </c>
      <c r="FI179" s="189">
        <v>45</v>
      </c>
      <c r="FJ179" s="189">
        <v>0</v>
      </c>
      <c r="FK179" s="189">
        <v>570</v>
      </c>
      <c r="FL179" s="189">
        <v>449.6</v>
      </c>
      <c r="FN179" s="132">
        <v>50</v>
      </c>
    </row>
    <row r="180" spans="1:170" ht="30" customHeight="1">
      <c r="A180" s="88">
        <f>COUNTIF($H$12:H180,H180)</f>
        <v>38</v>
      </c>
      <c r="B180" s="88" t="s">
        <v>86</v>
      </c>
      <c r="C180" s="88" t="s">
        <v>2489</v>
      </c>
      <c r="D180" s="88"/>
      <c r="E180" s="88"/>
      <c r="F180" s="301" t="s">
        <v>547</v>
      </c>
      <c r="G180" s="89" t="s">
        <v>548</v>
      </c>
      <c r="H180" s="88">
        <v>3</v>
      </c>
      <c r="I180" s="88">
        <v>3</v>
      </c>
      <c r="J180" s="88">
        <v>3</v>
      </c>
      <c r="K180" s="90" t="s">
        <v>2953</v>
      </c>
      <c r="L180" s="90" t="s">
        <v>2953</v>
      </c>
      <c r="M180" s="214"/>
      <c r="N180" s="88" t="s">
        <v>1804</v>
      </c>
      <c r="O180" s="216">
        <f t="shared" si="516"/>
        <v>3.99</v>
      </c>
      <c r="P180" s="88" t="str">
        <f t="shared" si="468"/>
        <v>B1_4</v>
      </c>
      <c r="Q180" s="88">
        <f t="shared" si="527"/>
        <v>270</v>
      </c>
      <c r="R180" s="88">
        <f t="shared" si="528"/>
        <v>120</v>
      </c>
      <c r="S180" s="230"/>
      <c r="T180" s="88" t="s">
        <v>3088</v>
      </c>
      <c r="U180" s="88">
        <f>IF(RIGHT(T180,1)="K",(VLOOKUP(T180,ma_miengiam!$A$3:$B$80,2,0)*100)/2,VLOOKUP(T180,ma_miengiam!$A$3:$B$80,2,0)*100)</f>
        <v>0</v>
      </c>
      <c r="V180" s="88"/>
      <c r="W180" s="220">
        <f>IF(AND(T180="NTS",V180&gt;0),(Q180-(Q180*V180)/12)*VLOOKUP(T180,ma_miengiam!$A$3:$B$80,2,0)+(Q180-(Q180*(12-V180))/12),IF(AND(RIGHT(T180,1)="K",V180&gt;0),(VLOOKUP(T180,ma_miengiam!$A$3:$B$80,2,0)/2)*(Q180*V180)/12,IF(RIGHT(T180,1)="K",(VLOOKUP(T180,ma_miengiam!$A$3:$B$80,2,0)*Q180)/2,IF(V180&gt;0,VLOOKUP(T180,ma_miengiam!$A$3:$B$80,2,0)*Q180*V180/12,VLOOKUP(T180,ma_miengiam!$A$3:$B$80,2,0)*Q180))))</f>
        <v>0</v>
      </c>
      <c r="X180" s="220">
        <f>IF(T180="NTS",VLOOKUP(T180,ma_miengiam!$A$3:$B$80,2,0)*R180*V180,IF(AND(T180="NTS",V180=0),0,IF(AND(LEFT(T180,1)="K",V180=0),VLOOKUP(T180,ma_miengiam!$A$3:$B$80,2,0)*R180,IF(LEFT(T180,1)="K",(VLOOKUP(T180,ma_miengiam!$A$3:$B$80,2,0)*R180/12)*V180,IF(AND(LEFT(T180,1)="S",V180&gt;0),(R180/12)*V180,IF(AND(LEFT(T180,1)="S",V180=0),R180,IF(T180="DH",VLOOKUP(T180,ma_miengiam!$A$3:$B$80,2,0)*R180,0)))))))</f>
        <v>0</v>
      </c>
      <c r="Y180" s="220">
        <f t="shared" si="503"/>
        <v>270</v>
      </c>
      <c r="Z180" s="220">
        <f>IF(AND(T180="SĐH",V180&gt;0),(R180/12)*V180-X180,IF(AND(T180="DH",V180&gt;0),(R180*V180/12),IF(AND(T180&lt;&gt;"NTS",V180&gt;0),(R180*V180/12)-X180,IF(AND(T180="NTS",V180&gt;0),R180-X180,R180-X180))))</f>
        <v>120</v>
      </c>
      <c r="AA180" s="220">
        <f t="shared" ref="AA180:AB182" si="558">Q180</f>
        <v>270</v>
      </c>
      <c r="AB180" s="220">
        <f t="shared" si="558"/>
        <v>120</v>
      </c>
      <c r="AC180" s="220">
        <f>W180</f>
        <v>0</v>
      </c>
      <c r="AD180" s="220">
        <f>X180</f>
        <v>0</v>
      </c>
      <c r="AE180" s="220">
        <f>Y180</f>
        <v>270</v>
      </c>
      <c r="AF180" s="220">
        <f>Z180</f>
        <v>120</v>
      </c>
      <c r="AG180" s="220">
        <f>AH180+AI180</f>
        <v>28.33</v>
      </c>
      <c r="AH180" s="220">
        <f>EO180</f>
        <v>28.33</v>
      </c>
      <c r="AI180" s="220">
        <f>EN180</f>
        <v>0</v>
      </c>
      <c r="AJ180" s="220">
        <f>IF(AG180-Z180&gt;0,0,AG180-Z180)</f>
        <v>-91.67</v>
      </c>
      <c r="AK180" s="216">
        <f t="shared" si="410"/>
        <v>361.67</v>
      </c>
      <c r="AL180" s="220">
        <f t="shared" si="425"/>
        <v>240.2</v>
      </c>
      <c r="AM180" s="220">
        <f t="shared" si="426"/>
        <v>162.60000000000002</v>
      </c>
      <c r="AN180" s="221">
        <f t="shared" si="427"/>
        <v>402.8</v>
      </c>
      <c r="AO180" s="220">
        <f t="shared" si="428"/>
        <v>0</v>
      </c>
      <c r="AP180" s="220">
        <f t="shared" si="429"/>
        <v>0</v>
      </c>
      <c r="AQ180" s="220">
        <f t="shared" si="430"/>
        <v>20</v>
      </c>
      <c r="AR180" s="220">
        <f t="shared" si="431"/>
        <v>0</v>
      </c>
      <c r="AS180" s="220">
        <f t="shared" si="432"/>
        <v>0</v>
      </c>
      <c r="AT180" s="216">
        <f t="shared" si="433"/>
        <v>422.8</v>
      </c>
      <c r="AU180" s="222">
        <f t="shared" si="395"/>
        <v>41.129999999999995</v>
      </c>
      <c r="AV180" s="220"/>
      <c r="AW180" s="220">
        <f t="shared" si="532"/>
        <v>41.129999999999995</v>
      </c>
      <c r="AX180" s="216">
        <f t="shared" si="411"/>
        <v>0</v>
      </c>
      <c r="AY180" s="220">
        <f t="shared" si="539"/>
        <v>0</v>
      </c>
      <c r="AZ180" s="220">
        <f t="shared" si="540"/>
        <v>0</v>
      </c>
      <c r="BA180" s="220">
        <f t="shared" si="541"/>
        <v>20</v>
      </c>
      <c r="BB180" s="220">
        <f t="shared" si="542"/>
        <v>0</v>
      </c>
      <c r="BC180" s="220">
        <f t="shared" si="543"/>
        <v>0</v>
      </c>
      <c r="BD180" s="216">
        <f t="shared" si="375"/>
        <v>20</v>
      </c>
      <c r="BE180" s="220">
        <f t="shared" si="533"/>
        <v>0</v>
      </c>
      <c r="BF180" s="220">
        <f t="shared" si="534"/>
        <v>0</v>
      </c>
      <c r="BG180" s="220">
        <f t="shared" si="535"/>
        <v>0</v>
      </c>
      <c r="BH180" s="220">
        <f t="shared" si="536"/>
        <v>0</v>
      </c>
      <c r="BI180" s="220">
        <f t="shared" si="537"/>
        <v>0</v>
      </c>
      <c r="BJ180" s="220" t="s">
        <v>1806</v>
      </c>
      <c r="BK180" s="220"/>
      <c r="BL180" s="223">
        <f t="shared" si="412"/>
        <v>41.129999999999995</v>
      </c>
      <c r="BM180" s="220">
        <v>3.99</v>
      </c>
      <c r="BN180" s="220"/>
      <c r="BO180" s="220">
        <f>ROUND(BM180+(BM180*BN180),2)</f>
        <v>3.99</v>
      </c>
      <c r="BP180" s="220">
        <f>IF(AND(BL180&gt;0,BL180&lt;tiet!$D$1),BL180,IF(BL180&lt;=0,0,IF(BL180&gt;tiet!$C$1,tiet!$C$1)))</f>
        <v>41.129999999999995</v>
      </c>
      <c r="BQ180" s="87">
        <f>VLOOKUP(P180,ma_dinhmuc_moi,4,0)</f>
        <v>65000</v>
      </c>
      <c r="BR180" s="224">
        <f>ROUND(BQ180*BP180,0)</f>
        <v>2673450</v>
      </c>
      <c r="BS180" s="220">
        <f t="shared" si="434"/>
        <v>0</v>
      </c>
      <c r="BT180" s="224">
        <f>VLOOKUP(N180,ma_dinhmuc!$A$1:$J$31,10,0)</f>
        <v>51000</v>
      </c>
      <c r="BU180" s="224">
        <f>ROUND(IF(BS180&gt;0,VLOOKUP(N180,ma_dinhmuc!$A$1:$J$31,10,0)*BS180,0),0)</f>
        <v>0</v>
      </c>
      <c r="BV180" s="224">
        <f>ROUND(BU180+BR180,0)</f>
        <v>2673450</v>
      </c>
      <c r="BW180" s="224"/>
      <c r="BX180" s="224">
        <v>0</v>
      </c>
      <c r="BY180" s="224"/>
      <c r="BZ180" s="224"/>
      <c r="CA180" s="224"/>
      <c r="CB180" s="224"/>
      <c r="CC180" s="225">
        <f>ROUND(IF(BV180+BW180&gt;BX180+BY180+BZ180+CA180+CB180,(BW180+BV180)-(BX180+BY180+BZ180+CA180+CB180+CB180),0),0)</f>
        <v>2673450</v>
      </c>
      <c r="CD180" s="224">
        <f>ROUND(IF(BV180+BW180&lt;BX180+BY180+BZ180+CA180-CB180,(BX180+BY180+BZ180+CA180-CB180)-(BW180+BV180),0),0)</f>
        <v>0</v>
      </c>
      <c r="CE180" s="224"/>
      <c r="CF180" s="226"/>
      <c r="CG180" s="87"/>
      <c r="CH180" s="87">
        <f t="shared" si="554"/>
        <v>38</v>
      </c>
      <c r="CI180" s="227" t="str">
        <f>F180</f>
        <v>Phan Văn</v>
      </c>
      <c r="CJ180" s="227" t="str">
        <f>G180</f>
        <v>Khuê</v>
      </c>
      <c r="CK180" s="87">
        <f>H180</f>
        <v>3</v>
      </c>
      <c r="CL180" s="227" t="str">
        <f t="shared" si="523"/>
        <v>Trắc địa bản đồ</v>
      </c>
      <c r="CM180" s="87" t="str">
        <f t="shared" si="538"/>
        <v>CS2</v>
      </c>
      <c r="CN180" s="87">
        <f>Q180</f>
        <v>270</v>
      </c>
      <c r="CO180" s="87">
        <f>R180</f>
        <v>120</v>
      </c>
      <c r="CP180" s="229">
        <f t="shared" si="444"/>
        <v>0</v>
      </c>
      <c r="CQ180" s="229">
        <f t="shared" si="445"/>
        <v>22.5</v>
      </c>
      <c r="CR180" s="229">
        <f t="shared" si="446"/>
        <v>8</v>
      </c>
      <c r="CS180" s="229">
        <f t="shared" si="447"/>
        <v>21.6</v>
      </c>
      <c r="CT180" s="229">
        <f t="shared" si="448"/>
        <v>0</v>
      </c>
      <c r="CU180" s="229">
        <f t="shared" si="449"/>
        <v>62.1</v>
      </c>
      <c r="CV180" s="229">
        <f t="shared" si="450"/>
        <v>0</v>
      </c>
      <c r="CW180" s="229">
        <f t="shared" si="451"/>
        <v>126</v>
      </c>
      <c r="CX180" s="229">
        <f t="shared" si="452"/>
        <v>0</v>
      </c>
      <c r="CY180" s="229">
        <f t="shared" si="453"/>
        <v>0</v>
      </c>
      <c r="CZ180" s="229">
        <f t="shared" si="454"/>
        <v>0</v>
      </c>
      <c r="DA180" s="229">
        <f t="shared" si="455"/>
        <v>20</v>
      </c>
      <c r="DB180" s="228">
        <f t="shared" si="423"/>
        <v>260.2</v>
      </c>
      <c r="DC180" s="229"/>
      <c r="DD180" s="229"/>
      <c r="DE180" s="229"/>
      <c r="DF180" s="229"/>
      <c r="DG180" s="229"/>
      <c r="DH180" s="229"/>
      <c r="DI180" s="229"/>
      <c r="DJ180" s="229"/>
      <c r="DK180" s="229"/>
      <c r="DL180" s="229"/>
      <c r="DM180" s="229"/>
      <c r="DN180" s="229"/>
      <c r="DO180" s="228">
        <f t="shared" si="436"/>
        <v>0</v>
      </c>
      <c r="DP180" s="228">
        <f t="shared" si="437"/>
        <v>260.2</v>
      </c>
      <c r="DQ180" s="229">
        <f t="shared" si="456"/>
        <v>153</v>
      </c>
      <c r="DR180" s="229">
        <f t="shared" si="457"/>
        <v>6.8</v>
      </c>
      <c r="DS180" s="229">
        <f t="shared" si="458"/>
        <v>0</v>
      </c>
      <c r="DT180" s="229">
        <f t="shared" si="459"/>
        <v>2.8</v>
      </c>
      <c r="DU180" s="229">
        <f t="shared" si="460"/>
        <v>0</v>
      </c>
      <c r="DV180" s="229">
        <f t="shared" si="461"/>
        <v>0</v>
      </c>
      <c r="DW180" s="229">
        <f t="shared" si="462"/>
        <v>0</v>
      </c>
      <c r="DX180" s="228">
        <f t="shared" si="424"/>
        <v>162.60000000000002</v>
      </c>
      <c r="DY180" s="229"/>
      <c r="DZ180" s="229"/>
      <c r="EA180" s="229"/>
      <c r="EB180" s="229"/>
      <c r="EC180" s="229"/>
      <c r="ED180" s="229"/>
      <c r="EE180" s="229"/>
      <c r="EF180" s="228">
        <f t="shared" si="438"/>
        <v>0</v>
      </c>
      <c r="EG180" s="228">
        <f t="shared" si="439"/>
        <v>162.60000000000002</v>
      </c>
      <c r="EH180" s="229">
        <f t="shared" si="440"/>
        <v>0</v>
      </c>
      <c r="EI180" s="229">
        <v>28.33</v>
      </c>
      <c r="EJ180" s="228">
        <f>SUM(EH180:EI180)</f>
        <v>28.33</v>
      </c>
      <c r="EK180" s="229"/>
      <c r="EL180" s="229"/>
      <c r="EM180" s="228">
        <f t="shared" si="525"/>
        <v>0</v>
      </c>
      <c r="EN180" s="229">
        <f t="shared" si="413"/>
        <v>0</v>
      </c>
      <c r="EO180" s="229">
        <f t="shared" si="388"/>
        <v>28.33</v>
      </c>
      <c r="EP180" s="228">
        <f t="shared" ref="EP180:EP187" si="559">EM180+EJ180</f>
        <v>28.33</v>
      </c>
      <c r="EQ180" s="173">
        <f t="shared" si="441"/>
        <v>0</v>
      </c>
      <c r="ER180" s="189">
        <v>0</v>
      </c>
      <c r="ES180" s="189">
        <v>22.5</v>
      </c>
      <c r="ET180" s="189">
        <v>8</v>
      </c>
      <c r="EU180" s="189">
        <v>21.6</v>
      </c>
      <c r="EV180" s="189">
        <v>0</v>
      </c>
      <c r="EW180" s="189">
        <v>62.1</v>
      </c>
      <c r="EX180" s="189">
        <v>0</v>
      </c>
      <c r="EY180" s="189">
        <v>126</v>
      </c>
      <c r="EZ180" s="189">
        <v>0</v>
      </c>
      <c r="FA180" s="189">
        <v>0</v>
      </c>
      <c r="FB180" s="189">
        <v>0</v>
      </c>
      <c r="FC180" s="189">
        <v>20</v>
      </c>
      <c r="FD180" s="189">
        <v>153</v>
      </c>
      <c r="FE180" s="189">
        <v>6.8</v>
      </c>
      <c r="FF180" s="189">
        <v>0</v>
      </c>
      <c r="FG180" s="189">
        <v>2.8</v>
      </c>
      <c r="FH180" s="189">
        <v>0</v>
      </c>
      <c r="FI180" s="189">
        <v>0</v>
      </c>
      <c r="FJ180" s="189">
        <v>0</v>
      </c>
      <c r="FK180" s="189">
        <v>422.8</v>
      </c>
      <c r="FL180" s="189">
        <v>298.60000000000002</v>
      </c>
      <c r="FN180" s="132">
        <v>0</v>
      </c>
    </row>
    <row r="181" spans="1:170" ht="45">
      <c r="A181" s="88">
        <f>COUNTIF($H$12:H181,H181)</f>
        <v>39</v>
      </c>
      <c r="B181" s="88" t="s">
        <v>87</v>
      </c>
      <c r="C181" s="88" t="s">
        <v>2490</v>
      </c>
      <c r="D181" s="88"/>
      <c r="E181" s="88"/>
      <c r="F181" s="301" t="s">
        <v>2364</v>
      </c>
      <c r="G181" s="89" t="s">
        <v>13</v>
      </c>
      <c r="H181" s="88">
        <v>3</v>
      </c>
      <c r="I181" s="88">
        <v>3</v>
      </c>
      <c r="J181" s="88">
        <v>3</v>
      </c>
      <c r="K181" s="90" t="s">
        <v>2953</v>
      </c>
      <c r="L181" s="90" t="s">
        <v>2953</v>
      </c>
      <c r="M181" s="214"/>
      <c r="N181" s="88" t="s">
        <v>605</v>
      </c>
      <c r="O181" s="216">
        <f t="shared" si="516"/>
        <v>6.2</v>
      </c>
      <c r="P181" s="88" t="str">
        <f t="shared" si="468"/>
        <v>B1_6</v>
      </c>
      <c r="Q181" s="88">
        <f t="shared" si="527"/>
        <v>270</v>
      </c>
      <c r="R181" s="88">
        <f t="shared" si="528"/>
        <v>170</v>
      </c>
      <c r="S181" s="218" t="s">
        <v>159</v>
      </c>
      <c r="T181" s="219" t="s">
        <v>3092</v>
      </c>
      <c r="U181" s="88">
        <f>IF(RIGHT(T181,1)="K",(VLOOKUP(T181,ma_miengiam!$A$3:$B$80,2,0)*100)/2,VLOOKUP(T181,ma_miengiam!$A$3:$B$80,2,0)*100)</f>
        <v>25</v>
      </c>
      <c r="V181" s="88"/>
      <c r="W181" s="220">
        <f>IF(AND(T181="NTS",V181&gt;0),(Q181-(Q181*V181)/12)*VLOOKUP(T181,ma_miengiam!$A$3:$B$80,2,0)+(Q181-(Q181*(12-V181))/12),IF(AND(RIGHT(T181,1)="K",V181&gt;0),(VLOOKUP(T181,ma_miengiam!$A$3:$B$80,2,0)/2)*(Q181*V181)/12,IF(RIGHT(T181,1)="K",(VLOOKUP(T181,ma_miengiam!$A$3:$B$80,2,0)*Q181)/2,IF(V181&gt;0,VLOOKUP(T181,ma_miengiam!$A$3:$B$80,2,0)*Q181*V181/12,VLOOKUP(T181,ma_miengiam!$A$3:$B$80,2,0)*Q181))))</f>
        <v>67.5</v>
      </c>
      <c r="X181" s="220">
        <f>IF(T181="NTS",VLOOKUP(T181,ma_miengiam!$A$3:$B$80,2,0)*R181*V181,IF(AND(T181="NTS",V181=0),0,IF(AND(LEFT(T181,1)="K",V181=0),VLOOKUP(T181,ma_miengiam!$A$3:$B$80,2,0)*R181,IF(LEFT(T181,1)="K",(VLOOKUP(T181,ma_miengiam!$A$3:$B$80,2,0)*R181/12)*V181,IF(AND(LEFT(T181,1)="S",V181&gt;0),(R181/12)*V181,IF(AND(LEFT(T181,1)="S",V181=0),R181,IF(T181="DH",VLOOKUP(T181,ma_miengiam!$A$3:$B$80,2,0)*R181,0)))))))</f>
        <v>0</v>
      </c>
      <c r="Y181" s="220">
        <f t="shared" si="503"/>
        <v>202.5</v>
      </c>
      <c r="Z181" s="220">
        <f t="shared" si="504"/>
        <v>170</v>
      </c>
      <c r="AA181" s="220">
        <f t="shared" si="558"/>
        <v>270</v>
      </c>
      <c r="AB181" s="220">
        <f t="shared" si="558"/>
        <v>170</v>
      </c>
      <c r="AC181" s="220">
        <f t="shared" ref="AC181:AF182" si="560">W181</f>
        <v>67.5</v>
      </c>
      <c r="AD181" s="220">
        <f t="shared" si="560"/>
        <v>0</v>
      </c>
      <c r="AE181" s="220">
        <f t="shared" si="560"/>
        <v>202.5</v>
      </c>
      <c r="AF181" s="220">
        <f t="shared" si="560"/>
        <v>170</v>
      </c>
      <c r="AG181" s="220">
        <f t="shared" si="549"/>
        <v>257.3</v>
      </c>
      <c r="AH181" s="220">
        <f t="shared" si="550"/>
        <v>82.3</v>
      </c>
      <c r="AI181" s="220">
        <f t="shared" si="551"/>
        <v>175</v>
      </c>
      <c r="AJ181" s="220">
        <f t="shared" si="513"/>
        <v>0</v>
      </c>
      <c r="AK181" s="216">
        <f t="shared" si="410"/>
        <v>202.5</v>
      </c>
      <c r="AL181" s="220">
        <f t="shared" si="425"/>
        <v>167.3</v>
      </c>
      <c r="AM181" s="220">
        <f t="shared" si="426"/>
        <v>322.10000000000002</v>
      </c>
      <c r="AN181" s="221">
        <f t="shared" si="427"/>
        <v>489.40000000000003</v>
      </c>
      <c r="AO181" s="220">
        <f t="shared" si="428"/>
        <v>0</v>
      </c>
      <c r="AP181" s="220">
        <f t="shared" si="429"/>
        <v>0</v>
      </c>
      <c r="AQ181" s="220">
        <f t="shared" si="430"/>
        <v>40</v>
      </c>
      <c r="AR181" s="220">
        <f t="shared" si="431"/>
        <v>160</v>
      </c>
      <c r="AS181" s="220">
        <f t="shared" si="432"/>
        <v>20</v>
      </c>
      <c r="AT181" s="216">
        <f t="shared" si="433"/>
        <v>709.40000000000009</v>
      </c>
      <c r="AU181" s="222">
        <f t="shared" si="395"/>
        <v>286.90000000000003</v>
      </c>
      <c r="AV181" s="220"/>
      <c r="AW181" s="220">
        <f t="shared" si="532"/>
        <v>286.90000000000003</v>
      </c>
      <c r="AX181" s="216">
        <f t="shared" si="411"/>
        <v>0</v>
      </c>
      <c r="AY181" s="220">
        <f t="shared" si="539"/>
        <v>0</v>
      </c>
      <c r="AZ181" s="220">
        <f t="shared" si="540"/>
        <v>0</v>
      </c>
      <c r="BA181" s="220">
        <f t="shared" si="541"/>
        <v>40</v>
      </c>
      <c r="BB181" s="220">
        <f t="shared" si="542"/>
        <v>160</v>
      </c>
      <c r="BC181" s="220">
        <f t="shared" si="543"/>
        <v>20</v>
      </c>
      <c r="BD181" s="216">
        <f t="shared" si="375"/>
        <v>220</v>
      </c>
      <c r="BE181" s="220">
        <f t="shared" si="533"/>
        <v>0</v>
      </c>
      <c r="BF181" s="220">
        <f t="shared" si="534"/>
        <v>0</v>
      </c>
      <c r="BG181" s="220">
        <f t="shared" si="535"/>
        <v>0</v>
      </c>
      <c r="BH181" s="220">
        <f t="shared" si="536"/>
        <v>0</v>
      </c>
      <c r="BI181" s="220">
        <f t="shared" si="537"/>
        <v>0</v>
      </c>
      <c r="BJ181" s="220" t="s">
        <v>1806</v>
      </c>
      <c r="BK181" s="220"/>
      <c r="BL181" s="223">
        <f t="shared" si="412"/>
        <v>286.90000000000003</v>
      </c>
      <c r="BM181" s="220">
        <v>6.2</v>
      </c>
      <c r="BN181" s="220"/>
      <c r="BO181" s="220">
        <f t="shared" ref="BO181:BO190" si="561">ROUND(BM181+(BM181*BN181),2)</f>
        <v>6.2</v>
      </c>
      <c r="BP181" s="220">
        <f>IF(AND(BL181&gt;0,BL181&lt;tiet!$D$1),BL181,IF(BL181&lt;=0,0,IF(BL181&gt;tiet!$C$1,tiet!$C$1)))</f>
        <v>200</v>
      </c>
      <c r="BQ181" s="87">
        <f t="shared" si="509"/>
        <v>75000</v>
      </c>
      <c r="BR181" s="224">
        <f t="shared" si="510"/>
        <v>15000000</v>
      </c>
      <c r="BS181" s="220">
        <f t="shared" si="434"/>
        <v>86.900000000000034</v>
      </c>
      <c r="BT181" s="224">
        <f>VLOOKUP(N181,ma_dinhmuc!$A$1:$J$31,10,0)</f>
        <v>65000</v>
      </c>
      <c r="BU181" s="224">
        <f>ROUND(IF(BS181&gt;0,VLOOKUP(N181,ma_dinhmuc!$A$1:$J$31,10,0)*BS181,0),0)</f>
        <v>5648500</v>
      </c>
      <c r="BV181" s="224">
        <f t="shared" si="511"/>
        <v>20648500</v>
      </c>
      <c r="BW181" s="224"/>
      <c r="BX181" s="224">
        <v>0</v>
      </c>
      <c r="BY181" s="224"/>
      <c r="BZ181" s="224"/>
      <c r="CA181" s="224"/>
      <c r="CB181" s="224"/>
      <c r="CC181" s="225">
        <f t="shared" si="544"/>
        <v>20648500</v>
      </c>
      <c r="CD181" s="224">
        <f t="shared" si="545"/>
        <v>0</v>
      </c>
      <c r="CE181" s="224"/>
      <c r="CF181" s="226"/>
      <c r="CG181" s="87"/>
      <c r="CH181" s="87">
        <f t="shared" si="554"/>
        <v>39</v>
      </c>
      <c r="CI181" s="227" t="str">
        <f t="shared" si="555"/>
        <v>Trần Trọng</v>
      </c>
      <c r="CJ181" s="227" t="str">
        <f t="shared" si="556"/>
        <v>Phương</v>
      </c>
      <c r="CK181" s="87">
        <f t="shared" si="557"/>
        <v>3</v>
      </c>
      <c r="CL181" s="227" t="str">
        <f t="shared" ref="CL181:CL191" si="562">L181</f>
        <v>Trắc địa bản đồ</v>
      </c>
      <c r="CM181" s="87" t="str">
        <f t="shared" si="538"/>
        <v>CS4</v>
      </c>
      <c r="CN181" s="87">
        <f t="shared" si="552"/>
        <v>270</v>
      </c>
      <c r="CO181" s="87">
        <f t="shared" si="553"/>
        <v>170</v>
      </c>
      <c r="CP181" s="229">
        <f t="shared" si="444"/>
        <v>0</v>
      </c>
      <c r="CQ181" s="229">
        <f t="shared" si="445"/>
        <v>21.9</v>
      </c>
      <c r="CR181" s="229">
        <f t="shared" si="446"/>
        <v>8.8000000000000007</v>
      </c>
      <c r="CS181" s="229">
        <f t="shared" si="447"/>
        <v>21.6</v>
      </c>
      <c r="CT181" s="229">
        <f t="shared" si="448"/>
        <v>0</v>
      </c>
      <c r="CU181" s="229">
        <f t="shared" si="449"/>
        <v>55</v>
      </c>
      <c r="CV181" s="229">
        <f t="shared" si="450"/>
        <v>0</v>
      </c>
      <c r="CW181" s="229">
        <f t="shared" si="451"/>
        <v>60</v>
      </c>
      <c r="CX181" s="229">
        <f t="shared" si="452"/>
        <v>0</v>
      </c>
      <c r="CY181" s="229">
        <f t="shared" si="453"/>
        <v>0</v>
      </c>
      <c r="CZ181" s="229">
        <f t="shared" si="454"/>
        <v>0</v>
      </c>
      <c r="DA181" s="229">
        <f t="shared" si="455"/>
        <v>40</v>
      </c>
      <c r="DB181" s="228">
        <f t="shared" si="423"/>
        <v>207.3</v>
      </c>
      <c r="DC181" s="229"/>
      <c r="DD181" s="229"/>
      <c r="DE181" s="229"/>
      <c r="DF181" s="229"/>
      <c r="DG181" s="229"/>
      <c r="DH181" s="229"/>
      <c r="DI181" s="229"/>
      <c r="DJ181" s="229"/>
      <c r="DK181" s="229"/>
      <c r="DL181" s="229"/>
      <c r="DM181" s="229"/>
      <c r="DN181" s="229"/>
      <c r="DO181" s="228">
        <f t="shared" si="436"/>
        <v>0</v>
      </c>
      <c r="DP181" s="228">
        <f t="shared" si="437"/>
        <v>207.3</v>
      </c>
      <c r="DQ181" s="229">
        <f t="shared" si="456"/>
        <v>306</v>
      </c>
      <c r="DR181" s="229">
        <f t="shared" si="457"/>
        <v>11.5</v>
      </c>
      <c r="DS181" s="229">
        <f t="shared" si="458"/>
        <v>0</v>
      </c>
      <c r="DT181" s="229">
        <f t="shared" si="459"/>
        <v>4.5999999999999996</v>
      </c>
      <c r="DU181" s="229">
        <f t="shared" si="460"/>
        <v>0</v>
      </c>
      <c r="DV181" s="229">
        <f t="shared" si="461"/>
        <v>160</v>
      </c>
      <c r="DW181" s="229">
        <f t="shared" si="462"/>
        <v>20</v>
      </c>
      <c r="DX181" s="228">
        <f t="shared" si="424"/>
        <v>502.1</v>
      </c>
      <c r="DY181" s="229"/>
      <c r="DZ181" s="229"/>
      <c r="EA181" s="229"/>
      <c r="EB181" s="229"/>
      <c r="EC181" s="229"/>
      <c r="ED181" s="229"/>
      <c r="EE181" s="229"/>
      <c r="EF181" s="228">
        <f t="shared" si="438"/>
        <v>0</v>
      </c>
      <c r="EG181" s="228">
        <f t="shared" si="439"/>
        <v>502.1</v>
      </c>
      <c r="EH181" s="229">
        <f t="shared" si="440"/>
        <v>175</v>
      </c>
      <c r="EI181" s="229">
        <v>82.3</v>
      </c>
      <c r="EJ181" s="228">
        <f t="shared" si="517"/>
        <v>257.3</v>
      </c>
      <c r="EK181" s="229"/>
      <c r="EL181" s="229"/>
      <c r="EM181" s="228">
        <f t="shared" ref="EM181:EM191" si="563">SUM(EK181:EL181)</f>
        <v>0</v>
      </c>
      <c r="EN181" s="229">
        <f t="shared" si="413"/>
        <v>175</v>
      </c>
      <c r="EO181" s="229">
        <f t="shared" si="388"/>
        <v>82.3</v>
      </c>
      <c r="EP181" s="228">
        <f t="shared" si="559"/>
        <v>257.3</v>
      </c>
      <c r="EQ181" s="173">
        <f t="shared" si="441"/>
        <v>5</v>
      </c>
      <c r="ER181" s="189">
        <v>0</v>
      </c>
      <c r="ES181" s="189">
        <v>21.9</v>
      </c>
      <c r="ET181" s="189">
        <v>8.8000000000000007</v>
      </c>
      <c r="EU181" s="189">
        <v>21.6</v>
      </c>
      <c r="EV181" s="189">
        <v>0</v>
      </c>
      <c r="EW181" s="189">
        <v>55</v>
      </c>
      <c r="EX181" s="189">
        <v>0</v>
      </c>
      <c r="EY181" s="189">
        <v>60</v>
      </c>
      <c r="EZ181" s="189">
        <v>0</v>
      </c>
      <c r="FA181" s="189">
        <v>0</v>
      </c>
      <c r="FB181" s="189">
        <v>0</v>
      </c>
      <c r="FC181" s="189">
        <v>40</v>
      </c>
      <c r="FD181" s="189">
        <v>306</v>
      </c>
      <c r="FE181" s="189">
        <v>11.5</v>
      </c>
      <c r="FF181" s="189">
        <v>0</v>
      </c>
      <c r="FG181" s="189">
        <v>4.5999999999999996</v>
      </c>
      <c r="FH181" s="189">
        <v>160</v>
      </c>
      <c r="FI181" s="189">
        <v>0</v>
      </c>
      <c r="FJ181" s="189">
        <v>20</v>
      </c>
      <c r="FK181" s="189">
        <v>709.4</v>
      </c>
      <c r="FL181" s="189">
        <v>519.6</v>
      </c>
      <c r="FN181" s="132">
        <v>175</v>
      </c>
    </row>
    <row r="182" spans="1:170" ht="30" customHeight="1">
      <c r="A182" s="88">
        <f>COUNTIF($H$12:H182,H182)</f>
        <v>40</v>
      </c>
      <c r="B182" s="88" t="s">
        <v>88</v>
      </c>
      <c r="C182" s="88" t="s">
        <v>2491</v>
      </c>
      <c r="D182" s="88"/>
      <c r="E182" s="88"/>
      <c r="F182" s="301" t="s">
        <v>1162</v>
      </c>
      <c r="G182" s="89" t="s">
        <v>33</v>
      </c>
      <c r="H182" s="88">
        <v>3</v>
      </c>
      <c r="I182" s="88">
        <v>3</v>
      </c>
      <c r="J182" s="88">
        <v>3</v>
      </c>
      <c r="K182" s="90" t="s">
        <v>2953</v>
      </c>
      <c r="L182" s="90" t="s">
        <v>2953</v>
      </c>
      <c r="M182" s="214"/>
      <c r="N182" s="88" t="s">
        <v>1804</v>
      </c>
      <c r="O182" s="216">
        <f t="shared" si="516"/>
        <v>3</v>
      </c>
      <c r="P182" s="88" t="str">
        <f t="shared" si="468"/>
        <v>B1_3</v>
      </c>
      <c r="Q182" s="88">
        <f t="shared" si="527"/>
        <v>270</v>
      </c>
      <c r="R182" s="88">
        <f t="shared" si="528"/>
        <v>100</v>
      </c>
      <c r="S182" s="231" t="s">
        <v>2536</v>
      </c>
      <c r="T182" s="88" t="s">
        <v>3088</v>
      </c>
      <c r="U182" s="88">
        <f>IF(RIGHT(T182,1)="K",(VLOOKUP(T182,ma_miengiam!$A$3:$B$80,2,0)*100)/2,VLOOKUP(T182,ma_miengiam!$A$3:$B$80,2,0)*100)</f>
        <v>0</v>
      </c>
      <c r="V182" s="88"/>
      <c r="W182" s="220">
        <f>IF(AND(T182="NTS",V182&gt;0),(Q182-(Q182*V182)/12)*VLOOKUP(T182,ma_miengiam!$A$3:$B$80,2,0)+(Q182-(Q182*(12-V182))/12),IF(AND(RIGHT(T182,1)="K",V182&gt;0),(VLOOKUP(T182,ma_miengiam!$A$3:$B$80,2,0)/2)*(Q182*V182)/12,IF(RIGHT(T182,1)="K",(VLOOKUP(T182,ma_miengiam!$A$3:$B$80,2,0)*Q182)/2,IF(V182&gt;0,VLOOKUP(T182,ma_miengiam!$A$3:$B$80,2,0)*Q182*V182/12,VLOOKUP(T182,ma_miengiam!$A$3:$B$80,2,0)*Q182))))</f>
        <v>0</v>
      </c>
      <c r="X182" s="220">
        <f>IF(T182="NTS",VLOOKUP(T182,ma_miengiam!$A$3:$B$80,2,0)*R182*V182,IF(AND(T182="NTS",V182=0),0,IF(AND(LEFT(T182,1)="K",V182=0),VLOOKUP(T182,ma_miengiam!$A$3:$B$80,2,0)*R182,IF(LEFT(T182,1)="K",(VLOOKUP(T182,ma_miengiam!$A$3:$B$80,2,0)*R182/12)*V182,IF(AND(LEFT(T182,1)="S",V182&gt;0),(R182/12)*V182,IF(AND(LEFT(T182,1)="S",V182=0),R182,IF(T182="DH",VLOOKUP(T182,ma_miengiam!$A$3:$B$80,2,0)*R182,0)))))))</f>
        <v>0</v>
      </c>
      <c r="Y182" s="220">
        <f t="shared" si="503"/>
        <v>270</v>
      </c>
      <c r="Z182" s="220">
        <f t="shared" si="504"/>
        <v>100</v>
      </c>
      <c r="AA182" s="220">
        <f t="shared" si="558"/>
        <v>270</v>
      </c>
      <c r="AB182" s="220">
        <f t="shared" si="558"/>
        <v>100</v>
      </c>
      <c r="AC182" s="220">
        <f t="shared" si="560"/>
        <v>0</v>
      </c>
      <c r="AD182" s="220">
        <f t="shared" si="560"/>
        <v>0</v>
      </c>
      <c r="AE182" s="220">
        <f t="shared" si="560"/>
        <v>270</v>
      </c>
      <c r="AF182" s="220">
        <f t="shared" si="560"/>
        <v>100</v>
      </c>
      <c r="AG182" s="220">
        <f t="shared" si="549"/>
        <v>227.63</v>
      </c>
      <c r="AH182" s="220">
        <f t="shared" si="550"/>
        <v>227.63</v>
      </c>
      <c r="AI182" s="220">
        <f t="shared" si="551"/>
        <v>0</v>
      </c>
      <c r="AJ182" s="220">
        <f t="shared" si="513"/>
        <v>0</v>
      </c>
      <c r="AK182" s="216">
        <f t="shared" si="410"/>
        <v>270</v>
      </c>
      <c r="AL182" s="220">
        <f t="shared" si="425"/>
        <v>290.7</v>
      </c>
      <c r="AM182" s="220">
        <f t="shared" si="426"/>
        <v>0</v>
      </c>
      <c r="AN182" s="216">
        <f t="shared" si="427"/>
        <v>290.7</v>
      </c>
      <c r="AO182" s="220">
        <f t="shared" si="428"/>
        <v>0</v>
      </c>
      <c r="AP182" s="220">
        <f t="shared" si="429"/>
        <v>0</v>
      </c>
      <c r="AQ182" s="220">
        <f t="shared" si="430"/>
        <v>20</v>
      </c>
      <c r="AR182" s="220">
        <f t="shared" si="431"/>
        <v>0</v>
      </c>
      <c r="AS182" s="220">
        <f t="shared" si="432"/>
        <v>0</v>
      </c>
      <c r="AT182" s="216">
        <f t="shared" si="433"/>
        <v>310.7</v>
      </c>
      <c r="AU182" s="220">
        <f t="shared" si="395"/>
        <v>20.699999999999989</v>
      </c>
      <c r="AV182" s="220"/>
      <c r="AW182" s="220">
        <f t="shared" si="532"/>
        <v>20.699999999999989</v>
      </c>
      <c r="AX182" s="216">
        <f t="shared" si="411"/>
        <v>0</v>
      </c>
      <c r="AY182" s="220">
        <f t="shared" si="539"/>
        <v>0</v>
      </c>
      <c r="AZ182" s="220">
        <f t="shared" si="540"/>
        <v>0</v>
      </c>
      <c r="BA182" s="220">
        <f t="shared" si="541"/>
        <v>20</v>
      </c>
      <c r="BB182" s="220">
        <f t="shared" si="542"/>
        <v>0</v>
      </c>
      <c r="BC182" s="220">
        <f t="shared" si="543"/>
        <v>0</v>
      </c>
      <c r="BD182" s="216">
        <f t="shared" si="375"/>
        <v>20</v>
      </c>
      <c r="BE182" s="220">
        <f t="shared" si="533"/>
        <v>0</v>
      </c>
      <c r="BF182" s="220">
        <f t="shared" si="534"/>
        <v>0</v>
      </c>
      <c r="BG182" s="220">
        <f t="shared" si="535"/>
        <v>0</v>
      </c>
      <c r="BH182" s="220">
        <f t="shared" si="536"/>
        <v>0</v>
      </c>
      <c r="BI182" s="220">
        <f t="shared" si="537"/>
        <v>0</v>
      </c>
      <c r="BJ182" s="220" t="s">
        <v>1806</v>
      </c>
      <c r="BK182" s="220"/>
      <c r="BL182" s="223">
        <f t="shared" si="412"/>
        <v>20.699999999999989</v>
      </c>
      <c r="BM182" s="220">
        <v>3</v>
      </c>
      <c r="BN182" s="220"/>
      <c r="BO182" s="220">
        <f t="shared" si="561"/>
        <v>3</v>
      </c>
      <c r="BP182" s="220">
        <f>IF(AND(BL182&gt;0,BL182&lt;tiet!$D$1),BL182,IF(BL182&lt;=0,0,IF(BL182&gt;tiet!$C$1,tiet!$C$1)))</f>
        <v>20.699999999999989</v>
      </c>
      <c r="BQ182" s="87">
        <f t="shared" si="509"/>
        <v>60000</v>
      </c>
      <c r="BR182" s="224">
        <f t="shared" si="510"/>
        <v>1242000</v>
      </c>
      <c r="BS182" s="220">
        <f t="shared" si="434"/>
        <v>0</v>
      </c>
      <c r="BT182" s="224">
        <f>VLOOKUP(N182,ma_dinhmuc!$A$1:$J$31,10,0)</f>
        <v>51000</v>
      </c>
      <c r="BU182" s="224">
        <f>ROUND(IF(BS182&gt;0,VLOOKUP(N182,ma_dinhmuc!$A$1:$J$31,10,0)*BS182,0),0)</f>
        <v>0</v>
      </c>
      <c r="BV182" s="224">
        <f t="shared" si="511"/>
        <v>1242000</v>
      </c>
      <c r="BW182" s="224"/>
      <c r="BX182" s="224">
        <v>0</v>
      </c>
      <c r="BY182" s="224"/>
      <c r="BZ182" s="224"/>
      <c r="CA182" s="224"/>
      <c r="CB182" s="224"/>
      <c r="CC182" s="225">
        <f t="shared" si="544"/>
        <v>1242000</v>
      </c>
      <c r="CD182" s="224">
        <f t="shared" si="545"/>
        <v>0</v>
      </c>
      <c r="CE182" s="224"/>
      <c r="CF182" s="226"/>
      <c r="CG182" s="87"/>
      <c r="CH182" s="87">
        <f t="shared" si="554"/>
        <v>40</v>
      </c>
      <c r="CI182" s="227" t="str">
        <f t="shared" si="555"/>
        <v>Nguyễn Đức</v>
      </c>
      <c r="CJ182" s="227" t="str">
        <f t="shared" si="556"/>
        <v>Lộc</v>
      </c>
      <c r="CK182" s="87">
        <f t="shared" si="557"/>
        <v>3</v>
      </c>
      <c r="CL182" s="227" t="str">
        <f t="shared" si="562"/>
        <v>Trắc địa bản đồ</v>
      </c>
      <c r="CM182" s="87" t="str">
        <f t="shared" si="538"/>
        <v>CS2</v>
      </c>
      <c r="CN182" s="87">
        <f t="shared" si="552"/>
        <v>270</v>
      </c>
      <c r="CO182" s="87">
        <f t="shared" si="553"/>
        <v>100</v>
      </c>
      <c r="CP182" s="229">
        <f t="shared" si="444"/>
        <v>0</v>
      </c>
      <c r="CQ182" s="229">
        <f t="shared" si="445"/>
        <v>17.8</v>
      </c>
      <c r="CR182" s="229">
        <f t="shared" si="446"/>
        <v>4.2</v>
      </c>
      <c r="CS182" s="229">
        <f t="shared" si="447"/>
        <v>21.6</v>
      </c>
      <c r="CT182" s="229">
        <f t="shared" si="448"/>
        <v>0</v>
      </c>
      <c r="CU182" s="229">
        <f t="shared" si="449"/>
        <v>35.6</v>
      </c>
      <c r="CV182" s="229">
        <f t="shared" si="450"/>
        <v>0</v>
      </c>
      <c r="CW182" s="229">
        <f t="shared" si="451"/>
        <v>211.5</v>
      </c>
      <c r="CX182" s="229">
        <f t="shared" si="452"/>
        <v>0</v>
      </c>
      <c r="CY182" s="229">
        <f t="shared" si="453"/>
        <v>0</v>
      </c>
      <c r="CZ182" s="229">
        <f t="shared" si="454"/>
        <v>0</v>
      </c>
      <c r="DA182" s="229">
        <f t="shared" si="455"/>
        <v>20</v>
      </c>
      <c r="DB182" s="228">
        <f t="shared" si="423"/>
        <v>310.7</v>
      </c>
      <c r="DC182" s="229"/>
      <c r="DD182" s="229"/>
      <c r="DE182" s="229"/>
      <c r="DF182" s="229"/>
      <c r="DG182" s="229"/>
      <c r="DH182" s="229"/>
      <c r="DI182" s="229"/>
      <c r="DJ182" s="229"/>
      <c r="DK182" s="229"/>
      <c r="DL182" s="229"/>
      <c r="DM182" s="229"/>
      <c r="DN182" s="229"/>
      <c r="DO182" s="228">
        <f t="shared" si="436"/>
        <v>0</v>
      </c>
      <c r="DP182" s="228">
        <f t="shared" si="437"/>
        <v>310.7</v>
      </c>
      <c r="DQ182" s="229">
        <f t="shared" si="456"/>
        <v>0</v>
      </c>
      <c r="DR182" s="229">
        <f t="shared" si="457"/>
        <v>0</v>
      </c>
      <c r="DS182" s="229">
        <f t="shared" si="458"/>
        <v>0</v>
      </c>
      <c r="DT182" s="229">
        <f t="shared" si="459"/>
        <v>0</v>
      </c>
      <c r="DU182" s="229">
        <f t="shared" si="460"/>
        <v>0</v>
      </c>
      <c r="DV182" s="229">
        <f t="shared" si="461"/>
        <v>0</v>
      </c>
      <c r="DW182" s="229">
        <f t="shared" si="462"/>
        <v>0</v>
      </c>
      <c r="DX182" s="228">
        <f t="shared" si="424"/>
        <v>0</v>
      </c>
      <c r="DY182" s="229"/>
      <c r="DZ182" s="229"/>
      <c r="EA182" s="229"/>
      <c r="EB182" s="229"/>
      <c r="EC182" s="229"/>
      <c r="ED182" s="229"/>
      <c r="EE182" s="229"/>
      <c r="EF182" s="228">
        <f t="shared" si="438"/>
        <v>0</v>
      </c>
      <c r="EG182" s="228">
        <f t="shared" si="439"/>
        <v>0</v>
      </c>
      <c r="EH182" s="229">
        <f t="shared" si="440"/>
        <v>0</v>
      </c>
      <c r="EI182" s="229">
        <v>227.63</v>
      </c>
      <c r="EJ182" s="228">
        <f t="shared" si="517"/>
        <v>227.63</v>
      </c>
      <c r="EK182" s="229"/>
      <c r="EL182" s="229"/>
      <c r="EM182" s="228">
        <f t="shared" si="563"/>
        <v>0</v>
      </c>
      <c r="EN182" s="229">
        <f t="shared" si="413"/>
        <v>0</v>
      </c>
      <c r="EO182" s="229">
        <f t="shared" si="388"/>
        <v>227.63</v>
      </c>
      <c r="EP182" s="228">
        <f t="shared" si="559"/>
        <v>227.63</v>
      </c>
      <c r="EQ182" s="173">
        <f t="shared" si="441"/>
        <v>0</v>
      </c>
      <c r="ER182" s="189">
        <v>0</v>
      </c>
      <c r="ES182" s="189">
        <v>17.8</v>
      </c>
      <c r="ET182" s="189">
        <v>4.2</v>
      </c>
      <c r="EU182" s="189">
        <v>21.6</v>
      </c>
      <c r="EV182" s="189">
        <v>0</v>
      </c>
      <c r="EW182" s="189">
        <v>35.6</v>
      </c>
      <c r="EX182" s="189">
        <v>0</v>
      </c>
      <c r="EY182" s="189">
        <v>211.5</v>
      </c>
      <c r="EZ182" s="189">
        <v>0</v>
      </c>
      <c r="FA182" s="189">
        <v>0</v>
      </c>
      <c r="FB182" s="189">
        <v>0</v>
      </c>
      <c r="FC182" s="189">
        <v>20</v>
      </c>
      <c r="FD182" s="189">
        <v>0</v>
      </c>
      <c r="FE182" s="189">
        <v>0</v>
      </c>
      <c r="FF182" s="189">
        <v>0</v>
      </c>
      <c r="FG182" s="189">
        <v>0</v>
      </c>
      <c r="FH182" s="189">
        <v>0</v>
      </c>
      <c r="FI182" s="189">
        <v>0</v>
      </c>
      <c r="FJ182" s="189">
        <v>0</v>
      </c>
      <c r="FK182" s="189">
        <v>310.7</v>
      </c>
      <c r="FL182" s="189">
        <v>242.6</v>
      </c>
      <c r="FN182" s="132">
        <v>0</v>
      </c>
    </row>
    <row r="183" spans="1:170" ht="30" customHeight="1">
      <c r="A183" s="88">
        <f>COUNTIF($H$12:H183,H183)</f>
        <v>41</v>
      </c>
      <c r="B183" s="88" t="s">
        <v>89</v>
      </c>
      <c r="C183" s="88" t="s">
        <v>2492</v>
      </c>
      <c r="D183" s="88"/>
      <c r="E183" s="88"/>
      <c r="F183" s="301" t="s">
        <v>1162</v>
      </c>
      <c r="G183" s="89" t="s">
        <v>2365</v>
      </c>
      <c r="H183" s="88">
        <v>3</v>
      </c>
      <c r="I183" s="88"/>
      <c r="J183" s="88">
        <v>3</v>
      </c>
      <c r="K183" s="90"/>
      <c r="L183" s="90" t="s">
        <v>2952</v>
      </c>
      <c r="M183" s="214"/>
      <c r="N183" s="88" t="s">
        <v>1804</v>
      </c>
      <c r="O183" s="216">
        <f t="shared" si="516"/>
        <v>3</v>
      </c>
      <c r="P183" s="88" t="str">
        <f t="shared" si="468"/>
        <v>B1_3</v>
      </c>
      <c r="Q183" s="88">
        <f t="shared" si="527"/>
        <v>270</v>
      </c>
      <c r="R183" s="88">
        <f t="shared" si="528"/>
        <v>100</v>
      </c>
      <c r="S183" s="218" t="s">
        <v>1424</v>
      </c>
      <c r="T183" s="88" t="s">
        <v>3095</v>
      </c>
      <c r="U183" s="88">
        <f>IF(RIGHT(T183,1)="K",(VLOOKUP(T183,ma_miengiam!$A$3:$B$80,2,0)*100)/2,VLOOKUP(T183,ma_miengiam!$A$3:$B$80,2,0)*100)</f>
        <v>40</v>
      </c>
      <c r="V183" s="88">
        <v>3</v>
      </c>
      <c r="W183" s="220">
        <f>IF(AND(T183="NTS",V183&gt;0),(Q183-(Q183*V183)/12)*VLOOKUP(T183,ma_miengiam!$A$3:$B$80,2,0)+(Q183-(Q183*(12-V183))/12),IF(AND(RIGHT(T183,1)="K",V183&gt;0),(VLOOKUP(T183,ma_miengiam!$A$3:$B$80,2,0)/2)*(Q183*V183)/12,IF(RIGHT(T183,1)="K",(VLOOKUP(T183,ma_miengiam!$A$3:$B$80,2,0)*Q183)/2,IF(V183&gt;0,VLOOKUP(T183,ma_miengiam!$A$3:$B$80,2,0)*Q183*V183/12,VLOOKUP(T183,ma_miengiam!$A$3:$B$80,2,0)*Q183))))</f>
        <v>27</v>
      </c>
      <c r="X183" s="220">
        <f>IF(T183="NTS",VLOOKUP(T183,ma_miengiam!$A$3:$B$80,2,0)*R183*V183,IF(AND(T183="NTS",V183=0),0,IF(AND(LEFT(T183,1)="K",V183=0),VLOOKUP(T183,ma_miengiam!$A$3:$B$80,2,0)*R183,IF(LEFT(T183,1)="K",(VLOOKUP(T183,ma_miengiam!$A$3:$B$80,2,0)*R183/12)*V183,IF(AND(LEFT(T183,1)="S",V183&gt;0),(R183/12)*V183,IF(AND(LEFT(T183,1)="S",V183=0),R183,IF(T183="DH",VLOOKUP(T183,ma_miengiam!$A$3:$B$80,2,0)*R183,0)))))))</f>
        <v>0</v>
      </c>
      <c r="Y183" s="220">
        <f t="shared" si="503"/>
        <v>40.5</v>
      </c>
      <c r="Z183" s="220">
        <f t="shared" si="504"/>
        <v>25</v>
      </c>
      <c r="AA183" s="220"/>
      <c r="AB183" s="220"/>
      <c r="AC183" s="220"/>
      <c r="AD183" s="220"/>
      <c r="AE183" s="220"/>
      <c r="AF183" s="220"/>
      <c r="AG183" s="220"/>
      <c r="AH183" s="220"/>
      <c r="AI183" s="220"/>
      <c r="AJ183" s="220"/>
      <c r="AK183" s="216"/>
      <c r="AL183" s="220"/>
      <c r="AM183" s="220"/>
      <c r="AN183" s="221"/>
      <c r="AO183" s="220"/>
      <c r="AP183" s="220"/>
      <c r="AQ183" s="220"/>
      <c r="AR183" s="220"/>
      <c r="AS183" s="220"/>
      <c r="AT183" s="216"/>
      <c r="AU183" s="222"/>
      <c r="AV183" s="220"/>
      <c r="AW183" s="220"/>
      <c r="AX183" s="216"/>
      <c r="AY183" s="220"/>
      <c r="AZ183" s="220"/>
      <c r="BA183" s="220"/>
      <c r="BB183" s="220"/>
      <c r="BC183" s="220"/>
      <c r="BD183" s="216"/>
      <c r="BE183" s="220"/>
      <c r="BF183" s="220"/>
      <c r="BG183" s="220"/>
      <c r="BH183" s="220"/>
      <c r="BI183" s="220"/>
      <c r="BJ183" s="220" t="s">
        <v>1117</v>
      </c>
      <c r="BK183" s="220"/>
      <c r="BL183" s="223">
        <f t="shared" si="412"/>
        <v>0</v>
      </c>
      <c r="BM183" s="220">
        <v>3</v>
      </c>
      <c r="BN183" s="220"/>
      <c r="BO183" s="220">
        <f t="shared" si="561"/>
        <v>3</v>
      </c>
      <c r="BP183" s="220">
        <f>IF(AND(BL183&gt;0,BL183&lt;tiet!$D$1),BL183,IF(BL183&lt;=0,0,IF(BL183&gt;tiet!$C$1,tiet!$C$1)))</f>
        <v>0</v>
      </c>
      <c r="BQ183" s="87">
        <f t="shared" si="509"/>
        <v>60000</v>
      </c>
      <c r="BR183" s="224">
        <f t="shared" si="510"/>
        <v>0</v>
      </c>
      <c r="BS183" s="220">
        <f t="shared" si="434"/>
        <v>0</v>
      </c>
      <c r="BT183" s="224">
        <f>VLOOKUP(N183,ma_dinhmuc!$A$1:$J$31,10,0)</f>
        <v>51000</v>
      </c>
      <c r="BU183" s="224">
        <f>ROUND(IF(BS183&gt;0,VLOOKUP(N183,ma_dinhmuc!$A$1:$J$31,10,0)*BS183,0),0)</f>
        <v>0</v>
      </c>
      <c r="BV183" s="224">
        <f t="shared" si="511"/>
        <v>0</v>
      </c>
      <c r="BW183" s="224"/>
      <c r="BX183" s="224">
        <v>0</v>
      </c>
      <c r="BY183" s="224"/>
      <c r="BZ183" s="224"/>
      <c r="CA183" s="224"/>
      <c r="CB183" s="224"/>
      <c r="CC183" s="225">
        <f t="shared" si="544"/>
        <v>0</v>
      </c>
      <c r="CD183" s="224">
        <f t="shared" si="545"/>
        <v>0</v>
      </c>
      <c r="CE183" s="224"/>
      <c r="CF183" s="226"/>
      <c r="CG183" s="87"/>
      <c r="CH183" s="87">
        <f t="shared" si="554"/>
        <v>41</v>
      </c>
      <c r="CI183" s="227" t="str">
        <f t="shared" ref="CI183:CJ187" si="564">F183</f>
        <v>Nguyễn Đức</v>
      </c>
      <c r="CJ183" s="227" t="str">
        <f t="shared" si="564"/>
        <v>Thuận</v>
      </c>
      <c r="CK183" s="87">
        <f>H183</f>
        <v>3</v>
      </c>
      <c r="CL183" s="227" t="str">
        <f t="shared" si="562"/>
        <v>Hệ thống thông tin đất đai</v>
      </c>
      <c r="CM183" s="87" t="str">
        <f t="shared" si="538"/>
        <v>CS2</v>
      </c>
      <c r="CN183" s="87">
        <f t="shared" ref="CN183:CO187" si="565">Q183</f>
        <v>270</v>
      </c>
      <c r="CO183" s="87">
        <f t="shared" si="565"/>
        <v>100</v>
      </c>
      <c r="CP183" s="229">
        <f t="shared" si="444"/>
        <v>0</v>
      </c>
      <c r="CQ183" s="229">
        <f t="shared" si="445"/>
        <v>0</v>
      </c>
      <c r="CR183" s="229">
        <f t="shared" si="446"/>
        <v>0</v>
      </c>
      <c r="CS183" s="229">
        <f t="shared" si="447"/>
        <v>0</v>
      </c>
      <c r="CT183" s="229">
        <f t="shared" si="448"/>
        <v>0</v>
      </c>
      <c r="CU183" s="229">
        <f t="shared" si="449"/>
        <v>0</v>
      </c>
      <c r="CV183" s="229">
        <f t="shared" si="450"/>
        <v>0</v>
      </c>
      <c r="CW183" s="229">
        <f t="shared" si="451"/>
        <v>0</v>
      </c>
      <c r="CX183" s="229">
        <f t="shared" si="452"/>
        <v>0</v>
      </c>
      <c r="CY183" s="229">
        <f t="shared" si="453"/>
        <v>0</v>
      </c>
      <c r="CZ183" s="229">
        <f t="shared" si="454"/>
        <v>0</v>
      </c>
      <c r="DA183" s="229">
        <f t="shared" si="455"/>
        <v>0</v>
      </c>
      <c r="DB183" s="228">
        <f t="shared" si="423"/>
        <v>0</v>
      </c>
      <c r="DC183" s="229"/>
      <c r="DD183" s="229"/>
      <c r="DE183" s="229"/>
      <c r="DF183" s="229"/>
      <c r="DG183" s="229"/>
      <c r="DH183" s="229"/>
      <c r="DI183" s="229"/>
      <c r="DJ183" s="229"/>
      <c r="DK183" s="229"/>
      <c r="DL183" s="229"/>
      <c r="DM183" s="229"/>
      <c r="DN183" s="229"/>
      <c r="DO183" s="228">
        <f t="shared" si="436"/>
        <v>0</v>
      </c>
      <c r="DP183" s="228">
        <f t="shared" si="437"/>
        <v>0</v>
      </c>
      <c r="DQ183" s="229">
        <f t="shared" si="456"/>
        <v>0</v>
      </c>
      <c r="DR183" s="229">
        <f t="shared" si="457"/>
        <v>0</v>
      </c>
      <c r="DS183" s="229">
        <f t="shared" si="458"/>
        <v>0</v>
      </c>
      <c r="DT183" s="229">
        <f t="shared" si="459"/>
        <v>0</v>
      </c>
      <c r="DU183" s="229">
        <f t="shared" si="460"/>
        <v>0</v>
      </c>
      <c r="DV183" s="229">
        <f t="shared" si="461"/>
        <v>0</v>
      </c>
      <c r="DW183" s="229">
        <f t="shared" si="462"/>
        <v>0</v>
      </c>
      <c r="DX183" s="228">
        <f t="shared" si="424"/>
        <v>0</v>
      </c>
      <c r="DY183" s="229"/>
      <c r="DZ183" s="229"/>
      <c r="EA183" s="229"/>
      <c r="EB183" s="229"/>
      <c r="EC183" s="229"/>
      <c r="ED183" s="229"/>
      <c r="EE183" s="229"/>
      <c r="EF183" s="228">
        <f t="shared" si="438"/>
        <v>0</v>
      </c>
      <c r="EG183" s="228">
        <f t="shared" si="439"/>
        <v>0</v>
      </c>
      <c r="EH183" s="229">
        <f t="shared" si="440"/>
        <v>0</v>
      </c>
      <c r="EI183" s="229">
        <v>118.33499999999999</v>
      </c>
      <c r="EJ183" s="228">
        <f>SUM(EH183:EI183)</f>
        <v>118.33499999999999</v>
      </c>
      <c r="EK183" s="229"/>
      <c r="EL183" s="229"/>
      <c r="EM183" s="228">
        <f t="shared" si="563"/>
        <v>0</v>
      </c>
      <c r="EN183" s="229">
        <f t="shared" si="413"/>
        <v>0</v>
      </c>
      <c r="EO183" s="229">
        <f t="shared" si="388"/>
        <v>118.33499999999999</v>
      </c>
      <c r="EP183" s="228">
        <f t="shared" si="559"/>
        <v>118.33499999999999</v>
      </c>
      <c r="EQ183" s="173">
        <f t="shared" si="441"/>
        <v>0</v>
      </c>
      <c r="ER183" s="189">
        <v>0</v>
      </c>
      <c r="ES183" s="189">
        <v>0</v>
      </c>
      <c r="ET183" s="189">
        <v>0</v>
      </c>
      <c r="EU183" s="189">
        <v>0</v>
      </c>
      <c r="EV183" s="189">
        <v>0</v>
      </c>
      <c r="EW183" s="189">
        <v>0</v>
      </c>
      <c r="EX183" s="189">
        <v>0</v>
      </c>
      <c r="EY183" s="189">
        <v>0</v>
      </c>
      <c r="EZ183" s="189">
        <v>0</v>
      </c>
      <c r="FA183" s="189">
        <v>0</v>
      </c>
      <c r="FB183" s="189">
        <v>0</v>
      </c>
      <c r="FC183" s="189">
        <v>0</v>
      </c>
      <c r="FD183" s="189">
        <v>0</v>
      </c>
      <c r="FE183" s="189">
        <v>0</v>
      </c>
      <c r="FF183" s="189">
        <v>0</v>
      </c>
      <c r="FG183" s="189">
        <v>0</v>
      </c>
      <c r="FH183" s="189">
        <v>0</v>
      </c>
      <c r="FI183" s="189">
        <v>0</v>
      </c>
      <c r="FJ183" s="189">
        <v>0</v>
      </c>
      <c r="FK183" s="189">
        <v>0</v>
      </c>
      <c r="FL183" s="189">
        <v>0</v>
      </c>
      <c r="FN183" s="132">
        <v>0</v>
      </c>
    </row>
    <row r="184" spans="1:170" ht="30" customHeight="1">
      <c r="A184" s="88">
        <f>COUNTIF($H$12:H184,H184)</f>
        <v>42</v>
      </c>
      <c r="B184" s="88" t="s">
        <v>89</v>
      </c>
      <c r="C184" s="88" t="s">
        <v>2492</v>
      </c>
      <c r="D184" s="88"/>
      <c r="E184" s="88"/>
      <c r="F184" s="301" t="s">
        <v>1162</v>
      </c>
      <c r="G184" s="89" t="s">
        <v>2365</v>
      </c>
      <c r="H184" s="88">
        <v>3</v>
      </c>
      <c r="I184" s="88"/>
      <c r="J184" s="88">
        <v>3</v>
      </c>
      <c r="K184" s="90"/>
      <c r="L184" s="90" t="s">
        <v>2952</v>
      </c>
      <c r="M184" s="214"/>
      <c r="N184" s="88" t="s">
        <v>1804</v>
      </c>
      <c r="O184" s="216">
        <f>BO184</f>
        <v>3</v>
      </c>
      <c r="P184" s="88" t="str">
        <f>IF(BO184&lt;3.33,"B1_3",IF(AND(BO184&gt;=3.33,BO184&lt;4.65),"B1_4",IF(AND(BO184&gt;=4.65,BO184&lt;5.42),"B1_5",IF(AND(BO184&gt;=5.42,BO184&lt;6.44),"B1_6",IF(AND(BO184&gt;=6.44,BO184&lt;=6.92),"B1_7","B1_8")))))</f>
        <v>B1_3</v>
      </c>
      <c r="Q184" s="88">
        <f>IF(M184&gt;0,VLOOKUP(P184,ma_dinhmuc_moi,2,0)/2,VLOOKUP(P184,ma_dinhmuc_moi,2,0))</f>
        <v>270</v>
      </c>
      <c r="R184" s="88">
        <f>IF(M184&gt;0,VLOOKUP(P184,ma_dinhmuc_moi,3,0)/2,VLOOKUP(P184,ma_dinhmuc_moi,3,0))</f>
        <v>100</v>
      </c>
      <c r="S184" s="218"/>
      <c r="T184" s="88" t="s">
        <v>3088</v>
      </c>
      <c r="U184" s="88">
        <f>IF(RIGHT(T184,1)="K",(VLOOKUP(T184,ma_miengiam!$A$3:$B$80,2,0)*100)/2,VLOOKUP(T184,ma_miengiam!$A$3:$B$80,2,0)*100)</f>
        <v>0</v>
      </c>
      <c r="V184" s="88">
        <v>9</v>
      </c>
      <c r="W184" s="220">
        <f>IF(AND(T184="NTS",V184&gt;0),(Q184-(Q184*V184)/12)*VLOOKUP(T184,ma_miengiam!$A$3:$B$80,2,0)+(Q184-(Q184*(12-V184))/12),IF(AND(RIGHT(T184,1)="K",V184&gt;0),(VLOOKUP(T184,ma_miengiam!$A$3:$B$80,2,0)/2)*(Q184*V184)/12,IF(RIGHT(T184,1)="K",(VLOOKUP(T184,ma_miengiam!$A$3:$B$80,2,0)*Q184)/2,IF(V184&gt;0,VLOOKUP(T184,ma_miengiam!$A$3:$B$80,2,0)*Q184*V184/12,VLOOKUP(T184,ma_miengiam!$A$3:$B$80,2,0)*Q184))))</f>
        <v>0</v>
      </c>
      <c r="X184" s="220">
        <f>IF(T184="NTS",VLOOKUP(T184,ma_miengiam!$A$3:$B$80,2,0)*R184*V184,IF(AND(T184="NTS",V184=0),0,IF(AND(LEFT(T184,1)="K",V184=0),VLOOKUP(T184,ma_miengiam!$A$3:$B$80,2,0)*R184,IF(LEFT(T184,1)="K",(VLOOKUP(T184,ma_miengiam!$A$3:$B$80,2,0)*R184/12)*V184,IF(AND(LEFT(T184,1)="S",V184&gt;0),(R184/12)*V184,IF(AND(LEFT(T184,1)="S",V184=0),R184,IF(T184="DH",VLOOKUP(T184,ma_miengiam!$A$3:$B$80,2,0)*R184,0)))))))</f>
        <v>0</v>
      </c>
      <c r="Y184" s="220">
        <f>IF(AND(T184="DH",V184&gt;0),(S184*V184/12),IF(AND(T184&lt;&gt;"NTS",V184&gt;0),(Q184*V184/12)-W184,IF(AND(T184="NTS",V184&gt;0),Q184-W184,Q184-W184)))</f>
        <v>202.5</v>
      </c>
      <c r="Z184" s="220">
        <f>IF(AND(T184="SĐH",V184&gt;0),(R184/12)*V184-X184,IF(AND(T184="DH",V184&gt;0),(R184*V184/12),IF(AND(T184&lt;&gt;"NTS",V184&gt;0),(R184*V184/12)-X184,IF(AND(T184="NTS",V184&gt;0),R184-X184,R184-X184))))</f>
        <v>75</v>
      </c>
      <c r="AA184" s="220"/>
      <c r="AB184" s="220"/>
      <c r="AC184" s="220"/>
      <c r="AD184" s="220"/>
      <c r="AE184" s="220"/>
      <c r="AF184" s="220"/>
      <c r="AG184" s="220"/>
      <c r="AH184" s="220"/>
      <c r="AI184" s="220"/>
      <c r="AJ184" s="220"/>
      <c r="AK184" s="216"/>
      <c r="AL184" s="220"/>
      <c r="AM184" s="220"/>
      <c r="AN184" s="221"/>
      <c r="AO184" s="220"/>
      <c r="AP184" s="220"/>
      <c r="AQ184" s="220"/>
      <c r="AR184" s="220"/>
      <c r="AS184" s="220"/>
      <c r="AT184" s="216"/>
      <c r="AU184" s="222"/>
      <c r="AV184" s="220"/>
      <c r="AW184" s="220"/>
      <c r="AX184" s="216"/>
      <c r="AY184" s="220"/>
      <c r="AZ184" s="220"/>
      <c r="BA184" s="220"/>
      <c r="BB184" s="220"/>
      <c r="BC184" s="220"/>
      <c r="BD184" s="216"/>
      <c r="BE184" s="220"/>
      <c r="BF184" s="220"/>
      <c r="BG184" s="220"/>
      <c r="BH184" s="220"/>
      <c r="BI184" s="220"/>
      <c r="BJ184" s="220" t="s">
        <v>1117</v>
      </c>
      <c r="BK184" s="220"/>
      <c r="BL184" s="223">
        <f>IF(AW184&lt;BK184,0,IF(AND(BK184=0,AW184&gt;0),AW184,IF(AW184&lt;0,0,IF(BK184&gt;0,AW184-BK184,IF(BK184&lt;0,0,AW184)))))</f>
        <v>0</v>
      </c>
      <c r="BM184" s="220">
        <v>3</v>
      </c>
      <c r="BN184" s="220"/>
      <c r="BO184" s="220">
        <f>ROUND(BM184+(BM184*BN184),2)</f>
        <v>3</v>
      </c>
      <c r="BP184" s="220">
        <f>IF(AND(BL184&gt;0,BL184&lt;tiet!$D$1),BL184,IF(BL184&lt;=0,0,IF(BL184&gt;tiet!$C$1,tiet!$C$1)))</f>
        <v>0</v>
      </c>
      <c r="BQ184" s="87">
        <f>VLOOKUP(P184,ma_dinhmuc_moi,4,0)</f>
        <v>60000</v>
      </c>
      <c r="BR184" s="224">
        <f>ROUND(BQ184*BP184,0)</f>
        <v>0</v>
      </c>
      <c r="BS184" s="220">
        <f t="shared" si="434"/>
        <v>0</v>
      </c>
      <c r="BT184" s="224">
        <f>VLOOKUP(N184,ma_dinhmuc!$A$1:$J$31,10,0)</f>
        <v>51000</v>
      </c>
      <c r="BU184" s="224">
        <f>ROUND(IF(BS184&gt;0,VLOOKUP(N184,ma_dinhmuc!$A$1:$J$31,10,0)*BS184,0),0)</f>
        <v>0</v>
      </c>
      <c r="BV184" s="224">
        <f>ROUND(BU184+BR184,0)</f>
        <v>0</v>
      </c>
      <c r="BW184" s="224"/>
      <c r="BX184" s="224">
        <v>0</v>
      </c>
      <c r="BY184" s="224"/>
      <c r="BZ184" s="224"/>
      <c r="CA184" s="224"/>
      <c r="CB184" s="224"/>
      <c r="CC184" s="225">
        <f>ROUND(IF(BV184+BW184&gt;BX184+BY184+BZ184+CA184+CB184,(BW184+BV184)-(BX184+BY184+BZ184+CA184+CB184+CB184),0),0)</f>
        <v>0</v>
      </c>
      <c r="CD184" s="224">
        <f>ROUND(IF(BV184+BW184&lt;BX184+BY184+BZ184+CA184-CB184,(BX184+BY184+BZ184+CA184-CB184)-(BW184+BV184),0),0)</f>
        <v>0</v>
      </c>
      <c r="CE184" s="224"/>
      <c r="CF184" s="226"/>
      <c r="CG184" s="87"/>
      <c r="CH184" s="87">
        <f>A184</f>
        <v>42</v>
      </c>
      <c r="CI184" s="227" t="str">
        <f>F184</f>
        <v>Nguyễn Đức</v>
      </c>
      <c r="CJ184" s="227" t="str">
        <f>G184</f>
        <v>Thuận</v>
      </c>
      <c r="CK184" s="87">
        <f>H184</f>
        <v>3</v>
      </c>
      <c r="CL184" s="227" t="str">
        <f>L184</f>
        <v>Hệ thống thông tin đất đai</v>
      </c>
      <c r="CM184" s="87" t="str">
        <f>N184</f>
        <v>CS2</v>
      </c>
      <c r="CN184" s="87">
        <f>Q184</f>
        <v>270</v>
      </c>
      <c r="CO184" s="87">
        <f>R184</f>
        <v>100</v>
      </c>
      <c r="CP184" s="229">
        <f t="shared" si="444"/>
        <v>0</v>
      </c>
      <c r="CQ184" s="229">
        <f t="shared" si="445"/>
        <v>0</v>
      </c>
      <c r="CR184" s="229">
        <f t="shared" si="446"/>
        <v>0</v>
      </c>
      <c r="CS184" s="229">
        <f t="shared" si="447"/>
        <v>0</v>
      </c>
      <c r="CT184" s="229">
        <f t="shared" si="448"/>
        <v>0</v>
      </c>
      <c r="CU184" s="229">
        <f t="shared" si="449"/>
        <v>0</v>
      </c>
      <c r="CV184" s="229">
        <f t="shared" si="450"/>
        <v>0</v>
      </c>
      <c r="CW184" s="229">
        <f t="shared" si="451"/>
        <v>0</v>
      </c>
      <c r="CX184" s="229">
        <f t="shared" si="452"/>
        <v>0</v>
      </c>
      <c r="CY184" s="229">
        <f t="shared" si="453"/>
        <v>0</v>
      </c>
      <c r="CZ184" s="229">
        <f t="shared" si="454"/>
        <v>0</v>
      </c>
      <c r="DA184" s="229">
        <f t="shared" si="455"/>
        <v>0</v>
      </c>
      <c r="DB184" s="228">
        <f>SUM(CP184:DA184)</f>
        <v>0</v>
      </c>
      <c r="DC184" s="229"/>
      <c r="DD184" s="229"/>
      <c r="DE184" s="229"/>
      <c r="DF184" s="229"/>
      <c r="DG184" s="229"/>
      <c r="DH184" s="229"/>
      <c r="DI184" s="229"/>
      <c r="DJ184" s="229"/>
      <c r="DK184" s="229"/>
      <c r="DL184" s="229"/>
      <c r="DM184" s="229"/>
      <c r="DN184" s="229"/>
      <c r="DO184" s="228">
        <f>SUM(DC184:DN184)</f>
        <v>0</v>
      </c>
      <c r="DP184" s="228">
        <f>DO184+DB184</f>
        <v>0</v>
      </c>
      <c r="DQ184" s="229">
        <f t="shared" si="456"/>
        <v>0</v>
      </c>
      <c r="DR184" s="229">
        <f t="shared" si="457"/>
        <v>0</v>
      </c>
      <c r="DS184" s="229">
        <f t="shared" si="458"/>
        <v>0</v>
      </c>
      <c r="DT184" s="229">
        <f t="shared" si="459"/>
        <v>0</v>
      </c>
      <c r="DU184" s="229">
        <f t="shared" si="460"/>
        <v>0</v>
      </c>
      <c r="DV184" s="229">
        <f t="shared" si="461"/>
        <v>0</v>
      </c>
      <c r="DW184" s="229">
        <f t="shared" si="462"/>
        <v>0</v>
      </c>
      <c r="DX184" s="228">
        <f>SUM(DQ184:DW184)</f>
        <v>0</v>
      </c>
      <c r="DY184" s="229"/>
      <c r="DZ184" s="229"/>
      <c r="EA184" s="229"/>
      <c r="EB184" s="229"/>
      <c r="EC184" s="229"/>
      <c r="ED184" s="229"/>
      <c r="EE184" s="229"/>
      <c r="EF184" s="228">
        <f t="shared" si="438"/>
        <v>0</v>
      </c>
      <c r="EG184" s="228">
        <f>EF184+DX184</f>
        <v>0</v>
      </c>
      <c r="EH184" s="229">
        <f t="shared" si="440"/>
        <v>0</v>
      </c>
      <c r="EI184" s="229">
        <v>118.33499999999999</v>
      </c>
      <c r="EJ184" s="228">
        <f>SUM(EH184:EI184)</f>
        <v>118.33499999999999</v>
      </c>
      <c r="EK184" s="229"/>
      <c r="EL184" s="229"/>
      <c r="EM184" s="228">
        <f>SUM(EK184:EL184)</f>
        <v>0</v>
      </c>
      <c r="EN184" s="229">
        <f>EK184+EH184+EL184</f>
        <v>0</v>
      </c>
      <c r="EO184" s="229">
        <f>EI184</f>
        <v>118.33499999999999</v>
      </c>
      <c r="EP184" s="228">
        <f>EM184+EJ184</f>
        <v>118.33499999999999</v>
      </c>
      <c r="EQ184" s="173">
        <f t="shared" si="441"/>
        <v>0</v>
      </c>
      <c r="ER184" s="189">
        <v>0</v>
      </c>
      <c r="ES184" s="189">
        <v>0</v>
      </c>
      <c r="ET184" s="189">
        <v>0</v>
      </c>
      <c r="EU184" s="189">
        <v>0</v>
      </c>
      <c r="EV184" s="189">
        <v>0</v>
      </c>
      <c r="EW184" s="189">
        <v>0</v>
      </c>
      <c r="EX184" s="189">
        <v>0</v>
      </c>
      <c r="EY184" s="189">
        <v>0</v>
      </c>
      <c r="EZ184" s="189">
        <v>0</v>
      </c>
      <c r="FA184" s="189">
        <v>0</v>
      </c>
      <c r="FB184" s="189">
        <v>0</v>
      </c>
      <c r="FC184" s="189">
        <v>0</v>
      </c>
      <c r="FD184" s="189">
        <v>0</v>
      </c>
      <c r="FE184" s="189">
        <v>0</v>
      </c>
      <c r="FF184" s="189">
        <v>0</v>
      </c>
      <c r="FG184" s="189">
        <v>0</v>
      </c>
      <c r="FH184" s="189">
        <v>0</v>
      </c>
      <c r="FI184" s="189">
        <v>0</v>
      </c>
      <c r="FJ184" s="189">
        <v>0</v>
      </c>
      <c r="FK184" s="189">
        <v>0</v>
      </c>
      <c r="FL184" s="189">
        <v>0</v>
      </c>
      <c r="FN184" s="132">
        <v>0</v>
      </c>
    </row>
    <row r="185" spans="1:170" ht="30" customHeight="1">
      <c r="A185" s="88">
        <f>COUNTIF($H$12:H185,H185)</f>
        <v>43</v>
      </c>
      <c r="B185" s="88" t="s">
        <v>89</v>
      </c>
      <c r="C185" s="88" t="s">
        <v>2492</v>
      </c>
      <c r="D185" s="88"/>
      <c r="E185" s="88"/>
      <c r="F185" s="301" t="s">
        <v>1162</v>
      </c>
      <c r="G185" s="89" t="s">
        <v>2365</v>
      </c>
      <c r="H185" s="88">
        <v>3</v>
      </c>
      <c r="I185" s="88">
        <v>3</v>
      </c>
      <c r="J185" s="88">
        <v>3</v>
      </c>
      <c r="K185" s="90" t="s">
        <v>2952</v>
      </c>
      <c r="L185" s="90" t="s">
        <v>2952</v>
      </c>
      <c r="M185" s="214"/>
      <c r="N185" s="88" t="s">
        <v>1804</v>
      </c>
      <c r="O185" s="216">
        <f>BO185</f>
        <v>3</v>
      </c>
      <c r="P185" s="88" t="str">
        <f>IF(BO185&lt;3.33,"B1_3",IF(AND(BO185&gt;=3.33,BO185&lt;4.65),"B1_4",IF(AND(BO185&gt;=4.65,BO185&lt;5.42),"B1_5",IF(AND(BO185&gt;=5.42,BO185&lt;6.44),"B1_6",IF(AND(BO185&gt;=6.44,BO185&lt;=6.92),"B1_7","B1_8")))))</f>
        <v>B1_3</v>
      </c>
      <c r="Q185" s="88">
        <f>IF(M185&gt;0,VLOOKUP(P185,ma_dinhmuc_moi,2,0)/2,VLOOKUP(P185,ma_dinhmuc_moi,2,0))</f>
        <v>270</v>
      </c>
      <c r="R185" s="88">
        <f>IF(M185&gt;0,VLOOKUP(P185,ma_dinhmuc_moi,3,0)/2,VLOOKUP(P185,ma_dinhmuc_moi,3,0))</f>
        <v>100</v>
      </c>
      <c r="S185" s="218"/>
      <c r="T185" s="88" t="s">
        <v>3088</v>
      </c>
      <c r="U185" s="88">
        <f>IF(RIGHT(T185,1)="K",(VLOOKUP(T185,ma_miengiam!$A$3:$B$80,2,0)*100)/2,VLOOKUP(T185,ma_miengiam!$A$3:$B$80,2,0)*100)</f>
        <v>0</v>
      </c>
      <c r="V185" s="88"/>
      <c r="W185" s="220">
        <f>W184+W183</f>
        <v>27</v>
      </c>
      <c r="X185" s="220">
        <f>X184+X183</f>
        <v>0</v>
      </c>
      <c r="Y185" s="220">
        <f>Y184+Y183</f>
        <v>243</v>
      </c>
      <c r="Z185" s="220">
        <f>Z184+Z183</f>
        <v>100</v>
      </c>
      <c r="AA185" s="220">
        <f t="shared" ref="AA185:AB187" si="566">Q185</f>
        <v>270</v>
      </c>
      <c r="AB185" s="220">
        <f t="shared" si="566"/>
        <v>100</v>
      </c>
      <c r="AC185" s="220">
        <f>W185</f>
        <v>27</v>
      </c>
      <c r="AD185" s="220">
        <f>X185</f>
        <v>0</v>
      </c>
      <c r="AE185" s="220">
        <f>Y185</f>
        <v>243</v>
      </c>
      <c r="AF185" s="220">
        <f>Z185</f>
        <v>100</v>
      </c>
      <c r="AG185" s="220">
        <f t="shared" ref="AG185:AG195" si="567">AH185+AI185</f>
        <v>195.42500000000001</v>
      </c>
      <c r="AH185" s="220">
        <f t="shared" ref="AH185:AH195" si="568">EO185</f>
        <v>118.33499999999999</v>
      </c>
      <c r="AI185" s="220">
        <f t="shared" ref="AI185:AI195" si="569">EN185</f>
        <v>77.09</v>
      </c>
      <c r="AJ185" s="220">
        <f>IF(AG185-Z185&gt;0,0,AG185-Z185)</f>
        <v>0</v>
      </c>
      <c r="AK185" s="216">
        <f>IF(AJ185&gt;=0,Y185,Y185-AJ185)</f>
        <v>243</v>
      </c>
      <c r="AL185" s="220">
        <f>SUM(CP185:CX185)+SUM(DC185:DK185)</f>
        <v>169.2</v>
      </c>
      <c r="AM185" s="220">
        <f>SUM(DQ185:DU185)+SUM(DY185:EC185)</f>
        <v>0</v>
      </c>
      <c r="AN185" s="221">
        <f>AM185+AL185</f>
        <v>169.2</v>
      </c>
      <c r="AO185" s="220">
        <f>CY185+DL185</f>
        <v>0</v>
      </c>
      <c r="AP185" s="220">
        <f>CZ185+DM185</f>
        <v>0</v>
      </c>
      <c r="AQ185" s="220">
        <f>DA185+DN185</f>
        <v>60</v>
      </c>
      <c r="AR185" s="220">
        <f>DV185+ED185</f>
        <v>0</v>
      </c>
      <c r="AS185" s="220">
        <f>DW185+EE185</f>
        <v>0</v>
      </c>
      <c r="AT185" s="216">
        <f>AN185+SUM(AO185:AS185)</f>
        <v>229.2</v>
      </c>
      <c r="AU185" s="222">
        <f>AN185-AK185</f>
        <v>-73.800000000000011</v>
      </c>
      <c r="AV185" s="220"/>
      <c r="AW185" s="220">
        <f>IF(AU185&gt;0,AU185,AV185+AU185)</f>
        <v>-73.800000000000011</v>
      </c>
      <c r="AX185" s="216">
        <f>IF(AN185&gt;AK185,0,IF(AW185&lt;0,AN185-AK185+AV185,IF(AW185&gt;=0,0)))</f>
        <v>-73.800000000000011</v>
      </c>
      <c r="AY185" s="220">
        <f>IF(AN185&gt;=AK185,AO185,IF(AN185+AO185-AK185&gt;=0,AN185+AO185-AK185,0))</f>
        <v>0</v>
      </c>
      <c r="AZ185" s="220">
        <f>IF(OR(AN185&gt;=AK185,AN185+AO185&gt;=AK185),AP185,IF(AN185+AO185+AP185&gt;AK185,AN185+AO185+AP185-AK185,0))</f>
        <v>0</v>
      </c>
      <c r="BA185" s="220">
        <f>IF(OR(AN185&gt;=AK185,AN185+AO185&gt;=AK185,AN185+AO185+AP185&gt;=AK185),AQ185,IF(AN185+AO185+AP185+AQ185&gt;=AK185,AN185+AO185+AP185+AQ185-AK185,0))</f>
        <v>0</v>
      </c>
      <c r="BB185" s="220">
        <f>IF(OR(AN185&gt;=AK185,AN185+AO185&gt;=AK185,AN185+AO185+AP185&gt;=AK185,AN185+AO185+AP185+AQ185&gt;=AK185),AR185,IF(AN185+AO185+AP185+AQ185+AR185&gt;=AK185,AN185+AO185+AP185+AQ185+AR185-AK185,0))</f>
        <v>0</v>
      </c>
      <c r="BC185" s="220">
        <f>IF(OR(AN185&gt;=AK185,AN185+AO185&gt;=AK185,AN185+AO185+AP185&gt;=AK185,AN185+AO185+AP185+AQ185&gt;=AK185,AN185+AO185+AP185+AQ185+AR185&gt;=AK185),AS185,IF(AN185+AO185+AP185+AQ185+AR185+AS185&gt;=AK185,AN185+AO185+AP185+AQ185+AR185+AS185-AK185,0))</f>
        <v>0</v>
      </c>
      <c r="BD185" s="216">
        <f>SUM(AY185:BC185)</f>
        <v>0</v>
      </c>
      <c r="BE185" s="220">
        <f>AY185-AO185</f>
        <v>0</v>
      </c>
      <c r="BF185" s="220">
        <f>AZ185-AP185</f>
        <v>0</v>
      </c>
      <c r="BG185" s="220">
        <f>BA185-AQ185</f>
        <v>-60</v>
      </c>
      <c r="BH185" s="220">
        <f>BB185-AR185</f>
        <v>0</v>
      </c>
      <c r="BI185" s="220">
        <f>BC185-AS185</f>
        <v>0</v>
      </c>
      <c r="BJ185" s="220" t="s">
        <v>1117</v>
      </c>
      <c r="BK185" s="220"/>
      <c r="BL185" s="223">
        <f>IF(AW185&lt;BK185,0,IF(AND(BK185=0,AW185&gt;0),AW185,IF(AW185&lt;0,0,IF(BK185&gt;0,AW185-BK185,IF(BK185&lt;0,0,AW185)))))</f>
        <v>0</v>
      </c>
      <c r="BM185" s="220">
        <v>3</v>
      </c>
      <c r="BN185" s="220"/>
      <c r="BO185" s="220">
        <f>ROUND(BM185+(BM185*BN185),2)</f>
        <v>3</v>
      </c>
      <c r="BP185" s="220">
        <f>IF(AND(BL185&gt;0,BL185&lt;tiet!$D$1),BL185,IF(BL185&lt;=0,0,IF(BL185&gt;tiet!$C$1,tiet!$C$1)))</f>
        <v>0</v>
      </c>
      <c r="BQ185" s="87">
        <f>VLOOKUP(P185,ma_dinhmuc_moi,4,0)</f>
        <v>60000</v>
      </c>
      <c r="BR185" s="224">
        <f>ROUND(BQ185*BP185,0)</f>
        <v>0</v>
      </c>
      <c r="BS185" s="220">
        <f t="shared" si="434"/>
        <v>0</v>
      </c>
      <c r="BT185" s="224">
        <f>VLOOKUP(N185,ma_dinhmuc!$A$1:$J$31,10,0)</f>
        <v>51000</v>
      </c>
      <c r="BU185" s="224">
        <f>ROUND(IF(BS185&gt;0,VLOOKUP(N185,ma_dinhmuc!$A$1:$J$31,10,0)*BS185,0),0)</f>
        <v>0</v>
      </c>
      <c r="BV185" s="224">
        <f>ROUND(BU185+BR185,0)</f>
        <v>0</v>
      </c>
      <c r="BW185" s="224"/>
      <c r="BX185" s="224">
        <v>0</v>
      </c>
      <c r="BY185" s="224"/>
      <c r="BZ185" s="224"/>
      <c r="CA185" s="224"/>
      <c r="CB185" s="224"/>
      <c r="CC185" s="225">
        <f>ROUND(IF(BV185+BW185&gt;BX185+BY185+BZ185+CA185+CB185,(BW185+BV185)-(BX185+BY185+BZ185+CA185+CB185+CB185),0),0)</f>
        <v>0</v>
      </c>
      <c r="CD185" s="224">
        <f>ROUND(IF(BV185+BW185&lt;BX185+BY185+BZ185+CA185-CB185,(BX185+BY185+BZ185+CA185-CB185)-(BW185+BV185),0),0)</f>
        <v>0</v>
      </c>
      <c r="CE185" s="224"/>
      <c r="CF185" s="226"/>
      <c r="CG185" s="87"/>
      <c r="CH185" s="87">
        <f>A185</f>
        <v>43</v>
      </c>
      <c r="CI185" s="227" t="str">
        <f>F185</f>
        <v>Nguyễn Đức</v>
      </c>
      <c r="CJ185" s="227" t="str">
        <f>G185</f>
        <v>Thuận</v>
      </c>
      <c r="CK185" s="87">
        <f>H185</f>
        <v>3</v>
      </c>
      <c r="CL185" s="227" t="str">
        <f>L185</f>
        <v>Hệ thống thông tin đất đai</v>
      </c>
      <c r="CM185" s="87" t="str">
        <f>N185</f>
        <v>CS2</v>
      </c>
      <c r="CN185" s="87">
        <f>Q185</f>
        <v>270</v>
      </c>
      <c r="CO185" s="87">
        <f>R185</f>
        <v>100</v>
      </c>
      <c r="CP185" s="229">
        <f t="shared" si="444"/>
        <v>0</v>
      </c>
      <c r="CQ185" s="229">
        <f t="shared" si="445"/>
        <v>12.4</v>
      </c>
      <c r="CR185" s="229">
        <f t="shared" si="446"/>
        <v>5</v>
      </c>
      <c r="CS185" s="229">
        <f t="shared" si="447"/>
        <v>21.2</v>
      </c>
      <c r="CT185" s="229">
        <f t="shared" si="448"/>
        <v>0</v>
      </c>
      <c r="CU185" s="229">
        <f t="shared" si="449"/>
        <v>31.1</v>
      </c>
      <c r="CV185" s="229">
        <f t="shared" si="450"/>
        <v>0</v>
      </c>
      <c r="CW185" s="229">
        <f t="shared" si="451"/>
        <v>99.5</v>
      </c>
      <c r="CX185" s="229">
        <f t="shared" si="452"/>
        <v>0</v>
      </c>
      <c r="CY185" s="229">
        <f t="shared" si="453"/>
        <v>0</v>
      </c>
      <c r="CZ185" s="229">
        <f t="shared" si="454"/>
        <v>0</v>
      </c>
      <c r="DA185" s="229">
        <f t="shared" si="455"/>
        <v>60</v>
      </c>
      <c r="DB185" s="228">
        <f>SUM(CP185:DA185)</f>
        <v>229.2</v>
      </c>
      <c r="DC185" s="229"/>
      <c r="DD185" s="229"/>
      <c r="DE185" s="229"/>
      <c r="DF185" s="229"/>
      <c r="DG185" s="229"/>
      <c r="DH185" s="229"/>
      <c r="DI185" s="229"/>
      <c r="DJ185" s="229"/>
      <c r="DK185" s="229"/>
      <c r="DL185" s="229"/>
      <c r="DM185" s="229"/>
      <c r="DN185" s="229"/>
      <c r="DO185" s="228">
        <f>SUM(DC185:DN185)</f>
        <v>0</v>
      </c>
      <c r="DP185" s="228">
        <f>DO185+DB185</f>
        <v>229.2</v>
      </c>
      <c r="DQ185" s="229">
        <f t="shared" si="456"/>
        <v>0</v>
      </c>
      <c r="DR185" s="229">
        <f t="shared" si="457"/>
        <v>0</v>
      </c>
      <c r="DS185" s="229">
        <f t="shared" si="458"/>
        <v>0</v>
      </c>
      <c r="DT185" s="229">
        <f t="shared" si="459"/>
        <v>0</v>
      </c>
      <c r="DU185" s="229">
        <f t="shared" si="460"/>
        <v>0</v>
      </c>
      <c r="DV185" s="229">
        <f t="shared" si="461"/>
        <v>0</v>
      </c>
      <c r="DW185" s="229">
        <f t="shared" si="462"/>
        <v>0</v>
      </c>
      <c r="DX185" s="228">
        <f>SUM(DQ185:DW185)</f>
        <v>0</v>
      </c>
      <c r="DY185" s="229"/>
      <c r="DZ185" s="229"/>
      <c r="EA185" s="229"/>
      <c r="EB185" s="229"/>
      <c r="EC185" s="229"/>
      <c r="ED185" s="229"/>
      <c r="EE185" s="229"/>
      <c r="EF185" s="228">
        <f t="shared" si="438"/>
        <v>0</v>
      </c>
      <c r="EG185" s="228">
        <f>EF185+DX185</f>
        <v>0</v>
      </c>
      <c r="EH185" s="229">
        <f t="shared" si="440"/>
        <v>77.09</v>
      </c>
      <c r="EI185" s="229">
        <v>118.33499999999999</v>
      </c>
      <c r="EJ185" s="228">
        <f>SUM(EH185:EI185)</f>
        <v>195.42500000000001</v>
      </c>
      <c r="EK185" s="229"/>
      <c r="EL185" s="229"/>
      <c r="EM185" s="228">
        <f>SUM(EK185:EL185)</f>
        <v>0</v>
      </c>
      <c r="EN185" s="229">
        <f>EK185+EH185+EL185</f>
        <v>77.09</v>
      </c>
      <c r="EO185" s="229">
        <f>EI185</f>
        <v>118.33499999999999</v>
      </c>
      <c r="EP185" s="228">
        <f>EM185+EJ185</f>
        <v>195.42500000000001</v>
      </c>
      <c r="EQ185" s="173">
        <f t="shared" si="441"/>
        <v>0</v>
      </c>
      <c r="ER185" s="189">
        <v>0</v>
      </c>
      <c r="ES185" s="189">
        <v>12.4</v>
      </c>
      <c r="ET185" s="189">
        <v>5</v>
      </c>
      <c r="EU185" s="189">
        <v>21.2</v>
      </c>
      <c r="EV185" s="189">
        <v>0</v>
      </c>
      <c r="EW185" s="189">
        <v>31.1</v>
      </c>
      <c r="EX185" s="189">
        <v>0</v>
      </c>
      <c r="EY185" s="189">
        <v>99.5</v>
      </c>
      <c r="EZ185" s="189">
        <v>0</v>
      </c>
      <c r="FA185" s="189">
        <v>0</v>
      </c>
      <c r="FB185" s="189">
        <v>0</v>
      </c>
      <c r="FC185" s="189">
        <v>60</v>
      </c>
      <c r="FD185" s="189">
        <v>0</v>
      </c>
      <c r="FE185" s="189">
        <v>0</v>
      </c>
      <c r="FF185" s="189">
        <v>0</v>
      </c>
      <c r="FG185" s="189">
        <v>0</v>
      </c>
      <c r="FH185" s="189">
        <v>0</v>
      </c>
      <c r="FI185" s="189">
        <v>0</v>
      </c>
      <c r="FJ185" s="189">
        <v>0</v>
      </c>
      <c r="FK185" s="189">
        <v>229.2</v>
      </c>
      <c r="FL185" s="189">
        <v>182.2</v>
      </c>
      <c r="FN185" s="132">
        <v>77.09</v>
      </c>
    </row>
    <row r="186" spans="1:170" ht="32.25" customHeight="1">
      <c r="A186" s="88">
        <f>COUNTIF($H$12:H186,H186)</f>
        <v>44</v>
      </c>
      <c r="B186" s="88" t="s">
        <v>90</v>
      </c>
      <c r="C186" s="88" t="s">
        <v>2493</v>
      </c>
      <c r="D186" s="88"/>
      <c r="E186" s="88" t="s">
        <v>354</v>
      </c>
      <c r="F186" s="301" t="s">
        <v>2366</v>
      </c>
      <c r="G186" s="303" t="s">
        <v>2088</v>
      </c>
      <c r="H186" s="88">
        <v>3</v>
      </c>
      <c r="I186" s="88">
        <v>3</v>
      </c>
      <c r="J186" s="88">
        <v>3</v>
      </c>
      <c r="K186" s="90" t="s">
        <v>2952</v>
      </c>
      <c r="L186" s="90" t="s">
        <v>2952</v>
      </c>
      <c r="M186" s="214"/>
      <c r="N186" s="88" t="s">
        <v>1804</v>
      </c>
      <c r="O186" s="216">
        <f>BO186</f>
        <v>3.66</v>
      </c>
      <c r="P186" s="88" t="str">
        <f t="shared" si="468"/>
        <v>B1_4</v>
      </c>
      <c r="Q186" s="88">
        <f t="shared" si="527"/>
        <v>270</v>
      </c>
      <c r="R186" s="88">
        <f t="shared" si="528"/>
        <v>120</v>
      </c>
      <c r="S186" s="218" t="s">
        <v>3172</v>
      </c>
      <c r="T186" s="88" t="s">
        <v>3025</v>
      </c>
      <c r="U186" s="88">
        <f>IF(RIGHT(T186,1)="K",(VLOOKUP(T186,ma_miengiam!$A$3:$B$80,2,0)*100)/2,VLOOKUP(T186,ma_miengiam!$A$3:$B$80,2,0)*100)</f>
        <v>60</v>
      </c>
      <c r="V186" s="88"/>
      <c r="W186" s="220">
        <f>IF(AND(T186="NTS",V186&gt;0),(Q186-(Q186*V186)/12)*VLOOKUP(T186,ma_miengiam!$A$3:$B$80,2,0)+(Q186-(Q186*(12-V186))/12),IF(AND(RIGHT(T186,1)="K",V186&gt;0),(VLOOKUP(T186,ma_miengiam!$A$3:$B$80,2,0)/2)*(Q186*V186)/12,IF(RIGHT(T186,1)="K",(VLOOKUP(T186,ma_miengiam!$A$3:$B$80,2,0)*Q186)/2,IF(V186&gt;0,VLOOKUP(T186,ma_miengiam!$A$3:$B$80,2,0)*Q186*V186/12,VLOOKUP(T186,ma_miengiam!$A$3:$B$80,2,0)*Q186))))</f>
        <v>162</v>
      </c>
      <c r="X186" s="220">
        <f>IF(T186="NTS",VLOOKUP(T186,ma_miengiam!$A$3:$B$80,2,0)*R186*V186,IF(AND(T186="NTS",V186=0),0,IF(AND(LEFT(T186,1)="K",V186=0),VLOOKUP(T186,ma_miengiam!$A$3:$B$80,2,0)*R186,IF(LEFT(T186,1)="K",(VLOOKUP(T186,ma_miengiam!$A$3:$B$80,2,0)*R186/12)*V186,IF(AND(LEFT(T186,1)="S",V186&gt;0),(R186/12)*V186,IF(AND(LEFT(T186,1)="S",V186=0),R186,IF(T186="DH",VLOOKUP(T186,ma_miengiam!$A$3:$B$80,2,0)*R186,0)))))))</f>
        <v>72</v>
      </c>
      <c r="Y186" s="220">
        <f t="shared" si="503"/>
        <v>108</v>
      </c>
      <c r="Z186" s="220">
        <f>IF(AND(T186="SĐH",V186&gt;0),(R186/12)*V186-X186,IF(AND(T186="DH",V186&gt;0),(R186*V186/12),IF(AND(T186&lt;&gt;"NTS",V186&gt;0),(R186*V186/12)-X186,IF(AND(T186="NTS",V186&gt;0),R186-X186,R186-X186))))</f>
        <v>48</v>
      </c>
      <c r="AA186" s="220">
        <f t="shared" si="566"/>
        <v>270</v>
      </c>
      <c r="AB186" s="220">
        <f t="shared" si="566"/>
        <v>120</v>
      </c>
      <c r="AC186" s="220">
        <f t="shared" ref="AC186:AF187" si="570">W186</f>
        <v>162</v>
      </c>
      <c r="AD186" s="220">
        <f t="shared" si="570"/>
        <v>72</v>
      </c>
      <c r="AE186" s="220">
        <f t="shared" si="570"/>
        <v>108</v>
      </c>
      <c r="AF186" s="220">
        <f t="shared" si="570"/>
        <v>48</v>
      </c>
      <c r="AG186" s="220">
        <f t="shared" si="567"/>
        <v>506.58</v>
      </c>
      <c r="AH186" s="220">
        <f t="shared" si="568"/>
        <v>295.33</v>
      </c>
      <c r="AI186" s="220">
        <f t="shared" si="569"/>
        <v>211.25</v>
      </c>
      <c r="AJ186" s="220">
        <f>IF(AG186-Z186&gt;0,0,AG186-Z186)</f>
        <v>0</v>
      </c>
      <c r="AK186" s="216">
        <f t="shared" si="410"/>
        <v>108</v>
      </c>
      <c r="AL186" s="220">
        <f t="shared" si="425"/>
        <v>112.6</v>
      </c>
      <c r="AM186" s="220">
        <f t="shared" si="426"/>
        <v>57.4</v>
      </c>
      <c r="AN186" s="221">
        <f t="shared" si="427"/>
        <v>170</v>
      </c>
      <c r="AO186" s="220">
        <f t="shared" si="428"/>
        <v>0</v>
      </c>
      <c r="AP186" s="220">
        <f t="shared" si="429"/>
        <v>0</v>
      </c>
      <c r="AQ186" s="220">
        <f t="shared" si="430"/>
        <v>20</v>
      </c>
      <c r="AR186" s="220">
        <f t="shared" si="431"/>
        <v>80</v>
      </c>
      <c r="AS186" s="220">
        <f t="shared" si="432"/>
        <v>10</v>
      </c>
      <c r="AT186" s="216">
        <f t="shared" si="433"/>
        <v>280</v>
      </c>
      <c r="AU186" s="222">
        <f>AN186-AK186</f>
        <v>62</v>
      </c>
      <c r="AV186" s="220"/>
      <c r="AW186" s="220">
        <f t="shared" si="532"/>
        <v>62</v>
      </c>
      <c r="AX186" s="216">
        <f t="shared" si="411"/>
        <v>0</v>
      </c>
      <c r="AY186" s="220">
        <f t="shared" si="539"/>
        <v>0</v>
      </c>
      <c r="AZ186" s="220">
        <f t="shared" si="540"/>
        <v>0</v>
      </c>
      <c r="BA186" s="220">
        <f t="shared" si="541"/>
        <v>20</v>
      </c>
      <c r="BB186" s="220">
        <f t="shared" si="542"/>
        <v>80</v>
      </c>
      <c r="BC186" s="220">
        <f t="shared" si="543"/>
        <v>10</v>
      </c>
      <c r="BD186" s="216">
        <f t="shared" si="375"/>
        <v>110</v>
      </c>
      <c r="BE186" s="220">
        <f t="shared" si="533"/>
        <v>0</v>
      </c>
      <c r="BF186" s="220">
        <f t="shared" si="534"/>
        <v>0</v>
      </c>
      <c r="BG186" s="220">
        <f t="shared" si="535"/>
        <v>0</v>
      </c>
      <c r="BH186" s="220">
        <f t="shared" si="536"/>
        <v>0</v>
      </c>
      <c r="BI186" s="220">
        <f t="shared" si="537"/>
        <v>0</v>
      </c>
      <c r="BJ186" s="220" t="s">
        <v>1117</v>
      </c>
      <c r="BK186" s="220"/>
      <c r="BL186" s="223">
        <f t="shared" si="412"/>
        <v>62</v>
      </c>
      <c r="BM186" s="220">
        <v>3.66</v>
      </c>
      <c r="BN186" s="220"/>
      <c r="BO186" s="220">
        <f>ROUND(BM186+(BM186*BN186),2)</f>
        <v>3.66</v>
      </c>
      <c r="BP186" s="220">
        <f>IF(AND(BL186&gt;0,BL186&lt;tiet!$D$1),BL186,IF(BL186&lt;=0,0,IF(BL186&gt;tiet!$C$1,tiet!$C$1)))</f>
        <v>62</v>
      </c>
      <c r="BQ186" s="87">
        <f>VLOOKUP(P186,ma_dinhmuc_moi,4,0)</f>
        <v>65000</v>
      </c>
      <c r="BR186" s="224">
        <f>ROUND(BQ186*BP186,0)</f>
        <v>4030000</v>
      </c>
      <c r="BS186" s="220">
        <f t="shared" si="434"/>
        <v>0</v>
      </c>
      <c r="BT186" s="224">
        <f>VLOOKUP(N186,ma_dinhmuc!$A$1:$J$31,10,0)</f>
        <v>51000</v>
      </c>
      <c r="BU186" s="224">
        <f>ROUND(IF(BS186&gt;0,VLOOKUP(N186,ma_dinhmuc!$A$1:$J$31,10,0)*BS186,0),0)</f>
        <v>0</v>
      </c>
      <c r="BV186" s="224">
        <f>ROUND(BU186+BR186,0)</f>
        <v>4030000</v>
      </c>
      <c r="BW186" s="224"/>
      <c r="BX186" s="224">
        <v>0</v>
      </c>
      <c r="BY186" s="224"/>
      <c r="BZ186" s="224"/>
      <c r="CA186" s="224"/>
      <c r="CB186" s="224"/>
      <c r="CC186" s="225">
        <f>ROUND(IF(BV186+BW186&gt;BX186+BY186+BZ186+CA186+CB186,(BW186+BV186)-(BX186+BY186+BZ186+CA186+CB186+CB186),0),0)</f>
        <v>4030000</v>
      </c>
      <c r="CD186" s="224">
        <f>ROUND(IF(BV186+BW186&lt;BX186+BY186+BZ186+CA186-CB186,(BX186+BY186+BZ186+CA186-CB186)-(BW186+BV186),0),0)</f>
        <v>0</v>
      </c>
      <c r="CE186" s="224"/>
      <c r="CF186" s="226"/>
      <c r="CG186" s="87"/>
      <c r="CH186" s="87">
        <f t="shared" si="554"/>
        <v>44</v>
      </c>
      <c r="CI186" s="227" t="str">
        <f t="shared" si="564"/>
        <v>Phạm Quý</v>
      </c>
      <c r="CJ186" s="227" t="str">
        <f t="shared" si="564"/>
        <v>Giang</v>
      </c>
      <c r="CK186" s="87">
        <f>H186</f>
        <v>3</v>
      </c>
      <c r="CL186" s="227" t="str">
        <f>L186</f>
        <v>Hệ thống thông tin đất đai</v>
      </c>
      <c r="CM186" s="87" t="str">
        <f t="shared" si="538"/>
        <v>CS2</v>
      </c>
      <c r="CN186" s="87">
        <f t="shared" si="565"/>
        <v>270</v>
      </c>
      <c r="CO186" s="87">
        <f t="shared" si="565"/>
        <v>120</v>
      </c>
      <c r="CP186" s="229">
        <f t="shared" si="444"/>
        <v>0</v>
      </c>
      <c r="CQ186" s="229">
        <f t="shared" si="445"/>
        <v>3.1</v>
      </c>
      <c r="CR186" s="229">
        <f t="shared" si="446"/>
        <v>1.3</v>
      </c>
      <c r="CS186" s="229">
        <f t="shared" si="447"/>
        <v>21.2</v>
      </c>
      <c r="CT186" s="229">
        <f t="shared" si="448"/>
        <v>0</v>
      </c>
      <c r="CU186" s="229">
        <f t="shared" si="449"/>
        <v>22</v>
      </c>
      <c r="CV186" s="229">
        <f t="shared" si="450"/>
        <v>0</v>
      </c>
      <c r="CW186" s="229">
        <f t="shared" si="451"/>
        <v>65</v>
      </c>
      <c r="CX186" s="229">
        <f t="shared" si="452"/>
        <v>0</v>
      </c>
      <c r="CY186" s="229">
        <f t="shared" si="453"/>
        <v>0</v>
      </c>
      <c r="CZ186" s="229">
        <f t="shared" si="454"/>
        <v>0</v>
      </c>
      <c r="DA186" s="229">
        <f t="shared" si="455"/>
        <v>20</v>
      </c>
      <c r="DB186" s="228">
        <f t="shared" si="423"/>
        <v>132.6</v>
      </c>
      <c r="DC186" s="229"/>
      <c r="DD186" s="229"/>
      <c r="DE186" s="229"/>
      <c r="DF186" s="229"/>
      <c r="DG186" s="229"/>
      <c r="DH186" s="229"/>
      <c r="DI186" s="229"/>
      <c r="DJ186" s="229"/>
      <c r="DK186" s="229"/>
      <c r="DL186" s="229"/>
      <c r="DM186" s="229"/>
      <c r="DN186" s="229"/>
      <c r="DO186" s="228">
        <f t="shared" si="436"/>
        <v>0</v>
      </c>
      <c r="DP186" s="228">
        <f t="shared" si="437"/>
        <v>132.6</v>
      </c>
      <c r="DQ186" s="229">
        <f t="shared" si="456"/>
        <v>54</v>
      </c>
      <c r="DR186" s="229">
        <f t="shared" si="457"/>
        <v>2.4</v>
      </c>
      <c r="DS186" s="229">
        <f t="shared" si="458"/>
        <v>0</v>
      </c>
      <c r="DT186" s="229">
        <f t="shared" si="459"/>
        <v>1</v>
      </c>
      <c r="DU186" s="229">
        <f t="shared" si="460"/>
        <v>0</v>
      </c>
      <c r="DV186" s="229">
        <f t="shared" si="461"/>
        <v>80</v>
      </c>
      <c r="DW186" s="229">
        <f t="shared" si="462"/>
        <v>10</v>
      </c>
      <c r="DX186" s="228">
        <f t="shared" si="424"/>
        <v>147.4</v>
      </c>
      <c r="DY186" s="229"/>
      <c r="DZ186" s="229"/>
      <c r="EA186" s="229"/>
      <c r="EB186" s="229"/>
      <c r="EC186" s="229"/>
      <c r="ED186" s="229"/>
      <c r="EE186" s="229"/>
      <c r="EF186" s="228">
        <f t="shared" si="438"/>
        <v>0</v>
      </c>
      <c r="EG186" s="228">
        <f t="shared" si="439"/>
        <v>147.4</v>
      </c>
      <c r="EH186" s="229">
        <f t="shared" si="440"/>
        <v>211.25</v>
      </c>
      <c r="EI186" s="229">
        <v>295.33</v>
      </c>
      <c r="EJ186" s="228">
        <f>SUM(EH186:EI186)</f>
        <v>506.58</v>
      </c>
      <c r="EK186" s="229"/>
      <c r="EL186" s="229"/>
      <c r="EM186" s="228">
        <f>SUM(EK186:EL186)</f>
        <v>0</v>
      </c>
      <c r="EN186" s="229">
        <f t="shared" si="413"/>
        <v>211.25</v>
      </c>
      <c r="EO186" s="229">
        <f>EI186</f>
        <v>295.33</v>
      </c>
      <c r="EP186" s="228">
        <f>EM186+EJ186</f>
        <v>506.58</v>
      </c>
      <c r="EQ186" s="173">
        <f t="shared" si="441"/>
        <v>163.25</v>
      </c>
      <c r="ER186" s="189">
        <v>0</v>
      </c>
      <c r="ES186" s="189">
        <v>3.1</v>
      </c>
      <c r="ET186" s="189">
        <v>1.3</v>
      </c>
      <c r="EU186" s="189">
        <v>21.2</v>
      </c>
      <c r="EV186" s="189">
        <v>0</v>
      </c>
      <c r="EW186" s="189">
        <v>22</v>
      </c>
      <c r="EX186" s="189">
        <v>0</v>
      </c>
      <c r="EY186" s="189">
        <v>65</v>
      </c>
      <c r="EZ186" s="189">
        <v>0</v>
      </c>
      <c r="FA186" s="189">
        <v>0</v>
      </c>
      <c r="FB186" s="189">
        <v>0</v>
      </c>
      <c r="FC186" s="189">
        <v>20</v>
      </c>
      <c r="FD186" s="189">
        <v>54</v>
      </c>
      <c r="FE186" s="189">
        <v>2.4</v>
      </c>
      <c r="FF186" s="189">
        <v>0</v>
      </c>
      <c r="FG186" s="189">
        <v>1</v>
      </c>
      <c r="FH186" s="189">
        <v>80</v>
      </c>
      <c r="FI186" s="189">
        <v>0</v>
      </c>
      <c r="FJ186" s="189">
        <v>10</v>
      </c>
      <c r="FK186" s="189">
        <v>280</v>
      </c>
      <c r="FL186" s="189">
        <v>235.2</v>
      </c>
      <c r="FN186" s="132">
        <v>211.25</v>
      </c>
    </row>
    <row r="187" spans="1:170" ht="30" customHeight="1">
      <c r="A187" s="88">
        <f>COUNTIF($H$12:H187,H187)</f>
        <v>45</v>
      </c>
      <c r="B187" s="88" t="s">
        <v>91</v>
      </c>
      <c r="C187" s="88" t="s">
        <v>2494</v>
      </c>
      <c r="D187" s="88"/>
      <c r="E187" s="88"/>
      <c r="F187" s="301" t="s">
        <v>1788</v>
      </c>
      <c r="G187" s="303" t="s">
        <v>2088</v>
      </c>
      <c r="H187" s="88">
        <v>3</v>
      </c>
      <c r="I187" s="88">
        <v>3</v>
      </c>
      <c r="J187" s="88">
        <v>3</v>
      </c>
      <c r="K187" s="90" t="s">
        <v>2952</v>
      </c>
      <c r="L187" s="90" t="s">
        <v>2952</v>
      </c>
      <c r="M187" s="214"/>
      <c r="N187" s="88" t="s">
        <v>605</v>
      </c>
      <c r="O187" s="216">
        <f t="shared" si="516"/>
        <v>6.2</v>
      </c>
      <c r="P187" s="88" t="str">
        <f t="shared" si="468"/>
        <v>B1_6</v>
      </c>
      <c r="Q187" s="88">
        <f t="shared" si="527"/>
        <v>270</v>
      </c>
      <c r="R187" s="88">
        <f t="shared" si="528"/>
        <v>170</v>
      </c>
      <c r="S187" s="233" t="s">
        <v>677</v>
      </c>
      <c r="T187" s="88" t="s">
        <v>1957</v>
      </c>
      <c r="U187" s="88">
        <f>IF(RIGHT(T187,1)="K",(VLOOKUP(T187,ma_miengiam!$A$3:$B$80,2,0)*100)/2,VLOOKUP(T187,ma_miengiam!$A$3:$B$80,2,0)*100)</f>
        <v>20</v>
      </c>
      <c r="V187" s="88"/>
      <c r="W187" s="220">
        <f>IF(AND(T187="NTS",V187&gt;0),(Q187-(Q187*V187)/12)*VLOOKUP(T187,ma_miengiam!$A$3:$B$80,2,0)+(Q187-(Q187*(12-V187))/12),IF(AND(RIGHT(T187,1)="K",V187&gt;0),(VLOOKUP(T187,ma_miengiam!$A$3:$B$80,2,0)/2)*(Q187*V187)/12,IF(RIGHT(T187,1)="K",(VLOOKUP(T187,ma_miengiam!$A$3:$B$80,2,0)*Q187)/2,IF(V187&gt;0,VLOOKUP(T187,ma_miengiam!$A$3:$B$80,2,0)*Q187*V187/12,VLOOKUP(T187,ma_miengiam!$A$3:$B$80,2,0)*Q187))))</f>
        <v>54</v>
      </c>
      <c r="X187" s="220">
        <f>IF(T187="NTS",VLOOKUP(T187,ma_miengiam!$A$3:$B$80,2,0)*R187*V187,IF(AND(T187="NTS",V187=0),0,IF(AND(LEFT(T187,1)="K",V187=0),VLOOKUP(T187,ma_miengiam!$A$3:$B$80,2,0)*R187,IF(LEFT(T187,1)="K",(VLOOKUP(T187,ma_miengiam!$A$3:$B$80,2,0)*R187/12)*V187,IF(AND(LEFT(T187,1)="S",V187&gt;0),(R187/12)*V187,IF(AND(LEFT(T187,1)="S",V187=0),R187,IF(T187="DH",VLOOKUP(T187,ma_miengiam!$A$3:$B$80,2,0)*R187,0)))))))</f>
        <v>34</v>
      </c>
      <c r="Y187" s="220">
        <f t="shared" si="503"/>
        <v>216</v>
      </c>
      <c r="Z187" s="220">
        <f t="shared" si="504"/>
        <v>136</v>
      </c>
      <c r="AA187" s="220">
        <f t="shared" si="566"/>
        <v>270</v>
      </c>
      <c r="AB187" s="220">
        <f t="shared" si="566"/>
        <v>170</v>
      </c>
      <c r="AC187" s="220">
        <f t="shared" si="570"/>
        <v>54</v>
      </c>
      <c r="AD187" s="220">
        <f t="shared" si="570"/>
        <v>34</v>
      </c>
      <c r="AE187" s="220">
        <f t="shared" si="570"/>
        <v>216</v>
      </c>
      <c r="AF187" s="220">
        <f t="shared" si="570"/>
        <v>136</v>
      </c>
      <c r="AG187" s="220">
        <f t="shared" si="567"/>
        <v>116.67</v>
      </c>
      <c r="AH187" s="220">
        <f t="shared" si="568"/>
        <v>0</v>
      </c>
      <c r="AI187" s="220">
        <f t="shared" si="569"/>
        <v>116.67</v>
      </c>
      <c r="AJ187" s="220">
        <f t="shared" si="513"/>
        <v>-19.329999999999998</v>
      </c>
      <c r="AK187" s="216">
        <f t="shared" si="410"/>
        <v>235.32999999999998</v>
      </c>
      <c r="AL187" s="220">
        <f t="shared" si="425"/>
        <v>129.9</v>
      </c>
      <c r="AM187" s="220">
        <f t="shared" si="426"/>
        <v>375.2</v>
      </c>
      <c r="AN187" s="221">
        <f t="shared" si="427"/>
        <v>505.1</v>
      </c>
      <c r="AO187" s="220">
        <f t="shared" si="428"/>
        <v>20</v>
      </c>
      <c r="AP187" s="220">
        <f t="shared" si="429"/>
        <v>0</v>
      </c>
      <c r="AQ187" s="220">
        <f t="shared" si="430"/>
        <v>20</v>
      </c>
      <c r="AR187" s="220">
        <f t="shared" si="431"/>
        <v>80</v>
      </c>
      <c r="AS187" s="220">
        <f t="shared" si="432"/>
        <v>20</v>
      </c>
      <c r="AT187" s="216">
        <f t="shared" si="433"/>
        <v>645.1</v>
      </c>
      <c r="AU187" s="222">
        <f t="shared" si="395"/>
        <v>269.77000000000004</v>
      </c>
      <c r="AV187" s="220"/>
      <c r="AW187" s="220">
        <f t="shared" si="532"/>
        <v>269.77000000000004</v>
      </c>
      <c r="AX187" s="216">
        <f t="shared" si="411"/>
        <v>0</v>
      </c>
      <c r="AY187" s="220">
        <f t="shared" si="539"/>
        <v>20</v>
      </c>
      <c r="AZ187" s="220">
        <f t="shared" si="540"/>
        <v>0</v>
      </c>
      <c r="BA187" s="220">
        <f t="shared" si="541"/>
        <v>20</v>
      </c>
      <c r="BB187" s="220">
        <f t="shared" si="542"/>
        <v>80</v>
      </c>
      <c r="BC187" s="220">
        <f t="shared" si="543"/>
        <v>20</v>
      </c>
      <c r="BD187" s="216">
        <f t="shared" si="375"/>
        <v>140</v>
      </c>
      <c r="BE187" s="220">
        <f t="shared" si="533"/>
        <v>0</v>
      </c>
      <c r="BF187" s="220">
        <f t="shared" si="534"/>
        <v>0</v>
      </c>
      <c r="BG187" s="220">
        <f t="shared" si="535"/>
        <v>0</v>
      </c>
      <c r="BH187" s="220">
        <f t="shared" si="536"/>
        <v>0</v>
      </c>
      <c r="BI187" s="220">
        <f t="shared" si="537"/>
        <v>0</v>
      </c>
      <c r="BJ187" s="220" t="s">
        <v>1117</v>
      </c>
      <c r="BK187" s="220"/>
      <c r="BL187" s="223">
        <f t="shared" si="412"/>
        <v>269.77000000000004</v>
      </c>
      <c r="BM187" s="220">
        <v>6.2</v>
      </c>
      <c r="BN187" s="220"/>
      <c r="BO187" s="220">
        <f t="shared" si="561"/>
        <v>6.2</v>
      </c>
      <c r="BP187" s="220">
        <f>IF(AND(BL187&gt;0,BL187&lt;tiet!$D$1),BL187,IF(BL187&lt;=0,0,IF(BL187&gt;tiet!$C$1,tiet!$C$1)))</f>
        <v>200</v>
      </c>
      <c r="BQ187" s="87">
        <f t="shared" si="509"/>
        <v>75000</v>
      </c>
      <c r="BR187" s="224">
        <f t="shared" si="510"/>
        <v>15000000</v>
      </c>
      <c r="BS187" s="220">
        <f t="shared" si="434"/>
        <v>69.770000000000039</v>
      </c>
      <c r="BT187" s="224">
        <f>VLOOKUP(N187,ma_dinhmuc!$A$1:$J$31,10,0)</f>
        <v>65000</v>
      </c>
      <c r="BU187" s="224">
        <f>ROUND(IF(BS187&gt;0,VLOOKUP(N187,ma_dinhmuc!$A$1:$J$31,10,0)*BS187,0),0)</f>
        <v>4535050</v>
      </c>
      <c r="BV187" s="224">
        <f t="shared" si="511"/>
        <v>19535050</v>
      </c>
      <c r="BW187" s="224"/>
      <c r="BX187" s="224">
        <v>0</v>
      </c>
      <c r="BY187" s="224"/>
      <c r="BZ187" s="224"/>
      <c r="CA187" s="224"/>
      <c r="CB187" s="224"/>
      <c r="CC187" s="225">
        <f t="shared" si="544"/>
        <v>19535050</v>
      </c>
      <c r="CD187" s="224">
        <f t="shared" si="545"/>
        <v>0</v>
      </c>
      <c r="CE187" s="224"/>
      <c r="CF187" s="226"/>
      <c r="CG187" s="87"/>
      <c r="CH187" s="87">
        <f t="shared" ref="CH187:CH195" si="571">A187</f>
        <v>45</v>
      </c>
      <c r="CI187" s="227" t="str">
        <f t="shared" si="564"/>
        <v>Lê Thị</v>
      </c>
      <c r="CJ187" s="227" t="str">
        <f t="shared" si="564"/>
        <v>Giang</v>
      </c>
      <c r="CK187" s="87">
        <f>H187</f>
        <v>3</v>
      </c>
      <c r="CL187" s="227" t="str">
        <f t="shared" si="562"/>
        <v>Hệ thống thông tin đất đai</v>
      </c>
      <c r="CM187" s="87" t="str">
        <f t="shared" si="538"/>
        <v>CS4</v>
      </c>
      <c r="CN187" s="87">
        <f t="shared" si="565"/>
        <v>270</v>
      </c>
      <c r="CO187" s="87">
        <f t="shared" si="565"/>
        <v>170</v>
      </c>
      <c r="CP187" s="229">
        <f t="shared" si="444"/>
        <v>0</v>
      </c>
      <c r="CQ187" s="229">
        <f t="shared" si="445"/>
        <v>18.7</v>
      </c>
      <c r="CR187" s="229">
        <f t="shared" si="446"/>
        <v>0</v>
      </c>
      <c r="CS187" s="229">
        <f t="shared" si="447"/>
        <v>21.2</v>
      </c>
      <c r="CT187" s="229">
        <f t="shared" si="448"/>
        <v>0</v>
      </c>
      <c r="CU187" s="229">
        <f t="shared" si="449"/>
        <v>0</v>
      </c>
      <c r="CV187" s="229">
        <f t="shared" si="450"/>
        <v>0</v>
      </c>
      <c r="CW187" s="229">
        <f t="shared" si="451"/>
        <v>90</v>
      </c>
      <c r="CX187" s="229">
        <f t="shared" si="452"/>
        <v>0</v>
      </c>
      <c r="CY187" s="229">
        <f t="shared" si="453"/>
        <v>20</v>
      </c>
      <c r="CZ187" s="229">
        <f t="shared" si="454"/>
        <v>0</v>
      </c>
      <c r="DA187" s="229">
        <f t="shared" si="455"/>
        <v>20</v>
      </c>
      <c r="DB187" s="228">
        <f t="shared" si="423"/>
        <v>169.9</v>
      </c>
      <c r="DC187" s="229"/>
      <c r="DD187" s="229"/>
      <c r="DE187" s="229"/>
      <c r="DF187" s="229"/>
      <c r="DG187" s="229"/>
      <c r="DH187" s="229"/>
      <c r="DI187" s="229"/>
      <c r="DJ187" s="229"/>
      <c r="DK187" s="229"/>
      <c r="DL187" s="229"/>
      <c r="DM187" s="229"/>
      <c r="DN187" s="229"/>
      <c r="DO187" s="228">
        <f t="shared" si="436"/>
        <v>0</v>
      </c>
      <c r="DP187" s="228">
        <f t="shared" si="437"/>
        <v>169.9</v>
      </c>
      <c r="DQ187" s="229">
        <f t="shared" si="456"/>
        <v>351</v>
      </c>
      <c r="DR187" s="229">
        <f t="shared" si="457"/>
        <v>17.2</v>
      </c>
      <c r="DS187" s="229">
        <f t="shared" si="458"/>
        <v>0</v>
      </c>
      <c r="DT187" s="229">
        <f t="shared" si="459"/>
        <v>7</v>
      </c>
      <c r="DU187" s="229">
        <f t="shared" si="460"/>
        <v>0</v>
      </c>
      <c r="DV187" s="229">
        <f t="shared" si="461"/>
        <v>80</v>
      </c>
      <c r="DW187" s="229">
        <f t="shared" si="462"/>
        <v>20</v>
      </c>
      <c r="DX187" s="228">
        <f t="shared" si="424"/>
        <v>475.2</v>
      </c>
      <c r="DY187" s="229"/>
      <c r="DZ187" s="229"/>
      <c r="EA187" s="229"/>
      <c r="EB187" s="229"/>
      <c r="EC187" s="229"/>
      <c r="ED187" s="229"/>
      <c r="EE187" s="229"/>
      <c r="EF187" s="228">
        <f t="shared" si="438"/>
        <v>0</v>
      </c>
      <c r="EG187" s="228">
        <f t="shared" si="439"/>
        <v>475.2</v>
      </c>
      <c r="EH187" s="229">
        <f t="shared" si="440"/>
        <v>116.67</v>
      </c>
      <c r="EI187" s="229">
        <v>0</v>
      </c>
      <c r="EJ187" s="228">
        <f>SUM(EH187:EI187)</f>
        <v>116.67</v>
      </c>
      <c r="EK187" s="229"/>
      <c r="EL187" s="229"/>
      <c r="EM187" s="228">
        <f t="shared" si="563"/>
        <v>0</v>
      </c>
      <c r="EN187" s="229">
        <f t="shared" si="413"/>
        <v>116.67</v>
      </c>
      <c r="EO187" s="229">
        <f t="shared" si="388"/>
        <v>0</v>
      </c>
      <c r="EP187" s="228">
        <f t="shared" si="559"/>
        <v>116.67</v>
      </c>
      <c r="EQ187" s="173">
        <f t="shared" si="441"/>
        <v>0</v>
      </c>
      <c r="ER187" s="189">
        <v>0</v>
      </c>
      <c r="ES187" s="189">
        <v>18.7</v>
      </c>
      <c r="ET187" s="189">
        <v>0</v>
      </c>
      <c r="EU187" s="189">
        <v>21.2</v>
      </c>
      <c r="EV187" s="189">
        <v>0</v>
      </c>
      <c r="EW187" s="189">
        <v>0</v>
      </c>
      <c r="EX187" s="189">
        <v>0</v>
      </c>
      <c r="EY187" s="189">
        <v>90</v>
      </c>
      <c r="EZ187" s="189">
        <v>0</v>
      </c>
      <c r="FA187" s="189">
        <v>20</v>
      </c>
      <c r="FB187" s="189">
        <v>0</v>
      </c>
      <c r="FC187" s="189">
        <v>20</v>
      </c>
      <c r="FD187" s="189">
        <v>351</v>
      </c>
      <c r="FE187" s="189">
        <v>17.2</v>
      </c>
      <c r="FF187" s="189">
        <v>0</v>
      </c>
      <c r="FG187" s="189">
        <v>7</v>
      </c>
      <c r="FH187" s="189">
        <v>80</v>
      </c>
      <c r="FI187" s="189">
        <v>0</v>
      </c>
      <c r="FJ187" s="189">
        <v>20</v>
      </c>
      <c r="FK187" s="189">
        <v>645.1</v>
      </c>
      <c r="FL187" s="189">
        <v>466.2</v>
      </c>
      <c r="FN187" s="132">
        <v>116.67</v>
      </c>
    </row>
    <row r="188" spans="1:170" ht="30" customHeight="1">
      <c r="A188" s="88">
        <f>COUNTIF($H$12:H188,H188)</f>
        <v>46</v>
      </c>
      <c r="B188" s="88" t="s">
        <v>92</v>
      </c>
      <c r="C188" s="88" t="s">
        <v>2495</v>
      </c>
      <c r="D188" s="88"/>
      <c r="E188" s="88"/>
      <c r="F188" s="301" t="s">
        <v>1601</v>
      </c>
      <c r="G188" s="89" t="s">
        <v>1789</v>
      </c>
      <c r="H188" s="88">
        <v>3</v>
      </c>
      <c r="I188" s="88">
        <v>3</v>
      </c>
      <c r="J188" s="88">
        <v>3</v>
      </c>
      <c r="K188" s="90" t="s">
        <v>2952</v>
      </c>
      <c r="L188" s="90" t="s">
        <v>2952</v>
      </c>
      <c r="M188" s="214"/>
      <c r="N188" s="88" t="s">
        <v>606</v>
      </c>
      <c r="O188" s="216">
        <f t="shared" si="516"/>
        <v>4.4000000000000004</v>
      </c>
      <c r="P188" s="88" t="str">
        <f t="shared" si="468"/>
        <v>B1_4</v>
      </c>
      <c r="Q188" s="88">
        <f t="shared" si="527"/>
        <v>270</v>
      </c>
      <c r="R188" s="88">
        <f t="shared" si="528"/>
        <v>120</v>
      </c>
      <c r="S188" s="234" t="s">
        <v>2980</v>
      </c>
      <c r="T188" s="88" t="s">
        <v>3090</v>
      </c>
      <c r="U188" s="88">
        <f>IF(RIGHT(T188,1)="K",(VLOOKUP(T188,ma_miengiam!$A$3:$B$80,2,0)*100)/2,VLOOKUP(T188,ma_miengiam!$A$3:$B$80,2,0)*100)</f>
        <v>15</v>
      </c>
      <c r="V188" s="88"/>
      <c r="W188" s="220">
        <f>IF(AND(T188="NTS",V188&gt;0),(Q188-(Q188*V188)/12)*VLOOKUP(T188,ma_miengiam!$A$3:$B$80,2,0)+(Q188-(Q188*(12-V188))/12),IF(AND(RIGHT(T188,1)="K",V188&gt;0),(VLOOKUP(T188,ma_miengiam!$A$3:$B$80,2,0)/2)*(Q188*V188)/12,IF(RIGHT(T188,1)="K",(VLOOKUP(T188,ma_miengiam!$A$3:$B$80,2,0)*Q188)/2,IF(V188&gt;0,VLOOKUP(T188,ma_miengiam!$A$3:$B$80,2,0)*Q188*V188/12,VLOOKUP(T188,ma_miengiam!$A$3:$B$80,2,0)*Q188))))</f>
        <v>40.5</v>
      </c>
      <c r="X188" s="220">
        <f>IF(T188="NTS",VLOOKUP(T188,ma_miengiam!$A$3:$B$80,2,0)*R188*V188,IF(AND(T188="NTS",V188=0),0,IF(AND(LEFT(T188,1)="K",V188=0),VLOOKUP(T188,ma_miengiam!$A$3:$B$80,2,0)*R188,IF(LEFT(T188,1)="K",(VLOOKUP(T188,ma_miengiam!$A$3:$B$80,2,0)*R188/12)*V188,IF(AND(LEFT(T188,1)="S",V188&gt;0),(R188/12)*V188,IF(AND(LEFT(T188,1)="S",V188=0),R188,IF(T188="DH",VLOOKUP(T188,ma_miengiam!$A$3:$B$80,2,0)*R188,0)))))))</f>
        <v>0</v>
      </c>
      <c r="Y188" s="220">
        <f t="shared" si="503"/>
        <v>229.5</v>
      </c>
      <c r="Z188" s="220">
        <f t="shared" si="504"/>
        <v>120</v>
      </c>
      <c r="AA188" s="220">
        <f t="shared" ref="AA188:AB190" si="572">Q188</f>
        <v>270</v>
      </c>
      <c r="AB188" s="220">
        <f t="shared" si="572"/>
        <v>120</v>
      </c>
      <c r="AC188" s="220">
        <f t="shared" ref="AC188:AF190" si="573">W188</f>
        <v>40.5</v>
      </c>
      <c r="AD188" s="220">
        <f t="shared" si="573"/>
        <v>0</v>
      </c>
      <c r="AE188" s="220">
        <f t="shared" si="573"/>
        <v>229.5</v>
      </c>
      <c r="AF188" s="220">
        <f t="shared" si="573"/>
        <v>120</v>
      </c>
      <c r="AG188" s="220">
        <f t="shared" si="567"/>
        <v>236.08</v>
      </c>
      <c r="AH188" s="220">
        <f t="shared" si="568"/>
        <v>0</v>
      </c>
      <c r="AI188" s="220">
        <f t="shared" si="569"/>
        <v>236.08</v>
      </c>
      <c r="AJ188" s="220">
        <f t="shared" si="513"/>
        <v>0</v>
      </c>
      <c r="AK188" s="216">
        <f t="shared" si="410"/>
        <v>229.5</v>
      </c>
      <c r="AL188" s="220">
        <f t="shared" si="425"/>
        <v>205.8</v>
      </c>
      <c r="AM188" s="220">
        <f t="shared" si="426"/>
        <v>342.3</v>
      </c>
      <c r="AN188" s="221">
        <f t="shared" si="427"/>
        <v>548.1</v>
      </c>
      <c r="AO188" s="220">
        <f t="shared" si="428"/>
        <v>0</v>
      </c>
      <c r="AP188" s="220">
        <f t="shared" si="429"/>
        <v>0</v>
      </c>
      <c r="AQ188" s="220">
        <f t="shared" si="430"/>
        <v>20</v>
      </c>
      <c r="AR188" s="220">
        <f t="shared" si="431"/>
        <v>120</v>
      </c>
      <c r="AS188" s="220">
        <f t="shared" si="432"/>
        <v>0</v>
      </c>
      <c r="AT188" s="216">
        <f t="shared" si="433"/>
        <v>688.1</v>
      </c>
      <c r="AU188" s="222">
        <f t="shared" ref="AU188:AU227" si="574">AN188-AK188</f>
        <v>318.60000000000002</v>
      </c>
      <c r="AV188" s="220"/>
      <c r="AW188" s="220">
        <f t="shared" si="532"/>
        <v>318.60000000000002</v>
      </c>
      <c r="AX188" s="216">
        <f t="shared" si="411"/>
        <v>0</v>
      </c>
      <c r="AY188" s="220">
        <f t="shared" si="539"/>
        <v>0</v>
      </c>
      <c r="AZ188" s="220">
        <f t="shared" si="540"/>
        <v>0</v>
      </c>
      <c r="BA188" s="220">
        <f t="shared" si="541"/>
        <v>20</v>
      </c>
      <c r="BB188" s="220">
        <f t="shared" si="542"/>
        <v>120</v>
      </c>
      <c r="BC188" s="220">
        <f t="shared" si="543"/>
        <v>0</v>
      </c>
      <c r="BD188" s="216">
        <f t="shared" ref="BD188:BD247" si="575">SUM(AY188:BC188)</f>
        <v>140</v>
      </c>
      <c r="BE188" s="220">
        <f t="shared" si="533"/>
        <v>0</v>
      </c>
      <c r="BF188" s="220">
        <f t="shared" si="534"/>
        <v>0</v>
      </c>
      <c r="BG188" s="220">
        <f t="shared" si="535"/>
        <v>0</v>
      </c>
      <c r="BH188" s="220">
        <f t="shared" si="536"/>
        <v>0</v>
      </c>
      <c r="BI188" s="220">
        <f t="shared" si="537"/>
        <v>0</v>
      </c>
      <c r="BJ188" s="220" t="s">
        <v>1117</v>
      </c>
      <c r="BK188" s="220"/>
      <c r="BL188" s="223">
        <f t="shared" si="412"/>
        <v>318.60000000000002</v>
      </c>
      <c r="BM188" s="220">
        <v>4.4000000000000004</v>
      </c>
      <c r="BN188" s="220"/>
      <c r="BO188" s="220">
        <f t="shared" si="561"/>
        <v>4.4000000000000004</v>
      </c>
      <c r="BP188" s="220">
        <f>IF(AND(BL188&gt;0,BL188&lt;tiet!$D$1),BL188,IF(BL188&lt;=0,0,IF(BL188&gt;tiet!$C$1,tiet!$C$1)))</f>
        <v>200</v>
      </c>
      <c r="BQ188" s="87">
        <f t="shared" si="509"/>
        <v>65000</v>
      </c>
      <c r="BR188" s="224">
        <f t="shared" si="510"/>
        <v>13000000</v>
      </c>
      <c r="BS188" s="220">
        <f t="shared" si="434"/>
        <v>118.60000000000002</v>
      </c>
      <c r="BT188" s="224">
        <f>VLOOKUP(N188,ma_dinhmuc!$A$1:$J$31,10,0)</f>
        <v>55000</v>
      </c>
      <c r="BU188" s="224">
        <f>ROUND(IF(BS188&gt;0,VLOOKUP(N188,ma_dinhmuc!$A$1:$J$31,10,0)*BS188,0),0)</f>
        <v>6523000</v>
      </c>
      <c r="BV188" s="224">
        <f t="shared" si="511"/>
        <v>19523000</v>
      </c>
      <c r="BW188" s="224"/>
      <c r="BX188" s="224">
        <v>0</v>
      </c>
      <c r="BY188" s="224"/>
      <c r="BZ188" s="224"/>
      <c r="CA188" s="224"/>
      <c r="CB188" s="224"/>
      <c r="CC188" s="225">
        <f t="shared" si="544"/>
        <v>19523000</v>
      </c>
      <c r="CD188" s="224">
        <f t="shared" si="545"/>
        <v>0</v>
      </c>
      <c r="CE188" s="224"/>
      <c r="CF188" s="226"/>
      <c r="CG188" s="87"/>
      <c r="CH188" s="87">
        <f t="shared" si="571"/>
        <v>46</v>
      </c>
      <c r="CI188" s="227" t="str">
        <f t="shared" si="555"/>
        <v>Phạm Văn</v>
      </c>
      <c r="CJ188" s="227" t="str">
        <f t="shared" si="556"/>
        <v>Vân</v>
      </c>
      <c r="CK188" s="87">
        <f t="shared" si="557"/>
        <v>3</v>
      </c>
      <c r="CL188" s="227" t="str">
        <f t="shared" si="562"/>
        <v>Hệ thống thông tin đất đai</v>
      </c>
      <c r="CM188" s="87" t="str">
        <f t="shared" si="538"/>
        <v>CS3</v>
      </c>
      <c r="CN188" s="87">
        <f>Q188</f>
        <v>270</v>
      </c>
      <c r="CO188" s="87">
        <f t="shared" si="553"/>
        <v>120</v>
      </c>
      <c r="CP188" s="229">
        <f t="shared" si="444"/>
        <v>0</v>
      </c>
      <c r="CQ188" s="229">
        <f t="shared" si="445"/>
        <v>28.6</v>
      </c>
      <c r="CR188" s="229">
        <f t="shared" si="446"/>
        <v>11.5</v>
      </c>
      <c r="CS188" s="229">
        <f t="shared" si="447"/>
        <v>21.2</v>
      </c>
      <c r="CT188" s="229">
        <f t="shared" si="448"/>
        <v>0</v>
      </c>
      <c r="CU188" s="229">
        <f t="shared" si="449"/>
        <v>114.5</v>
      </c>
      <c r="CV188" s="229">
        <f t="shared" si="450"/>
        <v>0</v>
      </c>
      <c r="CW188" s="229">
        <f t="shared" si="451"/>
        <v>30</v>
      </c>
      <c r="CX188" s="229">
        <f t="shared" si="452"/>
        <v>0</v>
      </c>
      <c r="CY188" s="229">
        <f t="shared" si="453"/>
        <v>0</v>
      </c>
      <c r="CZ188" s="229">
        <f t="shared" si="454"/>
        <v>0</v>
      </c>
      <c r="DA188" s="229">
        <f t="shared" si="455"/>
        <v>20</v>
      </c>
      <c r="DB188" s="228">
        <f t="shared" si="423"/>
        <v>225.8</v>
      </c>
      <c r="DC188" s="229"/>
      <c r="DD188" s="229"/>
      <c r="DE188" s="229"/>
      <c r="DF188" s="229"/>
      <c r="DG188" s="229"/>
      <c r="DH188" s="229"/>
      <c r="DI188" s="229"/>
      <c r="DJ188" s="229"/>
      <c r="DK188" s="229"/>
      <c r="DL188" s="229"/>
      <c r="DM188" s="229"/>
      <c r="DN188" s="229"/>
      <c r="DO188" s="228">
        <f t="shared" si="436"/>
        <v>0</v>
      </c>
      <c r="DP188" s="228">
        <f t="shared" si="437"/>
        <v>225.8</v>
      </c>
      <c r="DQ188" s="229">
        <f t="shared" si="456"/>
        <v>324</v>
      </c>
      <c r="DR188" s="229">
        <f t="shared" si="457"/>
        <v>13</v>
      </c>
      <c r="DS188" s="229">
        <f t="shared" si="458"/>
        <v>0</v>
      </c>
      <c r="DT188" s="229">
        <f t="shared" si="459"/>
        <v>5.3</v>
      </c>
      <c r="DU188" s="229">
        <f t="shared" si="460"/>
        <v>0</v>
      </c>
      <c r="DV188" s="229">
        <f t="shared" si="461"/>
        <v>120</v>
      </c>
      <c r="DW188" s="229">
        <f t="shared" si="462"/>
        <v>0</v>
      </c>
      <c r="DX188" s="228">
        <f t="shared" si="424"/>
        <v>462.3</v>
      </c>
      <c r="DY188" s="229"/>
      <c r="DZ188" s="229"/>
      <c r="EA188" s="229"/>
      <c r="EB188" s="229"/>
      <c r="EC188" s="229"/>
      <c r="ED188" s="229"/>
      <c r="EE188" s="229"/>
      <c r="EF188" s="228">
        <f t="shared" si="438"/>
        <v>0</v>
      </c>
      <c r="EG188" s="228">
        <f t="shared" si="439"/>
        <v>462.3</v>
      </c>
      <c r="EH188" s="229">
        <f t="shared" si="440"/>
        <v>236.08</v>
      </c>
      <c r="EI188" s="229">
        <v>0</v>
      </c>
      <c r="EJ188" s="228">
        <f t="shared" si="517"/>
        <v>236.08</v>
      </c>
      <c r="EK188" s="229"/>
      <c r="EL188" s="229"/>
      <c r="EM188" s="228">
        <f t="shared" si="563"/>
        <v>0</v>
      </c>
      <c r="EN188" s="229">
        <f t="shared" ref="EN188:EN225" si="576">EK188+EH188+EL188</f>
        <v>236.08</v>
      </c>
      <c r="EO188" s="229">
        <f t="shared" ref="EO188:EO227" si="577">EI188</f>
        <v>0</v>
      </c>
      <c r="EP188" s="228">
        <f t="shared" ref="EP188:EP194" si="578">EM188+EJ188</f>
        <v>236.08</v>
      </c>
      <c r="EQ188" s="173">
        <f t="shared" si="441"/>
        <v>116.08000000000001</v>
      </c>
      <c r="ER188" s="189">
        <v>0</v>
      </c>
      <c r="ES188" s="189">
        <v>28.6</v>
      </c>
      <c r="ET188" s="189">
        <v>11.5</v>
      </c>
      <c r="EU188" s="189">
        <v>21.2</v>
      </c>
      <c r="EV188" s="189">
        <v>0</v>
      </c>
      <c r="EW188" s="189">
        <v>114.5</v>
      </c>
      <c r="EX188" s="189">
        <v>0</v>
      </c>
      <c r="EY188" s="189">
        <v>30</v>
      </c>
      <c r="EZ188" s="189">
        <v>0</v>
      </c>
      <c r="FA188" s="189">
        <v>0</v>
      </c>
      <c r="FB188" s="189">
        <v>0</v>
      </c>
      <c r="FC188" s="189">
        <v>20</v>
      </c>
      <c r="FD188" s="189">
        <v>324</v>
      </c>
      <c r="FE188" s="189">
        <v>13</v>
      </c>
      <c r="FF188" s="189">
        <v>0</v>
      </c>
      <c r="FG188" s="189">
        <v>5.3</v>
      </c>
      <c r="FH188" s="189">
        <v>120</v>
      </c>
      <c r="FI188" s="189">
        <v>0</v>
      </c>
      <c r="FJ188" s="189">
        <v>0</v>
      </c>
      <c r="FK188" s="189">
        <v>688.1</v>
      </c>
      <c r="FL188" s="189">
        <v>503.2</v>
      </c>
      <c r="FN188" s="132">
        <v>236.08</v>
      </c>
    </row>
    <row r="189" spans="1:170" ht="30" customHeight="1">
      <c r="A189" s="88">
        <f>COUNTIF($H$12:H189,H189)</f>
        <v>47</v>
      </c>
      <c r="B189" s="88" t="s">
        <v>93</v>
      </c>
      <c r="C189" s="88" t="s">
        <v>2496</v>
      </c>
      <c r="D189" s="88"/>
      <c r="E189" s="88"/>
      <c r="F189" s="301" t="s">
        <v>1499</v>
      </c>
      <c r="G189" s="303" t="s">
        <v>3021</v>
      </c>
      <c r="H189" s="88">
        <v>3</v>
      </c>
      <c r="I189" s="88">
        <v>3</v>
      </c>
      <c r="J189" s="88">
        <v>3</v>
      </c>
      <c r="K189" s="90" t="s">
        <v>2952</v>
      </c>
      <c r="L189" s="90" t="s">
        <v>2952</v>
      </c>
      <c r="M189" s="214"/>
      <c r="N189" s="88" t="s">
        <v>605</v>
      </c>
      <c r="O189" s="216">
        <f t="shared" si="516"/>
        <v>6.2</v>
      </c>
      <c r="P189" s="88" t="str">
        <f t="shared" si="468"/>
        <v>B1_6</v>
      </c>
      <c r="Q189" s="88">
        <f t="shared" si="527"/>
        <v>270</v>
      </c>
      <c r="R189" s="88">
        <f t="shared" si="528"/>
        <v>170</v>
      </c>
      <c r="S189" s="234" t="s">
        <v>2981</v>
      </c>
      <c r="T189" s="219" t="s">
        <v>3092</v>
      </c>
      <c r="U189" s="88">
        <f>IF(RIGHT(T189,1)="K",(VLOOKUP(T189,ma_miengiam!$A$3:$B$80,2,0)*100)/2,VLOOKUP(T189,ma_miengiam!$A$3:$B$80,2,0)*100)</f>
        <v>25</v>
      </c>
      <c r="V189" s="88"/>
      <c r="W189" s="220">
        <f>IF(AND(T189="NTS",V189&gt;0),(Q189-(Q189*V189)/12)*VLOOKUP(T189,ma_miengiam!$A$3:$B$80,2,0)+(Q189-(Q189*(12-V189))/12),IF(AND(RIGHT(T189,1)="K",V189&gt;0),(VLOOKUP(T189,ma_miengiam!$A$3:$B$80,2,0)/2)*(Q189*V189)/12,IF(RIGHT(T189,1)="K",(VLOOKUP(T189,ma_miengiam!$A$3:$B$80,2,0)*Q189)/2,IF(V189&gt;0,VLOOKUP(T189,ma_miengiam!$A$3:$B$80,2,0)*Q189*V189/12,VLOOKUP(T189,ma_miengiam!$A$3:$B$80,2,0)*Q189))))</f>
        <v>67.5</v>
      </c>
      <c r="X189" s="220">
        <f>IF(T189="NTS",VLOOKUP(T189,ma_miengiam!$A$3:$B$80,2,0)*R189*V189,IF(AND(T189="NTS",V189=0),0,IF(AND(LEFT(T189,1)="K",V189=0),VLOOKUP(T189,ma_miengiam!$A$3:$B$80,2,0)*R189,IF(LEFT(T189,1)="K",(VLOOKUP(T189,ma_miengiam!$A$3:$B$80,2,0)*R189/12)*V189,IF(AND(LEFT(T189,1)="S",V189&gt;0),(R189/12)*V189,IF(AND(LEFT(T189,1)="S",V189=0),R189,IF(T189="DH",VLOOKUP(T189,ma_miengiam!$A$3:$B$80,2,0)*R189,0)))))))</f>
        <v>0</v>
      </c>
      <c r="Y189" s="220">
        <f t="shared" si="503"/>
        <v>202.5</v>
      </c>
      <c r="Z189" s="220">
        <f t="shared" si="504"/>
        <v>170</v>
      </c>
      <c r="AA189" s="220">
        <f t="shared" si="572"/>
        <v>270</v>
      </c>
      <c r="AB189" s="220">
        <f t="shared" si="572"/>
        <v>170</v>
      </c>
      <c r="AC189" s="220">
        <f t="shared" si="573"/>
        <v>67.5</v>
      </c>
      <c r="AD189" s="220">
        <f t="shared" si="573"/>
        <v>0</v>
      </c>
      <c r="AE189" s="220">
        <f t="shared" si="573"/>
        <v>202.5</v>
      </c>
      <c r="AF189" s="220">
        <f t="shared" si="573"/>
        <v>170</v>
      </c>
      <c r="AG189" s="220">
        <f t="shared" si="567"/>
        <v>134.38999999999999</v>
      </c>
      <c r="AH189" s="220">
        <f t="shared" si="568"/>
        <v>82.3</v>
      </c>
      <c r="AI189" s="220">
        <f t="shared" si="569"/>
        <v>52.09</v>
      </c>
      <c r="AJ189" s="220">
        <f t="shared" si="513"/>
        <v>-35.610000000000014</v>
      </c>
      <c r="AK189" s="216">
        <f t="shared" si="410"/>
        <v>238.11</v>
      </c>
      <c r="AL189" s="220">
        <f t="shared" si="425"/>
        <v>54.7</v>
      </c>
      <c r="AM189" s="220">
        <f t="shared" si="426"/>
        <v>362.59999999999997</v>
      </c>
      <c r="AN189" s="221">
        <f t="shared" si="427"/>
        <v>417.29999999999995</v>
      </c>
      <c r="AO189" s="220">
        <f t="shared" si="428"/>
        <v>0</v>
      </c>
      <c r="AP189" s="220">
        <f t="shared" si="429"/>
        <v>0</v>
      </c>
      <c r="AQ189" s="220">
        <f t="shared" si="430"/>
        <v>0</v>
      </c>
      <c r="AR189" s="220">
        <f t="shared" si="431"/>
        <v>120</v>
      </c>
      <c r="AS189" s="220">
        <f t="shared" si="432"/>
        <v>20</v>
      </c>
      <c r="AT189" s="216">
        <f t="shared" si="433"/>
        <v>557.29999999999995</v>
      </c>
      <c r="AU189" s="222">
        <f t="shared" si="574"/>
        <v>179.18999999999994</v>
      </c>
      <c r="AV189" s="220"/>
      <c r="AW189" s="220">
        <f t="shared" si="532"/>
        <v>179.18999999999994</v>
      </c>
      <c r="AX189" s="216">
        <f t="shared" si="411"/>
        <v>0</v>
      </c>
      <c r="AY189" s="220">
        <f t="shared" si="539"/>
        <v>0</v>
      </c>
      <c r="AZ189" s="220">
        <f t="shared" si="540"/>
        <v>0</v>
      </c>
      <c r="BA189" s="220">
        <f t="shared" si="541"/>
        <v>0</v>
      </c>
      <c r="BB189" s="220">
        <f t="shared" si="542"/>
        <v>120</v>
      </c>
      <c r="BC189" s="220">
        <f t="shared" si="543"/>
        <v>20</v>
      </c>
      <c r="BD189" s="216">
        <f t="shared" si="575"/>
        <v>140</v>
      </c>
      <c r="BE189" s="220">
        <f t="shared" si="533"/>
        <v>0</v>
      </c>
      <c r="BF189" s="220">
        <f t="shared" si="534"/>
        <v>0</v>
      </c>
      <c r="BG189" s="220">
        <f t="shared" si="535"/>
        <v>0</v>
      </c>
      <c r="BH189" s="220">
        <f t="shared" si="536"/>
        <v>0</v>
      </c>
      <c r="BI189" s="220">
        <f t="shared" si="537"/>
        <v>0</v>
      </c>
      <c r="BJ189" s="220" t="s">
        <v>1117</v>
      </c>
      <c r="BK189" s="220"/>
      <c r="BL189" s="223">
        <f t="shared" si="412"/>
        <v>179.18999999999994</v>
      </c>
      <c r="BM189" s="220">
        <v>6.2</v>
      </c>
      <c r="BN189" s="220"/>
      <c r="BO189" s="220">
        <f t="shared" si="561"/>
        <v>6.2</v>
      </c>
      <c r="BP189" s="220">
        <f>IF(AND(BL189&gt;0,BL189&lt;tiet!$D$1),BL189,IF(BL189&lt;=0,0,IF(BL189&gt;tiet!$C$1,tiet!$C$1)))</f>
        <v>179.18999999999994</v>
      </c>
      <c r="BQ189" s="87">
        <f t="shared" si="509"/>
        <v>75000</v>
      </c>
      <c r="BR189" s="224">
        <f t="shared" si="510"/>
        <v>13439250</v>
      </c>
      <c r="BS189" s="220">
        <f t="shared" si="434"/>
        <v>0</v>
      </c>
      <c r="BT189" s="224">
        <f>VLOOKUP(N189,ma_dinhmuc!$A$1:$J$31,10,0)</f>
        <v>65000</v>
      </c>
      <c r="BU189" s="224">
        <f>ROUND(IF(BS189&gt;0,VLOOKUP(N189,ma_dinhmuc!$A$1:$J$31,10,0)*BS189,0),0)</f>
        <v>0</v>
      </c>
      <c r="BV189" s="224">
        <f t="shared" si="511"/>
        <v>13439250</v>
      </c>
      <c r="BW189" s="224"/>
      <c r="BX189" s="224">
        <v>0</v>
      </c>
      <c r="BY189" s="224"/>
      <c r="BZ189" s="224"/>
      <c r="CA189" s="224"/>
      <c r="CB189" s="224"/>
      <c r="CC189" s="225">
        <f t="shared" si="544"/>
        <v>13439250</v>
      </c>
      <c r="CD189" s="224">
        <f t="shared" si="545"/>
        <v>0</v>
      </c>
      <c r="CE189" s="224"/>
      <c r="CF189" s="226"/>
      <c r="CG189" s="87"/>
      <c r="CH189" s="87">
        <f t="shared" si="571"/>
        <v>47</v>
      </c>
      <c r="CI189" s="227" t="str">
        <f t="shared" si="555"/>
        <v>Trần Quốc</v>
      </c>
      <c r="CJ189" s="227" t="str">
        <f t="shared" si="556"/>
        <v>Vinh</v>
      </c>
      <c r="CK189" s="87">
        <f t="shared" si="557"/>
        <v>3</v>
      </c>
      <c r="CL189" s="227" t="str">
        <f t="shared" si="562"/>
        <v>Hệ thống thông tin đất đai</v>
      </c>
      <c r="CM189" s="87" t="str">
        <f t="shared" si="538"/>
        <v>CS4</v>
      </c>
      <c r="CN189" s="87">
        <f>Q189</f>
        <v>270</v>
      </c>
      <c r="CO189" s="87">
        <f t="shared" si="553"/>
        <v>170</v>
      </c>
      <c r="CP189" s="229">
        <f t="shared" si="444"/>
        <v>0</v>
      </c>
      <c r="CQ189" s="229">
        <f t="shared" si="445"/>
        <v>2.5</v>
      </c>
      <c r="CR189" s="229">
        <f t="shared" si="446"/>
        <v>1</v>
      </c>
      <c r="CS189" s="229">
        <f t="shared" si="447"/>
        <v>21.2</v>
      </c>
      <c r="CT189" s="229">
        <f t="shared" si="448"/>
        <v>0</v>
      </c>
      <c r="CU189" s="229">
        <f t="shared" si="449"/>
        <v>30</v>
      </c>
      <c r="CV189" s="229">
        <f t="shared" si="450"/>
        <v>0</v>
      </c>
      <c r="CW189" s="229">
        <f t="shared" si="451"/>
        <v>0</v>
      </c>
      <c r="CX189" s="229">
        <f t="shared" si="452"/>
        <v>0</v>
      </c>
      <c r="CY189" s="229">
        <f t="shared" si="453"/>
        <v>0</v>
      </c>
      <c r="CZ189" s="229">
        <f t="shared" si="454"/>
        <v>0</v>
      </c>
      <c r="DA189" s="229">
        <f t="shared" si="455"/>
        <v>0</v>
      </c>
      <c r="DB189" s="228">
        <f t="shared" si="423"/>
        <v>54.7</v>
      </c>
      <c r="DC189" s="229"/>
      <c r="DD189" s="229"/>
      <c r="DE189" s="229"/>
      <c r="DF189" s="229"/>
      <c r="DG189" s="229"/>
      <c r="DH189" s="229"/>
      <c r="DI189" s="229"/>
      <c r="DJ189" s="229"/>
      <c r="DK189" s="229"/>
      <c r="DL189" s="229"/>
      <c r="DM189" s="229"/>
      <c r="DN189" s="229"/>
      <c r="DO189" s="228">
        <f t="shared" si="436"/>
        <v>0</v>
      </c>
      <c r="DP189" s="228">
        <f t="shared" si="437"/>
        <v>54.7</v>
      </c>
      <c r="DQ189" s="229">
        <f t="shared" si="456"/>
        <v>297</v>
      </c>
      <c r="DR189" s="229">
        <f t="shared" si="457"/>
        <v>14.7</v>
      </c>
      <c r="DS189" s="229">
        <f t="shared" si="458"/>
        <v>0</v>
      </c>
      <c r="DT189" s="229">
        <f t="shared" si="459"/>
        <v>5.9</v>
      </c>
      <c r="DU189" s="229">
        <f t="shared" si="460"/>
        <v>45</v>
      </c>
      <c r="DV189" s="229">
        <f t="shared" si="461"/>
        <v>120</v>
      </c>
      <c r="DW189" s="229">
        <f t="shared" si="462"/>
        <v>20</v>
      </c>
      <c r="DX189" s="228">
        <f t="shared" si="424"/>
        <v>502.59999999999997</v>
      </c>
      <c r="DY189" s="229"/>
      <c r="DZ189" s="229"/>
      <c r="EA189" s="229"/>
      <c r="EB189" s="229"/>
      <c r="EC189" s="229"/>
      <c r="ED189" s="229"/>
      <c r="EE189" s="229"/>
      <c r="EF189" s="228">
        <f t="shared" si="438"/>
        <v>0</v>
      </c>
      <c r="EG189" s="228">
        <f t="shared" si="439"/>
        <v>502.59999999999997</v>
      </c>
      <c r="EH189" s="229">
        <f t="shared" si="440"/>
        <v>52.09</v>
      </c>
      <c r="EI189" s="229">
        <v>82.3</v>
      </c>
      <c r="EJ189" s="228">
        <f t="shared" si="517"/>
        <v>134.38999999999999</v>
      </c>
      <c r="EK189" s="229"/>
      <c r="EL189" s="229"/>
      <c r="EM189" s="228">
        <f t="shared" si="563"/>
        <v>0</v>
      </c>
      <c r="EN189" s="229">
        <f t="shared" si="576"/>
        <v>52.09</v>
      </c>
      <c r="EO189" s="229">
        <f t="shared" si="577"/>
        <v>82.3</v>
      </c>
      <c r="EP189" s="228">
        <f t="shared" si="578"/>
        <v>134.38999999999999</v>
      </c>
      <c r="EQ189" s="173">
        <f t="shared" si="441"/>
        <v>0</v>
      </c>
      <c r="ER189" s="189">
        <v>0</v>
      </c>
      <c r="ES189" s="189">
        <v>2.5</v>
      </c>
      <c r="ET189" s="189">
        <v>1</v>
      </c>
      <c r="EU189" s="189">
        <v>21.2</v>
      </c>
      <c r="EV189" s="189">
        <v>0</v>
      </c>
      <c r="EW189" s="189">
        <v>30</v>
      </c>
      <c r="EX189" s="189">
        <v>0</v>
      </c>
      <c r="EY189" s="189">
        <v>0</v>
      </c>
      <c r="EZ189" s="189">
        <v>0</v>
      </c>
      <c r="FA189" s="189">
        <v>0</v>
      </c>
      <c r="FB189" s="189">
        <v>0</v>
      </c>
      <c r="FC189" s="189">
        <v>0</v>
      </c>
      <c r="FD189" s="189">
        <v>297</v>
      </c>
      <c r="FE189" s="189">
        <v>14.7</v>
      </c>
      <c r="FF189" s="189">
        <v>0</v>
      </c>
      <c r="FG189" s="189">
        <v>5.9</v>
      </c>
      <c r="FH189" s="189">
        <v>120</v>
      </c>
      <c r="FI189" s="189">
        <v>45</v>
      </c>
      <c r="FJ189" s="189">
        <v>20</v>
      </c>
      <c r="FK189" s="189">
        <v>557.29999999999995</v>
      </c>
      <c r="FL189" s="189">
        <v>415.2</v>
      </c>
      <c r="FN189" s="132">
        <v>52.09</v>
      </c>
    </row>
    <row r="190" spans="1:170" ht="30" customHeight="1">
      <c r="A190" s="88">
        <f>COUNTIF($H$12:H190,H190)</f>
        <v>48</v>
      </c>
      <c r="B190" s="88" t="s">
        <v>94</v>
      </c>
      <c r="C190" s="88" t="s">
        <v>2497</v>
      </c>
      <c r="D190" s="88"/>
      <c r="E190" s="88" t="s">
        <v>354</v>
      </c>
      <c r="F190" s="301" t="s">
        <v>1500</v>
      </c>
      <c r="G190" s="89" t="s">
        <v>2819</v>
      </c>
      <c r="H190" s="88">
        <v>3</v>
      </c>
      <c r="I190" s="88">
        <v>3</v>
      </c>
      <c r="J190" s="88">
        <v>3</v>
      </c>
      <c r="K190" s="90" t="s">
        <v>2952</v>
      </c>
      <c r="L190" s="90" t="s">
        <v>2952</v>
      </c>
      <c r="M190" s="214"/>
      <c r="N190" s="88" t="s">
        <v>1804</v>
      </c>
      <c r="O190" s="216">
        <f t="shared" si="516"/>
        <v>3</v>
      </c>
      <c r="P190" s="88" t="str">
        <f t="shared" si="468"/>
        <v>B1_3</v>
      </c>
      <c r="Q190" s="88">
        <f t="shared" si="527"/>
        <v>270</v>
      </c>
      <c r="R190" s="88">
        <f t="shared" si="528"/>
        <v>100</v>
      </c>
      <c r="S190" s="218" t="s">
        <v>3131</v>
      </c>
      <c r="T190" s="88" t="s">
        <v>3088</v>
      </c>
      <c r="U190" s="88">
        <f>IF(RIGHT(T190,1)="K",(VLOOKUP(T190,ma_miengiam!$A$3:$B$80,2,0)*100)/2,VLOOKUP(T190,ma_miengiam!$A$3:$B$80,2,0)*100)</f>
        <v>0</v>
      </c>
      <c r="V190" s="88"/>
      <c r="W190" s="220">
        <f>IF(AND(T190="NTS",V190&gt;0),(Q190-(Q190*V190)/12)*VLOOKUP(T190,ma_miengiam!$A$3:$B$80,2,0)+(Q190-(Q190*(12-V190))/12),IF(AND(RIGHT(T190,1)="K",V190&gt;0),(VLOOKUP(T190,ma_miengiam!$A$3:$B$80,2,0)/2)*(Q190*V190)/12,IF(RIGHT(T190,1)="K",(VLOOKUP(T190,ma_miengiam!$A$3:$B$80,2,0)*Q190)/2,IF(V190&gt;0,VLOOKUP(T190,ma_miengiam!$A$3:$B$80,2,0)*Q190*V190/12,VLOOKUP(T190,ma_miengiam!$A$3:$B$80,2,0)*Q190))))</f>
        <v>0</v>
      </c>
      <c r="X190" s="220">
        <f>IF(T190="NTS",VLOOKUP(T190,ma_miengiam!$A$3:$B$80,2,0)*R190*V190,IF(AND(T190="NTS",V190=0),0,IF(AND(LEFT(T190,1)="K",V190=0),VLOOKUP(T190,ma_miengiam!$A$3:$B$80,2,0)*R190,IF(LEFT(T190,1)="K",(VLOOKUP(T190,ma_miengiam!$A$3:$B$80,2,0)*R190/12)*V190,IF(AND(LEFT(T190,1)="S",V190&gt;0),(R190/12)*V190,IF(AND(LEFT(T190,1)="S",V190=0),R190,IF(T190="DH",VLOOKUP(T190,ma_miengiam!$A$3:$B$80,2,0)*R190,0)))))))</f>
        <v>0</v>
      </c>
      <c r="Y190" s="220">
        <f t="shared" si="503"/>
        <v>270</v>
      </c>
      <c r="Z190" s="220">
        <f t="shared" si="504"/>
        <v>100</v>
      </c>
      <c r="AA190" s="220">
        <f t="shared" si="572"/>
        <v>270</v>
      </c>
      <c r="AB190" s="220">
        <f t="shared" si="572"/>
        <v>100</v>
      </c>
      <c r="AC190" s="220">
        <f t="shared" si="573"/>
        <v>0</v>
      </c>
      <c r="AD190" s="220">
        <f t="shared" si="573"/>
        <v>0</v>
      </c>
      <c r="AE190" s="220">
        <f t="shared" si="573"/>
        <v>270</v>
      </c>
      <c r="AF190" s="220">
        <f t="shared" si="573"/>
        <v>100</v>
      </c>
      <c r="AG190" s="220">
        <f t="shared" si="567"/>
        <v>605</v>
      </c>
      <c r="AH190" s="220">
        <f t="shared" si="568"/>
        <v>220</v>
      </c>
      <c r="AI190" s="220">
        <f t="shared" si="569"/>
        <v>385</v>
      </c>
      <c r="AJ190" s="220">
        <f t="shared" si="513"/>
        <v>0</v>
      </c>
      <c r="AK190" s="216">
        <f t="shared" si="410"/>
        <v>270</v>
      </c>
      <c r="AL190" s="220">
        <f t="shared" si="425"/>
        <v>141.69999999999999</v>
      </c>
      <c r="AM190" s="220">
        <f t="shared" si="426"/>
        <v>0</v>
      </c>
      <c r="AN190" s="216">
        <f t="shared" si="427"/>
        <v>141.69999999999999</v>
      </c>
      <c r="AO190" s="220">
        <f t="shared" si="428"/>
        <v>20</v>
      </c>
      <c r="AP190" s="220">
        <f t="shared" si="429"/>
        <v>0</v>
      </c>
      <c r="AQ190" s="220">
        <f t="shared" si="430"/>
        <v>0</v>
      </c>
      <c r="AR190" s="220">
        <f t="shared" si="431"/>
        <v>0</v>
      </c>
      <c r="AS190" s="220">
        <f t="shared" si="432"/>
        <v>0</v>
      </c>
      <c r="AT190" s="216">
        <f t="shared" si="433"/>
        <v>161.69999999999999</v>
      </c>
      <c r="AU190" s="220">
        <f t="shared" si="574"/>
        <v>-128.30000000000001</v>
      </c>
      <c r="AV190" s="220"/>
      <c r="AW190" s="220">
        <f t="shared" si="532"/>
        <v>-128.30000000000001</v>
      </c>
      <c r="AX190" s="216">
        <f t="shared" si="411"/>
        <v>-128.30000000000001</v>
      </c>
      <c r="AY190" s="220">
        <f t="shared" si="539"/>
        <v>0</v>
      </c>
      <c r="AZ190" s="220">
        <f t="shared" si="540"/>
        <v>0</v>
      </c>
      <c r="BA190" s="220">
        <f t="shared" si="541"/>
        <v>0</v>
      </c>
      <c r="BB190" s="220">
        <f t="shared" si="542"/>
        <v>0</v>
      </c>
      <c r="BC190" s="220">
        <f t="shared" si="543"/>
        <v>0</v>
      </c>
      <c r="BD190" s="216">
        <f t="shared" si="575"/>
        <v>0</v>
      </c>
      <c r="BE190" s="220">
        <f t="shared" si="533"/>
        <v>-20</v>
      </c>
      <c r="BF190" s="220">
        <f t="shared" si="534"/>
        <v>0</v>
      </c>
      <c r="BG190" s="220">
        <f t="shared" si="535"/>
        <v>0</v>
      </c>
      <c r="BH190" s="220">
        <f t="shared" si="536"/>
        <v>0</v>
      </c>
      <c r="BI190" s="220">
        <f t="shared" si="537"/>
        <v>0</v>
      </c>
      <c r="BJ190" s="220" t="s">
        <v>1117</v>
      </c>
      <c r="BK190" s="220"/>
      <c r="BL190" s="223">
        <f t="shared" si="412"/>
        <v>0</v>
      </c>
      <c r="BM190" s="220">
        <v>3</v>
      </c>
      <c r="BN190" s="220"/>
      <c r="BO190" s="220">
        <f t="shared" si="561"/>
        <v>3</v>
      </c>
      <c r="BP190" s="220">
        <f>IF(AND(BL190&gt;0,BL190&lt;tiet!$D$1),BL190,IF(BL190&lt;=0,0,IF(BL190&gt;tiet!$C$1,tiet!$C$1)))</f>
        <v>0</v>
      </c>
      <c r="BQ190" s="87">
        <f t="shared" si="509"/>
        <v>60000</v>
      </c>
      <c r="BR190" s="224">
        <f t="shared" si="510"/>
        <v>0</v>
      </c>
      <c r="BS190" s="220">
        <f t="shared" si="434"/>
        <v>0</v>
      </c>
      <c r="BT190" s="224">
        <f>VLOOKUP(N190,ma_dinhmuc!$A$1:$J$31,10,0)</f>
        <v>51000</v>
      </c>
      <c r="BU190" s="224">
        <f>ROUND(IF(BS190&gt;0,VLOOKUP(N190,ma_dinhmuc!$A$1:$J$31,10,0)*BS190,0),0)</f>
        <v>0</v>
      </c>
      <c r="BV190" s="224">
        <f t="shared" si="511"/>
        <v>0</v>
      </c>
      <c r="BW190" s="224"/>
      <c r="BX190" s="224">
        <v>0</v>
      </c>
      <c r="BY190" s="224"/>
      <c r="BZ190" s="224"/>
      <c r="CA190" s="224"/>
      <c r="CB190" s="224"/>
      <c r="CC190" s="225">
        <f t="shared" si="544"/>
        <v>0</v>
      </c>
      <c r="CD190" s="224">
        <f t="shared" si="545"/>
        <v>0</v>
      </c>
      <c r="CE190" s="224"/>
      <c r="CF190" s="226"/>
      <c r="CG190" s="87"/>
      <c r="CH190" s="87">
        <f t="shared" si="571"/>
        <v>48</v>
      </c>
      <c r="CI190" s="227" t="str">
        <f t="shared" si="555"/>
        <v>Đoàn Thanh</v>
      </c>
      <c r="CJ190" s="227" t="str">
        <f t="shared" si="556"/>
        <v>Thủy</v>
      </c>
      <c r="CK190" s="87">
        <f t="shared" si="557"/>
        <v>3</v>
      </c>
      <c r="CL190" s="227" t="str">
        <f t="shared" si="562"/>
        <v>Hệ thống thông tin đất đai</v>
      </c>
      <c r="CM190" s="87" t="str">
        <f t="shared" si="538"/>
        <v>CS2</v>
      </c>
      <c r="CN190" s="87">
        <f>Q190</f>
        <v>270</v>
      </c>
      <c r="CO190" s="87">
        <f t="shared" si="553"/>
        <v>100</v>
      </c>
      <c r="CP190" s="229">
        <f t="shared" si="444"/>
        <v>0</v>
      </c>
      <c r="CQ190" s="229">
        <f t="shared" si="445"/>
        <v>15.5</v>
      </c>
      <c r="CR190" s="229">
        <f t="shared" si="446"/>
        <v>0</v>
      </c>
      <c r="CS190" s="229">
        <f t="shared" si="447"/>
        <v>21.2</v>
      </c>
      <c r="CT190" s="229">
        <f t="shared" si="448"/>
        <v>0</v>
      </c>
      <c r="CU190" s="229">
        <f t="shared" si="449"/>
        <v>0</v>
      </c>
      <c r="CV190" s="229">
        <f t="shared" si="450"/>
        <v>0</v>
      </c>
      <c r="CW190" s="229">
        <f t="shared" si="451"/>
        <v>105</v>
      </c>
      <c r="CX190" s="229">
        <f t="shared" si="452"/>
        <v>0</v>
      </c>
      <c r="CY190" s="229">
        <f t="shared" si="453"/>
        <v>20</v>
      </c>
      <c r="CZ190" s="229">
        <f t="shared" si="454"/>
        <v>0</v>
      </c>
      <c r="DA190" s="229">
        <f t="shared" si="455"/>
        <v>0</v>
      </c>
      <c r="DB190" s="228">
        <f t="shared" si="423"/>
        <v>161.69999999999999</v>
      </c>
      <c r="DC190" s="229"/>
      <c r="DD190" s="229"/>
      <c r="DE190" s="229"/>
      <c r="DF190" s="229"/>
      <c r="DG190" s="229"/>
      <c r="DH190" s="229"/>
      <c r="DI190" s="229"/>
      <c r="DJ190" s="229"/>
      <c r="DK190" s="229"/>
      <c r="DL190" s="229"/>
      <c r="DM190" s="229"/>
      <c r="DN190" s="229"/>
      <c r="DO190" s="228">
        <f t="shared" si="436"/>
        <v>0</v>
      </c>
      <c r="DP190" s="228">
        <f t="shared" si="437"/>
        <v>161.69999999999999</v>
      </c>
      <c r="DQ190" s="229">
        <f t="shared" si="456"/>
        <v>0</v>
      </c>
      <c r="DR190" s="229">
        <f t="shared" si="457"/>
        <v>0</v>
      </c>
      <c r="DS190" s="229">
        <f t="shared" si="458"/>
        <v>0</v>
      </c>
      <c r="DT190" s="229">
        <f t="shared" si="459"/>
        <v>0</v>
      </c>
      <c r="DU190" s="229">
        <f t="shared" si="460"/>
        <v>0</v>
      </c>
      <c r="DV190" s="229">
        <f t="shared" si="461"/>
        <v>0</v>
      </c>
      <c r="DW190" s="229">
        <f t="shared" si="462"/>
        <v>0</v>
      </c>
      <c r="DX190" s="228">
        <f t="shared" si="424"/>
        <v>0</v>
      </c>
      <c r="DY190" s="229"/>
      <c r="DZ190" s="229"/>
      <c r="EA190" s="229"/>
      <c r="EB190" s="229"/>
      <c r="EC190" s="229"/>
      <c r="ED190" s="229"/>
      <c r="EE190" s="229"/>
      <c r="EF190" s="228">
        <f t="shared" si="438"/>
        <v>0</v>
      </c>
      <c r="EG190" s="228">
        <f t="shared" si="439"/>
        <v>0</v>
      </c>
      <c r="EH190" s="229">
        <f t="shared" si="440"/>
        <v>385</v>
      </c>
      <c r="EI190" s="229">
        <v>220</v>
      </c>
      <c r="EJ190" s="228">
        <f t="shared" si="517"/>
        <v>605</v>
      </c>
      <c r="EK190" s="229"/>
      <c r="EL190" s="229"/>
      <c r="EM190" s="228">
        <f t="shared" si="563"/>
        <v>0</v>
      </c>
      <c r="EN190" s="229">
        <f t="shared" si="576"/>
        <v>385</v>
      </c>
      <c r="EO190" s="229">
        <f t="shared" si="577"/>
        <v>220</v>
      </c>
      <c r="EP190" s="228">
        <f t="shared" si="578"/>
        <v>605</v>
      </c>
      <c r="EQ190" s="173">
        <f t="shared" si="441"/>
        <v>285</v>
      </c>
      <c r="ER190" s="189">
        <v>0</v>
      </c>
      <c r="ES190" s="189">
        <v>15.5</v>
      </c>
      <c r="ET190" s="189">
        <v>0</v>
      </c>
      <c r="EU190" s="189">
        <v>21.2</v>
      </c>
      <c r="EV190" s="189">
        <v>0</v>
      </c>
      <c r="EW190" s="189">
        <v>0</v>
      </c>
      <c r="EX190" s="189">
        <v>0</v>
      </c>
      <c r="EY190" s="189">
        <v>105</v>
      </c>
      <c r="EZ190" s="189">
        <v>0</v>
      </c>
      <c r="FA190" s="189">
        <v>20</v>
      </c>
      <c r="FB190" s="189">
        <v>0</v>
      </c>
      <c r="FC190" s="189">
        <v>0</v>
      </c>
      <c r="FD190" s="189">
        <v>0</v>
      </c>
      <c r="FE190" s="189">
        <v>0</v>
      </c>
      <c r="FF190" s="189">
        <v>0</v>
      </c>
      <c r="FG190" s="189">
        <v>0</v>
      </c>
      <c r="FH190" s="189">
        <v>0</v>
      </c>
      <c r="FI190" s="189">
        <v>0</v>
      </c>
      <c r="FJ190" s="189">
        <v>0</v>
      </c>
      <c r="FK190" s="189">
        <v>161.69999999999999</v>
      </c>
      <c r="FL190" s="189">
        <v>151.19999999999999</v>
      </c>
      <c r="FN190" s="132">
        <v>385</v>
      </c>
    </row>
    <row r="191" spans="1:170" ht="33" customHeight="1">
      <c r="A191" s="88">
        <f>COUNTIF($H$12:H191,H191)</f>
        <v>49</v>
      </c>
      <c r="B191" s="88" t="s">
        <v>95</v>
      </c>
      <c r="C191" s="88" t="s">
        <v>2498</v>
      </c>
      <c r="D191" s="88"/>
      <c r="E191" s="88"/>
      <c r="F191" s="301" t="s">
        <v>2817</v>
      </c>
      <c r="G191" s="89" t="s">
        <v>1888</v>
      </c>
      <c r="H191" s="88">
        <v>3</v>
      </c>
      <c r="I191" s="88">
        <v>3</v>
      </c>
      <c r="J191" s="88">
        <v>3</v>
      </c>
      <c r="K191" s="90" t="s">
        <v>2952</v>
      </c>
      <c r="L191" s="90" t="s">
        <v>2952</v>
      </c>
      <c r="M191" s="214"/>
      <c r="N191" s="88" t="s">
        <v>1804</v>
      </c>
      <c r="O191" s="216">
        <f t="shared" si="516"/>
        <v>3</v>
      </c>
      <c r="P191" s="88" t="str">
        <f t="shared" si="468"/>
        <v>B1_3</v>
      </c>
      <c r="Q191" s="88">
        <f t="shared" si="527"/>
        <v>270</v>
      </c>
      <c r="R191" s="88">
        <f t="shared" si="528"/>
        <v>100</v>
      </c>
      <c r="S191" s="231" t="s">
        <v>2661</v>
      </c>
      <c r="T191" s="88" t="s">
        <v>3088</v>
      </c>
      <c r="U191" s="88">
        <f>IF(RIGHT(T191,1)="K",(VLOOKUP(T191,ma_miengiam!$A$3:$B$80,2,0)*100)/2,VLOOKUP(T191,ma_miengiam!$A$3:$B$80,2,0)*100)</f>
        <v>0</v>
      </c>
      <c r="V191" s="88">
        <v>2</v>
      </c>
      <c r="W191" s="220">
        <f>IF(AND(T191="NTS",V191&gt;0),(Q191-(Q191*V191)/12)*VLOOKUP(T191,ma_miengiam!$A$3:$B$80,2,0)+(Q191-(Q191*(12-V191))/12),IF(AND(RIGHT(T191,1)="K",V191&gt;0),(VLOOKUP(T191,ma_miengiam!$A$3:$B$80,2,0)/2)*(Q191*V191)/12,IF(RIGHT(T191,1)="K",(VLOOKUP(T191,ma_miengiam!$A$3:$B$80,2,0)*Q191)/2,IF(V191&gt;0,VLOOKUP(T191,ma_miengiam!$A$3:$B$80,2,0)*Q191*V191/12,VLOOKUP(T191,ma_miengiam!$A$3:$B$80,2,0)*Q191))))</f>
        <v>0</v>
      </c>
      <c r="X191" s="220">
        <f>IF(T191="NTS",VLOOKUP(T191,ma_miengiam!$A$3:$B$80,2,0)*R191*V191,IF(AND(T191="NTS",V191=0),0,IF(AND(LEFT(T191,1)="K",V191=0),VLOOKUP(T191,ma_miengiam!$A$3:$B$80,2,0)*R191,IF(LEFT(T191,1)="K",(VLOOKUP(T191,ma_miengiam!$A$3:$B$80,2,0)*R191/12)*V191,IF(AND(LEFT(T191,1)="S",V191&gt;0),(R191/12)*V191,IF(AND(LEFT(T191,1)="S",V191=0),R191,IF(T191="DH",VLOOKUP(T191,ma_miengiam!$A$3:$B$80,2,0)*R191,0)))))))</f>
        <v>0</v>
      </c>
      <c r="Y191" s="220">
        <f t="shared" si="503"/>
        <v>45</v>
      </c>
      <c r="Z191" s="220">
        <f t="shared" si="504"/>
        <v>16.666666666666668</v>
      </c>
      <c r="AA191" s="220">
        <f>Q191</f>
        <v>270</v>
      </c>
      <c r="AB191" s="220">
        <f>R191</f>
        <v>100</v>
      </c>
      <c r="AC191" s="220">
        <f>W191</f>
        <v>0</v>
      </c>
      <c r="AD191" s="220">
        <f>X191</f>
        <v>0</v>
      </c>
      <c r="AE191" s="220">
        <f>Y191</f>
        <v>45</v>
      </c>
      <c r="AF191" s="220">
        <f>Z191</f>
        <v>16.666666666666668</v>
      </c>
      <c r="AG191" s="220">
        <f t="shared" si="567"/>
        <v>218.33500000000001</v>
      </c>
      <c r="AH191" s="220">
        <f t="shared" si="568"/>
        <v>133.33500000000001</v>
      </c>
      <c r="AI191" s="220">
        <f t="shared" si="569"/>
        <v>85</v>
      </c>
      <c r="AJ191" s="220">
        <f t="shared" si="513"/>
        <v>0</v>
      </c>
      <c r="AK191" s="216">
        <f t="shared" si="410"/>
        <v>45</v>
      </c>
      <c r="AL191" s="220">
        <f t="shared" si="425"/>
        <v>0</v>
      </c>
      <c r="AM191" s="220">
        <f t="shared" si="426"/>
        <v>0</v>
      </c>
      <c r="AN191" s="221">
        <f t="shared" si="427"/>
        <v>0</v>
      </c>
      <c r="AO191" s="220">
        <f t="shared" si="428"/>
        <v>0</v>
      </c>
      <c r="AP191" s="220">
        <f t="shared" si="429"/>
        <v>0</v>
      </c>
      <c r="AQ191" s="220">
        <f t="shared" si="430"/>
        <v>0</v>
      </c>
      <c r="AR191" s="220">
        <f t="shared" si="431"/>
        <v>0</v>
      </c>
      <c r="AS191" s="220">
        <f t="shared" si="432"/>
        <v>0</v>
      </c>
      <c r="AT191" s="216">
        <f t="shared" si="433"/>
        <v>0</v>
      </c>
      <c r="AU191" s="222">
        <f t="shared" si="574"/>
        <v>-45</v>
      </c>
      <c r="AV191" s="220"/>
      <c r="AW191" s="220">
        <f t="shared" si="532"/>
        <v>-45</v>
      </c>
      <c r="AX191" s="216">
        <f t="shared" si="411"/>
        <v>-45</v>
      </c>
      <c r="AY191" s="220">
        <f t="shared" si="539"/>
        <v>0</v>
      </c>
      <c r="AZ191" s="220">
        <f t="shared" si="540"/>
        <v>0</v>
      </c>
      <c r="BA191" s="220">
        <f t="shared" si="541"/>
        <v>0</v>
      </c>
      <c r="BB191" s="220">
        <f t="shared" si="542"/>
        <v>0</v>
      </c>
      <c r="BC191" s="220">
        <f t="shared" si="543"/>
        <v>0</v>
      </c>
      <c r="BD191" s="216">
        <f t="shared" si="575"/>
        <v>0</v>
      </c>
      <c r="BE191" s="220">
        <f t="shared" si="533"/>
        <v>0</v>
      </c>
      <c r="BF191" s="220">
        <f t="shared" si="534"/>
        <v>0</v>
      </c>
      <c r="BG191" s="220">
        <f t="shared" si="535"/>
        <v>0</v>
      </c>
      <c r="BH191" s="220">
        <f t="shared" si="536"/>
        <v>0</v>
      </c>
      <c r="BI191" s="220">
        <f t="shared" si="537"/>
        <v>0</v>
      </c>
      <c r="BJ191" s="220" t="s">
        <v>1117</v>
      </c>
      <c r="BK191" s="220"/>
      <c r="BL191" s="223">
        <f t="shared" si="412"/>
        <v>0</v>
      </c>
      <c r="BM191" s="220">
        <v>3</v>
      </c>
      <c r="BN191" s="220"/>
      <c r="BO191" s="220">
        <f>ROUND(BM191+(BM191*BN191),2)</f>
        <v>3</v>
      </c>
      <c r="BP191" s="220">
        <f>IF(AND(BL191&gt;0,BL191&lt;tiet!$D$1),BL191,IF(BL191&lt;=0,0,IF(BL191&gt;tiet!$C$1,tiet!$C$1)))</f>
        <v>0</v>
      </c>
      <c r="BQ191" s="87">
        <f t="shared" si="509"/>
        <v>60000</v>
      </c>
      <c r="BR191" s="224">
        <f t="shared" si="510"/>
        <v>0</v>
      </c>
      <c r="BS191" s="220">
        <f t="shared" si="434"/>
        <v>0</v>
      </c>
      <c r="BT191" s="224">
        <f>VLOOKUP(N191,ma_dinhmuc!$A$1:$J$31,10,0)</f>
        <v>51000</v>
      </c>
      <c r="BU191" s="224">
        <f>ROUND(IF(BS191&gt;0,VLOOKUP(N191,ma_dinhmuc!$A$1:$J$31,10,0)*BS191,0),0)</f>
        <v>0</v>
      </c>
      <c r="BV191" s="224">
        <f t="shared" si="511"/>
        <v>0</v>
      </c>
      <c r="BW191" s="224"/>
      <c r="BX191" s="224">
        <v>0</v>
      </c>
      <c r="BY191" s="224"/>
      <c r="BZ191" s="224"/>
      <c r="CA191" s="224"/>
      <c r="CB191" s="224"/>
      <c r="CC191" s="225">
        <f t="shared" si="544"/>
        <v>0</v>
      </c>
      <c r="CD191" s="224">
        <f t="shared" si="545"/>
        <v>0</v>
      </c>
      <c r="CE191" s="224"/>
      <c r="CF191" s="226"/>
      <c r="CG191" s="87"/>
      <c r="CH191" s="87">
        <f>A191</f>
        <v>49</v>
      </c>
      <c r="CI191" s="227" t="str">
        <f>F191</f>
        <v>Đỗ Thị</v>
      </c>
      <c r="CJ191" s="227" t="str">
        <f>G191</f>
        <v>Loan</v>
      </c>
      <c r="CK191" s="87">
        <f>H191</f>
        <v>3</v>
      </c>
      <c r="CL191" s="227" t="str">
        <f t="shared" si="562"/>
        <v>Hệ thống thông tin đất đai</v>
      </c>
      <c r="CM191" s="87" t="str">
        <f t="shared" si="538"/>
        <v>CS2</v>
      </c>
      <c r="CN191" s="87">
        <f>Q191</f>
        <v>270</v>
      </c>
      <c r="CO191" s="87">
        <f>R191</f>
        <v>100</v>
      </c>
      <c r="CP191" s="229">
        <f t="shared" si="444"/>
        <v>0</v>
      </c>
      <c r="CQ191" s="229">
        <f t="shared" si="445"/>
        <v>0</v>
      </c>
      <c r="CR191" s="229">
        <f t="shared" si="446"/>
        <v>0</v>
      </c>
      <c r="CS191" s="229">
        <f t="shared" si="447"/>
        <v>0</v>
      </c>
      <c r="CT191" s="229">
        <f t="shared" si="448"/>
        <v>0</v>
      </c>
      <c r="CU191" s="229">
        <f t="shared" si="449"/>
        <v>0</v>
      </c>
      <c r="CV191" s="229">
        <f t="shared" si="450"/>
        <v>0</v>
      </c>
      <c r="CW191" s="229">
        <f t="shared" si="451"/>
        <v>0</v>
      </c>
      <c r="CX191" s="229">
        <f t="shared" si="452"/>
        <v>0</v>
      </c>
      <c r="CY191" s="229">
        <f t="shared" si="453"/>
        <v>0</v>
      </c>
      <c r="CZ191" s="229">
        <f t="shared" si="454"/>
        <v>0</v>
      </c>
      <c r="DA191" s="229">
        <f t="shared" si="455"/>
        <v>0</v>
      </c>
      <c r="DB191" s="228">
        <f t="shared" si="423"/>
        <v>0</v>
      </c>
      <c r="DC191" s="229"/>
      <c r="DD191" s="229"/>
      <c r="DE191" s="229"/>
      <c r="DF191" s="229"/>
      <c r="DG191" s="229"/>
      <c r="DH191" s="229"/>
      <c r="DI191" s="229"/>
      <c r="DJ191" s="229"/>
      <c r="DK191" s="229"/>
      <c r="DL191" s="229"/>
      <c r="DM191" s="229"/>
      <c r="DN191" s="229"/>
      <c r="DO191" s="228">
        <f t="shared" si="436"/>
        <v>0</v>
      </c>
      <c r="DP191" s="228">
        <f t="shared" si="437"/>
        <v>0</v>
      </c>
      <c r="DQ191" s="229">
        <f t="shared" si="456"/>
        <v>0</v>
      </c>
      <c r="DR191" s="229">
        <f t="shared" si="457"/>
        <v>0</v>
      </c>
      <c r="DS191" s="229">
        <f t="shared" si="458"/>
        <v>0</v>
      </c>
      <c r="DT191" s="229">
        <f t="shared" si="459"/>
        <v>0</v>
      </c>
      <c r="DU191" s="229">
        <f t="shared" si="460"/>
        <v>0</v>
      </c>
      <c r="DV191" s="229">
        <f t="shared" si="461"/>
        <v>0</v>
      </c>
      <c r="DW191" s="229">
        <f t="shared" si="462"/>
        <v>0</v>
      </c>
      <c r="DX191" s="228">
        <f t="shared" si="424"/>
        <v>0</v>
      </c>
      <c r="DY191" s="229"/>
      <c r="DZ191" s="229"/>
      <c r="EA191" s="229"/>
      <c r="EB191" s="229"/>
      <c r="EC191" s="229"/>
      <c r="ED191" s="229"/>
      <c r="EE191" s="229"/>
      <c r="EF191" s="228">
        <f t="shared" si="438"/>
        <v>0</v>
      </c>
      <c r="EG191" s="228">
        <f t="shared" si="439"/>
        <v>0</v>
      </c>
      <c r="EH191" s="229">
        <f t="shared" si="440"/>
        <v>85</v>
      </c>
      <c r="EI191" s="229">
        <v>133.33500000000001</v>
      </c>
      <c r="EJ191" s="228">
        <f>SUM(EH191:EI191)</f>
        <v>218.33500000000001</v>
      </c>
      <c r="EK191" s="229"/>
      <c r="EL191" s="229"/>
      <c r="EM191" s="228">
        <f t="shared" si="563"/>
        <v>0</v>
      </c>
      <c r="EN191" s="229">
        <f t="shared" si="576"/>
        <v>85</v>
      </c>
      <c r="EO191" s="229">
        <f t="shared" si="577"/>
        <v>133.33500000000001</v>
      </c>
      <c r="EP191" s="228">
        <f t="shared" si="578"/>
        <v>218.33500000000001</v>
      </c>
      <c r="EQ191" s="173">
        <f t="shared" si="441"/>
        <v>68.333333333333329</v>
      </c>
      <c r="ER191" s="189">
        <v>0</v>
      </c>
      <c r="ES191" s="189">
        <v>0</v>
      </c>
      <c r="ET191" s="189">
        <v>0</v>
      </c>
      <c r="EU191" s="189">
        <v>0</v>
      </c>
      <c r="EV191" s="189">
        <v>0</v>
      </c>
      <c r="EW191" s="189">
        <v>0</v>
      </c>
      <c r="EX191" s="189">
        <v>0</v>
      </c>
      <c r="EY191" s="189">
        <v>0</v>
      </c>
      <c r="EZ191" s="189">
        <v>0</v>
      </c>
      <c r="FA191" s="189">
        <v>0</v>
      </c>
      <c r="FB191" s="189">
        <v>0</v>
      </c>
      <c r="FC191" s="189">
        <v>0</v>
      </c>
      <c r="FD191" s="189">
        <v>0</v>
      </c>
      <c r="FE191" s="189">
        <v>0</v>
      </c>
      <c r="FF191" s="189">
        <v>0</v>
      </c>
      <c r="FG191" s="189">
        <v>0</v>
      </c>
      <c r="FH191" s="189">
        <v>0</v>
      </c>
      <c r="FI191" s="189">
        <v>0</v>
      </c>
      <c r="FJ191" s="189">
        <v>0</v>
      </c>
      <c r="FK191" s="189">
        <v>0</v>
      </c>
      <c r="FL191" s="189">
        <v>0</v>
      </c>
      <c r="FN191" s="132">
        <v>85</v>
      </c>
    </row>
    <row r="192" spans="1:170" ht="30" customHeight="1">
      <c r="A192" s="88">
        <f>COUNTIF($H$12:H192,H192)</f>
        <v>50</v>
      </c>
      <c r="B192" s="88" t="s">
        <v>96</v>
      </c>
      <c r="C192" s="88" t="s">
        <v>2499</v>
      </c>
      <c r="D192" s="88"/>
      <c r="E192" s="88"/>
      <c r="F192" s="301" t="s">
        <v>650</v>
      </c>
      <c r="G192" s="303" t="s">
        <v>1114</v>
      </c>
      <c r="H192" s="88">
        <v>3</v>
      </c>
      <c r="I192" s="88">
        <v>3</v>
      </c>
      <c r="J192" s="88">
        <v>3</v>
      </c>
      <c r="K192" s="90" t="s">
        <v>2445</v>
      </c>
      <c r="L192" s="90" t="s">
        <v>2445</v>
      </c>
      <c r="M192" s="214"/>
      <c r="N192" s="88" t="s">
        <v>1804</v>
      </c>
      <c r="O192" s="216">
        <f t="shared" si="516"/>
        <v>3.33</v>
      </c>
      <c r="P192" s="88" t="str">
        <f t="shared" si="468"/>
        <v>B1_4</v>
      </c>
      <c r="Q192" s="88">
        <f t="shared" si="527"/>
        <v>270</v>
      </c>
      <c r="R192" s="88">
        <f t="shared" si="528"/>
        <v>120</v>
      </c>
      <c r="S192" s="218" t="s">
        <v>2183</v>
      </c>
      <c r="T192" s="88" t="s">
        <v>2961</v>
      </c>
      <c r="U192" s="88">
        <f>IF(RIGHT(T192,1)="K",(VLOOKUP(T192,ma_miengiam!$A$3:$B$80,2,0)*100)/2,VLOOKUP(T192,ma_miengiam!$A$3:$B$80,2,0)*100)</f>
        <v>100</v>
      </c>
      <c r="V192" s="88"/>
      <c r="W192" s="220">
        <f>IF(AND(T192="NTS",V192&gt;0),(Q192-(Q192*V192)/12)*VLOOKUP(T192,ma_miengiam!$A$3:$B$80,2,0)+(Q192-(Q192*(12-V192))/12),IF(AND(RIGHT(T192,1)="K",V192&gt;0),(VLOOKUP(T192,ma_miengiam!$A$3:$B$80,2,0)/2)*(Q192*V192)/12,IF(RIGHT(T192,1)="K",(VLOOKUP(T192,ma_miengiam!$A$3:$B$80,2,0)*Q192)/2,IF(V192&gt;0,VLOOKUP(T192,ma_miengiam!$A$3:$B$80,2,0)*Q192*V192/12,VLOOKUP(T192,ma_miengiam!$A$3:$B$80,2,0)*Q192))))</f>
        <v>270</v>
      </c>
      <c r="X192" s="220">
        <f>IF(T192="NTS",VLOOKUP(T192,ma_miengiam!$A$3:$B$80,2,0)*R192*V192,IF(AND(T192="NTS",V192=0),0,IF(AND(LEFT(T192,1)="K",V192=0),VLOOKUP(T192,ma_miengiam!$A$3:$B$80,2,0)*R192,IF(LEFT(T192,1)="K",(VLOOKUP(T192,ma_miengiam!$A$3:$B$80,2,0)*R192/12)*V192,IF(AND(LEFT(T192,1)="S",V192&gt;0),(R192/12)*V192,IF(AND(LEFT(T192,1)="S",V192=0),R192,IF(T192="DH",VLOOKUP(T192,ma_miengiam!$A$3:$B$80,2,0)*R192,0)))))))</f>
        <v>120</v>
      </c>
      <c r="Y192" s="220">
        <f t="shared" si="503"/>
        <v>0</v>
      </c>
      <c r="Z192" s="220">
        <f t="shared" ref="Z192:Z197" si="579">IF(AND(T192="SĐH",V192&gt;0),(R192/12)*V192-X192,IF(AND(T192="DH",V192&gt;0),(R192*V192/12),IF(AND(T192&lt;&gt;"NTS",V192&gt;0),(R192*V192/12)-X192,IF(AND(T192="NTS",V192&gt;0),R192-X192,R192-X192))))</f>
        <v>0</v>
      </c>
      <c r="AA192" s="220">
        <f t="shared" ref="AA192:AB195" si="580">Q192</f>
        <v>270</v>
      </c>
      <c r="AB192" s="220">
        <f t="shared" si="580"/>
        <v>120</v>
      </c>
      <c r="AC192" s="220">
        <f t="shared" ref="AC192:AF195" si="581">W192</f>
        <v>270</v>
      </c>
      <c r="AD192" s="220">
        <f t="shared" si="581"/>
        <v>120</v>
      </c>
      <c r="AE192" s="220">
        <f t="shared" si="581"/>
        <v>0</v>
      </c>
      <c r="AF192" s="220">
        <f t="shared" si="581"/>
        <v>0</v>
      </c>
      <c r="AG192" s="220">
        <f t="shared" si="567"/>
        <v>0</v>
      </c>
      <c r="AH192" s="220">
        <f t="shared" si="568"/>
        <v>0</v>
      </c>
      <c r="AI192" s="220">
        <f t="shared" si="569"/>
        <v>0</v>
      </c>
      <c r="AJ192" s="220">
        <f t="shared" si="513"/>
        <v>0</v>
      </c>
      <c r="AK192" s="216">
        <f t="shared" si="410"/>
        <v>0</v>
      </c>
      <c r="AL192" s="220">
        <f t="shared" si="425"/>
        <v>0</v>
      </c>
      <c r="AM192" s="220">
        <f t="shared" si="426"/>
        <v>0</v>
      </c>
      <c r="AN192" s="221">
        <f t="shared" si="427"/>
        <v>0</v>
      </c>
      <c r="AO192" s="220">
        <f t="shared" si="428"/>
        <v>0</v>
      </c>
      <c r="AP192" s="220">
        <f t="shared" si="429"/>
        <v>0</v>
      </c>
      <c r="AQ192" s="220">
        <f t="shared" si="430"/>
        <v>0</v>
      </c>
      <c r="AR192" s="220">
        <f t="shared" si="431"/>
        <v>0</v>
      </c>
      <c r="AS192" s="220">
        <f t="shared" si="432"/>
        <v>0</v>
      </c>
      <c r="AT192" s="216">
        <f t="shared" si="433"/>
        <v>0</v>
      </c>
      <c r="AU192" s="222">
        <f t="shared" si="574"/>
        <v>0</v>
      </c>
      <c r="AV192" s="220"/>
      <c r="AW192" s="220">
        <f t="shared" si="532"/>
        <v>0</v>
      </c>
      <c r="AX192" s="216">
        <f t="shared" si="411"/>
        <v>0</v>
      </c>
      <c r="AY192" s="220">
        <f t="shared" si="539"/>
        <v>0</v>
      </c>
      <c r="AZ192" s="220">
        <f t="shared" si="540"/>
        <v>0</v>
      </c>
      <c r="BA192" s="220">
        <f t="shared" si="541"/>
        <v>0</v>
      </c>
      <c r="BB192" s="220">
        <f t="shared" si="542"/>
        <v>0</v>
      </c>
      <c r="BC192" s="220">
        <f t="shared" si="543"/>
        <v>0</v>
      </c>
      <c r="BD192" s="216">
        <f t="shared" si="575"/>
        <v>0</v>
      </c>
      <c r="BE192" s="220">
        <f t="shared" si="533"/>
        <v>0</v>
      </c>
      <c r="BF192" s="220">
        <f t="shared" si="534"/>
        <v>0</v>
      </c>
      <c r="BG192" s="220">
        <f t="shared" si="535"/>
        <v>0</v>
      </c>
      <c r="BH192" s="220">
        <f t="shared" si="536"/>
        <v>0</v>
      </c>
      <c r="BI192" s="220">
        <f t="shared" si="537"/>
        <v>0</v>
      </c>
      <c r="BJ192" s="220" t="s">
        <v>1809</v>
      </c>
      <c r="BK192" s="220"/>
      <c r="BL192" s="223">
        <f t="shared" ref="BL192:BL252" si="582">IF(AW192&lt;BK192,0,IF(AND(BK192=0,AW192&gt;0),AW192,IF(AW192&lt;0,0,IF(BK192&gt;0,AW192-BK192,IF(BK192&lt;0,0,AW192)))))</f>
        <v>0</v>
      </c>
      <c r="BM192" s="220">
        <v>3.33</v>
      </c>
      <c r="BN192" s="220"/>
      <c r="BO192" s="220">
        <f t="shared" ref="BO192:BO197" si="583">ROUND(BM192+(BM192*BN192),2)</f>
        <v>3.33</v>
      </c>
      <c r="BP192" s="220">
        <f>IF(AND(BL192&gt;0,BL192&lt;tiet!$D$1),BL192,IF(BL192&lt;=0,0,IF(BL192&gt;tiet!$C$1,tiet!$C$1)))</f>
        <v>0</v>
      </c>
      <c r="BQ192" s="87">
        <f t="shared" si="509"/>
        <v>65000</v>
      </c>
      <c r="BR192" s="224">
        <f t="shared" si="510"/>
        <v>0</v>
      </c>
      <c r="BS192" s="220">
        <f t="shared" si="434"/>
        <v>0</v>
      </c>
      <c r="BT192" s="224">
        <f>VLOOKUP(N192,ma_dinhmuc!$A$1:$J$31,10,0)</f>
        <v>51000</v>
      </c>
      <c r="BU192" s="224">
        <f>ROUND(IF(BS192&gt;0,VLOOKUP(N192,ma_dinhmuc!$A$1:$J$31,10,0)*BS192,0),0)</f>
        <v>0</v>
      </c>
      <c r="BV192" s="224">
        <f t="shared" si="511"/>
        <v>0</v>
      </c>
      <c r="BW192" s="224"/>
      <c r="BX192" s="224">
        <v>0</v>
      </c>
      <c r="BY192" s="224"/>
      <c r="BZ192" s="224"/>
      <c r="CA192" s="224"/>
      <c r="CB192" s="224"/>
      <c r="CC192" s="225">
        <f t="shared" si="544"/>
        <v>0</v>
      </c>
      <c r="CD192" s="224">
        <f t="shared" si="545"/>
        <v>0</v>
      </c>
      <c r="CE192" s="224"/>
      <c r="CF192" s="226"/>
      <c r="CG192" s="87"/>
      <c r="CH192" s="87">
        <f t="shared" si="571"/>
        <v>50</v>
      </c>
      <c r="CI192" s="227" t="str">
        <f t="shared" ref="CI192:CI197" si="584">F192</f>
        <v>Nguyễn Thành</v>
      </c>
      <c r="CJ192" s="227" t="str">
        <f t="shared" ref="CJ192:CJ201" si="585">G192</f>
        <v>Trung</v>
      </c>
      <c r="CK192" s="87">
        <f t="shared" ref="CK192:CK201" si="586">H192</f>
        <v>3</v>
      </c>
      <c r="CL192" s="227" t="str">
        <f t="shared" ref="CL192:CL197" si="587">L192</f>
        <v>Nông hóa</v>
      </c>
      <c r="CM192" s="87" t="str">
        <f t="shared" si="538"/>
        <v>CS2</v>
      </c>
      <c r="CN192" s="87">
        <f t="shared" ref="CN192:CO195" si="588">Q192</f>
        <v>270</v>
      </c>
      <c r="CO192" s="87">
        <f t="shared" si="588"/>
        <v>120</v>
      </c>
      <c r="CP192" s="229">
        <f t="shared" si="444"/>
        <v>0</v>
      </c>
      <c r="CQ192" s="229">
        <f t="shared" si="445"/>
        <v>0</v>
      </c>
      <c r="CR192" s="229">
        <f t="shared" si="446"/>
        <v>0</v>
      </c>
      <c r="CS192" s="229">
        <f t="shared" si="447"/>
        <v>0</v>
      </c>
      <c r="CT192" s="229">
        <f t="shared" si="448"/>
        <v>0</v>
      </c>
      <c r="CU192" s="229">
        <f t="shared" si="449"/>
        <v>0</v>
      </c>
      <c r="CV192" s="229">
        <f t="shared" si="450"/>
        <v>0</v>
      </c>
      <c r="CW192" s="229">
        <f t="shared" si="451"/>
        <v>0</v>
      </c>
      <c r="CX192" s="229">
        <f t="shared" si="452"/>
        <v>0</v>
      </c>
      <c r="CY192" s="229">
        <f t="shared" si="453"/>
        <v>0</v>
      </c>
      <c r="CZ192" s="229">
        <f t="shared" si="454"/>
        <v>0</v>
      </c>
      <c r="DA192" s="229">
        <f t="shared" si="455"/>
        <v>0</v>
      </c>
      <c r="DB192" s="228">
        <f t="shared" si="423"/>
        <v>0</v>
      </c>
      <c r="DC192" s="229"/>
      <c r="DD192" s="229"/>
      <c r="DE192" s="229"/>
      <c r="DF192" s="229"/>
      <c r="DG192" s="229"/>
      <c r="DH192" s="229"/>
      <c r="DI192" s="229"/>
      <c r="DJ192" s="229"/>
      <c r="DK192" s="229"/>
      <c r="DL192" s="229"/>
      <c r="DM192" s="229"/>
      <c r="DN192" s="229"/>
      <c r="DO192" s="228">
        <f t="shared" si="436"/>
        <v>0</v>
      </c>
      <c r="DP192" s="228">
        <f t="shared" si="437"/>
        <v>0</v>
      </c>
      <c r="DQ192" s="229">
        <f t="shared" si="456"/>
        <v>0</v>
      </c>
      <c r="DR192" s="229">
        <f t="shared" si="457"/>
        <v>0</v>
      </c>
      <c r="DS192" s="229">
        <f t="shared" si="458"/>
        <v>0</v>
      </c>
      <c r="DT192" s="229">
        <f t="shared" si="459"/>
        <v>0</v>
      </c>
      <c r="DU192" s="229">
        <f t="shared" si="460"/>
        <v>0</v>
      </c>
      <c r="DV192" s="229">
        <f t="shared" si="461"/>
        <v>0</v>
      </c>
      <c r="DW192" s="229">
        <f t="shared" si="462"/>
        <v>0</v>
      </c>
      <c r="DX192" s="228">
        <f t="shared" si="424"/>
        <v>0</v>
      </c>
      <c r="DY192" s="229"/>
      <c r="DZ192" s="229"/>
      <c r="EA192" s="229"/>
      <c r="EB192" s="229"/>
      <c r="EC192" s="229"/>
      <c r="ED192" s="229"/>
      <c r="EE192" s="229"/>
      <c r="EF192" s="228">
        <f t="shared" si="438"/>
        <v>0</v>
      </c>
      <c r="EG192" s="228">
        <f t="shared" si="439"/>
        <v>0</v>
      </c>
      <c r="EH192" s="229">
        <f t="shared" si="440"/>
        <v>0</v>
      </c>
      <c r="EI192" s="229">
        <v>0</v>
      </c>
      <c r="EJ192" s="228">
        <f t="shared" si="517"/>
        <v>0</v>
      </c>
      <c r="EK192" s="229"/>
      <c r="EL192" s="229"/>
      <c r="EM192" s="228">
        <f t="shared" ref="EM192:EM197" si="589">SUM(EK192:EL192)</f>
        <v>0</v>
      </c>
      <c r="EN192" s="229">
        <f t="shared" si="576"/>
        <v>0</v>
      </c>
      <c r="EO192" s="229">
        <f t="shared" si="577"/>
        <v>0</v>
      </c>
      <c r="EP192" s="228">
        <f t="shared" si="578"/>
        <v>0</v>
      </c>
      <c r="EQ192" s="173">
        <f t="shared" si="441"/>
        <v>0</v>
      </c>
      <c r="ER192" s="189">
        <v>0</v>
      </c>
      <c r="ES192" s="189">
        <v>0</v>
      </c>
      <c r="ET192" s="189">
        <v>0</v>
      </c>
      <c r="EU192" s="189">
        <v>0</v>
      </c>
      <c r="EV192" s="189">
        <v>0</v>
      </c>
      <c r="EW192" s="189">
        <v>0</v>
      </c>
      <c r="EX192" s="189">
        <v>0</v>
      </c>
      <c r="EY192" s="189">
        <v>0</v>
      </c>
      <c r="EZ192" s="189">
        <v>0</v>
      </c>
      <c r="FA192" s="189">
        <v>0</v>
      </c>
      <c r="FB192" s="189">
        <v>0</v>
      </c>
      <c r="FC192" s="189">
        <v>0</v>
      </c>
      <c r="FD192" s="189">
        <v>0</v>
      </c>
      <c r="FE192" s="189">
        <v>0</v>
      </c>
      <c r="FF192" s="189">
        <v>0</v>
      </c>
      <c r="FG192" s="189">
        <v>0</v>
      </c>
      <c r="FH192" s="189">
        <v>0</v>
      </c>
      <c r="FI192" s="189">
        <v>0</v>
      </c>
      <c r="FJ192" s="189">
        <v>0</v>
      </c>
      <c r="FK192" s="189">
        <v>0</v>
      </c>
      <c r="FL192" s="189">
        <v>0</v>
      </c>
      <c r="FN192" s="132">
        <v>0</v>
      </c>
    </row>
    <row r="193" spans="1:170" ht="30" customHeight="1">
      <c r="A193" s="88">
        <f>COUNTIF($H$12:H193,H193)</f>
        <v>51</v>
      </c>
      <c r="B193" s="88" t="s">
        <v>97</v>
      </c>
      <c r="C193" s="88" t="s">
        <v>2500</v>
      </c>
      <c r="D193" s="88"/>
      <c r="E193" s="88"/>
      <c r="F193" s="301" t="s">
        <v>519</v>
      </c>
      <c r="G193" s="303" t="s">
        <v>2086</v>
      </c>
      <c r="H193" s="88">
        <v>3</v>
      </c>
      <c r="I193" s="88">
        <v>3</v>
      </c>
      <c r="J193" s="88">
        <v>3</v>
      </c>
      <c r="K193" s="90" t="s">
        <v>2445</v>
      </c>
      <c r="L193" s="90" t="s">
        <v>2445</v>
      </c>
      <c r="M193" s="214"/>
      <c r="N193" s="88" t="s">
        <v>1804</v>
      </c>
      <c r="O193" s="216">
        <f t="shared" si="516"/>
        <v>3.33</v>
      </c>
      <c r="P193" s="88" t="str">
        <f t="shared" si="468"/>
        <v>B1_4</v>
      </c>
      <c r="Q193" s="88">
        <f t="shared" si="527"/>
        <v>270</v>
      </c>
      <c r="R193" s="88">
        <f t="shared" si="528"/>
        <v>120</v>
      </c>
      <c r="S193" s="218"/>
      <c r="T193" s="88" t="s">
        <v>3088</v>
      </c>
      <c r="U193" s="88">
        <f>IF(RIGHT(T193,1)="K",(VLOOKUP(T193,ma_miengiam!$A$3:$B$80,2,0)*100)/2,VLOOKUP(T193,ma_miengiam!$A$3:$B$80,2,0)*100)</f>
        <v>0</v>
      </c>
      <c r="V193" s="88"/>
      <c r="W193" s="220">
        <f>IF(AND(T193="NTS",V193&gt;0),(Q193-(Q193*V193)/12)*VLOOKUP(T193,ma_miengiam!$A$3:$B$80,2,0)+(Q193-(Q193*(12-V193))/12),IF(AND(RIGHT(T193,1)="K",V193&gt;0),(VLOOKUP(T193,ma_miengiam!$A$3:$B$80,2,0)/2)*(Q193*V193)/12,IF(RIGHT(T193,1)="K",(VLOOKUP(T193,ma_miengiam!$A$3:$B$80,2,0)*Q193)/2,IF(V193&gt;0,VLOOKUP(T193,ma_miengiam!$A$3:$B$80,2,0)*Q193*V193/12,VLOOKUP(T193,ma_miengiam!$A$3:$B$80,2,0)*Q193))))</f>
        <v>0</v>
      </c>
      <c r="X193" s="220">
        <f>IF(T193="NTS",VLOOKUP(T193,ma_miengiam!$A$3:$B$80,2,0)*R193*V193,IF(AND(T193="NTS",V193=0),0,IF(AND(LEFT(T193,1)="K",V193=0),VLOOKUP(T193,ma_miengiam!$A$3:$B$80,2,0)*R193,IF(LEFT(T193,1)="K",(VLOOKUP(T193,ma_miengiam!$A$3:$B$80,2,0)*R193/12)*V193,IF(AND(LEFT(T193,1)="S",V193&gt;0),(R193/12)*V193,IF(AND(LEFT(T193,1)="S",V193=0),R193,IF(T193="DH",VLOOKUP(T193,ma_miengiam!$A$3:$B$80,2,0)*R193,0)))))))</f>
        <v>0</v>
      </c>
      <c r="Y193" s="220">
        <f t="shared" si="503"/>
        <v>270</v>
      </c>
      <c r="Z193" s="220">
        <f t="shared" si="579"/>
        <v>120</v>
      </c>
      <c r="AA193" s="220">
        <f t="shared" si="580"/>
        <v>270</v>
      </c>
      <c r="AB193" s="220">
        <f t="shared" si="580"/>
        <v>120</v>
      </c>
      <c r="AC193" s="220">
        <f t="shared" si="581"/>
        <v>0</v>
      </c>
      <c r="AD193" s="220">
        <f t="shared" si="581"/>
        <v>0</v>
      </c>
      <c r="AE193" s="220">
        <f t="shared" si="581"/>
        <v>270</v>
      </c>
      <c r="AF193" s="220">
        <f t="shared" si="581"/>
        <v>120</v>
      </c>
      <c r="AG193" s="220">
        <f t="shared" si="567"/>
        <v>85.2</v>
      </c>
      <c r="AH193" s="220">
        <f t="shared" si="568"/>
        <v>16.45</v>
      </c>
      <c r="AI193" s="220">
        <f t="shared" si="569"/>
        <v>68.75</v>
      </c>
      <c r="AJ193" s="220">
        <f t="shared" si="513"/>
        <v>-34.799999999999997</v>
      </c>
      <c r="AK193" s="216">
        <f t="shared" si="410"/>
        <v>304.8</v>
      </c>
      <c r="AL193" s="220">
        <f t="shared" si="425"/>
        <v>15</v>
      </c>
      <c r="AM193" s="220">
        <f t="shared" si="426"/>
        <v>0</v>
      </c>
      <c r="AN193" s="221">
        <f t="shared" si="427"/>
        <v>15</v>
      </c>
      <c r="AO193" s="220">
        <f t="shared" si="428"/>
        <v>0</v>
      </c>
      <c r="AP193" s="220">
        <f t="shared" si="429"/>
        <v>0</v>
      </c>
      <c r="AQ193" s="220">
        <f t="shared" si="430"/>
        <v>0</v>
      </c>
      <c r="AR193" s="220">
        <f t="shared" si="431"/>
        <v>0</v>
      </c>
      <c r="AS193" s="220">
        <f t="shared" si="432"/>
        <v>0</v>
      </c>
      <c r="AT193" s="216">
        <f t="shared" si="433"/>
        <v>15</v>
      </c>
      <c r="AU193" s="222">
        <f t="shared" si="574"/>
        <v>-289.8</v>
      </c>
      <c r="AV193" s="220"/>
      <c r="AW193" s="220">
        <f t="shared" si="532"/>
        <v>-289.8</v>
      </c>
      <c r="AX193" s="216">
        <f t="shared" si="411"/>
        <v>-289.8</v>
      </c>
      <c r="AY193" s="220">
        <f t="shared" si="539"/>
        <v>0</v>
      </c>
      <c r="AZ193" s="220">
        <f t="shared" si="540"/>
        <v>0</v>
      </c>
      <c r="BA193" s="220">
        <f t="shared" si="541"/>
        <v>0</v>
      </c>
      <c r="BB193" s="220">
        <f t="shared" si="542"/>
        <v>0</v>
      </c>
      <c r="BC193" s="220">
        <f t="shared" si="543"/>
        <v>0</v>
      </c>
      <c r="BD193" s="216">
        <f t="shared" si="575"/>
        <v>0</v>
      </c>
      <c r="BE193" s="220">
        <f t="shared" si="533"/>
        <v>0</v>
      </c>
      <c r="BF193" s="220">
        <f t="shared" si="534"/>
        <v>0</v>
      </c>
      <c r="BG193" s="220">
        <f t="shared" si="535"/>
        <v>0</v>
      </c>
      <c r="BH193" s="220">
        <f t="shared" si="536"/>
        <v>0</v>
      </c>
      <c r="BI193" s="220">
        <f t="shared" si="537"/>
        <v>0</v>
      </c>
      <c r="BJ193" s="220" t="s">
        <v>1809</v>
      </c>
      <c r="BK193" s="220"/>
      <c r="BL193" s="223">
        <f t="shared" si="582"/>
        <v>0</v>
      </c>
      <c r="BM193" s="220">
        <v>3.33</v>
      </c>
      <c r="BN193" s="220"/>
      <c r="BO193" s="220">
        <f t="shared" si="583"/>
        <v>3.33</v>
      </c>
      <c r="BP193" s="220">
        <f>IF(AND(BL193&gt;0,BL193&lt;tiet!$D$1),BL193,IF(BL193&lt;=0,0,IF(BL193&gt;tiet!$C$1,tiet!$C$1)))</f>
        <v>0</v>
      </c>
      <c r="BQ193" s="87">
        <f t="shared" si="509"/>
        <v>65000</v>
      </c>
      <c r="BR193" s="224">
        <f t="shared" si="510"/>
        <v>0</v>
      </c>
      <c r="BS193" s="220">
        <f t="shared" si="434"/>
        <v>0</v>
      </c>
      <c r="BT193" s="224">
        <f>VLOOKUP(N193,ma_dinhmuc!$A$1:$J$31,10,0)</f>
        <v>51000</v>
      </c>
      <c r="BU193" s="224">
        <f>ROUND(IF(BS193&gt;0,VLOOKUP(N193,ma_dinhmuc!$A$1:$J$31,10,0)*BS193,0),0)</f>
        <v>0</v>
      </c>
      <c r="BV193" s="224">
        <f t="shared" si="511"/>
        <v>0</v>
      </c>
      <c r="BW193" s="224"/>
      <c r="BX193" s="224">
        <v>0</v>
      </c>
      <c r="BY193" s="224"/>
      <c r="BZ193" s="224"/>
      <c r="CA193" s="224"/>
      <c r="CB193" s="224"/>
      <c r="CC193" s="225">
        <f t="shared" si="544"/>
        <v>0</v>
      </c>
      <c r="CD193" s="224">
        <f t="shared" si="545"/>
        <v>0</v>
      </c>
      <c r="CE193" s="224"/>
      <c r="CF193" s="226"/>
      <c r="CG193" s="87"/>
      <c r="CH193" s="87">
        <f t="shared" si="571"/>
        <v>51</v>
      </c>
      <c r="CI193" s="227" t="str">
        <f t="shared" si="584"/>
        <v>Nguyễn Thị Lan</v>
      </c>
      <c r="CJ193" s="227" t="str">
        <f t="shared" si="585"/>
        <v>Anh</v>
      </c>
      <c r="CK193" s="87">
        <f t="shared" si="586"/>
        <v>3</v>
      </c>
      <c r="CL193" s="227" t="str">
        <f t="shared" si="587"/>
        <v>Nông hóa</v>
      </c>
      <c r="CM193" s="87" t="str">
        <f t="shared" si="538"/>
        <v>CS2</v>
      </c>
      <c r="CN193" s="87">
        <f t="shared" si="588"/>
        <v>270</v>
      </c>
      <c r="CO193" s="87">
        <f t="shared" si="588"/>
        <v>120</v>
      </c>
      <c r="CP193" s="229">
        <f t="shared" si="444"/>
        <v>0</v>
      </c>
      <c r="CQ193" s="229">
        <f t="shared" si="445"/>
        <v>0</v>
      </c>
      <c r="CR193" s="229">
        <f t="shared" si="446"/>
        <v>0</v>
      </c>
      <c r="CS193" s="229">
        <f t="shared" si="447"/>
        <v>0</v>
      </c>
      <c r="CT193" s="229">
        <f t="shared" si="448"/>
        <v>0</v>
      </c>
      <c r="CU193" s="229">
        <f t="shared" si="449"/>
        <v>0</v>
      </c>
      <c r="CV193" s="229">
        <f t="shared" si="450"/>
        <v>0</v>
      </c>
      <c r="CW193" s="229">
        <f t="shared" si="451"/>
        <v>15</v>
      </c>
      <c r="CX193" s="229">
        <f t="shared" si="452"/>
        <v>0</v>
      </c>
      <c r="CY193" s="229">
        <f t="shared" si="453"/>
        <v>0</v>
      </c>
      <c r="CZ193" s="229">
        <f t="shared" si="454"/>
        <v>0</v>
      </c>
      <c r="DA193" s="229">
        <f t="shared" si="455"/>
        <v>0</v>
      </c>
      <c r="DB193" s="228">
        <f t="shared" si="423"/>
        <v>15</v>
      </c>
      <c r="DC193" s="229"/>
      <c r="DD193" s="229"/>
      <c r="DE193" s="229"/>
      <c r="DF193" s="229"/>
      <c r="DG193" s="229"/>
      <c r="DH193" s="229"/>
      <c r="DI193" s="229"/>
      <c r="DJ193" s="229"/>
      <c r="DK193" s="229"/>
      <c r="DL193" s="229"/>
      <c r="DM193" s="229"/>
      <c r="DN193" s="229"/>
      <c r="DO193" s="228">
        <f t="shared" si="436"/>
        <v>0</v>
      </c>
      <c r="DP193" s="228">
        <f t="shared" si="437"/>
        <v>15</v>
      </c>
      <c r="DQ193" s="229">
        <f t="shared" si="456"/>
        <v>0</v>
      </c>
      <c r="DR193" s="229">
        <f t="shared" si="457"/>
        <v>0</v>
      </c>
      <c r="DS193" s="229">
        <f t="shared" si="458"/>
        <v>0</v>
      </c>
      <c r="DT193" s="229">
        <f t="shared" si="459"/>
        <v>0</v>
      </c>
      <c r="DU193" s="229">
        <f t="shared" si="460"/>
        <v>0</v>
      </c>
      <c r="DV193" s="229">
        <f t="shared" si="461"/>
        <v>0</v>
      </c>
      <c r="DW193" s="229">
        <f t="shared" si="462"/>
        <v>0</v>
      </c>
      <c r="DX193" s="228">
        <f t="shared" si="424"/>
        <v>0</v>
      </c>
      <c r="DY193" s="229"/>
      <c r="DZ193" s="229"/>
      <c r="EA193" s="229"/>
      <c r="EB193" s="229"/>
      <c r="EC193" s="229"/>
      <c r="ED193" s="229"/>
      <c r="EE193" s="229"/>
      <c r="EF193" s="228">
        <f t="shared" si="438"/>
        <v>0</v>
      </c>
      <c r="EG193" s="228">
        <f t="shared" si="439"/>
        <v>0</v>
      </c>
      <c r="EH193" s="229">
        <f t="shared" si="440"/>
        <v>68.75</v>
      </c>
      <c r="EI193" s="229">
        <v>16.45</v>
      </c>
      <c r="EJ193" s="228">
        <f t="shared" si="517"/>
        <v>85.2</v>
      </c>
      <c r="EK193" s="229"/>
      <c r="EL193" s="229"/>
      <c r="EM193" s="228">
        <f t="shared" si="589"/>
        <v>0</v>
      </c>
      <c r="EN193" s="229">
        <f t="shared" si="576"/>
        <v>68.75</v>
      </c>
      <c r="EO193" s="229">
        <f t="shared" si="577"/>
        <v>16.45</v>
      </c>
      <c r="EP193" s="228">
        <f t="shared" si="578"/>
        <v>85.2</v>
      </c>
      <c r="EQ193" s="173">
        <f t="shared" si="441"/>
        <v>0</v>
      </c>
      <c r="ER193" s="189">
        <v>0</v>
      </c>
      <c r="ES193" s="189">
        <v>0</v>
      </c>
      <c r="ET193" s="189">
        <v>0</v>
      </c>
      <c r="EU193" s="189">
        <v>0</v>
      </c>
      <c r="EV193" s="189">
        <v>0</v>
      </c>
      <c r="EW193" s="189">
        <v>0</v>
      </c>
      <c r="EX193" s="189">
        <v>0</v>
      </c>
      <c r="EY193" s="189">
        <v>15</v>
      </c>
      <c r="EZ193" s="189">
        <v>0</v>
      </c>
      <c r="FA193" s="189">
        <v>0</v>
      </c>
      <c r="FB193" s="189">
        <v>0</v>
      </c>
      <c r="FC193" s="189">
        <v>0</v>
      </c>
      <c r="FD193" s="189">
        <v>0</v>
      </c>
      <c r="FE193" s="189">
        <v>0</v>
      </c>
      <c r="FF193" s="189">
        <v>0</v>
      </c>
      <c r="FG193" s="189">
        <v>0</v>
      </c>
      <c r="FH193" s="189">
        <v>0</v>
      </c>
      <c r="FI193" s="189">
        <v>0</v>
      </c>
      <c r="FJ193" s="189">
        <v>0</v>
      </c>
      <c r="FK193" s="189">
        <v>15</v>
      </c>
      <c r="FL193" s="189">
        <v>15</v>
      </c>
      <c r="FN193" s="132">
        <v>68.75</v>
      </c>
    </row>
    <row r="194" spans="1:170" ht="26.25" customHeight="1">
      <c r="A194" s="88">
        <f>COUNTIF($H$12:H194,H194)</f>
        <v>52</v>
      </c>
      <c r="B194" s="88" t="s">
        <v>98</v>
      </c>
      <c r="C194" s="88" t="s">
        <v>2501</v>
      </c>
      <c r="D194" s="88"/>
      <c r="E194" s="88" t="s">
        <v>3064</v>
      </c>
      <c r="F194" s="301" t="s">
        <v>1502</v>
      </c>
      <c r="G194" s="89" t="s">
        <v>17</v>
      </c>
      <c r="H194" s="88">
        <v>3</v>
      </c>
      <c r="I194" s="88">
        <v>3</v>
      </c>
      <c r="J194" s="88">
        <v>3</v>
      </c>
      <c r="K194" s="90" t="s">
        <v>2445</v>
      </c>
      <c r="L194" s="90" t="s">
        <v>2445</v>
      </c>
      <c r="M194" s="214"/>
      <c r="N194" s="88" t="s">
        <v>1804</v>
      </c>
      <c r="O194" s="216">
        <f t="shared" si="516"/>
        <v>4.32</v>
      </c>
      <c r="P194" s="88" t="str">
        <f t="shared" si="468"/>
        <v>B1_4</v>
      </c>
      <c r="Q194" s="88">
        <f t="shared" si="527"/>
        <v>270</v>
      </c>
      <c r="R194" s="88">
        <f t="shared" si="528"/>
        <v>120</v>
      </c>
      <c r="S194" s="230" t="s">
        <v>2031</v>
      </c>
      <c r="T194" s="88" t="s">
        <v>3091</v>
      </c>
      <c r="U194" s="88">
        <f>IF(RIGHT(T194,1)="K",(VLOOKUP(T194,ma_miengiam!$A$3:$B$80,2,0)*100)/2,VLOOKUP(T194,ma_miengiam!$A$3:$B$80,2,0)*100)</f>
        <v>20</v>
      </c>
      <c r="V194" s="88"/>
      <c r="W194" s="220">
        <f>IF(AND(T194="NTS",V194&gt;0),(Q194-(Q194*V194)/12)*VLOOKUP(T194,ma_miengiam!$A$3:$B$80,2,0)+(Q194-(Q194*(12-V194))/12),IF(AND(RIGHT(T194,1)="K",V194&gt;0),(VLOOKUP(T194,ma_miengiam!$A$3:$B$80,2,0)/2)*(Q194*V194)/12,IF(RIGHT(T194,1)="K",(VLOOKUP(T194,ma_miengiam!$A$3:$B$80,2,0)*Q194)/2,IF(V194&gt;0,VLOOKUP(T194,ma_miengiam!$A$3:$B$80,2,0)*Q194*V194/12,VLOOKUP(T194,ma_miengiam!$A$3:$B$80,2,0)*Q194))))</f>
        <v>54</v>
      </c>
      <c r="X194" s="220">
        <f>IF(T194="NTS",VLOOKUP(T194,ma_miengiam!$A$3:$B$80,2,0)*R194*V194,IF(AND(T194="NTS",V194=0),0,IF(AND(LEFT(T194,1)="K",V194=0),VLOOKUP(T194,ma_miengiam!$A$3:$B$80,2,0)*R194,IF(LEFT(T194,1)="K",(VLOOKUP(T194,ma_miengiam!$A$3:$B$80,2,0)*R194/12)*V194,IF(AND(LEFT(T194,1)="S",V194&gt;0),(R194/12)*V194,IF(AND(LEFT(T194,1)="S",V194=0),R194,IF(T194="DH",VLOOKUP(T194,ma_miengiam!$A$3:$B$80,2,0)*R194,0)))))))</f>
        <v>0</v>
      </c>
      <c r="Y194" s="220">
        <f t="shared" si="503"/>
        <v>216</v>
      </c>
      <c r="Z194" s="220">
        <f t="shared" si="579"/>
        <v>120</v>
      </c>
      <c r="AA194" s="220">
        <f t="shared" si="580"/>
        <v>270</v>
      </c>
      <c r="AB194" s="220">
        <f t="shared" si="580"/>
        <v>120</v>
      </c>
      <c r="AC194" s="220">
        <f t="shared" si="581"/>
        <v>54</v>
      </c>
      <c r="AD194" s="220">
        <f t="shared" si="581"/>
        <v>0</v>
      </c>
      <c r="AE194" s="220">
        <f t="shared" si="581"/>
        <v>216</v>
      </c>
      <c r="AF194" s="220">
        <f t="shared" si="581"/>
        <v>120</v>
      </c>
      <c r="AG194" s="220">
        <f t="shared" si="567"/>
        <v>408.75</v>
      </c>
      <c r="AH194" s="220">
        <f t="shared" si="568"/>
        <v>216.25</v>
      </c>
      <c r="AI194" s="220">
        <f t="shared" si="569"/>
        <v>192.5</v>
      </c>
      <c r="AJ194" s="220">
        <f t="shared" si="513"/>
        <v>0</v>
      </c>
      <c r="AK194" s="216">
        <f t="shared" si="410"/>
        <v>216</v>
      </c>
      <c r="AL194" s="220">
        <f t="shared" si="425"/>
        <v>67.400000000000006</v>
      </c>
      <c r="AM194" s="220">
        <f t="shared" si="426"/>
        <v>27.400000000000002</v>
      </c>
      <c r="AN194" s="221">
        <f t="shared" si="427"/>
        <v>94.800000000000011</v>
      </c>
      <c r="AO194" s="220">
        <f t="shared" si="428"/>
        <v>0</v>
      </c>
      <c r="AP194" s="220">
        <f t="shared" si="429"/>
        <v>0</v>
      </c>
      <c r="AQ194" s="220">
        <f t="shared" si="430"/>
        <v>0</v>
      </c>
      <c r="AR194" s="220">
        <f t="shared" si="431"/>
        <v>0</v>
      </c>
      <c r="AS194" s="220">
        <f t="shared" si="432"/>
        <v>0</v>
      </c>
      <c r="AT194" s="216">
        <f t="shared" si="433"/>
        <v>94.800000000000011</v>
      </c>
      <c r="AU194" s="222">
        <f t="shared" si="574"/>
        <v>-121.19999999999999</v>
      </c>
      <c r="AV194" s="220"/>
      <c r="AW194" s="220">
        <f t="shared" si="532"/>
        <v>-121.19999999999999</v>
      </c>
      <c r="AX194" s="216">
        <f t="shared" si="411"/>
        <v>-121.19999999999999</v>
      </c>
      <c r="AY194" s="220">
        <f t="shared" si="539"/>
        <v>0</v>
      </c>
      <c r="AZ194" s="220">
        <f t="shared" si="540"/>
        <v>0</v>
      </c>
      <c r="BA194" s="220">
        <f t="shared" si="541"/>
        <v>0</v>
      </c>
      <c r="BB194" s="220">
        <f t="shared" si="542"/>
        <v>0</v>
      </c>
      <c r="BC194" s="220">
        <f t="shared" si="543"/>
        <v>0</v>
      </c>
      <c r="BD194" s="216">
        <f t="shared" si="575"/>
        <v>0</v>
      </c>
      <c r="BE194" s="220">
        <f t="shared" si="533"/>
        <v>0</v>
      </c>
      <c r="BF194" s="220">
        <f t="shared" si="534"/>
        <v>0</v>
      </c>
      <c r="BG194" s="220">
        <f t="shared" si="535"/>
        <v>0</v>
      </c>
      <c r="BH194" s="220">
        <f t="shared" si="536"/>
        <v>0</v>
      </c>
      <c r="BI194" s="220">
        <f t="shared" si="537"/>
        <v>0</v>
      </c>
      <c r="BJ194" s="220" t="s">
        <v>1809</v>
      </c>
      <c r="BK194" s="220"/>
      <c r="BL194" s="223">
        <f t="shared" si="582"/>
        <v>0</v>
      </c>
      <c r="BM194" s="220">
        <v>4.32</v>
      </c>
      <c r="BN194" s="220"/>
      <c r="BO194" s="220">
        <f t="shared" si="583"/>
        <v>4.32</v>
      </c>
      <c r="BP194" s="220">
        <f>IF(AND(BL194&gt;0,BL194&lt;tiet!$D$1),BL194,IF(BL194&lt;=0,0,IF(BL194&gt;tiet!$C$1,tiet!$C$1)))</f>
        <v>0</v>
      </c>
      <c r="BQ194" s="87">
        <f t="shared" si="509"/>
        <v>65000</v>
      </c>
      <c r="BR194" s="224">
        <f t="shared" si="510"/>
        <v>0</v>
      </c>
      <c r="BS194" s="220">
        <f t="shared" si="434"/>
        <v>0</v>
      </c>
      <c r="BT194" s="224">
        <f>VLOOKUP(N194,ma_dinhmuc!$A$1:$J$31,10,0)</f>
        <v>51000</v>
      </c>
      <c r="BU194" s="224">
        <f>ROUND(IF(BS194&gt;0,VLOOKUP(N194,ma_dinhmuc!$A$1:$J$31,10,0)*BS194,0),0)</f>
        <v>0</v>
      </c>
      <c r="BV194" s="224">
        <f t="shared" si="511"/>
        <v>0</v>
      </c>
      <c r="BW194" s="224"/>
      <c r="BX194" s="224">
        <v>0</v>
      </c>
      <c r="BY194" s="224"/>
      <c r="BZ194" s="224"/>
      <c r="CA194" s="224"/>
      <c r="CB194" s="224"/>
      <c r="CC194" s="225">
        <f t="shared" si="544"/>
        <v>0</v>
      </c>
      <c r="CD194" s="224">
        <f t="shared" si="545"/>
        <v>0</v>
      </c>
      <c r="CE194" s="224"/>
      <c r="CF194" s="226"/>
      <c r="CG194" s="87"/>
      <c r="CH194" s="87">
        <f t="shared" si="571"/>
        <v>52</v>
      </c>
      <c r="CI194" s="227" t="str">
        <f t="shared" si="584"/>
        <v>Nguyễn Thu</v>
      </c>
      <c r="CJ194" s="227" t="str">
        <f t="shared" si="585"/>
        <v>Hà</v>
      </c>
      <c r="CK194" s="87">
        <f t="shared" si="586"/>
        <v>3</v>
      </c>
      <c r="CL194" s="227" t="str">
        <f t="shared" si="587"/>
        <v>Nông hóa</v>
      </c>
      <c r="CM194" s="87" t="str">
        <f t="shared" si="538"/>
        <v>CS2</v>
      </c>
      <c r="CN194" s="87">
        <f t="shared" si="588"/>
        <v>270</v>
      </c>
      <c r="CO194" s="87">
        <f t="shared" si="588"/>
        <v>120</v>
      </c>
      <c r="CP194" s="229">
        <f t="shared" si="444"/>
        <v>0</v>
      </c>
      <c r="CQ194" s="229">
        <f t="shared" si="445"/>
        <v>5.3</v>
      </c>
      <c r="CR194" s="229">
        <f t="shared" si="446"/>
        <v>2.1</v>
      </c>
      <c r="CS194" s="229">
        <f t="shared" si="447"/>
        <v>0</v>
      </c>
      <c r="CT194" s="229">
        <f t="shared" si="448"/>
        <v>0</v>
      </c>
      <c r="CU194" s="229">
        <f t="shared" si="449"/>
        <v>45</v>
      </c>
      <c r="CV194" s="229">
        <f t="shared" si="450"/>
        <v>0</v>
      </c>
      <c r="CW194" s="229">
        <f t="shared" si="451"/>
        <v>15</v>
      </c>
      <c r="CX194" s="229">
        <f t="shared" si="452"/>
        <v>0</v>
      </c>
      <c r="CY194" s="229">
        <f t="shared" si="453"/>
        <v>0</v>
      </c>
      <c r="CZ194" s="229">
        <f t="shared" si="454"/>
        <v>0</v>
      </c>
      <c r="DA194" s="229">
        <f t="shared" si="455"/>
        <v>0</v>
      </c>
      <c r="DB194" s="228">
        <f t="shared" si="423"/>
        <v>67.400000000000006</v>
      </c>
      <c r="DC194" s="229"/>
      <c r="DD194" s="229"/>
      <c r="DE194" s="229"/>
      <c r="DF194" s="229"/>
      <c r="DG194" s="229"/>
      <c r="DH194" s="229"/>
      <c r="DI194" s="229"/>
      <c r="DJ194" s="229"/>
      <c r="DK194" s="229"/>
      <c r="DL194" s="229"/>
      <c r="DM194" s="229"/>
      <c r="DN194" s="229"/>
      <c r="DO194" s="228">
        <f t="shared" si="436"/>
        <v>0</v>
      </c>
      <c r="DP194" s="228">
        <f t="shared" si="437"/>
        <v>67.400000000000006</v>
      </c>
      <c r="DQ194" s="229">
        <f t="shared" si="456"/>
        <v>27</v>
      </c>
      <c r="DR194" s="229">
        <f t="shared" si="457"/>
        <v>0.3</v>
      </c>
      <c r="DS194" s="229">
        <f t="shared" si="458"/>
        <v>0</v>
      </c>
      <c r="DT194" s="229">
        <f t="shared" si="459"/>
        <v>0.1</v>
      </c>
      <c r="DU194" s="229">
        <f t="shared" si="460"/>
        <v>0</v>
      </c>
      <c r="DV194" s="229">
        <f t="shared" si="461"/>
        <v>0</v>
      </c>
      <c r="DW194" s="229">
        <f t="shared" si="462"/>
        <v>0</v>
      </c>
      <c r="DX194" s="228">
        <f t="shared" si="424"/>
        <v>27.400000000000002</v>
      </c>
      <c r="DY194" s="229"/>
      <c r="DZ194" s="229"/>
      <c r="EA194" s="229"/>
      <c r="EB194" s="229"/>
      <c r="EC194" s="229"/>
      <c r="ED194" s="229"/>
      <c r="EE194" s="229"/>
      <c r="EF194" s="228">
        <f t="shared" si="438"/>
        <v>0</v>
      </c>
      <c r="EG194" s="228">
        <f t="shared" si="439"/>
        <v>27.400000000000002</v>
      </c>
      <c r="EH194" s="229">
        <f t="shared" si="440"/>
        <v>192.5</v>
      </c>
      <c r="EI194" s="229">
        <v>216.25</v>
      </c>
      <c r="EJ194" s="228">
        <f t="shared" si="517"/>
        <v>408.75</v>
      </c>
      <c r="EK194" s="229"/>
      <c r="EL194" s="229"/>
      <c r="EM194" s="228">
        <f t="shared" si="589"/>
        <v>0</v>
      </c>
      <c r="EN194" s="229">
        <f t="shared" si="576"/>
        <v>192.5</v>
      </c>
      <c r="EO194" s="229">
        <f t="shared" si="577"/>
        <v>216.25</v>
      </c>
      <c r="EP194" s="228">
        <f t="shared" si="578"/>
        <v>408.75</v>
      </c>
      <c r="EQ194" s="173">
        <f t="shared" si="441"/>
        <v>72.5</v>
      </c>
      <c r="ER194" s="189">
        <v>0</v>
      </c>
      <c r="ES194" s="189">
        <v>5.3</v>
      </c>
      <c r="ET194" s="189">
        <v>2.1</v>
      </c>
      <c r="EU194" s="189">
        <v>0</v>
      </c>
      <c r="EV194" s="189">
        <v>0</v>
      </c>
      <c r="EW194" s="189">
        <v>45</v>
      </c>
      <c r="EX194" s="189">
        <v>0</v>
      </c>
      <c r="EY194" s="189">
        <v>15</v>
      </c>
      <c r="EZ194" s="189">
        <v>0</v>
      </c>
      <c r="FA194" s="189">
        <v>0</v>
      </c>
      <c r="FB194" s="189">
        <v>0</v>
      </c>
      <c r="FC194" s="189">
        <v>0</v>
      </c>
      <c r="FD194" s="189">
        <v>27</v>
      </c>
      <c r="FE194" s="189">
        <v>0.3</v>
      </c>
      <c r="FF194" s="189">
        <v>0</v>
      </c>
      <c r="FG194" s="189">
        <v>0.1</v>
      </c>
      <c r="FH194" s="189">
        <v>0</v>
      </c>
      <c r="FI194" s="189">
        <v>0</v>
      </c>
      <c r="FJ194" s="189">
        <v>0</v>
      </c>
      <c r="FK194" s="189">
        <v>94.8</v>
      </c>
      <c r="FL194" s="189">
        <v>81</v>
      </c>
      <c r="FN194" s="132">
        <v>192.5</v>
      </c>
    </row>
    <row r="195" spans="1:170" ht="30" customHeight="1">
      <c r="A195" s="88">
        <f>COUNTIF($H$12:H195,H195)</f>
        <v>53</v>
      </c>
      <c r="B195" s="88" t="s">
        <v>99</v>
      </c>
      <c r="C195" s="88" t="s">
        <v>2502</v>
      </c>
      <c r="D195" s="88"/>
      <c r="E195" s="88" t="s">
        <v>3064</v>
      </c>
      <c r="F195" s="301" t="s">
        <v>2895</v>
      </c>
      <c r="G195" s="303" t="s">
        <v>2484</v>
      </c>
      <c r="H195" s="88">
        <v>3</v>
      </c>
      <c r="I195" s="88">
        <v>3</v>
      </c>
      <c r="J195" s="88">
        <v>3</v>
      </c>
      <c r="K195" s="90" t="s">
        <v>2445</v>
      </c>
      <c r="L195" s="90" t="s">
        <v>2445</v>
      </c>
      <c r="M195" s="214"/>
      <c r="N195" s="88" t="s">
        <v>1804</v>
      </c>
      <c r="O195" s="216">
        <f t="shared" si="516"/>
        <v>3</v>
      </c>
      <c r="P195" s="88" t="str">
        <f t="shared" si="468"/>
        <v>B1_3</v>
      </c>
      <c r="Q195" s="88">
        <f t="shared" si="527"/>
        <v>270</v>
      </c>
      <c r="R195" s="88">
        <f t="shared" si="528"/>
        <v>100</v>
      </c>
      <c r="S195" s="233"/>
      <c r="T195" s="88" t="s">
        <v>3088</v>
      </c>
      <c r="U195" s="88">
        <f>IF(RIGHT(T195,1)="K",(VLOOKUP(T195,ma_miengiam!$A$3:$B$80,2,0)*100)/2,VLOOKUP(T195,ma_miengiam!$A$3:$B$80,2,0)*100)</f>
        <v>0</v>
      </c>
      <c r="V195" s="88"/>
      <c r="W195" s="220">
        <f>IF(AND(T195="NTS",V195&gt;0),(Q195-(Q195*V195)/12)*VLOOKUP(T195,ma_miengiam!$A$3:$B$80,2,0)+(Q195-(Q195*(12-V195))/12),IF(AND(RIGHT(T195,1)="K",V195&gt;0),(VLOOKUP(T195,ma_miengiam!$A$3:$B$80,2,0)/2)*(Q195*V195)/12,IF(RIGHT(T195,1)="K",(VLOOKUP(T195,ma_miengiam!$A$3:$B$80,2,0)*Q195)/2,IF(V195&gt;0,VLOOKUP(T195,ma_miengiam!$A$3:$B$80,2,0)*Q195*V195/12,VLOOKUP(T195,ma_miengiam!$A$3:$B$80,2,0)*Q195))))</f>
        <v>0</v>
      </c>
      <c r="X195" s="220">
        <f>IF(T195="NTS",VLOOKUP(T195,ma_miengiam!$A$3:$B$80,2,0)*R195*V195,IF(AND(T195="NTS",V195=0),0,IF(AND(LEFT(T195,1)="K",V195=0),VLOOKUP(T195,ma_miengiam!$A$3:$B$80,2,0)*R195,IF(LEFT(T195,1)="K",(VLOOKUP(T195,ma_miengiam!$A$3:$B$80,2,0)*R195/12)*V195,IF(AND(LEFT(T195,1)="S",V195&gt;0),(R195/12)*V195,IF(AND(LEFT(T195,1)="S",V195=0),R195,IF(T195="DH",VLOOKUP(T195,ma_miengiam!$A$3:$B$80,2,0)*R195,0)))))))</f>
        <v>0</v>
      </c>
      <c r="Y195" s="220">
        <f t="shared" si="503"/>
        <v>270</v>
      </c>
      <c r="Z195" s="220">
        <f t="shared" si="579"/>
        <v>100</v>
      </c>
      <c r="AA195" s="220">
        <f t="shared" si="580"/>
        <v>270</v>
      </c>
      <c r="AB195" s="220">
        <f t="shared" si="580"/>
        <v>100</v>
      </c>
      <c r="AC195" s="220">
        <f t="shared" si="581"/>
        <v>0</v>
      </c>
      <c r="AD195" s="220">
        <f t="shared" si="581"/>
        <v>0</v>
      </c>
      <c r="AE195" s="220">
        <f t="shared" si="581"/>
        <v>270</v>
      </c>
      <c r="AF195" s="220">
        <f t="shared" si="581"/>
        <v>100</v>
      </c>
      <c r="AG195" s="220">
        <f t="shared" si="567"/>
        <v>410.005</v>
      </c>
      <c r="AH195" s="220">
        <f t="shared" si="568"/>
        <v>214.375</v>
      </c>
      <c r="AI195" s="220">
        <f t="shared" si="569"/>
        <v>195.63</v>
      </c>
      <c r="AJ195" s="220">
        <f t="shared" si="513"/>
        <v>0</v>
      </c>
      <c r="AK195" s="216">
        <f t="shared" si="410"/>
        <v>270</v>
      </c>
      <c r="AL195" s="220">
        <f t="shared" si="425"/>
        <v>30.7</v>
      </c>
      <c r="AM195" s="220">
        <f t="shared" si="426"/>
        <v>0</v>
      </c>
      <c r="AN195" s="221">
        <f t="shared" si="427"/>
        <v>30.7</v>
      </c>
      <c r="AO195" s="220">
        <f t="shared" si="428"/>
        <v>0</v>
      </c>
      <c r="AP195" s="220">
        <f t="shared" si="429"/>
        <v>0</v>
      </c>
      <c r="AQ195" s="220">
        <f t="shared" si="430"/>
        <v>20</v>
      </c>
      <c r="AR195" s="220">
        <f t="shared" si="431"/>
        <v>0</v>
      </c>
      <c r="AS195" s="220">
        <f t="shared" si="432"/>
        <v>0</v>
      </c>
      <c r="AT195" s="216">
        <f t="shared" si="433"/>
        <v>50.7</v>
      </c>
      <c r="AU195" s="222">
        <f t="shared" si="574"/>
        <v>-239.3</v>
      </c>
      <c r="AV195" s="220"/>
      <c r="AW195" s="220">
        <f t="shared" si="532"/>
        <v>-239.3</v>
      </c>
      <c r="AX195" s="216">
        <f t="shared" si="411"/>
        <v>-239.3</v>
      </c>
      <c r="AY195" s="220">
        <f t="shared" si="539"/>
        <v>0</v>
      </c>
      <c r="AZ195" s="220">
        <f t="shared" si="540"/>
        <v>0</v>
      </c>
      <c r="BA195" s="220">
        <f t="shared" si="541"/>
        <v>0</v>
      </c>
      <c r="BB195" s="220">
        <f t="shared" si="542"/>
        <v>0</v>
      </c>
      <c r="BC195" s="220">
        <f t="shared" si="543"/>
        <v>0</v>
      </c>
      <c r="BD195" s="216">
        <f t="shared" si="575"/>
        <v>0</v>
      </c>
      <c r="BE195" s="220">
        <f t="shared" si="533"/>
        <v>0</v>
      </c>
      <c r="BF195" s="220">
        <f t="shared" si="534"/>
        <v>0</v>
      </c>
      <c r="BG195" s="220">
        <f t="shared" si="535"/>
        <v>-20</v>
      </c>
      <c r="BH195" s="220">
        <f t="shared" si="536"/>
        <v>0</v>
      </c>
      <c r="BI195" s="220">
        <f t="shared" si="537"/>
        <v>0</v>
      </c>
      <c r="BJ195" s="220" t="s">
        <v>1809</v>
      </c>
      <c r="BK195" s="220"/>
      <c r="BL195" s="223">
        <f t="shared" si="582"/>
        <v>0</v>
      </c>
      <c r="BM195" s="220">
        <v>3</v>
      </c>
      <c r="BN195" s="220"/>
      <c r="BO195" s="220">
        <f t="shared" si="583"/>
        <v>3</v>
      </c>
      <c r="BP195" s="220">
        <f>IF(AND(BL195&gt;0,BL195&lt;tiet!$D$1),BL195,IF(BL195&lt;=0,0,IF(BL195&gt;tiet!$C$1,tiet!$C$1)))</f>
        <v>0</v>
      </c>
      <c r="BQ195" s="87">
        <f t="shared" si="509"/>
        <v>60000</v>
      </c>
      <c r="BR195" s="224">
        <f t="shared" si="510"/>
        <v>0</v>
      </c>
      <c r="BS195" s="220">
        <f t="shared" si="434"/>
        <v>0</v>
      </c>
      <c r="BT195" s="224">
        <f>VLOOKUP(N195,ma_dinhmuc!$A$1:$J$31,10,0)</f>
        <v>51000</v>
      </c>
      <c r="BU195" s="224">
        <f>ROUND(IF(BS195&gt;0,VLOOKUP(N195,ma_dinhmuc!$A$1:$J$31,10,0)*BS195,0),0)</f>
        <v>0</v>
      </c>
      <c r="BV195" s="224">
        <f t="shared" si="511"/>
        <v>0</v>
      </c>
      <c r="BW195" s="224"/>
      <c r="BX195" s="224">
        <v>0</v>
      </c>
      <c r="BY195" s="224"/>
      <c r="BZ195" s="224"/>
      <c r="CA195" s="224"/>
      <c r="CB195" s="224"/>
      <c r="CC195" s="225">
        <f t="shared" si="544"/>
        <v>0</v>
      </c>
      <c r="CD195" s="224">
        <f t="shared" si="545"/>
        <v>0</v>
      </c>
      <c r="CE195" s="224"/>
      <c r="CF195" s="226"/>
      <c r="CG195" s="87"/>
      <c r="CH195" s="87">
        <f t="shared" si="571"/>
        <v>53</v>
      </c>
      <c r="CI195" s="227" t="str">
        <f t="shared" si="584"/>
        <v>Nguyễn Văn</v>
      </c>
      <c r="CJ195" s="227" t="str">
        <f t="shared" si="585"/>
        <v>Thao</v>
      </c>
      <c r="CK195" s="87">
        <f t="shared" si="586"/>
        <v>3</v>
      </c>
      <c r="CL195" s="227" t="str">
        <f t="shared" si="587"/>
        <v>Nông hóa</v>
      </c>
      <c r="CM195" s="87" t="str">
        <f t="shared" si="538"/>
        <v>CS2</v>
      </c>
      <c r="CN195" s="87">
        <f t="shared" si="588"/>
        <v>270</v>
      </c>
      <c r="CO195" s="87">
        <f t="shared" si="588"/>
        <v>100</v>
      </c>
      <c r="CP195" s="229">
        <f t="shared" si="444"/>
        <v>0</v>
      </c>
      <c r="CQ195" s="229">
        <f t="shared" si="445"/>
        <v>0.5</v>
      </c>
      <c r="CR195" s="229">
        <f t="shared" si="446"/>
        <v>0.2</v>
      </c>
      <c r="CS195" s="229">
        <f t="shared" si="447"/>
        <v>0</v>
      </c>
      <c r="CT195" s="229">
        <f t="shared" si="448"/>
        <v>0</v>
      </c>
      <c r="CU195" s="229">
        <f t="shared" si="449"/>
        <v>30</v>
      </c>
      <c r="CV195" s="229">
        <f t="shared" si="450"/>
        <v>0</v>
      </c>
      <c r="CW195" s="229">
        <f t="shared" si="451"/>
        <v>0</v>
      </c>
      <c r="CX195" s="229">
        <f t="shared" si="452"/>
        <v>0</v>
      </c>
      <c r="CY195" s="229">
        <f t="shared" si="453"/>
        <v>0</v>
      </c>
      <c r="CZ195" s="229">
        <f t="shared" si="454"/>
        <v>0</v>
      </c>
      <c r="DA195" s="229">
        <f t="shared" si="455"/>
        <v>20</v>
      </c>
      <c r="DB195" s="228">
        <f t="shared" si="423"/>
        <v>50.7</v>
      </c>
      <c r="DC195" s="229"/>
      <c r="DD195" s="229"/>
      <c r="DE195" s="229"/>
      <c r="DF195" s="229"/>
      <c r="DG195" s="229"/>
      <c r="DH195" s="229"/>
      <c r="DI195" s="229"/>
      <c r="DJ195" s="229"/>
      <c r="DK195" s="229"/>
      <c r="DL195" s="229"/>
      <c r="DM195" s="229"/>
      <c r="DN195" s="229"/>
      <c r="DO195" s="228">
        <f t="shared" si="436"/>
        <v>0</v>
      </c>
      <c r="DP195" s="228">
        <f t="shared" si="437"/>
        <v>50.7</v>
      </c>
      <c r="DQ195" s="229">
        <f t="shared" si="456"/>
        <v>0</v>
      </c>
      <c r="DR195" s="229">
        <f t="shared" si="457"/>
        <v>0</v>
      </c>
      <c r="DS195" s="229">
        <f t="shared" si="458"/>
        <v>0</v>
      </c>
      <c r="DT195" s="229">
        <f t="shared" si="459"/>
        <v>0</v>
      </c>
      <c r="DU195" s="229">
        <f t="shared" si="460"/>
        <v>0</v>
      </c>
      <c r="DV195" s="229">
        <f t="shared" si="461"/>
        <v>0</v>
      </c>
      <c r="DW195" s="229">
        <f t="shared" si="462"/>
        <v>0</v>
      </c>
      <c r="DX195" s="228">
        <f t="shared" si="424"/>
        <v>0</v>
      </c>
      <c r="DY195" s="229"/>
      <c r="DZ195" s="229"/>
      <c r="EA195" s="229"/>
      <c r="EB195" s="229"/>
      <c r="EC195" s="229"/>
      <c r="ED195" s="229"/>
      <c r="EE195" s="229"/>
      <c r="EF195" s="228">
        <f t="shared" si="438"/>
        <v>0</v>
      </c>
      <c r="EG195" s="228">
        <f t="shared" si="439"/>
        <v>0</v>
      </c>
      <c r="EH195" s="229">
        <f t="shared" si="440"/>
        <v>195.63</v>
      </c>
      <c r="EI195" s="229">
        <v>214.375</v>
      </c>
      <c r="EJ195" s="228">
        <f t="shared" si="517"/>
        <v>410.005</v>
      </c>
      <c r="EK195" s="229"/>
      <c r="EL195" s="229"/>
      <c r="EM195" s="228">
        <f t="shared" si="589"/>
        <v>0</v>
      </c>
      <c r="EN195" s="229">
        <f t="shared" si="576"/>
        <v>195.63</v>
      </c>
      <c r="EO195" s="229">
        <f t="shared" si="577"/>
        <v>214.375</v>
      </c>
      <c r="EP195" s="228">
        <f t="shared" ref="EP195:EP206" si="590">EM195+EJ195</f>
        <v>410.005</v>
      </c>
      <c r="EQ195" s="173">
        <f t="shared" si="441"/>
        <v>95.63</v>
      </c>
      <c r="ER195" s="189">
        <v>0</v>
      </c>
      <c r="ES195" s="189">
        <v>0.5</v>
      </c>
      <c r="ET195" s="189">
        <v>0.2</v>
      </c>
      <c r="EU195" s="189">
        <v>0</v>
      </c>
      <c r="EV195" s="189">
        <v>0</v>
      </c>
      <c r="EW195" s="189">
        <v>30</v>
      </c>
      <c r="EX195" s="189">
        <v>0</v>
      </c>
      <c r="EY195" s="189">
        <v>0</v>
      </c>
      <c r="EZ195" s="189">
        <v>0</v>
      </c>
      <c r="FA195" s="189">
        <v>0</v>
      </c>
      <c r="FB195" s="189">
        <v>0</v>
      </c>
      <c r="FC195" s="189">
        <v>20</v>
      </c>
      <c r="FD195" s="189">
        <v>0</v>
      </c>
      <c r="FE195" s="189">
        <v>0</v>
      </c>
      <c r="FF195" s="189">
        <v>0</v>
      </c>
      <c r="FG195" s="189">
        <v>0</v>
      </c>
      <c r="FH195" s="189">
        <v>0</v>
      </c>
      <c r="FI195" s="189">
        <v>0</v>
      </c>
      <c r="FJ195" s="189">
        <v>0</v>
      </c>
      <c r="FK195" s="189">
        <v>50.7</v>
      </c>
      <c r="FL195" s="189">
        <v>52</v>
      </c>
      <c r="FN195" s="132">
        <v>195.63</v>
      </c>
    </row>
    <row r="196" spans="1:170" ht="30" customHeight="1">
      <c r="A196" s="88">
        <f>COUNTIF($H$12:H196,H196)</f>
        <v>1</v>
      </c>
      <c r="B196" s="88" t="s">
        <v>100</v>
      </c>
      <c r="C196" s="88" t="s">
        <v>2503</v>
      </c>
      <c r="D196" s="88"/>
      <c r="E196" s="88"/>
      <c r="F196" s="301" t="s">
        <v>3192</v>
      </c>
      <c r="G196" s="89" t="s">
        <v>2083</v>
      </c>
      <c r="H196" s="88">
        <v>4</v>
      </c>
      <c r="I196" s="88">
        <v>4</v>
      </c>
      <c r="J196" s="88">
        <v>4</v>
      </c>
      <c r="K196" s="90" t="s">
        <v>557</v>
      </c>
      <c r="L196" s="90" t="s">
        <v>557</v>
      </c>
      <c r="M196" s="214"/>
      <c r="N196" s="88" t="s">
        <v>605</v>
      </c>
      <c r="O196" s="216">
        <f t="shared" si="516"/>
        <v>6.56</v>
      </c>
      <c r="P196" s="88" t="str">
        <f t="shared" si="468"/>
        <v>B1_7</v>
      </c>
      <c r="Q196" s="88">
        <f t="shared" si="527"/>
        <v>270</v>
      </c>
      <c r="R196" s="88">
        <f t="shared" si="528"/>
        <v>200</v>
      </c>
      <c r="S196" s="218" t="s">
        <v>682</v>
      </c>
      <c r="T196" s="219" t="s">
        <v>3093</v>
      </c>
      <c r="U196" s="88">
        <f>IF(RIGHT(T196,1)="K",(VLOOKUP(T196,ma_miengiam!$A$3:$B$80,2,0)*100)/2,VLOOKUP(T196,ma_miengiam!$A$3:$B$80,2,0)*100)</f>
        <v>30</v>
      </c>
      <c r="V196" s="88"/>
      <c r="W196" s="220">
        <f>IF(AND(T196="NTS",V196&gt;0),(Q196-(Q196*V196)/12)*VLOOKUP(T196,ma_miengiam!$A$3:$B$80,2,0)+(Q196-(Q196*(12-V196))/12),IF(AND(RIGHT(T196,1)="K",V196&gt;0),(VLOOKUP(T196,ma_miengiam!$A$3:$B$80,2,0)/2)*(Q196*V196)/12,IF(RIGHT(T196,1)="K",(VLOOKUP(T196,ma_miengiam!$A$3:$B$80,2,0)*Q196)/2,IF(V196&gt;0,VLOOKUP(T196,ma_miengiam!$A$3:$B$80,2,0)*Q196*V196/12,VLOOKUP(T196,ma_miengiam!$A$3:$B$80,2,0)*Q196))))</f>
        <v>81</v>
      </c>
      <c r="X196" s="220">
        <f>IF(T196="NTS",VLOOKUP(T196,ma_miengiam!$A$3:$B$80,2,0)*R196*V196,IF(AND(T196="NTS",V196=0),0,IF(AND(LEFT(T196,1)="K",V196=0),VLOOKUP(T196,ma_miengiam!$A$3:$B$80,2,0)*R196,IF(LEFT(T196,1)="K",(VLOOKUP(T196,ma_miengiam!$A$3:$B$80,2,0)*R196/12)*V196,IF(AND(LEFT(T196,1)="S",V196&gt;0),(R196/12)*V196,IF(AND(LEFT(T196,1)="S",V196=0),R196,IF(T196="DH",VLOOKUP(T196,ma_miengiam!$A$3:$B$80,2,0)*R196,0)))))))</f>
        <v>0</v>
      </c>
      <c r="Y196" s="220">
        <f t="shared" si="503"/>
        <v>189</v>
      </c>
      <c r="Z196" s="220">
        <f t="shared" si="579"/>
        <v>200</v>
      </c>
      <c r="AA196" s="220">
        <f t="shared" ref="AA196:AB199" si="591">Q196</f>
        <v>270</v>
      </c>
      <c r="AB196" s="220">
        <f t="shared" si="591"/>
        <v>200</v>
      </c>
      <c r="AC196" s="220">
        <f t="shared" ref="AC196:AF197" si="592">W196</f>
        <v>81</v>
      </c>
      <c r="AD196" s="220">
        <f t="shared" si="592"/>
        <v>0</v>
      </c>
      <c r="AE196" s="220">
        <f t="shared" si="592"/>
        <v>189</v>
      </c>
      <c r="AF196" s="220">
        <f t="shared" si="592"/>
        <v>200</v>
      </c>
      <c r="AG196" s="220">
        <f t="shared" ref="AG196:AG201" si="593">AH196+AI196</f>
        <v>325.69</v>
      </c>
      <c r="AH196" s="220">
        <f t="shared" ref="AH196:AH201" si="594">EO196</f>
        <v>119.44</v>
      </c>
      <c r="AI196" s="220">
        <f t="shared" ref="AI196:AI201" si="595">EN196</f>
        <v>206.25</v>
      </c>
      <c r="AJ196" s="220">
        <f t="shared" si="513"/>
        <v>0</v>
      </c>
      <c r="AK196" s="216">
        <f t="shared" si="410"/>
        <v>189</v>
      </c>
      <c r="AL196" s="220">
        <f t="shared" si="425"/>
        <v>103.8</v>
      </c>
      <c r="AM196" s="220">
        <f t="shared" si="426"/>
        <v>0</v>
      </c>
      <c r="AN196" s="221">
        <f t="shared" si="427"/>
        <v>103.8</v>
      </c>
      <c r="AO196" s="220">
        <f t="shared" si="428"/>
        <v>0</v>
      </c>
      <c r="AP196" s="220">
        <f t="shared" si="429"/>
        <v>0</v>
      </c>
      <c r="AQ196" s="220">
        <f t="shared" si="430"/>
        <v>0</v>
      </c>
      <c r="AR196" s="220">
        <f t="shared" si="431"/>
        <v>0</v>
      </c>
      <c r="AS196" s="220">
        <f t="shared" si="432"/>
        <v>10</v>
      </c>
      <c r="AT196" s="216">
        <f t="shared" si="433"/>
        <v>113.8</v>
      </c>
      <c r="AU196" s="222">
        <f t="shared" si="574"/>
        <v>-85.2</v>
      </c>
      <c r="AV196" s="220"/>
      <c r="AW196" s="220">
        <f t="shared" si="532"/>
        <v>-85.2</v>
      </c>
      <c r="AX196" s="216">
        <f t="shared" si="411"/>
        <v>-85.2</v>
      </c>
      <c r="AY196" s="220">
        <f t="shared" si="539"/>
        <v>0</v>
      </c>
      <c r="AZ196" s="220">
        <f t="shared" si="540"/>
        <v>0</v>
      </c>
      <c r="BA196" s="220">
        <f t="shared" si="541"/>
        <v>0</v>
      </c>
      <c r="BB196" s="220">
        <f t="shared" si="542"/>
        <v>0</v>
      </c>
      <c r="BC196" s="220">
        <f t="shared" si="543"/>
        <v>0</v>
      </c>
      <c r="BD196" s="216">
        <f t="shared" si="575"/>
        <v>0</v>
      </c>
      <c r="BE196" s="220">
        <f t="shared" si="533"/>
        <v>0</v>
      </c>
      <c r="BF196" s="220">
        <f t="shared" si="534"/>
        <v>0</v>
      </c>
      <c r="BG196" s="220">
        <f t="shared" si="535"/>
        <v>0</v>
      </c>
      <c r="BH196" s="220">
        <f t="shared" si="536"/>
        <v>0</v>
      </c>
      <c r="BI196" s="220">
        <f t="shared" si="537"/>
        <v>-10</v>
      </c>
      <c r="BJ196" s="220" t="s">
        <v>1592</v>
      </c>
      <c r="BK196" s="220"/>
      <c r="BL196" s="223">
        <f t="shared" si="582"/>
        <v>0</v>
      </c>
      <c r="BM196" s="220">
        <v>6.56</v>
      </c>
      <c r="BN196" s="220"/>
      <c r="BO196" s="220">
        <f t="shared" si="583"/>
        <v>6.56</v>
      </c>
      <c r="BP196" s="220">
        <f>IF(AND(BL196&gt;0,BL196&lt;tiet!$D$1),BL196,IF(BL196&lt;=0,0,IF(BL196&gt;tiet!$C$1,tiet!$C$1)))</f>
        <v>0</v>
      </c>
      <c r="BQ196" s="87">
        <f t="shared" si="509"/>
        <v>80000</v>
      </c>
      <c r="BR196" s="224">
        <f t="shared" si="510"/>
        <v>0</v>
      </c>
      <c r="BS196" s="220">
        <f t="shared" si="434"/>
        <v>0</v>
      </c>
      <c r="BT196" s="224">
        <f>VLOOKUP(N196,ma_dinhmuc!$A$1:$J$31,10,0)</f>
        <v>65000</v>
      </c>
      <c r="BU196" s="224">
        <f>ROUND(IF(BS196&gt;0,VLOOKUP(N196,ma_dinhmuc!$A$1:$J$31,10,0)*BS196,0),0)</f>
        <v>0</v>
      </c>
      <c r="BV196" s="224">
        <f t="shared" si="511"/>
        <v>0</v>
      </c>
      <c r="BW196" s="224"/>
      <c r="BX196" s="224">
        <v>0</v>
      </c>
      <c r="BY196" s="224"/>
      <c r="BZ196" s="224"/>
      <c r="CA196" s="224"/>
      <c r="CB196" s="224"/>
      <c r="CC196" s="225">
        <f t="shared" si="544"/>
        <v>0</v>
      </c>
      <c r="CD196" s="224">
        <f t="shared" si="545"/>
        <v>0</v>
      </c>
      <c r="CE196" s="224"/>
      <c r="CF196" s="226"/>
      <c r="CG196" s="87"/>
      <c r="CH196" s="87">
        <f t="shared" ref="CH196:CH205" si="596">A196</f>
        <v>1</v>
      </c>
      <c r="CI196" s="227" t="str">
        <f t="shared" si="584"/>
        <v>Lê Minh</v>
      </c>
      <c r="CJ196" s="227" t="str">
        <f t="shared" si="585"/>
        <v>Lư</v>
      </c>
      <c r="CK196" s="87">
        <f t="shared" si="586"/>
        <v>4</v>
      </c>
      <c r="CL196" s="227" t="str">
        <f t="shared" si="587"/>
        <v>Cơ học kỹ thuật</v>
      </c>
      <c r="CM196" s="87" t="str">
        <f t="shared" si="538"/>
        <v>CS4</v>
      </c>
      <c r="CN196" s="87">
        <f>Q196</f>
        <v>270</v>
      </c>
      <c r="CO196" s="87">
        <f>R196</f>
        <v>200</v>
      </c>
      <c r="CP196" s="229">
        <f t="shared" si="444"/>
        <v>0</v>
      </c>
      <c r="CQ196" s="229">
        <f t="shared" si="445"/>
        <v>9.8000000000000007</v>
      </c>
      <c r="CR196" s="229">
        <f t="shared" si="446"/>
        <v>4</v>
      </c>
      <c r="CS196" s="229">
        <f t="shared" si="447"/>
        <v>0</v>
      </c>
      <c r="CT196" s="229">
        <f t="shared" si="448"/>
        <v>0</v>
      </c>
      <c r="CU196" s="229">
        <f t="shared" si="449"/>
        <v>90</v>
      </c>
      <c r="CV196" s="229">
        <f t="shared" si="450"/>
        <v>0</v>
      </c>
      <c r="CW196" s="229">
        <f t="shared" si="451"/>
        <v>0</v>
      </c>
      <c r="CX196" s="229">
        <f t="shared" si="452"/>
        <v>0</v>
      </c>
      <c r="CY196" s="229">
        <f t="shared" si="453"/>
        <v>0</v>
      </c>
      <c r="CZ196" s="229">
        <f t="shared" si="454"/>
        <v>0</v>
      </c>
      <c r="DA196" s="229">
        <f t="shared" si="455"/>
        <v>0</v>
      </c>
      <c r="DB196" s="228">
        <f t="shared" si="423"/>
        <v>103.8</v>
      </c>
      <c r="DC196" s="229"/>
      <c r="DD196" s="229"/>
      <c r="DE196" s="229"/>
      <c r="DF196" s="229"/>
      <c r="DG196" s="229"/>
      <c r="DH196" s="229"/>
      <c r="DI196" s="229"/>
      <c r="DJ196" s="229"/>
      <c r="DK196" s="229"/>
      <c r="DL196" s="229"/>
      <c r="DM196" s="229"/>
      <c r="DN196" s="229"/>
      <c r="DO196" s="228">
        <f t="shared" si="436"/>
        <v>0</v>
      </c>
      <c r="DP196" s="228">
        <f t="shared" si="437"/>
        <v>103.8</v>
      </c>
      <c r="DQ196" s="229">
        <f t="shared" si="456"/>
        <v>0</v>
      </c>
      <c r="DR196" s="229">
        <f t="shared" si="457"/>
        <v>0</v>
      </c>
      <c r="DS196" s="229">
        <f t="shared" si="458"/>
        <v>0</v>
      </c>
      <c r="DT196" s="229">
        <f t="shared" si="459"/>
        <v>0</v>
      </c>
      <c r="DU196" s="229">
        <f t="shared" si="460"/>
        <v>0</v>
      </c>
      <c r="DV196" s="229">
        <f t="shared" si="461"/>
        <v>0</v>
      </c>
      <c r="DW196" s="229">
        <f t="shared" si="462"/>
        <v>10</v>
      </c>
      <c r="DX196" s="228">
        <f t="shared" si="424"/>
        <v>10</v>
      </c>
      <c r="DY196" s="229"/>
      <c r="DZ196" s="229"/>
      <c r="EA196" s="229"/>
      <c r="EB196" s="229"/>
      <c r="EC196" s="229"/>
      <c r="ED196" s="229"/>
      <c r="EE196" s="229"/>
      <c r="EF196" s="228">
        <f t="shared" si="438"/>
        <v>0</v>
      </c>
      <c r="EG196" s="228">
        <f t="shared" si="439"/>
        <v>10</v>
      </c>
      <c r="EH196" s="229">
        <f t="shared" si="440"/>
        <v>206.25</v>
      </c>
      <c r="EI196" s="229">
        <v>119.44</v>
      </c>
      <c r="EJ196" s="228">
        <f t="shared" si="517"/>
        <v>325.69</v>
      </c>
      <c r="EK196" s="229"/>
      <c r="EL196" s="229"/>
      <c r="EM196" s="228">
        <f t="shared" si="589"/>
        <v>0</v>
      </c>
      <c r="EN196" s="229">
        <f t="shared" si="576"/>
        <v>206.25</v>
      </c>
      <c r="EO196" s="229">
        <f t="shared" si="577"/>
        <v>119.44</v>
      </c>
      <c r="EP196" s="228">
        <f t="shared" si="590"/>
        <v>325.69</v>
      </c>
      <c r="EQ196" s="173">
        <f t="shared" si="441"/>
        <v>6.25</v>
      </c>
      <c r="ER196" s="189">
        <v>0</v>
      </c>
      <c r="ES196" s="189">
        <v>9.8000000000000007</v>
      </c>
      <c r="ET196" s="189">
        <v>4</v>
      </c>
      <c r="EU196" s="189">
        <v>0</v>
      </c>
      <c r="EV196" s="189">
        <v>0</v>
      </c>
      <c r="EW196" s="189">
        <v>90</v>
      </c>
      <c r="EX196" s="189">
        <v>0</v>
      </c>
      <c r="EY196" s="189">
        <v>0</v>
      </c>
      <c r="EZ196" s="189">
        <v>0</v>
      </c>
      <c r="FA196" s="189">
        <v>0</v>
      </c>
      <c r="FB196" s="189">
        <v>0</v>
      </c>
      <c r="FC196" s="189">
        <v>0</v>
      </c>
      <c r="FD196" s="189">
        <v>0</v>
      </c>
      <c r="FE196" s="189">
        <v>0</v>
      </c>
      <c r="FF196" s="189">
        <v>0</v>
      </c>
      <c r="FG196" s="189">
        <v>0</v>
      </c>
      <c r="FH196" s="189">
        <v>0</v>
      </c>
      <c r="FI196" s="189">
        <v>0</v>
      </c>
      <c r="FJ196" s="189">
        <v>10</v>
      </c>
      <c r="FK196" s="189">
        <v>113.8</v>
      </c>
      <c r="FL196" s="189">
        <v>104</v>
      </c>
      <c r="FN196" s="132">
        <v>206.25</v>
      </c>
    </row>
    <row r="197" spans="1:170" ht="30" customHeight="1">
      <c r="A197" s="88">
        <f>COUNTIF($H$12:H197,H197)</f>
        <v>2</v>
      </c>
      <c r="B197" s="88" t="s">
        <v>101</v>
      </c>
      <c r="C197" s="88" t="s">
        <v>2504</v>
      </c>
      <c r="D197" s="88"/>
      <c r="E197" s="88"/>
      <c r="F197" s="301" t="s">
        <v>3193</v>
      </c>
      <c r="G197" s="89" t="s">
        <v>3194</v>
      </c>
      <c r="H197" s="88">
        <v>4</v>
      </c>
      <c r="I197" s="88">
        <v>4</v>
      </c>
      <c r="J197" s="88">
        <v>4</v>
      </c>
      <c r="K197" s="90" t="s">
        <v>557</v>
      </c>
      <c r="L197" s="90" t="s">
        <v>557</v>
      </c>
      <c r="M197" s="214"/>
      <c r="N197" s="88" t="s">
        <v>1804</v>
      </c>
      <c r="O197" s="216">
        <f t="shared" si="516"/>
        <v>3.33</v>
      </c>
      <c r="P197" s="88" t="str">
        <f t="shared" si="468"/>
        <v>B1_4</v>
      </c>
      <c r="Q197" s="88">
        <f t="shared" si="527"/>
        <v>270</v>
      </c>
      <c r="R197" s="88">
        <f t="shared" si="528"/>
        <v>120</v>
      </c>
      <c r="S197" s="234" t="s">
        <v>1672</v>
      </c>
      <c r="T197" s="88" t="s">
        <v>1326</v>
      </c>
      <c r="U197" s="88">
        <f>IF(RIGHT(T197,1)="K",(VLOOKUP(T197,ma_miengiam!$A$3:$B$80,2,0)*100)/2,VLOOKUP(T197,ma_miengiam!$A$3:$B$80,2,0)*100)</f>
        <v>65</v>
      </c>
      <c r="V197" s="88"/>
      <c r="W197" s="220">
        <f>IF(AND(T197="NTS",V197&gt;0),(Q197-(Q197*V197)/12)*VLOOKUP(T197,ma_miengiam!$A$3:$B$80,2,0)+(Q197-(Q197*(12-V197))/12),IF(AND(RIGHT(T197,1)="K",V197&gt;0),(VLOOKUP(T197,ma_miengiam!$A$3:$B$80,2,0)/2)*(Q197*V197)/12,IF(RIGHT(T197,1)="K",(VLOOKUP(T197,ma_miengiam!$A$3:$B$80,2,0)*Q197)/2,IF(V197&gt;0,VLOOKUP(T197,ma_miengiam!$A$3:$B$80,2,0)*Q197*V197/12,VLOOKUP(T197,ma_miengiam!$A$3:$B$80,2,0)*Q197))))</f>
        <v>175.5</v>
      </c>
      <c r="X197" s="220">
        <f>IF(T197="NTS",VLOOKUP(T197,ma_miengiam!$A$3:$B$80,2,0)*R197*V197,IF(AND(T197="NTS",V197=0),0,IF(AND(LEFT(T197,1)="K",V197=0),VLOOKUP(T197,ma_miengiam!$A$3:$B$80,2,0)*R197,IF(LEFT(T197,1)="K",(VLOOKUP(T197,ma_miengiam!$A$3:$B$80,2,0)*R197/12)*V197,IF(AND(LEFT(T197,1)="S",V197&gt;0),(R197/12)*V197,IF(AND(LEFT(T197,1)="S",V197=0),R197,IF(T197="DH",VLOOKUP(T197,ma_miengiam!$A$3:$B$80,2,0)*R197,0)))))))</f>
        <v>120</v>
      </c>
      <c r="Y197" s="220">
        <f t="shared" si="503"/>
        <v>94.5</v>
      </c>
      <c r="Z197" s="220">
        <f t="shared" si="579"/>
        <v>0</v>
      </c>
      <c r="AA197" s="220">
        <f t="shared" si="591"/>
        <v>270</v>
      </c>
      <c r="AB197" s="220">
        <f t="shared" si="591"/>
        <v>120</v>
      </c>
      <c r="AC197" s="220">
        <f t="shared" si="592"/>
        <v>175.5</v>
      </c>
      <c r="AD197" s="220">
        <f t="shared" si="592"/>
        <v>120</v>
      </c>
      <c r="AE197" s="220">
        <f t="shared" si="592"/>
        <v>94.5</v>
      </c>
      <c r="AF197" s="220">
        <f t="shared" si="592"/>
        <v>0</v>
      </c>
      <c r="AG197" s="220">
        <f t="shared" si="593"/>
        <v>253.32999999999998</v>
      </c>
      <c r="AH197" s="220">
        <f t="shared" si="594"/>
        <v>191.66</v>
      </c>
      <c r="AI197" s="220">
        <f t="shared" si="595"/>
        <v>61.67</v>
      </c>
      <c r="AJ197" s="220">
        <f t="shared" si="513"/>
        <v>0</v>
      </c>
      <c r="AK197" s="216">
        <f t="shared" si="410"/>
        <v>94.5</v>
      </c>
      <c r="AL197" s="220">
        <f t="shared" si="425"/>
        <v>186.2</v>
      </c>
      <c r="AM197" s="220">
        <f t="shared" si="426"/>
        <v>0</v>
      </c>
      <c r="AN197" s="221">
        <f t="shared" si="427"/>
        <v>186.2</v>
      </c>
      <c r="AO197" s="220">
        <f t="shared" si="428"/>
        <v>0</v>
      </c>
      <c r="AP197" s="220">
        <f t="shared" si="429"/>
        <v>0</v>
      </c>
      <c r="AQ197" s="220">
        <f t="shared" si="430"/>
        <v>0</v>
      </c>
      <c r="AR197" s="220">
        <f t="shared" si="431"/>
        <v>0</v>
      </c>
      <c r="AS197" s="220">
        <f t="shared" si="432"/>
        <v>0</v>
      </c>
      <c r="AT197" s="216">
        <f t="shared" si="433"/>
        <v>186.2</v>
      </c>
      <c r="AU197" s="222">
        <f t="shared" si="574"/>
        <v>91.699999999999989</v>
      </c>
      <c r="AV197" s="220"/>
      <c r="AW197" s="220">
        <f t="shared" si="532"/>
        <v>91.699999999999989</v>
      </c>
      <c r="AX197" s="216">
        <f t="shared" si="411"/>
        <v>0</v>
      </c>
      <c r="AY197" s="220">
        <f t="shared" si="539"/>
        <v>0</v>
      </c>
      <c r="AZ197" s="220">
        <f t="shared" si="540"/>
        <v>0</v>
      </c>
      <c r="BA197" s="220">
        <f t="shared" si="541"/>
        <v>0</v>
      </c>
      <c r="BB197" s="220">
        <f t="shared" si="542"/>
        <v>0</v>
      </c>
      <c r="BC197" s="220">
        <f t="shared" si="543"/>
        <v>0</v>
      </c>
      <c r="BD197" s="216">
        <f t="shared" si="575"/>
        <v>0</v>
      </c>
      <c r="BE197" s="220">
        <f t="shared" si="533"/>
        <v>0</v>
      </c>
      <c r="BF197" s="220">
        <f t="shared" si="534"/>
        <v>0</v>
      </c>
      <c r="BG197" s="220">
        <f t="shared" si="535"/>
        <v>0</v>
      </c>
      <c r="BH197" s="220">
        <f t="shared" si="536"/>
        <v>0</v>
      </c>
      <c r="BI197" s="220">
        <f t="shared" si="537"/>
        <v>0</v>
      </c>
      <c r="BJ197" s="220" t="s">
        <v>1593</v>
      </c>
      <c r="BK197" s="220"/>
      <c r="BL197" s="223">
        <f t="shared" si="582"/>
        <v>91.699999999999989</v>
      </c>
      <c r="BM197" s="220">
        <v>3.33</v>
      </c>
      <c r="BN197" s="220"/>
      <c r="BO197" s="220">
        <f t="shared" si="583"/>
        <v>3.33</v>
      </c>
      <c r="BP197" s="220">
        <f>IF(AND(BL197&gt;0,BL197&lt;tiet!$D$1),BL197,IF(BL197&lt;=0,0,IF(BL197&gt;tiet!$C$1,tiet!$C$1)))</f>
        <v>91.699999999999989</v>
      </c>
      <c r="BQ197" s="87">
        <f t="shared" si="509"/>
        <v>65000</v>
      </c>
      <c r="BR197" s="224">
        <f t="shared" si="510"/>
        <v>5960500</v>
      </c>
      <c r="BS197" s="220">
        <f t="shared" si="434"/>
        <v>0</v>
      </c>
      <c r="BT197" s="224">
        <f>VLOOKUP(N197,ma_dinhmuc!$A$1:$J$31,10,0)</f>
        <v>51000</v>
      </c>
      <c r="BU197" s="224">
        <f>ROUND(IF(BS197&gt;0,VLOOKUP(N197,ma_dinhmuc!$A$1:$J$31,10,0)*BS197,0),0)</f>
        <v>0</v>
      </c>
      <c r="BV197" s="224">
        <f t="shared" si="511"/>
        <v>5960500</v>
      </c>
      <c r="BW197" s="224"/>
      <c r="BX197" s="224">
        <v>0</v>
      </c>
      <c r="BY197" s="224"/>
      <c r="BZ197" s="224"/>
      <c r="CA197" s="224"/>
      <c r="CB197" s="224"/>
      <c r="CC197" s="225">
        <f t="shared" si="544"/>
        <v>5960500</v>
      </c>
      <c r="CD197" s="224">
        <f t="shared" si="545"/>
        <v>0</v>
      </c>
      <c r="CE197" s="224"/>
      <c r="CF197" s="226"/>
      <c r="CG197" s="87"/>
      <c r="CH197" s="87">
        <f t="shared" si="596"/>
        <v>2</v>
      </c>
      <c r="CI197" s="227" t="str">
        <f t="shared" si="584"/>
        <v>Nguyễn Chung</v>
      </c>
      <c r="CJ197" s="227" t="str">
        <f t="shared" si="585"/>
        <v>Thông</v>
      </c>
      <c r="CK197" s="87">
        <f t="shared" si="586"/>
        <v>4</v>
      </c>
      <c r="CL197" s="227" t="str">
        <f t="shared" si="587"/>
        <v>Cơ học kỹ thuật</v>
      </c>
      <c r="CM197" s="87" t="str">
        <f t="shared" si="538"/>
        <v>CS2</v>
      </c>
      <c r="CN197" s="87">
        <f>Q197</f>
        <v>270</v>
      </c>
      <c r="CO197" s="87">
        <f>R197</f>
        <v>120</v>
      </c>
      <c r="CP197" s="229">
        <f t="shared" si="444"/>
        <v>0</v>
      </c>
      <c r="CQ197" s="229">
        <f t="shared" si="445"/>
        <v>15.8</v>
      </c>
      <c r="CR197" s="229">
        <f t="shared" si="446"/>
        <v>5.4</v>
      </c>
      <c r="CS197" s="229">
        <f t="shared" si="447"/>
        <v>0</v>
      </c>
      <c r="CT197" s="229">
        <f t="shared" si="448"/>
        <v>0</v>
      </c>
      <c r="CU197" s="229">
        <f t="shared" si="449"/>
        <v>150</v>
      </c>
      <c r="CV197" s="229">
        <f t="shared" si="450"/>
        <v>0</v>
      </c>
      <c r="CW197" s="229">
        <f t="shared" si="451"/>
        <v>15</v>
      </c>
      <c r="CX197" s="229">
        <f t="shared" si="452"/>
        <v>0</v>
      </c>
      <c r="CY197" s="229">
        <f t="shared" si="453"/>
        <v>0</v>
      </c>
      <c r="CZ197" s="229">
        <f t="shared" si="454"/>
        <v>0</v>
      </c>
      <c r="DA197" s="229">
        <f t="shared" si="455"/>
        <v>0</v>
      </c>
      <c r="DB197" s="228">
        <f t="shared" si="423"/>
        <v>186.2</v>
      </c>
      <c r="DC197" s="229"/>
      <c r="DD197" s="229"/>
      <c r="DE197" s="229"/>
      <c r="DF197" s="229"/>
      <c r="DG197" s="229"/>
      <c r="DH197" s="229"/>
      <c r="DI197" s="229"/>
      <c r="DJ197" s="229"/>
      <c r="DK197" s="229"/>
      <c r="DL197" s="229"/>
      <c r="DM197" s="229"/>
      <c r="DN197" s="229"/>
      <c r="DO197" s="228">
        <f t="shared" si="436"/>
        <v>0</v>
      </c>
      <c r="DP197" s="228">
        <f t="shared" si="437"/>
        <v>186.2</v>
      </c>
      <c r="DQ197" s="229">
        <f t="shared" si="456"/>
        <v>0</v>
      </c>
      <c r="DR197" s="229">
        <f t="shared" si="457"/>
        <v>0</v>
      </c>
      <c r="DS197" s="229">
        <f t="shared" si="458"/>
        <v>0</v>
      </c>
      <c r="DT197" s="229">
        <f t="shared" si="459"/>
        <v>0</v>
      </c>
      <c r="DU197" s="229">
        <f t="shared" si="460"/>
        <v>0</v>
      </c>
      <c r="DV197" s="229">
        <f t="shared" si="461"/>
        <v>0</v>
      </c>
      <c r="DW197" s="229">
        <f t="shared" si="462"/>
        <v>0</v>
      </c>
      <c r="DX197" s="228">
        <f t="shared" si="424"/>
        <v>0</v>
      </c>
      <c r="DY197" s="229"/>
      <c r="DZ197" s="229"/>
      <c r="EA197" s="229"/>
      <c r="EB197" s="229"/>
      <c r="EC197" s="229"/>
      <c r="ED197" s="229"/>
      <c r="EE197" s="229"/>
      <c r="EF197" s="228">
        <f t="shared" si="438"/>
        <v>0</v>
      </c>
      <c r="EG197" s="228">
        <f t="shared" si="439"/>
        <v>0</v>
      </c>
      <c r="EH197" s="229">
        <f t="shared" si="440"/>
        <v>61.67</v>
      </c>
      <c r="EI197" s="229">
        <v>191.66</v>
      </c>
      <c r="EJ197" s="228">
        <f t="shared" si="517"/>
        <v>253.32999999999998</v>
      </c>
      <c r="EK197" s="229"/>
      <c r="EL197" s="229"/>
      <c r="EM197" s="228">
        <f t="shared" si="589"/>
        <v>0</v>
      </c>
      <c r="EN197" s="229">
        <f t="shared" si="576"/>
        <v>61.67</v>
      </c>
      <c r="EO197" s="229">
        <f t="shared" si="577"/>
        <v>191.66</v>
      </c>
      <c r="EP197" s="228">
        <f t="shared" si="590"/>
        <v>253.32999999999998</v>
      </c>
      <c r="EQ197" s="173">
        <f t="shared" si="441"/>
        <v>61.67</v>
      </c>
      <c r="ER197" s="189">
        <v>0</v>
      </c>
      <c r="ES197" s="189">
        <v>15.8</v>
      </c>
      <c r="ET197" s="189">
        <v>5.4</v>
      </c>
      <c r="EU197" s="189">
        <v>0</v>
      </c>
      <c r="EV197" s="189">
        <v>0</v>
      </c>
      <c r="EW197" s="189">
        <v>150</v>
      </c>
      <c r="EX197" s="189">
        <v>0</v>
      </c>
      <c r="EY197" s="189">
        <v>15</v>
      </c>
      <c r="EZ197" s="189">
        <v>0</v>
      </c>
      <c r="FA197" s="189">
        <v>0</v>
      </c>
      <c r="FB197" s="189">
        <v>0</v>
      </c>
      <c r="FC197" s="189">
        <v>0</v>
      </c>
      <c r="FD197" s="189">
        <v>0</v>
      </c>
      <c r="FE197" s="189">
        <v>0</v>
      </c>
      <c r="FF197" s="189">
        <v>0</v>
      </c>
      <c r="FG197" s="189">
        <v>0</v>
      </c>
      <c r="FH197" s="189">
        <v>0</v>
      </c>
      <c r="FI197" s="189">
        <v>0</v>
      </c>
      <c r="FJ197" s="189">
        <v>0</v>
      </c>
      <c r="FK197" s="189">
        <v>186.2</v>
      </c>
      <c r="FL197" s="189">
        <v>176</v>
      </c>
      <c r="FN197" s="132">
        <v>61.67</v>
      </c>
    </row>
    <row r="198" spans="1:170" ht="27.75" customHeight="1">
      <c r="A198" s="88">
        <f>COUNTIF($H$12:H198,H198)</f>
        <v>3</v>
      </c>
      <c r="B198" s="88" t="s">
        <v>102</v>
      </c>
      <c r="C198" s="88" t="s">
        <v>2505</v>
      </c>
      <c r="D198" s="88"/>
      <c r="E198" s="88"/>
      <c r="F198" s="301" t="s">
        <v>2856</v>
      </c>
      <c r="G198" s="89" t="s">
        <v>2450</v>
      </c>
      <c r="H198" s="88">
        <v>4</v>
      </c>
      <c r="I198" s="88">
        <v>4</v>
      </c>
      <c r="J198" s="88">
        <v>4</v>
      </c>
      <c r="K198" s="90" t="s">
        <v>557</v>
      </c>
      <c r="L198" s="90" t="s">
        <v>557</v>
      </c>
      <c r="M198" s="214"/>
      <c r="N198" s="88" t="s">
        <v>1804</v>
      </c>
      <c r="O198" s="216">
        <f t="shared" si="516"/>
        <v>4.6500000000000004</v>
      </c>
      <c r="P198" s="88" t="str">
        <f t="shared" si="468"/>
        <v>B1_5</v>
      </c>
      <c r="Q198" s="88">
        <f t="shared" si="527"/>
        <v>270</v>
      </c>
      <c r="R198" s="88">
        <f t="shared" si="528"/>
        <v>150</v>
      </c>
      <c r="S198" s="230" t="s">
        <v>2031</v>
      </c>
      <c r="T198" s="88" t="s">
        <v>3091</v>
      </c>
      <c r="U198" s="88">
        <f>IF(RIGHT(T198,1)="K",(VLOOKUP(T198,ma_miengiam!$A$3:$B$80,2,0)*100)/2,VLOOKUP(T198,ma_miengiam!$A$3:$B$80,2,0)*100)</f>
        <v>20</v>
      </c>
      <c r="V198" s="88"/>
      <c r="W198" s="220">
        <f>IF(AND(T198="NTS",V198&gt;0),(Q198-(Q198*V198)/12)*VLOOKUP(T198,ma_miengiam!$A$3:$B$80,2,0)+(Q198-(Q198*(12-V198))/12),IF(AND(RIGHT(T198,1)="K",V198&gt;0),(VLOOKUP(T198,ma_miengiam!$A$3:$B$80,2,0)/2)*(Q198*V198)/12,IF(RIGHT(T198,1)="K",(VLOOKUP(T198,ma_miengiam!$A$3:$B$80,2,0)*Q198)/2,IF(V198&gt;0,VLOOKUP(T198,ma_miengiam!$A$3:$B$80,2,0)*Q198*V198/12,VLOOKUP(T198,ma_miengiam!$A$3:$B$80,2,0)*Q198))))</f>
        <v>54</v>
      </c>
      <c r="X198" s="220">
        <f>IF(T198="NTS",VLOOKUP(T198,ma_miengiam!$A$3:$B$80,2,0)*R198*V198,IF(AND(T198="NTS",V198=0),0,IF(AND(LEFT(T198,1)="K",V198=0),VLOOKUP(T198,ma_miengiam!$A$3:$B$80,2,0)*R198,IF(LEFT(T198,1)="K",(VLOOKUP(T198,ma_miengiam!$A$3:$B$80,2,0)*R198/12)*V198,IF(AND(LEFT(T198,1)="S",V198&gt;0),(R198/12)*V198,IF(AND(LEFT(T198,1)="S",V198=0),R198,IF(T198="DH",VLOOKUP(T198,ma_miengiam!$A$3:$B$80,2,0)*R198,0)))))))</f>
        <v>0</v>
      </c>
      <c r="Y198" s="220">
        <f t="shared" ref="Y198:Y224" si="597">IF(AND(T198="DH",V198&gt;0),(S198*V198/12),IF(AND(T198&lt;&gt;"NTS",V198&gt;0),(Q198*V198/12)-W198,IF(AND(T198="NTS",V198&gt;0),Q198-W198,Q198-W198)))</f>
        <v>216</v>
      </c>
      <c r="Z198" s="220">
        <f>IF(AND(T198="SĐH",V198&gt;0),(R198/12)*V198-X198,IF(AND(T198="DH",V198&gt;0),(R198*V198/12),IF(AND(T198&lt;&gt;"NTS",V198&gt;0),(R198*V198/12)-X198,IF(AND(T198="NTS",V198&gt;0),R198-X198,R198-X198))))</f>
        <v>150</v>
      </c>
      <c r="AA198" s="220">
        <f t="shared" si="591"/>
        <v>270</v>
      </c>
      <c r="AB198" s="220">
        <f t="shared" si="591"/>
        <v>150</v>
      </c>
      <c r="AC198" s="220">
        <f t="shared" ref="AC198:AF199" si="598">W198</f>
        <v>54</v>
      </c>
      <c r="AD198" s="220">
        <f t="shared" si="598"/>
        <v>0</v>
      </c>
      <c r="AE198" s="220">
        <f t="shared" si="598"/>
        <v>216</v>
      </c>
      <c r="AF198" s="220">
        <f t="shared" si="598"/>
        <v>150</v>
      </c>
      <c r="AG198" s="220">
        <f t="shared" si="593"/>
        <v>116.66</v>
      </c>
      <c r="AH198" s="220">
        <f t="shared" si="594"/>
        <v>89.58</v>
      </c>
      <c r="AI198" s="220">
        <f t="shared" si="595"/>
        <v>27.08</v>
      </c>
      <c r="AJ198" s="220">
        <f>IF(AG198-Z198&gt;0,0,AG198-Z198)</f>
        <v>-33.340000000000003</v>
      </c>
      <c r="AK198" s="216">
        <f t="shared" si="410"/>
        <v>249.34</v>
      </c>
      <c r="AL198" s="220">
        <f t="shared" si="425"/>
        <v>242.3</v>
      </c>
      <c r="AM198" s="220">
        <f t="shared" si="426"/>
        <v>0</v>
      </c>
      <c r="AN198" s="221">
        <f t="shared" si="427"/>
        <v>242.3</v>
      </c>
      <c r="AO198" s="220">
        <f t="shared" si="428"/>
        <v>0</v>
      </c>
      <c r="AP198" s="220">
        <f t="shared" si="429"/>
        <v>0</v>
      </c>
      <c r="AQ198" s="220">
        <f t="shared" si="430"/>
        <v>0</v>
      </c>
      <c r="AR198" s="220">
        <f t="shared" si="431"/>
        <v>0</v>
      </c>
      <c r="AS198" s="220">
        <f t="shared" si="432"/>
        <v>0</v>
      </c>
      <c r="AT198" s="216">
        <f t="shared" si="433"/>
        <v>242.3</v>
      </c>
      <c r="AU198" s="222">
        <f t="shared" si="574"/>
        <v>-7.039999999999992</v>
      </c>
      <c r="AV198" s="220"/>
      <c r="AW198" s="220">
        <f t="shared" si="532"/>
        <v>-7.039999999999992</v>
      </c>
      <c r="AX198" s="216">
        <f t="shared" si="411"/>
        <v>-7.039999999999992</v>
      </c>
      <c r="AY198" s="220">
        <f t="shared" si="539"/>
        <v>0</v>
      </c>
      <c r="AZ198" s="220">
        <f t="shared" si="540"/>
        <v>0</v>
      </c>
      <c r="BA198" s="220">
        <f t="shared" si="541"/>
        <v>0</v>
      </c>
      <c r="BB198" s="220">
        <f t="shared" si="542"/>
        <v>0</v>
      </c>
      <c r="BC198" s="220">
        <f t="shared" si="543"/>
        <v>0</v>
      </c>
      <c r="BD198" s="216">
        <f t="shared" si="575"/>
        <v>0</v>
      </c>
      <c r="BE198" s="220">
        <f t="shared" si="533"/>
        <v>0</v>
      </c>
      <c r="BF198" s="220">
        <f t="shared" si="534"/>
        <v>0</v>
      </c>
      <c r="BG198" s="220">
        <f t="shared" si="535"/>
        <v>0</v>
      </c>
      <c r="BH198" s="220">
        <f t="shared" si="536"/>
        <v>0</v>
      </c>
      <c r="BI198" s="220">
        <f t="shared" si="537"/>
        <v>0</v>
      </c>
      <c r="BJ198" s="220" t="s">
        <v>1594</v>
      </c>
      <c r="BK198" s="220"/>
      <c r="BL198" s="223">
        <f t="shared" si="582"/>
        <v>0</v>
      </c>
      <c r="BM198" s="220">
        <v>4.6500000000000004</v>
      </c>
      <c r="BN198" s="220"/>
      <c r="BO198" s="220">
        <f>ROUND(BM198+(BM198*BN198),2)</f>
        <v>4.6500000000000004</v>
      </c>
      <c r="BP198" s="220">
        <f>IF(AND(BL198&gt;0,BL198&lt;tiet!$D$1),BL198,IF(BL198&lt;=0,0,IF(BL198&gt;tiet!$C$1,tiet!$C$1)))</f>
        <v>0</v>
      </c>
      <c r="BQ198" s="87">
        <f>VLOOKUP(P198,ma_dinhmuc_moi,4,0)</f>
        <v>70000</v>
      </c>
      <c r="BR198" s="224">
        <f>ROUND(BQ198*BP198,0)</f>
        <v>0</v>
      </c>
      <c r="BS198" s="220">
        <f t="shared" si="434"/>
        <v>0</v>
      </c>
      <c r="BT198" s="224">
        <f>VLOOKUP(N198,ma_dinhmuc!$A$1:$J$31,10,0)</f>
        <v>51000</v>
      </c>
      <c r="BU198" s="224">
        <f>ROUND(IF(BS198&gt;0,VLOOKUP(N198,ma_dinhmuc!$A$1:$J$31,10,0)*BS198,0),0)</f>
        <v>0</v>
      </c>
      <c r="BV198" s="224">
        <f>ROUND(BU198+BR198,0)</f>
        <v>0</v>
      </c>
      <c r="BW198" s="224"/>
      <c r="BX198" s="224">
        <v>0</v>
      </c>
      <c r="BY198" s="224"/>
      <c r="BZ198" s="224"/>
      <c r="CA198" s="224"/>
      <c r="CB198" s="224"/>
      <c r="CC198" s="225">
        <f t="shared" si="544"/>
        <v>0</v>
      </c>
      <c r="CD198" s="224">
        <f t="shared" si="545"/>
        <v>0</v>
      </c>
      <c r="CE198" s="224"/>
      <c r="CF198" s="226"/>
      <c r="CG198" s="87"/>
      <c r="CH198" s="87">
        <f t="shared" si="596"/>
        <v>3</v>
      </c>
      <c r="CI198" s="227" t="str">
        <f t="shared" ref="CI198:CI219" si="599">F198</f>
        <v>Nguyễn Xuân</v>
      </c>
      <c r="CJ198" s="227" t="str">
        <f t="shared" si="585"/>
        <v>Thiết</v>
      </c>
      <c r="CK198" s="87">
        <f t="shared" si="586"/>
        <v>4</v>
      </c>
      <c r="CL198" s="227" t="str">
        <f t="shared" ref="CL198:CL216" si="600">L198</f>
        <v>Cơ học kỹ thuật</v>
      </c>
      <c r="CM198" s="87" t="str">
        <f t="shared" si="538"/>
        <v>CS2</v>
      </c>
      <c r="CN198" s="87">
        <f t="shared" ref="CN198:CO200" si="601">Q198</f>
        <v>270</v>
      </c>
      <c r="CO198" s="87">
        <f t="shared" si="601"/>
        <v>150</v>
      </c>
      <c r="CP198" s="229">
        <f t="shared" si="444"/>
        <v>0</v>
      </c>
      <c r="CQ198" s="229">
        <f t="shared" si="445"/>
        <v>12.2</v>
      </c>
      <c r="CR198" s="229">
        <f t="shared" si="446"/>
        <v>5.0999999999999996</v>
      </c>
      <c r="CS198" s="229">
        <f t="shared" si="447"/>
        <v>0</v>
      </c>
      <c r="CT198" s="229">
        <f t="shared" si="448"/>
        <v>0</v>
      </c>
      <c r="CU198" s="229">
        <f t="shared" si="449"/>
        <v>225</v>
      </c>
      <c r="CV198" s="229">
        <f t="shared" si="450"/>
        <v>0</v>
      </c>
      <c r="CW198" s="229">
        <f t="shared" si="451"/>
        <v>0</v>
      </c>
      <c r="CX198" s="229">
        <f t="shared" si="452"/>
        <v>0</v>
      </c>
      <c r="CY198" s="229">
        <f t="shared" si="453"/>
        <v>0</v>
      </c>
      <c r="CZ198" s="229">
        <f t="shared" si="454"/>
        <v>0</v>
      </c>
      <c r="DA198" s="229">
        <f t="shared" si="455"/>
        <v>0</v>
      </c>
      <c r="DB198" s="228">
        <f t="shared" si="423"/>
        <v>242.3</v>
      </c>
      <c r="DC198" s="229"/>
      <c r="DD198" s="229"/>
      <c r="DE198" s="229"/>
      <c r="DF198" s="229"/>
      <c r="DG198" s="229"/>
      <c r="DH198" s="229"/>
      <c r="DI198" s="229"/>
      <c r="DJ198" s="229"/>
      <c r="DK198" s="229"/>
      <c r="DL198" s="229"/>
      <c r="DM198" s="229"/>
      <c r="DN198" s="229"/>
      <c r="DO198" s="228">
        <f t="shared" si="436"/>
        <v>0</v>
      </c>
      <c r="DP198" s="228">
        <f t="shared" si="437"/>
        <v>242.3</v>
      </c>
      <c r="DQ198" s="229">
        <f t="shared" si="456"/>
        <v>0</v>
      </c>
      <c r="DR198" s="229">
        <f t="shared" si="457"/>
        <v>0</v>
      </c>
      <c r="DS198" s="229">
        <f t="shared" si="458"/>
        <v>0</v>
      </c>
      <c r="DT198" s="229">
        <f t="shared" si="459"/>
        <v>0</v>
      </c>
      <c r="DU198" s="229">
        <f t="shared" si="460"/>
        <v>0</v>
      </c>
      <c r="DV198" s="229">
        <f t="shared" si="461"/>
        <v>0</v>
      </c>
      <c r="DW198" s="229">
        <f t="shared" si="462"/>
        <v>0</v>
      </c>
      <c r="DX198" s="228">
        <f t="shared" si="424"/>
        <v>0</v>
      </c>
      <c r="DY198" s="229"/>
      <c r="DZ198" s="229"/>
      <c r="EA198" s="229"/>
      <c r="EB198" s="229"/>
      <c r="EC198" s="229"/>
      <c r="ED198" s="229"/>
      <c r="EE198" s="229"/>
      <c r="EF198" s="228">
        <f t="shared" si="438"/>
        <v>0</v>
      </c>
      <c r="EG198" s="228">
        <f t="shared" si="439"/>
        <v>0</v>
      </c>
      <c r="EH198" s="229">
        <f t="shared" si="440"/>
        <v>27.08</v>
      </c>
      <c r="EI198" s="229">
        <v>89.58</v>
      </c>
      <c r="EJ198" s="228">
        <f t="shared" ref="EJ198:EJ229" si="602">SUM(EH198:EI198)</f>
        <v>116.66</v>
      </c>
      <c r="EK198" s="229"/>
      <c r="EL198" s="229"/>
      <c r="EM198" s="228">
        <f t="shared" ref="EM198:EM206" si="603">SUM(EK198:EL198)</f>
        <v>0</v>
      </c>
      <c r="EN198" s="229">
        <f t="shared" si="576"/>
        <v>27.08</v>
      </c>
      <c r="EO198" s="229">
        <f t="shared" si="577"/>
        <v>89.58</v>
      </c>
      <c r="EP198" s="228">
        <f t="shared" si="590"/>
        <v>116.66</v>
      </c>
      <c r="EQ198" s="173">
        <f t="shared" si="441"/>
        <v>0</v>
      </c>
      <c r="ER198" s="189">
        <v>0</v>
      </c>
      <c r="ES198" s="189">
        <v>12.2</v>
      </c>
      <c r="ET198" s="189">
        <v>5.0999999999999996</v>
      </c>
      <c r="EU198" s="189">
        <v>0</v>
      </c>
      <c r="EV198" s="189">
        <v>0</v>
      </c>
      <c r="EW198" s="189">
        <v>225</v>
      </c>
      <c r="EX198" s="189">
        <v>0</v>
      </c>
      <c r="EY198" s="189">
        <v>0</v>
      </c>
      <c r="EZ198" s="189">
        <v>0</v>
      </c>
      <c r="FA198" s="189">
        <v>0</v>
      </c>
      <c r="FB198" s="189">
        <v>0</v>
      </c>
      <c r="FC198" s="189">
        <v>0</v>
      </c>
      <c r="FD198" s="189">
        <v>0</v>
      </c>
      <c r="FE198" s="189">
        <v>0</v>
      </c>
      <c r="FF198" s="189">
        <v>0</v>
      </c>
      <c r="FG198" s="189">
        <v>0</v>
      </c>
      <c r="FH198" s="189">
        <v>0</v>
      </c>
      <c r="FI198" s="189">
        <v>0</v>
      </c>
      <c r="FJ198" s="189">
        <v>0</v>
      </c>
      <c r="FK198" s="189">
        <v>242.3</v>
      </c>
      <c r="FL198" s="189">
        <v>235</v>
      </c>
      <c r="FN198" s="132">
        <v>27.08</v>
      </c>
    </row>
    <row r="199" spans="1:170" ht="30" customHeight="1">
      <c r="A199" s="88">
        <f>COUNTIF($H$12:H199,H199)</f>
        <v>4</v>
      </c>
      <c r="B199" s="88" t="s">
        <v>103</v>
      </c>
      <c r="C199" s="88" t="s">
        <v>2506</v>
      </c>
      <c r="D199" s="88"/>
      <c r="E199" s="88"/>
      <c r="F199" s="301" t="s">
        <v>392</v>
      </c>
      <c r="G199" s="89" t="s">
        <v>1051</v>
      </c>
      <c r="H199" s="88">
        <v>4</v>
      </c>
      <c r="I199" s="88">
        <v>4</v>
      </c>
      <c r="J199" s="88">
        <v>4</v>
      </c>
      <c r="K199" s="90" t="s">
        <v>557</v>
      </c>
      <c r="L199" s="90" t="s">
        <v>557</v>
      </c>
      <c r="M199" s="214"/>
      <c r="N199" s="88" t="s">
        <v>1804</v>
      </c>
      <c r="O199" s="216">
        <f t="shared" si="516"/>
        <v>2.67</v>
      </c>
      <c r="P199" s="88" t="str">
        <f t="shared" si="468"/>
        <v>B1_3</v>
      </c>
      <c r="Q199" s="88">
        <f t="shared" si="527"/>
        <v>270</v>
      </c>
      <c r="R199" s="88">
        <f t="shared" si="528"/>
        <v>100</v>
      </c>
      <c r="S199" s="231" t="s">
        <v>2059</v>
      </c>
      <c r="T199" s="214" t="s">
        <v>3091</v>
      </c>
      <c r="U199" s="88">
        <f>IF(RIGHT(T199,1)="K",(VLOOKUP(T199,ma_miengiam!$A$3:$B$80,2,0)*100)/2,VLOOKUP(T199,ma_miengiam!$A$3:$B$80,2,0)*100)</f>
        <v>20</v>
      </c>
      <c r="V199" s="88"/>
      <c r="W199" s="220">
        <f>IF(AND(T199="NTS",V199&gt;0),(Q199-(Q199*V199)/12)*VLOOKUP(T199,ma_miengiam!$A$3:$B$80,2,0)+(Q199-(Q199*(12-V199))/12),IF(AND(RIGHT(T199,1)="K",V199&gt;0),(VLOOKUP(T199,ma_miengiam!$A$3:$B$80,2,0)/2)*(Q199*V199)/12,IF(RIGHT(T199,1)="K",(VLOOKUP(T199,ma_miengiam!$A$3:$B$80,2,0)*Q199)/2,IF(V199&gt;0,VLOOKUP(T199,ma_miengiam!$A$3:$B$80,2,0)*Q199*V199/12,VLOOKUP(T199,ma_miengiam!$A$3:$B$80,2,0)*Q199))))</f>
        <v>54</v>
      </c>
      <c r="X199" s="220">
        <f>IF(T199="NTS",VLOOKUP(T199,ma_miengiam!$A$3:$B$80,2,0)*R199*V199,IF(AND(T199="NTS",V199=0),0,IF(AND(LEFT(T199,1)="K",V199=0),VLOOKUP(T199,ma_miengiam!$A$3:$B$80,2,0)*R199,IF(LEFT(T199,1)="K",(VLOOKUP(T199,ma_miengiam!$A$3:$B$80,2,0)*R199/12)*V199,IF(AND(LEFT(T199,1)="S",V199&gt;0),(R199/12)*V199,IF(AND(LEFT(T199,1)="S",V199=0),R199,IF(T199="DH",VLOOKUP(T199,ma_miengiam!$A$3:$B$80,2,0)*R199,0)))))))</f>
        <v>0</v>
      </c>
      <c r="Y199" s="220">
        <f t="shared" si="597"/>
        <v>216</v>
      </c>
      <c r="Z199" s="220">
        <f>IF(AND(T199="SĐH",V199&gt;0),(R199/12)*V199-X199,IF(AND(T199="DH",V199&gt;0),(R199*V199/12),IF(AND(T199&lt;&gt;"NTS",V199&gt;0),(R199*V199/12)-X199,IF(AND(T199="NTS",V199&gt;0),R199-X199,R199-X199))))</f>
        <v>100</v>
      </c>
      <c r="AA199" s="220">
        <f t="shared" si="591"/>
        <v>270</v>
      </c>
      <c r="AB199" s="220">
        <f t="shared" si="591"/>
        <v>100</v>
      </c>
      <c r="AC199" s="220">
        <f t="shared" si="598"/>
        <v>54</v>
      </c>
      <c r="AD199" s="220">
        <f t="shared" si="598"/>
        <v>0</v>
      </c>
      <c r="AE199" s="220">
        <f t="shared" si="598"/>
        <v>216</v>
      </c>
      <c r="AF199" s="220">
        <f t="shared" si="598"/>
        <v>100</v>
      </c>
      <c r="AG199" s="220">
        <f t="shared" si="593"/>
        <v>127.22</v>
      </c>
      <c r="AH199" s="220">
        <f t="shared" si="594"/>
        <v>59.72</v>
      </c>
      <c r="AI199" s="220">
        <f t="shared" si="595"/>
        <v>67.5</v>
      </c>
      <c r="AJ199" s="220">
        <f t="shared" si="513"/>
        <v>0</v>
      </c>
      <c r="AK199" s="216">
        <f t="shared" ref="AK199:AK259" si="604">IF(AJ199&gt;=0,Y199,Y199-AJ199)</f>
        <v>216</v>
      </c>
      <c r="AL199" s="220">
        <f t="shared" si="425"/>
        <v>227.7</v>
      </c>
      <c r="AM199" s="220">
        <f t="shared" si="426"/>
        <v>0</v>
      </c>
      <c r="AN199" s="221">
        <f t="shared" si="427"/>
        <v>227.7</v>
      </c>
      <c r="AO199" s="220">
        <f t="shared" si="428"/>
        <v>0</v>
      </c>
      <c r="AP199" s="220">
        <f t="shared" si="429"/>
        <v>0</v>
      </c>
      <c r="AQ199" s="220">
        <f t="shared" si="430"/>
        <v>0</v>
      </c>
      <c r="AR199" s="220">
        <f t="shared" si="431"/>
        <v>0</v>
      </c>
      <c r="AS199" s="220">
        <f t="shared" si="432"/>
        <v>0</v>
      </c>
      <c r="AT199" s="216">
        <f t="shared" si="433"/>
        <v>227.7</v>
      </c>
      <c r="AU199" s="222">
        <f t="shared" si="574"/>
        <v>11.699999999999989</v>
      </c>
      <c r="AV199" s="220"/>
      <c r="AW199" s="220">
        <f t="shared" si="532"/>
        <v>11.699999999999989</v>
      </c>
      <c r="AX199" s="216">
        <f t="shared" si="411"/>
        <v>0</v>
      </c>
      <c r="AY199" s="220">
        <f t="shared" si="539"/>
        <v>0</v>
      </c>
      <c r="AZ199" s="220">
        <f t="shared" si="540"/>
        <v>0</v>
      </c>
      <c r="BA199" s="220">
        <f t="shared" si="541"/>
        <v>0</v>
      </c>
      <c r="BB199" s="220">
        <f t="shared" si="542"/>
        <v>0</v>
      </c>
      <c r="BC199" s="220">
        <f t="shared" si="543"/>
        <v>0</v>
      </c>
      <c r="BD199" s="216">
        <f t="shared" si="575"/>
        <v>0</v>
      </c>
      <c r="BE199" s="220">
        <f t="shared" si="533"/>
        <v>0</v>
      </c>
      <c r="BF199" s="220">
        <f t="shared" si="534"/>
        <v>0</v>
      </c>
      <c r="BG199" s="220">
        <f t="shared" si="535"/>
        <v>0</v>
      </c>
      <c r="BH199" s="220">
        <f t="shared" si="536"/>
        <v>0</v>
      </c>
      <c r="BI199" s="220">
        <f t="shared" si="537"/>
        <v>0</v>
      </c>
      <c r="BJ199" s="220" t="s">
        <v>459</v>
      </c>
      <c r="BK199" s="220"/>
      <c r="BL199" s="223">
        <f t="shared" si="582"/>
        <v>11.699999999999989</v>
      </c>
      <c r="BM199" s="220">
        <v>2.67</v>
      </c>
      <c r="BN199" s="220"/>
      <c r="BO199" s="220">
        <f>ROUND(BM199+(BM199*BN199),2)</f>
        <v>2.67</v>
      </c>
      <c r="BP199" s="220">
        <f>IF(AND(BL199&gt;0,BL199&lt;tiet!$D$1),BL199,IF(BL199&lt;=0,0,IF(BL199&gt;tiet!$C$1,tiet!$C$1)))</f>
        <v>11.699999999999989</v>
      </c>
      <c r="BQ199" s="87">
        <f t="shared" si="509"/>
        <v>60000</v>
      </c>
      <c r="BR199" s="224">
        <f t="shared" si="510"/>
        <v>702000</v>
      </c>
      <c r="BS199" s="220">
        <f t="shared" si="434"/>
        <v>0</v>
      </c>
      <c r="BT199" s="224">
        <f>VLOOKUP(N199,ma_dinhmuc!$A$1:$J$31,10,0)</f>
        <v>51000</v>
      </c>
      <c r="BU199" s="224">
        <f>ROUND(IF(BS199&gt;0,VLOOKUP(N199,ma_dinhmuc!$A$1:$J$31,10,0)*BS199,0),0)</f>
        <v>0</v>
      </c>
      <c r="BV199" s="224">
        <f t="shared" si="511"/>
        <v>702000</v>
      </c>
      <c r="BW199" s="224"/>
      <c r="BX199" s="224">
        <v>0</v>
      </c>
      <c r="BY199" s="224"/>
      <c r="BZ199" s="224"/>
      <c r="CA199" s="224"/>
      <c r="CB199" s="224"/>
      <c r="CC199" s="225">
        <f t="shared" si="544"/>
        <v>702000</v>
      </c>
      <c r="CD199" s="224">
        <f t="shared" si="545"/>
        <v>0</v>
      </c>
      <c r="CE199" s="224"/>
      <c r="CF199" s="226"/>
      <c r="CG199" s="87"/>
      <c r="CH199" s="87">
        <f t="shared" si="596"/>
        <v>4</v>
      </c>
      <c r="CI199" s="227" t="str">
        <f t="shared" si="599"/>
        <v>Nguyễn Thị Hạnh</v>
      </c>
      <c r="CJ199" s="227" t="str">
        <f t="shared" si="585"/>
        <v>Nguyên</v>
      </c>
      <c r="CK199" s="87">
        <f t="shared" si="586"/>
        <v>4</v>
      </c>
      <c r="CL199" s="227" t="str">
        <f t="shared" si="600"/>
        <v>Cơ học kỹ thuật</v>
      </c>
      <c r="CM199" s="87" t="str">
        <f t="shared" si="538"/>
        <v>CS2</v>
      </c>
      <c r="CN199" s="87">
        <f t="shared" si="601"/>
        <v>270</v>
      </c>
      <c r="CO199" s="87">
        <f t="shared" si="601"/>
        <v>100</v>
      </c>
      <c r="CP199" s="229">
        <f t="shared" si="444"/>
        <v>0</v>
      </c>
      <c r="CQ199" s="229">
        <f t="shared" si="445"/>
        <v>23.3</v>
      </c>
      <c r="CR199" s="229">
        <f t="shared" si="446"/>
        <v>9.4</v>
      </c>
      <c r="CS199" s="229">
        <f t="shared" si="447"/>
        <v>0</v>
      </c>
      <c r="CT199" s="229">
        <f t="shared" si="448"/>
        <v>0</v>
      </c>
      <c r="CU199" s="229">
        <f t="shared" si="449"/>
        <v>195</v>
      </c>
      <c r="CV199" s="229">
        <f t="shared" si="450"/>
        <v>0</v>
      </c>
      <c r="CW199" s="229">
        <f t="shared" si="451"/>
        <v>0</v>
      </c>
      <c r="CX199" s="229">
        <f t="shared" si="452"/>
        <v>0</v>
      </c>
      <c r="CY199" s="229">
        <f t="shared" si="453"/>
        <v>0</v>
      </c>
      <c r="CZ199" s="229">
        <f t="shared" si="454"/>
        <v>0</v>
      </c>
      <c r="DA199" s="229">
        <f t="shared" si="455"/>
        <v>0</v>
      </c>
      <c r="DB199" s="228">
        <f t="shared" si="423"/>
        <v>227.7</v>
      </c>
      <c r="DC199" s="229"/>
      <c r="DD199" s="229"/>
      <c r="DE199" s="229"/>
      <c r="DF199" s="229"/>
      <c r="DG199" s="229"/>
      <c r="DH199" s="229"/>
      <c r="DI199" s="229"/>
      <c r="DJ199" s="229"/>
      <c r="DK199" s="229"/>
      <c r="DL199" s="229"/>
      <c r="DM199" s="229"/>
      <c r="DN199" s="229"/>
      <c r="DO199" s="228">
        <f t="shared" si="436"/>
        <v>0</v>
      </c>
      <c r="DP199" s="228">
        <f t="shared" si="437"/>
        <v>227.7</v>
      </c>
      <c r="DQ199" s="229">
        <f t="shared" si="456"/>
        <v>0</v>
      </c>
      <c r="DR199" s="229">
        <f t="shared" si="457"/>
        <v>0</v>
      </c>
      <c r="DS199" s="229">
        <f t="shared" si="458"/>
        <v>0</v>
      </c>
      <c r="DT199" s="229">
        <f t="shared" si="459"/>
        <v>0</v>
      </c>
      <c r="DU199" s="229">
        <f t="shared" si="460"/>
        <v>0</v>
      </c>
      <c r="DV199" s="229">
        <f t="shared" si="461"/>
        <v>0</v>
      </c>
      <c r="DW199" s="229">
        <f t="shared" si="462"/>
        <v>0</v>
      </c>
      <c r="DX199" s="228">
        <f t="shared" si="424"/>
        <v>0</v>
      </c>
      <c r="DY199" s="229"/>
      <c r="DZ199" s="229"/>
      <c r="EA199" s="229"/>
      <c r="EB199" s="229"/>
      <c r="EC199" s="229"/>
      <c r="ED199" s="229"/>
      <c r="EE199" s="229"/>
      <c r="EF199" s="228">
        <f t="shared" si="438"/>
        <v>0</v>
      </c>
      <c r="EG199" s="228">
        <f t="shared" si="439"/>
        <v>0</v>
      </c>
      <c r="EH199" s="229">
        <f t="shared" si="440"/>
        <v>67.5</v>
      </c>
      <c r="EI199" s="229">
        <v>59.72</v>
      </c>
      <c r="EJ199" s="228">
        <f t="shared" si="602"/>
        <v>127.22</v>
      </c>
      <c r="EK199" s="229"/>
      <c r="EL199" s="229"/>
      <c r="EM199" s="228">
        <f t="shared" si="603"/>
        <v>0</v>
      </c>
      <c r="EN199" s="229">
        <f t="shared" si="576"/>
        <v>67.5</v>
      </c>
      <c r="EO199" s="229">
        <f t="shared" si="577"/>
        <v>59.72</v>
      </c>
      <c r="EP199" s="228">
        <f t="shared" si="590"/>
        <v>127.22</v>
      </c>
      <c r="EQ199" s="173">
        <f t="shared" si="441"/>
        <v>0</v>
      </c>
      <c r="ER199" s="189">
        <v>0</v>
      </c>
      <c r="ES199" s="189">
        <v>23.3</v>
      </c>
      <c r="ET199" s="189">
        <v>9.4</v>
      </c>
      <c r="EU199" s="189">
        <v>0</v>
      </c>
      <c r="EV199" s="189">
        <v>0</v>
      </c>
      <c r="EW199" s="189">
        <v>195</v>
      </c>
      <c r="EX199" s="189">
        <v>0</v>
      </c>
      <c r="EY199" s="189">
        <v>0</v>
      </c>
      <c r="EZ199" s="189">
        <v>0</v>
      </c>
      <c r="FA199" s="189">
        <v>0</v>
      </c>
      <c r="FB199" s="189">
        <v>0</v>
      </c>
      <c r="FC199" s="189">
        <v>0</v>
      </c>
      <c r="FD199" s="189">
        <v>0</v>
      </c>
      <c r="FE199" s="189">
        <v>0</v>
      </c>
      <c r="FF199" s="189">
        <v>0</v>
      </c>
      <c r="FG199" s="189">
        <v>0</v>
      </c>
      <c r="FH199" s="189">
        <v>0</v>
      </c>
      <c r="FI199" s="189">
        <v>0</v>
      </c>
      <c r="FJ199" s="189">
        <v>0</v>
      </c>
      <c r="FK199" s="189">
        <v>227.7</v>
      </c>
      <c r="FL199" s="189">
        <v>207</v>
      </c>
      <c r="FN199" s="132">
        <v>67.5</v>
      </c>
    </row>
    <row r="200" spans="1:170" ht="30" customHeight="1">
      <c r="A200" s="88">
        <f>COUNTIF($H$12:H200,H200)</f>
        <v>5</v>
      </c>
      <c r="B200" s="88" t="s">
        <v>104</v>
      </c>
      <c r="C200" s="88" t="s">
        <v>2507</v>
      </c>
      <c r="D200" s="88"/>
      <c r="E200" s="88"/>
      <c r="F200" s="301" t="s">
        <v>3195</v>
      </c>
      <c r="G200" s="89" t="s">
        <v>3196</v>
      </c>
      <c r="H200" s="88">
        <v>4</v>
      </c>
      <c r="I200" s="88">
        <v>4</v>
      </c>
      <c r="J200" s="88">
        <v>4</v>
      </c>
      <c r="K200" s="90" t="s">
        <v>557</v>
      </c>
      <c r="L200" s="90" t="s">
        <v>557</v>
      </c>
      <c r="M200" s="214"/>
      <c r="N200" s="88" t="s">
        <v>605</v>
      </c>
      <c r="O200" s="216">
        <f t="shared" si="516"/>
        <v>7.28</v>
      </c>
      <c r="P200" s="88" t="str">
        <f t="shared" si="468"/>
        <v>B1_8</v>
      </c>
      <c r="Q200" s="88">
        <f t="shared" si="527"/>
        <v>270</v>
      </c>
      <c r="R200" s="88">
        <f t="shared" si="528"/>
        <v>280</v>
      </c>
      <c r="S200" s="218"/>
      <c r="T200" s="214" t="s">
        <v>3088</v>
      </c>
      <c r="U200" s="88">
        <f>IF(RIGHT(T200,1)="K",(VLOOKUP(T200,ma_miengiam!$A$3:$B$80,2,0)*100)/2,VLOOKUP(T200,ma_miengiam!$A$3:$B$80,2,0)*100)</f>
        <v>0</v>
      </c>
      <c r="V200" s="88"/>
      <c r="W200" s="220">
        <f>IF(AND(T200="NTS",V200&gt;0),(Q200-(Q200*V200)/12)*VLOOKUP(T200,ma_miengiam!$A$3:$B$80,2,0)+(Q200-(Q200*(12-V200))/12),IF(AND(RIGHT(T200,1)="K",V200&gt;0),(VLOOKUP(T200,ma_miengiam!$A$3:$B$80,2,0)/2)*(Q200*V200)/12,IF(RIGHT(T200,1)="K",(VLOOKUP(T200,ma_miengiam!$A$3:$B$80,2,0)*Q200)/2,IF(V200&gt;0,VLOOKUP(T200,ma_miengiam!$A$3:$B$80,2,0)*Q200*V200/12,VLOOKUP(T200,ma_miengiam!$A$3:$B$80,2,0)*Q200))))</f>
        <v>0</v>
      </c>
      <c r="X200" s="220">
        <f>IF(T200="NTS",VLOOKUP(T200,ma_miengiam!$A$3:$B$80,2,0)*R200*V200,IF(AND(T200="NTS",V200=0),0,IF(AND(LEFT(T200,1)="K",V200=0),VLOOKUP(T200,ma_miengiam!$A$3:$B$80,2,0)*R200,IF(LEFT(T200,1)="K",(VLOOKUP(T200,ma_miengiam!$A$3:$B$80,2,0)*R200/12)*V200,IF(AND(LEFT(T200,1)="S",V200&gt;0),(R200/12)*V200,IF(AND(LEFT(T200,1)="S",V200=0),R200,IF(T200="DH",VLOOKUP(T200,ma_miengiam!$A$3:$B$80,2,0)*R200,0)))))))</f>
        <v>0</v>
      </c>
      <c r="Y200" s="220">
        <f t="shared" si="597"/>
        <v>270</v>
      </c>
      <c r="Z200" s="220">
        <f>IF(AND(T200="SĐH",V200&gt;0),(R200/12)*V200-X200,IF(AND(T200="DH",V200&gt;0),(R200*V200/12),IF(AND(T200&lt;&gt;"NTS",V200&gt;0),(R200*V200/12)-X200,IF(AND(T200="NTS",V200&gt;0),R200-X200,R200-X200))))</f>
        <v>280</v>
      </c>
      <c r="AA200" s="220">
        <f t="shared" ref="AA200:AB202" si="605">Q200</f>
        <v>270</v>
      </c>
      <c r="AB200" s="220">
        <f t="shared" si="605"/>
        <v>280</v>
      </c>
      <c r="AC200" s="220">
        <f>W200</f>
        <v>0</v>
      </c>
      <c r="AD200" s="220">
        <f>X200</f>
        <v>0</v>
      </c>
      <c r="AE200" s="220">
        <f>Y200</f>
        <v>270</v>
      </c>
      <c r="AF200" s="220">
        <f>Z200</f>
        <v>280</v>
      </c>
      <c r="AG200" s="220">
        <f t="shared" si="593"/>
        <v>179.71</v>
      </c>
      <c r="AH200" s="220">
        <f t="shared" si="594"/>
        <v>167.21</v>
      </c>
      <c r="AI200" s="220">
        <f t="shared" si="595"/>
        <v>12.5</v>
      </c>
      <c r="AJ200" s="220">
        <f>IF(AG200-Z200&gt;0,0,AG200-Z200)</f>
        <v>-100.28999999999999</v>
      </c>
      <c r="AK200" s="216">
        <f t="shared" si="604"/>
        <v>370.28999999999996</v>
      </c>
      <c r="AL200" s="220">
        <f t="shared" si="425"/>
        <v>229.6</v>
      </c>
      <c r="AM200" s="220">
        <f t="shared" si="426"/>
        <v>0</v>
      </c>
      <c r="AN200" s="221">
        <f t="shared" si="427"/>
        <v>229.6</v>
      </c>
      <c r="AO200" s="220">
        <f t="shared" si="428"/>
        <v>0</v>
      </c>
      <c r="AP200" s="220">
        <f t="shared" si="429"/>
        <v>0</v>
      </c>
      <c r="AQ200" s="220">
        <f t="shared" si="430"/>
        <v>0</v>
      </c>
      <c r="AR200" s="220">
        <f t="shared" si="431"/>
        <v>0</v>
      </c>
      <c r="AS200" s="220">
        <f t="shared" si="432"/>
        <v>0</v>
      </c>
      <c r="AT200" s="216">
        <f t="shared" si="433"/>
        <v>229.6</v>
      </c>
      <c r="AU200" s="222">
        <f t="shared" si="574"/>
        <v>-140.68999999999997</v>
      </c>
      <c r="AV200" s="220"/>
      <c r="AW200" s="220">
        <f t="shared" si="532"/>
        <v>-140.68999999999997</v>
      </c>
      <c r="AX200" s="216">
        <f t="shared" si="411"/>
        <v>-140.68999999999997</v>
      </c>
      <c r="AY200" s="220">
        <f t="shared" si="539"/>
        <v>0</v>
      </c>
      <c r="AZ200" s="220">
        <f t="shared" si="540"/>
        <v>0</v>
      </c>
      <c r="BA200" s="220">
        <f t="shared" si="541"/>
        <v>0</v>
      </c>
      <c r="BB200" s="220">
        <f t="shared" si="542"/>
        <v>0</v>
      </c>
      <c r="BC200" s="220">
        <f t="shared" si="543"/>
        <v>0</v>
      </c>
      <c r="BD200" s="216">
        <f t="shared" si="575"/>
        <v>0</v>
      </c>
      <c r="BE200" s="220">
        <f t="shared" si="533"/>
        <v>0</v>
      </c>
      <c r="BF200" s="220">
        <f t="shared" si="534"/>
        <v>0</v>
      </c>
      <c r="BG200" s="220">
        <f t="shared" si="535"/>
        <v>0</v>
      </c>
      <c r="BH200" s="220">
        <f t="shared" si="536"/>
        <v>0</v>
      </c>
      <c r="BI200" s="220">
        <f t="shared" si="537"/>
        <v>0</v>
      </c>
      <c r="BJ200" s="220" t="s">
        <v>460</v>
      </c>
      <c r="BK200" s="220"/>
      <c r="BL200" s="223">
        <f t="shared" si="582"/>
        <v>0</v>
      </c>
      <c r="BM200" s="220">
        <v>7.28</v>
      </c>
      <c r="BN200" s="220"/>
      <c r="BO200" s="220">
        <f>ROUND(BM200+(BM200*BN200),2)</f>
        <v>7.28</v>
      </c>
      <c r="BP200" s="220">
        <f>IF(AND(BL200&gt;0,BL200&lt;tiet!$D$1),BL200,IF(BL200&lt;=0,0,IF(BL200&gt;tiet!$C$1,tiet!$C$1)))</f>
        <v>0</v>
      </c>
      <c r="BQ200" s="87">
        <f>VLOOKUP(P200,ma_dinhmuc_moi,4,0)</f>
        <v>85000</v>
      </c>
      <c r="BR200" s="224">
        <f>ROUND(BQ200*BP200,0)</f>
        <v>0</v>
      </c>
      <c r="BS200" s="220">
        <f t="shared" si="434"/>
        <v>0</v>
      </c>
      <c r="BT200" s="224">
        <f>VLOOKUP(N200,ma_dinhmuc!$A$1:$J$31,10,0)</f>
        <v>65000</v>
      </c>
      <c r="BU200" s="224">
        <f>ROUND(IF(BS200&gt;0,VLOOKUP(N200,ma_dinhmuc!$A$1:$J$31,10,0)*BS200,0),0)</f>
        <v>0</v>
      </c>
      <c r="BV200" s="224">
        <f>ROUND(BU200+BR200,0)</f>
        <v>0</v>
      </c>
      <c r="BW200" s="224"/>
      <c r="BX200" s="224">
        <v>0</v>
      </c>
      <c r="BY200" s="224"/>
      <c r="BZ200" s="224"/>
      <c r="CA200" s="224"/>
      <c r="CB200" s="224"/>
      <c r="CC200" s="225">
        <f t="shared" si="544"/>
        <v>0</v>
      </c>
      <c r="CD200" s="224">
        <f t="shared" si="545"/>
        <v>0</v>
      </c>
      <c r="CE200" s="224"/>
      <c r="CF200" s="226"/>
      <c r="CG200" s="87"/>
      <c r="CH200" s="87">
        <f t="shared" si="596"/>
        <v>5</v>
      </c>
      <c r="CI200" s="227" t="str">
        <f t="shared" si="599"/>
        <v>Lương Văn</v>
      </c>
      <c r="CJ200" s="227" t="str">
        <f t="shared" si="585"/>
        <v>Vượt</v>
      </c>
      <c r="CK200" s="87">
        <f t="shared" si="586"/>
        <v>4</v>
      </c>
      <c r="CL200" s="227" t="str">
        <f t="shared" si="600"/>
        <v>Cơ học kỹ thuật</v>
      </c>
      <c r="CM200" s="87" t="str">
        <f t="shared" si="538"/>
        <v>CS4</v>
      </c>
      <c r="CN200" s="87">
        <f t="shared" si="601"/>
        <v>270</v>
      </c>
      <c r="CO200" s="87">
        <f t="shared" si="601"/>
        <v>280</v>
      </c>
      <c r="CP200" s="229">
        <f t="shared" si="444"/>
        <v>0</v>
      </c>
      <c r="CQ200" s="229">
        <f t="shared" si="445"/>
        <v>24.6</v>
      </c>
      <c r="CR200" s="229">
        <f t="shared" si="446"/>
        <v>10</v>
      </c>
      <c r="CS200" s="229">
        <f t="shared" si="447"/>
        <v>0</v>
      </c>
      <c r="CT200" s="229">
        <f t="shared" si="448"/>
        <v>0</v>
      </c>
      <c r="CU200" s="229">
        <f t="shared" si="449"/>
        <v>195</v>
      </c>
      <c r="CV200" s="229">
        <f t="shared" si="450"/>
        <v>0</v>
      </c>
      <c r="CW200" s="229">
        <f t="shared" si="451"/>
        <v>0</v>
      </c>
      <c r="CX200" s="229">
        <f t="shared" si="452"/>
        <v>0</v>
      </c>
      <c r="CY200" s="229">
        <f t="shared" si="453"/>
        <v>0</v>
      </c>
      <c r="CZ200" s="229">
        <f t="shared" si="454"/>
        <v>0</v>
      </c>
      <c r="DA200" s="229">
        <f t="shared" si="455"/>
        <v>0</v>
      </c>
      <c r="DB200" s="228">
        <f t="shared" ref="DB200:DB258" si="606">SUM(CP200:DA200)</f>
        <v>229.6</v>
      </c>
      <c r="DC200" s="229"/>
      <c r="DD200" s="229"/>
      <c r="DE200" s="229"/>
      <c r="DF200" s="229"/>
      <c r="DG200" s="229"/>
      <c r="DH200" s="229"/>
      <c r="DI200" s="229"/>
      <c r="DJ200" s="229"/>
      <c r="DK200" s="229"/>
      <c r="DL200" s="229"/>
      <c r="DM200" s="229"/>
      <c r="DN200" s="229"/>
      <c r="DO200" s="228">
        <f t="shared" si="436"/>
        <v>0</v>
      </c>
      <c r="DP200" s="228">
        <f t="shared" si="437"/>
        <v>229.6</v>
      </c>
      <c r="DQ200" s="229">
        <f t="shared" si="456"/>
        <v>0</v>
      </c>
      <c r="DR200" s="229">
        <f t="shared" si="457"/>
        <v>0</v>
      </c>
      <c r="DS200" s="229">
        <f t="shared" si="458"/>
        <v>0</v>
      </c>
      <c r="DT200" s="229">
        <f t="shared" si="459"/>
        <v>0</v>
      </c>
      <c r="DU200" s="229">
        <f t="shared" si="460"/>
        <v>0</v>
      </c>
      <c r="DV200" s="229">
        <f t="shared" si="461"/>
        <v>0</v>
      </c>
      <c r="DW200" s="229">
        <f t="shared" si="462"/>
        <v>0</v>
      </c>
      <c r="DX200" s="228">
        <f t="shared" ref="DX200:DX258" si="607">SUM(DQ200:DW200)</f>
        <v>0</v>
      </c>
      <c r="DY200" s="229"/>
      <c r="DZ200" s="229"/>
      <c r="EA200" s="229"/>
      <c r="EB200" s="229"/>
      <c r="EC200" s="229"/>
      <c r="ED200" s="229"/>
      <c r="EE200" s="229"/>
      <c r="EF200" s="228">
        <f t="shared" si="438"/>
        <v>0</v>
      </c>
      <c r="EG200" s="228">
        <f t="shared" si="439"/>
        <v>0</v>
      </c>
      <c r="EH200" s="229">
        <f t="shared" si="440"/>
        <v>12.5</v>
      </c>
      <c r="EI200" s="229">
        <v>167.21</v>
      </c>
      <c r="EJ200" s="228">
        <f t="shared" si="602"/>
        <v>179.71</v>
      </c>
      <c r="EK200" s="229"/>
      <c r="EL200" s="229"/>
      <c r="EM200" s="228">
        <f t="shared" si="603"/>
        <v>0</v>
      </c>
      <c r="EN200" s="229">
        <f t="shared" si="576"/>
        <v>12.5</v>
      </c>
      <c r="EO200" s="229">
        <f t="shared" si="577"/>
        <v>167.21</v>
      </c>
      <c r="EP200" s="228">
        <f t="shared" si="590"/>
        <v>179.71</v>
      </c>
      <c r="EQ200" s="173">
        <f t="shared" si="441"/>
        <v>0</v>
      </c>
      <c r="ER200" s="189">
        <v>0</v>
      </c>
      <c r="ES200" s="189">
        <v>24.6</v>
      </c>
      <c r="ET200" s="189">
        <v>10</v>
      </c>
      <c r="EU200" s="189">
        <v>0</v>
      </c>
      <c r="EV200" s="189">
        <v>0</v>
      </c>
      <c r="EW200" s="189">
        <v>195</v>
      </c>
      <c r="EX200" s="189">
        <v>0</v>
      </c>
      <c r="EY200" s="189">
        <v>0</v>
      </c>
      <c r="EZ200" s="189">
        <v>0</v>
      </c>
      <c r="FA200" s="189">
        <v>0</v>
      </c>
      <c r="FB200" s="189">
        <v>0</v>
      </c>
      <c r="FC200" s="189">
        <v>0</v>
      </c>
      <c r="FD200" s="189">
        <v>0</v>
      </c>
      <c r="FE200" s="189">
        <v>0</v>
      </c>
      <c r="FF200" s="189">
        <v>0</v>
      </c>
      <c r="FG200" s="189">
        <v>0</v>
      </c>
      <c r="FH200" s="189">
        <v>0</v>
      </c>
      <c r="FI200" s="189">
        <v>0</v>
      </c>
      <c r="FJ200" s="189">
        <v>0</v>
      </c>
      <c r="FK200" s="189">
        <v>229.6</v>
      </c>
      <c r="FL200" s="189">
        <v>205</v>
      </c>
      <c r="FN200" s="132">
        <v>12.5</v>
      </c>
    </row>
    <row r="201" spans="1:170" ht="30" customHeight="1">
      <c r="A201" s="88">
        <f>COUNTIF($H$12:H201,H201)</f>
        <v>6</v>
      </c>
      <c r="B201" s="88" t="s">
        <v>105</v>
      </c>
      <c r="C201" s="88" t="s">
        <v>2508</v>
      </c>
      <c r="D201" s="88"/>
      <c r="E201" s="88"/>
      <c r="F201" s="301" t="s">
        <v>3197</v>
      </c>
      <c r="G201" s="89" t="s">
        <v>3198</v>
      </c>
      <c r="H201" s="88">
        <v>4</v>
      </c>
      <c r="I201" s="88">
        <v>4</v>
      </c>
      <c r="J201" s="88">
        <v>4</v>
      </c>
      <c r="K201" s="90" t="s">
        <v>557</v>
      </c>
      <c r="L201" s="90" t="s">
        <v>557</v>
      </c>
      <c r="M201" s="214"/>
      <c r="N201" s="88" t="s">
        <v>1804</v>
      </c>
      <c r="O201" s="216">
        <f t="shared" ref="O201:O210" si="608">BO201</f>
        <v>3.33</v>
      </c>
      <c r="P201" s="88" t="str">
        <f t="shared" si="468"/>
        <v>B1_4</v>
      </c>
      <c r="Q201" s="88">
        <f t="shared" si="527"/>
        <v>270</v>
      </c>
      <c r="R201" s="88">
        <f t="shared" si="528"/>
        <v>120</v>
      </c>
      <c r="S201" s="234" t="s">
        <v>2672</v>
      </c>
      <c r="T201" s="88" t="s">
        <v>1753</v>
      </c>
      <c r="U201" s="88">
        <f>IF(RIGHT(T201,1)="K",(VLOOKUP(T201,ma_miengiam!$A$3:$B$80,2,0)*100)/2,VLOOKUP(T201,ma_miengiam!$A$3:$B$80,2,0)*100)</f>
        <v>70</v>
      </c>
      <c r="V201" s="88"/>
      <c r="W201" s="220">
        <f>IF(AND(T201="NTS",V201&gt;0),(Q201-(Q201*V201)/12)*VLOOKUP(T201,ma_miengiam!$A$3:$B$80,2,0)+(Q201-(Q201*(12-V201))/12),IF(AND(RIGHT(T201,1)="K",V201&gt;0),(VLOOKUP(T201,ma_miengiam!$A$3:$B$80,2,0)/2)*(Q201*V201)/12,IF(RIGHT(T201,1)="K",(VLOOKUP(T201,ma_miengiam!$A$3:$B$80,2,0)*Q201)/2,IF(V201&gt;0,VLOOKUP(T201,ma_miengiam!$A$3:$B$80,2,0)*Q201*V201/12,VLOOKUP(T201,ma_miengiam!$A$3:$B$80,2,0)*Q201))))</f>
        <v>189</v>
      </c>
      <c r="X201" s="220">
        <f>IF(T201="NTS",VLOOKUP(T201,ma_miengiam!$A$3:$B$80,2,0)*R201*V201,IF(AND(T201="NTS",V201=0),0,IF(AND(LEFT(T201,1)="K",V201=0),VLOOKUP(T201,ma_miengiam!$A$3:$B$80,2,0)*R201,IF(LEFT(T201,1)="K",(VLOOKUP(T201,ma_miengiam!$A$3:$B$80,2,0)*R201/12)*V201,IF(AND(LEFT(T201,1)="S",V201&gt;0),(R201/12)*V201,IF(AND(LEFT(T201,1)="S",V201=0),R201,IF(T201="DH",VLOOKUP(T201,ma_miengiam!$A$3:$B$80,2,0)*R201,0)))))))</f>
        <v>84</v>
      </c>
      <c r="Y201" s="220">
        <f t="shared" si="597"/>
        <v>81</v>
      </c>
      <c r="Z201" s="220">
        <f t="shared" ref="Z201:Z221" si="609">IF(AND(T201="SĐH",V201&gt;0),(R201/12)*V201-X201,IF(AND(T201="DH",V201&gt;0),(R201*V201/12),IF(AND(T201&lt;&gt;"NTS",V201&gt;0),(R201*V201/12)-X201,IF(AND(T201="NTS",V201&gt;0),R201-X201,R201-X201))))</f>
        <v>36</v>
      </c>
      <c r="AA201" s="220">
        <f t="shared" si="605"/>
        <v>270</v>
      </c>
      <c r="AB201" s="220">
        <f t="shared" si="605"/>
        <v>120</v>
      </c>
      <c r="AC201" s="220">
        <f t="shared" ref="AC201:AF202" si="610">W201</f>
        <v>189</v>
      </c>
      <c r="AD201" s="220">
        <f t="shared" si="610"/>
        <v>84</v>
      </c>
      <c r="AE201" s="220">
        <f t="shared" si="610"/>
        <v>81</v>
      </c>
      <c r="AF201" s="220">
        <f t="shared" si="610"/>
        <v>36</v>
      </c>
      <c r="AG201" s="220">
        <f t="shared" si="593"/>
        <v>270</v>
      </c>
      <c r="AH201" s="220">
        <f t="shared" si="594"/>
        <v>191.66</v>
      </c>
      <c r="AI201" s="220">
        <f t="shared" si="595"/>
        <v>78.34</v>
      </c>
      <c r="AJ201" s="220">
        <f t="shared" si="513"/>
        <v>0</v>
      </c>
      <c r="AK201" s="216">
        <f t="shared" si="604"/>
        <v>81</v>
      </c>
      <c r="AL201" s="220">
        <f t="shared" ref="AL201:AL259" si="611">SUM(CP201:CX201)+SUM(DC201:DK201)</f>
        <v>204.5</v>
      </c>
      <c r="AM201" s="220">
        <f t="shared" ref="AM201:AM259" si="612">SUM(DQ201:DU201)+SUM(DY201:EC201)</f>
        <v>0</v>
      </c>
      <c r="AN201" s="221">
        <f t="shared" ref="AN201:AN259" si="613">AM201+AL201</f>
        <v>204.5</v>
      </c>
      <c r="AO201" s="220">
        <f t="shared" ref="AO201:AO259" si="614">CY201+DL201</f>
        <v>0</v>
      </c>
      <c r="AP201" s="220">
        <f t="shared" ref="AP201:AP259" si="615">CZ201+DM201</f>
        <v>0</v>
      </c>
      <c r="AQ201" s="220">
        <f t="shared" ref="AQ201:AQ259" si="616">DA201+DN201</f>
        <v>0</v>
      </c>
      <c r="AR201" s="220">
        <f t="shared" ref="AR201:AR259" si="617">DV201+ED201</f>
        <v>0</v>
      </c>
      <c r="AS201" s="220">
        <f t="shared" ref="AS201:AS259" si="618">DW201+EE201</f>
        <v>0</v>
      </c>
      <c r="AT201" s="216">
        <f t="shared" ref="AT201:AT259" si="619">AN201+SUM(AO201:AS201)</f>
        <v>204.5</v>
      </c>
      <c r="AU201" s="222">
        <f t="shared" si="574"/>
        <v>123.5</v>
      </c>
      <c r="AV201" s="220"/>
      <c r="AW201" s="220">
        <f t="shared" si="532"/>
        <v>123.5</v>
      </c>
      <c r="AX201" s="216">
        <f t="shared" ref="AX201:AX261" si="620">IF(AN201&gt;AK201,0,IF(AW201&lt;0,AN201-AK201+AV201,IF(AW201&gt;=0,0)))</f>
        <v>0</v>
      </c>
      <c r="AY201" s="220">
        <f t="shared" si="539"/>
        <v>0</v>
      </c>
      <c r="AZ201" s="220">
        <f t="shared" si="540"/>
        <v>0</v>
      </c>
      <c r="BA201" s="220">
        <f t="shared" si="541"/>
        <v>0</v>
      </c>
      <c r="BB201" s="220">
        <f t="shared" si="542"/>
        <v>0</v>
      </c>
      <c r="BC201" s="220">
        <f t="shared" si="543"/>
        <v>0</v>
      </c>
      <c r="BD201" s="216">
        <f t="shared" si="575"/>
        <v>0</v>
      </c>
      <c r="BE201" s="220">
        <f t="shared" si="533"/>
        <v>0</v>
      </c>
      <c r="BF201" s="220">
        <f t="shared" si="534"/>
        <v>0</v>
      </c>
      <c r="BG201" s="220">
        <f t="shared" si="535"/>
        <v>0</v>
      </c>
      <c r="BH201" s="220">
        <f t="shared" si="536"/>
        <v>0</v>
      </c>
      <c r="BI201" s="220">
        <f t="shared" si="537"/>
        <v>0</v>
      </c>
      <c r="BJ201" s="220" t="s">
        <v>2546</v>
      </c>
      <c r="BK201" s="220"/>
      <c r="BL201" s="223">
        <f t="shared" si="582"/>
        <v>123.5</v>
      </c>
      <c r="BM201" s="220">
        <v>3.33</v>
      </c>
      <c r="BN201" s="220"/>
      <c r="BO201" s="220">
        <f>ROUND(BM201+(BM201*BN201),2)</f>
        <v>3.33</v>
      </c>
      <c r="BP201" s="220">
        <f>IF(AND(BL201&gt;0,BL201&lt;tiet!$D$1),BL201,IF(BL201&lt;=0,0,IF(BL201&gt;tiet!$C$1,tiet!$C$1)))</f>
        <v>123.5</v>
      </c>
      <c r="BQ201" s="87">
        <f t="shared" si="509"/>
        <v>65000</v>
      </c>
      <c r="BR201" s="224">
        <f t="shared" si="510"/>
        <v>8027500</v>
      </c>
      <c r="BS201" s="220">
        <f t="shared" si="434"/>
        <v>0</v>
      </c>
      <c r="BT201" s="224">
        <f>VLOOKUP(N201,ma_dinhmuc!$A$1:$J$31,10,0)</f>
        <v>51000</v>
      </c>
      <c r="BU201" s="224">
        <f>ROUND(IF(BS201&gt;0,VLOOKUP(N201,ma_dinhmuc!$A$1:$J$31,10,0)*BS201,0),0)</f>
        <v>0</v>
      </c>
      <c r="BV201" s="224">
        <f t="shared" si="511"/>
        <v>8027500</v>
      </c>
      <c r="BW201" s="224"/>
      <c r="BX201" s="224">
        <v>0</v>
      </c>
      <c r="BY201" s="224"/>
      <c r="BZ201" s="224"/>
      <c r="CA201" s="224"/>
      <c r="CB201" s="224"/>
      <c r="CC201" s="225">
        <f t="shared" si="544"/>
        <v>8027500</v>
      </c>
      <c r="CD201" s="224">
        <f t="shared" si="545"/>
        <v>0</v>
      </c>
      <c r="CE201" s="224"/>
      <c r="CF201" s="226"/>
      <c r="CG201" s="87"/>
      <c r="CH201" s="87">
        <f t="shared" si="596"/>
        <v>6</v>
      </c>
      <c r="CI201" s="227" t="str">
        <f t="shared" si="599"/>
        <v>Dương Thành</v>
      </c>
      <c r="CJ201" s="227" t="str">
        <f t="shared" si="585"/>
        <v>Huân</v>
      </c>
      <c r="CK201" s="87">
        <f t="shared" si="586"/>
        <v>4</v>
      </c>
      <c r="CL201" s="227" t="str">
        <f t="shared" si="600"/>
        <v>Cơ học kỹ thuật</v>
      </c>
      <c r="CM201" s="87" t="str">
        <f t="shared" si="538"/>
        <v>CS2</v>
      </c>
      <c r="CN201" s="87">
        <f t="shared" ref="CN201:CO206" si="621">Q201</f>
        <v>270</v>
      </c>
      <c r="CO201" s="87">
        <f t="shared" si="621"/>
        <v>120</v>
      </c>
      <c r="CP201" s="229">
        <f t="shared" si="444"/>
        <v>0</v>
      </c>
      <c r="CQ201" s="229">
        <f t="shared" si="445"/>
        <v>6.7</v>
      </c>
      <c r="CR201" s="229">
        <f t="shared" si="446"/>
        <v>2.8</v>
      </c>
      <c r="CS201" s="229">
        <f t="shared" si="447"/>
        <v>45</v>
      </c>
      <c r="CT201" s="229">
        <f t="shared" si="448"/>
        <v>0</v>
      </c>
      <c r="CU201" s="229">
        <f t="shared" si="449"/>
        <v>150</v>
      </c>
      <c r="CV201" s="229">
        <f t="shared" si="450"/>
        <v>0</v>
      </c>
      <c r="CW201" s="229">
        <f t="shared" si="451"/>
        <v>0</v>
      </c>
      <c r="CX201" s="229">
        <f t="shared" si="452"/>
        <v>0</v>
      </c>
      <c r="CY201" s="229">
        <f t="shared" si="453"/>
        <v>0</v>
      </c>
      <c r="CZ201" s="229">
        <f t="shared" si="454"/>
        <v>0</v>
      </c>
      <c r="DA201" s="229">
        <f t="shared" si="455"/>
        <v>0</v>
      </c>
      <c r="DB201" s="228">
        <f t="shared" si="606"/>
        <v>204.5</v>
      </c>
      <c r="DC201" s="229"/>
      <c r="DD201" s="229"/>
      <c r="DE201" s="229"/>
      <c r="DF201" s="229"/>
      <c r="DG201" s="229"/>
      <c r="DH201" s="229"/>
      <c r="DI201" s="229"/>
      <c r="DJ201" s="229"/>
      <c r="DK201" s="229"/>
      <c r="DL201" s="229"/>
      <c r="DM201" s="229"/>
      <c r="DN201" s="229"/>
      <c r="DO201" s="228">
        <f t="shared" ref="DO201:DO259" si="622">SUM(DC201:DN201)</f>
        <v>0</v>
      </c>
      <c r="DP201" s="228">
        <f t="shared" ref="DP201:DP259" si="623">DO201+DB201</f>
        <v>204.5</v>
      </c>
      <c r="DQ201" s="229">
        <f t="shared" si="456"/>
        <v>0</v>
      </c>
      <c r="DR201" s="229">
        <f t="shared" si="457"/>
        <v>0</v>
      </c>
      <c r="DS201" s="229">
        <f t="shared" si="458"/>
        <v>0</v>
      </c>
      <c r="DT201" s="229">
        <f t="shared" si="459"/>
        <v>0</v>
      </c>
      <c r="DU201" s="229">
        <f t="shared" si="460"/>
        <v>0</v>
      </c>
      <c r="DV201" s="229">
        <f t="shared" si="461"/>
        <v>0</v>
      </c>
      <c r="DW201" s="229">
        <f t="shared" si="462"/>
        <v>0</v>
      </c>
      <c r="DX201" s="228">
        <f t="shared" si="607"/>
        <v>0</v>
      </c>
      <c r="DY201" s="229"/>
      <c r="DZ201" s="229"/>
      <c r="EA201" s="229"/>
      <c r="EB201" s="229"/>
      <c r="EC201" s="229"/>
      <c r="ED201" s="229"/>
      <c r="EE201" s="229"/>
      <c r="EF201" s="228">
        <f t="shared" si="438"/>
        <v>0</v>
      </c>
      <c r="EG201" s="228">
        <f t="shared" ref="EG201:EG259" si="624">EF201+DX201</f>
        <v>0</v>
      </c>
      <c r="EH201" s="229">
        <f t="shared" si="440"/>
        <v>78.34</v>
      </c>
      <c r="EI201" s="229">
        <v>191.66</v>
      </c>
      <c r="EJ201" s="228">
        <f t="shared" si="602"/>
        <v>270</v>
      </c>
      <c r="EK201" s="229"/>
      <c r="EL201" s="229"/>
      <c r="EM201" s="228">
        <f t="shared" si="603"/>
        <v>0</v>
      </c>
      <c r="EN201" s="229">
        <f t="shared" si="576"/>
        <v>78.34</v>
      </c>
      <c r="EO201" s="229">
        <f t="shared" si="577"/>
        <v>191.66</v>
      </c>
      <c r="EP201" s="228">
        <f t="shared" si="590"/>
        <v>270</v>
      </c>
      <c r="EQ201" s="173">
        <f t="shared" si="441"/>
        <v>42.34</v>
      </c>
      <c r="ER201" s="189">
        <v>0</v>
      </c>
      <c r="ES201" s="189">
        <v>6.7</v>
      </c>
      <c r="ET201" s="189">
        <v>2.8</v>
      </c>
      <c r="EU201" s="189">
        <v>45</v>
      </c>
      <c r="EV201" s="189">
        <v>0</v>
      </c>
      <c r="EW201" s="189">
        <v>150</v>
      </c>
      <c r="EX201" s="189">
        <v>0</v>
      </c>
      <c r="EY201" s="189">
        <v>0</v>
      </c>
      <c r="EZ201" s="189">
        <v>0</v>
      </c>
      <c r="FA201" s="189">
        <v>0</v>
      </c>
      <c r="FB201" s="189">
        <v>0</v>
      </c>
      <c r="FC201" s="189">
        <v>0</v>
      </c>
      <c r="FD201" s="189">
        <v>0</v>
      </c>
      <c r="FE201" s="189">
        <v>0</v>
      </c>
      <c r="FF201" s="189">
        <v>0</v>
      </c>
      <c r="FG201" s="189">
        <v>0</v>
      </c>
      <c r="FH201" s="189">
        <v>0</v>
      </c>
      <c r="FI201" s="189">
        <v>0</v>
      </c>
      <c r="FJ201" s="189">
        <v>0</v>
      </c>
      <c r="FK201" s="189">
        <v>204.5</v>
      </c>
      <c r="FL201" s="189">
        <v>205</v>
      </c>
      <c r="FN201" s="132">
        <v>78.34</v>
      </c>
    </row>
    <row r="202" spans="1:170" ht="30">
      <c r="A202" s="88">
        <f>COUNTIF($H$12:H202,H202)</f>
        <v>7</v>
      </c>
      <c r="B202" s="88" t="s">
        <v>504</v>
      </c>
      <c r="C202" s="88" t="s">
        <v>2509</v>
      </c>
      <c r="D202" s="88"/>
      <c r="E202" s="88"/>
      <c r="F202" s="301" t="s">
        <v>3199</v>
      </c>
      <c r="G202" s="89" t="s">
        <v>3200</v>
      </c>
      <c r="H202" s="88">
        <v>4</v>
      </c>
      <c r="I202" s="88">
        <v>4</v>
      </c>
      <c r="J202" s="88">
        <v>4</v>
      </c>
      <c r="K202" s="90" t="s">
        <v>1066</v>
      </c>
      <c r="L202" s="90" t="s">
        <v>1066</v>
      </c>
      <c r="M202" s="214"/>
      <c r="N202" s="88" t="s">
        <v>606</v>
      </c>
      <c r="O202" s="216">
        <f t="shared" si="608"/>
        <v>5.42</v>
      </c>
      <c r="P202" s="88" t="str">
        <f t="shared" si="468"/>
        <v>B1_6</v>
      </c>
      <c r="Q202" s="88">
        <f t="shared" si="527"/>
        <v>270</v>
      </c>
      <c r="R202" s="88">
        <f t="shared" si="528"/>
        <v>170</v>
      </c>
      <c r="S202" s="231" t="s">
        <v>2982</v>
      </c>
      <c r="T202" s="88" t="s">
        <v>3091</v>
      </c>
      <c r="U202" s="88">
        <f>IF(RIGHT(T202,1)="K",(VLOOKUP(T202,ma_miengiam!$A$3:$B$80,2,0)*100)/2,VLOOKUP(T202,ma_miengiam!$A$3:$B$80,2,0)*100)</f>
        <v>20</v>
      </c>
      <c r="V202" s="88"/>
      <c r="W202" s="220">
        <f>IF(AND(T202="NTS",V202&gt;0),(Q202-(Q202*V202)/12)*VLOOKUP(T202,ma_miengiam!$A$3:$B$80,2,0)+(Q202-(Q202*(12-V202))/12),IF(AND(RIGHT(T202,1)="K",V202&gt;0),(VLOOKUP(T202,ma_miengiam!$A$3:$B$80,2,0)/2)*(Q202*V202)/12,IF(RIGHT(T202,1)="K",(VLOOKUP(T202,ma_miengiam!$A$3:$B$80,2,0)*Q202)/2,IF(V202&gt;0,VLOOKUP(T202,ma_miengiam!$A$3:$B$80,2,0)*Q202*V202/12,VLOOKUP(T202,ma_miengiam!$A$3:$B$80,2,0)*Q202))))</f>
        <v>54</v>
      </c>
      <c r="X202" s="220">
        <f>IF(T202="NTS",VLOOKUP(T202,ma_miengiam!$A$3:$B$80,2,0)*R202*V202,IF(AND(T202="NTS",V202=0),0,IF(AND(LEFT(T202,1)="K",V202=0),VLOOKUP(T202,ma_miengiam!$A$3:$B$80,2,0)*R202,IF(LEFT(T202,1)="K",(VLOOKUP(T202,ma_miengiam!$A$3:$B$80,2,0)*R202/12)*V202,IF(AND(LEFT(T202,1)="S",V202&gt;0),(R202/12)*V202,IF(AND(LEFT(T202,1)="S",V202=0),R202,IF(T202="DH",VLOOKUP(T202,ma_miengiam!$A$3:$B$80,2,0)*R202,0)))))))</f>
        <v>0</v>
      </c>
      <c r="Y202" s="220">
        <f t="shared" si="597"/>
        <v>216</v>
      </c>
      <c r="Z202" s="220">
        <f t="shared" si="609"/>
        <v>170</v>
      </c>
      <c r="AA202" s="220">
        <f t="shared" si="605"/>
        <v>270</v>
      </c>
      <c r="AB202" s="220">
        <f t="shared" si="605"/>
        <v>170</v>
      </c>
      <c r="AC202" s="220">
        <f t="shared" si="610"/>
        <v>54</v>
      </c>
      <c r="AD202" s="220">
        <f t="shared" si="610"/>
        <v>0</v>
      </c>
      <c r="AE202" s="220">
        <f t="shared" si="610"/>
        <v>216</v>
      </c>
      <c r="AF202" s="220">
        <f t="shared" si="610"/>
        <v>170</v>
      </c>
      <c r="AG202" s="220">
        <f>AH202+AI202</f>
        <v>251.93</v>
      </c>
      <c r="AH202" s="220">
        <f>EO202</f>
        <v>101.52</v>
      </c>
      <c r="AI202" s="220">
        <f>EN202</f>
        <v>150.41</v>
      </c>
      <c r="AJ202" s="220">
        <f t="shared" si="513"/>
        <v>0</v>
      </c>
      <c r="AK202" s="216">
        <f t="shared" si="604"/>
        <v>216</v>
      </c>
      <c r="AL202" s="220">
        <f t="shared" si="611"/>
        <v>213.1</v>
      </c>
      <c r="AM202" s="220">
        <f t="shared" si="612"/>
        <v>0</v>
      </c>
      <c r="AN202" s="221">
        <f t="shared" si="613"/>
        <v>213.1</v>
      </c>
      <c r="AO202" s="220">
        <f t="shared" si="614"/>
        <v>0</v>
      </c>
      <c r="AP202" s="220">
        <f t="shared" si="615"/>
        <v>0</v>
      </c>
      <c r="AQ202" s="220">
        <f t="shared" si="616"/>
        <v>220</v>
      </c>
      <c r="AR202" s="220">
        <f t="shared" si="617"/>
        <v>0</v>
      </c>
      <c r="AS202" s="220">
        <f t="shared" si="618"/>
        <v>0</v>
      </c>
      <c r="AT202" s="216">
        <f t="shared" si="619"/>
        <v>433.1</v>
      </c>
      <c r="AU202" s="222">
        <f t="shared" si="574"/>
        <v>-2.9000000000000057</v>
      </c>
      <c r="AV202" s="220"/>
      <c r="AW202" s="220">
        <f t="shared" si="532"/>
        <v>-2.9000000000000057</v>
      </c>
      <c r="AX202" s="216">
        <f t="shared" si="620"/>
        <v>-2.9000000000000057</v>
      </c>
      <c r="AY202" s="220">
        <f t="shared" si="539"/>
        <v>0</v>
      </c>
      <c r="AZ202" s="220">
        <f t="shared" si="540"/>
        <v>0</v>
      </c>
      <c r="BA202" s="220">
        <f t="shared" si="541"/>
        <v>217.10000000000002</v>
      </c>
      <c r="BB202" s="220">
        <f t="shared" si="542"/>
        <v>0</v>
      </c>
      <c r="BC202" s="220">
        <f t="shared" si="543"/>
        <v>0</v>
      </c>
      <c r="BD202" s="216">
        <f t="shared" si="575"/>
        <v>217.10000000000002</v>
      </c>
      <c r="BE202" s="220">
        <f t="shared" si="533"/>
        <v>0</v>
      </c>
      <c r="BF202" s="220">
        <f t="shared" si="534"/>
        <v>0</v>
      </c>
      <c r="BG202" s="220">
        <f t="shared" si="535"/>
        <v>-2.8999999999999773</v>
      </c>
      <c r="BH202" s="220">
        <f t="shared" si="536"/>
        <v>0</v>
      </c>
      <c r="BI202" s="220">
        <f t="shared" si="537"/>
        <v>0</v>
      </c>
      <c r="BJ202" s="220" t="s">
        <v>2549</v>
      </c>
      <c r="BK202" s="220"/>
      <c r="BL202" s="223">
        <f t="shared" si="582"/>
        <v>0</v>
      </c>
      <c r="BM202" s="220">
        <v>5.42</v>
      </c>
      <c r="BN202" s="220"/>
      <c r="BO202" s="220">
        <f t="shared" ref="BO202:BO208" si="625">ROUND(BM202+(BM202*BN202),2)</f>
        <v>5.42</v>
      </c>
      <c r="BP202" s="220">
        <f>IF(AND(BL202&gt;0,BL202&lt;tiet!$D$1),BL202,IF(BL202&lt;=0,0,IF(BL202&gt;tiet!$C$1,tiet!$C$1)))</f>
        <v>0</v>
      </c>
      <c r="BQ202" s="87">
        <f t="shared" si="509"/>
        <v>75000</v>
      </c>
      <c r="BR202" s="224">
        <f t="shared" si="510"/>
        <v>0</v>
      </c>
      <c r="BS202" s="220">
        <f t="shared" si="434"/>
        <v>0</v>
      </c>
      <c r="BT202" s="224">
        <f>VLOOKUP(N202,ma_dinhmuc!$A$1:$J$31,10,0)</f>
        <v>55000</v>
      </c>
      <c r="BU202" s="224">
        <f>ROUND(IF(BS202&gt;0,VLOOKUP(N202,ma_dinhmuc!$A$1:$J$31,10,0)*BS202,0),0)</f>
        <v>0</v>
      </c>
      <c r="BV202" s="224">
        <f t="shared" si="511"/>
        <v>0</v>
      </c>
      <c r="BW202" s="224"/>
      <c r="BX202" s="224">
        <v>0</v>
      </c>
      <c r="BY202" s="224"/>
      <c r="BZ202" s="224"/>
      <c r="CA202" s="224"/>
      <c r="CB202" s="224"/>
      <c r="CC202" s="225">
        <f t="shared" si="544"/>
        <v>0</v>
      </c>
      <c r="CD202" s="224">
        <f t="shared" si="545"/>
        <v>0</v>
      </c>
      <c r="CE202" s="224"/>
      <c r="CF202" s="226"/>
      <c r="CG202" s="87"/>
      <c r="CH202" s="87">
        <f t="shared" si="596"/>
        <v>7</v>
      </c>
      <c r="CI202" s="227" t="str">
        <f t="shared" si="599"/>
        <v>Ngô Trí</v>
      </c>
      <c r="CJ202" s="227" t="str">
        <f t="shared" ref="CJ202:CJ213" si="626">G202</f>
        <v>Dương</v>
      </c>
      <c r="CK202" s="87">
        <f t="shared" ref="CK202:CK213" si="627">H202</f>
        <v>4</v>
      </c>
      <c r="CL202" s="227" t="str">
        <f t="shared" si="600"/>
        <v>Tự động hóa</v>
      </c>
      <c r="CM202" s="87" t="str">
        <f t="shared" si="538"/>
        <v>CS3</v>
      </c>
      <c r="CN202" s="87">
        <f t="shared" si="621"/>
        <v>270</v>
      </c>
      <c r="CO202" s="87">
        <f t="shared" si="621"/>
        <v>170</v>
      </c>
      <c r="CP202" s="229">
        <f t="shared" si="444"/>
        <v>0</v>
      </c>
      <c r="CQ202" s="229">
        <f t="shared" si="445"/>
        <v>21.1</v>
      </c>
      <c r="CR202" s="229">
        <f t="shared" si="446"/>
        <v>6</v>
      </c>
      <c r="CS202" s="229">
        <f t="shared" si="447"/>
        <v>51</v>
      </c>
      <c r="CT202" s="229">
        <f t="shared" si="448"/>
        <v>0</v>
      </c>
      <c r="CU202" s="229">
        <f t="shared" si="449"/>
        <v>135</v>
      </c>
      <c r="CV202" s="229">
        <f t="shared" si="450"/>
        <v>0</v>
      </c>
      <c r="CW202" s="229">
        <f t="shared" si="451"/>
        <v>0</v>
      </c>
      <c r="CX202" s="229">
        <f t="shared" si="452"/>
        <v>0</v>
      </c>
      <c r="CY202" s="229">
        <f t="shared" si="453"/>
        <v>0</v>
      </c>
      <c r="CZ202" s="229">
        <f t="shared" si="454"/>
        <v>0</v>
      </c>
      <c r="DA202" s="229">
        <f t="shared" si="455"/>
        <v>220</v>
      </c>
      <c r="DB202" s="228">
        <f t="shared" si="606"/>
        <v>433.1</v>
      </c>
      <c r="DC202" s="229"/>
      <c r="DD202" s="229"/>
      <c r="DE202" s="229"/>
      <c r="DF202" s="229"/>
      <c r="DG202" s="229"/>
      <c r="DH202" s="229"/>
      <c r="DI202" s="229"/>
      <c r="DJ202" s="229"/>
      <c r="DK202" s="229"/>
      <c r="DL202" s="229"/>
      <c r="DM202" s="229"/>
      <c r="DN202" s="229"/>
      <c r="DO202" s="228">
        <f t="shared" si="622"/>
        <v>0</v>
      </c>
      <c r="DP202" s="228">
        <f t="shared" si="623"/>
        <v>433.1</v>
      </c>
      <c r="DQ202" s="229">
        <f t="shared" si="456"/>
        <v>0</v>
      </c>
      <c r="DR202" s="229">
        <f t="shared" si="457"/>
        <v>0</v>
      </c>
      <c r="DS202" s="229">
        <f t="shared" si="458"/>
        <v>0</v>
      </c>
      <c r="DT202" s="229">
        <f t="shared" si="459"/>
        <v>0</v>
      </c>
      <c r="DU202" s="229">
        <f t="shared" si="460"/>
        <v>0</v>
      </c>
      <c r="DV202" s="229">
        <f t="shared" si="461"/>
        <v>0</v>
      </c>
      <c r="DW202" s="229">
        <f t="shared" si="462"/>
        <v>0</v>
      </c>
      <c r="DX202" s="228">
        <f t="shared" si="607"/>
        <v>0</v>
      </c>
      <c r="DY202" s="229"/>
      <c r="DZ202" s="229"/>
      <c r="EA202" s="229"/>
      <c r="EB202" s="229"/>
      <c r="EC202" s="229"/>
      <c r="ED202" s="229"/>
      <c r="EE202" s="229"/>
      <c r="EF202" s="228">
        <f t="shared" si="438"/>
        <v>0</v>
      </c>
      <c r="EG202" s="228">
        <f t="shared" si="624"/>
        <v>0</v>
      </c>
      <c r="EH202" s="229">
        <f t="shared" si="440"/>
        <v>150.41</v>
      </c>
      <c r="EI202" s="229">
        <v>101.52</v>
      </c>
      <c r="EJ202" s="228">
        <f t="shared" si="602"/>
        <v>251.93</v>
      </c>
      <c r="EK202" s="229"/>
      <c r="EL202" s="229"/>
      <c r="EM202" s="228">
        <f t="shared" si="603"/>
        <v>0</v>
      </c>
      <c r="EN202" s="229">
        <f t="shared" si="576"/>
        <v>150.41</v>
      </c>
      <c r="EO202" s="229">
        <f t="shared" si="577"/>
        <v>101.52</v>
      </c>
      <c r="EP202" s="228">
        <f t="shared" si="590"/>
        <v>251.93</v>
      </c>
      <c r="EQ202" s="173">
        <f t="shared" si="441"/>
        <v>0</v>
      </c>
      <c r="ER202" s="189">
        <v>0</v>
      </c>
      <c r="ES202" s="189">
        <v>21.1</v>
      </c>
      <c r="ET202" s="189">
        <v>6</v>
      </c>
      <c r="EU202" s="189">
        <v>51</v>
      </c>
      <c r="EV202" s="189">
        <v>0</v>
      </c>
      <c r="EW202" s="189">
        <v>135</v>
      </c>
      <c r="EX202" s="189">
        <v>0</v>
      </c>
      <c r="EY202" s="189">
        <v>0</v>
      </c>
      <c r="EZ202" s="189">
        <v>0</v>
      </c>
      <c r="FA202" s="189">
        <v>0</v>
      </c>
      <c r="FB202" s="189">
        <v>0</v>
      </c>
      <c r="FC202" s="189">
        <v>220</v>
      </c>
      <c r="FD202" s="189">
        <v>0</v>
      </c>
      <c r="FE202" s="189">
        <v>0</v>
      </c>
      <c r="FF202" s="189">
        <v>0</v>
      </c>
      <c r="FG202" s="189">
        <v>0</v>
      </c>
      <c r="FH202" s="189">
        <v>0</v>
      </c>
      <c r="FI202" s="189">
        <v>0</v>
      </c>
      <c r="FJ202" s="189">
        <v>0</v>
      </c>
      <c r="FK202" s="189">
        <v>433.1</v>
      </c>
      <c r="FL202" s="189">
        <v>399</v>
      </c>
      <c r="FN202" s="132">
        <v>150.41</v>
      </c>
    </row>
    <row r="203" spans="1:170" ht="30" customHeight="1">
      <c r="A203" s="88">
        <f>COUNTIF($H$12:H203,H203)</f>
        <v>8</v>
      </c>
      <c r="B203" s="88" t="s">
        <v>505</v>
      </c>
      <c r="C203" s="88" t="s">
        <v>2510</v>
      </c>
      <c r="D203" s="88"/>
      <c r="E203" s="88"/>
      <c r="F203" s="301" t="s">
        <v>3201</v>
      </c>
      <c r="G203" s="303" t="s">
        <v>2833</v>
      </c>
      <c r="H203" s="88">
        <v>4</v>
      </c>
      <c r="I203" s="88">
        <v>4</v>
      </c>
      <c r="J203" s="88">
        <v>4</v>
      </c>
      <c r="K203" s="90" t="s">
        <v>1066</v>
      </c>
      <c r="L203" s="90" t="s">
        <v>1066</v>
      </c>
      <c r="M203" s="214"/>
      <c r="N203" s="88" t="s">
        <v>1804</v>
      </c>
      <c r="O203" s="216">
        <f t="shared" si="608"/>
        <v>3.66</v>
      </c>
      <c r="P203" s="88" t="str">
        <f t="shared" si="468"/>
        <v>B1_4</v>
      </c>
      <c r="Q203" s="88">
        <f t="shared" si="527"/>
        <v>270</v>
      </c>
      <c r="R203" s="88">
        <f t="shared" si="528"/>
        <v>120</v>
      </c>
      <c r="S203" s="231" t="s">
        <v>3135</v>
      </c>
      <c r="T203" s="88" t="s">
        <v>3088</v>
      </c>
      <c r="U203" s="88">
        <f>IF(RIGHT(T203,1)="K",(VLOOKUP(T203,ma_miengiam!$A$3:$B$80,2,0)*100)/2,VLOOKUP(T203,ma_miengiam!$A$3:$B$80,2,0)*100)</f>
        <v>0</v>
      </c>
      <c r="V203" s="88"/>
      <c r="W203" s="220">
        <f>IF(AND(T203="NTS",V203&gt;0),(Q203-(Q203*V203)/12)*VLOOKUP(T203,ma_miengiam!$A$3:$B$80,2,0)+(Q203-(Q203*(12-V203))/12),IF(AND(RIGHT(T203,1)="K",V203&gt;0),(VLOOKUP(T203,ma_miengiam!$A$3:$B$80,2,0)/2)*(Q203*V203)/12,IF(RIGHT(T203,1)="K",(VLOOKUP(T203,ma_miengiam!$A$3:$B$80,2,0)*Q203)/2,IF(V203&gt;0,VLOOKUP(T203,ma_miengiam!$A$3:$B$80,2,0)*Q203*V203/12,VLOOKUP(T203,ma_miengiam!$A$3:$B$80,2,0)*Q203))))</f>
        <v>0</v>
      </c>
      <c r="X203" s="220">
        <f>IF(T203="NTS",VLOOKUP(T203,ma_miengiam!$A$3:$B$80,2,0)*R203*V203,IF(AND(T203="NTS",V203=0),0,IF(AND(LEFT(T203,1)="K",V203=0),VLOOKUP(T203,ma_miengiam!$A$3:$B$80,2,0)*R203,IF(LEFT(T203,1)="K",(VLOOKUP(T203,ma_miengiam!$A$3:$B$80,2,0)*R203/12)*V203,IF(AND(LEFT(T203,1)="S",V203&gt;0),(R203/12)*V203,IF(AND(LEFT(T203,1)="S",V203=0),R203,IF(T203="DH",VLOOKUP(T203,ma_miengiam!$A$3:$B$80,2,0)*R203,0)))))))</f>
        <v>0</v>
      </c>
      <c r="Y203" s="220">
        <f t="shared" si="597"/>
        <v>270</v>
      </c>
      <c r="Z203" s="220">
        <f t="shared" si="609"/>
        <v>120</v>
      </c>
      <c r="AA203" s="220">
        <f t="shared" ref="AA203:AB205" si="628">Q203</f>
        <v>270</v>
      </c>
      <c r="AB203" s="220">
        <f t="shared" si="628"/>
        <v>120</v>
      </c>
      <c r="AC203" s="220">
        <f>W203</f>
        <v>0</v>
      </c>
      <c r="AD203" s="220">
        <f>X203</f>
        <v>0</v>
      </c>
      <c r="AE203" s="220">
        <f>Y203</f>
        <v>270</v>
      </c>
      <c r="AF203" s="220">
        <f>Z203</f>
        <v>120</v>
      </c>
      <c r="AG203" s="220">
        <f>AH203+AI203</f>
        <v>371.24</v>
      </c>
      <c r="AH203" s="220">
        <f>EO203</f>
        <v>33.75</v>
      </c>
      <c r="AI203" s="220">
        <f>EN203</f>
        <v>337.49</v>
      </c>
      <c r="AJ203" s="220">
        <f t="shared" si="513"/>
        <v>0</v>
      </c>
      <c r="AK203" s="216">
        <f t="shared" si="604"/>
        <v>270</v>
      </c>
      <c r="AL203" s="220">
        <f t="shared" si="611"/>
        <v>121.8</v>
      </c>
      <c r="AM203" s="220">
        <f t="shared" si="612"/>
        <v>0</v>
      </c>
      <c r="AN203" s="216">
        <f t="shared" si="613"/>
        <v>121.8</v>
      </c>
      <c r="AO203" s="220">
        <f t="shared" si="614"/>
        <v>0</v>
      </c>
      <c r="AP203" s="220">
        <f t="shared" si="615"/>
        <v>0</v>
      </c>
      <c r="AQ203" s="220">
        <f t="shared" si="616"/>
        <v>160</v>
      </c>
      <c r="AR203" s="220">
        <f t="shared" si="617"/>
        <v>0</v>
      </c>
      <c r="AS203" s="220">
        <f t="shared" si="618"/>
        <v>0</v>
      </c>
      <c r="AT203" s="216">
        <f t="shared" si="619"/>
        <v>281.8</v>
      </c>
      <c r="AU203" s="220">
        <f t="shared" si="574"/>
        <v>-148.19999999999999</v>
      </c>
      <c r="AV203" s="220"/>
      <c r="AW203" s="220">
        <f t="shared" si="532"/>
        <v>-148.19999999999999</v>
      </c>
      <c r="AX203" s="216">
        <f t="shared" si="620"/>
        <v>-148.19999999999999</v>
      </c>
      <c r="AY203" s="220">
        <f t="shared" si="539"/>
        <v>0</v>
      </c>
      <c r="AZ203" s="220">
        <f t="shared" si="540"/>
        <v>0</v>
      </c>
      <c r="BA203" s="220">
        <f t="shared" si="541"/>
        <v>11.800000000000011</v>
      </c>
      <c r="BB203" s="220">
        <f t="shared" si="542"/>
        <v>0</v>
      </c>
      <c r="BC203" s="220">
        <f t="shared" si="543"/>
        <v>0</v>
      </c>
      <c r="BD203" s="216">
        <f t="shared" si="575"/>
        <v>11.800000000000011</v>
      </c>
      <c r="BE203" s="220">
        <f t="shared" si="533"/>
        <v>0</v>
      </c>
      <c r="BF203" s="220">
        <f t="shared" si="534"/>
        <v>0</v>
      </c>
      <c r="BG203" s="220">
        <f t="shared" si="535"/>
        <v>-148.19999999999999</v>
      </c>
      <c r="BH203" s="220">
        <f t="shared" si="536"/>
        <v>0</v>
      </c>
      <c r="BI203" s="220">
        <f t="shared" si="537"/>
        <v>0</v>
      </c>
      <c r="BJ203" s="220" t="s">
        <v>2549</v>
      </c>
      <c r="BK203" s="220"/>
      <c r="BL203" s="223">
        <f t="shared" si="582"/>
        <v>0</v>
      </c>
      <c r="BM203" s="220">
        <v>3.66</v>
      </c>
      <c r="BN203" s="220"/>
      <c r="BO203" s="220">
        <f t="shared" si="625"/>
        <v>3.66</v>
      </c>
      <c r="BP203" s="220">
        <f>IF(AND(BL203&gt;0,BL203&lt;tiet!$D$1),BL203,IF(BL203&lt;=0,0,IF(BL203&gt;tiet!$C$1,tiet!$C$1)))</f>
        <v>0</v>
      </c>
      <c r="BQ203" s="87">
        <f t="shared" si="509"/>
        <v>65000</v>
      </c>
      <c r="BR203" s="224">
        <f t="shared" si="510"/>
        <v>0</v>
      </c>
      <c r="BS203" s="220">
        <f t="shared" si="434"/>
        <v>0</v>
      </c>
      <c r="BT203" s="224">
        <f>VLOOKUP(N203,ma_dinhmuc!$A$1:$J$31,10,0)</f>
        <v>51000</v>
      </c>
      <c r="BU203" s="224">
        <f>ROUND(IF(BS203&gt;0,VLOOKUP(N203,ma_dinhmuc!$A$1:$J$31,10,0)*BS203,0),0)</f>
        <v>0</v>
      </c>
      <c r="BV203" s="224">
        <f t="shared" si="511"/>
        <v>0</v>
      </c>
      <c r="BW203" s="224"/>
      <c r="BX203" s="224">
        <v>0</v>
      </c>
      <c r="BY203" s="224"/>
      <c r="BZ203" s="224"/>
      <c r="CA203" s="224"/>
      <c r="CB203" s="224"/>
      <c r="CC203" s="225">
        <f t="shared" si="544"/>
        <v>0</v>
      </c>
      <c r="CD203" s="224">
        <f t="shared" si="545"/>
        <v>0</v>
      </c>
      <c r="CE203" s="224"/>
      <c r="CF203" s="226"/>
      <c r="CG203" s="87"/>
      <c r="CH203" s="87">
        <f t="shared" si="596"/>
        <v>8</v>
      </c>
      <c r="CI203" s="227" t="str">
        <f t="shared" si="599"/>
        <v>Nguyễn Thái</v>
      </c>
      <c r="CJ203" s="227" t="str">
        <f t="shared" si="626"/>
        <v>Học</v>
      </c>
      <c r="CK203" s="87">
        <f t="shared" si="627"/>
        <v>4</v>
      </c>
      <c r="CL203" s="227" t="str">
        <f t="shared" si="600"/>
        <v>Tự động hóa</v>
      </c>
      <c r="CM203" s="87" t="str">
        <f t="shared" si="538"/>
        <v>CS2</v>
      </c>
      <c r="CN203" s="87">
        <f t="shared" si="621"/>
        <v>270</v>
      </c>
      <c r="CO203" s="87">
        <f t="shared" si="621"/>
        <v>120</v>
      </c>
      <c r="CP203" s="229">
        <f t="shared" si="444"/>
        <v>0</v>
      </c>
      <c r="CQ203" s="229">
        <f t="shared" si="445"/>
        <v>11.5</v>
      </c>
      <c r="CR203" s="229">
        <f t="shared" si="446"/>
        <v>4.7</v>
      </c>
      <c r="CS203" s="229">
        <f t="shared" si="447"/>
        <v>12</v>
      </c>
      <c r="CT203" s="229">
        <f t="shared" si="448"/>
        <v>0</v>
      </c>
      <c r="CU203" s="229">
        <f t="shared" si="449"/>
        <v>45.6</v>
      </c>
      <c r="CV203" s="229">
        <f t="shared" si="450"/>
        <v>0</v>
      </c>
      <c r="CW203" s="229">
        <f t="shared" si="451"/>
        <v>48</v>
      </c>
      <c r="CX203" s="229">
        <f t="shared" si="452"/>
        <v>0</v>
      </c>
      <c r="CY203" s="229">
        <f t="shared" si="453"/>
        <v>0</v>
      </c>
      <c r="CZ203" s="229">
        <f t="shared" si="454"/>
        <v>0</v>
      </c>
      <c r="DA203" s="229">
        <f t="shared" si="455"/>
        <v>160</v>
      </c>
      <c r="DB203" s="228">
        <f t="shared" si="606"/>
        <v>281.8</v>
      </c>
      <c r="DC203" s="229"/>
      <c r="DD203" s="229"/>
      <c r="DE203" s="229"/>
      <c r="DF203" s="229"/>
      <c r="DG203" s="229"/>
      <c r="DH203" s="229"/>
      <c r="DI203" s="229"/>
      <c r="DJ203" s="229"/>
      <c r="DK203" s="229"/>
      <c r="DL203" s="229"/>
      <c r="DM203" s="229"/>
      <c r="DN203" s="229"/>
      <c r="DO203" s="228">
        <f t="shared" si="622"/>
        <v>0</v>
      </c>
      <c r="DP203" s="228">
        <f t="shared" si="623"/>
        <v>281.8</v>
      </c>
      <c r="DQ203" s="229">
        <f t="shared" si="456"/>
        <v>0</v>
      </c>
      <c r="DR203" s="229">
        <f t="shared" si="457"/>
        <v>0</v>
      </c>
      <c r="DS203" s="229">
        <f t="shared" si="458"/>
        <v>0</v>
      </c>
      <c r="DT203" s="229">
        <f t="shared" si="459"/>
        <v>0</v>
      </c>
      <c r="DU203" s="229">
        <f t="shared" si="460"/>
        <v>0</v>
      </c>
      <c r="DV203" s="229">
        <f t="shared" si="461"/>
        <v>0</v>
      </c>
      <c r="DW203" s="229">
        <f t="shared" si="462"/>
        <v>0</v>
      </c>
      <c r="DX203" s="228">
        <f t="shared" si="607"/>
        <v>0</v>
      </c>
      <c r="DY203" s="229"/>
      <c r="DZ203" s="229"/>
      <c r="EA203" s="229"/>
      <c r="EB203" s="229"/>
      <c r="EC203" s="229"/>
      <c r="ED203" s="229"/>
      <c r="EE203" s="229"/>
      <c r="EF203" s="228">
        <f t="shared" si="438"/>
        <v>0</v>
      </c>
      <c r="EG203" s="228">
        <f t="shared" si="624"/>
        <v>0</v>
      </c>
      <c r="EH203" s="229">
        <f t="shared" si="440"/>
        <v>337.49</v>
      </c>
      <c r="EI203" s="229">
        <v>33.75</v>
      </c>
      <c r="EJ203" s="228">
        <f t="shared" si="602"/>
        <v>371.24</v>
      </c>
      <c r="EK203" s="229"/>
      <c r="EL203" s="229"/>
      <c r="EM203" s="228">
        <f t="shared" si="603"/>
        <v>0</v>
      </c>
      <c r="EN203" s="229">
        <f t="shared" si="576"/>
        <v>337.49</v>
      </c>
      <c r="EO203" s="229">
        <f t="shared" si="577"/>
        <v>33.75</v>
      </c>
      <c r="EP203" s="228">
        <f t="shared" si="590"/>
        <v>371.24</v>
      </c>
      <c r="EQ203" s="173">
        <f t="shared" si="441"/>
        <v>217.49</v>
      </c>
      <c r="ER203" s="189">
        <v>0</v>
      </c>
      <c r="ES203" s="189">
        <v>11.5</v>
      </c>
      <c r="ET203" s="189">
        <v>4.7</v>
      </c>
      <c r="EU203" s="189">
        <v>12</v>
      </c>
      <c r="EV203" s="189">
        <v>0</v>
      </c>
      <c r="EW203" s="189">
        <v>45.6</v>
      </c>
      <c r="EX203" s="189">
        <v>0</v>
      </c>
      <c r="EY203" s="189">
        <v>48</v>
      </c>
      <c r="EZ203" s="189">
        <v>0</v>
      </c>
      <c r="FA203" s="189">
        <v>0</v>
      </c>
      <c r="FB203" s="189">
        <v>0</v>
      </c>
      <c r="FC203" s="189">
        <v>160</v>
      </c>
      <c r="FD203" s="189">
        <v>0</v>
      </c>
      <c r="FE203" s="189">
        <v>0</v>
      </c>
      <c r="FF203" s="189">
        <v>0</v>
      </c>
      <c r="FG203" s="189">
        <v>0</v>
      </c>
      <c r="FH203" s="189">
        <v>0</v>
      </c>
      <c r="FI203" s="189">
        <v>0</v>
      </c>
      <c r="FJ203" s="189">
        <v>0</v>
      </c>
      <c r="FK203" s="189">
        <v>281.8</v>
      </c>
      <c r="FL203" s="189">
        <v>260</v>
      </c>
      <c r="FN203" s="132">
        <v>337.49</v>
      </c>
    </row>
    <row r="204" spans="1:170" ht="30" customHeight="1">
      <c r="A204" s="88">
        <f>COUNTIF($H$12:H208,H204)</f>
        <v>13</v>
      </c>
      <c r="B204" s="88" t="s">
        <v>506</v>
      </c>
      <c r="C204" s="88" t="s">
        <v>2511</v>
      </c>
      <c r="D204" s="88"/>
      <c r="E204" s="88"/>
      <c r="F204" s="301" t="s">
        <v>2895</v>
      </c>
      <c r="G204" s="89" t="s">
        <v>1879</v>
      </c>
      <c r="H204" s="88">
        <v>4</v>
      </c>
      <c r="I204" s="88">
        <v>4</v>
      </c>
      <c r="J204" s="88">
        <v>4</v>
      </c>
      <c r="K204" s="90" t="s">
        <v>1066</v>
      </c>
      <c r="L204" s="90" t="s">
        <v>1066</v>
      </c>
      <c r="M204" s="214"/>
      <c r="N204" s="88" t="s">
        <v>1804</v>
      </c>
      <c r="O204" s="216">
        <f t="shared" si="608"/>
        <v>2.67</v>
      </c>
      <c r="P204" s="88" t="str">
        <f t="shared" si="468"/>
        <v>B1_3</v>
      </c>
      <c r="Q204" s="88">
        <f t="shared" si="527"/>
        <v>270</v>
      </c>
      <c r="R204" s="88">
        <f t="shared" si="528"/>
        <v>100</v>
      </c>
      <c r="S204" s="218" t="s">
        <v>2007</v>
      </c>
      <c r="T204" s="88" t="s">
        <v>3095</v>
      </c>
      <c r="U204" s="88">
        <f>IF(RIGHT(T204,1)="K",(VLOOKUP(T204,ma_miengiam!$A$3:$B$80,2,0)*100)/2,VLOOKUP(T204,ma_miengiam!$A$3:$B$80,2,0)*100)</f>
        <v>40</v>
      </c>
      <c r="V204" s="88"/>
      <c r="W204" s="220">
        <f>IF(AND(T204="NTS",V204&gt;0),(Q204-(Q204*V204)/12)*VLOOKUP(T204,ma_miengiam!$A$3:$B$80,2,0)+(Q204-(Q204*(12-V204))/12),IF(AND(RIGHT(T204,1)="K",V204&gt;0),(VLOOKUP(T204,ma_miengiam!$A$3:$B$80,2,0)/2)*(Q204*V204)/12,IF(RIGHT(T204,1)="K",(VLOOKUP(T204,ma_miengiam!$A$3:$B$80,2,0)*Q204)/2,IF(V204&gt;0,VLOOKUP(T204,ma_miengiam!$A$3:$B$80,2,0)*Q204*V204/12,VLOOKUP(T204,ma_miengiam!$A$3:$B$80,2,0)*Q204))))</f>
        <v>108</v>
      </c>
      <c r="X204" s="220">
        <f>IF(T204="NTS",VLOOKUP(T204,ma_miengiam!$A$3:$B$80,2,0)*R204*V204,IF(AND(T204="NTS",V204=0),0,IF(AND(LEFT(T204,1)="K",V204=0),VLOOKUP(T204,ma_miengiam!$A$3:$B$80,2,0)*R204,IF(LEFT(T204,1)="K",(VLOOKUP(T204,ma_miengiam!$A$3:$B$80,2,0)*R204/12)*V204,IF(AND(LEFT(T204,1)="S",V204&gt;0),(R204/12)*V204,IF(AND(LEFT(T204,1)="S",V204=0),R204,IF(T204="DH",VLOOKUP(T204,ma_miengiam!$A$3:$B$80,2,0)*R204,0)))))))</f>
        <v>0</v>
      </c>
      <c r="Y204" s="220">
        <f>IF(AND(T204="DH",V204&gt;0),(S204*V204/12),IF(AND(T204&lt;&gt;"NTS",V204&gt;0),(Q204*V204/12)-W204,IF(AND(T204="NTS",V204&gt;0),Q204-W204,Q204-W204)))</f>
        <v>162</v>
      </c>
      <c r="Z204" s="220">
        <f>IF(AND(T204="SĐH",V204&gt;0),(R204/12)*V204-X204,IF(AND(T204="DH",V204&gt;0),(R204*V204/12),IF(AND(T204&lt;&gt;"NTS",V204&gt;0),(R204*V204/12)-X204,IF(AND(T204="NTS",V204&gt;0),R204-X204,R204-X204))))</f>
        <v>100</v>
      </c>
      <c r="AA204" s="220">
        <f t="shared" si="628"/>
        <v>270</v>
      </c>
      <c r="AB204" s="220">
        <f t="shared" si="628"/>
        <v>100</v>
      </c>
      <c r="AC204" s="220">
        <f t="shared" ref="AC204:AF205" si="629">W204</f>
        <v>108</v>
      </c>
      <c r="AD204" s="220">
        <f t="shared" si="629"/>
        <v>0</v>
      </c>
      <c r="AE204" s="220">
        <f t="shared" si="629"/>
        <v>162</v>
      </c>
      <c r="AF204" s="220">
        <f t="shared" si="629"/>
        <v>100</v>
      </c>
      <c r="AG204" s="220">
        <f>AH204+AI204</f>
        <v>148.47</v>
      </c>
      <c r="AH204" s="220">
        <f>EO204</f>
        <v>59.72</v>
      </c>
      <c r="AI204" s="220">
        <f>EN204</f>
        <v>88.75</v>
      </c>
      <c r="AJ204" s="220">
        <f>IF(AG204-Z204&gt;0,0,AG204-Z204)</f>
        <v>0</v>
      </c>
      <c r="AK204" s="216">
        <f t="shared" si="604"/>
        <v>162</v>
      </c>
      <c r="AL204" s="220">
        <f>SUM(CP204:CX204)+SUM(DC204:DK204)</f>
        <v>138.9</v>
      </c>
      <c r="AM204" s="220">
        <f>SUM(DQ204:DU204)+SUM(DY204:EC204)</f>
        <v>0</v>
      </c>
      <c r="AN204" s="221">
        <f>AM204+AL204</f>
        <v>138.9</v>
      </c>
      <c r="AO204" s="220">
        <f>CY204+DL204</f>
        <v>0</v>
      </c>
      <c r="AP204" s="220">
        <f>CZ204+DM204</f>
        <v>15</v>
      </c>
      <c r="AQ204" s="220">
        <f>DA204+DN204</f>
        <v>100</v>
      </c>
      <c r="AR204" s="220">
        <f>DV204+ED204</f>
        <v>0</v>
      </c>
      <c r="AS204" s="220">
        <f>DW204+EE204</f>
        <v>0</v>
      </c>
      <c r="AT204" s="216">
        <f>AN204+SUM(AO204:AS204)</f>
        <v>253.9</v>
      </c>
      <c r="AU204" s="222">
        <f>AN204-AK204</f>
        <v>-23.099999999999994</v>
      </c>
      <c r="AV204" s="220"/>
      <c r="AW204" s="220">
        <f>IF(AU204&gt;0,AU204,AV204+AU204)</f>
        <v>-23.099999999999994</v>
      </c>
      <c r="AX204" s="216">
        <f t="shared" si="620"/>
        <v>-23.099999999999994</v>
      </c>
      <c r="AY204" s="220">
        <f>IF(AN204&gt;=AK204,AO204,IF(AN204+AO204-AK204&gt;=0,AN204+AO204-AK204,0))</f>
        <v>0</v>
      </c>
      <c r="AZ204" s="220">
        <f>IF(OR(AN204&gt;=AK204,AN204+AO204&gt;=AK204),AP204,IF(AN204+AO204+AP204&gt;AK204,AN204+AO204+AP204-AK204,0))</f>
        <v>0</v>
      </c>
      <c r="BA204" s="220">
        <f>IF(OR(AN204&gt;=AK204,AN204+AO204&gt;=AK204,AN204+AO204+AP204&gt;=AK204),AQ204,IF(AN204+AO204+AP204+AQ204&gt;=AK204,AN204+AO204+AP204+AQ204-AK204,0))</f>
        <v>91.9</v>
      </c>
      <c r="BB204" s="220">
        <f>IF(OR(AN204&gt;=AK204,AN204+AO204&gt;=AK204,AN204+AO204+AP204&gt;=AK204,AN204+AO204+AP204+AQ204&gt;=AK204),AR204,IF(AN204+AO204+AP204+AQ204+AR204&gt;=AK204,AN204+AO204+AP204+AQ204+AR204-AK204,0))</f>
        <v>0</v>
      </c>
      <c r="BC204" s="220">
        <f>IF(OR(AN204&gt;=AK204,AN204+AO204&gt;=AK204,AN204+AO204+AP204&gt;=AK204,AN204+AO204+AP204+AQ204&gt;=AK204,AN204+AO204+AP204+AQ204+AR204&gt;=AK204),AS204,IF(AN204+AO204+AP204+AQ204+AR204+AS204&gt;=AK204,AN204+AO204+AP204+AQ204+AR204+AS204-AK204,0))</f>
        <v>0</v>
      </c>
      <c r="BD204" s="216">
        <f t="shared" si="575"/>
        <v>91.9</v>
      </c>
      <c r="BE204" s="220">
        <f>AY204-AO204</f>
        <v>0</v>
      </c>
      <c r="BF204" s="220">
        <f>AZ204-AP204</f>
        <v>-15</v>
      </c>
      <c r="BG204" s="220">
        <f>BA204-AQ204</f>
        <v>-8.0999999999999943</v>
      </c>
      <c r="BH204" s="220">
        <f>BB204-AR204</f>
        <v>0</v>
      </c>
      <c r="BI204" s="220">
        <f>BC204-AS204</f>
        <v>0</v>
      </c>
      <c r="BJ204" s="220" t="s">
        <v>2549</v>
      </c>
      <c r="BK204" s="220"/>
      <c r="BL204" s="223">
        <f t="shared" si="582"/>
        <v>0</v>
      </c>
      <c r="BM204" s="220">
        <v>2.67</v>
      </c>
      <c r="BN204" s="220"/>
      <c r="BO204" s="220">
        <f>ROUND(BM204+(BM204*BN204),2)</f>
        <v>2.67</v>
      </c>
      <c r="BP204" s="220">
        <f>IF(AND(BL204&gt;0,BL204&lt;tiet!$D$1),BL204,IF(BL204&lt;=0,0,IF(BL204&gt;tiet!$C$1,tiet!$C$1)))</f>
        <v>0</v>
      </c>
      <c r="BQ204" s="87">
        <f>VLOOKUP(P204,ma_dinhmuc_moi,4,0)</f>
        <v>60000</v>
      </c>
      <c r="BR204" s="224">
        <f>ROUND(BQ204*BP204,0)</f>
        <v>0</v>
      </c>
      <c r="BS204" s="220">
        <f t="shared" ref="BS204:BS267" si="630">BL204-BP204</f>
        <v>0</v>
      </c>
      <c r="BT204" s="224">
        <f>VLOOKUP(N204,ma_dinhmuc!$A$1:$J$31,10,0)</f>
        <v>51000</v>
      </c>
      <c r="BU204" s="224">
        <f>ROUND(IF(BS204&gt;0,VLOOKUP(N204,ma_dinhmuc!$A$1:$J$31,10,0)*BS204,0),0)</f>
        <v>0</v>
      </c>
      <c r="BV204" s="224">
        <f>ROUND(BU204+BR204,0)</f>
        <v>0</v>
      </c>
      <c r="BW204" s="224"/>
      <c r="BX204" s="224">
        <v>0</v>
      </c>
      <c r="BY204" s="224"/>
      <c r="BZ204" s="224"/>
      <c r="CA204" s="224"/>
      <c r="CB204" s="224"/>
      <c r="CC204" s="225">
        <f>ROUND(IF(BV204+BW204&gt;BX204+BY204+BZ204+CA204+CB204,(BW204+BV204)-(BX204+BY204+BZ204+CA204+CB204+CB204),0),0)</f>
        <v>0</v>
      </c>
      <c r="CD204" s="224">
        <f>ROUND(IF(BV204+BW204&lt;BX204+BY204+BZ204+CA204-CB204,(BX204+BY204+BZ204+CA204-CB204)-(BW204+BV204),0),0)</f>
        <v>0</v>
      </c>
      <c r="CE204" s="224"/>
      <c r="CF204" s="226"/>
      <c r="CG204" s="87"/>
      <c r="CH204" s="87">
        <f>A204</f>
        <v>13</v>
      </c>
      <c r="CI204" s="227" t="str">
        <f>F204</f>
        <v>Nguyễn Văn</v>
      </c>
      <c r="CJ204" s="227" t="str">
        <f>G204</f>
        <v>Điều</v>
      </c>
      <c r="CK204" s="87">
        <f>H204</f>
        <v>4</v>
      </c>
      <c r="CL204" s="227" t="str">
        <f>L204</f>
        <v>Tự động hóa</v>
      </c>
      <c r="CM204" s="87" t="str">
        <f>N204</f>
        <v>CS2</v>
      </c>
      <c r="CN204" s="87">
        <f>Q204</f>
        <v>270</v>
      </c>
      <c r="CO204" s="87">
        <f>R204</f>
        <v>100</v>
      </c>
      <c r="CP204" s="229">
        <f t="shared" si="444"/>
        <v>0</v>
      </c>
      <c r="CQ204" s="229">
        <f t="shared" si="445"/>
        <v>9.5</v>
      </c>
      <c r="CR204" s="229">
        <f t="shared" si="446"/>
        <v>3.8</v>
      </c>
      <c r="CS204" s="229">
        <f t="shared" si="447"/>
        <v>18</v>
      </c>
      <c r="CT204" s="229">
        <f t="shared" si="448"/>
        <v>0</v>
      </c>
      <c r="CU204" s="229">
        <f t="shared" si="449"/>
        <v>32.6</v>
      </c>
      <c r="CV204" s="229">
        <f t="shared" si="450"/>
        <v>0</v>
      </c>
      <c r="CW204" s="229">
        <f t="shared" si="451"/>
        <v>75</v>
      </c>
      <c r="CX204" s="229">
        <f t="shared" si="452"/>
        <v>0</v>
      </c>
      <c r="CY204" s="229">
        <f t="shared" si="453"/>
        <v>0</v>
      </c>
      <c r="CZ204" s="229">
        <f t="shared" si="454"/>
        <v>15</v>
      </c>
      <c r="DA204" s="229">
        <f t="shared" si="455"/>
        <v>100</v>
      </c>
      <c r="DB204" s="228">
        <f>SUM(CP204:DA204)</f>
        <v>253.9</v>
      </c>
      <c r="DC204" s="229"/>
      <c r="DD204" s="229"/>
      <c r="DE204" s="229"/>
      <c r="DF204" s="229"/>
      <c r="DG204" s="229"/>
      <c r="DH204" s="229"/>
      <c r="DI204" s="229"/>
      <c r="DJ204" s="229"/>
      <c r="DK204" s="229"/>
      <c r="DL204" s="229"/>
      <c r="DM204" s="229"/>
      <c r="DN204" s="229"/>
      <c r="DO204" s="228">
        <f>SUM(DC204:DN204)</f>
        <v>0</v>
      </c>
      <c r="DP204" s="228">
        <f>DO204+DB204</f>
        <v>253.9</v>
      </c>
      <c r="DQ204" s="229">
        <f t="shared" si="456"/>
        <v>0</v>
      </c>
      <c r="DR204" s="229">
        <f t="shared" si="457"/>
        <v>0</v>
      </c>
      <c r="DS204" s="229">
        <f t="shared" si="458"/>
        <v>0</v>
      </c>
      <c r="DT204" s="229">
        <f t="shared" si="459"/>
        <v>0</v>
      </c>
      <c r="DU204" s="229">
        <f t="shared" si="460"/>
        <v>0</v>
      </c>
      <c r="DV204" s="229">
        <f t="shared" si="461"/>
        <v>0</v>
      </c>
      <c r="DW204" s="229">
        <f t="shared" si="462"/>
        <v>0</v>
      </c>
      <c r="DX204" s="228">
        <f>SUM(DQ204:DW204)</f>
        <v>0</v>
      </c>
      <c r="DY204" s="229"/>
      <c r="DZ204" s="229"/>
      <c r="EA204" s="229"/>
      <c r="EB204" s="229"/>
      <c r="EC204" s="229"/>
      <c r="ED204" s="229"/>
      <c r="EE204" s="229"/>
      <c r="EF204" s="228">
        <f t="shared" ref="EF204:EF267" si="631">SUM(DY204:EE204)</f>
        <v>0</v>
      </c>
      <c r="EG204" s="228">
        <f>EF204+DX204</f>
        <v>0</v>
      </c>
      <c r="EH204" s="229">
        <f t="shared" ref="EH204:EH267" si="632">FN204</f>
        <v>88.75</v>
      </c>
      <c r="EI204" s="229">
        <v>59.72</v>
      </c>
      <c r="EJ204" s="228">
        <f t="shared" si="602"/>
        <v>148.47</v>
      </c>
      <c r="EK204" s="229"/>
      <c r="EL204" s="229"/>
      <c r="EM204" s="228">
        <f>SUM(EK204:EL204)</f>
        <v>0</v>
      </c>
      <c r="EN204" s="229">
        <f>EK204+EH204+EL204</f>
        <v>88.75</v>
      </c>
      <c r="EO204" s="229">
        <f>EI204</f>
        <v>59.72</v>
      </c>
      <c r="EP204" s="228">
        <f>EM204+EJ204</f>
        <v>148.47</v>
      </c>
      <c r="EQ204" s="173">
        <f t="shared" ref="EQ204:EQ267" si="633">IF(EN204&gt;Z204,EN204-Z204,0)</f>
        <v>0</v>
      </c>
      <c r="ER204" s="189">
        <v>0</v>
      </c>
      <c r="ES204" s="189">
        <v>9.5</v>
      </c>
      <c r="ET204" s="189">
        <v>3.8</v>
      </c>
      <c r="EU204" s="189">
        <v>18</v>
      </c>
      <c r="EV204" s="189">
        <v>0</v>
      </c>
      <c r="EW204" s="189">
        <v>32.6</v>
      </c>
      <c r="EX204" s="189">
        <v>0</v>
      </c>
      <c r="EY204" s="189">
        <v>75</v>
      </c>
      <c r="EZ204" s="189">
        <v>0</v>
      </c>
      <c r="FA204" s="189">
        <v>0</v>
      </c>
      <c r="FB204" s="189">
        <v>15</v>
      </c>
      <c r="FC204" s="189">
        <v>100</v>
      </c>
      <c r="FD204" s="189">
        <v>0</v>
      </c>
      <c r="FE204" s="189">
        <v>0</v>
      </c>
      <c r="FF204" s="189">
        <v>0</v>
      </c>
      <c r="FG204" s="189">
        <v>0</v>
      </c>
      <c r="FH204" s="189">
        <v>0</v>
      </c>
      <c r="FI204" s="189">
        <v>0</v>
      </c>
      <c r="FJ204" s="189">
        <v>0</v>
      </c>
      <c r="FK204" s="189">
        <v>253.9</v>
      </c>
      <c r="FL204" s="189">
        <v>240</v>
      </c>
      <c r="FN204" s="132">
        <v>88.75</v>
      </c>
    </row>
    <row r="205" spans="1:170" ht="30" customHeight="1">
      <c r="A205" s="88">
        <f>COUNTIF($H$12:H205,H205)</f>
        <v>10</v>
      </c>
      <c r="B205" s="88" t="s">
        <v>507</v>
      </c>
      <c r="C205" s="88" t="s">
        <v>2512</v>
      </c>
      <c r="D205" s="88"/>
      <c r="E205" s="88"/>
      <c r="F205" s="301" t="s">
        <v>3202</v>
      </c>
      <c r="G205" s="303" t="s">
        <v>2087</v>
      </c>
      <c r="H205" s="88">
        <v>4</v>
      </c>
      <c r="I205" s="88">
        <v>4</v>
      </c>
      <c r="J205" s="88">
        <v>4</v>
      </c>
      <c r="K205" s="90" t="s">
        <v>1066</v>
      </c>
      <c r="L205" s="90" t="s">
        <v>1066</v>
      </c>
      <c r="M205" s="214"/>
      <c r="N205" s="88" t="s">
        <v>1804</v>
      </c>
      <c r="O205" s="216">
        <f t="shared" si="608"/>
        <v>3.33</v>
      </c>
      <c r="P205" s="88" t="str">
        <f t="shared" si="468"/>
        <v>B1_4</v>
      </c>
      <c r="Q205" s="88">
        <f t="shared" si="527"/>
        <v>270</v>
      </c>
      <c r="R205" s="88">
        <f t="shared" si="528"/>
        <v>120</v>
      </c>
      <c r="S205" s="231"/>
      <c r="T205" s="214" t="s">
        <v>3088</v>
      </c>
      <c r="U205" s="88">
        <f>IF(RIGHT(T205,1)="K",(VLOOKUP(T205,ma_miengiam!$A$3:$B$80,2,0)*100)/2,VLOOKUP(T205,ma_miengiam!$A$3:$B$80,2,0)*100)</f>
        <v>0</v>
      </c>
      <c r="V205" s="88"/>
      <c r="W205" s="220">
        <f>IF(AND(T205="NTS",V205&gt;0),(Q205-(Q205*V205)/12)*VLOOKUP(T205,ma_miengiam!$A$3:$B$80,2,0)+(Q205-(Q205*(12-V205))/12),IF(AND(RIGHT(T205,1)="K",V205&gt;0),(VLOOKUP(T205,ma_miengiam!$A$3:$B$80,2,0)/2)*(Q205*V205)/12,IF(RIGHT(T205,1)="K",(VLOOKUP(T205,ma_miengiam!$A$3:$B$80,2,0)*Q205)/2,IF(V205&gt;0,VLOOKUP(T205,ma_miengiam!$A$3:$B$80,2,0)*Q205*V205/12,VLOOKUP(T205,ma_miengiam!$A$3:$B$80,2,0)*Q205))))</f>
        <v>0</v>
      </c>
      <c r="X205" s="220">
        <f>IF(T205="NTS",VLOOKUP(T205,ma_miengiam!$A$3:$B$80,2,0)*R205*V205,IF(AND(T205="NTS",V205=0),0,IF(AND(LEFT(T205,1)="K",V205=0),VLOOKUP(T205,ma_miengiam!$A$3:$B$80,2,0)*R205,IF(LEFT(T205,1)="K",(VLOOKUP(T205,ma_miengiam!$A$3:$B$80,2,0)*R205/12)*V205,IF(AND(LEFT(T205,1)="S",V205&gt;0),(R205/12)*V205,IF(AND(LEFT(T205,1)="S",V205=0),R205,IF(T205="DH",VLOOKUP(T205,ma_miengiam!$A$3:$B$80,2,0)*R205,0)))))))</f>
        <v>0</v>
      </c>
      <c r="Y205" s="220">
        <f t="shared" si="597"/>
        <v>270</v>
      </c>
      <c r="Z205" s="220">
        <f t="shared" si="609"/>
        <v>120</v>
      </c>
      <c r="AA205" s="220">
        <f t="shared" si="628"/>
        <v>270</v>
      </c>
      <c r="AB205" s="220">
        <f t="shared" si="628"/>
        <v>120</v>
      </c>
      <c r="AC205" s="220">
        <f t="shared" si="629"/>
        <v>0</v>
      </c>
      <c r="AD205" s="220">
        <f t="shared" si="629"/>
        <v>0</v>
      </c>
      <c r="AE205" s="220">
        <f t="shared" si="629"/>
        <v>270</v>
      </c>
      <c r="AF205" s="220">
        <f t="shared" si="629"/>
        <v>120</v>
      </c>
      <c r="AG205" s="220">
        <f>AH205+AI205</f>
        <v>164.16</v>
      </c>
      <c r="AH205" s="220">
        <f>EO205</f>
        <v>91.66</v>
      </c>
      <c r="AI205" s="220">
        <f>EN205</f>
        <v>72.5</v>
      </c>
      <c r="AJ205" s="220">
        <f t="shared" si="513"/>
        <v>0</v>
      </c>
      <c r="AK205" s="216">
        <f t="shared" si="604"/>
        <v>270</v>
      </c>
      <c r="AL205" s="220">
        <f t="shared" si="611"/>
        <v>202.3</v>
      </c>
      <c r="AM205" s="220">
        <f t="shared" si="612"/>
        <v>0</v>
      </c>
      <c r="AN205" s="221">
        <f t="shared" si="613"/>
        <v>202.3</v>
      </c>
      <c r="AO205" s="220">
        <f t="shared" si="614"/>
        <v>0</v>
      </c>
      <c r="AP205" s="220">
        <f t="shared" si="615"/>
        <v>0</v>
      </c>
      <c r="AQ205" s="220">
        <f t="shared" si="616"/>
        <v>140</v>
      </c>
      <c r="AR205" s="220">
        <f t="shared" si="617"/>
        <v>0</v>
      </c>
      <c r="AS205" s="220">
        <f t="shared" si="618"/>
        <v>0</v>
      </c>
      <c r="AT205" s="216">
        <f t="shared" si="619"/>
        <v>342.3</v>
      </c>
      <c r="AU205" s="222">
        <f t="shared" si="574"/>
        <v>-67.699999999999989</v>
      </c>
      <c r="AV205" s="220"/>
      <c r="AW205" s="220">
        <f t="shared" si="532"/>
        <v>-67.699999999999989</v>
      </c>
      <c r="AX205" s="216">
        <f t="shared" si="620"/>
        <v>-67.699999999999989</v>
      </c>
      <c r="AY205" s="220">
        <f t="shared" si="539"/>
        <v>0</v>
      </c>
      <c r="AZ205" s="220">
        <f t="shared" si="540"/>
        <v>0</v>
      </c>
      <c r="BA205" s="220">
        <f t="shared" si="541"/>
        <v>72.300000000000011</v>
      </c>
      <c r="BB205" s="220">
        <f t="shared" si="542"/>
        <v>0</v>
      </c>
      <c r="BC205" s="220">
        <f t="shared" si="543"/>
        <v>0</v>
      </c>
      <c r="BD205" s="216">
        <f t="shared" si="575"/>
        <v>72.300000000000011</v>
      </c>
      <c r="BE205" s="220">
        <f t="shared" si="533"/>
        <v>0</v>
      </c>
      <c r="BF205" s="220">
        <f t="shared" si="534"/>
        <v>0</v>
      </c>
      <c r="BG205" s="220">
        <f t="shared" si="535"/>
        <v>-67.699999999999989</v>
      </c>
      <c r="BH205" s="220">
        <f t="shared" si="536"/>
        <v>0</v>
      </c>
      <c r="BI205" s="220">
        <f t="shared" si="537"/>
        <v>0</v>
      </c>
      <c r="BJ205" s="220" t="s">
        <v>2550</v>
      </c>
      <c r="BK205" s="220"/>
      <c r="BL205" s="223">
        <f t="shared" si="582"/>
        <v>0</v>
      </c>
      <c r="BM205" s="220">
        <v>3.33</v>
      </c>
      <c r="BN205" s="220"/>
      <c r="BO205" s="220">
        <f t="shared" si="625"/>
        <v>3.33</v>
      </c>
      <c r="BP205" s="220">
        <f>IF(AND(BL205&gt;0,BL205&lt;tiet!$D$1),BL205,IF(BL205&lt;=0,0,IF(BL205&gt;tiet!$C$1,tiet!$C$1)))</f>
        <v>0</v>
      </c>
      <c r="BQ205" s="87">
        <f t="shared" si="509"/>
        <v>65000</v>
      </c>
      <c r="BR205" s="224">
        <f t="shared" si="510"/>
        <v>0</v>
      </c>
      <c r="BS205" s="220">
        <f t="shared" si="630"/>
        <v>0</v>
      </c>
      <c r="BT205" s="224">
        <f>VLOOKUP(N205,ma_dinhmuc!$A$1:$J$31,10,0)</f>
        <v>51000</v>
      </c>
      <c r="BU205" s="224">
        <f>ROUND(IF(BS205&gt;0,VLOOKUP(N205,ma_dinhmuc!$A$1:$J$31,10,0)*BS205,0),0)</f>
        <v>0</v>
      </c>
      <c r="BV205" s="224">
        <f t="shared" si="511"/>
        <v>0</v>
      </c>
      <c r="BW205" s="224"/>
      <c r="BX205" s="224">
        <v>0</v>
      </c>
      <c r="BY205" s="224"/>
      <c r="BZ205" s="224"/>
      <c r="CA205" s="224"/>
      <c r="CB205" s="224"/>
      <c r="CC205" s="225">
        <f t="shared" si="544"/>
        <v>0</v>
      </c>
      <c r="CD205" s="224">
        <f t="shared" si="545"/>
        <v>0</v>
      </c>
      <c r="CE205" s="224"/>
      <c r="CF205" s="226"/>
      <c r="CG205" s="87"/>
      <c r="CH205" s="87">
        <f t="shared" si="596"/>
        <v>10</v>
      </c>
      <c r="CI205" s="227" t="str">
        <f t="shared" si="599"/>
        <v>Nguyễn Kim</v>
      </c>
      <c r="CJ205" s="227" t="str">
        <f t="shared" si="626"/>
        <v>Dung</v>
      </c>
      <c r="CK205" s="87">
        <f t="shared" si="627"/>
        <v>4</v>
      </c>
      <c r="CL205" s="227" t="str">
        <f t="shared" si="600"/>
        <v>Tự động hóa</v>
      </c>
      <c r="CM205" s="87" t="str">
        <f t="shared" si="538"/>
        <v>CS2</v>
      </c>
      <c r="CN205" s="87">
        <f t="shared" si="621"/>
        <v>270</v>
      </c>
      <c r="CO205" s="87">
        <f t="shared" si="621"/>
        <v>120</v>
      </c>
      <c r="CP205" s="229">
        <f t="shared" ref="CP205:CP268" si="634">ER205</f>
        <v>0</v>
      </c>
      <c r="CQ205" s="229">
        <f t="shared" ref="CQ205:CQ268" si="635">ES205</f>
        <v>19.899999999999999</v>
      </c>
      <c r="CR205" s="229">
        <f t="shared" ref="CR205:CR268" si="636">ET205</f>
        <v>7.9</v>
      </c>
      <c r="CS205" s="229">
        <f t="shared" ref="CS205:CS268" si="637">EU205</f>
        <v>24</v>
      </c>
      <c r="CT205" s="229">
        <f t="shared" ref="CT205:CT268" si="638">EV205</f>
        <v>0</v>
      </c>
      <c r="CU205" s="229">
        <f t="shared" ref="CU205:CU268" si="639">EW205</f>
        <v>74</v>
      </c>
      <c r="CV205" s="229">
        <f t="shared" ref="CV205:CV268" si="640">EX205</f>
        <v>0</v>
      </c>
      <c r="CW205" s="229">
        <f t="shared" ref="CW205:CW268" si="641">EY205</f>
        <v>76.5</v>
      </c>
      <c r="CX205" s="229">
        <f t="shared" ref="CX205:CX268" si="642">EZ205</f>
        <v>0</v>
      </c>
      <c r="CY205" s="229">
        <f t="shared" ref="CY205:CY268" si="643">FA205</f>
        <v>0</v>
      </c>
      <c r="CZ205" s="229">
        <f t="shared" ref="CZ205:CZ268" si="644">FB205</f>
        <v>0</v>
      </c>
      <c r="DA205" s="229">
        <f t="shared" ref="DA205:DA268" si="645">FC205</f>
        <v>140</v>
      </c>
      <c r="DB205" s="228">
        <f t="shared" si="606"/>
        <v>342.3</v>
      </c>
      <c r="DC205" s="229"/>
      <c r="DD205" s="229"/>
      <c r="DE205" s="229"/>
      <c r="DF205" s="229"/>
      <c r="DG205" s="229"/>
      <c r="DH205" s="229"/>
      <c r="DI205" s="229"/>
      <c r="DJ205" s="229"/>
      <c r="DK205" s="229"/>
      <c r="DL205" s="229"/>
      <c r="DM205" s="229"/>
      <c r="DN205" s="229"/>
      <c r="DO205" s="228">
        <f t="shared" si="622"/>
        <v>0</v>
      </c>
      <c r="DP205" s="228">
        <f t="shared" si="623"/>
        <v>342.3</v>
      </c>
      <c r="DQ205" s="229">
        <f t="shared" ref="DQ205:DQ268" si="646">FD205</f>
        <v>0</v>
      </c>
      <c r="DR205" s="229">
        <f t="shared" ref="DR205:DR268" si="647">FE205</f>
        <v>0</v>
      </c>
      <c r="DS205" s="229">
        <f t="shared" ref="DS205:DS268" si="648">FF205</f>
        <v>0</v>
      </c>
      <c r="DT205" s="229">
        <f t="shared" ref="DT205:DT268" si="649">FG205</f>
        <v>0</v>
      </c>
      <c r="DU205" s="229">
        <f t="shared" ref="DU205:DU268" si="650">FI205</f>
        <v>0</v>
      </c>
      <c r="DV205" s="229">
        <f t="shared" ref="DV205:DV268" si="651">FH205</f>
        <v>0</v>
      </c>
      <c r="DW205" s="229">
        <f t="shared" ref="DW205:DW268" si="652">FJ205</f>
        <v>0</v>
      </c>
      <c r="DX205" s="228">
        <f t="shared" si="607"/>
        <v>0</v>
      </c>
      <c r="DY205" s="229"/>
      <c r="DZ205" s="229"/>
      <c r="EA205" s="229"/>
      <c r="EB205" s="229"/>
      <c r="EC205" s="229"/>
      <c r="ED205" s="229"/>
      <c r="EE205" s="229"/>
      <c r="EF205" s="228">
        <f t="shared" si="631"/>
        <v>0</v>
      </c>
      <c r="EG205" s="228">
        <f t="shared" si="624"/>
        <v>0</v>
      </c>
      <c r="EH205" s="229">
        <f t="shared" si="632"/>
        <v>72.5</v>
      </c>
      <c r="EI205" s="229">
        <v>91.66</v>
      </c>
      <c r="EJ205" s="228">
        <f t="shared" si="602"/>
        <v>164.16</v>
      </c>
      <c r="EK205" s="229"/>
      <c r="EL205" s="229"/>
      <c r="EM205" s="228">
        <f t="shared" si="603"/>
        <v>0</v>
      </c>
      <c r="EN205" s="229">
        <f t="shared" si="576"/>
        <v>72.5</v>
      </c>
      <c r="EO205" s="229">
        <f t="shared" si="577"/>
        <v>91.66</v>
      </c>
      <c r="EP205" s="228">
        <f t="shared" si="590"/>
        <v>164.16</v>
      </c>
      <c r="EQ205" s="173">
        <f t="shared" si="633"/>
        <v>0</v>
      </c>
      <c r="ER205" s="189">
        <v>0</v>
      </c>
      <c r="ES205" s="189">
        <v>19.899999999999999</v>
      </c>
      <c r="ET205" s="189">
        <v>7.9</v>
      </c>
      <c r="EU205" s="189">
        <v>24</v>
      </c>
      <c r="EV205" s="189">
        <v>0</v>
      </c>
      <c r="EW205" s="189">
        <v>74</v>
      </c>
      <c r="EX205" s="189">
        <v>0</v>
      </c>
      <c r="EY205" s="189">
        <v>76.5</v>
      </c>
      <c r="EZ205" s="189">
        <v>0</v>
      </c>
      <c r="FA205" s="189">
        <v>0</v>
      </c>
      <c r="FB205" s="189">
        <v>0</v>
      </c>
      <c r="FC205" s="189">
        <v>140</v>
      </c>
      <c r="FD205" s="189">
        <v>0</v>
      </c>
      <c r="FE205" s="189">
        <v>0</v>
      </c>
      <c r="FF205" s="189">
        <v>0</v>
      </c>
      <c r="FG205" s="189">
        <v>0</v>
      </c>
      <c r="FH205" s="189">
        <v>0</v>
      </c>
      <c r="FI205" s="189">
        <v>0</v>
      </c>
      <c r="FJ205" s="189">
        <v>0</v>
      </c>
      <c r="FK205" s="189">
        <v>342.3</v>
      </c>
      <c r="FL205" s="189">
        <v>314</v>
      </c>
      <c r="FN205" s="132">
        <v>72.5</v>
      </c>
    </row>
    <row r="206" spans="1:170" ht="28.5" customHeight="1">
      <c r="A206" s="88">
        <f>COUNTIF($H$12:H206,H206)</f>
        <v>11</v>
      </c>
      <c r="B206" s="88" t="s">
        <v>508</v>
      </c>
      <c r="C206" s="88" t="s">
        <v>2513</v>
      </c>
      <c r="D206" s="88"/>
      <c r="E206" s="88"/>
      <c r="F206" s="301" t="s">
        <v>3203</v>
      </c>
      <c r="G206" s="89" t="s">
        <v>2883</v>
      </c>
      <c r="H206" s="88">
        <v>4</v>
      </c>
      <c r="I206" s="88">
        <v>4</v>
      </c>
      <c r="J206" s="88">
        <v>4</v>
      </c>
      <c r="K206" s="90" t="s">
        <v>1066</v>
      </c>
      <c r="L206" s="90" t="s">
        <v>1066</v>
      </c>
      <c r="M206" s="214"/>
      <c r="N206" s="88" t="s">
        <v>1804</v>
      </c>
      <c r="O206" s="216">
        <f t="shared" si="608"/>
        <v>3</v>
      </c>
      <c r="P206" s="88" t="str">
        <f t="shared" si="468"/>
        <v>B1_3</v>
      </c>
      <c r="Q206" s="88">
        <f t="shared" si="527"/>
        <v>270</v>
      </c>
      <c r="R206" s="88">
        <f t="shared" si="528"/>
        <v>100</v>
      </c>
      <c r="S206" s="230" t="s">
        <v>689</v>
      </c>
      <c r="T206" s="88" t="s">
        <v>3090</v>
      </c>
      <c r="U206" s="88">
        <f>IF(RIGHT(T206,1)="K",(VLOOKUP(T206,ma_miengiam!$A$3:$B$80,2,0)*100)/2,VLOOKUP(T206,ma_miengiam!$A$3:$B$80,2,0)*100)</f>
        <v>15</v>
      </c>
      <c r="V206" s="88"/>
      <c r="W206" s="220">
        <f>IF(AND(T206="NTS",V206&gt;0),(Q206-(Q206*V206)/12)*VLOOKUP(T206,ma_miengiam!$A$3:$B$80,2,0)+(Q206-(Q206*(12-V206))/12),IF(AND(RIGHT(T206,1)="K",V206&gt;0),(VLOOKUP(T206,ma_miengiam!$A$3:$B$80,2,0)/2)*(Q206*V206)/12,IF(RIGHT(T206,1)="K",(VLOOKUP(T206,ma_miengiam!$A$3:$B$80,2,0)*Q206)/2,IF(V206&gt;0,VLOOKUP(T206,ma_miengiam!$A$3:$B$80,2,0)*Q206*V206/12,VLOOKUP(T206,ma_miengiam!$A$3:$B$80,2,0)*Q206))))</f>
        <v>40.5</v>
      </c>
      <c r="X206" s="220">
        <f>IF(T206="NTS",VLOOKUP(T206,ma_miengiam!$A$3:$B$80,2,0)*R206*V206,IF(AND(T206="NTS",V206=0),0,IF(AND(LEFT(T206,1)="K",V206=0),VLOOKUP(T206,ma_miengiam!$A$3:$B$80,2,0)*R206,IF(LEFT(T206,1)="K",(VLOOKUP(T206,ma_miengiam!$A$3:$B$80,2,0)*R206/12)*V206,IF(AND(LEFT(T206,1)="S",V206&gt;0),(R206/12)*V206,IF(AND(LEFT(T206,1)="S",V206=0),R206,IF(T206="DH",VLOOKUP(T206,ma_miengiam!$A$3:$B$80,2,0)*R206,0)))))))</f>
        <v>0</v>
      </c>
      <c r="Y206" s="220">
        <f t="shared" si="597"/>
        <v>229.5</v>
      </c>
      <c r="Z206" s="220">
        <f t="shared" si="609"/>
        <v>100</v>
      </c>
      <c r="AA206" s="220">
        <f t="shared" ref="AA206:AB208" si="653">Q206</f>
        <v>270</v>
      </c>
      <c r="AB206" s="220">
        <f t="shared" si="653"/>
        <v>100</v>
      </c>
      <c r="AC206" s="220">
        <f>W206</f>
        <v>40.5</v>
      </c>
      <c r="AD206" s="220">
        <f>X206</f>
        <v>0</v>
      </c>
      <c r="AE206" s="220">
        <f>Y206</f>
        <v>229.5</v>
      </c>
      <c r="AF206" s="220">
        <f>Z206</f>
        <v>100</v>
      </c>
      <c r="AG206" s="220">
        <f>AH206+AI206</f>
        <v>216.66</v>
      </c>
      <c r="AH206" s="220">
        <f>EO206</f>
        <v>99.16</v>
      </c>
      <c r="AI206" s="220">
        <f>EN206</f>
        <v>117.5</v>
      </c>
      <c r="AJ206" s="220">
        <f t="shared" si="513"/>
        <v>0</v>
      </c>
      <c r="AK206" s="216">
        <f t="shared" si="604"/>
        <v>229.5</v>
      </c>
      <c r="AL206" s="220">
        <f t="shared" si="611"/>
        <v>117</v>
      </c>
      <c r="AM206" s="220">
        <f t="shared" si="612"/>
        <v>0</v>
      </c>
      <c r="AN206" s="221">
        <f t="shared" si="613"/>
        <v>117</v>
      </c>
      <c r="AO206" s="220">
        <f t="shared" si="614"/>
        <v>0</v>
      </c>
      <c r="AP206" s="220">
        <f t="shared" si="615"/>
        <v>0</v>
      </c>
      <c r="AQ206" s="220">
        <f t="shared" si="616"/>
        <v>140</v>
      </c>
      <c r="AR206" s="220">
        <f t="shared" si="617"/>
        <v>0</v>
      </c>
      <c r="AS206" s="220">
        <f t="shared" si="618"/>
        <v>0</v>
      </c>
      <c r="AT206" s="216">
        <f t="shared" si="619"/>
        <v>257</v>
      </c>
      <c r="AU206" s="222">
        <f t="shared" si="574"/>
        <v>-112.5</v>
      </c>
      <c r="AV206" s="220"/>
      <c r="AW206" s="220">
        <f t="shared" si="532"/>
        <v>-112.5</v>
      </c>
      <c r="AX206" s="216">
        <f t="shared" si="620"/>
        <v>-112.5</v>
      </c>
      <c r="AY206" s="220">
        <f t="shared" si="539"/>
        <v>0</v>
      </c>
      <c r="AZ206" s="220">
        <f t="shared" si="540"/>
        <v>0</v>
      </c>
      <c r="BA206" s="220">
        <f t="shared" si="541"/>
        <v>27.5</v>
      </c>
      <c r="BB206" s="220">
        <f t="shared" si="542"/>
        <v>0</v>
      </c>
      <c r="BC206" s="220">
        <f t="shared" si="543"/>
        <v>0</v>
      </c>
      <c r="BD206" s="216">
        <f t="shared" si="575"/>
        <v>27.5</v>
      </c>
      <c r="BE206" s="220">
        <f t="shared" si="533"/>
        <v>0</v>
      </c>
      <c r="BF206" s="220">
        <f t="shared" si="534"/>
        <v>0</v>
      </c>
      <c r="BG206" s="220">
        <f t="shared" si="535"/>
        <v>-112.5</v>
      </c>
      <c r="BH206" s="220">
        <f t="shared" si="536"/>
        <v>0</v>
      </c>
      <c r="BI206" s="220">
        <f t="shared" si="537"/>
        <v>0</v>
      </c>
      <c r="BJ206" s="220" t="s">
        <v>2551</v>
      </c>
      <c r="BK206" s="220"/>
      <c r="BL206" s="223">
        <f t="shared" si="582"/>
        <v>0</v>
      </c>
      <c r="BM206" s="220">
        <v>3</v>
      </c>
      <c r="BN206" s="220"/>
      <c r="BO206" s="220">
        <f>ROUND(BM206+(BM206*BN206),2)</f>
        <v>3</v>
      </c>
      <c r="BP206" s="220">
        <f>IF(AND(BL206&gt;0,BL206&lt;tiet!$D$1),BL206,IF(BL206&lt;=0,0,IF(BL206&gt;tiet!$C$1,tiet!$C$1)))</f>
        <v>0</v>
      </c>
      <c r="BQ206" s="87">
        <f t="shared" si="509"/>
        <v>60000</v>
      </c>
      <c r="BR206" s="224">
        <f t="shared" si="510"/>
        <v>0</v>
      </c>
      <c r="BS206" s="220">
        <f t="shared" si="630"/>
        <v>0</v>
      </c>
      <c r="BT206" s="224">
        <f>VLOOKUP(N206,ma_dinhmuc!$A$1:$J$31,10,0)</f>
        <v>51000</v>
      </c>
      <c r="BU206" s="224">
        <f>ROUND(IF(BS206&gt;0,VLOOKUP(N206,ma_dinhmuc!$A$1:$J$31,10,0)*BS206,0),0)</f>
        <v>0</v>
      </c>
      <c r="BV206" s="224">
        <f t="shared" si="511"/>
        <v>0</v>
      </c>
      <c r="BW206" s="224"/>
      <c r="BX206" s="224">
        <v>0</v>
      </c>
      <c r="BY206" s="224"/>
      <c r="BZ206" s="224"/>
      <c r="CA206" s="224"/>
      <c r="CB206" s="224"/>
      <c r="CC206" s="225">
        <f t="shared" si="544"/>
        <v>0</v>
      </c>
      <c r="CD206" s="224">
        <f t="shared" si="545"/>
        <v>0</v>
      </c>
      <c r="CE206" s="224"/>
      <c r="CF206" s="226"/>
      <c r="CG206" s="87"/>
      <c r="CH206" s="87">
        <f>A206</f>
        <v>11</v>
      </c>
      <c r="CI206" s="227" t="str">
        <f t="shared" si="599"/>
        <v>Đặng Thị Thúy</v>
      </c>
      <c r="CJ206" s="227" t="str">
        <f t="shared" si="626"/>
        <v>Huyền</v>
      </c>
      <c r="CK206" s="87">
        <f t="shared" si="627"/>
        <v>4</v>
      </c>
      <c r="CL206" s="227" t="str">
        <f t="shared" si="600"/>
        <v>Tự động hóa</v>
      </c>
      <c r="CM206" s="87" t="str">
        <f t="shared" si="538"/>
        <v>CS2</v>
      </c>
      <c r="CN206" s="87">
        <f t="shared" si="621"/>
        <v>270</v>
      </c>
      <c r="CO206" s="87">
        <f t="shared" si="621"/>
        <v>100</v>
      </c>
      <c r="CP206" s="229">
        <f t="shared" si="634"/>
        <v>0</v>
      </c>
      <c r="CQ206" s="229">
        <f t="shared" si="635"/>
        <v>15</v>
      </c>
      <c r="CR206" s="229">
        <f t="shared" si="636"/>
        <v>6</v>
      </c>
      <c r="CS206" s="229">
        <f t="shared" si="637"/>
        <v>6</v>
      </c>
      <c r="CT206" s="229">
        <f t="shared" si="638"/>
        <v>0</v>
      </c>
      <c r="CU206" s="229">
        <f t="shared" si="639"/>
        <v>66</v>
      </c>
      <c r="CV206" s="229">
        <f t="shared" si="640"/>
        <v>0</v>
      </c>
      <c r="CW206" s="229">
        <f t="shared" si="641"/>
        <v>24</v>
      </c>
      <c r="CX206" s="229">
        <f t="shared" si="642"/>
        <v>0</v>
      </c>
      <c r="CY206" s="229">
        <f t="shared" si="643"/>
        <v>0</v>
      </c>
      <c r="CZ206" s="229">
        <f t="shared" si="644"/>
        <v>0</v>
      </c>
      <c r="DA206" s="229">
        <f t="shared" si="645"/>
        <v>140</v>
      </c>
      <c r="DB206" s="228">
        <f t="shared" si="606"/>
        <v>257</v>
      </c>
      <c r="DC206" s="229"/>
      <c r="DD206" s="229"/>
      <c r="DE206" s="229"/>
      <c r="DF206" s="229"/>
      <c r="DG206" s="229"/>
      <c r="DH206" s="229"/>
      <c r="DI206" s="229"/>
      <c r="DJ206" s="229"/>
      <c r="DK206" s="229"/>
      <c r="DL206" s="229"/>
      <c r="DM206" s="229"/>
      <c r="DN206" s="229"/>
      <c r="DO206" s="228">
        <f t="shared" si="622"/>
        <v>0</v>
      </c>
      <c r="DP206" s="228">
        <f t="shared" si="623"/>
        <v>257</v>
      </c>
      <c r="DQ206" s="229">
        <f t="shared" si="646"/>
        <v>0</v>
      </c>
      <c r="DR206" s="229">
        <f t="shared" si="647"/>
        <v>0</v>
      </c>
      <c r="DS206" s="229">
        <f t="shared" si="648"/>
        <v>0</v>
      </c>
      <c r="DT206" s="229">
        <f t="shared" si="649"/>
        <v>0</v>
      </c>
      <c r="DU206" s="229">
        <f t="shared" si="650"/>
        <v>0</v>
      </c>
      <c r="DV206" s="229">
        <f t="shared" si="651"/>
        <v>0</v>
      </c>
      <c r="DW206" s="229">
        <f t="shared" si="652"/>
        <v>0</v>
      </c>
      <c r="DX206" s="228">
        <f t="shared" si="607"/>
        <v>0</v>
      </c>
      <c r="DY206" s="229"/>
      <c r="DZ206" s="229"/>
      <c r="EA206" s="229"/>
      <c r="EB206" s="229"/>
      <c r="EC206" s="229"/>
      <c r="ED206" s="229"/>
      <c r="EE206" s="229"/>
      <c r="EF206" s="228">
        <f t="shared" si="631"/>
        <v>0</v>
      </c>
      <c r="EG206" s="228">
        <f t="shared" si="624"/>
        <v>0</v>
      </c>
      <c r="EH206" s="229">
        <f t="shared" si="632"/>
        <v>117.5</v>
      </c>
      <c r="EI206" s="229">
        <v>99.16</v>
      </c>
      <c r="EJ206" s="228">
        <f t="shared" si="602"/>
        <v>216.66</v>
      </c>
      <c r="EK206" s="229"/>
      <c r="EL206" s="229"/>
      <c r="EM206" s="228">
        <f t="shared" si="603"/>
        <v>0</v>
      </c>
      <c r="EN206" s="229">
        <f t="shared" si="576"/>
        <v>117.5</v>
      </c>
      <c r="EO206" s="229">
        <f t="shared" si="577"/>
        <v>99.16</v>
      </c>
      <c r="EP206" s="228">
        <f t="shared" si="590"/>
        <v>216.66</v>
      </c>
      <c r="EQ206" s="173">
        <f t="shared" si="633"/>
        <v>17.5</v>
      </c>
      <c r="ER206" s="189">
        <v>0</v>
      </c>
      <c r="ES206" s="189">
        <v>15</v>
      </c>
      <c r="ET206" s="189">
        <v>6</v>
      </c>
      <c r="EU206" s="189">
        <v>6</v>
      </c>
      <c r="EV206" s="189">
        <v>0</v>
      </c>
      <c r="EW206" s="189">
        <v>66</v>
      </c>
      <c r="EX206" s="189">
        <v>0</v>
      </c>
      <c r="EY206" s="189">
        <v>24</v>
      </c>
      <c r="EZ206" s="189">
        <v>0</v>
      </c>
      <c r="FA206" s="189">
        <v>0</v>
      </c>
      <c r="FB206" s="189">
        <v>0</v>
      </c>
      <c r="FC206" s="189">
        <v>140</v>
      </c>
      <c r="FD206" s="189">
        <v>0</v>
      </c>
      <c r="FE206" s="189">
        <v>0</v>
      </c>
      <c r="FF206" s="189">
        <v>0</v>
      </c>
      <c r="FG206" s="189">
        <v>0</v>
      </c>
      <c r="FH206" s="189">
        <v>0</v>
      </c>
      <c r="FI206" s="189">
        <v>0</v>
      </c>
      <c r="FJ206" s="189">
        <v>0</v>
      </c>
      <c r="FK206" s="189">
        <v>257</v>
      </c>
      <c r="FL206" s="189">
        <v>242</v>
      </c>
      <c r="FN206" s="132">
        <v>117.5</v>
      </c>
    </row>
    <row r="207" spans="1:170" ht="30" customHeight="1">
      <c r="A207" s="88">
        <f>COUNTIF($H$12:H207,H207)</f>
        <v>12</v>
      </c>
      <c r="B207" s="88" t="s">
        <v>509</v>
      </c>
      <c r="C207" s="88" t="s">
        <v>2514</v>
      </c>
      <c r="D207" s="88"/>
      <c r="E207" s="88"/>
      <c r="F207" s="301" t="s">
        <v>2895</v>
      </c>
      <c r="G207" s="89" t="s">
        <v>3204</v>
      </c>
      <c r="H207" s="88">
        <v>4</v>
      </c>
      <c r="I207" s="88">
        <v>4</v>
      </c>
      <c r="J207" s="88">
        <v>4</v>
      </c>
      <c r="K207" s="90" t="s">
        <v>1075</v>
      </c>
      <c r="L207" s="90" t="s">
        <v>1075</v>
      </c>
      <c r="M207" s="214"/>
      <c r="N207" s="88" t="s">
        <v>606</v>
      </c>
      <c r="O207" s="216">
        <f t="shared" si="608"/>
        <v>6.1</v>
      </c>
      <c r="P207" s="88" t="str">
        <f t="shared" si="468"/>
        <v>B1_6</v>
      </c>
      <c r="Q207" s="88">
        <f t="shared" si="527"/>
        <v>270</v>
      </c>
      <c r="R207" s="88">
        <f t="shared" si="528"/>
        <v>170</v>
      </c>
      <c r="S207" s="218" t="s">
        <v>3173</v>
      </c>
      <c r="T207" s="88" t="s">
        <v>3088</v>
      </c>
      <c r="U207" s="88">
        <f>IF(RIGHT(T207,1)="K",(VLOOKUP(T207,ma_miengiam!$A$3:$B$80,2,0)*100)/2,VLOOKUP(T207,ma_miengiam!$A$3:$B$80,2,0)*100)</f>
        <v>0</v>
      </c>
      <c r="V207" s="88">
        <v>4</v>
      </c>
      <c r="W207" s="220">
        <f>IF(AND(T207="NTS",V207&gt;0),(Q207-(Q207*V207)/12)*VLOOKUP(T207,ma_miengiam!$A$3:$B$80,2,0)+(Q207-(Q207*(12-V207))/12),IF(AND(RIGHT(T207,1)="K",V207&gt;0),(VLOOKUP(T207,ma_miengiam!$A$3:$B$80,2,0)/2)*(Q207*V207)/12,IF(RIGHT(T207,1)="K",(VLOOKUP(T207,ma_miengiam!$A$3:$B$80,2,0)*Q207)/2,IF(V207&gt;0,VLOOKUP(T207,ma_miengiam!$A$3:$B$80,2,0)*Q207*V207/12,VLOOKUP(T207,ma_miengiam!$A$3:$B$80,2,0)*Q207))))</f>
        <v>0</v>
      </c>
      <c r="X207" s="220">
        <f>IF(T207="NTS",VLOOKUP(T207,ma_miengiam!$A$3:$B$80,2,0)*R207*V207,IF(AND(T207="NTS",V207=0),0,IF(AND(LEFT(T207,1)="K",V207=0),VLOOKUP(T207,ma_miengiam!$A$3:$B$80,2,0)*R207,IF(LEFT(T207,1)="K",(VLOOKUP(T207,ma_miengiam!$A$3:$B$80,2,0)*R207/12)*V207,IF(AND(LEFT(T207,1)="S",V207&gt;0),(R207/12)*V207,IF(AND(LEFT(T207,1)="S",V207=0),R207,IF(T207="DH",VLOOKUP(T207,ma_miengiam!$A$3:$B$80,2,0)*R207,0)))))))</f>
        <v>0</v>
      </c>
      <c r="Y207" s="220">
        <f t="shared" si="597"/>
        <v>90</v>
      </c>
      <c r="Z207" s="220">
        <f>IF(AND(T207="SĐH",V207&gt;0),(R207/12)*V207-X207,IF(AND(T207="DH",V207&gt;0),(R207*V207/12),IF(AND(T207&lt;&gt;"NTS",V207&gt;0),(R207*V207/12)-X207,IF(AND(T207="NTS",V207&gt;0),R207-X207,R207-X207))))</f>
        <v>56.666666666666664</v>
      </c>
      <c r="AA207" s="220">
        <f t="shared" si="653"/>
        <v>270</v>
      </c>
      <c r="AB207" s="220">
        <f t="shared" si="653"/>
        <v>170</v>
      </c>
      <c r="AC207" s="220">
        <f t="shared" ref="AC207:AF208" si="654">W207</f>
        <v>0</v>
      </c>
      <c r="AD207" s="220">
        <f t="shared" si="654"/>
        <v>0</v>
      </c>
      <c r="AE207" s="220">
        <f t="shared" si="654"/>
        <v>90</v>
      </c>
      <c r="AF207" s="220">
        <f t="shared" si="654"/>
        <v>56.666666666666664</v>
      </c>
      <c r="AG207" s="220">
        <f t="shared" ref="AG207:AG233" si="655">AH207+AI207</f>
        <v>0</v>
      </c>
      <c r="AH207" s="220">
        <f t="shared" ref="AH207:AH233" si="656">EO207</f>
        <v>0</v>
      </c>
      <c r="AI207" s="220">
        <f t="shared" ref="AI207:AI233" si="657">EN207</f>
        <v>0</v>
      </c>
      <c r="AJ207" s="220">
        <f>IF(AG207-Z207&gt;0,0,AG207-Z207)</f>
        <v>-56.666666666666664</v>
      </c>
      <c r="AK207" s="216">
        <f t="shared" si="604"/>
        <v>146.66666666666666</v>
      </c>
      <c r="AL207" s="220">
        <f t="shared" si="611"/>
        <v>189.2</v>
      </c>
      <c r="AM207" s="220">
        <f t="shared" si="612"/>
        <v>0</v>
      </c>
      <c r="AN207" s="221">
        <f t="shared" si="613"/>
        <v>189.2</v>
      </c>
      <c r="AO207" s="220">
        <f t="shared" si="614"/>
        <v>0</v>
      </c>
      <c r="AP207" s="220">
        <f t="shared" si="615"/>
        <v>0</v>
      </c>
      <c r="AQ207" s="220">
        <f t="shared" si="616"/>
        <v>0</v>
      </c>
      <c r="AR207" s="220">
        <f t="shared" si="617"/>
        <v>0</v>
      </c>
      <c r="AS207" s="220">
        <f t="shared" si="618"/>
        <v>0</v>
      </c>
      <c r="AT207" s="216">
        <f t="shared" si="619"/>
        <v>189.2</v>
      </c>
      <c r="AU207" s="222">
        <f t="shared" si="574"/>
        <v>42.533333333333331</v>
      </c>
      <c r="AV207" s="220"/>
      <c r="AW207" s="220">
        <f t="shared" si="532"/>
        <v>42.533333333333331</v>
      </c>
      <c r="AX207" s="216">
        <f t="shared" si="620"/>
        <v>0</v>
      </c>
      <c r="AY207" s="220">
        <f t="shared" si="539"/>
        <v>0</v>
      </c>
      <c r="AZ207" s="220">
        <f t="shared" si="540"/>
        <v>0</v>
      </c>
      <c r="BA207" s="220">
        <f t="shared" si="541"/>
        <v>0</v>
      </c>
      <c r="BB207" s="220">
        <f t="shared" si="542"/>
        <v>0</v>
      </c>
      <c r="BC207" s="220">
        <f t="shared" si="543"/>
        <v>0</v>
      </c>
      <c r="BD207" s="216">
        <f t="shared" si="575"/>
        <v>0</v>
      </c>
      <c r="BE207" s="220">
        <f t="shared" si="533"/>
        <v>0</v>
      </c>
      <c r="BF207" s="220">
        <f t="shared" si="534"/>
        <v>0</v>
      </c>
      <c r="BG207" s="220">
        <f t="shared" si="535"/>
        <v>0</v>
      </c>
      <c r="BH207" s="220">
        <f t="shared" si="536"/>
        <v>0</v>
      </c>
      <c r="BI207" s="220">
        <f t="shared" si="537"/>
        <v>0</v>
      </c>
      <c r="BJ207" s="220" t="s">
        <v>2547</v>
      </c>
      <c r="BK207" s="220"/>
      <c r="BL207" s="223">
        <f t="shared" si="582"/>
        <v>42.533333333333331</v>
      </c>
      <c r="BM207" s="220">
        <v>6.1</v>
      </c>
      <c r="BN207" s="220"/>
      <c r="BO207" s="220">
        <f>ROUND(BM207+(BM207*BN207),2)</f>
        <v>6.1</v>
      </c>
      <c r="BP207" s="220">
        <f>IF(AND(BL207&gt;0,BL207&lt;tiet!$D$1),BL207,IF(BL207&lt;=0,0,IF(BL207&gt;tiet!$C$1,tiet!$C$1)))</f>
        <v>42.533333333333331</v>
      </c>
      <c r="BQ207" s="87">
        <f>VLOOKUP(P207,ma_dinhmuc_moi,4,0)</f>
        <v>75000</v>
      </c>
      <c r="BR207" s="224">
        <f>ROUND(BQ207*BP207,0)</f>
        <v>3190000</v>
      </c>
      <c r="BS207" s="220">
        <f t="shared" si="630"/>
        <v>0</v>
      </c>
      <c r="BT207" s="224">
        <f>VLOOKUP(N207,ma_dinhmuc!$A$1:$J$31,10,0)</f>
        <v>55000</v>
      </c>
      <c r="BU207" s="224">
        <f>ROUND(IF(BS207&gt;0,VLOOKUP(N207,ma_dinhmuc!$A$1:$J$31,10,0)*BS207,0),0)</f>
        <v>0</v>
      </c>
      <c r="BV207" s="224">
        <f>ROUND(BU207+BR207,0)</f>
        <v>3190000</v>
      </c>
      <c r="BW207" s="224"/>
      <c r="BX207" s="224">
        <v>0</v>
      </c>
      <c r="BY207" s="224"/>
      <c r="BZ207" s="224"/>
      <c r="CA207" s="224"/>
      <c r="CB207" s="224"/>
      <c r="CC207" s="225">
        <f>ROUND(IF(BV207+BW207&gt;BX207+BY207+BZ207+CA207+CB207,(BW207+BV207)-(BX207+BY207+BZ207+CA207+CB207+CB207),0),0)</f>
        <v>3190000</v>
      </c>
      <c r="CD207" s="224">
        <f>ROUND(IF(BV207+BW207&lt;BX207+BY207+BZ207+CA207-CB207,(BX207+BY207+BZ207+CA207-CB207)-(BW207+BV207),0),0)</f>
        <v>0</v>
      </c>
      <c r="CE207" s="224"/>
      <c r="CF207" s="226"/>
      <c r="CG207" s="87"/>
      <c r="CH207" s="87">
        <f>A207</f>
        <v>12</v>
      </c>
      <c r="CI207" s="227" t="str">
        <f t="shared" si="599"/>
        <v>Nguyễn Văn</v>
      </c>
      <c r="CJ207" s="227" t="str">
        <f>G207</f>
        <v>Đạt</v>
      </c>
      <c r="CK207" s="87">
        <f>H207</f>
        <v>4</v>
      </c>
      <c r="CL207" s="227" t="str">
        <f>L207</f>
        <v>Cơ sở kỹ thuật điện</v>
      </c>
      <c r="CM207" s="87" t="str">
        <f t="shared" si="538"/>
        <v>CS3</v>
      </c>
      <c r="CN207" s="87">
        <f>Q207</f>
        <v>270</v>
      </c>
      <c r="CO207" s="87">
        <f>R207</f>
        <v>170</v>
      </c>
      <c r="CP207" s="229">
        <f t="shared" si="634"/>
        <v>0</v>
      </c>
      <c r="CQ207" s="229">
        <f t="shared" si="635"/>
        <v>22.6</v>
      </c>
      <c r="CR207" s="229">
        <f t="shared" si="636"/>
        <v>9.1</v>
      </c>
      <c r="CS207" s="229">
        <f t="shared" si="637"/>
        <v>0</v>
      </c>
      <c r="CT207" s="229">
        <f t="shared" si="638"/>
        <v>0</v>
      </c>
      <c r="CU207" s="229">
        <f t="shared" si="639"/>
        <v>90</v>
      </c>
      <c r="CV207" s="229">
        <f t="shared" si="640"/>
        <v>0</v>
      </c>
      <c r="CW207" s="229">
        <f t="shared" si="641"/>
        <v>67.5</v>
      </c>
      <c r="CX207" s="229">
        <f t="shared" si="642"/>
        <v>0</v>
      </c>
      <c r="CY207" s="229">
        <f t="shared" si="643"/>
        <v>0</v>
      </c>
      <c r="CZ207" s="229">
        <f t="shared" si="644"/>
        <v>0</v>
      </c>
      <c r="DA207" s="229">
        <f t="shared" si="645"/>
        <v>0</v>
      </c>
      <c r="DB207" s="228">
        <f t="shared" si="606"/>
        <v>189.2</v>
      </c>
      <c r="DC207" s="229"/>
      <c r="DD207" s="229"/>
      <c r="DE207" s="229"/>
      <c r="DF207" s="229"/>
      <c r="DG207" s="229"/>
      <c r="DH207" s="229"/>
      <c r="DI207" s="229"/>
      <c r="DJ207" s="229"/>
      <c r="DK207" s="229"/>
      <c r="DL207" s="229"/>
      <c r="DM207" s="229"/>
      <c r="DN207" s="229"/>
      <c r="DO207" s="228">
        <f t="shared" si="622"/>
        <v>0</v>
      </c>
      <c r="DP207" s="228">
        <f t="shared" si="623"/>
        <v>189.2</v>
      </c>
      <c r="DQ207" s="229">
        <f t="shared" si="646"/>
        <v>0</v>
      </c>
      <c r="DR207" s="229">
        <f t="shared" si="647"/>
        <v>0</v>
      </c>
      <c r="DS207" s="229">
        <f t="shared" si="648"/>
        <v>0</v>
      </c>
      <c r="DT207" s="229">
        <f t="shared" si="649"/>
        <v>0</v>
      </c>
      <c r="DU207" s="229">
        <f t="shared" si="650"/>
        <v>0</v>
      </c>
      <c r="DV207" s="229">
        <f t="shared" si="651"/>
        <v>0</v>
      </c>
      <c r="DW207" s="229">
        <f t="shared" si="652"/>
        <v>0</v>
      </c>
      <c r="DX207" s="228">
        <f t="shared" si="607"/>
        <v>0</v>
      </c>
      <c r="DY207" s="229"/>
      <c r="DZ207" s="229"/>
      <c r="EA207" s="229"/>
      <c r="EB207" s="229"/>
      <c r="EC207" s="229"/>
      <c r="ED207" s="229"/>
      <c r="EE207" s="229"/>
      <c r="EF207" s="228">
        <f t="shared" si="631"/>
        <v>0</v>
      </c>
      <c r="EG207" s="228">
        <f t="shared" si="624"/>
        <v>0</v>
      </c>
      <c r="EH207" s="229">
        <f t="shared" si="632"/>
        <v>0</v>
      </c>
      <c r="EI207" s="229">
        <v>0</v>
      </c>
      <c r="EJ207" s="228">
        <f t="shared" si="602"/>
        <v>0</v>
      </c>
      <c r="EK207" s="229"/>
      <c r="EL207" s="229"/>
      <c r="EM207" s="228">
        <f t="shared" ref="EM207:EM239" si="658">SUM(EK207:EL207)</f>
        <v>0</v>
      </c>
      <c r="EN207" s="229">
        <f t="shared" si="576"/>
        <v>0</v>
      </c>
      <c r="EO207" s="229">
        <f t="shared" si="577"/>
        <v>0</v>
      </c>
      <c r="EP207" s="228">
        <f t="shared" ref="EP207:EP222" si="659">EM207+EJ207</f>
        <v>0</v>
      </c>
      <c r="EQ207" s="173">
        <f t="shared" si="633"/>
        <v>0</v>
      </c>
      <c r="ER207" s="189">
        <v>0</v>
      </c>
      <c r="ES207" s="189">
        <v>22.6</v>
      </c>
      <c r="ET207" s="189">
        <v>9.1</v>
      </c>
      <c r="EU207" s="189">
        <v>0</v>
      </c>
      <c r="EV207" s="189">
        <v>0</v>
      </c>
      <c r="EW207" s="189">
        <v>90</v>
      </c>
      <c r="EX207" s="189">
        <v>0</v>
      </c>
      <c r="EY207" s="189">
        <v>67.5</v>
      </c>
      <c r="EZ207" s="189">
        <v>0</v>
      </c>
      <c r="FA207" s="189">
        <v>0</v>
      </c>
      <c r="FB207" s="189">
        <v>0</v>
      </c>
      <c r="FC207" s="189">
        <v>0</v>
      </c>
      <c r="FD207" s="189">
        <v>0</v>
      </c>
      <c r="FE207" s="189">
        <v>0</v>
      </c>
      <c r="FF207" s="189">
        <v>0</v>
      </c>
      <c r="FG207" s="189">
        <v>0</v>
      </c>
      <c r="FH207" s="189">
        <v>0</v>
      </c>
      <c r="FI207" s="189">
        <v>0</v>
      </c>
      <c r="FJ207" s="189">
        <v>0</v>
      </c>
      <c r="FK207" s="189">
        <v>189.2</v>
      </c>
      <c r="FL207" s="189">
        <v>141</v>
      </c>
      <c r="FN207" s="132">
        <v>0</v>
      </c>
    </row>
    <row r="208" spans="1:170" ht="31.5" customHeight="1">
      <c r="A208" s="88">
        <f>COUNTIF($H$12:H208,H208)</f>
        <v>13</v>
      </c>
      <c r="B208" s="88" t="s">
        <v>510</v>
      </c>
      <c r="C208" s="88" t="s">
        <v>2515</v>
      </c>
      <c r="D208" s="88"/>
      <c r="E208" s="88"/>
      <c r="F208" s="301" t="s">
        <v>1139</v>
      </c>
      <c r="G208" s="89" t="s">
        <v>3205</v>
      </c>
      <c r="H208" s="88">
        <v>4</v>
      </c>
      <c r="I208" s="88">
        <v>4</v>
      </c>
      <c r="J208" s="88">
        <v>4</v>
      </c>
      <c r="K208" s="90" t="s">
        <v>1075</v>
      </c>
      <c r="L208" s="90" t="s">
        <v>1075</v>
      </c>
      <c r="M208" s="214"/>
      <c r="N208" s="88" t="s">
        <v>1804</v>
      </c>
      <c r="O208" s="216">
        <f t="shared" si="608"/>
        <v>4.32</v>
      </c>
      <c r="P208" s="88" t="str">
        <f t="shared" si="468"/>
        <v>B1_4</v>
      </c>
      <c r="Q208" s="88">
        <f t="shared" si="527"/>
        <v>270</v>
      </c>
      <c r="R208" s="88">
        <f t="shared" si="528"/>
        <v>120</v>
      </c>
      <c r="S208" s="218" t="s">
        <v>2031</v>
      </c>
      <c r="T208" s="88" t="s">
        <v>3091</v>
      </c>
      <c r="U208" s="88">
        <f>IF(RIGHT(T208,1)="K",(VLOOKUP(T208,ma_miengiam!$A$3:$B$80,2,0)*100)/2,VLOOKUP(T208,ma_miengiam!$A$3:$B$80,2,0)*100)</f>
        <v>20</v>
      </c>
      <c r="V208" s="88"/>
      <c r="W208" s="220">
        <f>IF(AND(T208="NTS",V208&gt;0),(Q208-(Q208*V208)/12)*VLOOKUP(T208,ma_miengiam!$A$3:$B$80,2,0)+(Q208-(Q208*(12-V208))/12),IF(AND(RIGHT(T208,1)="K",V208&gt;0),(VLOOKUP(T208,ma_miengiam!$A$3:$B$80,2,0)/2)*(Q208*V208)/12,IF(RIGHT(T208,1)="K",(VLOOKUP(T208,ma_miengiam!$A$3:$B$80,2,0)*Q208)/2,IF(V208&gt;0,VLOOKUP(T208,ma_miengiam!$A$3:$B$80,2,0)*Q208*V208/12,VLOOKUP(T208,ma_miengiam!$A$3:$B$80,2,0)*Q208))))</f>
        <v>54</v>
      </c>
      <c r="X208" s="220">
        <f>IF(T208="NTS",VLOOKUP(T208,ma_miengiam!$A$3:$B$80,2,0)*R208*V208,IF(AND(T208="NTS",V208=0),0,IF(AND(LEFT(T208,1)="K",V208=0),VLOOKUP(T208,ma_miengiam!$A$3:$B$80,2,0)*R208,IF(LEFT(T208,1)="K",(VLOOKUP(T208,ma_miengiam!$A$3:$B$80,2,0)*R208/12)*V208,IF(AND(LEFT(T208,1)="S",V208&gt;0),(R208/12)*V208,IF(AND(LEFT(T208,1)="S",V208=0),R208,IF(T208="DH",VLOOKUP(T208,ma_miengiam!$A$3:$B$80,2,0)*R208,0)))))))</f>
        <v>0</v>
      </c>
      <c r="Y208" s="220">
        <f t="shared" si="597"/>
        <v>216</v>
      </c>
      <c r="Z208" s="220">
        <f t="shared" si="609"/>
        <v>120</v>
      </c>
      <c r="AA208" s="220">
        <f t="shared" si="653"/>
        <v>270</v>
      </c>
      <c r="AB208" s="220">
        <f t="shared" si="653"/>
        <v>120</v>
      </c>
      <c r="AC208" s="220">
        <f t="shared" si="654"/>
        <v>54</v>
      </c>
      <c r="AD208" s="220">
        <f t="shared" si="654"/>
        <v>0</v>
      </c>
      <c r="AE208" s="220">
        <f t="shared" si="654"/>
        <v>216</v>
      </c>
      <c r="AF208" s="220">
        <f t="shared" si="654"/>
        <v>120</v>
      </c>
      <c r="AG208" s="220">
        <f t="shared" si="655"/>
        <v>293.33000000000004</v>
      </c>
      <c r="AH208" s="220">
        <f t="shared" si="656"/>
        <v>133.33000000000001</v>
      </c>
      <c r="AI208" s="220">
        <f t="shared" si="657"/>
        <v>160</v>
      </c>
      <c r="AJ208" s="220">
        <f t="shared" si="513"/>
        <v>0</v>
      </c>
      <c r="AK208" s="216">
        <f t="shared" si="604"/>
        <v>216</v>
      </c>
      <c r="AL208" s="220">
        <f t="shared" si="611"/>
        <v>226.6</v>
      </c>
      <c r="AM208" s="220">
        <f t="shared" si="612"/>
        <v>0</v>
      </c>
      <c r="AN208" s="221">
        <f t="shared" si="613"/>
        <v>226.6</v>
      </c>
      <c r="AO208" s="220">
        <f t="shared" si="614"/>
        <v>0</v>
      </c>
      <c r="AP208" s="220">
        <f t="shared" si="615"/>
        <v>0</v>
      </c>
      <c r="AQ208" s="220">
        <f t="shared" si="616"/>
        <v>0</v>
      </c>
      <c r="AR208" s="220">
        <f t="shared" si="617"/>
        <v>0</v>
      </c>
      <c r="AS208" s="220">
        <f t="shared" si="618"/>
        <v>0</v>
      </c>
      <c r="AT208" s="216">
        <f t="shared" si="619"/>
        <v>226.6</v>
      </c>
      <c r="AU208" s="222">
        <f t="shared" si="574"/>
        <v>10.599999999999994</v>
      </c>
      <c r="AV208" s="220"/>
      <c r="AW208" s="220">
        <f t="shared" si="532"/>
        <v>10.599999999999994</v>
      </c>
      <c r="AX208" s="216">
        <f t="shared" si="620"/>
        <v>0</v>
      </c>
      <c r="AY208" s="220">
        <f t="shared" si="539"/>
        <v>0</v>
      </c>
      <c r="AZ208" s="220">
        <f t="shared" si="540"/>
        <v>0</v>
      </c>
      <c r="BA208" s="220">
        <f t="shared" si="541"/>
        <v>0</v>
      </c>
      <c r="BB208" s="220">
        <f t="shared" si="542"/>
        <v>0</v>
      </c>
      <c r="BC208" s="220">
        <f t="shared" si="543"/>
        <v>0</v>
      </c>
      <c r="BD208" s="216">
        <f t="shared" si="575"/>
        <v>0</v>
      </c>
      <c r="BE208" s="220">
        <f t="shared" si="533"/>
        <v>0</v>
      </c>
      <c r="BF208" s="220">
        <f t="shared" si="534"/>
        <v>0</v>
      </c>
      <c r="BG208" s="220">
        <f t="shared" si="535"/>
        <v>0</v>
      </c>
      <c r="BH208" s="220">
        <f t="shared" si="536"/>
        <v>0</v>
      </c>
      <c r="BI208" s="220">
        <f t="shared" si="537"/>
        <v>0</v>
      </c>
      <c r="BJ208" s="220" t="s">
        <v>2547</v>
      </c>
      <c r="BK208" s="220"/>
      <c r="BL208" s="223">
        <f t="shared" si="582"/>
        <v>10.599999999999994</v>
      </c>
      <c r="BM208" s="220">
        <v>4.32</v>
      </c>
      <c r="BN208" s="220"/>
      <c r="BO208" s="220">
        <f t="shared" si="625"/>
        <v>4.32</v>
      </c>
      <c r="BP208" s="220">
        <f>IF(AND(BL208&gt;0,BL208&lt;tiet!$D$1),BL208,IF(BL208&lt;=0,0,IF(BL208&gt;tiet!$C$1,tiet!$C$1)))</f>
        <v>10.599999999999994</v>
      </c>
      <c r="BQ208" s="87">
        <f t="shared" si="509"/>
        <v>65000</v>
      </c>
      <c r="BR208" s="224">
        <f t="shared" si="510"/>
        <v>689000</v>
      </c>
      <c r="BS208" s="220">
        <f t="shared" si="630"/>
        <v>0</v>
      </c>
      <c r="BT208" s="224">
        <f>VLOOKUP(N208,ma_dinhmuc!$A$1:$J$31,10,0)</f>
        <v>51000</v>
      </c>
      <c r="BU208" s="224">
        <f>ROUND(IF(BS208&gt;0,VLOOKUP(N208,ma_dinhmuc!$A$1:$J$31,10,0)*BS208,0),0)</f>
        <v>0</v>
      </c>
      <c r="BV208" s="224">
        <f t="shared" si="511"/>
        <v>689000</v>
      </c>
      <c r="BW208" s="224"/>
      <c r="BX208" s="224">
        <v>0</v>
      </c>
      <c r="BY208" s="224"/>
      <c r="BZ208" s="224"/>
      <c r="CA208" s="224"/>
      <c r="CB208" s="224"/>
      <c r="CC208" s="225">
        <f t="shared" si="544"/>
        <v>689000</v>
      </c>
      <c r="CD208" s="224">
        <f t="shared" si="545"/>
        <v>0</v>
      </c>
      <c r="CE208" s="224"/>
      <c r="CF208" s="226"/>
      <c r="CG208" s="87"/>
      <c r="CH208" s="87">
        <f>A208</f>
        <v>13</v>
      </c>
      <c r="CI208" s="227" t="str">
        <f t="shared" si="599"/>
        <v>Nguyễn Thị</v>
      </c>
      <c r="CJ208" s="227" t="str">
        <f t="shared" si="626"/>
        <v>Hiên</v>
      </c>
      <c r="CK208" s="87">
        <f t="shared" si="627"/>
        <v>4</v>
      </c>
      <c r="CL208" s="227" t="str">
        <f t="shared" si="600"/>
        <v>Cơ sở kỹ thuật điện</v>
      </c>
      <c r="CM208" s="87" t="str">
        <f t="shared" si="538"/>
        <v>CS2</v>
      </c>
      <c r="CN208" s="87">
        <f>Q208</f>
        <v>270</v>
      </c>
      <c r="CO208" s="87">
        <f t="shared" ref="CO208:CO213" si="660">R208</f>
        <v>120</v>
      </c>
      <c r="CP208" s="229">
        <f t="shared" si="634"/>
        <v>0</v>
      </c>
      <c r="CQ208" s="229">
        <f t="shared" si="635"/>
        <v>34.799999999999997</v>
      </c>
      <c r="CR208" s="229">
        <f t="shared" si="636"/>
        <v>13.9</v>
      </c>
      <c r="CS208" s="229">
        <f t="shared" si="637"/>
        <v>0</v>
      </c>
      <c r="CT208" s="229">
        <f t="shared" si="638"/>
        <v>0</v>
      </c>
      <c r="CU208" s="229">
        <f t="shared" si="639"/>
        <v>162.9</v>
      </c>
      <c r="CV208" s="229">
        <f t="shared" si="640"/>
        <v>0</v>
      </c>
      <c r="CW208" s="229">
        <f t="shared" si="641"/>
        <v>15</v>
      </c>
      <c r="CX208" s="229">
        <f t="shared" si="642"/>
        <v>0</v>
      </c>
      <c r="CY208" s="229">
        <f t="shared" si="643"/>
        <v>0</v>
      </c>
      <c r="CZ208" s="229">
        <f t="shared" si="644"/>
        <v>0</v>
      </c>
      <c r="DA208" s="229">
        <f t="shared" si="645"/>
        <v>0</v>
      </c>
      <c r="DB208" s="228">
        <f t="shared" si="606"/>
        <v>226.6</v>
      </c>
      <c r="DC208" s="229"/>
      <c r="DD208" s="229"/>
      <c r="DE208" s="229"/>
      <c r="DF208" s="229"/>
      <c r="DG208" s="229"/>
      <c r="DH208" s="229"/>
      <c r="DI208" s="229"/>
      <c r="DJ208" s="229"/>
      <c r="DK208" s="229"/>
      <c r="DL208" s="229"/>
      <c r="DM208" s="229"/>
      <c r="DN208" s="229"/>
      <c r="DO208" s="228">
        <f t="shared" si="622"/>
        <v>0</v>
      </c>
      <c r="DP208" s="228">
        <f t="shared" si="623"/>
        <v>226.6</v>
      </c>
      <c r="DQ208" s="229">
        <f t="shared" si="646"/>
        <v>0</v>
      </c>
      <c r="DR208" s="229">
        <f t="shared" si="647"/>
        <v>0</v>
      </c>
      <c r="DS208" s="229">
        <f t="shared" si="648"/>
        <v>0</v>
      </c>
      <c r="DT208" s="229">
        <f t="shared" si="649"/>
        <v>0</v>
      </c>
      <c r="DU208" s="229">
        <f t="shared" si="650"/>
        <v>0</v>
      </c>
      <c r="DV208" s="229">
        <f t="shared" si="651"/>
        <v>0</v>
      </c>
      <c r="DW208" s="229">
        <f t="shared" si="652"/>
        <v>0</v>
      </c>
      <c r="DX208" s="228">
        <f t="shared" si="607"/>
        <v>0</v>
      </c>
      <c r="DY208" s="229"/>
      <c r="DZ208" s="229"/>
      <c r="EA208" s="229"/>
      <c r="EB208" s="229"/>
      <c r="EC208" s="229"/>
      <c r="ED208" s="229"/>
      <c r="EE208" s="229"/>
      <c r="EF208" s="228">
        <f t="shared" si="631"/>
        <v>0</v>
      </c>
      <c r="EG208" s="228">
        <f t="shared" si="624"/>
        <v>0</v>
      </c>
      <c r="EH208" s="229">
        <f t="shared" si="632"/>
        <v>160</v>
      </c>
      <c r="EI208" s="229">
        <v>133.33000000000001</v>
      </c>
      <c r="EJ208" s="228">
        <f t="shared" si="602"/>
        <v>293.33000000000004</v>
      </c>
      <c r="EK208" s="229"/>
      <c r="EL208" s="229"/>
      <c r="EM208" s="228">
        <f t="shared" si="658"/>
        <v>0</v>
      </c>
      <c r="EN208" s="229">
        <f t="shared" si="576"/>
        <v>160</v>
      </c>
      <c r="EO208" s="229">
        <f t="shared" si="577"/>
        <v>133.33000000000001</v>
      </c>
      <c r="EP208" s="228">
        <f t="shared" si="659"/>
        <v>293.33000000000004</v>
      </c>
      <c r="EQ208" s="173">
        <f t="shared" si="633"/>
        <v>40</v>
      </c>
      <c r="ER208" s="189">
        <v>0</v>
      </c>
      <c r="ES208" s="189">
        <v>34.799999999999997</v>
      </c>
      <c r="ET208" s="189">
        <v>13.9</v>
      </c>
      <c r="EU208" s="189">
        <v>0</v>
      </c>
      <c r="EV208" s="189">
        <v>0</v>
      </c>
      <c r="EW208" s="189">
        <v>162.9</v>
      </c>
      <c r="EX208" s="189">
        <v>0</v>
      </c>
      <c r="EY208" s="189">
        <v>15</v>
      </c>
      <c r="EZ208" s="189">
        <v>0</v>
      </c>
      <c r="FA208" s="189">
        <v>0</v>
      </c>
      <c r="FB208" s="189">
        <v>0</v>
      </c>
      <c r="FC208" s="189">
        <v>0</v>
      </c>
      <c r="FD208" s="189">
        <v>0</v>
      </c>
      <c r="FE208" s="189">
        <v>0</v>
      </c>
      <c r="FF208" s="189">
        <v>0</v>
      </c>
      <c r="FG208" s="189">
        <v>0</v>
      </c>
      <c r="FH208" s="189">
        <v>0</v>
      </c>
      <c r="FI208" s="189">
        <v>0</v>
      </c>
      <c r="FJ208" s="189">
        <v>0</v>
      </c>
      <c r="FK208" s="189">
        <v>226.6</v>
      </c>
      <c r="FL208" s="189">
        <v>173</v>
      </c>
      <c r="FN208" s="132">
        <v>160</v>
      </c>
    </row>
    <row r="209" spans="1:170" ht="30" customHeight="1">
      <c r="A209" s="88">
        <f>COUNTIF($H$12:H209,H209)</f>
        <v>14</v>
      </c>
      <c r="B209" s="88" t="s">
        <v>511</v>
      </c>
      <c r="C209" s="88" t="s">
        <v>2516</v>
      </c>
      <c r="D209" s="88"/>
      <c r="E209" s="88"/>
      <c r="F209" s="301" t="s">
        <v>166</v>
      </c>
      <c r="G209" s="89" t="s">
        <v>2819</v>
      </c>
      <c r="H209" s="88">
        <v>4</v>
      </c>
      <c r="I209" s="88">
        <v>4</v>
      </c>
      <c r="J209" s="88">
        <v>4</v>
      </c>
      <c r="K209" s="90" t="s">
        <v>1075</v>
      </c>
      <c r="L209" s="90" t="s">
        <v>1075</v>
      </c>
      <c r="M209" s="214"/>
      <c r="N209" s="88" t="s">
        <v>1804</v>
      </c>
      <c r="O209" s="216">
        <f t="shared" si="608"/>
        <v>3.66</v>
      </c>
      <c r="P209" s="88" t="str">
        <f t="shared" si="468"/>
        <v>B1_4</v>
      </c>
      <c r="Q209" s="88">
        <f t="shared" si="527"/>
        <v>270</v>
      </c>
      <c r="R209" s="88">
        <f t="shared" si="528"/>
        <v>120</v>
      </c>
      <c r="S209" s="230" t="s">
        <v>689</v>
      </c>
      <c r="T209" s="88" t="s">
        <v>3090</v>
      </c>
      <c r="U209" s="88">
        <f>IF(RIGHT(T209,1)="K",(VLOOKUP(T209,ma_miengiam!$A$3:$B$80,2,0)*100)/2,VLOOKUP(T209,ma_miengiam!$A$3:$B$80,2,0)*100)</f>
        <v>15</v>
      </c>
      <c r="V209" s="88"/>
      <c r="W209" s="220">
        <f>IF(AND(T209="NTS",V209&gt;0),(Q209-(Q209*V209)/12)*VLOOKUP(T209,ma_miengiam!$A$3:$B$80,2,0)+(Q209-(Q209*(12-V209))/12),IF(AND(RIGHT(T209,1)="K",V209&gt;0),(VLOOKUP(T209,ma_miengiam!$A$3:$B$80,2,0)/2)*(Q209*V209)/12,IF(RIGHT(T209,1)="K",(VLOOKUP(T209,ma_miengiam!$A$3:$B$80,2,0)*Q209)/2,IF(V209&gt;0,VLOOKUP(T209,ma_miengiam!$A$3:$B$80,2,0)*Q209*V209/12,VLOOKUP(T209,ma_miengiam!$A$3:$B$80,2,0)*Q209))))</f>
        <v>40.5</v>
      </c>
      <c r="X209" s="220">
        <f>IF(T209="NTS",VLOOKUP(T209,ma_miengiam!$A$3:$B$80,2,0)*R209*V209,IF(AND(T209="NTS",V209=0),0,IF(AND(LEFT(T209,1)="K",V209=0),VLOOKUP(T209,ma_miengiam!$A$3:$B$80,2,0)*R209,IF(LEFT(T209,1)="K",(VLOOKUP(T209,ma_miengiam!$A$3:$B$80,2,0)*R209/12)*V209,IF(AND(LEFT(T209,1)="S",V209&gt;0),(R209/12)*V209,IF(AND(LEFT(T209,1)="S",V209=0),R209,IF(T209="DH",VLOOKUP(T209,ma_miengiam!$A$3:$B$80,2,0)*R209,0)))))))</f>
        <v>0</v>
      </c>
      <c r="Y209" s="220">
        <f t="shared" si="597"/>
        <v>229.5</v>
      </c>
      <c r="Z209" s="220">
        <f>IF(AND(T209="SĐH",V209&gt;0),(R209/12)*V209-X209,IF(AND(T209="DH",V209&gt;0),(R209*V209/12),IF(AND(T209&lt;&gt;"NTS",V209&gt;0),(R209*V209/12)-X209,IF(AND(T209="NTS",V209&gt;0),R209-X209,R209-X209))))</f>
        <v>120</v>
      </c>
      <c r="AA209" s="220">
        <f t="shared" ref="AA209:AB213" si="661">Q209</f>
        <v>270</v>
      </c>
      <c r="AB209" s="220">
        <f t="shared" si="661"/>
        <v>120</v>
      </c>
      <c r="AC209" s="220">
        <f>W209</f>
        <v>40.5</v>
      </c>
      <c r="AD209" s="220">
        <f>X209</f>
        <v>0</v>
      </c>
      <c r="AE209" s="220">
        <f>Y209</f>
        <v>229.5</v>
      </c>
      <c r="AF209" s="220">
        <f>Z209</f>
        <v>120</v>
      </c>
      <c r="AG209" s="220">
        <f t="shared" si="655"/>
        <v>30</v>
      </c>
      <c r="AH209" s="220">
        <f t="shared" si="656"/>
        <v>0</v>
      </c>
      <c r="AI209" s="220">
        <f t="shared" si="657"/>
        <v>30</v>
      </c>
      <c r="AJ209" s="220">
        <f>IF(AG209-Z209&gt;0,0,AG209-Z209)</f>
        <v>-90</v>
      </c>
      <c r="AK209" s="216">
        <f t="shared" si="604"/>
        <v>319.5</v>
      </c>
      <c r="AL209" s="220">
        <f t="shared" si="611"/>
        <v>257.3</v>
      </c>
      <c r="AM209" s="220">
        <f t="shared" si="612"/>
        <v>0</v>
      </c>
      <c r="AN209" s="221">
        <f t="shared" si="613"/>
        <v>257.3</v>
      </c>
      <c r="AO209" s="220">
        <f t="shared" si="614"/>
        <v>0</v>
      </c>
      <c r="AP209" s="220">
        <f t="shared" si="615"/>
        <v>0</v>
      </c>
      <c r="AQ209" s="220">
        <f t="shared" si="616"/>
        <v>0</v>
      </c>
      <c r="AR209" s="220">
        <f t="shared" si="617"/>
        <v>0</v>
      </c>
      <c r="AS209" s="220">
        <f t="shared" si="618"/>
        <v>0</v>
      </c>
      <c r="AT209" s="216">
        <f t="shared" si="619"/>
        <v>257.3</v>
      </c>
      <c r="AU209" s="222">
        <f t="shared" si="574"/>
        <v>-62.199999999999989</v>
      </c>
      <c r="AV209" s="220"/>
      <c r="AW209" s="220">
        <f t="shared" si="532"/>
        <v>-62.199999999999989</v>
      </c>
      <c r="AX209" s="216">
        <f t="shared" si="620"/>
        <v>-62.199999999999989</v>
      </c>
      <c r="AY209" s="220">
        <f t="shared" si="539"/>
        <v>0</v>
      </c>
      <c r="AZ209" s="220">
        <f t="shared" si="540"/>
        <v>0</v>
      </c>
      <c r="BA209" s="220">
        <f t="shared" si="541"/>
        <v>0</v>
      </c>
      <c r="BB209" s="220">
        <f t="shared" si="542"/>
        <v>0</v>
      </c>
      <c r="BC209" s="220">
        <f t="shared" si="543"/>
        <v>0</v>
      </c>
      <c r="BD209" s="216">
        <f t="shared" si="575"/>
        <v>0</v>
      </c>
      <c r="BE209" s="220">
        <f t="shared" si="533"/>
        <v>0</v>
      </c>
      <c r="BF209" s="220">
        <f t="shared" si="534"/>
        <v>0</v>
      </c>
      <c r="BG209" s="220">
        <f t="shared" si="535"/>
        <v>0</v>
      </c>
      <c r="BH209" s="220">
        <f t="shared" si="536"/>
        <v>0</v>
      </c>
      <c r="BI209" s="220">
        <f t="shared" si="537"/>
        <v>0</v>
      </c>
      <c r="BJ209" s="220" t="s">
        <v>2547</v>
      </c>
      <c r="BK209" s="220"/>
      <c r="BL209" s="223">
        <f t="shared" si="582"/>
        <v>0</v>
      </c>
      <c r="BM209" s="220">
        <v>3.66</v>
      </c>
      <c r="BN209" s="220"/>
      <c r="BO209" s="220">
        <f t="shared" ref="BO209:BO224" si="662">ROUND(BM209+(BM209*BN209),2)</f>
        <v>3.66</v>
      </c>
      <c r="BP209" s="220">
        <f>IF(AND(BL209&gt;0,BL209&lt;tiet!$D$1),BL209,IF(BL209&lt;=0,0,IF(BL209&gt;tiet!$C$1,tiet!$C$1)))</f>
        <v>0</v>
      </c>
      <c r="BQ209" s="87">
        <f>VLOOKUP(P209,ma_dinhmuc_moi,4,0)</f>
        <v>65000</v>
      </c>
      <c r="BR209" s="224">
        <f>ROUND(BQ209*BP209,0)</f>
        <v>0</v>
      </c>
      <c r="BS209" s="220">
        <f t="shared" si="630"/>
        <v>0</v>
      </c>
      <c r="BT209" s="224">
        <f>VLOOKUP(N209,ma_dinhmuc!$A$1:$J$31,10,0)</f>
        <v>51000</v>
      </c>
      <c r="BU209" s="224">
        <f>ROUND(IF(BS209&gt;0,VLOOKUP(N209,ma_dinhmuc!$A$1:$J$31,10,0)*BS209,0),0)</f>
        <v>0</v>
      </c>
      <c r="BV209" s="224">
        <f>ROUND(BU209+BR209,0)</f>
        <v>0</v>
      </c>
      <c r="BW209" s="224"/>
      <c r="BX209" s="224">
        <v>0</v>
      </c>
      <c r="BY209" s="224"/>
      <c r="BZ209" s="224"/>
      <c r="CA209" s="224"/>
      <c r="CB209" s="224"/>
      <c r="CC209" s="225">
        <f>ROUND(IF(BV209+BW209&gt;BX209+BY209+BZ209+CA209+CB209,(BW209+BV209)-(BX209+BY209+BZ209+CA209+CB209+CB209),0),0)</f>
        <v>0</v>
      </c>
      <c r="CD209" s="224">
        <f>ROUND(IF(BV209+BW209&lt;BX209+BY209+BZ209+CA209-CB209,(BX209+BY209+BZ209+CA209-CB209)-(BW209+BV209),0),0)</f>
        <v>0</v>
      </c>
      <c r="CE209" s="224"/>
      <c r="CF209" s="226"/>
      <c r="CG209" s="87"/>
      <c r="CH209" s="87">
        <f>A209</f>
        <v>14</v>
      </c>
      <c r="CI209" s="227" t="str">
        <f t="shared" si="599"/>
        <v>Mai Thị Thanh</v>
      </c>
      <c r="CJ209" s="227" t="str">
        <f>G209</f>
        <v>Thủy</v>
      </c>
      <c r="CK209" s="87">
        <f>H209</f>
        <v>4</v>
      </c>
      <c r="CL209" s="227" t="str">
        <f>L209</f>
        <v>Cơ sở kỹ thuật điện</v>
      </c>
      <c r="CM209" s="87" t="str">
        <f t="shared" si="538"/>
        <v>CS2</v>
      </c>
      <c r="CN209" s="87">
        <f>Q209</f>
        <v>270</v>
      </c>
      <c r="CO209" s="87">
        <f>R209</f>
        <v>120</v>
      </c>
      <c r="CP209" s="229">
        <f t="shared" si="634"/>
        <v>0</v>
      </c>
      <c r="CQ209" s="229">
        <f t="shared" si="635"/>
        <v>28.4</v>
      </c>
      <c r="CR209" s="229">
        <f t="shared" si="636"/>
        <v>11.4</v>
      </c>
      <c r="CS209" s="229">
        <f t="shared" si="637"/>
        <v>0</v>
      </c>
      <c r="CT209" s="229">
        <f t="shared" si="638"/>
        <v>0</v>
      </c>
      <c r="CU209" s="229">
        <f t="shared" si="639"/>
        <v>120</v>
      </c>
      <c r="CV209" s="229">
        <f t="shared" si="640"/>
        <v>0</v>
      </c>
      <c r="CW209" s="229">
        <f t="shared" si="641"/>
        <v>97.5</v>
      </c>
      <c r="CX209" s="229">
        <f t="shared" si="642"/>
        <v>0</v>
      </c>
      <c r="CY209" s="229">
        <f t="shared" si="643"/>
        <v>0</v>
      </c>
      <c r="CZ209" s="229">
        <f t="shared" si="644"/>
        <v>0</v>
      </c>
      <c r="DA209" s="229">
        <f t="shared" si="645"/>
        <v>0</v>
      </c>
      <c r="DB209" s="228">
        <f t="shared" si="606"/>
        <v>257.3</v>
      </c>
      <c r="DC209" s="229"/>
      <c r="DD209" s="229"/>
      <c r="DE209" s="229"/>
      <c r="DF209" s="229"/>
      <c r="DG209" s="229"/>
      <c r="DH209" s="229"/>
      <c r="DI209" s="229"/>
      <c r="DJ209" s="229"/>
      <c r="DK209" s="229"/>
      <c r="DL209" s="229"/>
      <c r="DM209" s="229"/>
      <c r="DN209" s="229"/>
      <c r="DO209" s="228">
        <f t="shared" si="622"/>
        <v>0</v>
      </c>
      <c r="DP209" s="228">
        <f t="shared" si="623"/>
        <v>257.3</v>
      </c>
      <c r="DQ209" s="229">
        <f t="shared" si="646"/>
        <v>0</v>
      </c>
      <c r="DR209" s="229">
        <f t="shared" si="647"/>
        <v>0</v>
      </c>
      <c r="DS209" s="229">
        <f t="shared" si="648"/>
        <v>0</v>
      </c>
      <c r="DT209" s="229">
        <f t="shared" si="649"/>
        <v>0</v>
      </c>
      <c r="DU209" s="229">
        <f t="shared" si="650"/>
        <v>0</v>
      </c>
      <c r="DV209" s="229">
        <f t="shared" si="651"/>
        <v>0</v>
      </c>
      <c r="DW209" s="229">
        <f t="shared" si="652"/>
        <v>0</v>
      </c>
      <c r="DX209" s="228">
        <f t="shared" si="607"/>
        <v>0</v>
      </c>
      <c r="DY209" s="229"/>
      <c r="DZ209" s="229"/>
      <c r="EA209" s="229"/>
      <c r="EB209" s="229"/>
      <c r="EC209" s="229"/>
      <c r="ED209" s="229"/>
      <c r="EE209" s="229"/>
      <c r="EF209" s="228">
        <f t="shared" si="631"/>
        <v>0</v>
      </c>
      <c r="EG209" s="228">
        <f t="shared" si="624"/>
        <v>0</v>
      </c>
      <c r="EH209" s="229">
        <f t="shared" si="632"/>
        <v>30</v>
      </c>
      <c r="EI209" s="229">
        <v>0</v>
      </c>
      <c r="EJ209" s="228">
        <f t="shared" si="602"/>
        <v>30</v>
      </c>
      <c r="EK209" s="229"/>
      <c r="EL209" s="229"/>
      <c r="EM209" s="228">
        <f t="shared" si="658"/>
        <v>0</v>
      </c>
      <c r="EN209" s="229">
        <f t="shared" si="576"/>
        <v>30</v>
      </c>
      <c r="EO209" s="229">
        <f t="shared" si="577"/>
        <v>0</v>
      </c>
      <c r="EP209" s="228">
        <f t="shared" si="659"/>
        <v>30</v>
      </c>
      <c r="EQ209" s="173">
        <f t="shared" si="633"/>
        <v>0</v>
      </c>
      <c r="ER209" s="189">
        <v>0</v>
      </c>
      <c r="ES209" s="189">
        <v>28.4</v>
      </c>
      <c r="ET209" s="189">
        <v>11.4</v>
      </c>
      <c r="EU209" s="189">
        <v>0</v>
      </c>
      <c r="EV209" s="189">
        <v>0</v>
      </c>
      <c r="EW209" s="189">
        <v>120</v>
      </c>
      <c r="EX209" s="189">
        <v>0</v>
      </c>
      <c r="EY209" s="189">
        <v>97.5</v>
      </c>
      <c r="EZ209" s="189">
        <v>0</v>
      </c>
      <c r="FA209" s="189">
        <v>0</v>
      </c>
      <c r="FB209" s="189">
        <v>0</v>
      </c>
      <c r="FC209" s="189">
        <v>0</v>
      </c>
      <c r="FD209" s="189">
        <v>0</v>
      </c>
      <c r="FE209" s="189">
        <v>0</v>
      </c>
      <c r="FF209" s="189">
        <v>0</v>
      </c>
      <c r="FG209" s="189">
        <v>0</v>
      </c>
      <c r="FH209" s="189">
        <v>0</v>
      </c>
      <c r="FI209" s="189">
        <v>0</v>
      </c>
      <c r="FJ209" s="189">
        <v>0</v>
      </c>
      <c r="FK209" s="189">
        <v>257.3</v>
      </c>
      <c r="FL209" s="189">
        <v>218</v>
      </c>
      <c r="FN209" s="132">
        <v>30</v>
      </c>
    </row>
    <row r="210" spans="1:170" ht="28.5" customHeight="1">
      <c r="A210" s="88">
        <f>COUNTIF($H$12:H210,H210)</f>
        <v>15</v>
      </c>
      <c r="B210" s="88" t="s">
        <v>512</v>
      </c>
      <c r="C210" s="88" t="s">
        <v>2517</v>
      </c>
      <c r="D210" s="88"/>
      <c r="E210" s="88"/>
      <c r="F210" s="301" t="s">
        <v>167</v>
      </c>
      <c r="G210" s="89" t="s">
        <v>14</v>
      </c>
      <c r="H210" s="88">
        <v>4</v>
      </c>
      <c r="I210" s="88">
        <v>4</v>
      </c>
      <c r="J210" s="88">
        <v>4</v>
      </c>
      <c r="K210" s="90" t="s">
        <v>1075</v>
      </c>
      <c r="L210" s="90" t="s">
        <v>1075</v>
      </c>
      <c r="M210" s="214"/>
      <c r="N210" s="88" t="s">
        <v>606</v>
      </c>
      <c r="O210" s="216">
        <f t="shared" si="608"/>
        <v>6.1</v>
      </c>
      <c r="P210" s="88" t="str">
        <f t="shared" ref="P210:P272" si="663">IF(BO210&lt;3.33,"B1_3",IF(AND(BO210&gt;=3.33,BO210&lt;4.65),"B1_4",IF(AND(BO210&gt;=4.65,BO210&lt;5.42),"B1_5",IF(AND(BO210&gt;=5.42,BO210&lt;6.44),"B1_6",IF(AND(BO210&gt;=6.44,BO210&lt;=6.92),"B1_7","B1_8")))))</f>
        <v>B1_6</v>
      </c>
      <c r="Q210" s="88">
        <f t="shared" si="527"/>
        <v>270</v>
      </c>
      <c r="R210" s="88">
        <f t="shared" si="528"/>
        <v>170</v>
      </c>
      <c r="S210" s="218" t="s">
        <v>3174</v>
      </c>
      <c r="T210" s="88" t="s">
        <v>3088</v>
      </c>
      <c r="U210" s="88">
        <f>IF(RIGHT(T210,1)="K",(VLOOKUP(T210,ma_miengiam!$A$3:$B$80,2,0)*100)/2,VLOOKUP(T210,ma_miengiam!$A$3:$B$80,2,0)*100)</f>
        <v>0</v>
      </c>
      <c r="V210" s="88">
        <v>2</v>
      </c>
      <c r="W210" s="220">
        <f>IF(AND(T210="NTS",V210&gt;0),(Q210-(Q210*V210)/12)*VLOOKUP(T210,ma_miengiam!$A$3:$B$80,2,0)+(Q210-(Q210*(12-V210))/12),IF(AND(RIGHT(T210,1)="K",V210&gt;0),(VLOOKUP(T210,ma_miengiam!$A$3:$B$80,2,0)/2)*(Q210*V210)/12,IF(RIGHT(T210,1)="K",(VLOOKUP(T210,ma_miengiam!$A$3:$B$80,2,0)*Q210)/2,IF(V210&gt;0,VLOOKUP(T210,ma_miengiam!$A$3:$B$80,2,0)*Q210*V210/12,VLOOKUP(T210,ma_miengiam!$A$3:$B$80,2,0)*Q210))))</f>
        <v>0</v>
      </c>
      <c r="X210" s="220">
        <f>IF(T210="NTS",VLOOKUP(T210,ma_miengiam!$A$3:$B$80,2,0)*R210*V210,IF(AND(T210="NTS",V210=0),0,IF(AND(LEFT(T210,1)="K",V210=0),VLOOKUP(T210,ma_miengiam!$A$3:$B$80,2,0)*R210,IF(LEFT(T210,1)="K",(VLOOKUP(T210,ma_miengiam!$A$3:$B$80,2,0)*R210/12)*V210,IF(AND(LEFT(T210,1)="S",V210&gt;0),(R210/12)*V210,IF(AND(LEFT(T210,1)="S",V210=0),R210,IF(T210="DH",VLOOKUP(T210,ma_miengiam!$A$3:$B$80,2,0)*R210,0)))))))</f>
        <v>0</v>
      </c>
      <c r="Y210" s="220">
        <f t="shared" si="597"/>
        <v>45</v>
      </c>
      <c r="Z210" s="220">
        <f t="shared" si="609"/>
        <v>28.333333333333332</v>
      </c>
      <c r="AA210" s="220">
        <f t="shared" si="661"/>
        <v>270</v>
      </c>
      <c r="AB210" s="220">
        <f t="shared" si="661"/>
        <v>170</v>
      </c>
      <c r="AC210" s="220">
        <f t="shared" ref="AC210:AF212" si="664">W210</f>
        <v>0</v>
      </c>
      <c r="AD210" s="220">
        <f t="shared" si="664"/>
        <v>0</v>
      </c>
      <c r="AE210" s="220">
        <f t="shared" si="664"/>
        <v>45</v>
      </c>
      <c r="AF210" s="220">
        <f t="shared" si="664"/>
        <v>28.333333333333332</v>
      </c>
      <c r="AG210" s="220">
        <f t="shared" si="655"/>
        <v>0</v>
      </c>
      <c r="AH210" s="220">
        <f t="shared" si="656"/>
        <v>0</v>
      </c>
      <c r="AI210" s="220">
        <f t="shared" si="657"/>
        <v>0</v>
      </c>
      <c r="AJ210" s="220">
        <f t="shared" si="513"/>
        <v>-28.333333333333332</v>
      </c>
      <c r="AK210" s="216">
        <f t="shared" si="604"/>
        <v>73.333333333333329</v>
      </c>
      <c r="AL210" s="220">
        <f t="shared" si="611"/>
        <v>73.099999999999994</v>
      </c>
      <c r="AM210" s="220">
        <f t="shared" si="612"/>
        <v>0</v>
      </c>
      <c r="AN210" s="221">
        <f t="shared" si="613"/>
        <v>73.099999999999994</v>
      </c>
      <c r="AO210" s="220">
        <f t="shared" si="614"/>
        <v>0</v>
      </c>
      <c r="AP210" s="220">
        <f t="shared" si="615"/>
        <v>0</v>
      </c>
      <c r="AQ210" s="220">
        <f t="shared" si="616"/>
        <v>0</v>
      </c>
      <c r="AR210" s="220">
        <f t="shared" si="617"/>
        <v>0</v>
      </c>
      <c r="AS210" s="220">
        <f t="shared" si="618"/>
        <v>0</v>
      </c>
      <c r="AT210" s="216">
        <f t="shared" si="619"/>
        <v>73.099999999999994</v>
      </c>
      <c r="AU210" s="222">
        <f t="shared" si="574"/>
        <v>-0.23333333333333428</v>
      </c>
      <c r="AV210" s="220"/>
      <c r="AW210" s="220">
        <f t="shared" si="532"/>
        <v>-0.23333333333333428</v>
      </c>
      <c r="AX210" s="216">
        <f t="shared" si="620"/>
        <v>-0.23333333333333428</v>
      </c>
      <c r="AY210" s="220">
        <f t="shared" si="539"/>
        <v>0</v>
      </c>
      <c r="AZ210" s="220">
        <f t="shared" si="540"/>
        <v>0</v>
      </c>
      <c r="BA210" s="220">
        <f t="shared" si="541"/>
        <v>0</v>
      </c>
      <c r="BB210" s="220">
        <f t="shared" si="542"/>
        <v>0</v>
      </c>
      <c r="BC210" s="220">
        <f t="shared" si="543"/>
        <v>0</v>
      </c>
      <c r="BD210" s="216">
        <f t="shared" si="575"/>
        <v>0</v>
      </c>
      <c r="BE210" s="220">
        <f t="shared" si="533"/>
        <v>0</v>
      </c>
      <c r="BF210" s="220">
        <f t="shared" si="534"/>
        <v>0</v>
      </c>
      <c r="BG210" s="220">
        <f t="shared" si="535"/>
        <v>0</v>
      </c>
      <c r="BH210" s="220">
        <f t="shared" si="536"/>
        <v>0</v>
      </c>
      <c r="BI210" s="220">
        <f t="shared" si="537"/>
        <v>0</v>
      </c>
      <c r="BJ210" s="220" t="s">
        <v>2548</v>
      </c>
      <c r="BK210" s="220"/>
      <c r="BL210" s="223">
        <f t="shared" si="582"/>
        <v>0</v>
      </c>
      <c r="BM210" s="220">
        <v>6.1</v>
      </c>
      <c r="BN210" s="220"/>
      <c r="BO210" s="220">
        <f t="shared" si="662"/>
        <v>6.1</v>
      </c>
      <c r="BP210" s="220">
        <f>IF(AND(BL210&gt;0,BL210&lt;tiet!$D$1),BL210,IF(BL210&lt;=0,0,IF(BL210&gt;tiet!$C$1,tiet!$C$1)))</f>
        <v>0</v>
      </c>
      <c r="BQ210" s="87">
        <f t="shared" si="509"/>
        <v>75000</v>
      </c>
      <c r="BR210" s="224">
        <f t="shared" si="510"/>
        <v>0</v>
      </c>
      <c r="BS210" s="220">
        <f t="shared" si="630"/>
        <v>0</v>
      </c>
      <c r="BT210" s="224">
        <f>VLOOKUP(N210,ma_dinhmuc!$A$1:$J$31,10,0)</f>
        <v>55000</v>
      </c>
      <c r="BU210" s="224">
        <f>ROUND(IF(BS210&gt;0,VLOOKUP(N210,ma_dinhmuc!$A$1:$J$31,10,0)*BS210,0),0)</f>
        <v>0</v>
      </c>
      <c r="BV210" s="224">
        <f t="shared" si="511"/>
        <v>0</v>
      </c>
      <c r="BW210" s="224"/>
      <c r="BX210" s="224">
        <v>0</v>
      </c>
      <c r="BY210" s="224"/>
      <c r="BZ210" s="224"/>
      <c r="CA210" s="224"/>
      <c r="CB210" s="224"/>
      <c r="CC210" s="225">
        <f t="shared" si="544"/>
        <v>0</v>
      </c>
      <c r="CD210" s="224">
        <f t="shared" si="545"/>
        <v>0</v>
      </c>
      <c r="CE210" s="224"/>
      <c r="CF210" s="226"/>
      <c r="CG210" s="87"/>
      <c r="CH210" s="87">
        <f>A210</f>
        <v>15</v>
      </c>
      <c r="CI210" s="227" t="str">
        <f t="shared" si="599"/>
        <v>Phạm Việt</v>
      </c>
      <c r="CJ210" s="227" t="str">
        <f t="shared" si="626"/>
        <v>Sơn</v>
      </c>
      <c r="CK210" s="87">
        <f t="shared" si="627"/>
        <v>4</v>
      </c>
      <c r="CL210" s="227" t="str">
        <f t="shared" si="600"/>
        <v>Cơ sở kỹ thuật điện</v>
      </c>
      <c r="CM210" s="87" t="str">
        <f t="shared" si="538"/>
        <v>CS3</v>
      </c>
      <c r="CN210" s="87">
        <f>Q210</f>
        <v>270</v>
      </c>
      <c r="CO210" s="87">
        <f>R210</f>
        <v>170</v>
      </c>
      <c r="CP210" s="229">
        <f t="shared" si="634"/>
        <v>0</v>
      </c>
      <c r="CQ210" s="229">
        <f t="shared" si="635"/>
        <v>0</v>
      </c>
      <c r="CR210" s="229">
        <f t="shared" si="636"/>
        <v>3.1</v>
      </c>
      <c r="CS210" s="229">
        <f t="shared" si="637"/>
        <v>0</v>
      </c>
      <c r="CT210" s="229">
        <f t="shared" si="638"/>
        <v>0</v>
      </c>
      <c r="CU210" s="229">
        <f t="shared" si="639"/>
        <v>30</v>
      </c>
      <c r="CV210" s="229">
        <f t="shared" si="640"/>
        <v>0</v>
      </c>
      <c r="CW210" s="229">
        <f t="shared" si="641"/>
        <v>40</v>
      </c>
      <c r="CX210" s="229">
        <f t="shared" si="642"/>
        <v>0</v>
      </c>
      <c r="CY210" s="229">
        <f t="shared" si="643"/>
        <v>0</v>
      </c>
      <c r="CZ210" s="229">
        <f t="shared" si="644"/>
        <v>0</v>
      </c>
      <c r="DA210" s="229">
        <f t="shared" si="645"/>
        <v>0</v>
      </c>
      <c r="DB210" s="228">
        <f t="shared" si="606"/>
        <v>73.099999999999994</v>
      </c>
      <c r="DC210" s="229"/>
      <c r="DD210" s="229"/>
      <c r="DE210" s="229"/>
      <c r="DF210" s="229"/>
      <c r="DG210" s="229"/>
      <c r="DH210" s="229"/>
      <c r="DI210" s="229"/>
      <c r="DJ210" s="229"/>
      <c r="DK210" s="229"/>
      <c r="DL210" s="229"/>
      <c r="DM210" s="229"/>
      <c r="DN210" s="229"/>
      <c r="DO210" s="228">
        <f t="shared" si="622"/>
        <v>0</v>
      </c>
      <c r="DP210" s="228">
        <f t="shared" si="623"/>
        <v>73.099999999999994</v>
      </c>
      <c r="DQ210" s="229">
        <f t="shared" si="646"/>
        <v>0</v>
      </c>
      <c r="DR210" s="229">
        <f t="shared" si="647"/>
        <v>0</v>
      </c>
      <c r="DS210" s="229">
        <f t="shared" si="648"/>
        <v>0</v>
      </c>
      <c r="DT210" s="229">
        <f t="shared" si="649"/>
        <v>0</v>
      </c>
      <c r="DU210" s="229">
        <f t="shared" si="650"/>
        <v>0</v>
      </c>
      <c r="DV210" s="229">
        <f t="shared" si="651"/>
        <v>0</v>
      </c>
      <c r="DW210" s="229">
        <f t="shared" si="652"/>
        <v>0</v>
      </c>
      <c r="DX210" s="228">
        <f t="shared" si="607"/>
        <v>0</v>
      </c>
      <c r="DY210" s="229"/>
      <c r="DZ210" s="229"/>
      <c r="EA210" s="229"/>
      <c r="EB210" s="229"/>
      <c r="EC210" s="229"/>
      <c r="ED210" s="229"/>
      <c r="EE210" s="229"/>
      <c r="EF210" s="228">
        <f t="shared" si="631"/>
        <v>0</v>
      </c>
      <c r="EG210" s="228">
        <f t="shared" si="624"/>
        <v>0</v>
      </c>
      <c r="EH210" s="229">
        <f t="shared" si="632"/>
        <v>0</v>
      </c>
      <c r="EI210" s="229">
        <v>0</v>
      </c>
      <c r="EJ210" s="228">
        <f t="shared" si="602"/>
        <v>0</v>
      </c>
      <c r="EK210" s="229"/>
      <c r="EL210" s="229"/>
      <c r="EM210" s="228">
        <f t="shared" si="658"/>
        <v>0</v>
      </c>
      <c r="EN210" s="229">
        <f t="shared" si="576"/>
        <v>0</v>
      </c>
      <c r="EO210" s="229">
        <f t="shared" si="577"/>
        <v>0</v>
      </c>
      <c r="EP210" s="228">
        <f t="shared" si="659"/>
        <v>0</v>
      </c>
      <c r="EQ210" s="173">
        <f t="shared" si="633"/>
        <v>0</v>
      </c>
      <c r="ER210" s="189">
        <v>0</v>
      </c>
      <c r="ES210" s="189">
        <v>0</v>
      </c>
      <c r="ET210" s="189">
        <v>3.1</v>
      </c>
      <c r="EU210" s="189">
        <v>0</v>
      </c>
      <c r="EV210" s="189">
        <v>0</v>
      </c>
      <c r="EW210" s="189">
        <v>30</v>
      </c>
      <c r="EX210" s="189">
        <v>0</v>
      </c>
      <c r="EY210" s="189">
        <v>40</v>
      </c>
      <c r="EZ210" s="189">
        <v>0</v>
      </c>
      <c r="FA210" s="189">
        <v>0</v>
      </c>
      <c r="FB210" s="189">
        <v>0</v>
      </c>
      <c r="FC210" s="189">
        <v>0</v>
      </c>
      <c r="FD210" s="189">
        <v>0</v>
      </c>
      <c r="FE210" s="189">
        <v>0</v>
      </c>
      <c r="FF210" s="189">
        <v>0</v>
      </c>
      <c r="FG210" s="189">
        <v>0</v>
      </c>
      <c r="FH210" s="189">
        <v>0</v>
      </c>
      <c r="FI210" s="189">
        <v>0</v>
      </c>
      <c r="FJ210" s="189">
        <v>0</v>
      </c>
      <c r="FK210" s="189">
        <v>73.099999999999994</v>
      </c>
      <c r="FL210" s="189">
        <v>63</v>
      </c>
      <c r="FN210" s="132">
        <v>0</v>
      </c>
    </row>
    <row r="211" spans="1:170" ht="30.75" customHeight="1">
      <c r="A211" s="88">
        <f>COUNTIF($H$12:H211,H211)</f>
        <v>16</v>
      </c>
      <c r="B211" s="88" t="s">
        <v>513</v>
      </c>
      <c r="C211" s="88" t="s">
        <v>2518</v>
      </c>
      <c r="D211" s="88"/>
      <c r="E211" s="88"/>
      <c r="F211" s="301" t="s">
        <v>3153</v>
      </c>
      <c r="G211" s="303" t="s">
        <v>1651</v>
      </c>
      <c r="H211" s="88">
        <v>4</v>
      </c>
      <c r="I211" s="88">
        <v>4</v>
      </c>
      <c r="J211" s="88">
        <v>4</v>
      </c>
      <c r="K211" s="90" t="s">
        <v>1075</v>
      </c>
      <c r="L211" s="90" t="s">
        <v>1075</v>
      </c>
      <c r="M211" s="214"/>
      <c r="N211" s="88" t="s">
        <v>1804</v>
      </c>
      <c r="O211" s="216">
        <f t="shared" ref="O211:O221" si="665">BO211</f>
        <v>3</v>
      </c>
      <c r="P211" s="88" t="str">
        <f t="shared" si="663"/>
        <v>B1_3</v>
      </c>
      <c r="Q211" s="88">
        <f t="shared" si="527"/>
        <v>270</v>
      </c>
      <c r="R211" s="88">
        <f t="shared" si="528"/>
        <v>100</v>
      </c>
      <c r="S211" s="218"/>
      <c r="T211" s="88" t="s">
        <v>3088</v>
      </c>
      <c r="U211" s="88">
        <f>IF(RIGHT(T211,1)="K",(VLOOKUP(T211,ma_miengiam!$A$3:$B$80,2,0)*100)/2,VLOOKUP(T211,ma_miengiam!$A$3:$B$80,2,0)*100)</f>
        <v>0</v>
      </c>
      <c r="V211" s="88"/>
      <c r="W211" s="220">
        <f>IF(AND(T211="NTS",V211&gt;0),(Q211-(Q211*V211)/12)*VLOOKUP(T211,ma_miengiam!$A$3:$B$80,2,0)+(Q211-(Q211*(12-V211))/12),IF(AND(RIGHT(T211,1)="K",V211&gt;0),(VLOOKUP(T211,ma_miengiam!$A$3:$B$80,2,0)/2)*(Q211*V211)/12,IF(RIGHT(T211,1)="K",(VLOOKUP(T211,ma_miengiam!$A$3:$B$80,2,0)*Q211)/2,IF(V211&gt;0,VLOOKUP(T211,ma_miengiam!$A$3:$B$80,2,0)*Q211*V211/12,VLOOKUP(T211,ma_miengiam!$A$3:$B$80,2,0)*Q211))))</f>
        <v>0</v>
      </c>
      <c r="X211" s="220">
        <f>IF(T211="NTS",VLOOKUP(T211,ma_miengiam!$A$3:$B$80,2,0)*R211*V211,IF(AND(T211="NTS",V211=0),0,IF(AND(LEFT(T211,1)="K",V211=0),VLOOKUP(T211,ma_miengiam!$A$3:$B$80,2,0)*R211,IF(LEFT(T211,1)="K",(VLOOKUP(T211,ma_miengiam!$A$3:$B$80,2,0)*R211/12)*V211,IF(AND(LEFT(T211,1)="S",V211&gt;0),(R211/12)*V211,IF(AND(LEFT(T211,1)="S",V211=0),R211,IF(T211="DH",VLOOKUP(T211,ma_miengiam!$A$3:$B$80,2,0)*R211,0)))))))</f>
        <v>0</v>
      </c>
      <c r="Y211" s="220">
        <f t="shared" si="597"/>
        <v>270</v>
      </c>
      <c r="Z211" s="220">
        <f t="shared" si="609"/>
        <v>100</v>
      </c>
      <c r="AA211" s="220">
        <f t="shared" si="661"/>
        <v>270</v>
      </c>
      <c r="AB211" s="220">
        <f t="shared" si="661"/>
        <v>100</v>
      </c>
      <c r="AC211" s="220">
        <f t="shared" si="664"/>
        <v>0</v>
      </c>
      <c r="AD211" s="220">
        <f t="shared" si="664"/>
        <v>0</v>
      </c>
      <c r="AE211" s="220">
        <f t="shared" si="664"/>
        <v>270</v>
      </c>
      <c r="AF211" s="220">
        <f t="shared" si="664"/>
        <v>100</v>
      </c>
      <c r="AG211" s="220">
        <f t="shared" si="655"/>
        <v>70</v>
      </c>
      <c r="AH211" s="220">
        <f t="shared" si="656"/>
        <v>25</v>
      </c>
      <c r="AI211" s="220">
        <f t="shared" si="657"/>
        <v>45</v>
      </c>
      <c r="AJ211" s="220">
        <f t="shared" si="513"/>
        <v>-30</v>
      </c>
      <c r="AK211" s="216">
        <f t="shared" si="604"/>
        <v>300</v>
      </c>
      <c r="AL211" s="220">
        <f t="shared" si="611"/>
        <v>227.1</v>
      </c>
      <c r="AM211" s="220">
        <f t="shared" si="612"/>
        <v>0</v>
      </c>
      <c r="AN211" s="221">
        <f t="shared" si="613"/>
        <v>227.1</v>
      </c>
      <c r="AO211" s="220">
        <f t="shared" si="614"/>
        <v>0</v>
      </c>
      <c r="AP211" s="220">
        <f t="shared" si="615"/>
        <v>0</v>
      </c>
      <c r="AQ211" s="220">
        <f t="shared" si="616"/>
        <v>0</v>
      </c>
      <c r="AR211" s="220">
        <f t="shared" si="617"/>
        <v>0</v>
      </c>
      <c r="AS211" s="220">
        <f t="shared" si="618"/>
        <v>0</v>
      </c>
      <c r="AT211" s="216">
        <f t="shared" si="619"/>
        <v>227.1</v>
      </c>
      <c r="AU211" s="222">
        <f t="shared" si="574"/>
        <v>-72.900000000000006</v>
      </c>
      <c r="AV211" s="220"/>
      <c r="AW211" s="220">
        <f t="shared" si="532"/>
        <v>-72.900000000000006</v>
      </c>
      <c r="AX211" s="216">
        <f t="shared" si="620"/>
        <v>-72.900000000000006</v>
      </c>
      <c r="AY211" s="220">
        <f t="shared" si="539"/>
        <v>0</v>
      </c>
      <c r="AZ211" s="220">
        <f t="shared" si="540"/>
        <v>0</v>
      </c>
      <c r="BA211" s="220">
        <f t="shared" si="541"/>
        <v>0</v>
      </c>
      <c r="BB211" s="220">
        <f t="shared" si="542"/>
        <v>0</v>
      </c>
      <c r="BC211" s="220">
        <f t="shared" si="543"/>
        <v>0</v>
      </c>
      <c r="BD211" s="216">
        <f t="shared" si="575"/>
        <v>0</v>
      </c>
      <c r="BE211" s="220">
        <f t="shared" si="533"/>
        <v>0</v>
      </c>
      <c r="BF211" s="220">
        <f t="shared" si="534"/>
        <v>0</v>
      </c>
      <c r="BG211" s="220">
        <f t="shared" si="535"/>
        <v>0</v>
      </c>
      <c r="BH211" s="220">
        <f t="shared" si="536"/>
        <v>0</v>
      </c>
      <c r="BI211" s="220">
        <f t="shared" si="537"/>
        <v>0</v>
      </c>
      <c r="BJ211" s="220" t="s">
        <v>2548</v>
      </c>
      <c r="BK211" s="220"/>
      <c r="BL211" s="223">
        <f t="shared" si="582"/>
        <v>0</v>
      </c>
      <c r="BM211" s="220">
        <v>3</v>
      </c>
      <c r="BN211" s="220"/>
      <c r="BO211" s="220">
        <f t="shared" si="662"/>
        <v>3</v>
      </c>
      <c r="BP211" s="220">
        <f>IF(AND(BL211&gt;0,BL211&lt;tiet!$D$1),BL211,IF(BL211&lt;=0,0,IF(BL211&gt;tiet!$C$1,tiet!$C$1)))</f>
        <v>0</v>
      </c>
      <c r="BQ211" s="87">
        <f t="shared" si="509"/>
        <v>60000</v>
      </c>
      <c r="BR211" s="224">
        <f t="shared" si="510"/>
        <v>0</v>
      </c>
      <c r="BS211" s="220">
        <f t="shared" si="630"/>
        <v>0</v>
      </c>
      <c r="BT211" s="224">
        <f>VLOOKUP(N211,ma_dinhmuc!$A$1:$J$31,10,0)</f>
        <v>51000</v>
      </c>
      <c r="BU211" s="224">
        <f>ROUND(IF(BS211&gt;0,VLOOKUP(N211,ma_dinhmuc!$A$1:$J$31,10,0)*BS211,0),0)</f>
        <v>0</v>
      </c>
      <c r="BV211" s="224">
        <f t="shared" si="511"/>
        <v>0</v>
      </c>
      <c r="BW211" s="224"/>
      <c r="BX211" s="224">
        <v>0</v>
      </c>
      <c r="BY211" s="224"/>
      <c r="BZ211" s="224"/>
      <c r="CA211" s="224"/>
      <c r="CB211" s="224"/>
      <c r="CC211" s="225">
        <f t="shared" si="544"/>
        <v>0</v>
      </c>
      <c r="CD211" s="224">
        <f t="shared" si="545"/>
        <v>0</v>
      </c>
      <c r="CE211" s="224"/>
      <c r="CF211" s="226"/>
      <c r="CG211" s="87"/>
      <c r="CH211" s="87">
        <f t="shared" ref="CH211:CH224" si="666">A211</f>
        <v>16</v>
      </c>
      <c r="CI211" s="227" t="str">
        <f t="shared" si="599"/>
        <v>Nguyễn Thị Tuyết</v>
      </c>
      <c r="CJ211" s="227" t="str">
        <f t="shared" si="626"/>
        <v>Nhung</v>
      </c>
      <c r="CK211" s="87">
        <f t="shared" si="627"/>
        <v>4</v>
      </c>
      <c r="CL211" s="227" t="str">
        <f t="shared" si="600"/>
        <v>Cơ sở kỹ thuật điện</v>
      </c>
      <c r="CM211" s="87" t="str">
        <f t="shared" si="538"/>
        <v>CS2</v>
      </c>
      <c r="CN211" s="87">
        <f>Q211</f>
        <v>270</v>
      </c>
      <c r="CO211" s="87">
        <f t="shared" si="660"/>
        <v>100</v>
      </c>
      <c r="CP211" s="229">
        <f t="shared" si="634"/>
        <v>0</v>
      </c>
      <c r="CQ211" s="229">
        <f t="shared" si="635"/>
        <v>25.9</v>
      </c>
      <c r="CR211" s="229">
        <f t="shared" si="636"/>
        <v>7.2</v>
      </c>
      <c r="CS211" s="229">
        <f t="shared" si="637"/>
        <v>0</v>
      </c>
      <c r="CT211" s="229">
        <f t="shared" si="638"/>
        <v>0</v>
      </c>
      <c r="CU211" s="229">
        <f t="shared" si="639"/>
        <v>74</v>
      </c>
      <c r="CV211" s="229">
        <f t="shared" si="640"/>
        <v>0</v>
      </c>
      <c r="CW211" s="229">
        <f t="shared" si="641"/>
        <v>120</v>
      </c>
      <c r="CX211" s="229">
        <f t="shared" si="642"/>
        <v>0</v>
      </c>
      <c r="CY211" s="229">
        <f t="shared" si="643"/>
        <v>0</v>
      </c>
      <c r="CZ211" s="229">
        <f t="shared" si="644"/>
        <v>0</v>
      </c>
      <c r="DA211" s="229">
        <f t="shared" si="645"/>
        <v>0</v>
      </c>
      <c r="DB211" s="228">
        <f t="shared" si="606"/>
        <v>227.1</v>
      </c>
      <c r="DC211" s="229"/>
      <c r="DD211" s="229"/>
      <c r="DE211" s="229"/>
      <c r="DF211" s="229"/>
      <c r="DG211" s="229"/>
      <c r="DH211" s="229"/>
      <c r="DI211" s="229"/>
      <c r="DJ211" s="229"/>
      <c r="DK211" s="229"/>
      <c r="DL211" s="229"/>
      <c r="DM211" s="229"/>
      <c r="DN211" s="229"/>
      <c r="DO211" s="228">
        <f t="shared" si="622"/>
        <v>0</v>
      </c>
      <c r="DP211" s="228">
        <f t="shared" si="623"/>
        <v>227.1</v>
      </c>
      <c r="DQ211" s="229">
        <f t="shared" si="646"/>
        <v>0</v>
      </c>
      <c r="DR211" s="229">
        <f t="shared" si="647"/>
        <v>0</v>
      </c>
      <c r="DS211" s="229">
        <f t="shared" si="648"/>
        <v>0</v>
      </c>
      <c r="DT211" s="229">
        <f t="shared" si="649"/>
        <v>0</v>
      </c>
      <c r="DU211" s="229">
        <f t="shared" si="650"/>
        <v>0</v>
      </c>
      <c r="DV211" s="229">
        <f t="shared" si="651"/>
        <v>0</v>
      </c>
      <c r="DW211" s="229">
        <f t="shared" si="652"/>
        <v>0</v>
      </c>
      <c r="DX211" s="228">
        <f t="shared" si="607"/>
        <v>0</v>
      </c>
      <c r="DY211" s="229"/>
      <c r="DZ211" s="229"/>
      <c r="EA211" s="229"/>
      <c r="EB211" s="229"/>
      <c r="EC211" s="229"/>
      <c r="ED211" s="229"/>
      <c r="EE211" s="229"/>
      <c r="EF211" s="228">
        <f t="shared" si="631"/>
        <v>0</v>
      </c>
      <c r="EG211" s="228">
        <f t="shared" si="624"/>
        <v>0</v>
      </c>
      <c r="EH211" s="229">
        <f t="shared" si="632"/>
        <v>45</v>
      </c>
      <c r="EI211" s="229">
        <v>25</v>
      </c>
      <c r="EJ211" s="228">
        <f t="shared" si="602"/>
        <v>70</v>
      </c>
      <c r="EK211" s="229"/>
      <c r="EL211" s="229"/>
      <c r="EM211" s="228">
        <f t="shared" si="658"/>
        <v>0</v>
      </c>
      <c r="EN211" s="229">
        <f t="shared" si="576"/>
        <v>45</v>
      </c>
      <c r="EO211" s="229">
        <f t="shared" si="577"/>
        <v>25</v>
      </c>
      <c r="EP211" s="228">
        <f t="shared" si="659"/>
        <v>70</v>
      </c>
      <c r="EQ211" s="173">
        <f t="shared" si="633"/>
        <v>0</v>
      </c>
      <c r="ER211" s="189">
        <v>0</v>
      </c>
      <c r="ES211" s="189">
        <v>25.9</v>
      </c>
      <c r="ET211" s="189">
        <v>7.2</v>
      </c>
      <c r="EU211" s="189">
        <v>0</v>
      </c>
      <c r="EV211" s="189">
        <v>0</v>
      </c>
      <c r="EW211" s="189">
        <v>74</v>
      </c>
      <c r="EX211" s="189">
        <v>0</v>
      </c>
      <c r="EY211" s="189">
        <v>120</v>
      </c>
      <c r="EZ211" s="189">
        <v>0</v>
      </c>
      <c r="FA211" s="189">
        <v>0</v>
      </c>
      <c r="FB211" s="189">
        <v>0</v>
      </c>
      <c r="FC211" s="189">
        <v>0</v>
      </c>
      <c r="FD211" s="189">
        <v>0</v>
      </c>
      <c r="FE211" s="189">
        <v>0</v>
      </c>
      <c r="FF211" s="189">
        <v>0</v>
      </c>
      <c r="FG211" s="189">
        <v>0</v>
      </c>
      <c r="FH211" s="189">
        <v>0</v>
      </c>
      <c r="FI211" s="189">
        <v>0</v>
      </c>
      <c r="FJ211" s="189">
        <v>0</v>
      </c>
      <c r="FK211" s="189">
        <v>227.1</v>
      </c>
      <c r="FL211" s="189">
        <v>182</v>
      </c>
      <c r="FN211" s="132">
        <v>45</v>
      </c>
    </row>
    <row r="212" spans="1:170" ht="25.5" customHeight="1">
      <c r="A212" s="88">
        <f>COUNTIF($H$12:H212,H212)</f>
        <v>17</v>
      </c>
      <c r="B212" s="88" t="s">
        <v>514</v>
      </c>
      <c r="C212" s="88" t="s">
        <v>2519</v>
      </c>
      <c r="D212" s="88" t="s">
        <v>621</v>
      </c>
      <c r="E212" s="88"/>
      <c r="F212" s="301" t="s">
        <v>112</v>
      </c>
      <c r="G212" s="89" t="s">
        <v>2819</v>
      </c>
      <c r="H212" s="88">
        <v>4</v>
      </c>
      <c r="I212" s="88">
        <v>4</v>
      </c>
      <c r="J212" s="88">
        <v>4</v>
      </c>
      <c r="K212" s="90" t="s">
        <v>1075</v>
      </c>
      <c r="L212" s="90" t="s">
        <v>1075</v>
      </c>
      <c r="M212" s="214"/>
      <c r="N212" s="88" t="s">
        <v>1804</v>
      </c>
      <c r="O212" s="216">
        <f t="shared" si="665"/>
        <v>2.34</v>
      </c>
      <c r="P212" s="88" t="str">
        <f t="shared" si="663"/>
        <v>B1_3</v>
      </c>
      <c r="Q212" s="88">
        <f t="shared" si="527"/>
        <v>270</v>
      </c>
      <c r="R212" s="88">
        <f t="shared" si="528"/>
        <v>100</v>
      </c>
      <c r="S212" s="231" t="s">
        <v>492</v>
      </c>
      <c r="T212" s="214" t="s">
        <v>3091</v>
      </c>
      <c r="U212" s="88">
        <f>IF(RIGHT(T212,1)="K",(VLOOKUP(T212,ma_miengiam!$A$3:$B$80,2,0)*100)/2,VLOOKUP(T212,ma_miengiam!$A$3:$B$80,2,0)*100)</f>
        <v>20</v>
      </c>
      <c r="V212" s="88"/>
      <c r="W212" s="220">
        <f>IF(AND(T212="NTS",V212&gt;0),(Q212-(Q212*V212)/12)*VLOOKUP(T212,ma_miengiam!$A$3:$B$80,2,0)+(Q212-(Q212*(12-V212))/12),IF(AND(RIGHT(T212,1)="K",V212&gt;0),(VLOOKUP(T212,ma_miengiam!$A$3:$B$80,2,0)/2)*(Q212*V212)/12,IF(RIGHT(T212,1)="K",(VLOOKUP(T212,ma_miengiam!$A$3:$B$80,2,0)*Q212)/2,IF(V212&gt;0,VLOOKUP(T212,ma_miengiam!$A$3:$B$80,2,0)*Q212*V212/12,VLOOKUP(T212,ma_miengiam!$A$3:$B$80,2,0)*Q212))))</f>
        <v>54</v>
      </c>
      <c r="X212" s="220">
        <f>IF(T212="NTS",VLOOKUP(T212,ma_miengiam!$A$3:$B$80,2,0)*R212*V212,IF(AND(T212="NTS",V212=0),0,IF(AND(LEFT(T212,1)="K",V212=0),VLOOKUP(T212,ma_miengiam!$A$3:$B$80,2,0)*R212,IF(LEFT(T212,1)="K",(VLOOKUP(T212,ma_miengiam!$A$3:$B$80,2,0)*R212/12)*V212,IF(AND(LEFT(T212,1)="S",V212&gt;0),(R212/12)*V212,IF(AND(LEFT(T212,1)="S",V212=0),R212,IF(T212="DH",VLOOKUP(T212,ma_miengiam!$A$3:$B$80,2,0)*R212,0)))))))</f>
        <v>0</v>
      </c>
      <c r="Y212" s="220">
        <f t="shared" si="597"/>
        <v>216</v>
      </c>
      <c r="Z212" s="220">
        <f t="shared" si="609"/>
        <v>100</v>
      </c>
      <c r="AA212" s="220">
        <f t="shared" si="661"/>
        <v>270</v>
      </c>
      <c r="AB212" s="220">
        <f t="shared" si="661"/>
        <v>100</v>
      </c>
      <c r="AC212" s="220">
        <f t="shared" si="664"/>
        <v>54</v>
      </c>
      <c r="AD212" s="220">
        <f t="shared" si="664"/>
        <v>0</v>
      </c>
      <c r="AE212" s="220">
        <f t="shared" si="664"/>
        <v>216</v>
      </c>
      <c r="AF212" s="220">
        <f t="shared" si="664"/>
        <v>100</v>
      </c>
      <c r="AG212" s="220">
        <f t="shared" si="655"/>
        <v>80</v>
      </c>
      <c r="AH212" s="220">
        <f t="shared" si="656"/>
        <v>80</v>
      </c>
      <c r="AI212" s="220">
        <f t="shared" si="657"/>
        <v>0</v>
      </c>
      <c r="AJ212" s="220">
        <f t="shared" si="513"/>
        <v>-20</v>
      </c>
      <c r="AK212" s="216">
        <f t="shared" si="604"/>
        <v>236</v>
      </c>
      <c r="AL212" s="220">
        <f t="shared" si="611"/>
        <v>202.8</v>
      </c>
      <c r="AM212" s="220">
        <f t="shared" si="612"/>
        <v>0</v>
      </c>
      <c r="AN212" s="221">
        <f t="shared" si="613"/>
        <v>202.8</v>
      </c>
      <c r="AO212" s="220">
        <f t="shared" si="614"/>
        <v>0</v>
      </c>
      <c r="AP212" s="220">
        <f t="shared" si="615"/>
        <v>0</v>
      </c>
      <c r="AQ212" s="220">
        <f t="shared" si="616"/>
        <v>0</v>
      </c>
      <c r="AR212" s="220">
        <f t="shared" si="617"/>
        <v>0</v>
      </c>
      <c r="AS212" s="220">
        <f t="shared" si="618"/>
        <v>0</v>
      </c>
      <c r="AT212" s="216">
        <f t="shared" si="619"/>
        <v>202.8</v>
      </c>
      <c r="AU212" s="222">
        <f t="shared" si="574"/>
        <v>-33.199999999999989</v>
      </c>
      <c r="AV212" s="220"/>
      <c r="AW212" s="220">
        <f t="shared" si="532"/>
        <v>-33.199999999999989</v>
      </c>
      <c r="AX212" s="216">
        <f t="shared" si="620"/>
        <v>-33.199999999999989</v>
      </c>
      <c r="AY212" s="220">
        <f t="shared" si="539"/>
        <v>0</v>
      </c>
      <c r="AZ212" s="220">
        <f t="shared" si="540"/>
        <v>0</v>
      </c>
      <c r="BA212" s="220">
        <f t="shared" si="541"/>
        <v>0</v>
      </c>
      <c r="BB212" s="220">
        <f t="shared" si="542"/>
        <v>0</v>
      </c>
      <c r="BC212" s="220">
        <f t="shared" si="543"/>
        <v>0</v>
      </c>
      <c r="BD212" s="216">
        <f t="shared" si="575"/>
        <v>0</v>
      </c>
      <c r="BE212" s="220">
        <f t="shared" si="533"/>
        <v>0</v>
      </c>
      <c r="BF212" s="220">
        <f t="shared" si="534"/>
        <v>0</v>
      </c>
      <c r="BG212" s="220">
        <f t="shared" si="535"/>
        <v>0</v>
      </c>
      <c r="BH212" s="220">
        <f t="shared" si="536"/>
        <v>0</v>
      </c>
      <c r="BI212" s="220">
        <f t="shared" si="537"/>
        <v>0</v>
      </c>
      <c r="BJ212" s="220" t="s">
        <v>2548</v>
      </c>
      <c r="BK212" s="220"/>
      <c r="BL212" s="223">
        <f t="shared" si="582"/>
        <v>0</v>
      </c>
      <c r="BM212" s="220">
        <v>2.34</v>
      </c>
      <c r="BN212" s="220"/>
      <c r="BO212" s="220">
        <f t="shared" si="662"/>
        <v>2.34</v>
      </c>
      <c r="BP212" s="220">
        <f>IF(AND(BL212&gt;0,BL212&lt;tiet!$D$1),BL212,IF(BL212&lt;=0,0,IF(BL212&gt;tiet!$C$1,tiet!$C$1)))</f>
        <v>0</v>
      </c>
      <c r="BQ212" s="87">
        <f t="shared" si="509"/>
        <v>60000</v>
      </c>
      <c r="BR212" s="224">
        <f t="shared" si="510"/>
        <v>0</v>
      </c>
      <c r="BS212" s="220">
        <f t="shared" si="630"/>
        <v>0</v>
      </c>
      <c r="BT212" s="224">
        <f>VLOOKUP(N212,ma_dinhmuc!$A$1:$J$31,10,0)</f>
        <v>51000</v>
      </c>
      <c r="BU212" s="224">
        <f>ROUND(IF(BS212&gt;0,VLOOKUP(N212,ma_dinhmuc!$A$1:$J$31,10,0)*BS212,0),0)</f>
        <v>0</v>
      </c>
      <c r="BV212" s="224">
        <f t="shared" si="511"/>
        <v>0</v>
      </c>
      <c r="BW212" s="224"/>
      <c r="BX212" s="224">
        <v>0</v>
      </c>
      <c r="BY212" s="224"/>
      <c r="BZ212" s="224"/>
      <c r="CA212" s="224"/>
      <c r="CB212" s="224"/>
      <c r="CC212" s="225">
        <f t="shared" si="544"/>
        <v>0</v>
      </c>
      <c r="CD212" s="224">
        <f t="shared" si="545"/>
        <v>0</v>
      </c>
      <c r="CE212" s="224"/>
      <c r="CF212" s="226"/>
      <c r="CG212" s="87"/>
      <c r="CH212" s="87">
        <f t="shared" si="666"/>
        <v>17</v>
      </c>
      <c r="CI212" s="227" t="str">
        <f t="shared" si="599"/>
        <v>Ngô Phương</v>
      </c>
      <c r="CJ212" s="227" t="str">
        <f t="shared" si="626"/>
        <v>Thủy</v>
      </c>
      <c r="CK212" s="87">
        <f>H212</f>
        <v>4</v>
      </c>
      <c r="CL212" s="227" t="str">
        <f t="shared" si="600"/>
        <v>Cơ sở kỹ thuật điện</v>
      </c>
      <c r="CM212" s="87" t="str">
        <f t="shared" si="538"/>
        <v>CS2</v>
      </c>
      <c r="CN212" s="87">
        <f>Q212</f>
        <v>270</v>
      </c>
      <c r="CO212" s="87">
        <f>R212</f>
        <v>100</v>
      </c>
      <c r="CP212" s="229">
        <f t="shared" si="634"/>
        <v>0</v>
      </c>
      <c r="CQ212" s="229">
        <f t="shared" si="635"/>
        <v>9.4</v>
      </c>
      <c r="CR212" s="229">
        <f t="shared" si="636"/>
        <v>3.8</v>
      </c>
      <c r="CS212" s="229">
        <f t="shared" si="637"/>
        <v>0</v>
      </c>
      <c r="CT212" s="229">
        <f t="shared" si="638"/>
        <v>0</v>
      </c>
      <c r="CU212" s="229">
        <f t="shared" si="639"/>
        <v>32.1</v>
      </c>
      <c r="CV212" s="229">
        <f t="shared" si="640"/>
        <v>0</v>
      </c>
      <c r="CW212" s="229">
        <f t="shared" si="641"/>
        <v>157.5</v>
      </c>
      <c r="CX212" s="229">
        <f t="shared" si="642"/>
        <v>0</v>
      </c>
      <c r="CY212" s="229">
        <f t="shared" si="643"/>
        <v>0</v>
      </c>
      <c r="CZ212" s="229">
        <f t="shared" si="644"/>
        <v>0</v>
      </c>
      <c r="DA212" s="229">
        <f t="shared" si="645"/>
        <v>0</v>
      </c>
      <c r="DB212" s="228">
        <f t="shared" si="606"/>
        <v>202.8</v>
      </c>
      <c r="DC212" s="229"/>
      <c r="DD212" s="229"/>
      <c r="DE212" s="229"/>
      <c r="DF212" s="229"/>
      <c r="DG212" s="229"/>
      <c r="DH212" s="229"/>
      <c r="DI212" s="229"/>
      <c r="DJ212" s="229"/>
      <c r="DK212" s="229"/>
      <c r="DL212" s="229"/>
      <c r="DM212" s="229"/>
      <c r="DN212" s="229"/>
      <c r="DO212" s="228">
        <f t="shared" si="622"/>
        <v>0</v>
      </c>
      <c r="DP212" s="228">
        <f t="shared" si="623"/>
        <v>202.8</v>
      </c>
      <c r="DQ212" s="229">
        <f t="shared" si="646"/>
        <v>0</v>
      </c>
      <c r="DR212" s="229">
        <f t="shared" si="647"/>
        <v>0</v>
      </c>
      <c r="DS212" s="229">
        <f t="shared" si="648"/>
        <v>0</v>
      </c>
      <c r="DT212" s="229">
        <f t="shared" si="649"/>
        <v>0</v>
      </c>
      <c r="DU212" s="229">
        <f t="shared" si="650"/>
        <v>0</v>
      </c>
      <c r="DV212" s="229">
        <f t="shared" si="651"/>
        <v>0</v>
      </c>
      <c r="DW212" s="229">
        <f t="shared" si="652"/>
        <v>0</v>
      </c>
      <c r="DX212" s="228">
        <f t="shared" si="607"/>
        <v>0</v>
      </c>
      <c r="DY212" s="229"/>
      <c r="DZ212" s="229"/>
      <c r="EA212" s="229"/>
      <c r="EB212" s="229"/>
      <c r="EC212" s="229"/>
      <c r="ED212" s="229"/>
      <c r="EE212" s="229"/>
      <c r="EF212" s="228">
        <f t="shared" si="631"/>
        <v>0</v>
      </c>
      <c r="EG212" s="228">
        <f t="shared" si="624"/>
        <v>0</v>
      </c>
      <c r="EH212" s="229">
        <f t="shared" si="632"/>
        <v>0</v>
      </c>
      <c r="EI212" s="229">
        <v>80</v>
      </c>
      <c r="EJ212" s="228">
        <f t="shared" si="602"/>
        <v>80</v>
      </c>
      <c r="EK212" s="229"/>
      <c r="EL212" s="229"/>
      <c r="EM212" s="228">
        <f t="shared" si="658"/>
        <v>0</v>
      </c>
      <c r="EN212" s="229">
        <f t="shared" si="576"/>
        <v>0</v>
      </c>
      <c r="EO212" s="229">
        <f t="shared" si="577"/>
        <v>80</v>
      </c>
      <c r="EP212" s="228">
        <f t="shared" si="659"/>
        <v>80</v>
      </c>
      <c r="EQ212" s="173">
        <f t="shared" si="633"/>
        <v>0</v>
      </c>
      <c r="ER212" s="189">
        <v>0</v>
      </c>
      <c r="ES212" s="189">
        <v>9.4</v>
      </c>
      <c r="ET212" s="189">
        <v>3.8</v>
      </c>
      <c r="EU212" s="189">
        <v>0</v>
      </c>
      <c r="EV212" s="189">
        <v>0</v>
      </c>
      <c r="EW212" s="189">
        <v>32.1</v>
      </c>
      <c r="EX212" s="189">
        <v>0</v>
      </c>
      <c r="EY212" s="189">
        <v>157.5</v>
      </c>
      <c r="EZ212" s="189">
        <v>0</v>
      </c>
      <c r="FA212" s="189">
        <v>0</v>
      </c>
      <c r="FB212" s="189">
        <v>0</v>
      </c>
      <c r="FC212" s="189">
        <v>0</v>
      </c>
      <c r="FD212" s="189">
        <v>0</v>
      </c>
      <c r="FE212" s="189">
        <v>0</v>
      </c>
      <c r="FF212" s="189">
        <v>0</v>
      </c>
      <c r="FG212" s="189">
        <v>0</v>
      </c>
      <c r="FH212" s="189">
        <v>0</v>
      </c>
      <c r="FI212" s="189">
        <v>0</v>
      </c>
      <c r="FJ212" s="189">
        <v>0</v>
      </c>
      <c r="FK212" s="189">
        <v>202.8</v>
      </c>
      <c r="FL212" s="189">
        <v>152</v>
      </c>
      <c r="FN212" s="132">
        <v>0</v>
      </c>
    </row>
    <row r="213" spans="1:170" ht="30">
      <c r="A213" s="88">
        <f>COUNTIF($H$12:H213,H213)</f>
        <v>18</v>
      </c>
      <c r="B213" s="88" t="s">
        <v>515</v>
      </c>
      <c r="C213" s="88" t="s">
        <v>558</v>
      </c>
      <c r="D213" s="88"/>
      <c r="E213" s="88"/>
      <c r="F213" s="301" t="s">
        <v>1908</v>
      </c>
      <c r="G213" s="89" t="s">
        <v>35</v>
      </c>
      <c r="H213" s="88">
        <v>4</v>
      </c>
      <c r="I213" s="88">
        <v>4</v>
      </c>
      <c r="J213" s="88">
        <v>4</v>
      </c>
      <c r="K213" s="90" t="s">
        <v>1076</v>
      </c>
      <c r="L213" s="90" t="s">
        <v>1076</v>
      </c>
      <c r="M213" s="214"/>
      <c r="N213" s="88" t="s">
        <v>1804</v>
      </c>
      <c r="O213" s="216">
        <f t="shared" si="665"/>
        <v>3.33</v>
      </c>
      <c r="P213" s="88" t="str">
        <f t="shared" si="663"/>
        <v>B1_4</v>
      </c>
      <c r="Q213" s="88">
        <f t="shared" si="527"/>
        <v>270</v>
      </c>
      <c r="R213" s="88">
        <f t="shared" si="528"/>
        <v>120</v>
      </c>
      <c r="S213" s="231" t="s">
        <v>2039</v>
      </c>
      <c r="T213" s="88" t="s">
        <v>3094</v>
      </c>
      <c r="U213" s="88">
        <f>IF(RIGHT(T213,1)="K",(VLOOKUP(T213,ma_miengiam!$A$3:$B$80,2,0)*100)/2,VLOOKUP(T213,ma_miengiam!$A$3:$B$80,2,0)*100)</f>
        <v>35</v>
      </c>
      <c r="V213" s="88"/>
      <c r="W213" s="220">
        <f>IF(AND(T213="NTS",V213&gt;0),(Q213-(Q213*V213)/12)*VLOOKUP(T213,ma_miengiam!$A$3:$B$80,2,0)+(Q213-(Q213*(12-V213))/12),IF(AND(RIGHT(T213,1)="K",V213&gt;0),(VLOOKUP(T213,ma_miengiam!$A$3:$B$80,2,0)/2)*(Q213*V213)/12,IF(RIGHT(T213,1)="K",(VLOOKUP(T213,ma_miengiam!$A$3:$B$80,2,0)*Q213)/2,IF(V213&gt;0,VLOOKUP(T213,ma_miengiam!$A$3:$B$80,2,0)*Q213*V213/12,VLOOKUP(T213,ma_miengiam!$A$3:$B$80,2,0)*Q213))))</f>
        <v>94.5</v>
      </c>
      <c r="X213" s="220">
        <f>IF(T213="NTS",VLOOKUP(T213,ma_miengiam!$A$3:$B$80,2,0)*R213*V213,IF(AND(T213="NTS",V213=0),0,IF(AND(LEFT(T213,1)="K",V213=0),VLOOKUP(T213,ma_miengiam!$A$3:$B$80,2,0)*R213,IF(LEFT(T213,1)="K",(VLOOKUP(T213,ma_miengiam!$A$3:$B$80,2,0)*R213/12)*V213,IF(AND(LEFT(T213,1)="S",V213&gt;0),(R213/12)*V213,IF(AND(LEFT(T213,1)="S",V213=0),R213,IF(T213="DH",VLOOKUP(T213,ma_miengiam!$A$3:$B$80,2,0)*R213,0)))))))</f>
        <v>0</v>
      </c>
      <c r="Y213" s="220">
        <f t="shared" si="597"/>
        <v>175.5</v>
      </c>
      <c r="Z213" s="220">
        <f t="shared" si="609"/>
        <v>120</v>
      </c>
      <c r="AA213" s="220">
        <f t="shared" si="661"/>
        <v>270</v>
      </c>
      <c r="AB213" s="220">
        <f t="shared" si="661"/>
        <v>120</v>
      </c>
      <c r="AC213" s="220">
        <f t="shared" ref="AC213:AF214" si="667">W213</f>
        <v>94.5</v>
      </c>
      <c r="AD213" s="220">
        <f t="shared" si="667"/>
        <v>0</v>
      </c>
      <c r="AE213" s="220">
        <f t="shared" si="667"/>
        <v>175.5</v>
      </c>
      <c r="AF213" s="220">
        <f t="shared" si="667"/>
        <v>120</v>
      </c>
      <c r="AG213" s="220">
        <f t="shared" si="655"/>
        <v>375.29999999999995</v>
      </c>
      <c r="AH213" s="220">
        <f t="shared" si="656"/>
        <v>71.66</v>
      </c>
      <c r="AI213" s="220">
        <f t="shared" si="657"/>
        <v>303.64</v>
      </c>
      <c r="AJ213" s="220">
        <f t="shared" si="513"/>
        <v>0</v>
      </c>
      <c r="AK213" s="216">
        <f t="shared" si="604"/>
        <v>175.5</v>
      </c>
      <c r="AL213" s="220">
        <f t="shared" si="611"/>
        <v>526.4</v>
      </c>
      <c r="AM213" s="220">
        <f t="shared" si="612"/>
        <v>0</v>
      </c>
      <c r="AN213" s="221">
        <f t="shared" si="613"/>
        <v>526.4</v>
      </c>
      <c r="AO213" s="220">
        <f t="shared" si="614"/>
        <v>0</v>
      </c>
      <c r="AP213" s="220">
        <f t="shared" si="615"/>
        <v>0</v>
      </c>
      <c r="AQ213" s="220">
        <f t="shared" si="616"/>
        <v>20</v>
      </c>
      <c r="AR213" s="220">
        <f t="shared" si="617"/>
        <v>0</v>
      </c>
      <c r="AS213" s="220">
        <f t="shared" si="618"/>
        <v>0</v>
      </c>
      <c r="AT213" s="216">
        <f t="shared" si="619"/>
        <v>546.4</v>
      </c>
      <c r="AU213" s="222">
        <f t="shared" si="574"/>
        <v>350.9</v>
      </c>
      <c r="AV213" s="220"/>
      <c r="AW213" s="220">
        <f t="shared" si="532"/>
        <v>350.9</v>
      </c>
      <c r="AX213" s="216">
        <f t="shared" si="620"/>
        <v>0</v>
      </c>
      <c r="AY213" s="220">
        <f t="shared" si="539"/>
        <v>0</v>
      </c>
      <c r="AZ213" s="220">
        <f t="shared" si="540"/>
        <v>0</v>
      </c>
      <c r="BA213" s="220">
        <f t="shared" si="541"/>
        <v>20</v>
      </c>
      <c r="BB213" s="220">
        <f t="shared" si="542"/>
        <v>0</v>
      </c>
      <c r="BC213" s="220">
        <f t="shared" si="543"/>
        <v>0</v>
      </c>
      <c r="BD213" s="216">
        <f t="shared" si="575"/>
        <v>20</v>
      </c>
      <c r="BE213" s="220">
        <f t="shared" si="533"/>
        <v>0</v>
      </c>
      <c r="BF213" s="220">
        <f t="shared" si="534"/>
        <v>0</v>
      </c>
      <c r="BG213" s="220">
        <f t="shared" si="535"/>
        <v>0</v>
      </c>
      <c r="BH213" s="220">
        <f t="shared" si="536"/>
        <v>0</v>
      </c>
      <c r="BI213" s="220">
        <f t="shared" si="537"/>
        <v>0</v>
      </c>
      <c r="BJ213" s="220" t="s">
        <v>1170</v>
      </c>
      <c r="BK213" s="220"/>
      <c r="BL213" s="223">
        <f t="shared" si="582"/>
        <v>350.9</v>
      </c>
      <c r="BM213" s="220">
        <v>3.33</v>
      </c>
      <c r="BN213" s="220"/>
      <c r="BO213" s="220">
        <f t="shared" si="662"/>
        <v>3.33</v>
      </c>
      <c r="BP213" s="220">
        <f>IF(AND(BL213&gt;0,BL213&lt;tiet!$D$1),BL213,IF(BL213&lt;=0,0,IF(BL213&gt;tiet!$C$1,tiet!$C$1)))</f>
        <v>200</v>
      </c>
      <c r="BQ213" s="87">
        <f t="shared" si="509"/>
        <v>65000</v>
      </c>
      <c r="BR213" s="224">
        <f t="shared" si="510"/>
        <v>13000000</v>
      </c>
      <c r="BS213" s="220">
        <f t="shared" si="630"/>
        <v>150.89999999999998</v>
      </c>
      <c r="BT213" s="224">
        <f>VLOOKUP(N213,ma_dinhmuc!$A$1:$J$31,10,0)</f>
        <v>51000</v>
      </c>
      <c r="BU213" s="224">
        <f>ROUND(IF(BS213&gt;0,VLOOKUP(N213,ma_dinhmuc!$A$1:$J$31,10,0)*BS213,0),0)</f>
        <v>7695900</v>
      </c>
      <c r="BV213" s="224">
        <f t="shared" si="511"/>
        <v>20695900</v>
      </c>
      <c r="BW213" s="224"/>
      <c r="BX213" s="224">
        <v>0</v>
      </c>
      <c r="BY213" s="224"/>
      <c r="BZ213" s="224"/>
      <c r="CA213" s="224"/>
      <c r="CB213" s="224"/>
      <c r="CC213" s="225">
        <f t="shared" si="544"/>
        <v>20695900</v>
      </c>
      <c r="CD213" s="224">
        <f t="shared" si="545"/>
        <v>0</v>
      </c>
      <c r="CE213" s="224"/>
      <c r="CF213" s="226"/>
      <c r="CG213" s="87"/>
      <c r="CH213" s="87">
        <f t="shared" si="666"/>
        <v>18</v>
      </c>
      <c r="CI213" s="227" t="str">
        <f t="shared" si="599"/>
        <v>Phạm Thị</v>
      </c>
      <c r="CJ213" s="227" t="str">
        <f t="shared" si="626"/>
        <v>Hằng</v>
      </c>
      <c r="CK213" s="87">
        <f t="shared" si="627"/>
        <v>4</v>
      </c>
      <c r="CL213" s="227" t="str">
        <f t="shared" si="600"/>
        <v>Công nghệ cơ khí</v>
      </c>
      <c r="CM213" s="87" t="str">
        <f t="shared" si="538"/>
        <v>CS2</v>
      </c>
      <c r="CN213" s="87">
        <f t="shared" ref="CN213:CN224" si="668">Q213</f>
        <v>270</v>
      </c>
      <c r="CO213" s="87">
        <f t="shared" si="660"/>
        <v>120</v>
      </c>
      <c r="CP213" s="229">
        <f t="shared" si="634"/>
        <v>0</v>
      </c>
      <c r="CQ213" s="229">
        <f t="shared" si="635"/>
        <v>63.4</v>
      </c>
      <c r="CR213" s="229">
        <f t="shared" si="636"/>
        <v>21</v>
      </c>
      <c r="CS213" s="229">
        <f t="shared" si="637"/>
        <v>0</v>
      </c>
      <c r="CT213" s="229">
        <f t="shared" si="638"/>
        <v>0</v>
      </c>
      <c r="CU213" s="229">
        <f t="shared" si="639"/>
        <v>176</v>
      </c>
      <c r="CV213" s="229">
        <f t="shared" si="640"/>
        <v>0</v>
      </c>
      <c r="CW213" s="229">
        <f t="shared" si="641"/>
        <v>266</v>
      </c>
      <c r="CX213" s="229">
        <f t="shared" si="642"/>
        <v>0</v>
      </c>
      <c r="CY213" s="229">
        <f t="shared" si="643"/>
        <v>0</v>
      </c>
      <c r="CZ213" s="229">
        <f t="shared" si="644"/>
        <v>0</v>
      </c>
      <c r="DA213" s="229">
        <f t="shared" si="645"/>
        <v>20</v>
      </c>
      <c r="DB213" s="228">
        <f t="shared" si="606"/>
        <v>546.4</v>
      </c>
      <c r="DC213" s="229"/>
      <c r="DD213" s="229"/>
      <c r="DE213" s="229"/>
      <c r="DF213" s="229"/>
      <c r="DG213" s="229"/>
      <c r="DH213" s="229"/>
      <c r="DI213" s="229"/>
      <c r="DJ213" s="229"/>
      <c r="DK213" s="229"/>
      <c r="DL213" s="229"/>
      <c r="DM213" s="229"/>
      <c r="DN213" s="229"/>
      <c r="DO213" s="228">
        <f t="shared" si="622"/>
        <v>0</v>
      </c>
      <c r="DP213" s="228">
        <f t="shared" si="623"/>
        <v>546.4</v>
      </c>
      <c r="DQ213" s="229">
        <f t="shared" si="646"/>
        <v>0</v>
      </c>
      <c r="DR213" s="229">
        <f t="shared" si="647"/>
        <v>0</v>
      </c>
      <c r="DS213" s="229">
        <f t="shared" si="648"/>
        <v>0</v>
      </c>
      <c r="DT213" s="229">
        <f t="shared" si="649"/>
        <v>0</v>
      </c>
      <c r="DU213" s="229">
        <f t="shared" si="650"/>
        <v>0</v>
      </c>
      <c r="DV213" s="229">
        <f t="shared" si="651"/>
        <v>0</v>
      </c>
      <c r="DW213" s="229">
        <f t="shared" si="652"/>
        <v>0</v>
      </c>
      <c r="DX213" s="228">
        <f t="shared" si="607"/>
        <v>0</v>
      </c>
      <c r="DY213" s="229"/>
      <c r="DZ213" s="229"/>
      <c r="EA213" s="229"/>
      <c r="EB213" s="229"/>
      <c r="EC213" s="229"/>
      <c r="ED213" s="229"/>
      <c r="EE213" s="229"/>
      <c r="EF213" s="228">
        <f t="shared" si="631"/>
        <v>0</v>
      </c>
      <c r="EG213" s="228">
        <f t="shared" si="624"/>
        <v>0</v>
      </c>
      <c r="EH213" s="229">
        <f t="shared" si="632"/>
        <v>303.64</v>
      </c>
      <c r="EI213" s="229">
        <v>71.66</v>
      </c>
      <c r="EJ213" s="228">
        <f t="shared" si="602"/>
        <v>375.29999999999995</v>
      </c>
      <c r="EK213" s="229"/>
      <c r="EL213" s="229"/>
      <c r="EM213" s="228">
        <f t="shared" si="658"/>
        <v>0</v>
      </c>
      <c r="EN213" s="229">
        <f t="shared" si="576"/>
        <v>303.64</v>
      </c>
      <c r="EO213" s="229">
        <f t="shared" si="577"/>
        <v>71.66</v>
      </c>
      <c r="EP213" s="228">
        <f t="shared" si="659"/>
        <v>375.29999999999995</v>
      </c>
      <c r="EQ213" s="173">
        <f t="shared" si="633"/>
        <v>183.64</v>
      </c>
      <c r="ER213" s="189">
        <v>0</v>
      </c>
      <c r="ES213" s="189">
        <v>63.4</v>
      </c>
      <c r="ET213" s="189">
        <v>21</v>
      </c>
      <c r="EU213" s="189">
        <v>0</v>
      </c>
      <c r="EV213" s="189">
        <v>0</v>
      </c>
      <c r="EW213" s="189">
        <v>176</v>
      </c>
      <c r="EX213" s="189">
        <v>0</v>
      </c>
      <c r="EY213" s="189">
        <v>266</v>
      </c>
      <c r="EZ213" s="189">
        <v>0</v>
      </c>
      <c r="FA213" s="189">
        <v>0</v>
      </c>
      <c r="FB213" s="189">
        <v>0</v>
      </c>
      <c r="FC213" s="189">
        <v>20</v>
      </c>
      <c r="FD213" s="189">
        <v>0</v>
      </c>
      <c r="FE213" s="189">
        <v>0</v>
      </c>
      <c r="FF213" s="189">
        <v>0</v>
      </c>
      <c r="FG213" s="189">
        <v>0</v>
      </c>
      <c r="FH213" s="189">
        <v>0</v>
      </c>
      <c r="FI213" s="189">
        <v>0</v>
      </c>
      <c r="FJ213" s="189">
        <v>0</v>
      </c>
      <c r="FK213" s="189">
        <v>546.4</v>
      </c>
      <c r="FL213" s="189">
        <v>447</v>
      </c>
      <c r="FN213" s="132">
        <v>303.64</v>
      </c>
    </row>
    <row r="214" spans="1:170" ht="30" customHeight="1">
      <c r="A214" s="88">
        <f>COUNTIF($H$12:H214,H214)</f>
        <v>19</v>
      </c>
      <c r="B214" s="88" t="s">
        <v>516</v>
      </c>
      <c r="C214" s="88" t="s">
        <v>559</v>
      </c>
      <c r="D214" s="88"/>
      <c r="E214" s="88"/>
      <c r="F214" s="301" t="s">
        <v>168</v>
      </c>
      <c r="G214" s="89" t="s">
        <v>19</v>
      </c>
      <c r="H214" s="88">
        <v>4</v>
      </c>
      <c r="I214" s="88">
        <v>4</v>
      </c>
      <c r="J214" s="88">
        <v>4</v>
      </c>
      <c r="K214" s="90" t="s">
        <v>1076</v>
      </c>
      <c r="L214" s="90" t="s">
        <v>1076</v>
      </c>
      <c r="M214" s="214"/>
      <c r="N214" s="88" t="s">
        <v>1804</v>
      </c>
      <c r="O214" s="216">
        <f t="shared" si="665"/>
        <v>4.9800000000000004</v>
      </c>
      <c r="P214" s="88" t="str">
        <f t="shared" si="663"/>
        <v>B1_5</v>
      </c>
      <c r="Q214" s="88">
        <f t="shared" si="527"/>
        <v>270</v>
      </c>
      <c r="R214" s="88">
        <f t="shared" si="528"/>
        <v>150</v>
      </c>
      <c r="S214" s="218"/>
      <c r="T214" s="88" t="s">
        <v>3088</v>
      </c>
      <c r="U214" s="88">
        <f>IF(RIGHT(T214,1)="K",(VLOOKUP(T214,ma_miengiam!$A$3:$B$80,2,0)*100)/2,VLOOKUP(T214,ma_miengiam!$A$3:$B$80,2,0)*100)</f>
        <v>0</v>
      </c>
      <c r="V214" s="88"/>
      <c r="W214" s="220">
        <f>IF(AND(T214="NTS",V214&gt;0),(Q214-(Q214*V214)/12)*VLOOKUP(T214,ma_miengiam!$A$3:$B$80,2,0)+(Q214-(Q214*(12-V214))/12),IF(AND(RIGHT(T214,1)="K",V214&gt;0),(VLOOKUP(T214,ma_miengiam!$A$3:$B$80,2,0)/2)*(Q214*V214)/12,IF(RIGHT(T214,1)="K",(VLOOKUP(T214,ma_miengiam!$A$3:$B$80,2,0)*Q214)/2,IF(V214&gt;0,VLOOKUP(T214,ma_miengiam!$A$3:$B$80,2,0)*Q214*V214/12,VLOOKUP(T214,ma_miengiam!$A$3:$B$80,2,0)*Q214))))</f>
        <v>0</v>
      </c>
      <c r="X214" s="220">
        <f>IF(T214="NTS",VLOOKUP(T214,ma_miengiam!$A$3:$B$80,2,0)*R214*V214,IF(AND(T214="NTS",V214=0),0,IF(AND(LEFT(T214,1)="K",V214=0),VLOOKUP(T214,ma_miengiam!$A$3:$B$80,2,0)*R214,IF(LEFT(T214,1)="K",(VLOOKUP(T214,ma_miengiam!$A$3:$B$80,2,0)*R214/12)*V214,IF(AND(LEFT(T214,1)="S",V214&gt;0),(R214/12)*V214,IF(AND(LEFT(T214,1)="S",V214=0),R214,IF(T214="DH",VLOOKUP(T214,ma_miengiam!$A$3:$B$80,2,0)*R214,0)))))))</f>
        <v>0</v>
      </c>
      <c r="Y214" s="220">
        <f t="shared" si="597"/>
        <v>270</v>
      </c>
      <c r="Z214" s="220">
        <f>IF(AND(T214="SĐH",V214&gt;0),(R214/12)*V214-X214,IF(AND(T214="DH",V214&gt;0),(R214*V214/12),IF(AND(T214&lt;&gt;"NTS",V214&gt;0),(R214*V214/12)-X214,IF(AND(T214="NTS",V214&gt;0),R214-X214,R214-X214))))</f>
        <v>150</v>
      </c>
      <c r="AA214" s="220">
        <f t="shared" ref="AA214:AB216" si="669">Q214</f>
        <v>270</v>
      </c>
      <c r="AB214" s="220">
        <f t="shared" si="669"/>
        <v>150</v>
      </c>
      <c r="AC214" s="220">
        <f t="shared" si="667"/>
        <v>0</v>
      </c>
      <c r="AD214" s="220">
        <f t="shared" si="667"/>
        <v>0</v>
      </c>
      <c r="AE214" s="220">
        <f t="shared" si="667"/>
        <v>270</v>
      </c>
      <c r="AF214" s="220">
        <f t="shared" si="667"/>
        <v>150</v>
      </c>
      <c r="AG214" s="220">
        <f t="shared" si="655"/>
        <v>66.97</v>
      </c>
      <c r="AH214" s="220">
        <f t="shared" si="656"/>
        <v>0</v>
      </c>
      <c r="AI214" s="220">
        <f t="shared" si="657"/>
        <v>66.97</v>
      </c>
      <c r="AJ214" s="220">
        <f>IF(AG214-Z214&gt;0,0,AG214-Z214)</f>
        <v>-83.03</v>
      </c>
      <c r="AK214" s="216">
        <f t="shared" si="604"/>
        <v>353.03</v>
      </c>
      <c r="AL214" s="220">
        <f t="shared" si="611"/>
        <v>291.2</v>
      </c>
      <c r="AM214" s="220">
        <f t="shared" si="612"/>
        <v>0</v>
      </c>
      <c r="AN214" s="221">
        <f t="shared" si="613"/>
        <v>291.2</v>
      </c>
      <c r="AO214" s="220">
        <f t="shared" si="614"/>
        <v>0</v>
      </c>
      <c r="AP214" s="220">
        <f t="shared" si="615"/>
        <v>0</v>
      </c>
      <c r="AQ214" s="220">
        <f t="shared" si="616"/>
        <v>0</v>
      </c>
      <c r="AR214" s="220">
        <f t="shared" si="617"/>
        <v>0</v>
      </c>
      <c r="AS214" s="220">
        <f t="shared" si="618"/>
        <v>0</v>
      </c>
      <c r="AT214" s="216">
        <f t="shared" si="619"/>
        <v>291.2</v>
      </c>
      <c r="AU214" s="222">
        <f t="shared" si="574"/>
        <v>-61.829999999999984</v>
      </c>
      <c r="AV214" s="220"/>
      <c r="AW214" s="220">
        <f t="shared" si="532"/>
        <v>-61.829999999999984</v>
      </c>
      <c r="AX214" s="216">
        <f t="shared" si="620"/>
        <v>-61.829999999999984</v>
      </c>
      <c r="AY214" s="220">
        <f t="shared" si="539"/>
        <v>0</v>
      </c>
      <c r="AZ214" s="220">
        <f t="shared" si="540"/>
        <v>0</v>
      </c>
      <c r="BA214" s="220">
        <f t="shared" si="541"/>
        <v>0</v>
      </c>
      <c r="BB214" s="220">
        <f t="shared" si="542"/>
        <v>0</v>
      </c>
      <c r="BC214" s="220">
        <f t="shared" si="543"/>
        <v>0</v>
      </c>
      <c r="BD214" s="216">
        <f t="shared" si="575"/>
        <v>0</v>
      </c>
      <c r="BE214" s="220">
        <f t="shared" si="533"/>
        <v>0</v>
      </c>
      <c r="BF214" s="220">
        <f t="shared" si="534"/>
        <v>0</v>
      </c>
      <c r="BG214" s="220">
        <f t="shared" si="535"/>
        <v>0</v>
      </c>
      <c r="BH214" s="220">
        <f t="shared" si="536"/>
        <v>0</v>
      </c>
      <c r="BI214" s="220">
        <f t="shared" si="537"/>
        <v>0</v>
      </c>
      <c r="BJ214" s="220" t="s">
        <v>2520</v>
      </c>
      <c r="BK214" s="220"/>
      <c r="BL214" s="223">
        <f t="shared" si="582"/>
        <v>0</v>
      </c>
      <c r="BM214" s="220">
        <v>4.9800000000000004</v>
      </c>
      <c r="BN214" s="220"/>
      <c r="BO214" s="220">
        <f t="shared" si="662"/>
        <v>4.9800000000000004</v>
      </c>
      <c r="BP214" s="220">
        <f>IF(AND(BL214&gt;0,BL214&lt;tiet!$D$1),BL214,IF(BL214&lt;=0,0,IF(BL214&gt;tiet!$C$1,tiet!$C$1)))</f>
        <v>0</v>
      </c>
      <c r="BQ214" s="87">
        <f>VLOOKUP(P214,ma_dinhmuc_moi,4,0)</f>
        <v>70000</v>
      </c>
      <c r="BR214" s="224">
        <f>ROUND(BQ214*BP214,0)</f>
        <v>0</v>
      </c>
      <c r="BS214" s="220">
        <f t="shared" si="630"/>
        <v>0</v>
      </c>
      <c r="BT214" s="224">
        <f>VLOOKUP(N214,ma_dinhmuc!$A$1:$J$31,10,0)</f>
        <v>51000</v>
      </c>
      <c r="BU214" s="224">
        <f>ROUND(IF(BS214&gt;0,VLOOKUP(N214,ma_dinhmuc!$A$1:$J$31,10,0)*BS214,0),0)</f>
        <v>0</v>
      </c>
      <c r="BV214" s="224">
        <f>ROUND(BU214+BR214,0)</f>
        <v>0</v>
      </c>
      <c r="BW214" s="224"/>
      <c r="BX214" s="224">
        <v>0</v>
      </c>
      <c r="BY214" s="224"/>
      <c r="BZ214" s="224"/>
      <c r="CA214" s="224"/>
      <c r="CB214" s="224"/>
      <c r="CC214" s="225">
        <f>ROUND(IF(BV214+BW214&gt;BX214+BY214+BZ214+CA214+CB214,(BW214+BV214)-(BX214+BY214+BZ214+CA214+CB214+CB214),0),0)</f>
        <v>0</v>
      </c>
      <c r="CD214" s="224">
        <f>ROUND(IF(BV214+BW214&lt;BX214+BY214+BZ214+CA214-CB214,(BX214+BY214+BZ214+CA214-CB214)-(BW214+BV214),0),0)</f>
        <v>0</v>
      </c>
      <c r="CE214" s="224"/>
      <c r="CF214" s="226"/>
      <c r="CG214" s="87"/>
      <c r="CH214" s="87">
        <f>A214</f>
        <v>19</v>
      </c>
      <c r="CI214" s="227" t="str">
        <f t="shared" si="599"/>
        <v>Phạm Thanh</v>
      </c>
      <c r="CJ214" s="227" t="str">
        <f t="shared" ref="CJ214:CJ233" si="670">G214</f>
        <v>Cường</v>
      </c>
      <c r="CK214" s="87">
        <f t="shared" ref="CK214:CK222" si="671">H214</f>
        <v>4</v>
      </c>
      <c r="CL214" s="227" t="str">
        <f>L214</f>
        <v>Công nghệ cơ khí</v>
      </c>
      <c r="CM214" s="87" t="str">
        <f t="shared" si="538"/>
        <v>CS2</v>
      </c>
      <c r="CN214" s="87">
        <f t="shared" si="668"/>
        <v>270</v>
      </c>
      <c r="CO214" s="87">
        <f t="shared" ref="CO214:CO224" si="672">R214</f>
        <v>150</v>
      </c>
      <c r="CP214" s="229">
        <f t="shared" si="634"/>
        <v>0</v>
      </c>
      <c r="CQ214" s="229">
        <f t="shared" si="635"/>
        <v>34.299999999999997</v>
      </c>
      <c r="CR214" s="229">
        <f t="shared" si="636"/>
        <v>11.9</v>
      </c>
      <c r="CS214" s="229">
        <f t="shared" si="637"/>
        <v>0</v>
      </c>
      <c r="CT214" s="229">
        <f t="shared" si="638"/>
        <v>0</v>
      </c>
      <c r="CU214" s="229">
        <f t="shared" si="639"/>
        <v>193</v>
      </c>
      <c r="CV214" s="229">
        <f t="shared" si="640"/>
        <v>0</v>
      </c>
      <c r="CW214" s="229">
        <f t="shared" si="641"/>
        <v>52</v>
      </c>
      <c r="CX214" s="229">
        <f t="shared" si="642"/>
        <v>0</v>
      </c>
      <c r="CY214" s="229">
        <f t="shared" si="643"/>
        <v>0</v>
      </c>
      <c r="CZ214" s="229">
        <f t="shared" si="644"/>
        <v>0</v>
      </c>
      <c r="DA214" s="229">
        <f t="shared" si="645"/>
        <v>0</v>
      </c>
      <c r="DB214" s="228">
        <f t="shared" si="606"/>
        <v>291.2</v>
      </c>
      <c r="DC214" s="229"/>
      <c r="DD214" s="229"/>
      <c r="DE214" s="229"/>
      <c r="DF214" s="229"/>
      <c r="DG214" s="229"/>
      <c r="DH214" s="229"/>
      <c r="DI214" s="229"/>
      <c r="DJ214" s="229"/>
      <c r="DK214" s="229"/>
      <c r="DL214" s="229"/>
      <c r="DM214" s="229"/>
      <c r="DN214" s="229"/>
      <c r="DO214" s="228">
        <f t="shared" si="622"/>
        <v>0</v>
      </c>
      <c r="DP214" s="228">
        <f t="shared" si="623"/>
        <v>291.2</v>
      </c>
      <c r="DQ214" s="229">
        <f t="shared" si="646"/>
        <v>0</v>
      </c>
      <c r="DR214" s="229">
        <f t="shared" si="647"/>
        <v>0</v>
      </c>
      <c r="DS214" s="229">
        <f t="shared" si="648"/>
        <v>0</v>
      </c>
      <c r="DT214" s="229">
        <f t="shared" si="649"/>
        <v>0</v>
      </c>
      <c r="DU214" s="229">
        <f t="shared" si="650"/>
        <v>0</v>
      </c>
      <c r="DV214" s="229">
        <f t="shared" si="651"/>
        <v>0</v>
      </c>
      <c r="DW214" s="229">
        <f t="shared" si="652"/>
        <v>0</v>
      </c>
      <c r="DX214" s="228">
        <f t="shared" si="607"/>
        <v>0</v>
      </c>
      <c r="DY214" s="229"/>
      <c r="DZ214" s="229"/>
      <c r="EA214" s="229"/>
      <c r="EB214" s="229"/>
      <c r="EC214" s="229"/>
      <c r="ED214" s="229"/>
      <c r="EE214" s="229"/>
      <c r="EF214" s="228">
        <f t="shared" si="631"/>
        <v>0</v>
      </c>
      <c r="EG214" s="228">
        <f t="shared" si="624"/>
        <v>0</v>
      </c>
      <c r="EH214" s="229">
        <f t="shared" si="632"/>
        <v>66.97</v>
      </c>
      <c r="EI214" s="229">
        <v>0</v>
      </c>
      <c r="EJ214" s="228">
        <f t="shared" si="602"/>
        <v>66.97</v>
      </c>
      <c r="EK214" s="229"/>
      <c r="EL214" s="229"/>
      <c r="EM214" s="228">
        <f t="shared" si="658"/>
        <v>0</v>
      </c>
      <c r="EN214" s="229">
        <f t="shared" si="576"/>
        <v>66.97</v>
      </c>
      <c r="EO214" s="229">
        <f t="shared" si="577"/>
        <v>0</v>
      </c>
      <c r="EP214" s="228">
        <f t="shared" si="659"/>
        <v>66.97</v>
      </c>
      <c r="EQ214" s="173">
        <f t="shared" si="633"/>
        <v>0</v>
      </c>
      <c r="ER214" s="189">
        <v>0</v>
      </c>
      <c r="ES214" s="189">
        <v>34.299999999999997</v>
      </c>
      <c r="ET214" s="189">
        <v>11.9</v>
      </c>
      <c r="EU214" s="189">
        <v>0</v>
      </c>
      <c r="EV214" s="189">
        <v>0</v>
      </c>
      <c r="EW214" s="189">
        <v>193</v>
      </c>
      <c r="EX214" s="189">
        <v>0</v>
      </c>
      <c r="EY214" s="189">
        <v>52</v>
      </c>
      <c r="EZ214" s="189">
        <v>0</v>
      </c>
      <c r="FA214" s="189">
        <v>0</v>
      </c>
      <c r="FB214" s="189">
        <v>0</v>
      </c>
      <c r="FC214" s="189">
        <v>0</v>
      </c>
      <c r="FD214" s="189">
        <v>0</v>
      </c>
      <c r="FE214" s="189">
        <v>0</v>
      </c>
      <c r="FF214" s="189">
        <v>0</v>
      </c>
      <c r="FG214" s="189">
        <v>0</v>
      </c>
      <c r="FH214" s="189">
        <v>0</v>
      </c>
      <c r="FI214" s="189">
        <v>0</v>
      </c>
      <c r="FJ214" s="189">
        <v>0</v>
      </c>
      <c r="FK214" s="189">
        <v>291.2</v>
      </c>
      <c r="FL214" s="189">
        <v>244</v>
      </c>
      <c r="FN214" s="132">
        <v>66.97</v>
      </c>
    </row>
    <row r="215" spans="1:170" ht="30" customHeight="1">
      <c r="A215" s="88">
        <f>COUNTIF($H$12:H215,H215)</f>
        <v>20</v>
      </c>
      <c r="B215" s="88" t="s">
        <v>2351</v>
      </c>
      <c r="C215" s="88" t="s">
        <v>560</v>
      </c>
      <c r="D215" s="88"/>
      <c r="E215" s="88"/>
      <c r="F215" s="301" t="s">
        <v>1877</v>
      </c>
      <c r="G215" s="89" t="s">
        <v>19</v>
      </c>
      <c r="H215" s="88">
        <v>4</v>
      </c>
      <c r="I215" s="88">
        <v>4</v>
      </c>
      <c r="J215" s="88">
        <v>4</v>
      </c>
      <c r="K215" s="90" t="s">
        <v>1076</v>
      </c>
      <c r="L215" s="90" t="s">
        <v>1076</v>
      </c>
      <c r="M215" s="214"/>
      <c r="N215" s="88" t="s">
        <v>1804</v>
      </c>
      <c r="O215" s="216">
        <f t="shared" si="665"/>
        <v>3</v>
      </c>
      <c r="P215" s="88" t="str">
        <f t="shared" si="663"/>
        <v>B1_3</v>
      </c>
      <c r="Q215" s="88">
        <f t="shared" si="527"/>
        <v>270</v>
      </c>
      <c r="R215" s="88">
        <f t="shared" si="528"/>
        <v>100</v>
      </c>
      <c r="S215" s="231"/>
      <c r="T215" s="214" t="s">
        <v>3088</v>
      </c>
      <c r="U215" s="88">
        <f>IF(RIGHT(T215,1)="K",(VLOOKUP(T215,ma_miengiam!$A$3:$B$80,2,0)*100)/2,VLOOKUP(T215,ma_miengiam!$A$3:$B$80,2,0)*100)</f>
        <v>0</v>
      </c>
      <c r="V215" s="88"/>
      <c r="W215" s="220">
        <f>IF(AND(T215="NTS",V215&gt;0),(Q215-(Q215*V215)/12)*VLOOKUP(T215,ma_miengiam!$A$3:$B$80,2,0)+(Q215-(Q215*(12-V215))/12),IF(AND(RIGHT(T215,1)="K",V215&gt;0),(VLOOKUP(T215,ma_miengiam!$A$3:$B$80,2,0)/2)*(Q215*V215)/12,IF(RIGHT(T215,1)="K",(VLOOKUP(T215,ma_miengiam!$A$3:$B$80,2,0)*Q215)/2,IF(V215&gt;0,VLOOKUP(T215,ma_miengiam!$A$3:$B$80,2,0)*Q215*V215/12,VLOOKUP(T215,ma_miengiam!$A$3:$B$80,2,0)*Q215))))</f>
        <v>0</v>
      </c>
      <c r="X215" s="220">
        <f>IF(T215="NTS",VLOOKUP(T215,ma_miengiam!$A$3:$B$80,2,0)*R215*V215,IF(AND(T215="NTS",V215=0),0,IF(AND(LEFT(T215,1)="K",V215=0),VLOOKUP(T215,ma_miengiam!$A$3:$B$80,2,0)*R215,IF(LEFT(T215,1)="K",(VLOOKUP(T215,ma_miengiam!$A$3:$B$80,2,0)*R215/12)*V215,IF(AND(LEFT(T215,1)="S",V215&gt;0),(R215/12)*V215,IF(AND(LEFT(T215,1)="S",V215=0),R215,IF(T215="DH",VLOOKUP(T215,ma_miengiam!$A$3:$B$80,2,0)*R215,0)))))))</f>
        <v>0</v>
      </c>
      <c r="Y215" s="220">
        <f t="shared" si="597"/>
        <v>270</v>
      </c>
      <c r="Z215" s="220">
        <f t="shared" si="609"/>
        <v>100</v>
      </c>
      <c r="AA215" s="220">
        <f t="shared" si="669"/>
        <v>270</v>
      </c>
      <c r="AB215" s="220">
        <f t="shared" si="669"/>
        <v>100</v>
      </c>
      <c r="AC215" s="220">
        <f t="shared" ref="AC215:AF216" si="673">W215</f>
        <v>0</v>
      </c>
      <c r="AD215" s="220">
        <f t="shared" si="673"/>
        <v>0</v>
      </c>
      <c r="AE215" s="220">
        <f t="shared" si="673"/>
        <v>270</v>
      </c>
      <c r="AF215" s="220">
        <f t="shared" si="673"/>
        <v>100</v>
      </c>
      <c r="AG215" s="220">
        <f t="shared" si="655"/>
        <v>70.72</v>
      </c>
      <c r="AH215" s="220">
        <f t="shared" si="656"/>
        <v>12.08</v>
      </c>
      <c r="AI215" s="220">
        <f t="shared" si="657"/>
        <v>58.64</v>
      </c>
      <c r="AJ215" s="220">
        <f t="shared" si="513"/>
        <v>-29.28</v>
      </c>
      <c r="AK215" s="216">
        <f t="shared" si="604"/>
        <v>299.27999999999997</v>
      </c>
      <c r="AL215" s="220">
        <f t="shared" si="611"/>
        <v>230</v>
      </c>
      <c r="AM215" s="220">
        <f t="shared" si="612"/>
        <v>0</v>
      </c>
      <c r="AN215" s="221">
        <f t="shared" si="613"/>
        <v>230</v>
      </c>
      <c r="AO215" s="220">
        <f t="shared" si="614"/>
        <v>0</v>
      </c>
      <c r="AP215" s="220">
        <f t="shared" si="615"/>
        <v>0</v>
      </c>
      <c r="AQ215" s="220">
        <f t="shared" si="616"/>
        <v>84</v>
      </c>
      <c r="AR215" s="220">
        <f t="shared" si="617"/>
        <v>0</v>
      </c>
      <c r="AS215" s="220">
        <f t="shared" si="618"/>
        <v>0</v>
      </c>
      <c r="AT215" s="216">
        <f t="shared" si="619"/>
        <v>314</v>
      </c>
      <c r="AU215" s="222">
        <f t="shared" si="574"/>
        <v>-69.279999999999973</v>
      </c>
      <c r="AV215" s="220"/>
      <c r="AW215" s="220">
        <f t="shared" si="532"/>
        <v>-69.279999999999973</v>
      </c>
      <c r="AX215" s="216">
        <f t="shared" si="620"/>
        <v>-69.279999999999973</v>
      </c>
      <c r="AY215" s="220">
        <f t="shared" si="539"/>
        <v>0</v>
      </c>
      <c r="AZ215" s="220">
        <f t="shared" si="540"/>
        <v>0</v>
      </c>
      <c r="BA215" s="220">
        <f t="shared" si="541"/>
        <v>14.720000000000027</v>
      </c>
      <c r="BB215" s="220">
        <f t="shared" si="542"/>
        <v>0</v>
      </c>
      <c r="BC215" s="220">
        <f t="shared" si="543"/>
        <v>0</v>
      </c>
      <c r="BD215" s="216">
        <f t="shared" si="575"/>
        <v>14.720000000000027</v>
      </c>
      <c r="BE215" s="220">
        <f t="shared" si="533"/>
        <v>0</v>
      </c>
      <c r="BF215" s="220">
        <f t="shared" si="534"/>
        <v>0</v>
      </c>
      <c r="BG215" s="220">
        <f t="shared" si="535"/>
        <v>-69.279999999999973</v>
      </c>
      <c r="BH215" s="220">
        <f t="shared" si="536"/>
        <v>0</v>
      </c>
      <c r="BI215" s="220">
        <f t="shared" si="537"/>
        <v>0</v>
      </c>
      <c r="BJ215" s="220" t="s">
        <v>2520</v>
      </c>
      <c r="BK215" s="220"/>
      <c r="BL215" s="223">
        <f t="shared" si="582"/>
        <v>0</v>
      </c>
      <c r="BM215" s="220">
        <v>3</v>
      </c>
      <c r="BN215" s="220"/>
      <c r="BO215" s="220">
        <f t="shared" si="662"/>
        <v>3</v>
      </c>
      <c r="BP215" s="220">
        <f>IF(AND(BL215&gt;0,BL215&lt;tiet!$D$1),BL215,IF(BL215&lt;=0,0,IF(BL215&gt;tiet!$C$1,tiet!$C$1)))</f>
        <v>0</v>
      </c>
      <c r="BQ215" s="87">
        <f t="shared" ref="BQ215:BQ271" si="674">VLOOKUP(P215,ma_dinhmuc_moi,4,0)</f>
        <v>60000</v>
      </c>
      <c r="BR215" s="224">
        <f t="shared" ref="BR215:BR271" si="675">ROUND(BQ215*BP215,0)</f>
        <v>0</v>
      </c>
      <c r="BS215" s="220">
        <f t="shared" si="630"/>
        <v>0</v>
      </c>
      <c r="BT215" s="224">
        <f>VLOOKUP(N215,ma_dinhmuc!$A$1:$J$31,10,0)</f>
        <v>51000</v>
      </c>
      <c r="BU215" s="224">
        <f>ROUND(IF(BS215&gt;0,VLOOKUP(N215,ma_dinhmuc!$A$1:$J$31,10,0)*BS215,0),0)</f>
        <v>0</v>
      </c>
      <c r="BV215" s="224">
        <f t="shared" ref="BV215:BV271" si="676">ROUND(BU215+BR215,0)</f>
        <v>0</v>
      </c>
      <c r="BW215" s="224"/>
      <c r="BX215" s="224"/>
      <c r="BY215" s="224"/>
      <c r="BZ215" s="224"/>
      <c r="CA215" s="224"/>
      <c r="CB215" s="224"/>
      <c r="CC215" s="225">
        <f t="shared" si="544"/>
        <v>0</v>
      </c>
      <c r="CD215" s="224">
        <f t="shared" si="545"/>
        <v>0</v>
      </c>
      <c r="CE215" s="224"/>
      <c r="CF215" s="226"/>
      <c r="CG215" s="87"/>
      <c r="CH215" s="87">
        <f>A215</f>
        <v>20</v>
      </c>
      <c r="CI215" s="227" t="str">
        <f t="shared" si="599"/>
        <v>Nguyễn Ngọc</v>
      </c>
      <c r="CJ215" s="227" t="str">
        <f t="shared" si="670"/>
        <v>Cường</v>
      </c>
      <c r="CK215" s="87">
        <f t="shared" si="671"/>
        <v>4</v>
      </c>
      <c r="CL215" s="227" t="str">
        <f t="shared" si="600"/>
        <v>Công nghệ cơ khí</v>
      </c>
      <c r="CM215" s="87" t="str">
        <f t="shared" si="538"/>
        <v>CS2</v>
      </c>
      <c r="CN215" s="87">
        <f t="shared" si="668"/>
        <v>270</v>
      </c>
      <c r="CO215" s="87">
        <f t="shared" si="672"/>
        <v>100</v>
      </c>
      <c r="CP215" s="229">
        <f t="shared" si="634"/>
        <v>0</v>
      </c>
      <c r="CQ215" s="229">
        <f t="shared" si="635"/>
        <v>11.4</v>
      </c>
      <c r="CR215" s="229">
        <f t="shared" si="636"/>
        <v>4.5999999999999996</v>
      </c>
      <c r="CS215" s="229">
        <f t="shared" si="637"/>
        <v>78</v>
      </c>
      <c r="CT215" s="229">
        <f t="shared" si="638"/>
        <v>0</v>
      </c>
      <c r="CU215" s="229">
        <f t="shared" si="639"/>
        <v>104</v>
      </c>
      <c r="CV215" s="229">
        <f t="shared" si="640"/>
        <v>0</v>
      </c>
      <c r="CW215" s="229">
        <f t="shared" si="641"/>
        <v>32</v>
      </c>
      <c r="CX215" s="229">
        <f t="shared" si="642"/>
        <v>0</v>
      </c>
      <c r="CY215" s="229">
        <f t="shared" si="643"/>
        <v>0</v>
      </c>
      <c r="CZ215" s="229">
        <f t="shared" si="644"/>
        <v>0</v>
      </c>
      <c r="DA215" s="229">
        <f t="shared" si="645"/>
        <v>84</v>
      </c>
      <c r="DB215" s="228">
        <f t="shared" si="606"/>
        <v>314</v>
      </c>
      <c r="DC215" s="229"/>
      <c r="DD215" s="229"/>
      <c r="DE215" s="229"/>
      <c r="DF215" s="229"/>
      <c r="DG215" s="229"/>
      <c r="DH215" s="229"/>
      <c r="DI215" s="229"/>
      <c r="DJ215" s="229"/>
      <c r="DK215" s="229"/>
      <c r="DL215" s="229"/>
      <c r="DM215" s="229"/>
      <c r="DN215" s="229"/>
      <c r="DO215" s="228">
        <f t="shared" si="622"/>
        <v>0</v>
      </c>
      <c r="DP215" s="228">
        <f t="shared" si="623"/>
        <v>314</v>
      </c>
      <c r="DQ215" s="229">
        <f t="shared" si="646"/>
        <v>0</v>
      </c>
      <c r="DR215" s="229">
        <f t="shared" si="647"/>
        <v>0</v>
      </c>
      <c r="DS215" s="229">
        <f t="shared" si="648"/>
        <v>0</v>
      </c>
      <c r="DT215" s="229">
        <f t="shared" si="649"/>
        <v>0</v>
      </c>
      <c r="DU215" s="229">
        <f t="shared" si="650"/>
        <v>0</v>
      </c>
      <c r="DV215" s="229">
        <f t="shared" si="651"/>
        <v>0</v>
      </c>
      <c r="DW215" s="229">
        <f t="shared" si="652"/>
        <v>0</v>
      </c>
      <c r="DX215" s="228">
        <f t="shared" si="607"/>
        <v>0</v>
      </c>
      <c r="DY215" s="229"/>
      <c r="DZ215" s="229"/>
      <c r="EA215" s="229"/>
      <c r="EB215" s="229"/>
      <c r="EC215" s="229"/>
      <c r="ED215" s="229"/>
      <c r="EE215" s="229"/>
      <c r="EF215" s="228">
        <f t="shared" si="631"/>
        <v>0</v>
      </c>
      <c r="EG215" s="228">
        <f t="shared" si="624"/>
        <v>0</v>
      </c>
      <c r="EH215" s="229">
        <f t="shared" si="632"/>
        <v>58.64</v>
      </c>
      <c r="EI215" s="229">
        <v>12.08</v>
      </c>
      <c r="EJ215" s="228">
        <f t="shared" si="602"/>
        <v>70.72</v>
      </c>
      <c r="EK215" s="229"/>
      <c r="EL215" s="229"/>
      <c r="EM215" s="228">
        <f t="shared" si="658"/>
        <v>0</v>
      </c>
      <c r="EN215" s="229">
        <f t="shared" si="576"/>
        <v>58.64</v>
      </c>
      <c r="EO215" s="229">
        <f t="shared" si="577"/>
        <v>12.08</v>
      </c>
      <c r="EP215" s="228">
        <f t="shared" si="659"/>
        <v>70.72</v>
      </c>
      <c r="EQ215" s="173">
        <f t="shared" si="633"/>
        <v>0</v>
      </c>
      <c r="ER215" s="189">
        <v>0</v>
      </c>
      <c r="ES215" s="189">
        <v>11.4</v>
      </c>
      <c r="ET215" s="189">
        <v>4.5999999999999996</v>
      </c>
      <c r="EU215" s="189">
        <v>78</v>
      </c>
      <c r="EV215" s="189">
        <v>0</v>
      </c>
      <c r="EW215" s="189">
        <v>104</v>
      </c>
      <c r="EX215" s="189">
        <v>0</v>
      </c>
      <c r="EY215" s="189">
        <v>32</v>
      </c>
      <c r="EZ215" s="189">
        <v>0</v>
      </c>
      <c r="FA215" s="189">
        <v>0</v>
      </c>
      <c r="FB215" s="189">
        <v>0</v>
      </c>
      <c r="FC215" s="189">
        <v>84</v>
      </c>
      <c r="FD215" s="189">
        <v>0</v>
      </c>
      <c r="FE215" s="189">
        <v>0</v>
      </c>
      <c r="FF215" s="189">
        <v>0</v>
      </c>
      <c r="FG215" s="189">
        <v>0</v>
      </c>
      <c r="FH215" s="189">
        <v>0</v>
      </c>
      <c r="FI215" s="189">
        <v>0</v>
      </c>
      <c r="FJ215" s="189">
        <v>0</v>
      </c>
      <c r="FK215" s="189">
        <v>314</v>
      </c>
      <c r="FL215" s="189">
        <v>304</v>
      </c>
      <c r="FN215" s="132">
        <v>58.64</v>
      </c>
    </row>
    <row r="216" spans="1:170" ht="28.5" customHeight="1">
      <c r="A216" s="88">
        <f>COUNTIF($H$12:H216,H216)</f>
        <v>21</v>
      </c>
      <c r="B216" s="88" t="s">
        <v>2352</v>
      </c>
      <c r="C216" s="88" t="s">
        <v>561</v>
      </c>
      <c r="D216" s="88"/>
      <c r="E216" s="88"/>
      <c r="F216" s="301" t="s">
        <v>2912</v>
      </c>
      <c r="G216" s="303" t="s">
        <v>1648</v>
      </c>
      <c r="H216" s="88">
        <v>4</v>
      </c>
      <c r="I216" s="88">
        <v>4</v>
      </c>
      <c r="J216" s="88">
        <v>4</v>
      </c>
      <c r="K216" s="90" t="s">
        <v>1076</v>
      </c>
      <c r="L216" s="90" t="s">
        <v>1076</v>
      </c>
      <c r="M216" s="214"/>
      <c r="N216" s="88" t="s">
        <v>1804</v>
      </c>
      <c r="O216" s="216">
        <f t="shared" si="665"/>
        <v>2.67</v>
      </c>
      <c r="P216" s="88" t="str">
        <f t="shared" si="663"/>
        <v>B1_3</v>
      </c>
      <c r="Q216" s="88">
        <f t="shared" si="527"/>
        <v>270</v>
      </c>
      <c r="R216" s="88">
        <f t="shared" si="528"/>
        <v>100</v>
      </c>
      <c r="S216" s="218" t="s">
        <v>2664</v>
      </c>
      <c r="T216" s="88" t="s">
        <v>3088</v>
      </c>
      <c r="U216" s="88">
        <f>IF(RIGHT(T216,1)="K",(VLOOKUP(T216,ma_miengiam!$A$3:$B$80,2,0)*100)/2,VLOOKUP(T216,ma_miengiam!$A$3:$B$80,2,0)*100)</f>
        <v>0</v>
      </c>
      <c r="V216" s="88">
        <v>3</v>
      </c>
      <c r="W216" s="220">
        <f>IF(AND(T216="NTS",V216&gt;0),(Q216-(Q216*V216)/12)*VLOOKUP(T216,ma_miengiam!$A$3:$B$80,2,0)+(Q216-(Q216*(12-V216))/12),IF(AND(RIGHT(T216,1)="K",V216&gt;0),(VLOOKUP(T216,ma_miengiam!$A$3:$B$80,2,0)/2)*(Q216*V216)/12,IF(RIGHT(T216,1)="K",(VLOOKUP(T216,ma_miengiam!$A$3:$B$80,2,0)*Q216)/2,IF(V216&gt;0,VLOOKUP(T216,ma_miengiam!$A$3:$B$80,2,0)*Q216*V216/12,VLOOKUP(T216,ma_miengiam!$A$3:$B$80,2,0)*Q216))))</f>
        <v>0</v>
      </c>
      <c r="X216" s="220">
        <f>IF(T216="NTS",VLOOKUP(T216,ma_miengiam!$A$3:$B$80,2,0)*R216*V216,IF(AND(T216="NTS",V216=0),0,IF(AND(LEFT(T216,1)="K",V216=0),VLOOKUP(T216,ma_miengiam!$A$3:$B$80,2,0)*R216,IF(LEFT(T216,1)="K",(VLOOKUP(T216,ma_miengiam!$A$3:$B$80,2,0)*R216/12)*V216,IF(AND(LEFT(T216,1)="S",V216&gt;0),(R216/12)*V216,IF(AND(LEFT(T216,1)="S",V216=0),R216,IF(T216="DH",VLOOKUP(T216,ma_miengiam!$A$3:$B$80,2,0)*R216,0)))))))</f>
        <v>0</v>
      </c>
      <c r="Y216" s="220">
        <f t="shared" si="597"/>
        <v>67.5</v>
      </c>
      <c r="Z216" s="220">
        <f t="shared" si="609"/>
        <v>25</v>
      </c>
      <c r="AA216" s="220">
        <f t="shared" si="669"/>
        <v>270</v>
      </c>
      <c r="AB216" s="220">
        <f t="shared" si="669"/>
        <v>100</v>
      </c>
      <c r="AC216" s="220">
        <f t="shared" si="673"/>
        <v>0</v>
      </c>
      <c r="AD216" s="220">
        <f t="shared" si="673"/>
        <v>0</v>
      </c>
      <c r="AE216" s="220">
        <f t="shared" si="673"/>
        <v>67.5</v>
      </c>
      <c r="AF216" s="220">
        <f t="shared" si="673"/>
        <v>25</v>
      </c>
      <c r="AG216" s="220">
        <f t="shared" si="655"/>
        <v>625.29999999999995</v>
      </c>
      <c r="AH216" s="220">
        <f t="shared" si="656"/>
        <v>353.33</v>
      </c>
      <c r="AI216" s="220">
        <f t="shared" si="657"/>
        <v>271.97000000000003</v>
      </c>
      <c r="AJ216" s="220">
        <f t="shared" ref="AJ216:AJ271" si="677">IF(AG216-Z216&gt;0,0,AG216-Z216)</f>
        <v>0</v>
      </c>
      <c r="AK216" s="216">
        <f t="shared" si="604"/>
        <v>67.5</v>
      </c>
      <c r="AL216" s="220">
        <f t="shared" si="611"/>
        <v>74</v>
      </c>
      <c r="AM216" s="220">
        <f t="shared" si="612"/>
        <v>0</v>
      </c>
      <c r="AN216" s="221">
        <f t="shared" si="613"/>
        <v>74</v>
      </c>
      <c r="AO216" s="220">
        <f t="shared" si="614"/>
        <v>0</v>
      </c>
      <c r="AP216" s="220">
        <f t="shared" si="615"/>
        <v>0</v>
      </c>
      <c r="AQ216" s="220">
        <f t="shared" si="616"/>
        <v>0</v>
      </c>
      <c r="AR216" s="220">
        <f t="shared" si="617"/>
        <v>0</v>
      </c>
      <c r="AS216" s="220">
        <f t="shared" si="618"/>
        <v>0</v>
      </c>
      <c r="AT216" s="216">
        <f t="shared" si="619"/>
        <v>74</v>
      </c>
      <c r="AU216" s="222">
        <f t="shared" si="574"/>
        <v>6.5</v>
      </c>
      <c r="AV216" s="220"/>
      <c r="AW216" s="220">
        <f t="shared" si="532"/>
        <v>6.5</v>
      </c>
      <c r="AX216" s="216">
        <f t="shared" si="620"/>
        <v>0</v>
      </c>
      <c r="AY216" s="220">
        <f t="shared" si="539"/>
        <v>0</v>
      </c>
      <c r="AZ216" s="220">
        <f t="shared" si="540"/>
        <v>0</v>
      </c>
      <c r="BA216" s="220">
        <f t="shared" si="541"/>
        <v>0</v>
      </c>
      <c r="BB216" s="220">
        <f t="shared" si="542"/>
        <v>0</v>
      </c>
      <c r="BC216" s="220">
        <f t="shared" si="543"/>
        <v>0</v>
      </c>
      <c r="BD216" s="216">
        <f t="shared" si="575"/>
        <v>0</v>
      </c>
      <c r="BE216" s="220">
        <f t="shared" si="533"/>
        <v>0</v>
      </c>
      <c r="BF216" s="220">
        <f t="shared" si="534"/>
        <v>0</v>
      </c>
      <c r="BG216" s="220">
        <f t="shared" si="535"/>
        <v>0</v>
      </c>
      <c r="BH216" s="220">
        <f t="shared" si="536"/>
        <v>0</v>
      </c>
      <c r="BI216" s="220">
        <f t="shared" si="537"/>
        <v>0</v>
      </c>
      <c r="BJ216" s="220" t="s">
        <v>2555</v>
      </c>
      <c r="BK216" s="220"/>
      <c r="BL216" s="223">
        <f t="shared" si="582"/>
        <v>6.5</v>
      </c>
      <c r="BM216" s="220">
        <v>2.67</v>
      </c>
      <c r="BN216" s="220"/>
      <c r="BO216" s="220">
        <f t="shared" si="662"/>
        <v>2.67</v>
      </c>
      <c r="BP216" s="220">
        <f>IF(AND(BL216&gt;0,BL216&lt;tiet!$D$1),BL216,IF(BL216&lt;=0,0,IF(BL216&gt;tiet!$C$1,tiet!$C$1)))</f>
        <v>6.5</v>
      </c>
      <c r="BQ216" s="87">
        <f t="shared" si="674"/>
        <v>60000</v>
      </c>
      <c r="BR216" s="224">
        <f t="shared" si="675"/>
        <v>390000</v>
      </c>
      <c r="BS216" s="220">
        <f t="shared" si="630"/>
        <v>0</v>
      </c>
      <c r="BT216" s="224">
        <f>VLOOKUP(N216,ma_dinhmuc!$A$1:$J$31,10,0)</f>
        <v>51000</v>
      </c>
      <c r="BU216" s="224">
        <f>ROUND(IF(BS216&gt;0,VLOOKUP(N216,ma_dinhmuc!$A$1:$J$31,10,0)*BS216,0),0)</f>
        <v>0</v>
      </c>
      <c r="BV216" s="224">
        <f t="shared" si="676"/>
        <v>390000</v>
      </c>
      <c r="BW216" s="224"/>
      <c r="BX216" s="224">
        <v>0</v>
      </c>
      <c r="BY216" s="224"/>
      <c r="BZ216" s="224"/>
      <c r="CA216" s="224"/>
      <c r="CB216" s="224"/>
      <c r="CC216" s="225">
        <f t="shared" si="544"/>
        <v>390000</v>
      </c>
      <c r="CD216" s="224">
        <f t="shared" si="545"/>
        <v>0</v>
      </c>
      <c r="CE216" s="224"/>
      <c r="CF216" s="226"/>
      <c r="CG216" s="87"/>
      <c r="CH216" s="87">
        <f t="shared" si="666"/>
        <v>21</v>
      </c>
      <c r="CI216" s="227" t="str">
        <f t="shared" si="599"/>
        <v>Nguyễn Thị Thu</v>
      </c>
      <c r="CJ216" s="227" t="str">
        <f t="shared" si="670"/>
        <v>Trang</v>
      </c>
      <c r="CK216" s="87">
        <f t="shared" si="671"/>
        <v>4</v>
      </c>
      <c r="CL216" s="227" t="str">
        <f t="shared" si="600"/>
        <v>Công nghệ cơ khí</v>
      </c>
      <c r="CM216" s="87" t="str">
        <f t="shared" si="538"/>
        <v>CS2</v>
      </c>
      <c r="CN216" s="87">
        <f t="shared" si="668"/>
        <v>270</v>
      </c>
      <c r="CO216" s="87">
        <f t="shared" si="672"/>
        <v>100</v>
      </c>
      <c r="CP216" s="229">
        <f t="shared" si="634"/>
        <v>0</v>
      </c>
      <c r="CQ216" s="229">
        <f t="shared" si="635"/>
        <v>0</v>
      </c>
      <c r="CR216" s="229">
        <f t="shared" si="636"/>
        <v>0</v>
      </c>
      <c r="CS216" s="229">
        <f t="shared" si="637"/>
        <v>0</v>
      </c>
      <c r="CT216" s="229">
        <f t="shared" si="638"/>
        <v>0</v>
      </c>
      <c r="CU216" s="229">
        <f t="shared" si="639"/>
        <v>54</v>
      </c>
      <c r="CV216" s="229">
        <f t="shared" si="640"/>
        <v>0</v>
      </c>
      <c r="CW216" s="229">
        <f t="shared" si="641"/>
        <v>20</v>
      </c>
      <c r="CX216" s="229">
        <f t="shared" si="642"/>
        <v>0</v>
      </c>
      <c r="CY216" s="229">
        <f t="shared" si="643"/>
        <v>0</v>
      </c>
      <c r="CZ216" s="229">
        <f t="shared" si="644"/>
        <v>0</v>
      </c>
      <c r="DA216" s="229">
        <f t="shared" si="645"/>
        <v>0</v>
      </c>
      <c r="DB216" s="228">
        <f t="shared" si="606"/>
        <v>74</v>
      </c>
      <c r="DC216" s="229"/>
      <c r="DD216" s="229"/>
      <c r="DE216" s="229"/>
      <c r="DF216" s="229"/>
      <c r="DG216" s="229"/>
      <c r="DH216" s="229"/>
      <c r="DI216" s="229"/>
      <c r="DJ216" s="229"/>
      <c r="DK216" s="229"/>
      <c r="DL216" s="229"/>
      <c r="DM216" s="229"/>
      <c r="DN216" s="229"/>
      <c r="DO216" s="228">
        <f t="shared" si="622"/>
        <v>0</v>
      </c>
      <c r="DP216" s="228">
        <f t="shared" si="623"/>
        <v>74</v>
      </c>
      <c r="DQ216" s="229">
        <f t="shared" si="646"/>
        <v>0</v>
      </c>
      <c r="DR216" s="229">
        <f t="shared" si="647"/>
        <v>0</v>
      </c>
      <c r="DS216" s="229">
        <f t="shared" si="648"/>
        <v>0</v>
      </c>
      <c r="DT216" s="229">
        <f t="shared" si="649"/>
        <v>0</v>
      </c>
      <c r="DU216" s="229">
        <f t="shared" si="650"/>
        <v>0</v>
      </c>
      <c r="DV216" s="229">
        <f t="shared" si="651"/>
        <v>0</v>
      </c>
      <c r="DW216" s="229">
        <f t="shared" si="652"/>
        <v>0</v>
      </c>
      <c r="DX216" s="228">
        <f t="shared" si="607"/>
        <v>0</v>
      </c>
      <c r="DY216" s="229"/>
      <c r="DZ216" s="229"/>
      <c r="EA216" s="229"/>
      <c r="EB216" s="229"/>
      <c r="EC216" s="229"/>
      <c r="ED216" s="229"/>
      <c r="EE216" s="229"/>
      <c r="EF216" s="228">
        <f t="shared" si="631"/>
        <v>0</v>
      </c>
      <c r="EG216" s="228">
        <f t="shared" si="624"/>
        <v>0</v>
      </c>
      <c r="EH216" s="229">
        <f t="shared" si="632"/>
        <v>271.97000000000003</v>
      </c>
      <c r="EI216" s="229">
        <v>353.33</v>
      </c>
      <c r="EJ216" s="228">
        <f t="shared" si="602"/>
        <v>625.29999999999995</v>
      </c>
      <c r="EK216" s="229"/>
      <c r="EL216" s="229"/>
      <c r="EM216" s="228">
        <f t="shared" si="658"/>
        <v>0</v>
      </c>
      <c r="EN216" s="229">
        <f t="shared" si="576"/>
        <v>271.97000000000003</v>
      </c>
      <c r="EO216" s="229">
        <f t="shared" si="577"/>
        <v>353.33</v>
      </c>
      <c r="EP216" s="228">
        <f t="shared" si="659"/>
        <v>625.29999999999995</v>
      </c>
      <c r="EQ216" s="173">
        <f t="shared" si="633"/>
        <v>246.97000000000003</v>
      </c>
      <c r="ER216" s="189">
        <v>0</v>
      </c>
      <c r="ES216" s="189">
        <v>0</v>
      </c>
      <c r="ET216" s="189">
        <v>0</v>
      </c>
      <c r="EU216" s="189">
        <v>0</v>
      </c>
      <c r="EV216" s="189">
        <v>0</v>
      </c>
      <c r="EW216" s="189">
        <v>54</v>
      </c>
      <c r="EX216" s="189">
        <v>0</v>
      </c>
      <c r="EY216" s="189">
        <v>20</v>
      </c>
      <c r="EZ216" s="189">
        <v>0</v>
      </c>
      <c r="FA216" s="189">
        <v>0</v>
      </c>
      <c r="FB216" s="189">
        <v>0</v>
      </c>
      <c r="FC216" s="189">
        <v>0</v>
      </c>
      <c r="FD216" s="189">
        <v>0</v>
      </c>
      <c r="FE216" s="189">
        <v>0</v>
      </c>
      <c r="FF216" s="189">
        <v>0</v>
      </c>
      <c r="FG216" s="189">
        <v>0</v>
      </c>
      <c r="FH216" s="189">
        <v>0</v>
      </c>
      <c r="FI216" s="189">
        <v>0</v>
      </c>
      <c r="FJ216" s="189">
        <v>0</v>
      </c>
      <c r="FK216" s="189">
        <v>74</v>
      </c>
      <c r="FL216" s="189">
        <v>70</v>
      </c>
      <c r="FN216" s="132">
        <v>271.97000000000003</v>
      </c>
    </row>
    <row r="217" spans="1:170" ht="30.75" customHeight="1">
      <c r="A217" s="88">
        <f>COUNTIF($H$12:H217,H217)</f>
        <v>22</v>
      </c>
      <c r="B217" s="88" t="s">
        <v>2353</v>
      </c>
      <c r="C217" s="88" t="s">
        <v>562</v>
      </c>
      <c r="D217" s="88"/>
      <c r="E217" s="88"/>
      <c r="F217" s="301" t="s">
        <v>170</v>
      </c>
      <c r="G217" s="89" t="s">
        <v>2082</v>
      </c>
      <c r="H217" s="88">
        <v>4</v>
      </c>
      <c r="I217" s="88">
        <v>4</v>
      </c>
      <c r="J217" s="88">
        <v>4</v>
      </c>
      <c r="K217" s="90" t="s">
        <v>1076</v>
      </c>
      <c r="L217" s="90" t="s">
        <v>1076</v>
      </c>
      <c r="M217" s="214"/>
      <c r="N217" s="88" t="s">
        <v>606</v>
      </c>
      <c r="O217" s="216">
        <f>BO217</f>
        <v>5.76</v>
      </c>
      <c r="P217" s="88" t="str">
        <f t="shared" si="663"/>
        <v>B1_6</v>
      </c>
      <c r="Q217" s="88">
        <f t="shared" si="527"/>
        <v>270</v>
      </c>
      <c r="R217" s="88">
        <f t="shared" si="528"/>
        <v>170</v>
      </c>
      <c r="S217" s="230" t="s">
        <v>2031</v>
      </c>
      <c r="T217" s="88" t="s">
        <v>3091</v>
      </c>
      <c r="U217" s="88">
        <f>IF(RIGHT(T217,1)="K",(VLOOKUP(T217,ma_miengiam!$A$3:$B$80,2,0)*100)/2,VLOOKUP(T217,ma_miengiam!$A$3:$B$80,2,0)*100)</f>
        <v>20</v>
      </c>
      <c r="V217" s="88"/>
      <c r="W217" s="220">
        <f>IF(AND(T217="NTS",V217&gt;0),(Q217-(Q217*V217)/12)*VLOOKUP(T217,ma_miengiam!$A$3:$B$80,2,0)+(Q217-(Q217*(12-V217))/12),IF(AND(RIGHT(T217,1)="K",V217&gt;0),(VLOOKUP(T217,ma_miengiam!$A$3:$B$80,2,0)/2)*(Q217*V217)/12,IF(RIGHT(T217,1)="K",(VLOOKUP(T217,ma_miengiam!$A$3:$B$80,2,0)*Q217)/2,IF(V217&gt;0,VLOOKUP(T217,ma_miengiam!$A$3:$B$80,2,0)*Q217*V217/12,VLOOKUP(T217,ma_miengiam!$A$3:$B$80,2,0)*Q217))))</f>
        <v>54</v>
      </c>
      <c r="X217" s="220">
        <f>IF(T217="NTS",VLOOKUP(T217,ma_miengiam!$A$3:$B$80,2,0)*R217*V217,IF(AND(T217="NTS",V217=0),0,IF(AND(LEFT(T217,1)="K",V217=0),VLOOKUP(T217,ma_miengiam!$A$3:$B$80,2,0)*R217,IF(LEFT(T217,1)="K",(VLOOKUP(T217,ma_miengiam!$A$3:$B$80,2,0)*R217/12)*V217,IF(AND(LEFT(T217,1)="S",V217&gt;0),(R217/12)*V217,IF(AND(LEFT(T217,1)="S",V217=0),R217,IF(T217="DH",VLOOKUP(T217,ma_miengiam!$A$3:$B$80,2,0)*R217,0)))))))</f>
        <v>0</v>
      </c>
      <c r="Y217" s="220">
        <f t="shared" si="597"/>
        <v>216</v>
      </c>
      <c r="Z217" s="220">
        <f>IF(AND(T217="SĐH",V217&gt;0),(R217/12)*V217-X217,IF(AND(T217="DH",V217&gt;0),(R217*V217/12),IF(AND(T217&lt;&gt;"NTS",V217&gt;0),(R217*V217/12)-X217,IF(AND(T217="NTS",V217&gt;0),R217-X217,R217-X217))))</f>
        <v>170</v>
      </c>
      <c r="AA217" s="220">
        <f t="shared" ref="AA217:AB220" si="678">Q217</f>
        <v>270</v>
      </c>
      <c r="AB217" s="220">
        <f t="shared" si="678"/>
        <v>170</v>
      </c>
      <c r="AC217" s="220">
        <f t="shared" ref="AC217:AF220" si="679">W217</f>
        <v>54</v>
      </c>
      <c r="AD217" s="220">
        <f t="shared" si="679"/>
        <v>0</v>
      </c>
      <c r="AE217" s="220">
        <f t="shared" si="679"/>
        <v>216</v>
      </c>
      <c r="AF217" s="220">
        <f t="shared" si="679"/>
        <v>170</v>
      </c>
      <c r="AG217" s="220">
        <f t="shared" si="655"/>
        <v>302.07</v>
      </c>
      <c r="AH217" s="220">
        <f t="shared" si="656"/>
        <v>98.74</v>
      </c>
      <c r="AI217" s="220">
        <f t="shared" si="657"/>
        <v>203.33</v>
      </c>
      <c r="AJ217" s="220">
        <f>IF(AG217-Z217&gt;0,0,AG217-Z217)</f>
        <v>0</v>
      </c>
      <c r="AK217" s="216">
        <f t="shared" si="604"/>
        <v>216</v>
      </c>
      <c r="AL217" s="220">
        <f t="shared" si="611"/>
        <v>206.2</v>
      </c>
      <c r="AM217" s="220">
        <f t="shared" si="612"/>
        <v>0</v>
      </c>
      <c r="AN217" s="221">
        <f t="shared" si="613"/>
        <v>206.2</v>
      </c>
      <c r="AO217" s="220">
        <f t="shared" si="614"/>
        <v>0</v>
      </c>
      <c r="AP217" s="220">
        <f t="shared" si="615"/>
        <v>0</v>
      </c>
      <c r="AQ217" s="220">
        <f t="shared" si="616"/>
        <v>36</v>
      </c>
      <c r="AR217" s="220">
        <f t="shared" si="617"/>
        <v>0</v>
      </c>
      <c r="AS217" s="220">
        <f t="shared" si="618"/>
        <v>0</v>
      </c>
      <c r="AT217" s="216">
        <f t="shared" si="619"/>
        <v>242.2</v>
      </c>
      <c r="AU217" s="222">
        <f>AN217-AK217</f>
        <v>-9.8000000000000114</v>
      </c>
      <c r="AV217" s="220"/>
      <c r="AW217" s="220">
        <f t="shared" ref="AW217:AW259" si="680">IF(AU217&gt;0,AU217,AV217+AU217)</f>
        <v>-9.8000000000000114</v>
      </c>
      <c r="AX217" s="216">
        <f t="shared" si="620"/>
        <v>-9.8000000000000114</v>
      </c>
      <c r="AY217" s="220">
        <f t="shared" ref="AY217:AY260" si="681">IF(AN217&gt;=AK217,AO217,IF(AN217+AO217-AK217&gt;=0,AN217+AO217-AK217,0))</f>
        <v>0</v>
      </c>
      <c r="AZ217" s="220">
        <f t="shared" ref="AZ217:AZ260" si="682">IF(OR(AN217&gt;=AK217,AN217+AO217&gt;=AK217),AP217,IF(AN217+AO217+AP217&gt;AK217,AN217+AO217+AP217-AK217,0))</f>
        <v>0</v>
      </c>
      <c r="BA217" s="220">
        <f t="shared" ref="BA217:BA260" si="683">IF(OR(AN217&gt;=AK217,AN217+AO217&gt;=AK217,AN217+AO217+AP217&gt;=AK217),AQ217,IF(AN217+AO217+AP217+AQ217&gt;=AK217,AN217+AO217+AP217+AQ217-AK217,0))</f>
        <v>26.199999999999989</v>
      </c>
      <c r="BB217" s="220">
        <f t="shared" ref="BB217:BB260" si="684">IF(OR(AN217&gt;=AK217,AN217+AO217&gt;=AK217,AN217+AO217+AP217&gt;=AK217,AN217+AO217+AP217+AQ217&gt;=AK217),AR217,IF(AN217+AO217+AP217+AQ217+AR217&gt;=AK217,AN217+AO217+AP217+AQ217+AR217-AK217,0))</f>
        <v>0</v>
      </c>
      <c r="BC217" s="220">
        <f t="shared" ref="BC217:BC260" si="685">IF(OR(AN217&gt;=AK217,AN217+AO217&gt;=AK217,AN217+AO217+AP217&gt;=AK217,AN217+AO217+AP217+AQ217&gt;=AK217,AN217+AO217+AP217+AQ217+AR217&gt;=AK217),AS217,IF(AN217+AO217+AP217+AQ217+AR217+AS217&gt;=AK217,AN217+AO217+AP217+AQ217+AR217+AS217-AK217,0))</f>
        <v>0</v>
      </c>
      <c r="BD217" s="216">
        <f t="shared" si="575"/>
        <v>26.199999999999989</v>
      </c>
      <c r="BE217" s="220">
        <f t="shared" ref="BE217:BE259" si="686">AY217-AO217</f>
        <v>0</v>
      </c>
      <c r="BF217" s="220">
        <f t="shared" ref="BF217:BF259" si="687">AZ217-AP217</f>
        <v>0</v>
      </c>
      <c r="BG217" s="220">
        <f t="shared" ref="BG217:BG259" si="688">BA217-AQ217</f>
        <v>-9.8000000000000114</v>
      </c>
      <c r="BH217" s="220">
        <f t="shared" ref="BH217:BH259" si="689">BB217-AR217</f>
        <v>0</v>
      </c>
      <c r="BI217" s="220">
        <f t="shared" ref="BI217:BI259" si="690">BC217-AS217</f>
        <v>0</v>
      </c>
      <c r="BJ217" s="220" t="s">
        <v>2556</v>
      </c>
      <c r="BK217" s="220"/>
      <c r="BL217" s="223">
        <f t="shared" si="582"/>
        <v>0</v>
      </c>
      <c r="BM217" s="220">
        <v>5.76</v>
      </c>
      <c r="BN217" s="220"/>
      <c r="BO217" s="220">
        <f>ROUND(BM217+(BM217*BN217),2)</f>
        <v>5.76</v>
      </c>
      <c r="BP217" s="220">
        <f>IF(AND(BL217&gt;0,BL217&lt;tiet!$D$1),BL217,IF(BL217&lt;=0,0,IF(BL217&gt;tiet!$C$1,tiet!$C$1)))</f>
        <v>0</v>
      </c>
      <c r="BQ217" s="87">
        <f>VLOOKUP(P217,ma_dinhmuc_moi,4,0)</f>
        <v>75000</v>
      </c>
      <c r="BR217" s="224">
        <f>ROUND(BQ217*BP217,0)</f>
        <v>0</v>
      </c>
      <c r="BS217" s="220">
        <f t="shared" si="630"/>
        <v>0</v>
      </c>
      <c r="BT217" s="224">
        <f>VLOOKUP(N217,ma_dinhmuc!$A$1:$J$31,10,0)</f>
        <v>55000</v>
      </c>
      <c r="BU217" s="224">
        <f>ROUND(IF(BS217&gt;0,VLOOKUP(N217,ma_dinhmuc!$A$1:$J$31,10,0)*BS217,0),0)</f>
        <v>0</v>
      </c>
      <c r="BV217" s="224">
        <f>ROUND(BU217+BR217,0)</f>
        <v>0</v>
      </c>
      <c r="BW217" s="224"/>
      <c r="BX217" s="224">
        <v>0</v>
      </c>
      <c r="BY217" s="224"/>
      <c r="BZ217" s="224"/>
      <c r="CA217" s="224"/>
      <c r="CB217" s="224"/>
      <c r="CC217" s="225">
        <f>ROUND(IF(BV217+BW217&gt;BX217+BY217+BZ217+CA217+CB217,(BW217+BV217)-(BX217+BY217+BZ217+CA217+CB217+CB217),0),0)</f>
        <v>0</v>
      </c>
      <c r="CD217" s="224">
        <f>ROUND(IF(BV217+BW217&lt;BX217+BY217+BZ217+CA217-CB217,(BX217+BY217+BZ217+CA217-CB217)-(BW217+BV217),0),0)</f>
        <v>0</v>
      </c>
      <c r="CE217" s="224"/>
      <c r="CF217" s="226"/>
      <c r="CG217" s="87"/>
      <c r="CH217" s="87">
        <f>A217</f>
        <v>22</v>
      </c>
      <c r="CI217" s="227" t="str">
        <f>F217</f>
        <v>Tống Ngọc</v>
      </c>
      <c r="CJ217" s="227" t="str">
        <f t="shared" si="670"/>
        <v>Tuấn</v>
      </c>
      <c r="CK217" s="87">
        <f t="shared" si="671"/>
        <v>4</v>
      </c>
      <c r="CL217" s="227" t="str">
        <f>L217</f>
        <v>Công nghệ cơ khí</v>
      </c>
      <c r="CM217" s="87" t="str">
        <f t="shared" ref="CM217:CM259" si="691">N217</f>
        <v>CS3</v>
      </c>
      <c r="CN217" s="87">
        <f>Q217</f>
        <v>270</v>
      </c>
      <c r="CO217" s="87">
        <f>R217</f>
        <v>170</v>
      </c>
      <c r="CP217" s="229">
        <f t="shared" si="634"/>
        <v>0</v>
      </c>
      <c r="CQ217" s="229">
        <f t="shared" si="635"/>
        <v>11.4</v>
      </c>
      <c r="CR217" s="229">
        <f t="shared" si="636"/>
        <v>4.8</v>
      </c>
      <c r="CS217" s="229">
        <f t="shared" si="637"/>
        <v>78</v>
      </c>
      <c r="CT217" s="229">
        <f t="shared" si="638"/>
        <v>0</v>
      </c>
      <c r="CU217" s="229">
        <f t="shared" si="639"/>
        <v>112</v>
      </c>
      <c r="CV217" s="229">
        <f t="shared" si="640"/>
        <v>0</v>
      </c>
      <c r="CW217" s="229">
        <f t="shared" si="641"/>
        <v>0</v>
      </c>
      <c r="CX217" s="229">
        <f t="shared" si="642"/>
        <v>0</v>
      </c>
      <c r="CY217" s="229">
        <f t="shared" si="643"/>
        <v>0</v>
      </c>
      <c r="CZ217" s="229">
        <f t="shared" si="644"/>
        <v>0</v>
      </c>
      <c r="DA217" s="229">
        <f t="shared" si="645"/>
        <v>36</v>
      </c>
      <c r="DB217" s="228">
        <f t="shared" si="606"/>
        <v>242.2</v>
      </c>
      <c r="DC217" s="229"/>
      <c r="DD217" s="229"/>
      <c r="DE217" s="229"/>
      <c r="DF217" s="229"/>
      <c r="DG217" s="229"/>
      <c r="DH217" s="229"/>
      <c r="DI217" s="229"/>
      <c r="DJ217" s="229"/>
      <c r="DK217" s="229"/>
      <c r="DL217" s="229"/>
      <c r="DM217" s="229"/>
      <c r="DN217" s="229"/>
      <c r="DO217" s="228">
        <f t="shared" si="622"/>
        <v>0</v>
      </c>
      <c r="DP217" s="228">
        <f t="shared" si="623"/>
        <v>242.2</v>
      </c>
      <c r="DQ217" s="229">
        <f t="shared" si="646"/>
        <v>0</v>
      </c>
      <c r="DR217" s="229">
        <f t="shared" si="647"/>
        <v>0</v>
      </c>
      <c r="DS217" s="229">
        <f t="shared" si="648"/>
        <v>0</v>
      </c>
      <c r="DT217" s="229">
        <f t="shared" si="649"/>
        <v>0</v>
      </c>
      <c r="DU217" s="229">
        <f t="shared" si="650"/>
        <v>0</v>
      </c>
      <c r="DV217" s="229">
        <f t="shared" si="651"/>
        <v>0</v>
      </c>
      <c r="DW217" s="229">
        <f t="shared" si="652"/>
        <v>0</v>
      </c>
      <c r="DX217" s="228">
        <f t="shared" si="607"/>
        <v>0</v>
      </c>
      <c r="DY217" s="229"/>
      <c r="DZ217" s="229"/>
      <c r="EA217" s="229"/>
      <c r="EB217" s="229"/>
      <c r="EC217" s="229"/>
      <c r="ED217" s="229"/>
      <c r="EE217" s="229"/>
      <c r="EF217" s="228">
        <f t="shared" si="631"/>
        <v>0</v>
      </c>
      <c r="EG217" s="228">
        <f t="shared" si="624"/>
        <v>0</v>
      </c>
      <c r="EH217" s="229">
        <f t="shared" si="632"/>
        <v>203.33</v>
      </c>
      <c r="EI217" s="229">
        <v>98.74</v>
      </c>
      <c r="EJ217" s="228">
        <f t="shared" si="602"/>
        <v>302.07</v>
      </c>
      <c r="EK217" s="229"/>
      <c r="EL217" s="229"/>
      <c r="EM217" s="228">
        <f t="shared" si="658"/>
        <v>0</v>
      </c>
      <c r="EN217" s="229">
        <f t="shared" si="576"/>
        <v>203.33</v>
      </c>
      <c r="EO217" s="229">
        <f>EI217</f>
        <v>98.74</v>
      </c>
      <c r="EP217" s="228">
        <f t="shared" si="659"/>
        <v>302.07</v>
      </c>
      <c r="EQ217" s="173">
        <f t="shared" si="633"/>
        <v>33.330000000000013</v>
      </c>
      <c r="ER217" s="189">
        <v>0</v>
      </c>
      <c r="ES217" s="189">
        <v>11.4</v>
      </c>
      <c r="ET217" s="189">
        <v>4.8</v>
      </c>
      <c r="EU217" s="189">
        <v>78</v>
      </c>
      <c r="EV217" s="189">
        <v>0</v>
      </c>
      <c r="EW217" s="189">
        <v>112</v>
      </c>
      <c r="EX217" s="189">
        <v>0</v>
      </c>
      <c r="EY217" s="189">
        <v>0</v>
      </c>
      <c r="EZ217" s="189">
        <v>0</v>
      </c>
      <c r="FA217" s="189">
        <v>0</v>
      </c>
      <c r="FB217" s="189">
        <v>0</v>
      </c>
      <c r="FC217" s="189">
        <v>36</v>
      </c>
      <c r="FD217" s="189">
        <v>0</v>
      </c>
      <c r="FE217" s="189">
        <v>0</v>
      </c>
      <c r="FF217" s="189">
        <v>0</v>
      </c>
      <c r="FG217" s="189">
        <v>0</v>
      </c>
      <c r="FH217" s="189">
        <v>0</v>
      </c>
      <c r="FI217" s="189">
        <v>0</v>
      </c>
      <c r="FJ217" s="189">
        <v>0</v>
      </c>
      <c r="FK217" s="189">
        <v>242.2</v>
      </c>
      <c r="FL217" s="189">
        <v>236</v>
      </c>
      <c r="FN217" s="132">
        <v>203.33</v>
      </c>
    </row>
    <row r="218" spans="1:170" ht="30" customHeight="1">
      <c r="A218" s="88">
        <f>COUNTIF($H$12:H218,H218)</f>
        <v>23</v>
      </c>
      <c r="B218" s="88" t="s">
        <v>2354</v>
      </c>
      <c r="C218" s="88" t="s">
        <v>563</v>
      </c>
      <c r="D218" s="88"/>
      <c r="E218" s="88"/>
      <c r="F218" s="301" t="s">
        <v>1584</v>
      </c>
      <c r="G218" s="89" t="s">
        <v>1152</v>
      </c>
      <c r="H218" s="88">
        <v>4</v>
      </c>
      <c r="I218" s="88">
        <v>4</v>
      </c>
      <c r="J218" s="88">
        <v>4</v>
      </c>
      <c r="K218" s="90" t="s">
        <v>1076</v>
      </c>
      <c r="L218" s="90" t="s">
        <v>1076</v>
      </c>
      <c r="M218" s="214"/>
      <c r="N218" s="88" t="s">
        <v>1804</v>
      </c>
      <c r="O218" s="216">
        <f t="shared" si="665"/>
        <v>3</v>
      </c>
      <c r="P218" s="88" t="str">
        <f t="shared" si="663"/>
        <v>B1_3</v>
      </c>
      <c r="Q218" s="88">
        <f t="shared" si="527"/>
        <v>270</v>
      </c>
      <c r="R218" s="88">
        <f t="shared" si="528"/>
        <v>100</v>
      </c>
      <c r="S218" s="230" t="s">
        <v>689</v>
      </c>
      <c r="T218" s="88" t="s">
        <v>3090</v>
      </c>
      <c r="U218" s="88">
        <f>IF(RIGHT(T218,1)="K",(VLOOKUP(T218,ma_miengiam!$A$3:$B$80,2,0)*100)/2,VLOOKUP(T218,ma_miengiam!$A$3:$B$80,2,0)*100)</f>
        <v>15</v>
      </c>
      <c r="V218" s="88"/>
      <c r="W218" s="220">
        <f>IF(AND(T218="NTS",V218&gt;0),(Q218-(Q218*V218)/12)*VLOOKUP(T218,ma_miengiam!$A$3:$B$80,2,0)+(Q218-(Q218*(12-V218))/12),IF(AND(RIGHT(T218,1)="K",V218&gt;0),(VLOOKUP(T218,ma_miengiam!$A$3:$B$80,2,0)/2)*(Q218*V218)/12,IF(RIGHT(T218,1)="K",(VLOOKUP(T218,ma_miengiam!$A$3:$B$80,2,0)*Q218)/2,IF(V218&gt;0,VLOOKUP(T218,ma_miengiam!$A$3:$B$80,2,0)*Q218*V218/12,VLOOKUP(T218,ma_miengiam!$A$3:$B$80,2,0)*Q218))))</f>
        <v>40.5</v>
      </c>
      <c r="X218" s="220">
        <f>IF(T218="NTS",VLOOKUP(T218,ma_miengiam!$A$3:$B$80,2,0)*R218*V218,IF(AND(T218="NTS",V218=0),0,IF(AND(LEFT(T218,1)="K",V218=0),VLOOKUP(T218,ma_miengiam!$A$3:$B$80,2,0)*R218,IF(LEFT(T218,1)="K",(VLOOKUP(T218,ma_miengiam!$A$3:$B$80,2,0)*R218/12)*V218,IF(AND(LEFT(T218,1)="S",V218&gt;0),(R218/12)*V218,IF(AND(LEFT(T218,1)="S",V218=0),R218,IF(T218="DH",VLOOKUP(T218,ma_miengiam!$A$3:$B$80,2,0)*R218,0)))))))</f>
        <v>0</v>
      </c>
      <c r="Y218" s="220">
        <f t="shared" si="597"/>
        <v>229.5</v>
      </c>
      <c r="Z218" s="220">
        <f>IF(AND(T218="SĐH",V218&gt;0),(R218/12)*V218-X218,IF(AND(T218="DH",V218&gt;0),(R218*V218/12),IF(AND(T218&lt;&gt;"NTS",V218&gt;0),(R218*V218/12)-X218,IF(AND(T218="NTS",V218&gt;0),R218-X218,R218-X218))))</f>
        <v>100</v>
      </c>
      <c r="AA218" s="220">
        <f t="shared" si="678"/>
        <v>270</v>
      </c>
      <c r="AB218" s="220">
        <f t="shared" si="678"/>
        <v>100</v>
      </c>
      <c r="AC218" s="220">
        <f t="shared" si="679"/>
        <v>40.5</v>
      </c>
      <c r="AD218" s="220">
        <f t="shared" si="679"/>
        <v>0</v>
      </c>
      <c r="AE218" s="220">
        <f t="shared" si="679"/>
        <v>229.5</v>
      </c>
      <c r="AF218" s="220">
        <f t="shared" si="679"/>
        <v>100</v>
      </c>
      <c r="AG218" s="220">
        <f t="shared" si="655"/>
        <v>349.46000000000004</v>
      </c>
      <c r="AH218" s="220">
        <f t="shared" si="656"/>
        <v>217.49</v>
      </c>
      <c r="AI218" s="220">
        <f t="shared" si="657"/>
        <v>131.97</v>
      </c>
      <c r="AJ218" s="220">
        <f>IF(AG218-Z218&gt;0,0,AG218-Z218)</f>
        <v>0</v>
      </c>
      <c r="AK218" s="216">
        <f t="shared" si="604"/>
        <v>229.5</v>
      </c>
      <c r="AL218" s="220">
        <f t="shared" si="611"/>
        <v>233.1</v>
      </c>
      <c r="AM218" s="220">
        <f t="shared" si="612"/>
        <v>0</v>
      </c>
      <c r="AN218" s="221">
        <f t="shared" si="613"/>
        <v>233.1</v>
      </c>
      <c r="AO218" s="220">
        <f t="shared" si="614"/>
        <v>0</v>
      </c>
      <c r="AP218" s="220">
        <f t="shared" si="615"/>
        <v>0</v>
      </c>
      <c r="AQ218" s="220">
        <f t="shared" si="616"/>
        <v>60</v>
      </c>
      <c r="AR218" s="220">
        <f t="shared" si="617"/>
        <v>0</v>
      </c>
      <c r="AS218" s="220">
        <f t="shared" si="618"/>
        <v>0</v>
      </c>
      <c r="AT218" s="216">
        <f t="shared" si="619"/>
        <v>293.10000000000002</v>
      </c>
      <c r="AU218" s="222">
        <f t="shared" si="574"/>
        <v>3.5999999999999943</v>
      </c>
      <c r="AV218" s="220"/>
      <c r="AW218" s="220">
        <f t="shared" si="680"/>
        <v>3.5999999999999943</v>
      </c>
      <c r="AX218" s="216">
        <f t="shared" si="620"/>
        <v>0</v>
      </c>
      <c r="AY218" s="220">
        <f t="shared" si="681"/>
        <v>0</v>
      </c>
      <c r="AZ218" s="220">
        <f t="shared" si="682"/>
        <v>0</v>
      </c>
      <c r="BA218" s="220">
        <f t="shared" si="683"/>
        <v>60</v>
      </c>
      <c r="BB218" s="220">
        <f t="shared" si="684"/>
        <v>0</v>
      </c>
      <c r="BC218" s="220">
        <f t="shared" si="685"/>
        <v>0</v>
      </c>
      <c r="BD218" s="216">
        <f t="shared" si="575"/>
        <v>60</v>
      </c>
      <c r="BE218" s="220">
        <f t="shared" si="686"/>
        <v>0</v>
      </c>
      <c r="BF218" s="220">
        <f t="shared" si="687"/>
        <v>0</v>
      </c>
      <c r="BG218" s="220">
        <f t="shared" si="688"/>
        <v>0</v>
      </c>
      <c r="BH218" s="220">
        <f t="shared" si="689"/>
        <v>0</v>
      </c>
      <c r="BI218" s="220">
        <f t="shared" si="690"/>
        <v>0</v>
      </c>
      <c r="BJ218" s="220" t="s">
        <v>2556</v>
      </c>
      <c r="BK218" s="220"/>
      <c r="BL218" s="223">
        <f t="shared" si="582"/>
        <v>3.5999999999999943</v>
      </c>
      <c r="BM218" s="220">
        <v>3</v>
      </c>
      <c r="BN218" s="220"/>
      <c r="BO218" s="220">
        <f t="shared" si="662"/>
        <v>3</v>
      </c>
      <c r="BP218" s="220">
        <f>IF(AND(BL218&gt;0,BL218&lt;tiet!$D$1),BL218,IF(BL218&lt;=0,0,IF(BL218&gt;tiet!$C$1,tiet!$C$1)))</f>
        <v>3.5999999999999943</v>
      </c>
      <c r="BQ218" s="87">
        <f>VLOOKUP(P218,ma_dinhmuc_moi,4,0)</f>
        <v>60000</v>
      </c>
      <c r="BR218" s="224">
        <f>ROUND(BQ218*BP218,0)</f>
        <v>216000</v>
      </c>
      <c r="BS218" s="220">
        <f t="shared" si="630"/>
        <v>0</v>
      </c>
      <c r="BT218" s="224">
        <f>VLOOKUP(N218,ma_dinhmuc!$A$1:$J$31,10,0)</f>
        <v>51000</v>
      </c>
      <c r="BU218" s="224">
        <f>ROUND(IF(BS218&gt;0,VLOOKUP(N218,ma_dinhmuc!$A$1:$J$31,10,0)*BS218,0),0)</f>
        <v>0</v>
      </c>
      <c r="BV218" s="224">
        <f>ROUND(BU218+BR218,0)</f>
        <v>216000</v>
      </c>
      <c r="BW218" s="224"/>
      <c r="BX218" s="224">
        <v>0</v>
      </c>
      <c r="BY218" s="224"/>
      <c r="BZ218" s="224"/>
      <c r="CA218" s="224"/>
      <c r="CB218" s="224"/>
      <c r="CC218" s="225">
        <f>ROUND(IF(BV218+BW218&gt;BX218+BY218+BZ218+CA218+CB218,(BW218+BV218)-(BX218+BY218+BZ218+CA218+CB218+CB218),0),0)</f>
        <v>216000</v>
      </c>
      <c r="CD218" s="224">
        <f>ROUND(IF(BV218+BW218&lt;BX218+BY218+BZ218+CA218-CB218,(BX218+BY218+BZ218+CA218-CB218)-(BW218+BV218),0),0)</f>
        <v>0</v>
      </c>
      <c r="CE218" s="224"/>
      <c r="CF218" s="226"/>
      <c r="CG218" s="87"/>
      <c r="CH218" s="87">
        <f>A218</f>
        <v>23</v>
      </c>
      <c r="CI218" s="227" t="str">
        <f t="shared" si="599"/>
        <v>Nguyễn Hữu</v>
      </c>
      <c r="CJ218" s="227" t="str">
        <f t="shared" si="670"/>
        <v>Hưởng</v>
      </c>
      <c r="CK218" s="87">
        <f t="shared" si="671"/>
        <v>4</v>
      </c>
      <c r="CL218" s="227" t="str">
        <f>L218</f>
        <v>Công nghệ cơ khí</v>
      </c>
      <c r="CM218" s="87" t="str">
        <f t="shared" si="691"/>
        <v>CS2</v>
      </c>
      <c r="CN218" s="87">
        <f t="shared" si="668"/>
        <v>270</v>
      </c>
      <c r="CO218" s="87">
        <f t="shared" si="672"/>
        <v>100</v>
      </c>
      <c r="CP218" s="229">
        <f t="shared" si="634"/>
        <v>0</v>
      </c>
      <c r="CQ218" s="229">
        <f t="shared" si="635"/>
        <v>5.2</v>
      </c>
      <c r="CR218" s="229">
        <f t="shared" si="636"/>
        <v>1.3</v>
      </c>
      <c r="CS218" s="229">
        <f t="shared" si="637"/>
        <v>93.6</v>
      </c>
      <c r="CT218" s="229">
        <f t="shared" si="638"/>
        <v>0</v>
      </c>
      <c r="CU218" s="229">
        <f t="shared" si="639"/>
        <v>45</v>
      </c>
      <c r="CV218" s="229">
        <f t="shared" si="640"/>
        <v>0</v>
      </c>
      <c r="CW218" s="229">
        <f t="shared" si="641"/>
        <v>88</v>
      </c>
      <c r="CX218" s="229">
        <f t="shared" si="642"/>
        <v>0</v>
      </c>
      <c r="CY218" s="229">
        <f t="shared" si="643"/>
        <v>0</v>
      </c>
      <c r="CZ218" s="229">
        <f t="shared" si="644"/>
        <v>0</v>
      </c>
      <c r="DA218" s="229">
        <f t="shared" si="645"/>
        <v>60</v>
      </c>
      <c r="DB218" s="228">
        <f t="shared" si="606"/>
        <v>293.10000000000002</v>
      </c>
      <c r="DC218" s="229"/>
      <c r="DD218" s="229"/>
      <c r="DE218" s="229"/>
      <c r="DF218" s="229"/>
      <c r="DG218" s="229"/>
      <c r="DH218" s="229"/>
      <c r="DI218" s="229"/>
      <c r="DJ218" s="229"/>
      <c r="DK218" s="229"/>
      <c r="DL218" s="229"/>
      <c r="DM218" s="229"/>
      <c r="DN218" s="229"/>
      <c r="DO218" s="228">
        <f t="shared" si="622"/>
        <v>0</v>
      </c>
      <c r="DP218" s="228">
        <f t="shared" si="623"/>
        <v>293.10000000000002</v>
      </c>
      <c r="DQ218" s="229">
        <f t="shared" si="646"/>
        <v>0</v>
      </c>
      <c r="DR218" s="229">
        <f t="shared" si="647"/>
        <v>0</v>
      </c>
      <c r="DS218" s="229">
        <f t="shared" si="648"/>
        <v>0</v>
      </c>
      <c r="DT218" s="229">
        <f t="shared" si="649"/>
        <v>0</v>
      </c>
      <c r="DU218" s="229">
        <f t="shared" si="650"/>
        <v>0</v>
      </c>
      <c r="DV218" s="229">
        <f t="shared" si="651"/>
        <v>0</v>
      </c>
      <c r="DW218" s="229">
        <f t="shared" si="652"/>
        <v>0</v>
      </c>
      <c r="DX218" s="228">
        <f t="shared" si="607"/>
        <v>0</v>
      </c>
      <c r="DY218" s="229"/>
      <c r="DZ218" s="229"/>
      <c r="EA218" s="229"/>
      <c r="EB218" s="229"/>
      <c r="EC218" s="229"/>
      <c r="ED218" s="229"/>
      <c r="EE218" s="229"/>
      <c r="EF218" s="228">
        <f t="shared" si="631"/>
        <v>0</v>
      </c>
      <c r="EG218" s="228">
        <f t="shared" si="624"/>
        <v>0</v>
      </c>
      <c r="EH218" s="229">
        <f t="shared" si="632"/>
        <v>131.97</v>
      </c>
      <c r="EI218" s="229">
        <v>217.49</v>
      </c>
      <c r="EJ218" s="228">
        <f t="shared" si="602"/>
        <v>349.46000000000004</v>
      </c>
      <c r="EK218" s="229"/>
      <c r="EL218" s="229"/>
      <c r="EM218" s="228">
        <f t="shared" si="658"/>
        <v>0</v>
      </c>
      <c r="EN218" s="229">
        <f t="shared" si="576"/>
        <v>131.97</v>
      </c>
      <c r="EO218" s="229">
        <f t="shared" si="577"/>
        <v>217.49</v>
      </c>
      <c r="EP218" s="228">
        <f t="shared" si="659"/>
        <v>349.46000000000004</v>
      </c>
      <c r="EQ218" s="173">
        <f t="shared" si="633"/>
        <v>31.97</v>
      </c>
      <c r="ER218" s="189">
        <v>0</v>
      </c>
      <c r="ES218" s="189">
        <v>5.2</v>
      </c>
      <c r="ET218" s="189">
        <v>1.3</v>
      </c>
      <c r="EU218" s="189">
        <v>93.6</v>
      </c>
      <c r="EV218" s="189">
        <v>0</v>
      </c>
      <c r="EW218" s="189">
        <v>45</v>
      </c>
      <c r="EX218" s="189">
        <v>0</v>
      </c>
      <c r="EY218" s="189">
        <v>88</v>
      </c>
      <c r="EZ218" s="189">
        <v>0</v>
      </c>
      <c r="FA218" s="189">
        <v>0</v>
      </c>
      <c r="FB218" s="189">
        <v>0</v>
      </c>
      <c r="FC218" s="189">
        <v>60</v>
      </c>
      <c r="FD218" s="189">
        <v>0</v>
      </c>
      <c r="FE218" s="189">
        <v>0</v>
      </c>
      <c r="FF218" s="189">
        <v>0</v>
      </c>
      <c r="FG218" s="189">
        <v>0</v>
      </c>
      <c r="FH218" s="189">
        <v>0</v>
      </c>
      <c r="FI218" s="189">
        <v>0</v>
      </c>
      <c r="FJ218" s="189">
        <v>0</v>
      </c>
      <c r="FK218" s="189">
        <v>293.10000000000002</v>
      </c>
      <c r="FL218" s="189">
        <v>289.60000000000002</v>
      </c>
      <c r="FN218" s="132">
        <v>131.97</v>
      </c>
    </row>
    <row r="219" spans="1:170" ht="30" customHeight="1">
      <c r="A219" s="88">
        <f>COUNTIF($H$12:H219,H219)</f>
        <v>24</v>
      </c>
      <c r="B219" s="88" t="s">
        <v>2917</v>
      </c>
      <c r="C219" s="88" t="s">
        <v>564</v>
      </c>
      <c r="D219" s="88"/>
      <c r="E219" s="88"/>
      <c r="F219" s="301" t="s">
        <v>171</v>
      </c>
      <c r="G219" s="89" t="s">
        <v>172</v>
      </c>
      <c r="H219" s="88">
        <v>4</v>
      </c>
      <c r="I219" s="88">
        <v>4</v>
      </c>
      <c r="J219" s="88">
        <v>4</v>
      </c>
      <c r="K219" s="90" t="s">
        <v>1077</v>
      </c>
      <c r="L219" s="90" t="s">
        <v>1077</v>
      </c>
      <c r="M219" s="214"/>
      <c r="N219" s="88" t="s">
        <v>606</v>
      </c>
      <c r="O219" s="216">
        <f t="shared" si="665"/>
        <v>6.44</v>
      </c>
      <c r="P219" s="88" t="str">
        <f t="shared" si="663"/>
        <v>B1_7</v>
      </c>
      <c r="Q219" s="88">
        <f t="shared" si="527"/>
        <v>270</v>
      </c>
      <c r="R219" s="88">
        <f t="shared" si="528"/>
        <v>200</v>
      </c>
      <c r="S219" s="230"/>
      <c r="T219" s="88" t="s">
        <v>3088</v>
      </c>
      <c r="U219" s="88">
        <f>IF(RIGHT(T219,1)="K",(VLOOKUP(T219,ma_miengiam!$A$3:$B$80,2,0)*100)/2,VLOOKUP(T219,ma_miengiam!$A$3:$B$80,2,0)*100)</f>
        <v>0</v>
      </c>
      <c r="V219" s="88"/>
      <c r="W219" s="220">
        <f>IF(AND(T219="NTS",V219&gt;0),(Q219-(Q219*V219)/12)*VLOOKUP(T219,ma_miengiam!$A$3:$B$80,2,0)+(Q219-(Q219*(12-V219))/12),IF(AND(RIGHT(T219,1)="K",V219&gt;0),(VLOOKUP(T219,ma_miengiam!$A$3:$B$80,2,0)/2)*(Q219*V219)/12,IF(RIGHT(T219,1)="K",(VLOOKUP(T219,ma_miengiam!$A$3:$B$80,2,0)*Q219)/2,IF(V219&gt;0,VLOOKUP(T219,ma_miengiam!$A$3:$B$80,2,0)*Q219*V219/12,VLOOKUP(T219,ma_miengiam!$A$3:$B$80,2,0)*Q219))))</f>
        <v>0</v>
      </c>
      <c r="X219" s="220">
        <f>IF(T219="NTS",VLOOKUP(T219,ma_miengiam!$A$3:$B$80,2,0)*R219*V219,IF(AND(T219="NTS",V219=0),0,IF(AND(LEFT(T219,1)="K",V219=0),VLOOKUP(T219,ma_miengiam!$A$3:$B$80,2,0)*R219,IF(LEFT(T219,1)="K",(VLOOKUP(T219,ma_miengiam!$A$3:$B$80,2,0)*R219/12)*V219,IF(AND(LEFT(T219,1)="S",V219&gt;0),(R219/12)*V219,IF(AND(LEFT(T219,1)="S",V219=0),R219,IF(T219="DH",VLOOKUP(T219,ma_miengiam!$A$3:$B$80,2,0)*R219,0)))))))</f>
        <v>0</v>
      </c>
      <c r="Y219" s="220">
        <f t="shared" si="597"/>
        <v>270</v>
      </c>
      <c r="Z219" s="220">
        <f>IF(AND(T219="SĐH",V219&gt;0),(R219/12)*V219-X219,IF(AND(T219="DH",V219&gt;0),(R219*V219/12),IF(AND(T219&lt;&gt;"NTS",V219&gt;0),(R219*V219/12)-X219,IF(AND(T219="NTS",V219&gt;0),R219-X219,R219-X219))))</f>
        <v>200</v>
      </c>
      <c r="AA219" s="220">
        <f t="shared" si="678"/>
        <v>270</v>
      </c>
      <c r="AB219" s="220">
        <f t="shared" si="678"/>
        <v>200</v>
      </c>
      <c r="AC219" s="220">
        <f t="shared" si="679"/>
        <v>0</v>
      </c>
      <c r="AD219" s="220">
        <f t="shared" si="679"/>
        <v>0</v>
      </c>
      <c r="AE219" s="220">
        <f t="shared" si="679"/>
        <v>270</v>
      </c>
      <c r="AF219" s="220">
        <f t="shared" si="679"/>
        <v>200</v>
      </c>
      <c r="AG219" s="220">
        <f t="shared" si="655"/>
        <v>14.59</v>
      </c>
      <c r="AH219" s="220">
        <f t="shared" si="656"/>
        <v>0</v>
      </c>
      <c r="AI219" s="220">
        <f t="shared" si="657"/>
        <v>14.59</v>
      </c>
      <c r="AJ219" s="220">
        <f>IF(AG219-Z219&gt;0,0,AG219-Z219)</f>
        <v>-185.41</v>
      </c>
      <c r="AK219" s="216">
        <f t="shared" si="604"/>
        <v>455.40999999999997</v>
      </c>
      <c r="AL219" s="220">
        <f t="shared" si="611"/>
        <v>173.9</v>
      </c>
      <c r="AM219" s="220">
        <f t="shared" si="612"/>
        <v>0</v>
      </c>
      <c r="AN219" s="221">
        <f t="shared" si="613"/>
        <v>173.9</v>
      </c>
      <c r="AO219" s="220">
        <f t="shared" si="614"/>
        <v>0</v>
      </c>
      <c r="AP219" s="220">
        <f t="shared" si="615"/>
        <v>0</v>
      </c>
      <c r="AQ219" s="220">
        <f t="shared" si="616"/>
        <v>0</v>
      </c>
      <c r="AR219" s="220">
        <f t="shared" si="617"/>
        <v>0</v>
      </c>
      <c r="AS219" s="220">
        <f t="shared" si="618"/>
        <v>0</v>
      </c>
      <c r="AT219" s="216">
        <f t="shared" si="619"/>
        <v>173.9</v>
      </c>
      <c r="AU219" s="222">
        <f t="shared" si="574"/>
        <v>-281.51</v>
      </c>
      <c r="AV219" s="220"/>
      <c r="AW219" s="220">
        <f t="shared" si="680"/>
        <v>-281.51</v>
      </c>
      <c r="AX219" s="216">
        <f t="shared" si="620"/>
        <v>-281.51</v>
      </c>
      <c r="AY219" s="220">
        <f t="shared" si="681"/>
        <v>0</v>
      </c>
      <c r="AZ219" s="220">
        <f t="shared" si="682"/>
        <v>0</v>
      </c>
      <c r="BA219" s="220">
        <f t="shared" si="683"/>
        <v>0</v>
      </c>
      <c r="BB219" s="220">
        <f t="shared" si="684"/>
        <v>0</v>
      </c>
      <c r="BC219" s="220">
        <f t="shared" si="685"/>
        <v>0</v>
      </c>
      <c r="BD219" s="216">
        <f t="shared" si="575"/>
        <v>0</v>
      </c>
      <c r="BE219" s="220">
        <f t="shared" si="686"/>
        <v>0</v>
      </c>
      <c r="BF219" s="220">
        <f t="shared" si="687"/>
        <v>0</v>
      </c>
      <c r="BG219" s="220">
        <f t="shared" si="688"/>
        <v>0</v>
      </c>
      <c r="BH219" s="220">
        <f t="shared" si="689"/>
        <v>0</v>
      </c>
      <c r="BI219" s="220">
        <f t="shared" si="690"/>
        <v>0</v>
      </c>
      <c r="BJ219" s="220" t="s">
        <v>2411</v>
      </c>
      <c r="BK219" s="220"/>
      <c r="BL219" s="223">
        <f t="shared" si="582"/>
        <v>0</v>
      </c>
      <c r="BM219" s="220">
        <v>6.44</v>
      </c>
      <c r="BN219" s="220"/>
      <c r="BO219" s="220">
        <f t="shared" si="662"/>
        <v>6.44</v>
      </c>
      <c r="BP219" s="220">
        <f>IF(AND(BL219&gt;0,BL219&lt;tiet!$D$1),BL219,IF(BL219&lt;=0,0,IF(BL219&gt;tiet!$C$1,tiet!$C$1)))</f>
        <v>0</v>
      </c>
      <c r="BQ219" s="87">
        <f>VLOOKUP(P219,ma_dinhmuc_moi,4,0)</f>
        <v>80000</v>
      </c>
      <c r="BR219" s="224">
        <f>ROUND(BQ219*BP219,0)</f>
        <v>0</v>
      </c>
      <c r="BS219" s="220">
        <f t="shared" si="630"/>
        <v>0</v>
      </c>
      <c r="BT219" s="224">
        <f>VLOOKUP(N219,ma_dinhmuc!$A$1:$J$31,10,0)</f>
        <v>55000</v>
      </c>
      <c r="BU219" s="224">
        <f>ROUND(IF(BS219&gt;0,VLOOKUP(N219,ma_dinhmuc!$A$1:$J$31,10,0)*BS219,0),0)</f>
        <v>0</v>
      </c>
      <c r="BV219" s="224">
        <f>ROUND(BU219+BR219,0)</f>
        <v>0</v>
      </c>
      <c r="BW219" s="224"/>
      <c r="BX219" s="224">
        <v>0</v>
      </c>
      <c r="BY219" s="224"/>
      <c r="BZ219" s="224"/>
      <c r="CA219" s="224"/>
      <c r="CB219" s="224"/>
      <c r="CC219" s="225">
        <f>ROUND(IF(BV219+BW219&gt;BX219+BY219+BZ219+CA219+CB219,(BW219+BV219)-(BX219+BY219+BZ219+CA219+CB219+CB219),0),0)</f>
        <v>0</v>
      </c>
      <c r="CD219" s="224">
        <f>ROUND(IF(BV219+BW219&lt;BX219+BY219+BZ219+CA219-CB219,(BX219+BY219+BZ219+CA219-CB219)-(BW219+BV219),0),0)</f>
        <v>0</v>
      </c>
      <c r="CE219" s="224"/>
      <c r="CF219" s="226"/>
      <c r="CG219" s="87"/>
      <c r="CH219" s="87">
        <f>A219</f>
        <v>24</v>
      </c>
      <c r="CI219" s="227" t="str">
        <f t="shared" si="599"/>
        <v>Lê Văn</v>
      </c>
      <c r="CJ219" s="227" t="str">
        <f t="shared" si="670"/>
        <v>Bích</v>
      </c>
      <c r="CK219" s="87">
        <f t="shared" si="671"/>
        <v>4</v>
      </c>
      <c r="CL219" s="227" t="str">
        <f>L219</f>
        <v>Máy nông nghiệp</v>
      </c>
      <c r="CM219" s="87" t="str">
        <f t="shared" si="691"/>
        <v>CS3</v>
      </c>
      <c r="CN219" s="87">
        <f t="shared" si="668"/>
        <v>270</v>
      </c>
      <c r="CO219" s="87">
        <f t="shared" si="672"/>
        <v>200</v>
      </c>
      <c r="CP219" s="229">
        <f t="shared" si="634"/>
        <v>0</v>
      </c>
      <c r="CQ219" s="229">
        <f t="shared" si="635"/>
        <v>9.9</v>
      </c>
      <c r="CR219" s="229">
        <f t="shared" si="636"/>
        <v>4</v>
      </c>
      <c r="CS219" s="229">
        <f t="shared" si="637"/>
        <v>36</v>
      </c>
      <c r="CT219" s="229">
        <f t="shared" si="638"/>
        <v>0</v>
      </c>
      <c r="CU219" s="229">
        <f t="shared" si="639"/>
        <v>104</v>
      </c>
      <c r="CV219" s="229">
        <f t="shared" si="640"/>
        <v>0</v>
      </c>
      <c r="CW219" s="229">
        <f t="shared" si="641"/>
        <v>20</v>
      </c>
      <c r="CX219" s="229">
        <f t="shared" si="642"/>
        <v>0</v>
      </c>
      <c r="CY219" s="229">
        <f t="shared" si="643"/>
        <v>0</v>
      </c>
      <c r="CZ219" s="229">
        <f t="shared" si="644"/>
        <v>0</v>
      </c>
      <c r="DA219" s="229">
        <f t="shared" si="645"/>
        <v>0</v>
      </c>
      <c r="DB219" s="228">
        <f t="shared" si="606"/>
        <v>173.9</v>
      </c>
      <c r="DC219" s="229"/>
      <c r="DD219" s="229"/>
      <c r="DE219" s="229"/>
      <c r="DF219" s="229"/>
      <c r="DG219" s="229"/>
      <c r="DH219" s="229"/>
      <c r="DI219" s="229"/>
      <c r="DJ219" s="229"/>
      <c r="DK219" s="229"/>
      <c r="DL219" s="229"/>
      <c r="DM219" s="229"/>
      <c r="DN219" s="229"/>
      <c r="DO219" s="228">
        <f t="shared" si="622"/>
        <v>0</v>
      </c>
      <c r="DP219" s="228">
        <f t="shared" si="623"/>
        <v>173.9</v>
      </c>
      <c r="DQ219" s="229">
        <f t="shared" si="646"/>
        <v>0</v>
      </c>
      <c r="DR219" s="229">
        <f t="shared" si="647"/>
        <v>0</v>
      </c>
      <c r="DS219" s="229">
        <f t="shared" si="648"/>
        <v>0</v>
      </c>
      <c r="DT219" s="229">
        <f t="shared" si="649"/>
        <v>0</v>
      </c>
      <c r="DU219" s="229">
        <f t="shared" si="650"/>
        <v>0</v>
      </c>
      <c r="DV219" s="229">
        <f t="shared" si="651"/>
        <v>0</v>
      </c>
      <c r="DW219" s="229">
        <f t="shared" si="652"/>
        <v>0</v>
      </c>
      <c r="DX219" s="228">
        <f t="shared" si="607"/>
        <v>0</v>
      </c>
      <c r="DY219" s="229"/>
      <c r="DZ219" s="229"/>
      <c r="EA219" s="229"/>
      <c r="EB219" s="229"/>
      <c r="EC219" s="229"/>
      <c r="ED219" s="229"/>
      <c r="EE219" s="229"/>
      <c r="EF219" s="228">
        <f t="shared" si="631"/>
        <v>0</v>
      </c>
      <c r="EG219" s="228">
        <f t="shared" si="624"/>
        <v>0</v>
      </c>
      <c r="EH219" s="229">
        <f t="shared" si="632"/>
        <v>14.59</v>
      </c>
      <c r="EI219" s="229">
        <v>0</v>
      </c>
      <c r="EJ219" s="228">
        <f t="shared" si="602"/>
        <v>14.59</v>
      </c>
      <c r="EK219" s="229"/>
      <c r="EL219" s="229"/>
      <c r="EM219" s="228">
        <f t="shared" si="658"/>
        <v>0</v>
      </c>
      <c r="EN219" s="229">
        <f t="shared" si="576"/>
        <v>14.59</v>
      </c>
      <c r="EO219" s="229">
        <f t="shared" si="577"/>
        <v>0</v>
      </c>
      <c r="EP219" s="228">
        <f t="shared" si="659"/>
        <v>14.59</v>
      </c>
      <c r="EQ219" s="173">
        <f t="shared" si="633"/>
        <v>0</v>
      </c>
      <c r="ER219" s="189">
        <v>0</v>
      </c>
      <c r="ES219" s="189">
        <v>9.9</v>
      </c>
      <c r="ET219" s="189">
        <v>4</v>
      </c>
      <c r="EU219" s="189">
        <v>36</v>
      </c>
      <c r="EV219" s="189">
        <v>0</v>
      </c>
      <c r="EW219" s="189">
        <v>104</v>
      </c>
      <c r="EX219" s="189">
        <v>0</v>
      </c>
      <c r="EY219" s="189">
        <v>20</v>
      </c>
      <c r="EZ219" s="189">
        <v>0</v>
      </c>
      <c r="FA219" s="189">
        <v>0</v>
      </c>
      <c r="FB219" s="189">
        <v>0</v>
      </c>
      <c r="FC219" s="189">
        <v>0</v>
      </c>
      <c r="FD219" s="189">
        <v>0</v>
      </c>
      <c r="FE219" s="189">
        <v>0</v>
      </c>
      <c r="FF219" s="189">
        <v>0</v>
      </c>
      <c r="FG219" s="189">
        <v>0</v>
      </c>
      <c r="FH219" s="189">
        <v>0</v>
      </c>
      <c r="FI219" s="189">
        <v>0</v>
      </c>
      <c r="FJ219" s="189">
        <v>0</v>
      </c>
      <c r="FK219" s="189">
        <v>173.9</v>
      </c>
      <c r="FL219" s="189">
        <v>164</v>
      </c>
      <c r="FN219" s="132">
        <v>14.59</v>
      </c>
    </row>
    <row r="220" spans="1:170" ht="30" customHeight="1">
      <c r="A220" s="88">
        <f>COUNTIF($H$12:H220,H220)</f>
        <v>25</v>
      </c>
      <c r="B220" s="88" t="s">
        <v>2918</v>
      </c>
      <c r="C220" s="88" t="s">
        <v>565</v>
      </c>
      <c r="D220" s="88"/>
      <c r="E220" s="88"/>
      <c r="F220" s="301" t="s">
        <v>174</v>
      </c>
      <c r="G220" s="89" t="s">
        <v>1129</v>
      </c>
      <c r="H220" s="88">
        <v>4</v>
      </c>
      <c r="I220" s="88">
        <v>4</v>
      </c>
      <c r="J220" s="88">
        <v>4</v>
      </c>
      <c r="K220" s="90" t="s">
        <v>1077</v>
      </c>
      <c r="L220" s="90" t="s">
        <v>1077</v>
      </c>
      <c r="M220" s="214"/>
      <c r="N220" s="88" t="s">
        <v>1804</v>
      </c>
      <c r="O220" s="216">
        <f t="shared" si="665"/>
        <v>3</v>
      </c>
      <c r="P220" s="88" t="str">
        <f t="shared" si="663"/>
        <v>B1_3</v>
      </c>
      <c r="Q220" s="88">
        <f t="shared" si="527"/>
        <v>270</v>
      </c>
      <c r="R220" s="88">
        <f t="shared" si="528"/>
        <v>100</v>
      </c>
      <c r="S220" s="230" t="s">
        <v>689</v>
      </c>
      <c r="T220" s="88" t="s">
        <v>3090</v>
      </c>
      <c r="U220" s="88">
        <f>IF(RIGHT(T220,1)="K",(VLOOKUP(T220,ma_miengiam!$A$3:$B$80,2,0)*100)/2,VLOOKUP(T220,ma_miengiam!$A$3:$B$80,2,0)*100)</f>
        <v>15</v>
      </c>
      <c r="V220" s="88"/>
      <c r="W220" s="220">
        <f>IF(AND(T220="NTS",V220&gt;0),(Q220-(Q220*V220)/12)*VLOOKUP(T220,ma_miengiam!$A$3:$B$80,2,0)+(Q220-(Q220*(12-V220))/12),IF(AND(RIGHT(T220,1)="K",V220&gt;0),(VLOOKUP(T220,ma_miengiam!$A$3:$B$80,2,0)/2)*(Q220*V220)/12,IF(RIGHT(T220,1)="K",(VLOOKUP(T220,ma_miengiam!$A$3:$B$80,2,0)*Q220)/2,IF(V220&gt;0,VLOOKUP(T220,ma_miengiam!$A$3:$B$80,2,0)*Q220*V220/12,VLOOKUP(T220,ma_miengiam!$A$3:$B$80,2,0)*Q220))))</f>
        <v>40.5</v>
      </c>
      <c r="X220" s="220">
        <f>IF(T220="NTS",VLOOKUP(T220,ma_miengiam!$A$3:$B$80,2,0)*R220*V220,IF(AND(T220="NTS",V220=0),0,IF(AND(LEFT(T220,1)="K",V220=0),VLOOKUP(T220,ma_miengiam!$A$3:$B$80,2,0)*R220,IF(LEFT(T220,1)="K",(VLOOKUP(T220,ma_miengiam!$A$3:$B$80,2,0)*R220/12)*V220,IF(AND(LEFT(T220,1)="S",V220&gt;0),(R220/12)*V220,IF(AND(LEFT(T220,1)="S",V220=0),R220,IF(T220="DH",VLOOKUP(T220,ma_miengiam!$A$3:$B$80,2,0)*R220,0)))))))</f>
        <v>0</v>
      </c>
      <c r="Y220" s="220">
        <f t="shared" si="597"/>
        <v>229.5</v>
      </c>
      <c r="Z220" s="220">
        <f>IF(AND(T220="SĐH",V220&gt;0),(R220/12)*V220-X220,IF(AND(T220="DH",V220&gt;0),(R220*V220/12),IF(AND(T220&lt;&gt;"NTS",V220&gt;0),(R220*V220/12)-X220,IF(AND(T220="NTS",V220&gt;0),R220-X220,R220-X220))))</f>
        <v>100</v>
      </c>
      <c r="AA220" s="220">
        <f t="shared" si="678"/>
        <v>270</v>
      </c>
      <c r="AB220" s="220">
        <f t="shared" si="678"/>
        <v>100</v>
      </c>
      <c r="AC220" s="220">
        <f t="shared" si="679"/>
        <v>40.5</v>
      </c>
      <c r="AD220" s="220">
        <f t="shared" si="679"/>
        <v>0</v>
      </c>
      <c r="AE220" s="220">
        <f t="shared" si="679"/>
        <v>229.5</v>
      </c>
      <c r="AF220" s="220">
        <f t="shared" si="679"/>
        <v>100</v>
      </c>
      <c r="AG220" s="220">
        <f t="shared" si="655"/>
        <v>142.80000000000001</v>
      </c>
      <c r="AH220" s="220">
        <f t="shared" si="656"/>
        <v>65</v>
      </c>
      <c r="AI220" s="220">
        <f t="shared" si="657"/>
        <v>77.8</v>
      </c>
      <c r="AJ220" s="220">
        <f>IF(AG220-Z220&gt;0,0,AG220-Z220)</f>
        <v>0</v>
      </c>
      <c r="AK220" s="216">
        <f t="shared" si="604"/>
        <v>229.5</v>
      </c>
      <c r="AL220" s="220">
        <f t="shared" si="611"/>
        <v>175.6</v>
      </c>
      <c r="AM220" s="220">
        <f t="shared" si="612"/>
        <v>0</v>
      </c>
      <c r="AN220" s="221">
        <f t="shared" si="613"/>
        <v>175.6</v>
      </c>
      <c r="AO220" s="220">
        <f t="shared" si="614"/>
        <v>0</v>
      </c>
      <c r="AP220" s="220">
        <f t="shared" si="615"/>
        <v>0</v>
      </c>
      <c r="AQ220" s="220">
        <f t="shared" si="616"/>
        <v>0</v>
      </c>
      <c r="AR220" s="220">
        <f t="shared" si="617"/>
        <v>0</v>
      </c>
      <c r="AS220" s="220">
        <f t="shared" si="618"/>
        <v>0</v>
      </c>
      <c r="AT220" s="216">
        <f t="shared" si="619"/>
        <v>175.6</v>
      </c>
      <c r="AU220" s="222">
        <f t="shared" si="574"/>
        <v>-53.900000000000006</v>
      </c>
      <c r="AV220" s="220"/>
      <c r="AW220" s="220">
        <f t="shared" si="680"/>
        <v>-53.900000000000006</v>
      </c>
      <c r="AX220" s="216">
        <f t="shared" si="620"/>
        <v>-53.900000000000006</v>
      </c>
      <c r="AY220" s="220">
        <f t="shared" si="681"/>
        <v>0</v>
      </c>
      <c r="AZ220" s="220">
        <f t="shared" si="682"/>
        <v>0</v>
      </c>
      <c r="BA220" s="220">
        <f t="shared" si="683"/>
        <v>0</v>
      </c>
      <c r="BB220" s="220">
        <f t="shared" si="684"/>
        <v>0</v>
      </c>
      <c r="BC220" s="220">
        <f t="shared" si="685"/>
        <v>0</v>
      </c>
      <c r="BD220" s="216">
        <f t="shared" si="575"/>
        <v>0</v>
      </c>
      <c r="BE220" s="220">
        <f t="shared" si="686"/>
        <v>0</v>
      </c>
      <c r="BF220" s="220">
        <f t="shared" si="687"/>
        <v>0</v>
      </c>
      <c r="BG220" s="220">
        <f t="shared" si="688"/>
        <v>0</v>
      </c>
      <c r="BH220" s="220">
        <f t="shared" si="689"/>
        <v>0</v>
      </c>
      <c r="BI220" s="220">
        <f t="shared" si="690"/>
        <v>0</v>
      </c>
      <c r="BJ220" s="220" t="s">
        <v>2552</v>
      </c>
      <c r="BK220" s="220"/>
      <c r="BL220" s="223">
        <f t="shared" si="582"/>
        <v>0</v>
      </c>
      <c r="BM220" s="220">
        <v>3</v>
      </c>
      <c r="BN220" s="220"/>
      <c r="BO220" s="220">
        <f t="shared" si="662"/>
        <v>3</v>
      </c>
      <c r="BP220" s="220">
        <f>IF(AND(BL220&gt;0,BL220&lt;tiet!$D$1),BL220,IF(BL220&lt;=0,0,IF(BL220&gt;tiet!$C$1,tiet!$C$1)))</f>
        <v>0</v>
      </c>
      <c r="BQ220" s="87">
        <f>VLOOKUP(P220,ma_dinhmuc_moi,4,0)</f>
        <v>60000</v>
      </c>
      <c r="BR220" s="224">
        <f>ROUND(BQ220*BP220,0)</f>
        <v>0</v>
      </c>
      <c r="BS220" s="220">
        <f t="shared" si="630"/>
        <v>0</v>
      </c>
      <c r="BT220" s="224">
        <f>VLOOKUP(N220,ma_dinhmuc!$A$1:$J$31,10,0)</f>
        <v>51000</v>
      </c>
      <c r="BU220" s="224">
        <f>ROUND(IF(BS220&gt;0,VLOOKUP(N220,ma_dinhmuc!$A$1:$J$31,10,0)*BS220,0),0)</f>
        <v>0</v>
      </c>
      <c r="BV220" s="224">
        <f>ROUND(BU220+BR220,0)</f>
        <v>0</v>
      </c>
      <c r="BW220" s="224"/>
      <c r="BX220" s="224">
        <v>0</v>
      </c>
      <c r="BY220" s="224"/>
      <c r="BZ220" s="224"/>
      <c r="CA220" s="224"/>
      <c r="CB220" s="224"/>
      <c r="CC220" s="225">
        <f>ROUND(IF(BV220+BW220&gt;BX220+BY220+BZ220+CA220+CB220,(BW220+BV220)-(BX220+BY220+BZ220+CA220+CB220+CB220),0),0)</f>
        <v>0</v>
      </c>
      <c r="CD220" s="224">
        <f>ROUND(IF(BV220+BW220&lt;BX220+BY220+BZ220+CA220-CB220,(BX220+BY220+BZ220+CA220-CB220)-(BW220+BV220),0),0)</f>
        <v>0</v>
      </c>
      <c r="CE220" s="224"/>
      <c r="CF220" s="226"/>
      <c r="CG220" s="87"/>
      <c r="CH220" s="87">
        <f>A220</f>
        <v>25</v>
      </c>
      <c r="CI220" s="227" t="str">
        <f>F220</f>
        <v>Lưu Văn</v>
      </c>
      <c r="CJ220" s="227" t="str">
        <f t="shared" si="670"/>
        <v>Chiến</v>
      </c>
      <c r="CK220" s="87">
        <f t="shared" si="671"/>
        <v>4</v>
      </c>
      <c r="CL220" s="227" t="str">
        <f>L220</f>
        <v>Máy nông nghiệp</v>
      </c>
      <c r="CM220" s="87" t="str">
        <f t="shared" si="691"/>
        <v>CS2</v>
      </c>
      <c r="CN220" s="87">
        <f t="shared" si="668"/>
        <v>270</v>
      </c>
      <c r="CO220" s="87">
        <f t="shared" si="672"/>
        <v>100</v>
      </c>
      <c r="CP220" s="229">
        <f t="shared" si="634"/>
        <v>0</v>
      </c>
      <c r="CQ220" s="229">
        <f t="shared" si="635"/>
        <v>11.7</v>
      </c>
      <c r="CR220" s="229">
        <f t="shared" si="636"/>
        <v>4.9000000000000004</v>
      </c>
      <c r="CS220" s="229">
        <f t="shared" si="637"/>
        <v>0</v>
      </c>
      <c r="CT220" s="229">
        <f t="shared" si="638"/>
        <v>0</v>
      </c>
      <c r="CU220" s="229">
        <f t="shared" si="639"/>
        <v>111</v>
      </c>
      <c r="CV220" s="229">
        <f t="shared" si="640"/>
        <v>0</v>
      </c>
      <c r="CW220" s="229">
        <f t="shared" si="641"/>
        <v>48</v>
      </c>
      <c r="CX220" s="229">
        <f t="shared" si="642"/>
        <v>0</v>
      </c>
      <c r="CY220" s="229">
        <f t="shared" si="643"/>
        <v>0</v>
      </c>
      <c r="CZ220" s="229">
        <f t="shared" si="644"/>
        <v>0</v>
      </c>
      <c r="DA220" s="229">
        <f t="shared" si="645"/>
        <v>0</v>
      </c>
      <c r="DB220" s="228">
        <f t="shared" si="606"/>
        <v>175.6</v>
      </c>
      <c r="DC220" s="229"/>
      <c r="DD220" s="229"/>
      <c r="DE220" s="229"/>
      <c r="DF220" s="229"/>
      <c r="DG220" s="229"/>
      <c r="DH220" s="229"/>
      <c r="DI220" s="229"/>
      <c r="DJ220" s="229"/>
      <c r="DK220" s="229"/>
      <c r="DL220" s="229"/>
      <c r="DM220" s="229"/>
      <c r="DN220" s="229"/>
      <c r="DO220" s="228">
        <f t="shared" si="622"/>
        <v>0</v>
      </c>
      <c r="DP220" s="228">
        <f t="shared" si="623"/>
        <v>175.6</v>
      </c>
      <c r="DQ220" s="229">
        <f t="shared" si="646"/>
        <v>0</v>
      </c>
      <c r="DR220" s="229">
        <f t="shared" si="647"/>
        <v>0</v>
      </c>
      <c r="DS220" s="229">
        <f t="shared" si="648"/>
        <v>0</v>
      </c>
      <c r="DT220" s="229">
        <f t="shared" si="649"/>
        <v>0</v>
      </c>
      <c r="DU220" s="229">
        <f t="shared" si="650"/>
        <v>0</v>
      </c>
      <c r="DV220" s="229">
        <f t="shared" si="651"/>
        <v>0</v>
      </c>
      <c r="DW220" s="229">
        <f t="shared" si="652"/>
        <v>0</v>
      </c>
      <c r="DX220" s="228">
        <f t="shared" si="607"/>
        <v>0</v>
      </c>
      <c r="DY220" s="229"/>
      <c r="DZ220" s="229"/>
      <c r="EA220" s="229"/>
      <c r="EB220" s="229"/>
      <c r="EC220" s="229"/>
      <c r="ED220" s="229"/>
      <c r="EE220" s="229"/>
      <c r="EF220" s="228">
        <f t="shared" si="631"/>
        <v>0</v>
      </c>
      <c r="EG220" s="228">
        <f t="shared" si="624"/>
        <v>0</v>
      </c>
      <c r="EH220" s="229">
        <f t="shared" si="632"/>
        <v>77.8</v>
      </c>
      <c r="EI220" s="229">
        <v>65</v>
      </c>
      <c r="EJ220" s="228">
        <f t="shared" si="602"/>
        <v>142.80000000000001</v>
      </c>
      <c r="EK220" s="229"/>
      <c r="EL220" s="229"/>
      <c r="EM220" s="228">
        <f t="shared" si="658"/>
        <v>0</v>
      </c>
      <c r="EN220" s="229">
        <f t="shared" si="576"/>
        <v>77.8</v>
      </c>
      <c r="EO220" s="229">
        <f t="shared" si="577"/>
        <v>65</v>
      </c>
      <c r="EP220" s="228">
        <f t="shared" si="659"/>
        <v>142.80000000000001</v>
      </c>
      <c r="EQ220" s="173">
        <f t="shared" si="633"/>
        <v>0</v>
      </c>
      <c r="ER220" s="189">
        <v>0</v>
      </c>
      <c r="ES220" s="189">
        <v>11.7</v>
      </c>
      <c r="ET220" s="189">
        <v>4.9000000000000004</v>
      </c>
      <c r="EU220" s="189">
        <v>0</v>
      </c>
      <c r="EV220" s="189">
        <v>0</v>
      </c>
      <c r="EW220" s="189">
        <v>111</v>
      </c>
      <c r="EX220" s="189">
        <v>0</v>
      </c>
      <c r="EY220" s="189">
        <v>48</v>
      </c>
      <c r="EZ220" s="189">
        <v>0</v>
      </c>
      <c r="FA220" s="189">
        <v>0</v>
      </c>
      <c r="FB220" s="189">
        <v>0</v>
      </c>
      <c r="FC220" s="189">
        <v>0</v>
      </c>
      <c r="FD220" s="189">
        <v>0</v>
      </c>
      <c r="FE220" s="189">
        <v>0</v>
      </c>
      <c r="FF220" s="189">
        <v>0</v>
      </c>
      <c r="FG220" s="189">
        <v>0</v>
      </c>
      <c r="FH220" s="189">
        <v>0</v>
      </c>
      <c r="FI220" s="189">
        <v>0</v>
      </c>
      <c r="FJ220" s="189">
        <v>0</v>
      </c>
      <c r="FK220" s="189">
        <v>175.6</v>
      </c>
      <c r="FL220" s="189">
        <v>161</v>
      </c>
      <c r="FN220" s="132">
        <v>77.8</v>
      </c>
    </row>
    <row r="221" spans="1:170" ht="30" customHeight="1">
      <c r="A221" s="88">
        <f>COUNTIF($H$12:H221,H221)</f>
        <v>26</v>
      </c>
      <c r="B221" s="88" t="s">
        <v>2919</v>
      </c>
      <c r="C221" s="88" t="s">
        <v>1068</v>
      </c>
      <c r="D221" s="88"/>
      <c r="E221" s="88"/>
      <c r="F221" s="301" t="s">
        <v>175</v>
      </c>
      <c r="G221" s="89" t="s">
        <v>176</v>
      </c>
      <c r="H221" s="88">
        <v>4</v>
      </c>
      <c r="I221" s="88">
        <v>4</v>
      </c>
      <c r="J221" s="88">
        <v>4</v>
      </c>
      <c r="K221" s="90" t="s">
        <v>1077</v>
      </c>
      <c r="L221" s="90" t="s">
        <v>1077</v>
      </c>
      <c r="M221" s="214"/>
      <c r="N221" s="88" t="s">
        <v>605</v>
      </c>
      <c r="O221" s="216">
        <f t="shared" si="665"/>
        <v>6.92</v>
      </c>
      <c r="P221" s="88" t="str">
        <f t="shared" si="663"/>
        <v>B1_7</v>
      </c>
      <c r="Q221" s="88">
        <f t="shared" si="527"/>
        <v>270</v>
      </c>
      <c r="R221" s="88">
        <f t="shared" si="528"/>
        <v>200</v>
      </c>
      <c r="S221" s="218" t="s">
        <v>1745</v>
      </c>
      <c r="T221" s="215" t="s">
        <v>1743</v>
      </c>
      <c r="U221" s="88">
        <f>IF(RIGHT(T221,1)="K",(VLOOKUP(T221,ma_miengiam!$A$3:$B$80,2,0)*100)/2,VLOOKUP(T221,ma_miengiam!$A$3:$B$80,2,0)*100)</f>
        <v>50</v>
      </c>
      <c r="V221" s="88"/>
      <c r="W221" s="220">
        <f>IF(AND(T221="NTS",V221&gt;0),(Q221-(Q221*V221)/12)*VLOOKUP(T221,ma_miengiam!$A$3:$B$80,2,0)+(Q221-(Q221*(12-V221))/12),IF(AND(RIGHT(T221,1)="K",V221&gt;0),(VLOOKUP(T221,ma_miengiam!$A$3:$B$80,2,0)/2)*(Q221*V221)/12,IF(RIGHT(T221,1)="K",(VLOOKUP(T221,ma_miengiam!$A$3:$B$80,2,0)*Q221)/2,IF(V221&gt;0,VLOOKUP(T221,ma_miengiam!$A$3:$B$80,2,0)*Q221*V221/12,VLOOKUP(T221,ma_miengiam!$A$3:$B$80,2,0)*Q221))))</f>
        <v>135</v>
      </c>
      <c r="X221" s="220">
        <f>IF(T221="NTS",VLOOKUP(T221,ma_miengiam!$A$3:$B$80,2,0)*R221*V221,IF(AND(T221="NTS",V221=0),0,IF(AND(LEFT(T221,1)="K",V221=0),VLOOKUP(T221,ma_miengiam!$A$3:$B$80,2,0)*R221,IF(LEFT(T221,1)="K",(VLOOKUP(T221,ma_miengiam!$A$3:$B$80,2,0)*R221/12)*V221,IF(AND(LEFT(T221,1)="S",V221&gt;0),(R221/12)*V221,IF(AND(LEFT(T221,1)="S",V221=0),R221,IF(T221="DH",VLOOKUP(T221,ma_miengiam!$A$3:$B$80,2,0)*R221,0)))))))</f>
        <v>100</v>
      </c>
      <c r="Y221" s="220">
        <f t="shared" si="597"/>
        <v>135</v>
      </c>
      <c r="Z221" s="220">
        <f t="shared" si="609"/>
        <v>100</v>
      </c>
      <c r="AA221" s="220">
        <f t="shared" ref="AA221:AB223" si="692">Q221</f>
        <v>270</v>
      </c>
      <c r="AB221" s="220">
        <f t="shared" si="692"/>
        <v>200</v>
      </c>
      <c r="AC221" s="220">
        <f t="shared" ref="AC221:AF222" si="693">W221</f>
        <v>135</v>
      </c>
      <c r="AD221" s="220">
        <f t="shared" si="693"/>
        <v>100</v>
      </c>
      <c r="AE221" s="220">
        <f t="shared" si="693"/>
        <v>135</v>
      </c>
      <c r="AF221" s="220">
        <f t="shared" si="693"/>
        <v>100</v>
      </c>
      <c r="AG221" s="220">
        <f t="shared" si="655"/>
        <v>137.60000000000002</v>
      </c>
      <c r="AH221" s="220">
        <f t="shared" si="656"/>
        <v>99.01</v>
      </c>
      <c r="AI221" s="220">
        <f t="shared" si="657"/>
        <v>38.590000000000003</v>
      </c>
      <c r="AJ221" s="220">
        <f>IF(AG221-Z221&gt;0,0,AG221-Z221)</f>
        <v>0</v>
      </c>
      <c r="AK221" s="216">
        <f t="shared" si="604"/>
        <v>135</v>
      </c>
      <c r="AL221" s="220">
        <f t="shared" si="611"/>
        <v>0</v>
      </c>
      <c r="AM221" s="220">
        <f t="shared" si="612"/>
        <v>0</v>
      </c>
      <c r="AN221" s="221">
        <f t="shared" si="613"/>
        <v>0</v>
      </c>
      <c r="AO221" s="220">
        <f t="shared" si="614"/>
        <v>0</v>
      </c>
      <c r="AP221" s="220">
        <f t="shared" si="615"/>
        <v>0</v>
      </c>
      <c r="AQ221" s="220">
        <f t="shared" si="616"/>
        <v>0</v>
      </c>
      <c r="AR221" s="220">
        <f t="shared" si="617"/>
        <v>0</v>
      </c>
      <c r="AS221" s="220">
        <f t="shared" si="618"/>
        <v>0</v>
      </c>
      <c r="AT221" s="216">
        <f t="shared" si="619"/>
        <v>0</v>
      </c>
      <c r="AU221" s="222">
        <f t="shared" si="574"/>
        <v>-135</v>
      </c>
      <c r="AV221" s="220"/>
      <c r="AW221" s="220">
        <f t="shared" si="680"/>
        <v>-135</v>
      </c>
      <c r="AX221" s="216">
        <f t="shared" si="620"/>
        <v>-135</v>
      </c>
      <c r="AY221" s="220">
        <f t="shared" si="681"/>
        <v>0</v>
      </c>
      <c r="AZ221" s="220">
        <f t="shared" si="682"/>
        <v>0</v>
      </c>
      <c r="BA221" s="220">
        <f t="shared" si="683"/>
        <v>0</v>
      </c>
      <c r="BB221" s="220">
        <f t="shared" si="684"/>
        <v>0</v>
      </c>
      <c r="BC221" s="220">
        <f t="shared" si="685"/>
        <v>0</v>
      </c>
      <c r="BD221" s="216">
        <f t="shared" si="575"/>
        <v>0</v>
      </c>
      <c r="BE221" s="220">
        <f t="shared" si="686"/>
        <v>0</v>
      </c>
      <c r="BF221" s="220">
        <f t="shared" si="687"/>
        <v>0</v>
      </c>
      <c r="BG221" s="220">
        <f t="shared" si="688"/>
        <v>0</v>
      </c>
      <c r="BH221" s="220">
        <f t="shared" si="689"/>
        <v>0</v>
      </c>
      <c r="BI221" s="220">
        <f t="shared" si="690"/>
        <v>0</v>
      </c>
      <c r="BJ221" s="220" t="s">
        <v>2553</v>
      </c>
      <c r="BK221" s="220"/>
      <c r="BL221" s="223">
        <f t="shared" si="582"/>
        <v>0</v>
      </c>
      <c r="BM221" s="220">
        <v>6.92</v>
      </c>
      <c r="BN221" s="220"/>
      <c r="BO221" s="220">
        <f t="shared" si="662"/>
        <v>6.92</v>
      </c>
      <c r="BP221" s="220">
        <f>IF(AND(BL221&gt;0,BL221&lt;tiet!$D$1),BL221,IF(BL221&lt;=0,0,IF(BL221&gt;tiet!$C$1,tiet!$C$1)))</f>
        <v>0</v>
      </c>
      <c r="BQ221" s="87">
        <f>VLOOKUP(P221,ma_dinhmuc_moi,4,0)</f>
        <v>80000</v>
      </c>
      <c r="BR221" s="224">
        <f>ROUND(BQ221*BP221,0)</f>
        <v>0</v>
      </c>
      <c r="BS221" s="220">
        <f t="shared" si="630"/>
        <v>0</v>
      </c>
      <c r="BT221" s="224">
        <f>VLOOKUP(N221,ma_dinhmuc!$A$1:$J$31,10,0)</f>
        <v>65000</v>
      </c>
      <c r="BU221" s="224">
        <f>ROUND(IF(BS221&gt;0,VLOOKUP(N221,ma_dinhmuc!$A$1:$J$31,10,0)*BS221,0),0)</f>
        <v>0</v>
      </c>
      <c r="BV221" s="224">
        <f>ROUND(BU221+BR221,0)</f>
        <v>0</v>
      </c>
      <c r="BW221" s="224"/>
      <c r="BX221" s="224">
        <v>0</v>
      </c>
      <c r="BY221" s="224"/>
      <c r="BZ221" s="224"/>
      <c r="CA221" s="224"/>
      <c r="CB221" s="224"/>
      <c r="CC221" s="225">
        <f t="shared" si="544"/>
        <v>0</v>
      </c>
      <c r="CD221" s="224">
        <f t="shared" si="545"/>
        <v>0</v>
      </c>
      <c r="CE221" s="224"/>
      <c r="CF221" s="226"/>
      <c r="CG221" s="87"/>
      <c r="CH221" s="87">
        <f>A221</f>
        <v>26</v>
      </c>
      <c r="CI221" s="227" t="str">
        <f>F221</f>
        <v>Hoàng Đức</v>
      </c>
      <c r="CJ221" s="227" t="str">
        <f t="shared" si="670"/>
        <v>Liên</v>
      </c>
      <c r="CK221" s="87">
        <f t="shared" si="671"/>
        <v>4</v>
      </c>
      <c r="CL221" s="227" t="str">
        <f>L221</f>
        <v>Máy nông nghiệp</v>
      </c>
      <c r="CM221" s="87" t="str">
        <f t="shared" si="691"/>
        <v>CS4</v>
      </c>
      <c r="CN221" s="87">
        <f t="shared" si="668"/>
        <v>270</v>
      </c>
      <c r="CO221" s="87">
        <f t="shared" si="672"/>
        <v>200</v>
      </c>
      <c r="CP221" s="229">
        <f t="shared" si="634"/>
        <v>0</v>
      </c>
      <c r="CQ221" s="229">
        <f t="shared" si="635"/>
        <v>0</v>
      </c>
      <c r="CR221" s="229">
        <f t="shared" si="636"/>
        <v>0</v>
      </c>
      <c r="CS221" s="229">
        <f t="shared" si="637"/>
        <v>0</v>
      </c>
      <c r="CT221" s="229">
        <f t="shared" si="638"/>
        <v>0</v>
      </c>
      <c r="CU221" s="229">
        <f t="shared" si="639"/>
        <v>0</v>
      </c>
      <c r="CV221" s="229">
        <f t="shared" si="640"/>
        <v>0</v>
      </c>
      <c r="CW221" s="229">
        <f t="shared" si="641"/>
        <v>0</v>
      </c>
      <c r="CX221" s="229">
        <f t="shared" si="642"/>
        <v>0</v>
      </c>
      <c r="CY221" s="229">
        <f t="shared" si="643"/>
        <v>0</v>
      </c>
      <c r="CZ221" s="229">
        <f t="shared" si="644"/>
        <v>0</v>
      </c>
      <c r="DA221" s="229">
        <f t="shared" si="645"/>
        <v>0</v>
      </c>
      <c r="DB221" s="228">
        <f t="shared" si="606"/>
        <v>0</v>
      </c>
      <c r="DC221" s="229"/>
      <c r="DD221" s="229"/>
      <c r="DE221" s="229"/>
      <c r="DF221" s="229"/>
      <c r="DG221" s="229"/>
      <c r="DH221" s="229"/>
      <c r="DI221" s="229"/>
      <c r="DJ221" s="229"/>
      <c r="DK221" s="229"/>
      <c r="DL221" s="229"/>
      <c r="DM221" s="229"/>
      <c r="DN221" s="229"/>
      <c r="DO221" s="228">
        <f t="shared" si="622"/>
        <v>0</v>
      </c>
      <c r="DP221" s="228">
        <f t="shared" si="623"/>
        <v>0</v>
      </c>
      <c r="DQ221" s="229">
        <f t="shared" si="646"/>
        <v>0</v>
      </c>
      <c r="DR221" s="229">
        <f t="shared" si="647"/>
        <v>0</v>
      </c>
      <c r="DS221" s="229">
        <f t="shared" si="648"/>
        <v>0</v>
      </c>
      <c r="DT221" s="229">
        <f t="shared" si="649"/>
        <v>0</v>
      </c>
      <c r="DU221" s="229">
        <f t="shared" si="650"/>
        <v>0</v>
      </c>
      <c r="DV221" s="229">
        <f t="shared" si="651"/>
        <v>0</v>
      </c>
      <c r="DW221" s="229">
        <f t="shared" si="652"/>
        <v>0</v>
      </c>
      <c r="DX221" s="228">
        <f t="shared" si="607"/>
        <v>0</v>
      </c>
      <c r="DY221" s="229"/>
      <c r="DZ221" s="229"/>
      <c r="EA221" s="229"/>
      <c r="EB221" s="229"/>
      <c r="EC221" s="229"/>
      <c r="ED221" s="229"/>
      <c r="EE221" s="229"/>
      <c r="EF221" s="228">
        <f t="shared" si="631"/>
        <v>0</v>
      </c>
      <c r="EG221" s="228">
        <f t="shared" si="624"/>
        <v>0</v>
      </c>
      <c r="EH221" s="229">
        <f t="shared" si="632"/>
        <v>38.590000000000003</v>
      </c>
      <c r="EI221" s="229">
        <v>99.01</v>
      </c>
      <c r="EJ221" s="228">
        <f t="shared" si="602"/>
        <v>137.60000000000002</v>
      </c>
      <c r="EK221" s="229"/>
      <c r="EL221" s="229"/>
      <c r="EM221" s="228">
        <f t="shared" si="658"/>
        <v>0</v>
      </c>
      <c r="EN221" s="229">
        <f t="shared" si="576"/>
        <v>38.590000000000003</v>
      </c>
      <c r="EO221" s="229">
        <f t="shared" si="577"/>
        <v>99.01</v>
      </c>
      <c r="EP221" s="228">
        <f t="shared" si="659"/>
        <v>137.60000000000002</v>
      </c>
      <c r="EQ221" s="173">
        <f t="shared" si="633"/>
        <v>0</v>
      </c>
      <c r="ER221" s="189">
        <v>0</v>
      </c>
      <c r="ES221" s="189">
        <v>0</v>
      </c>
      <c r="ET221" s="189">
        <v>0</v>
      </c>
      <c r="EU221" s="189">
        <v>0</v>
      </c>
      <c r="EV221" s="189">
        <v>0</v>
      </c>
      <c r="EW221" s="189">
        <v>0</v>
      </c>
      <c r="EX221" s="189">
        <v>0</v>
      </c>
      <c r="EY221" s="189">
        <v>0</v>
      </c>
      <c r="EZ221" s="189">
        <v>0</v>
      </c>
      <c r="FA221" s="189">
        <v>0</v>
      </c>
      <c r="FB221" s="189">
        <v>0</v>
      </c>
      <c r="FC221" s="189">
        <v>0</v>
      </c>
      <c r="FD221" s="189">
        <v>0</v>
      </c>
      <c r="FE221" s="189">
        <v>0</v>
      </c>
      <c r="FF221" s="189">
        <v>0</v>
      </c>
      <c r="FG221" s="189">
        <v>0</v>
      </c>
      <c r="FH221" s="189">
        <v>0</v>
      </c>
      <c r="FI221" s="189">
        <v>0</v>
      </c>
      <c r="FJ221" s="189">
        <v>0</v>
      </c>
      <c r="FK221" s="189">
        <v>0</v>
      </c>
      <c r="FL221" s="189">
        <v>0</v>
      </c>
      <c r="FN221" s="132">
        <v>38.590000000000003</v>
      </c>
    </row>
    <row r="222" spans="1:170" ht="30" customHeight="1">
      <c r="A222" s="88">
        <f>COUNTIF($H$12:H222,H222)</f>
        <v>27</v>
      </c>
      <c r="B222" s="88" t="s">
        <v>2920</v>
      </c>
      <c r="C222" s="88" t="s">
        <v>1069</v>
      </c>
      <c r="D222" s="88"/>
      <c r="E222" s="88"/>
      <c r="F222" s="301" t="s">
        <v>177</v>
      </c>
      <c r="G222" s="89" t="s">
        <v>178</v>
      </c>
      <c r="H222" s="88">
        <v>4</v>
      </c>
      <c r="I222" s="88">
        <v>4</v>
      </c>
      <c r="J222" s="88">
        <v>4</v>
      </c>
      <c r="K222" s="90" t="s">
        <v>1077</v>
      </c>
      <c r="L222" s="90" t="s">
        <v>1077</v>
      </c>
      <c r="M222" s="214"/>
      <c r="N222" s="88" t="s">
        <v>1804</v>
      </c>
      <c r="O222" s="216">
        <f t="shared" ref="O222:O227" si="694">BO222</f>
        <v>3.99</v>
      </c>
      <c r="P222" s="88" t="str">
        <f t="shared" si="663"/>
        <v>B1_4</v>
      </c>
      <c r="Q222" s="88">
        <f t="shared" si="527"/>
        <v>270</v>
      </c>
      <c r="R222" s="88">
        <f t="shared" si="528"/>
        <v>120</v>
      </c>
      <c r="S222" s="218"/>
      <c r="T222" s="88" t="s">
        <v>3088</v>
      </c>
      <c r="U222" s="88">
        <f>IF(RIGHT(T222,1)="K",(VLOOKUP(T222,ma_miengiam!$A$3:$B$80,2,0)*100)/2,VLOOKUP(T222,ma_miengiam!$A$3:$B$80,2,0)*100)</f>
        <v>0</v>
      </c>
      <c r="V222" s="88"/>
      <c r="W222" s="220">
        <f>IF(AND(T222="NTS",V222&gt;0),(Q222-(Q222*V222)/12)*VLOOKUP(T222,ma_miengiam!$A$3:$B$80,2,0)+(Q222-(Q222*(12-V222))/12),IF(AND(RIGHT(T222,1)="K",V222&gt;0),(VLOOKUP(T222,ma_miengiam!$A$3:$B$80,2,0)/2)*(Q222*V222)/12,IF(RIGHT(T222,1)="K",(VLOOKUP(T222,ma_miengiam!$A$3:$B$80,2,0)*Q222)/2,IF(V222&gt;0,VLOOKUP(T222,ma_miengiam!$A$3:$B$80,2,0)*Q222*V222/12,VLOOKUP(T222,ma_miengiam!$A$3:$B$80,2,0)*Q222))))</f>
        <v>0</v>
      </c>
      <c r="X222" s="220">
        <f>IF(T222="NTS",VLOOKUP(T222,ma_miengiam!$A$3:$B$80,2,0)*R222*V222,IF(AND(T222="NTS",V222=0),0,IF(AND(LEFT(T222,1)="K",V222=0),VLOOKUP(T222,ma_miengiam!$A$3:$B$80,2,0)*R222,IF(LEFT(T222,1)="K",(VLOOKUP(T222,ma_miengiam!$A$3:$B$80,2,0)*R222/12)*V222,IF(AND(LEFT(T222,1)="S",V222&gt;0),(R222/12)*V222,IF(AND(LEFT(T222,1)="S",V222=0),R222,IF(T222="DH",VLOOKUP(T222,ma_miengiam!$A$3:$B$80,2,0)*R222,0)))))))</f>
        <v>0</v>
      </c>
      <c r="Y222" s="220">
        <f t="shared" si="597"/>
        <v>270</v>
      </c>
      <c r="Z222" s="220">
        <f t="shared" ref="Z222:Z239" si="695">IF(AND(T222="SĐH",V222&gt;0),(R222/12)*V222-X222,IF(AND(T222="DH",V222&gt;0),(R222*V222/12),IF(AND(T222&lt;&gt;"NTS",V222&gt;0),(R222*V222/12)-X222,IF(AND(T222="NTS",V222&gt;0),R222-X222,R222-X222))))</f>
        <v>120</v>
      </c>
      <c r="AA222" s="220">
        <f t="shared" si="692"/>
        <v>270</v>
      </c>
      <c r="AB222" s="220">
        <f t="shared" si="692"/>
        <v>120</v>
      </c>
      <c r="AC222" s="220">
        <f t="shared" si="693"/>
        <v>0</v>
      </c>
      <c r="AD222" s="220">
        <f t="shared" si="693"/>
        <v>0</v>
      </c>
      <c r="AE222" s="220">
        <f t="shared" si="693"/>
        <v>270</v>
      </c>
      <c r="AF222" s="220">
        <f t="shared" si="693"/>
        <v>120</v>
      </c>
      <c r="AG222" s="220">
        <f t="shared" si="655"/>
        <v>14.59</v>
      </c>
      <c r="AH222" s="220">
        <f t="shared" si="656"/>
        <v>0</v>
      </c>
      <c r="AI222" s="220">
        <f t="shared" si="657"/>
        <v>14.59</v>
      </c>
      <c r="AJ222" s="220">
        <f t="shared" si="677"/>
        <v>-105.41</v>
      </c>
      <c r="AK222" s="216">
        <f t="shared" si="604"/>
        <v>375.40999999999997</v>
      </c>
      <c r="AL222" s="220">
        <f t="shared" si="611"/>
        <v>46</v>
      </c>
      <c r="AM222" s="220">
        <f t="shared" si="612"/>
        <v>0</v>
      </c>
      <c r="AN222" s="221">
        <f t="shared" si="613"/>
        <v>46</v>
      </c>
      <c r="AO222" s="220">
        <f t="shared" si="614"/>
        <v>0</v>
      </c>
      <c r="AP222" s="220">
        <f t="shared" si="615"/>
        <v>0</v>
      </c>
      <c r="AQ222" s="220">
        <f t="shared" si="616"/>
        <v>0</v>
      </c>
      <c r="AR222" s="220">
        <f t="shared" si="617"/>
        <v>0</v>
      </c>
      <c r="AS222" s="220">
        <f t="shared" si="618"/>
        <v>0</v>
      </c>
      <c r="AT222" s="216">
        <f t="shared" si="619"/>
        <v>46</v>
      </c>
      <c r="AU222" s="222">
        <f t="shared" si="574"/>
        <v>-329.40999999999997</v>
      </c>
      <c r="AV222" s="220"/>
      <c r="AW222" s="220">
        <f t="shared" si="680"/>
        <v>-329.40999999999997</v>
      </c>
      <c r="AX222" s="216">
        <f t="shared" si="620"/>
        <v>-329.40999999999997</v>
      </c>
      <c r="AY222" s="220">
        <f t="shared" si="681"/>
        <v>0</v>
      </c>
      <c r="AZ222" s="220">
        <f t="shared" si="682"/>
        <v>0</v>
      </c>
      <c r="BA222" s="220">
        <f t="shared" si="683"/>
        <v>0</v>
      </c>
      <c r="BB222" s="220">
        <f t="shared" si="684"/>
        <v>0</v>
      </c>
      <c r="BC222" s="220">
        <f t="shared" si="685"/>
        <v>0</v>
      </c>
      <c r="BD222" s="216">
        <f t="shared" si="575"/>
        <v>0</v>
      </c>
      <c r="BE222" s="220">
        <f t="shared" si="686"/>
        <v>0</v>
      </c>
      <c r="BF222" s="220">
        <f t="shared" si="687"/>
        <v>0</v>
      </c>
      <c r="BG222" s="220">
        <f t="shared" si="688"/>
        <v>0</v>
      </c>
      <c r="BH222" s="220">
        <f t="shared" si="689"/>
        <v>0</v>
      </c>
      <c r="BI222" s="220">
        <f t="shared" si="690"/>
        <v>0</v>
      </c>
      <c r="BJ222" s="220" t="s">
        <v>2553</v>
      </c>
      <c r="BK222" s="220"/>
      <c r="BL222" s="223">
        <f t="shared" si="582"/>
        <v>0</v>
      </c>
      <c r="BM222" s="220">
        <v>3.99</v>
      </c>
      <c r="BN222" s="220"/>
      <c r="BO222" s="220">
        <f t="shared" si="662"/>
        <v>3.99</v>
      </c>
      <c r="BP222" s="220">
        <f>IF(AND(BL222&gt;0,BL222&lt;tiet!$D$1),BL222,IF(BL222&lt;=0,0,IF(BL222&gt;tiet!$C$1,tiet!$C$1)))</f>
        <v>0</v>
      </c>
      <c r="BQ222" s="87">
        <f t="shared" si="674"/>
        <v>65000</v>
      </c>
      <c r="BR222" s="224">
        <f t="shared" si="675"/>
        <v>0</v>
      </c>
      <c r="BS222" s="220">
        <f t="shared" si="630"/>
        <v>0</v>
      </c>
      <c r="BT222" s="224">
        <f>VLOOKUP(N222,ma_dinhmuc!$A$1:$J$31,10,0)</f>
        <v>51000</v>
      </c>
      <c r="BU222" s="224">
        <f>ROUND(IF(BS222&gt;0,VLOOKUP(N222,ma_dinhmuc!$A$1:$J$31,10,0)*BS222,0),0)</f>
        <v>0</v>
      </c>
      <c r="BV222" s="224">
        <f t="shared" si="676"/>
        <v>0</v>
      </c>
      <c r="BW222" s="224"/>
      <c r="BX222" s="224">
        <v>0</v>
      </c>
      <c r="BY222" s="224"/>
      <c r="BZ222" s="224"/>
      <c r="CA222" s="224"/>
      <c r="CB222" s="224"/>
      <c r="CC222" s="225">
        <f t="shared" si="544"/>
        <v>0</v>
      </c>
      <c r="CD222" s="224">
        <f t="shared" si="545"/>
        <v>0</v>
      </c>
      <c r="CE222" s="224"/>
      <c r="CF222" s="226"/>
      <c r="CG222" s="87"/>
      <c r="CH222" s="87">
        <f t="shared" si="666"/>
        <v>27</v>
      </c>
      <c r="CI222" s="227" t="str">
        <f>F222</f>
        <v>Lương Thị Minh</v>
      </c>
      <c r="CJ222" s="227" t="str">
        <f t="shared" si="670"/>
        <v>Châu</v>
      </c>
      <c r="CK222" s="87">
        <f t="shared" si="671"/>
        <v>4</v>
      </c>
      <c r="CL222" s="227" t="str">
        <f t="shared" ref="CL222:CL227" si="696">L222</f>
        <v>Máy nông nghiệp</v>
      </c>
      <c r="CM222" s="87" t="str">
        <f t="shared" si="691"/>
        <v>CS2</v>
      </c>
      <c r="CN222" s="87">
        <f t="shared" si="668"/>
        <v>270</v>
      </c>
      <c r="CO222" s="87">
        <f t="shared" si="672"/>
        <v>120</v>
      </c>
      <c r="CP222" s="229">
        <f t="shared" si="634"/>
        <v>0</v>
      </c>
      <c r="CQ222" s="229">
        <f t="shared" si="635"/>
        <v>0</v>
      </c>
      <c r="CR222" s="229">
        <f t="shared" si="636"/>
        <v>0</v>
      </c>
      <c r="CS222" s="229">
        <f t="shared" si="637"/>
        <v>30</v>
      </c>
      <c r="CT222" s="229">
        <f t="shared" si="638"/>
        <v>0</v>
      </c>
      <c r="CU222" s="229">
        <f t="shared" si="639"/>
        <v>0</v>
      </c>
      <c r="CV222" s="229">
        <f t="shared" si="640"/>
        <v>0</v>
      </c>
      <c r="CW222" s="229">
        <f t="shared" si="641"/>
        <v>16</v>
      </c>
      <c r="CX222" s="229">
        <f t="shared" si="642"/>
        <v>0</v>
      </c>
      <c r="CY222" s="229">
        <f t="shared" si="643"/>
        <v>0</v>
      </c>
      <c r="CZ222" s="229">
        <f t="shared" si="644"/>
        <v>0</v>
      </c>
      <c r="DA222" s="229">
        <f t="shared" si="645"/>
        <v>0</v>
      </c>
      <c r="DB222" s="228">
        <f t="shared" si="606"/>
        <v>46</v>
      </c>
      <c r="DC222" s="229"/>
      <c r="DD222" s="229"/>
      <c r="DE222" s="229"/>
      <c r="DF222" s="229"/>
      <c r="DG222" s="229"/>
      <c r="DH222" s="229"/>
      <c r="DI222" s="229"/>
      <c r="DJ222" s="229"/>
      <c r="DK222" s="229"/>
      <c r="DL222" s="229"/>
      <c r="DM222" s="229"/>
      <c r="DN222" s="229"/>
      <c r="DO222" s="228">
        <f t="shared" si="622"/>
        <v>0</v>
      </c>
      <c r="DP222" s="228">
        <f t="shared" si="623"/>
        <v>46</v>
      </c>
      <c r="DQ222" s="229">
        <f t="shared" si="646"/>
        <v>0</v>
      </c>
      <c r="DR222" s="229">
        <f t="shared" si="647"/>
        <v>0</v>
      </c>
      <c r="DS222" s="229">
        <f t="shared" si="648"/>
        <v>0</v>
      </c>
      <c r="DT222" s="229">
        <f t="shared" si="649"/>
        <v>0</v>
      </c>
      <c r="DU222" s="229">
        <f t="shared" si="650"/>
        <v>0</v>
      </c>
      <c r="DV222" s="229">
        <f t="shared" si="651"/>
        <v>0</v>
      </c>
      <c r="DW222" s="229">
        <f t="shared" si="652"/>
        <v>0</v>
      </c>
      <c r="DX222" s="228">
        <f t="shared" si="607"/>
        <v>0</v>
      </c>
      <c r="DY222" s="229"/>
      <c r="DZ222" s="229"/>
      <c r="EA222" s="229"/>
      <c r="EB222" s="229"/>
      <c r="EC222" s="229"/>
      <c r="ED222" s="229"/>
      <c r="EE222" s="229"/>
      <c r="EF222" s="228">
        <f t="shared" si="631"/>
        <v>0</v>
      </c>
      <c r="EG222" s="228">
        <f t="shared" si="624"/>
        <v>0</v>
      </c>
      <c r="EH222" s="229">
        <f t="shared" si="632"/>
        <v>14.59</v>
      </c>
      <c r="EI222" s="229">
        <v>0</v>
      </c>
      <c r="EJ222" s="228">
        <f t="shared" si="602"/>
        <v>14.59</v>
      </c>
      <c r="EK222" s="229"/>
      <c r="EL222" s="229"/>
      <c r="EM222" s="228">
        <f t="shared" si="658"/>
        <v>0</v>
      </c>
      <c r="EN222" s="229">
        <f t="shared" si="576"/>
        <v>14.59</v>
      </c>
      <c r="EO222" s="229">
        <f t="shared" si="577"/>
        <v>0</v>
      </c>
      <c r="EP222" s="228">
        <f t="shared" si="659"/>
        <v>14.59</v>
      </c>
      <c r="EQ222" s="173">
        <f t="shared" si="633"/>
        <v>0</v>
      </c>
      <c r="ER222" s="189">
        <v>0</v>
      </c>
      <c r="ES222" s="189">
        <v>0</v>
      </c>
      <c r="ET222" s="189">
        <v>0</v>
      </c>
      <c r="EU222" s="189">
        <v>30</v>
      </c>
      <c r="EV222" s="189">
        <v>0</v>
      </c>
      <c r="EW222" s="189">
        <v>0</v>
      </c>
      <c r="EX222" s="189">
        <v>0</v>
      </c>
      <c r="EY222" s="189">
        <v>16</v>
      </c>
      <c r="EZ222" s="189">
        <v>0</v>
      </c>
      <c r="FA222" s="189">
        <v>0</v>
      </c>
      <c r="FB222" s="189">
        <v>0</v>
      </c>
      <c r="FC222" s="189">
        <v>0</v>
      </c>
      <c r="FD222" s="189">
        <v>0</v>
      </c>
      <c r="FE222" s="189">
        <v>0</v>
      </c>
      <c r="FF222" s="189">
        <v>0</v>
      </c>
      <c r="FG222" s="189">
        <v>0</v>
      </c>
      <c r="FH222" s="189">
        <v>0</v>
      </c>
      <c r="FI222" s="189">
        <v>0</v>
      </c>
      <c r="FJ222" s="189">
        <v>0</v>
      </c>
      <c r="FK222" s="189">
        <v>46</v>
      </c>
      <c r="FL222" s="189">
        <v>46</v>
      </c>
      <c r="FN222" s="132">
        <v>14.59</v>
      </c>
    </row>
    <row r="223" spans="1:170" ht="45">
      <c r="A223" s="88">
        <f>COUNTIF($H$12:H223,H223)</f>
        <v>28</v>
      </c>
      <c r="B223" s="88" t="s">
        <v>2921</v>
      </c>
      <c r="C223" s="88" t="s">
        <v>1070</v>
      </c>
      <c r="D223" s="88"/>
      <c r="E223" s="88"/>
      <c r="F223" s="301" t="s">
        <v>179</v>
      </c>
      <c r="G223" s="89" t="s">
        <v>2915</v>
      </c>
      <c r="H223" s="88">
        <v>4</v>
      </c>
      <c r="I223" s="88">
        <v>4</v>
      </c>
      <c r="J223" s="88">
        <v>4</v>
      </c>
      <c r="K223" s="90" t="s">
        <v>1077</v>
      </c>
      <c r="L223" s="90" t="s">
        <v>1077</v>
      </c>
      <c r="M223" s="214"/>
      <c r="N223" s="88" t="s">
        <v>1804</v>
      </c>
      <c r="O223" s="216">
        <f t="shared" si="694"/>
        <v>4.6500000000000004</v>
      </c>
      <c r="P223" s="88" t="str">
        <f t="shared" si="663"/>
        <v>B1_5</v>
      </c>
      <c r="Q223" s="88">
        <f t="shared" si="527"/>
        <v>270</v>
      </c>
      <c r="R223" s="88">
        <f t="shared" si="528"/>
        <v>150</v>
      </c>
      <c r="S223" s="231" t="s">
        <v>3175</v>
      </c>
      <c r="T223" s="88" t="s">
        <v>1754</v>
      </c>
      <c r="U223" s="88">
        <f>IF(RIGHT(T223,1)="K",(VLOOKUP(T223,ma_miengiam!$A$3:$B$80,2,0)*100)/2,VLOOKUP(T223,ma_miengiam!$A$3:$B$80,2,0)*100)</f>
        <v>75</v>
      </c>
      <c r="V223" s="88"/>
      <c r="W223" s="220">
        <f>IF(AND(T223="NTS",V223&gt;0),(Q223-(Q223*V223)/12)*VLOOKUP(T223,ma_miengiam!$A$3:$B$80,2,0)+(Q223-(Q223*(12-V223))/12),IF(AND(RIGHT(T223,1)="K",V223&gt;0),(VLOOKUP(T223,ma_miengiam!$A$3:$B$80,2,0)/2)*(Q223*V223)/12,IF(RIGHT(T223,1)="K",(VLOOKUP(T223,ma_miengiam!$A$3:$B$80,2,0)*Q223)/2,IF(V223&gt;0,VLOOKUP(T223,ma_miengiam!$A$3:$B$80,2,0)*Q223*V223/12,VLOOKUP(T223,ma_miengiam!$A$3:$B$80,2,0)*Q223))))</f>
        <v>202.5</v>
      </c>
      <c r="X223" s="220">
        <f>IF(T223="NTS",VLOOKUP(T223,ma_miengiam!$A$3:$B$80,2,0)*R223*V223,IF(AND(T223="NTS",V223=0),0,IF(AND(LEFT(T223,1)="K",V223=0),VLOOKUP(T223,ma_miengiam!$A$3:$B$80,2,0)*R223,IF(LEFT(T223,1)="K",(VLOOKUP(T223,ma_miengiam!$A$3:$B$80,2,0)*R223/12)*V223,IF(AND(LEFT(T223,1)="S",V223&gt;0),(R223/12)*V223,IF(AND(LEFT(T223,1)="S",V223=0),R223,IF(T223="DH",VLOOKUP(T223,ma_miengiam!$A$3:$B$80,2,0)*R223,0)))))))</f>
        <v>112.5</v>
      </c>
      <c r="Y223" s="220">
        <f t="shared" si="597"/>
        <v>67.5</v>
      </c>
      <c r="Z223" s="220">
        <f t="shared" si="695"/>
        <v>37.5</v>
      </c>
      <c r="AA223" s="220">
        <f t="shared" si="692"/>
        <v>270</v>
      </c>
      <c r="AB223" s="220">
        <f t="shared" si="692"/>
        <v>150</v>
      </c>
      <c r="AC223" s="220">
        <f>W223</f>
        <v>202.5</v>
      </c>
      <c r="AD223" s="220">
        <f>X223</f>
        <v>112.5</v>
      </c>
      <c r="AE223" s="220">
        <f>Y223</f>
        <v>67.5</v>
      </c>
      <c r="AF223" s="220">
        <f>Z223</f>
        <v>37.5</v>
      </c>
      <c r="AG223" s="220">
        <f t="shared" si="655"/>
        <v>255.13</v>
      </c>
      <c r="AH223" s="220">
        <f t="shared" si="656"/>
        <v>155.66</v>
      </c>
      <c r="AI223" s="220">
        <f t="shared" si="657"/>
        <v>99.47</v>
      </c>
      <c r="AJ223" s="220">
        <f t="shared" si="677"/>
        <v>0</v>
      </c>
      <c r="AK223" s="216">
        <f t="shared" si="604"/>
        <v>67.5</v>
      </c>
      <c r="AL223" s="220">
        <f t="shared" si="611"/>
        <v>0</v>
      </c>
      <c r="AM223" s="220">
        <f t="shared" si="612"/>
        <v>0</v>
      </c>
      <c r="AN223" s="221">
        <f t="shared" si="613"/>
        <v>0</v>
      </c>
      <c r="AO223" s="220">
        <f t="shared" si="614"/>
        <v>0</v>
      </c>
      <c r="AP223" s="220">
        <f t="shared" si="615"/>
        <v>0</v>
      </c>
      <c r="AQ223" s="220">
        <f t="shared" si="616"/>
        <v>0</v>
      </c>
      <c r="AR223" s="220">
        <f t="shared" si="617"/>
        <v>0</v>
      </c>
      <c r="AS223" s="220">
        <f t="shared" si="618"/>
        <v>0</v>
      </c>
      <c r="AT223" s="216">
        <f t="shared" si="619"/>
        <v>0</v>
      </c>
      <c r="AU223" s="222">
        <f t="shared" si="574"/>
        <v>-67.5</v>
      </c>
      <c r="AV223" s="220"/>
      <c r="AW223" s="220">
        <f t="shared" si="680"/>
        <v>-67.5</v>
      </c>
      <c r="AX223" s="216">
        <f t="shared" si="620"/>
        <v>-67.5</v>
      </c>
      <c r="AY223" s="220">
        <f t="shared" si="681"/>
        <v>0</v>
      </c>
      <c r="AZ223" s="220">
        <f t="shared" si="682"/>
        <v>0</v>
      </c>
      <c r="BA223" s="220">
        <f t="shared" si="683"/>
        <v>0</v>
      </c>
      <c r="BB223" s="220">
        <f t="shared" si="684"/>
        <v>0</v>
      </c>
      <c r="BC223" s="220">
        <f t="shared" si="685"/>
        <v>0</v>
      </c>
      <c r="BD223" s="216">
        <f t="shared" si="575"/>
        <v>0</v>
      </c>
      <c r="BE223" s="220">
        <f t="shared" si="686"/>
        <v>0</v>
      </c>
      <c r="BF223" s="220">
        <f t="shared" si="687"/>
        <v>0</v>
      </c>
      <c r="BG223" s="220">
        <f t="shared" si="688"/>
        <v>0</v>
      </c>
      <c r="BH223" s="220">
        <f t="shared" si="689"/>
        <v>0</v>
      </c>
      <c r="BI223" s="220">
        <f t="shared" si="690"/>
        <v>0</v>
      </c>
      <c r="BJ223" s="220" t="s">
        <v>2554</v>
      </c>
      <c r="BK223" s="220"/>
      <c r="BL223" s="223">
        <f t="shared" si="582"/>
        <v>0</v>
      </c>
      <c r="BM223" s="220">
        <v>4.6500000000000004</v>
      </c>
      <c r="BN223" s="220"/>
      <c r="BO223" s="220">
        <f t="shared" si="662"/>
        <v>4.6500000000000004</v>
      </c>
      <c r="BP223" s="220">
        <f>IF(AND(BL223&gt;0,BL223&lt;tiet!$D$1),BL223,IF(BL223&lt;=0,0,IF(BL223&gt;tiet!$C$1,tiet!$C$1)))</f>
        <v>0</v>
      </c>
      <c r="BQ223" s="87">
        <f t="shared" si="674"/>
        <v>70000</v>
      </c>
      <c r="BR223" s="224">
        <f t="shared" si="675"/>
        <v>0</v>
      </c>
      <c r="BS223" s="220">
        <f t="shared" si="630"/>
        <v>0</v>
      </c>
      <c r="BT223" s="224">
        <f>VLOOKUP(N223,ma_dinhmuc!$A$1:$J$31,10,0)</f>
        <v>51000</v>
      </c>
      <c r="BU223" s="224">
        <f>ROUND(IF(BS223&gt;0,VLOOKUP(N223,ma_dinhmuc!$A$1:$J$31,10,0)*BS223,0),0)</f>
        <v>0</v>
      </c>
      <c r="BV223" s="224">
        <f t="shared" si="676"/>
        <v>0</v>
      </c>
      <c r="BW223" s="224"/>
      <c r="BX223" s="224">
        <v>0</v>
      </c>
      <c r="BY223" s="224"/>
      <c r="BZ223" s="224"/>
      <c r="CA223" s="224"/>
      <c r="CB223" s="224"/>
      <c r="CC223" s="225">
        <f t="shared" ref="CC223:CC272" si="697">ROUND(IF(BV223+BW223&gt;BX223+BY223+BZ223+CA223+CB223,(BW223+BV223)-(BX223+BY223+BZ223+CA223+CB223+CB223),0),0)</f>
        <v>0</v>
      </c>
      <c r="CD223" s="224">
        <f t="shared" ref="CD223:CD272" si="698">ROUND(IF(BV223+BW223&lt;BX223+BY223+BZ223+CA223-CB223,(BX223+BY223+BZ223+CA223-CB223)-(BW223+BV223),0),0)</f>
        <v>0</v>
      </c>
      <c r="CE223" s="224"/>
      <c r="CF223" s="226"/>
      <c r="CG223" s="87"/>
      <c r="CH223" s="87">
        <f t="shared" si="666"/>
        <v>28</v>
      </c>
      <c r="CI223" s="227" t="str">
        <f t="shared" ref="CI223:CI232" si="699">F223</f>
        <v>Lê Vũ</v>
      </c>
      <c r="CJ223" s="227" t="str">
        <f t="shared" si="670"/>
        <v>Quân</v>
      </c>
      <c r="CK223" s="87">
        <f>H223</f>
        <v>4</v>
      </c>
      <c r="CL223" s="227" t="str">
        <f t="shared" si="696"/>
        <v>Máy nông nghiệp</v>
      </c>
      <c r="CM223" s="87" t="str">
        <f t="shared" si="691"/>
        <v>CS2</v>
      </c>
      <c r="CN223" s="87">
        <f t="shared" si="668"/>
        <v>270</v>
      </c>
      <c r="CO223" s="87">
        <f t="shared" si="672"/>
        <v>150</v>
      </c>
      <c r="CP223" s="229">
        <f t="shared" si="634"/>
        <v>0</v>
      </c>
      <c r="CQ223" s="229">
        <f t="shared" si="635"/>
        <v>0</v>
      </c>
      <c r="CR223" s="229">
        <f t="shared" si="636"/>
        <v>0</v>
      </c>
      <c r="CS223" s="229">
        <f t="shared" si="637"/>
        <v>0</v>
      </c>
      <c r="CT223" s="229">
        <f t="shared" si="638"/>
        <v>0</v>
      </c>
      <c r="CU223" s="229">
        <f t="shared" si="639"/>
        <v>0</v>
      </c>
      <c r="CV223" s="229">
        <f t="shared" si="640"/>
        <v>0</v>
      </c>
      <c r="CW223" s="229">
        <f t="shared" si="641"/>
        <v>0</v>
      </c>
      <c r="CX223" s="229">
        <f t="shared" si="642"/>
        <v>0</v>
      </c>
      <c r="CY223" s="229">
        <f t="shared" si="643"/>
        <v>0</v>
      </c>
      <c r="CZ223" s="229">
        <f t="shared" si="644"/>
        <v>0</v>
      </c>
      <c r="DA223" s="229">
        <f t="shared" si="645"/>
        <v>0</v>
      </c>
      <c r="DB223" s="228">
        <f t="shared" si="606"/>
        <v>0</v>
      </c>
      <c r="DC223" s="229"/>
      <c r="DD223" s="229"/>
      <c r="DE223" s="229"/>
      <c r="DF223" s="229"/>
      <c r="DG223" s="229"/>
      <c r="DH223" s="229"/>
      <c r="DI223" s="229"/>
      <c r="DJ223" s="229"/>
      <c r="DK223" s="229"/>
      <c r="DL223" s="229"/>
      <c r="DM223" s="229"/>
      <c r="DN223" s="229"/>
      <c r="DO223" s="228">
        <f t="shared" si="622"/>
        <v>0</v>
      </c>
      <c r="DP223" s="228">
        <f t="shared" si="623"/>
        <v>0</v>
      </c>
      <c r="DQ223" s="229">
        <f t="shared" si="646"/>
        <v>0</v>
      </c>
      <c r="DR223" s="229">
        <f t="shared" si="647"/>
        <v>0</v>
      </c>
      <c r="DS223" s="229">
        <f t="shared" si="648"/>
        <v>0</v>
      </c>
      <c r="DT223" s="229">
        <f t="shared" si="649"/>
        <v>0</v>
      </c>
      <c r="DU223" s="229">
        <f t="shared" si="650"/>
        <v>0</v>
      </c>
      <c r="DV223" s="229">
        <f t="shared" si="651"/>
        <v>0</v>
      </c>
      <c r="DW223" s="229">
        <f t="shared" si="652"/>
        <v>0</v>
      </c>
      <c r="DX223" s="228">
        <f t="shared" si="607"/>
        <v>0</v>
      </c>
      <c r="DY223" s="229"/>
      <c r="DZ223" s="229"/>
      <c r="EA223" s="229"/>
      <c r="EB223" s="229"/>
      <c r="EC223" s="229"/>
      <c r="ED223" s="229"/>
      <c r="EE223" s="229"/>
      <c r="EF223" s="228">
        <f t="shared" si="631"/>
        <v>0</v>
      </c>
      <c r="EG223" s="228">
        <f t="shared" si="624"/>
        <v>0</v>
      </c>
      <c r="EH223" s="229">
        <f t="shared" si="632"/>
        <v>99.47</v>
      </c>
      <c r="EI223" s="229">
        <v>155.66</v>
      </c>
      <c r="EJ223" s="228">
        <f t="shared" si="602"/>
        <v>255.13</v>
      </c>
      <c r="EK223" s="229"/>
      <c r="EL223" s="229"/>
      <c r="EM223" s="228">
        <f t="shared" si="658"/>
        <v>0</v>
      </c>
      <c r="EN223" s="229">
        <f t="shared" si="576"/>
        <v>99.47</v>
      </c>
      <c r="EO223" s="229">
        <f t="shared" si="577"/>
        <v>155.66</v>
      </c>
      <c r="EP223" s="228">
        <f t="shared" ref="EP223:EP239" si="700">EM223+EJ223</f>
        <v>255.13</v>
      </c>
      <c r="EQ223" s="173">
        <f t="shared" si="633"/>
        <v>61.97</v>
      </c>
      <c r="ER223" s="189">
        <v>0</v>
      </c>
      <c r="ES223" s="189">
        <v>0</v>
      </c>
      <c r="ET223" s="189">
        <v>0</v>
      </c>
      <c r="EU223" s="189">
        <v>0</v>
      </c>
      <c r="EV223" s="189">
        <v>0</v>
      </c>
      <c r="EW223" s="189">
        <v>0</v>
      </c>
      <c r="EX223" s="189">
        <v>0</v>
      </c>
      <c r="EY223" s="189">
        <v>0</v>
      </c>
      <c r="EZ223" s="189">
        <v>0</v>
      </c>
      <c r="FA223" s="189">
        <v>0</v>
      </c>
      <c r="FB223" s="189">
        <v>0</v>
      </c>
      <c r="FC223" s="189">
        <v>0</v>
      </c>
      <c r="FD223" s="189">
        <v>0</v>
      </c>
      <c r="FE223" s="189">
        <v>0</v>
      </c>
      <c r="FF223" s="189">
        <v>0</v>
      </c>
      <c r="FG223" s="189">
        <v>0</v>
      </c>
      <c r="FH223" s="189">
        <v>0</v>
      </c>
      <c r="FI223" s="189">
        <v>0</v>
      </c>
      <c r="FJ223" s="189">
        <v>0</v>
      </c>
      <c r="FK223" s="189">
        <v>0</v>
      </c>
      <c r="FL223" s="189">
        <v>0</v>
      </c>
      <c r="FN223" s="132">
        <v>99.47</v>
      </c>
    </row>
    <row r="224" spans="1:170" ht="30" customHeight="1">
      <c r="A224" s="88">
        <f>COUNTIF($H$12:H224,H224)</f>
        <v>29</v>
      </c>
      <c r="B224" s="88" t="s">
        <v>2922</v>
      </c>
      <c r="C224" s="88" t="s">
        <v>1071</v>
      </c>
      <c r="D224" s="88"/>
      <c r="E224" s="88"/>
      <c r="F224" s="301" t="s">
        <v>1877</v>
      </c>
      <c r="G224" s="89" t="s">
        <v>2185</v>
      </c>
      <c r="H224" s="88">
        <v>4</v>
      </c>
      <c r="I224" s="88">
        <v>4</v>
      </c>
      <c r="J224" s="88">
        <v>4</v>
      </c>
      <c r="K224" s="90" t="s">
        <v>1078</v>
      </c>
      <c r="L224" s="90" t="s">
        <v>1078</v>
      </c>
      <c r="M224" s="214"/>
      <c r="N224" s="88" t="s">
        <v>605</v>
      </c>
      <c r="O224" s="216">
        <f t="shared" si="694"/>
        <v>6.56</v>
      </c>
      <c r="P224" s="88" t="str">
        <f t="shared" si="663"/>
        <v>B1_7</v>
      </c>
      <c r="Q224" s="88">
        <f t="shared" si="527"/>
        <v>270</v>
      </c>
      <c r="R224" s="88">
        <f t="shared" si="528"/>
        <v>200</v>
      </c>
      <c r="S224" s="233" t="s">
        <v>3176</v>
      </c>
      <c r="T224" s="88" t="s">
        <v>3088</v>
      </c>
      <c r="U224" s="88">
        <f>IF(RIGHT(T224,1)="K",(VLOOKUP(T224,ma_miengiam!$A$3:$B$80,2,0)*100)/2,VLOOKUP(T224,ma_miengiam!$A$3:$B$80,2,0)*100)</f>
        <v>0</v>
      </c>
      <c r="V224" s="88">
        <v>8</v>
      </c>
      <c r="W224" s="220">
        <f>IF(AND(T224="NTS",V224&gt;0),(Q224-(Q224*V224)/12)*VLOOKUP(T224,ma_miengiam!$A$3:$B$80,2,0)+(Q224-(Q224*(12-V224))/12),IF(AND(RIGHT(T224,1)="K",V224&gt;0),(VLOOKUP(T224,ma_miengiam!$A$3:$B$80,2,0)/2)*(Q224*V224)/12,IF(RIGHT(T224,1)="K",(VLOOKUP(T224,ma_miengiam!$A$3:$B$80,2,0)*Q224)/2,IF(V224&gt;0,VLOOKUP(T224,ma_miengiam!$A$3:$B$80,2,0)*Q224*V224/12,VLOOKUP(T224,ma_miengiam!$A$3:$B$80,2,0)*Q224))))</f>
        <v>0</v>
      </c>
      <c r="X224" s="220">
        <f>IF(T224="NTS",VLOOKUP(T224,ma_miengiam!$A$3:$B$80,2,0)*R224*V224,IF(AND(T224="NTS",V224=0),0,IF(AND(LEFT(T224,1)="K",V224=0),VLOOKUP(T224,ma_miengiam!$A$3:$B$80,2,0)*R224,IF(LEFT(T224,1)="K",(VLOOKUP(T224,ma_miengiam!$A$3:$B$80,2,0)*R224/12)*V224,IF(AND(LEFT(T224,1)="S",V224&gt;0),(R224/12)*V224,IF(AND(LEFT(T224,1)="S",V224=0),R224,IF(T224="DH",VLOOKUP(T224,ma_miengiam!$A$3:$B$80,2,0)*R224,0)))))))</f>
        <v>0</v>
      </c>
      <c r="Y224" s="220">
        <f t="shared" si="597"/>
        <v>180</v>
      </c>
      <c r="Z224" s="220">
        <f t="shared" si="695"/>
        <v>133.33333333333334</v>
      </c>
      <c r="AA224" s="220">
        <f t="shared" ref="AA224:AB227" si="701">Q224</f>
        <v>270</v>
      </c>
      <c r="AB224" s="220">
        <f t="shared" si="701"/>
        <v>200</v>
      </c>
      <c r="AC224" s="220">
        <f t="shared" ref="AC224:AF225" si="702">W224</f>
        <v>0</v>
      </c>
      <c r="AD224" s="220">
        <f t="shared" si="702"/>
        <v>0</v>
      </c>
      <c r="AE224" s="220">
        <f t="shared" si="702"/>
        <v>180</v>
      </c>
      <c r="AF224" s="220">
        <f t="shared" si="702"/>
        <v>133.33333333333334</v>
      </c>
      <c r="AG224" s="220">
        <f t="shared" si="655"/>
        <v>25</v>
      </c>
      <c r="AH224" s="220">
        <f t="shared" si="656"/>
        <v>0</v>
      </c>
      <c r="AI224" s="220">
        <f t="shared" si="657"/>
        <v>25</v>
      </c>
      <c r="AJ224" s="220">
        <f t="shared" si="677"/>
        <v>-108.33333333333334</v>
      </c>
      <c r="AK224" s="216">
        <f t="shared" si="604"/>
        <v>288.33333333333337</v>
      </c>
      <c r="AL224" s="220">
        <f t="shared" si="611"/>
        <v>110.5</v>
      </c>
      <c r="AM224" s="220">
        <f t="shared" si="612"/>
        <v>0</v>
      </c>
      <c r="AN224" s="221">
        <f t="shared" si="613"/>
        <v>110.5</v>
      </c>
      <c r="AO224" s="220">
        <f t="shared" si="614"/>
        <v>0</v>
      </c>
      <c r="AP224" s="220">
        <f t="shared" si="615"/>
        <v>0</v>
      </c>
      <c r="AQ224" s="220">
        <f t="shared" si="616"/>
        <v>40</v>
      </c>
      <c r="AR224" s="220">
        <f t="shared" si="617"/>
        <v>0</v>
      </c>
      <c r="AS224" s="220">
        <f t="shared" si="618"/>
        <v>0</v>
      </c>
      <c r="AT224" s="216">
        <f t="shared" si="619"/>
        <v>150.5</v>
      </c>
      <c r="AU224" s="222">
        <f t="shared" si="574"/>
        <v>-177.83333333333337</v>
      </c>
      <c r="AV224" s="220"/>
      <c r="AW224" s="220">
        <f t="shared" si="680"/>
        <v>-177.83333333333337</v>
      </c>
      <c r="AX224" s="216">
        <f t="shared" si="620"/>
        <v>-177.83333333333337</v>
      </c>
      <c r="AY224" s="220">
        <f t="shared" si="681"/>
        <v>0</v>
      </c>
      <c r="AZ224" s="220">
        <f t="shared" si="682"/>
        <v>0</v>
      </c>
      <c r="BA224" s="220">
        <f t="shared" si="683"/>
        <v>0</v>
      </c>
      <c r="BB224" s="220">
        <f t="shared" si="684"/>
        <v>0</v>
      </c>
      <c r="BC224" s="220">
        <f t="shared" si="685"/>
        <v>0</v>
      </c>
      <c r="BD224" s="216">
        <f t="shared" si="575"/>
        <v>0</v>
      </c>
      <c r="BE224" s="220">
        <f t="shared" si="686"/>
        <v>0</v>
      </c>
      <c r="BF224" s="220">
        <f t="shared" si="687"/>
        <v>0</v>
      </c>
      <c r="BG224" s="220">
        <f t="shared" si="688"/>
        <v>-40</v>
      </c>
      <c r="BH224" s="220">
        <f t="shared" si="689"/>
        <v>0</v>
      </c>
      <c r="BI224" s="220">
        <f t="shared" si="690"/>
        <v>0</v>
      </c>
      <c r="BJ224" s="220" t="s">
        <v>2412</v>
      </c>
      <c r="BK224" s="220"/>
      <c r="BL224" s="223">
        <f t="shared" si="582"/>
        <v>0</v>
      </c>
      <c r="BM224" s="220">
        <v>6.56</v>
      </c>
      <c r="BN224" s="220"/>
      <c r="BO224" s="220">
        <f t="shared" si="662"/>
        <v>6.56</v>
      </c>
      <c r="BP224" s="220">
        <f>IF(AND(BL224&gt;0,BL224&lt;tiet!$D$1),BL224,IF(BL224&lt;=0,0,IF(BL224&gt;tiet!$C$1,tiet!$C$1)))</f>
        <v>0</v>
      </c>
      <c r="BQ224" s="87">
        <f t="shared" si="674"/>
        <v>80000</v>
      </c>
      <c r="BR224" s="224">
        <f t="shared" si="675"/>
        <v>0</v>
      </c>
      <c r="BS224" s="220">
        <f t="shared" si="630"/>
        <v>0</v>
      </c>
      <c r="BT224" s="224">
        <f>VLOOKUP(N224,ma_dinhmuc!$A$1:$J$31,10,0)</f>
        <v>65000</v>
      </c>
      <c r="BU224" s="224">
        <f>ROUND(IF(BS224&gt;0,VLOOKUP(N224,ma_dinhmuc!$A$1:$J$31,10,0)*BS224,0),0)</f>
        <v>0</v>
      </c>
      <c r="BV224" s="224">
        <f t="shared" si="676"/>
        <v>0</v>
      </c>
      <c r="BW224" s="224"/>
      <c r="BX224" s="224">
        <v>1644281</v>
      </c>
      <c r="BY224" s="224"/>
      <c r="BZ224" s="224"/>
      <c r="CA224" s="224"/>
      <c r="CB224" s="224"/>
      <c r="CC224" s="225">
        <f t="shared" si="697"/>
        <v>0</v>
      </c>
      <c r="CD224" s="224">
        <f t="shared" si="698"/>
        <v>1644281</v>
      </c>
      <c r="CE224" s="224"/>
      <c r="CF224" s="226"/>
      <c r="CG224" s="87"/>
      <c r="CH224" s="87">
        <f t="shared" si="666"/>
        <v>29</v>
      </c>
      <c r="CI224" s="227" t="str">
        <f t="shared" si="699"/>
        <v>Nguyễn Ngọc</v>
      </c>
      <c r="CJ224" s="227" t="str">
        <f t="shared" si="670"/>
        <v>Quế</v>
      </c>
      <c r="CK224" s="87">
        <f>H224</f>
        <v>4</v>
      </c>
      <c r="CL224" s="227" t="str">
        <f t="shared" si="696"/>
        <v>Động lực</v>
      </c>
      <c r="CM224" s="87" t="str">
        <f t="shared" si="691"/>
        <v>CS4</v>
      </c>
      <c r="CN224" s="87">
        <f t="shared" si="668"/>
        <v>270</v>
      </c>
      <c r="CO224" s="87">
        <f t="shared" si="672"/>
        <v>200</v>
      </c>
      <c r="CP224" s="229">
        <f t="shared" si="634"/>
        <v>0</v>
      </c>
      <c r="CQ224" s="229">
        <f t="shared" si="635"/>
        <v>5.3</v>
      </c>
      <c r="CR224" s="229">
        <f t="shared" si="636"/>
        <v>2.2000000000000002</v>
      </c>
      <c r="CS224" s="229">
        <f t="shared" si="637"/>
        <v>28</v>
      </c>
      <c r="CT224" s="229">
        <f t="shared" si="638"/>
        <v>0</v>
      </c>
      <c r="CU224" s="229">
        <f t="shared" si="639"/>
        <v>60</v>
      </c>
      <c r="CV224" s="229">
        <f t="shared" si="640"/>
        <v>0</v>
      </c>
      <c r="CW224" s="229">
        <f t="shared" si="641"/>
        <v>15</v>
      </c>
      <c r="CX224" s="229">
        <f t="shared" si="642"/>
        <v>0</v>
      </c>
      <c r="CY224" s="229">
        <f t="shared" si="643"/>
        <v>0</v>
      </c>
      <c r="CZ224" s="229">
        <f t="shared" si="644"/>
        <v>0</v>
      </c>
      <c r="DA224" s="229">
        <f t="shared" si="645"/>
        <v>40</v>
      </c>
      <c r="DB224" s="228">
        <f t="shared" si="606"/>
        <v>150.5</v>
      </c>
      <c r="DC224" s="229"/>
      <c r="DD224" s="229"/>
      <c r="DE224" s="229"/>
      <c r="DF224" s="229"/>
      <c r="DG224" s="229"/>
      <c r="DH224" s="229"/>
      <c r="DI224" s="229"/>
      <c r="DJ224" s="229"/>
      <c r="DK224" s="229"/>
      <c r="DL224" s="229"/>
      <c r="DM224" s="229"/>
      <c r="DN224" s="229"/>
      <c r="DO224" s="228">
        <f t="shared" si="622"/>
        <v>0</v>
      </c>
      <c r="DP224" s="228">
        <f t="shared" si="623"/>
        <v>150.5</v>
      </c>
      <c r="DQ224" s="229">
        <f t="shared" si="646"/>
        <v>0</v>
      </c>
      <c r="DR224" s="229">
        <f t="shared" si="647"/>
        <v>0</v>
      </c>
      <c r="DS224" s="229">
        <f t="shared" si="648"/>
        <v>0</v>
      </c>
      <c r="DT224" s="229">
        <f t="shared" si="649"/>
        <v>0</v>
      </c>
      <c r="DU224" s="229">
        <f t="shared" si="650"/>
        <v>0</v>
      </c>
      <c r="DV224" s="229">
        <f t="shared" si="651"/>
        <v>0</v>
      </c>
      <c r="DW224" s="229">
        <f t="shared" si="652"/>
        <v>0</v>
      </c>
      <c r="DX224" s="228">
        <f t="shared" si="607"/>
        <v>0</v>
      </c>
      <c r="DY224" s="229"/>
      <c r="DZ224" s="229"/>
      <c r="EA224" s="229"/>
      <c r="EB224" s="229"/>
      <c r="EC224" s="229"/>
      <c r="ED224" s="229"/>
      <c r="EE224" s="229"/>
      <c r="EF224" s="228">
        <f t="shared" si="631"/>
        <v>0</v>
      </c>
      <c r="EG224" s="228">
        <f t="shared" si="624"/>
        <v>0</v>
      </c>
      <c r="EH224" s="229">
        <f t="shared" si="632"/>
        <v>25</v>
      </c>
      <c r="EI224" s="229">
        <v>0</v>
      </c>
      <c r="EJ224" s="228">
        <f t="shared" si="602"/>
        <v>25</v>
      </c>
      <c r="EK224" s="229"/>
      <c r="EL224" s="229"/>
      <c r="EM224" s="228">
        <f t="shared" si="658"/>
        <v>0</v>
      </c>
      <c r="EN224" s="229">
        <f t="shared" si="576"/>
        <v>25</v>
      </c>
      <c r="EO224" s="229">
        <f t="shared" si="577"/>
        <v>0</v>
      </c>
      <c r="EP224" s="228">
        <f t="shared" si="700"/>
        <v>25</v>
      </c>
      <c r="EQ224" s="173">
        <f t="shared" si="633"/>
        <v>0</v>
      </c>
      <c r="ER224" s="189">
        <v>0</v>
      </c>
      <c r="ES224" s="189">
        <v>5.3</v>
      </c>
      <c r="ET224" s="189">
        <v>2.2000000000000002</v>
      </c>
      <c r="EU224" s="189">
        <v>28</v>
      </c>
      <c r="EV224" s="189">
        <v>0</v>
      </c>
      <c r="EW224" s="189">
        <v>60</v>
      </c>
      <c r="EX224" s="189">
        <v>0</v>
      </c>
      <c r="EY224" s="189">
        <v>15</v>
      </c>
      <c r="EZ224" s="189">
        <v>0</v>
      </c>
      <c r="FA224" s="189">
        <v>0</v>
      </c>
      <c r="FB224" s="189">
        <v>0</v>
      </c>
      <c r="FC224" s="189">
        <v>40</v>
      </c>
      <c r="FD224" s="189">
        <v>0</v>
      </c>
      <c r="FE224" s="189">
        <v>0</v>
      </c>
      <c r="FF224" s="189">
        <v>0</v>
      </c>
      <c r="FG224" s="189">
        <v>0</v>
      </c>
      <c r="FH224" s="189">
        <v>0</v>
      </c>
      <c r="FI224" s="189">
        <v>0</v>
      </c>
      <c r="FJ224" s="189">
        <v>0</v>
      </c>
      <c r="FK224" s="189">
        <v>150.5</v>
      </c>
      <c r="FL224" s="189">
        <v>147</v>
      </c>
      <c r="FN224" s="132">
        <v>25</v>
      </c>
    </row>
    <row r="225" spans="1:170" ht="30" customHeight="1">
      <c r="A225" s="88">
        <f>COUNTIF($H$12:H225,H225)</f>
        <v>30</v>
      </c>
      <c r="B225" s="88" t="s">
        <v>2923</v>
      </c>
      <c r="C225" s="88" t="s">
        <v>1072</v>
      </c>
      <c r="D225" s="88"/>
      <c r="E225" s="88"/>
      <c r="F225" s="301" t="s">
        <v>2186</v>
      </c>
      <c r="G225" s="89" t="s">
        <v>2187</v>
      </c>
      <c r="H225" s="88">
        <v>4</v>
      </c>
      <c r="I225" s="88">
        <v>4</v>
      </c>
      <c r="J225" s="88">
        <v>4</v>
      </c>
      <c r="K225" s="90" t="s">
        <v>1078</v>
      </c>
      <c r="L225" s="90" t="s">
        <v>1078</v>
      </c>
      <c r="M225" s="214"/>
      <c r="N225" s="88" t="s">
        <v>605</v>
      </c>
      <c r="O225" s="216">
        <f t="shared" si="694"/>
        <v>7.28</v>
      </c>
      <c r="P225" s="88" t="str">
        <f t="shared" si="663"/>
        <v>B1_8</v>
      </c>
      <c r="Q225" s="88">
        <f t="shared" si="527"/>
        <v>270</v>
      </c>
      <c r="R225" s="88">
        <f t="shared" si="528"/>
        <v>280</v>
      </c>
      <c r="S225" s="234"/>
      <c r="T225" s="88" t="s">
        <v>3088</v>
      </c>
      <c r="U225" s="88">
        <f>IF(RIGHT(T225,1)="K",(VLOOKUP(T225,ma_miengiam!$A$3:$B$80,2,0)*100)/2,VLOOKUP(T225,ma_miengiam!$A$3:$B$80,2,0)*100)</f>
        <v>0</v>
      </c>
      <c r="V225" s="88"/>
      <c r="W225" s="220">
        <f>IF(AND(T225="NTS",V225&gt;0),(Q225-(Q225*V225)/12)*VLOOKUP(T225,ma_miengiam!$A$3:$B$80,2,0)+(Q225-(Q225*(12-V225))/12),IF(AND(RIGHT(T225,1)="K",V225&gt;0),(VLOOKUP(T225,ma_miengiam!$A$3:$B$80,2,0)/2)*(Q225*V225)/12,IF(RIGHT(T225,1)="K",(VLOOKUP(T225,ma_miengiam!$A$3:$B$80,2,0)*Q225)/2,IF(V225&gt;0,VLOOKUP(T225,ma_miengiam!$A$3:$B$80,2,0)*Q225*V225/12,VLOOKUP(T225,ma_miengiam!$A$3:$B$80,2,0)*Q225))))</f>
        <v>0</v>
      </c>
      <c r="X225" s="220">
        <f>IF(T225="NTS",VLOOKUP(T225,ma_miengiam!$A$3:$B$80,2,0)*R225*V225,IF(AND(T225="NTS",V225=0),0,IF(AND(LEFT(T225,1)="K",V225=0),VLOOKUP(T225,ma_miengiam!$A$3:$B$80,2,0)*R225,IF(LEFT(T225,1)="K",(VLOOKUP(T225,ma_miengiam!$A$3:$B$80,2,0)*R225/12)*V225,IF(AND(LEFT(T225,1)="S",V225&gt;0),(R225/12)*V225,IF(AND(LEFT(T225,1)="S",V225=0),R225,IF(T225="DH",VLOOKUP(T225,ma_miengiam!$A$3:$B$80,2,0)*R225,0)))))))</f>
        <v>0</v>
      </c>
      <c r="Y225" s="220">
        <f t="shared" ref="Y225:Y256" si="703">IF(AND(T225="DH",V225&gt;0),(S225*V225/12),IF(AND(T225&lt;&gt;"NTS",V225&gt;0),(Q225*V225/12)-W225,IF(AND(T225="NTS",V225&gt;0),Q225-W225,Q225-W225)))</f>
        <v>270</v>
      </c>
      <c r="Z225" s="220">
        <f t="shared" si="695"/>
        <v>280</v>
      </c>
      <c r="AA225" s="220">
        <f t="shared" si="701"/>
        <v>270</v>
      </c>
      <c r="AB225" s="220">
        <f t="shared" si="701"/>
        <v>280</v>
      </c>
      <c r="AC225" s="220">
        <f t="shared" si="702"/>
        <v>0</v>
      </c>
      <c r="AD225" s="220">
        <f t="shared" si="702"/>
        <v>0</v>
      </c>
      <c r="AE225" s="220">
        <f t="shared" si="702"/>
        <v>270</v>
      </c>
      <c r="AF225" s="220">
        <f t="shared" si="702"/>
        <v>280</v>
      </c>
      <c r="AG225" s="220">
        <f t="shared" si="655"/>
        <v>64.16</v>
      </c>
      <c r="AH225" s="220">
        <f t="shared" si="656"/>
        <v>64.16</v>
      </c>
      <c r="AI225" s="220">
        <f t="shared" si="657"/>
        <v>0</v>
      </c>
      <c r="AJ225" s="220">
        <f t="shared" si="677"/>
        <v>-215.84</v>
      </c>
      <c r="AK225" s="216">
        <f t="shared" si="604"/>
        <v>485.84000000000003</v>
      </c>
      <c r="AL225" s="220">
        <f t="shared" si="611"/>
        <v>157.19999999999999</v>
      </c>
      <c r="AM225" s="220">
        <f t="shared" si="612"/>
        <v>0</v>
      </c>
      <c r="AN225" s="221">
        <f t="shared" si="613"/>
        <v>157.19999999999999</v>
      </c>
      <c r="AO225" s="220">
        <f t="shared" si="614"/>
        <v>0</v>
      </c>
      <c r="AP225" s="220">
        <f t="shared" si="615"/>
        <v>0</v>
      </c>
      <c r="AQ225" s="220">
        <f t="shared" si="616"/>
        <v>0</v>
      </c>
      <c r="AR225" s="220">
        <f t="shared" si="617"/>
        <v>0</v>
      </c>
      <c r="AS225" s="220">
        <f t="shared" si="618"/>
        <v>10</v>
      </c>
      <c r="AT225" s="216">
        <f t="shared" si="619"/>
        <v>167.2</v>
      </c>
      <c r="AU225" s="222">
        <f t="shared" si="574"/>
        <v>-328.64000000000004</v>
      </c>
      <c r="AV225" s="220"/>
      <c r="AW225" s="220">
        <f t="shared" si="680"/>
        <v>-328.64000000000004</v>
      </c>
      <c r="AX225" s="216">
        <f t="shared" si="620"/>
        <v>-328.64000000000004</v>
      </c>
      <c r="AY225" s="220">
        <f t="shared" si="681"/>
        <v>0</v>
      </c>
      <c r="AZ225" s="220">
        <f t="shared" si="682"/>
        <v>0</v>
      </c>
      <c r="BA225" s="220">
        <f t="shared" si="683"/>
        <v>0</v>
      </c>
      <c r="BB225" s="220">
        <f t="shared" si="684"/>
        <v>0</v>
      </c>
      <c r="BC225" s="220">
        <f t="shared" si="685"/>
        <v>0</v>
      </c>
      <c r="BD225" s="216">
        <f t="shared" si="575"/>
        <v>0</v>
      </c>
      <c r="BE225" s="220">
        <f t="shared" si="686"/>
        <v>0</v>
      </c>
      <c r="BF225" s="220">
        <f t="shared" si="687"/>
        <v>0</v>
      </c>
      <c r="BG225" s="220">
        <f t="shared" si="688"/>
        <v>0</v>
      </c>
      <c r="BH225" s="220">
        <f t="shared" si="689"/>
        <v>0</v>
      </c>
      <c r="BI225" s="220">
        <f t="shared" si="690"/>
        <v>-10</v>
      </c>
      <c r="BJ225" s="220" t="s">
        <v>2412</v>
      </c>
      <c r="BK225" s="220"/>
      <c r="BL225" s="223">
        <f t="shared" si="582"/>
        <v>0</v>
      </c>
      <c r="BM225" s="220">
        <v>7.28</v>
      </c>
      <c r="BN225" s="220"/>
      <c r="BO225" s="220">
        <f t="shared" ref="BO225:BO247" si="704">ROUND(BM225+(BM225*BN225),2)</f>
        <v>7.28</v>
      </c>
      <c r="BP225" s="220">
        <f>IF(AND(BL225&gt;0,BL225&lt;tiet!$D$1),BL225,IF(BL225&lt;=0,0,IF(BL225&gt;tiet!$C$1,tiet!$C$1)))</f>
        <v>0</v>
      </c>
      <c r="BQ225" s="87">
        <f t="shared" si="674"/>
        <v>85000</v>
      </c>
      <c r="BR225" s="224">
        <f t="shared" si="675"/>
        <v>0</v>
      </c>
      <c r="BS225" s="220">
        <f t="shared" si="630"/>
        <v>0</v>
      </c>
      <c r="BT225" s="224">
        <f>VLOOKUP(N225,ma_dinhmuc!$A$1:$J$31,10,0)</f>
        <v>65000</v>
      </c>
      <c r="BU225" s="224">
        <f>ROUND(IF(BS225&gt;0,VLOOKUP(N225,ma_dinhmuc!$A$1:$J$31,10,0)*BS225,0),0)</f>
        <v>0</v>
      </c>
      <c r="BV225" s="224">
        <f t="shared" si="676"/>
        <v>0</v>
      </c>
      <c r="BW225" s="224"/>
      <c r="BX225" s="224">
        <v>0</v>
      </c>
      <c r="BY225" s="224"/>
      <c r="BZ225" s="224"/>
      <c r="CA225" s="224"/>
      <c r="CB225" s="224"/>
      <c r="CC225" s="225">
        <f t="shared" si="697"/>
        <v>0</v>
      </c>
      <c r="CD225" s="224">
        <f t="shared" si="698"/>
        <v>0</v>
      </c>
      <c r="CE225" s="224"/>
      <c r="CF225" s="226"/>
      <c r="CG225" s="87"/>
      <c r="CH225" s="87">
        <f t="shared" ref="CH225:CH248" si="705">A225</f>
        <v>30</v>
      </c>
      <c r="CI225" s="227" t="str">
        <f t="shared" si="699"/>
        <v>Đặng Tiến</v>
      </c>
      <c r="CJ225" s="227" t="str">
        <f t="shared" si="670"/>
        <v>Hoà</v>
      </c>
      <c r="CK225" s="87">
        <f>H225</f>
        <v>4</v>
      </c>
      <c r="CL225" s="227" t="str">
        <f t="shared" si="696"/>
        <v>Động lực</v>
      </c>
      <c r="CM225" s="87" t="str">
        <f t="shared" si="691"/>
        <v>CS4</v>
      </c>
      <c r="CN225" s="87">
        <f t="shared" ref="CN225:CO227" si="706">Q225</f>
        <v>270</v>
      </c>
      <c r="CO225" s="87">
        <f t="shared" si="706"/>
        <v>280</v>
      </c>
      <c r="CP225" s="229">
        <f t="shared" si="634"/>
        <v>0</v>
      </c>
      <c r="CQ225" s="229">
        <f t="shared" si="635"/>
        <v>6.5</v>
      </c>
      <c r="CR225" s="229">
        <f t="shared" si="636"/>
        <v>2.7</v>
      </c>
      <c r="CS225" s="229">
        <f t="shared" si="637"/>
        <v>28</v>
      </c>
      <c r="CT225" s="229">
        <f t="shared" si="638"/>
        <v>0</v>
      </c>
      <c r="CU225" s="229">
        <f t="shared" si="639"/>
        <v>112</v>
      </c>
      <c r="CV225" s="229">
        <f t="shared" si="640"/>
        <v>0</v>
      </c>
      <c r="CW225" s="229">
        <f t="shared" si="641"/>
        <v>8</v>
      </c>
      <c r="CX225" s="229">
        <f t="shared" si="642"/>
        <v>0</v>
      </c>
      <c r="CY225" s="229">
        <f t="shared" si="643"/>
        <v>0</v>
      </c>
      <c r="CZ225" s="229">
        <f t="shared" si="644"/>
        <v>0</v>
      </c>
      <c r="DA225" s="229">
        <f t="shared" si="645"/>
        <v>0</v>
      </c>
      <c r="DB225" s="228">
        <f t="shared" si="606"/>
        <v>157.19999999999999</v>
      </c>
      <c r="DC225" s="229"/>
      <c r="DD225" s="229"/>
      <c r="DE225" s="229"/>
      <c r="DF225" s="229"/>
      <c r="DG225" s="229"/>
      <c r="DH225" s="229"/>
      <c r="DI225" s="229"/>
      <c r="DJ225" s="229"/>
      <c r="DK225" s="229"/>
      <c r="DL225" s="229"/>
      <c r="DM225" s="229"/>
      <c r="DN225" s="229"/>
      <c r="DO225" s="228">
        <f t="shared" si="622"/>
        <v>0</v>
      </c>
      <c r="DP225" s="228">
        <f t="shared" si="623"/>
        <v>157.19999999999999</v>
      </c>
      <c r="DQ225" s="229">
        <f t="shared" si="646"/>
        <v>0</v>
      </c>
      <c r="DR225" s="229">
        <f t="shared" si="647"/>
        <v>0</v>
      </c>
      <c r="DS225" s="229">
        <f t="shared" si="648"/>
        <v>0</v>
      </c>
      <c r="DT225" s="229">
        <f t="shared" si="649"/>
        <v>0</v>
      </c>
      <c r="DU225" s="229">
        <f t="shared" si="650"/>
        <v>0</v>
      </c>
      <c r="DV225" s="229">
        <f t="shared" si="651"/>
        <v>0</v>
      </c>
      <c r="DW225" s="229">
        <f t="shared" si="652"/>
        <v>10</v>
      </c>
      <c r="DX225" s="228">
        <f t="shared" si="607"/>
        <v>10</v>
      </c>
      <c r="DY225" s="229"/>
      <c r="DZ225" s="229"/>
      <c r="EA225" s="229"/>
      <c r="EB225" s="229"/>
      <c r="EC225" s="229"/>
      <c r="ED225" s="229"/>
      <c r="EE225" s="229"/>
      <c r="EF225" s="228">
        <f t="shared" si="631"/>
        <v>0</v>
      </c>
      <c r="EG225" s="228">
        <f t="shared" si="624"/>
        <v>10</v>
      </c>
      <c r="EH225" s="229">
        <f t="shared" si="632"/>
        <v>0</v>
      </c>
      <c r="EI225" s="229">
        <v>64.16</v>
      </c>
      <c r="EJ225" s="228">
        <f t="shared" si="602"/>
        <v>64.16</v>
      </c>
      <c r="EK225" s="229"/>
      <c r="EL225" s="229"/>
      <c r="EM225" s="228">
        <f t="shared" si="658"/>
        <v>0</v>
      </c>
      <c r="EN225" s="229">
        <f t="shared" si="576"/>
        <v>0</v>
      </c>
      <c r="EO225" s="229">
        <f t="shared" si="577"/>
        <v>64.16</v>
      </c>
      <c r="EP225" s="228">
        <f t="shared" si="700"/>
        <v>64.16</v>
      </c>
      <c r="EQ225" s="173">
        <f t="shared" si="633"/>
        <v>0</v>
      </c>
      <c r="ER225" s="189">
        <v>0</v>
      </c>
      <c r="ES225" s="189">
        <v>6.5</v>
      </c>
      <c r="ET225" s="189">
        <v>2.7</v>
      </c>
      <c r="EU225" s="189">
        <v>28</v>
      </c>
      <c r="EV225" s="189">
        <v>0</v>
      </c>
      <c r="EW225" s="189">
        <v>112</v>
      </c>
      <c r="EX225" s="189">
        <v>0</v>
      </c>
      <c r="EY225" s="189">
        <v>8</v>
      </c>
      <c r="EZ225" s="189">
        <v>0</v>
      </c>
      <c r="FA225" s="189">
        <v>0</v>
      </c>
      <c r="FB225" s="189">
        <v>0</v>
      </c>
      <c r="FC225" s="189">
        <v>0</v>
      </c>
      <c r="FD225" s="189">
        <v>0</v>
      </c>
      <c r="FE225" s="189">
        <v>0</v>
      </c>
      <c r="FF225" s="189">
        <v>0</v>
      </c>
      <c r="FG225" s="189">
        <v>0</v>
      </c>
      <c r="FH225" s="189">
        <v>0</v>
      </c>
      <c r="FI225" s="189">
        <v>0</v>
      </c>
      <c r="FJ225" s="189">
        <v>10</v>
      </c>
      <c r="FK225" s="189">
        <v>167.2</v>
      </c>
      <c r="FL225" s="189">
        <v>149</v>
      </c>
      <c r="FN225" s="132">
        <v>0</v>
      </c>
    </row>
    <row r="226" spans="1:170" ht="30.75" customHeight="1">
      <c r="A226" s="88">
        <f>COUNTIF($H$12:H226,H226)</f>
        <v>31</v>
      </c>
      <c r="B226" s="88" t="s">
        <v>2924</v>
      </c>
      <c r="C226" s="88" t="s">
        <v>1073</v>
      </c>
      <c r="D226" s="88"/>
      <c r="E226" s="88"/>
      <c r="F226" s="301" t="s">
        <v>2188</v>
      </c>
      <c r="G226" s="89" t="s">
        <v>2901</v>
      </c>
      <c r="H226" s="88">
        <v>4</v>
      </c>
      <c r="I226" s="88">
        <v>4</v>
      </c>
      <c r="J226" s="88">
        <v>4</v>
      </c>
      <c r="K226" s="90" t="s">
        <v>1078</v>
      </c>
      <c r="L226" s="90" t="s">
        <v>1078</v>
      </c>
      <c r="M226" s="214"/>
      <c r="N226" s="88" t="s">
        <v>606</v>
      </c>
      <c r="O226" s="216">
        <f t="shared" si="694"/>
        <v>6.44</v>
      </c>
      <c r="P226" s="88" t="str">
        <f t="shared" si="663"/>
        <v>B1_7</v>
      </c>
      <c r="Q226" s="88">
        <f t="shared" si="527"/>
        <v>270</v>
      </c>
      <c r="R226" s="88">
        <f t="shared" si="528"/>
        <v>200</v>
      </c>
      <c r="S226" s="218"/>
      <c r="T226" s="88" t="s">
        <v>3088</v>
      </c>
      <c r="U226" s="88">
        <f>IF(RIGHT(T226,1)="K",(VLOOKUP(T226,ma_miengiam!$A$3:$B$80,2,0)*100)/2,VLOOKUP(T226,ma_miengiam!$A$3:$B$80,2,0)*100)</f>
        <v>0</v>
      </c>
      <c r="V226" s="88"/>
      <c r="W226" s="220">
        <f>IF(AND(T226="NTS",V226&gt;0),(Q226-(Q226*V226)/12)*VLOOKUP(T226,ma_miengiam!$A$3:$B$80,2,0)+(Q226-(Q226*(12-V226))/12),IF(AND(RIGHT(T226,1)="K",V226&gt;0),(VLOOKUP(T226,ma_miengiam!$A$3:$B$80,2,0)/2)*(Q226*V226)/12,IF(RIGHT(T226,1)="K",(VLOOKUP(T226,ma_miengiam!$A$3:$B$80,2,0)*Q226)/2,IF(V226&gt;0,VLOOKUP(T226,ma_miengiam!$A$3:$B$80,2,0)*Q226*V226/12,VLOOKUP(T226,ma_miengiam!$A$3:$B$80,2,0)*Q226))))</f>
        <v>0</v>
      </c>
      <c r="X226" s="220">
        <f>IF(T226="NTS",VLOOKUP(T226,ma_miengiam!$A$3:$B$80,2,0)*R226*V226,IF(AND(T226="NTS",V226=0),0,IF(AND(LEFT(T226,1)="K",V226=0),VLOOKUP(T226,ma_miengiam!$A$3:$B$80,2,0)*R226,IF(LEFT(T226,1)="K",(VLOOKUP(T226,ma_miengiam!$A$3:$B$80,2,0)*R226/12)*V226,IF(AND(LEFT(T226,1)="S",V226&gt;0),(R226/12)*V226,IF(AND(LEFT(T226,1)="S",V226=0),R226,IF(T226="DH",VLOOKUP(T226,ma_miengiam!$A$3:$B$80,2,0)*R226,0)))))))</f>
        <v>0</v>
      </c>
      <c r="Y226" s="220">
        <f t="shared" si="703"/>
        <v>270</v>
      </c>
      <c r="Z226" s="220">
        <f>IF(AND(T226="SĐH",V226&gt;0),(R226/12)*V226-X226,IF(AND(T226="DH",V226&gt;0),(R226*V226/12),IF(AND(T226&lt;&gt;"NTS",V226&gt;0),(R226*V226/12)-X226,IF(AND(T226="NTS",V226&gt;0),R226-X226,R226-X226))))</f>
        <v>200</v>
      </c>
      <c r="AA226" s="220">
        <f t="shared" si="701"/>
        <v>270</v>
      </c>
      <c r="AB226" s="220">
        <f t="shared" si="701"/>
        <v>200</v>
      </c>
      <c r="AC226" s="220">
        <f t="shared" ref="AC226:AF227" si="707">W226</f>
        <v>0</v>
      </c>
      <c r="AD226" s="220">
        <f t="shared" si="707"/>
        <v>0</v>
      </c>
      <c r="AE226" s="220">
        <f t="shared" si="707"/>
        <v>270</v>
      </c>
      <c r="AF226" s="220">
        <f t="shared" si="707"/>
        <v>200</v>
      </c>
      <c r="AG226" s="220">
        <f t="shared" si="655"/>
        <v>55</v>
      </c>
      <c r="AH226" s="220">
        <f t="shared" si="656"/>
        <v>55</v>
      </c>
      <c r="AI226" s="220">
        <f t="shared" si="657"/>
        <v>0</v>
      </c>
      <c r="AJ226" s="220">
        <f>IF(AG226-Z226&gt;0,0,AG226-Z226)</f>
        <v>-145</v>
      </c>
      <c r="AK226" s="216">
        <f t="shared" si="604"/>
        <v>415</v>
      </c>
      <c r="AL226" s="220">
        <f t="shared" si="611"/>
        <v>172.6</v>
      </c>
      <c r="AM226" s="220">
        <f t="shared" si="612"/>
        <v>0</v>
      </c>
      <c r="AN226" s="221">
        <f t="shared" si="613"/>
        <v>172.6</v>
      </c>
      <c r="AO226" s="220">
        <f t="shared" si="614"/>
        <v>0</v>
      </c>
      <c r="AP226" s="220">
        <f t="shared" si="615"/>
        <v>0</v>
      </c>
      <c r="AQ226" s="220">
        <f t="shared" si="616"/>
        <v>20</v>
      </c>
      <c r="AR226" s="220">
        <f t="shared" si="617"/>
        <v>0</v>
      </c>
      <c r="AS226" s="220">
        <f t="shared" si="618"/>
        <v>0</v>
      </c>
      <c r="AT226" s="216">
        <f t="shared" si="619"/>
        <v>192.6</v>
      </c>
      <c r="AU226" s="222">
        <f t="shared" si="574"/>
        <v>-242.4</v>
      </c>
      <c r="AV226" s="220"/>
      <c r="AW226" s="220">
        <f t="shared" si="680"/>
        <v>-242.4</v>
      </c>
      <c r="AX226" s="216">
        <f t="shared" si="620"/>
        <v>-242.4</v>
      </c>
      <c r="AY226" s="220">
        <f t="shared" si="681"/>
        <v>0</v>
      </c>
      <c r="AZ226" s="220">
        <f t="shared" si="682"/>
        <v>0</v>
      </c>
      <c r="BA226" s="220">
        <f t="shared" si="683"/>
        <v>0</v>
      </c>
      <c r="BB226" s="220">
        <f t="shared" si="684"/>
        <v>0</v>
      </c>
      <c r="BC226" s="220">
        <f t="shared" si="685"/>
        <v>0</v>
      </c>
      <c r="BD226" s="216">
        <f t="shared" si="575"/>
        <v>0</v>
      </c>
      <c r="BE226" s="220">
        <f t="shared" si="686"/>
        <v>0</v>
      </c>
      <c r="BF226" s="220">
        <f t="shared" si="687"/>
        <v>0</v>
      </c>
      <c r="BG226" s="220">
        <f t="shared" si="688"/>
        <v>-20</v>
      </c>
      <c r="BH226" s="220">
        <f t="shared" si="689"/>
        <v>0</v>
      </c>
      <c r="BI226" s="220">
        <f t="shared" si="690"/>
        <v>0</v>
      </c>
      <c r="BJ226" s="220" t="s">
        <v>2412</v>
      </c>
      <c r="BK226" s="220"/>
      <c r="BL226" s="223">
        <f t="shared" si="582"/>
        <v>0</v>
      </c>
      <c r="BM226" s="220">
        <v>6.44</v>
      </c>
      <c r="BN226" s="220"/>
      <c r="BO226" s="220">
        <f t="shared" si="704"/>
        <v>6.44</v>
      </c>
      <c r="BP226" s="220">
        <f>IF(AND(BL226&gt;0,BL226&lt;tiet!$D$1),BL226,IF(BL226&lt;=0,0,IF(BL226&gt;tiet!$C$1,tiet!$C$1)))</f>
        <v>0</v>
      </c>
      <c r="BQ226" s="87">
        <f>VLOOKUP(P226,ma_dinhmuc_moi,4,0)</f>
        <v>80000</v>
      </c>
      <c r="BR226" s="224">
        <f>ROUND(BQ226*BP226,0)</f>
        <v>0</v>
      </c>
      <c r="BS226" s="220">
        <f t="shared" si="630"/>
        <v>0</v>
      </c>
      <c r="BT226" s="224">
        <f>VLOOKUP(N226,ma_dinhmuc!$A$1:$J$31,10,0)</f>
        <v>55000</v>
      </c>
      <c r="BU226" s="224">
        <f>ROUND(IF(BS226&gt;0,VLOOKUP(N226,ma_dinhmuc!$A$1:$J$31,10,0)*BS226,0),0)</f>
        <v>0</v>
      </c>
      <c r="BV226" s="224">
        <f>ROUND(BU226+BR226,0)</f>
        <v>0</v>
      </c>
      <c r="BW226" s="224"/>
      <c r="BX226" s="224">
        <v>0</v>
      </c>
      <c r="BY226" s="224"/>
      <c r="BZ226" s="224"/>
      <c r="CA226" s="224"/>
      <c r="CB226" s="224"/>
      <c r="CC226" s="225">
        <f>ROUND(IF(BV226+BW226&gt;BX226+BY226+BZ226+CA226+CB226,(BW226+BV226)-(BX226+BY226+BZ226+CA226+CB226+CB226),0),0)</f>
        <v>0</v>
      </c>
      <c r="CD226" s="224">
        <f>ROUND(IF(BV226+BW226&lt;BX226+BY226+BZ226+CA226-CB226,(BX226+BY226+BZ226+CA226-CB226)-(BW226+BV226),0),0)</f>
        <v>0</v>
      </c>
      <c r="CE226" s="224"/>
      <c r="CF226" s="226"/>
      <c r="CG226" s="87"/>
      <c r="CH226" s="87">
        <f t="shared" si="705"/>
        <v>31</v>
      </c>
      <c r="CI226" s="227" t="str">
        <f t="shared" si="699"/>
        <v>Hàn Trung</v>
      </c>
      <c r="CJ226" s="227" t="str">
        <f t="shared" si="670"/>
        <v>Dũng</v>
      </c>
      <c r="CK226" s="87">
        <f>H226</f>
        <v>4</v>
      </c>
      <c r="CL226" s="227" t="str">
        <f t="shared" si="696"/>
        <v>Động lực</v>
      </c>
      <c r="CM226" s="87" t="str">
        <f t="shared" si="691"/>
        <v>CS3</v>
      </c>
      <c r="CN226" s="87">
        <f t="shared" si="706"/>
        <v>270</v>
      </c>
      <c r="CO226" s="87">
        <f t="shared" si="706"/>
        <v>200</v>
      </c>
      <c r="CP226" s="229">
        <f t="shared" si="634"/>
        <v>0</v>
      </c>
      <c r="CQ226" s="229">
        <f t="shared" si="635"/>
        <v>7.9</v>
      </c>
      <c r="CR226" s="229">
        <f t="shared" si="636"/>
        <v>3.2</v>
      </c>
      <c r="CS226" s="229">
        <f t="shared" si="637"/>
        <v>0</v>
      </c>
      <c r="CT226" s="229">
        <f t="shared" si="638"/>
        <v>0</v>
      </c>
      <c r="CU226" s="229">
        <f t="shared" si="639"/>
        <v>119</v>
      </c>
      <c r="CV226" s="229">
        <f t="shared" si="640"/>
        <v>0</v>
      </c>
      <c r="CW226" s="229">
        <f t="shared" si="641"/>
        <v>42.5</v>
      </c>
      <c r="CX226" s="229">
        <f t="shared" si="642"/>
        <v>0</v>
      </c>
      <c r="CY226" s="229">
        <f t="shared" si="643"/>
        <v>0</v>
      </c>
      <c r="CZ226" s="229">
        <f t="shared" si="644"/>
        <v>0</v>
      </c>
      <c r="DA226" s="229">
        <f t="shared" si="645"/>
        <v>20</v>
      </c>
      <c r="DB226" s="228">
        <f t="shared" si="606"/>
        <v>192.6</v>
      </c>
      <c r="DC226" s="229"/>
      <c r="DD226" s="229"/>
      <c r="DE226" s="229"/>
      <c r="DF226" s="229"/>
      <c r="DG226" s="229"/>
      <c r="DH226" s="229"/>
      <c r="DI226" s="229"/>
      <c r="DJ226" s="229"/>
      <c r="DK226" s="229"/>
      <c r="DL226" s="229"/>
      <c r="DM226" s="229"/>
      <c r="DN226" s="229"/>
      <c r="DO226" s="228">
        <f t="shared" si="622"/>
        <v>0</v>
      </c>
      <c r="DP226" s="228">
        <f t="shared" si="623"/>
        <v>192.6</v>
      </c>
      <c r="DQ226" s="229">
        <f t="shared" si="646"/>
        <v>0</v>
      </c>
      <c r="DR226" s="229">
        <f t="shared" si="647"/>
        <v>0</v>
      </c>
      <c r="DS226" s="229">
        <f t="shared" si="648"/>
        <v>0</v>
      </c>
      <c r="DT226" s="229">
        <f t="shared" si="649"/>
        <v>0</v>
      </c>
      <c r="DU226" s="229">
        <f t="shared" si="650"/>
        <v>0</v>
      </c>
      <c r="DV226" s="229">
        <f t="shared" si="651"/>
        <v>0</v>
      </c>
      <c r="DW226" s="229">
        <f t="shared" si="652"/>
        <v>0</v>
      </c>
      <c r="DX226" s="228">
        <f t="shared" si="607"/>
        <v>0</v>
      </c>
      <c r="DY226" s="229"/>
      <c r="DZ226" s="229"/>
      <c r="EA226" s="229"/>
      <c r="EB226" s="229"/>
      <c r="EC226" s="229"/>
      <c r="ED226" s="229"/>
      <c r="EE226" s="229"/>
      <c r="EF226" s="228">
        <f t="shared" si="631"/>
        <v>0</v>
      </c>
      <c r="EG226" s="228">
        <f t="shared" si="624"/>
        <v>0</v>
      </c>
      <c r="EH226" s="229">
        <f t="shared" si="632"/>
        <v>0</v>
      </c>
      <c r="EI226" s="229">
        <v>55</v>
      </c>
      <c r="EJ226" s="228">
        <f t="shared" si="602"/>
        <v>55</v>
      </c>
      <c r="EK226" s="229"/>
      <c r="EL226" s="229"/>
      <c r="EM226" s="228">
        <f t="shared" si="658"/>
        <v>0</v>
      </c>
      <c r="EN226" s="229">
        <f t="shared" ref="EN226:EN277" si="708">EK226+EH226+EL226</f>
        <v>0</v>
      </c>
      <c r="EO226" s="229">
        <f t="shared" si="577"/>
        <v>55</v>
      </c>
      <c r="EP226" s="228">
        <f t="shared" si="700"/>
        <v>55</v>
      </c>
      <c r="EQ226" s="173">
        <f t="shared" si="633"/>
        <v>0</v>
      </c>
      <c r="ER226" s="189">
        <v>0</v>
      </c>
      <c r="ES226" s="189">
        <v>7.9</v>
      </c>
      <c r="ET226" s="189">
        <v>3.2</v>
      </c>
      <c r="EU226" s="189">
        <v>0</v>
      </c>
      <c r="EV226" s="189">
        <v>0</v>
      </c>
      <c r="EW226" s="189">
        <v>119</v>
      </c>
      <c r="EX226" s="189">
        <v>0</v>
      </c>
      <c r="EY226" s="189">
        <v>42.5</v>
      </c>
      <c r="EZ226" s="189">
        <v>0</v>
      </c>
      <c r="FA226" s="189">
        <v>0</v>
      </c>
      <c r="FB226" s="189">
        <v>0</v>
      </c>
      <c r="FC226" s="189">
        <v>20</v>
      </c>
      <c r="FD226" s="189">
        <v>0</v>
      </c>
      <c r="FE226" s="189">
        <v>0</v>
      </c>
      <c r="FF226" s="189">
        <v>0</v>
      </c>
      <c r="FG226" s="189">
        <v>0</v>
      </c>
      <c r="FH226" s="189">
        <v>0</v>
      </c>
      <c r="FI226" s="189">
        <v>0</v>
      </c>
      <c r="FJ226" s="189">
        <v>0</v>
      </c>
      <c r="FK226" s="189">
        <v>192.6</v>
      </c>
      <c r="FL226" s="189">
        <v>178</v>
      </c>
      <c r="FN226" s="132">
        <v>0</v>
      </c>
    </row>
    <row r="227" spans="1:170" ht="45">
      <c r="A227" s="88">
        <f>COUNTIF($H$12:H227,H227)</f>
        <v>32</v>
      </c>
      <c r="B227" s="88" t="s">
        <v>2925</v>
      </c>
      <c r="C227" s="88" t="s">
        <v>571</v>
      </c>
      <c r="D227" s="88"/>
      <c r="E227" s="88"/>
      <c r="F227" s="301" t="s">
        <v>2189</v>
      </c>
      <c r="G227" s="89" t="s">
        <v>1573</v>
      </c>
      <c r="H227" s="88">
        <v>4</v>
      </c>
      <c r="I227" s="88">
        <v>4</v>
      </c>
      <c r="J227" s="88">
        <v>4</v>
      </c>
      <c r="K227" s="90" t="s">
        <v>1078</v>
      </c>
      <c r="L227" s="90" t="s">
        <v>1078</v>
      </c>
      <c r="M227" s="214"/>
      <c r="N227" s="88" t="s">
        <v>1804</v>
      </c>
      <c r="O227" s="216">
        <f t="shared" si="694"/>
        <v>4.9800000000000004</v>
      </c>
      <c r="P227" s="88" t="str">
        <f t="shared" si="663"/>
        <v>B1_5</v>
      </c>
      <c r="Q227" s="88">
        <f t="shared" si="527"/>
        <v>270</v>
      </c>
      <c r="R227" s="88">
        <f t="shared" si="528"/>
        <v>150</v>
      </c>
      <c r="S227" s="218" t="s">
        <v>2532</v>
      </c>
      <c r="T227" s="88" t="s">
        <v>3093</v>
      </c>
      <c r="U227" s="88">
        <f>IF(RIGHT(T227,1)="K",(VLOOKUP(T227,ma_miengiam!$A$3:$B$80,2,0)*100)/2,VLOOKUP(T227,ma_miengiam!$A$3:$B$80,2,0)*100)</f>
        <v>30</v>
      </c>
      <c r="V227" s="88"/>
      <c r="W227" s="220">
        <f>IF(AND(T227="NTS",V227&gt;0),(Q227-(Q227*V227)/12)*VLOOKUP(T227,ma_miengiam!$A$3:$B$80,2,0)+(Q227-(Q227*(12-V227))/12),IF(AND(RIGHT(T227,1)="K",V227&gt;0),(VLOOKUP(T227,ma_miengiam!$A$3:$B$80,2,0)/2)*(Q227*V227)/12,IF(RIGHT(T227,1)="K",(VLOOKUP(T227,ma_miengiam!$A$3:$B$80,2,0)*Q227)/2,IF(V227&gt;0,VLOOKUP(T227,ma_miengiam!$A$3:$B$80,2,0)*Q227*V227/12,VLOOKUP(T227,ma_miengiam!$A$3:$B$80,2,0)*Q227))))</f>
        <v>81</v>
      </c>
      <c r="X227" s="220">
        <f>IF(T227="NTS",VLOOKUP(T227,ma_miengiam!$A$3:$B$80,2,0)*R227*V227,IF(AND(T227="NTS",V227=0),0,IF(AND(LEFT(T227,1)="K",V227=0),VLOOKUP(T227,ma_miengiam!$A$3:$B$80,2,0)*R227,IF(LEFT(T227,1)="K",(VLOOKUP(T227,ma_miengiam!$A$3:$B$80,2,0)*R227/12)*V227,IF(AND(LEFT(T227,1)="S",V227&gt;0),(R227/12)*V227,IF(AND(LEFT(T227,1)="S",V227=0),R227,IF(T227="DH",VLOOKUP(T227,ma_miengiam!$A$3:$B$80,2,0)*R227,0)))))))</f>
        <v>0</v>
      </c>
      <c r="Y227" s="220">
        <f t="shared" si="703"/>
        <v>189</v>
      </c>
      <c r="Z227" s="220">
        <f t="shared" si="695"/>
        <v>150</v>
      </c>
      <c r="AA227" s="220">
        <f t="shared" si="701"/>
        <v>270</v>
      </c>
      <c r="AB227" s="220">
        <f t="shared" si="701"/>
        <v>150</v>
      </c>
      <c r="AC227" s="220">
        <f t="shared" si="707"/>
        <v>81</v>
      </c>
      <c r="AD227" s="220">
        <f t="shared" si="707"/>
        <v>0</v>
      </c>
      <c r="AE227" s="220">
        <f t="shared" si="707"/>
        <v>189</v>
      </c>
      <c r="AF227" s="220">
        <f t="shared" si="707"/>
        <v>150</v>
      </c>
      <c r="AG227" s="220">
        <f t="shared" si="655"/>
        <v>151.49</v>
      </c>
      <c r="AH227" s="220">
        <f t="shared" si="656"/>
        <v>1.9000000000000057</v>
      </c>
      <c r="AI227" s="220">
        <f t="shared" si="657"/>
        <v>149.59</v>
      </c>
      <c r="AJ227" s="220">
        <f t="shared" si="677"/>
        <v>0</v>
      </c>
      <c r="AK227" s="216">
        <f t="shared" si="604"/>
        <v>189</v>
      </c>
      <c r="AL227" s="220">
        <f t="shared" si="611"/>
        <v>103.4</v>
      </c>
      <c r="AM227" s="220">
        <f t="shared" si="612"/>
        <v>0</v>
      </c>
      <c r="AN227" s="221">
        <f t="shared" si="613"/>
        <v>103.4</v>
      </c>
      <c r="AO227" s="220">
        <f t="shared" si="614"/>
        <v>0</v>
      </c>
      <c r="AP227" s="220">
        <f t="shared" si="615"/>
        <v>0</v>
      </c>
      <c r="AQ227" s="220">
        <f t="shared" si="616"/>
        <v>0</v>
      </c>
      <c r="AR227" s="220">
        <f t="shared" si="617"/>
        <v>0</v>
      </c>
      <c r="AS227" s="220">
        <f t="shared" si="618"/>
        <v>20</v>
      </c>
      <c r="AT227" s="216">
        <f t="shared" si="619"/>
        <v>123.4</v>
      </c>
      <c r="AU227" s="222">
        <f t="shared" si="574"/>
        <v>-85.6</v>
      </c>
      <c r="AV227" s="220"/>
      <c r="AW227" s="220">
        <f t="shared" si="680"/>
        <v>-85.6</v>
      </c>
      <c r="AX227" s="216">
        <f t="shared" si="620"/>
        <v>-85.6</v>
      </c>
      <c r="AY227" s="220">
        <f t="shared" si="681"/>
        <v>0</v>
      </c>
      <c r="AZ227" s="220">
        <f t="shared" si="682"/>
        <v>0</v>
      </c>
      <c r="BA227" s="220">
        <f t="shared" si="683"/>
        <v>0</v>
      </c>
      <c r="BB227" s="220">
        <f t="shared" si="684"/>
        <v>0</v>
      </c>
      <c r="BC227" s="220">
        <f t="shared" si="685"/>
        <v>0</v>
      </c>
      <c r="BD227" s="216">
        <f t="shared" si="575"/>
        <v>0</v>
      </c>
      <c r="BE227" s="220">
        <f t="shared" si="686"/>
        <v>0</v>
      </c>
      <c r="BF227" s="220">
        <f t="shared" si="687"/>
        <v>0</v>
      </c>
      <c r="BG227" s="220">
        <f t="shared" si="688"/>
        <v>0</v>
      </c>
      <c r="BH227" s="220">
        <f t="shared" si="689"/>
        <v>0</v>
      </c>
      <c r="BI227" s="220">
        <f t="shared" si="690"/>
        <v>-20</v>
      </c>
      <c r="BJ227" s="220" t="s">
        <v>2412</v>
      </c>
      <c r="BK227" s="220"/>
      <c r="BL227" s="223">
        <f t="shared" si="582"/>
        <v>0</v>
      </c>
      <c r="BM227" s="220">
        <v>4.9800000000000004</v>
      </c>
      <c r="BN227" s="220"/>
      <c r="BO227" s="220">
        <f t="shared" si="704"/>
        <v>4.9800000000000004</v>
      </c>
      <c r="BP227" s="220">
        <f>IF(AND(BL227&gt;0,BL227&lt;tiet!$D$1),BL227,IF(BL227&lt;=0,0,IF(BL227&gt;tiet!$C$1,tiet!$C$1)))</f>
        <v>0</v>
      </c>
      <c r="BQ227" s="87">
        <f t="shared" si="674"/>
        <v>70000</v>
      </c>
      <c r="BR227" s="224">
        <f t="shared" si="675"/>
        <v>0</v>
      </c>
      <c r="BS227" s="220">
        <f t="shared" si="630"/>
        <v>0</v>
      </c>
      <c r="BT227" s="224">
        <f>VLOOKUP(N227,ma_dinhmuc!$A$1:$J$31,10,0)</f>
        <v>51000</v>
      </c>
      <c r="BU227" s="224">
        <f>ROUND(IF(BS227&gt;0,VLOOKUP(N227,ma_dinhmuc!$A$1:$J$31,10,0)*BS227,0),0)</f>
        <v>0</v>
      </c>
      <c r="BV227" s="224">
        <f t="shared" si="676"/>
        <v>0</v>
      </c>
      <c r="BW227" s="224"/>
      <c r="BX227" s="224">
        <v>0</v>
      </c>
      <c r="BY227" s="224"/>
      <c r="BZ227" s="224"/>
      <c r="CA227" s="224"/>
      <c r="CB227" s="224"/>
      <c r="CC227" s="225">
        <f t="shared" si="697"/>
        <v>0</v>
      </c>
      <c r="CD227" s="224">
        <f t="shared" si="698"/>
        <v>0</v>
      </c>
      <c r="CE227" s="224"/>
      <c r="CF227" s="226"/>
      <c r="CG227" s="87"/>
      <c r="CH227" s="87">
        <f t="shared" si="705"/>
        <v>32</v>
      </c>
      <c r="CI227" s="227" t="str">
        <f t="shared" si="699"/>
        <v>Bùi Việt</v>
      </c>
      <c r="CJ227" s="227" t="str">
        <f t="shared" si="670"/>
        <v>Đức</v>
      </c>
      <c r="CK227" s="87">
        <f>H227</f>
        <v>4</v>
      </c>
      <c r="CL227" s="227" t="str">
        <f t="shared" si="696"/>
        <v>Động lực</v>
      </c>
      <c r="CM227" s="87" t="str">
        <f t="shared" si="691"/>
        <v>CS2</v>
      </c>
      <c r="CN227" s="87">
        <f t="shared" si="706"/>
        <v>270</v>
      </c>
      <c r="CO227" s="87">
        <f t="shared" si="706"/>
        <v>150</v>
      </c>
      <c r="CP227" s="229">
        <f t="shared" si="634"/>
        <v>0</v>
      </c>
      <c r="CQ227" s="229">
        <f t="shared" si="635"/>
        <v>9.6</v>
      </c>
      <c r="CR227" s="229">
        <f t="shared" si="636"/>
        <v>3.8</v>
      </c>
      <c r="CS227" s="229">
        <f t="shared" si="637"/>
        <v>0</v>
      </c>
      <c r="CT227" s="229">
        <f t="shared" si="638"/>
        <v>0</v>
      </c>
      <c r="CU227" s="229">
        <f t="shared" si="639"/>
        <v>60</v>
      </c>
      <c r="CV227" s="229">
        <f t="shared" si="640"/>
        <v>0</v>
      </c>
      <c r="CW227" s="229">
        <f t="shared" si="641"/>
        <v>30</v>
      </c>
      <c r="CX227" s="229">
        <f t="shared" si="642"/>
        <v>0</v>
      </c>
      <c r="CY227" s="229">
        <f t="shared" si="643"/>
        <v>0</v>
      </c>
      <c r="CZ227" s="229">
        <f t="shared" si="644"/>
        <v>0</v>
      </c>
      <c r="DA227" s="229">
        <f t="shared" si="645"/>
        <v>0</v>
      </c>
      <c r="DB227" s="228">
        <f t="shared" si="606"/>
        <v>103.4</v>
      </c>
      <c r="DC227" s="229"/>
      <c r="DD227" s="229"/>
      <c r="DE227" s="229"/>
      <c r="DF227" s="229"/>
      <c r="DG227" s="229"/>
      <c r="DH227" s="229"/>
      <c r="DI227" s="229"/>
      <c r="DJ227" s="229"/>
      <c r="DK227" s="229"/>
      <c r="DL227" s="229"/>
      <c r="DM227" s="229"/>
      <c r="DN227" s="229"/>
      <c r="DO227" s="228">
        <f t="shared" si="622"/>
        <v>0</v>
      </c>
      <c r="DP227" s="228">
        <f t="shared" si="623"/>
        <v>103.4</v>
      </c>
      <c r="DQ227" s="229">
        <f t="shared" si="646"/>
        <v>0</v>
      </c>
      <c r="DR227" s="229">
        <f t="shared" si="647"/>
        <v>0</v>
      </c>
      <c r="DS227" s="229">
        <f t="shared" si="648"/>
        <v>0</v>
      </c>
      <c r="DT227" s="229">
        <f t="shared" si="649"/>
        <v>0</v>
      </c>
      <c r="DU227" s="229">
        <f t="shared" si="650"/>
        <v>0</v>
      </c>
      <c r="DV227" s="229">
        <f t="shared" si="651"/>
        <v>0</v>
      </c>
      <c r="DW227" s="229">
        <f t="shared" si="652"/>
        <v>20</v>
      </c>
      <c r="DX227" s="228">
        <f t="shared" si="607"/>
        <v>20</v>
      </c>
      <c r="DY227" s="229"/>
      <c r="DZ227" s="229"/>
      <c r="EA227" s="229"/>
      <c r="EB227" s="229"/>
      <c r="EC227" s="229"/>
      <c r="ED227" s="229"/>
      <c r="EE227" s="229"/>
      <c r="EF227" s="228">
        <f t="shared" si="631"/>
        <v>0</v>
      </c>
      <c r="EG227" s="228">
        <f t="shared" si="624"/>
        <v>20</v>
      </c>
      <c r="EH227" s="229">
        <f t="shared" si="632"/>
        <v>149.59</v>
      </c>
      <c r="EI227" s="229">
        <v>1.9000000000000057</v>
      </c>
      <c r="EJ227" s="228">
        <f t="shared" si="602"/>
        <v>151.49</v>
      </c>
      <c r="EK227" s="229"/>
      <c r="EL227" s="229"/>
      <c r="EM227" s="228">
        <f t="shared" si="658"/>
        <v>0</v>
      </c>
      <c r="EN227" s="229">
        <f t="shared" si="708"/>
        <v>149.59</v>
      </c>
      <c r="EO227" s="229">
        <f t="shared" si="577"/>
        <v>1.9000000000000057</v>
      </c>
      <c r="EP227" s="228">
        <f t="shared" si="700"/>
        <v>151.49</v>
      </c>
      <c r="EQ227" s="173">
        <f t="shared" si="633"/>
        <v>0</v>
      </c>
      <c r="ER227" s="189">
        <v>0</v>
      </c>
      <c r="ES227" s="189">
        <v>9.6</v>
      </c>
      <c r="ET227" s="189">
        <v>3.8</v>
      </c>
      <c r="EU227" s="189">
        <v>0</v>
      </c>
      <c r="EV227" s="189">
        <v>0</v>
      </c>
      <c r="EW227" s="189">
        <v>60</v>
      </c>
      <c r="EX227" s="189">
        <v>0</v>
      </c>
      <c r="EY227" s="189">
        <v>30</v>
      </c>
      <c r="EZ227" s="189">
        <v>0</v>
      </c>
      <c r="FA227" s="189">
        <v>0</v>
      </c>
      <c r="FB227" s="189">
        <v>0</v>
      </c>
      <c r="FC227" s="189">
        <v>0</v>
      </c>
      <c r="FD227" s="189">
        <v>0</v>
      </c>
      <c r="FE227" s="189">
        <v>0</v>
      </c>
      <c r="FF227" s="189">
        <v>0</v>
      </c>
      <c r="FG227" s="189">
        <v>0</v>
      </c>
      <c r="FH227" s="189">
        <v>0</v>
      </c>
      <c r="FI227" s="189">
        <v>0</v>
      </c>
      <c r="FJ227" s="189">
        <v>20</v>
      </c>
      <c r="FK227" s="189">
        <v>123.4</v>
      </c>
      <c r="FL227" s="189">
        <v>114</v>
      </c>
      <c r="FN227" s="132">
        <v>149.59</v>
      </c>
    </row>
    <row r="228" spans="1:170" ht="30" customHeight="1">
      <c r="A228" s="88">
        <f>COUNTIF($H$12:H228,H228)</f>
        <v>33</v>
      </c>
      <c r="B228" s="88" t="s">
        <v>2929</v>
      </c>
      <c r="C228" s="88" t="s">
        <v>575</v>
      </c>
      <c r="D228" s="88"/>
      <c r="E228" s="88"/>
      <c r="F228" s="301" t="s">
        <v>2903</v>
      </c>
      <c r="G228" s="89" t="s">
        <v>1153</v>
      </c>
      <c r="H228" s="88">
        <v>4</v>
      </c>
      <c r="I228" s="88">
        <v>4</v>
      </c>
      <c r="J228" s="88">
        <v>4</v>
      </c>
      <c r="K228" s="90" t="s">
        <v>1078</v>
      </c>
      <c r="L228" s="90" t="s">
        <v>1078</v>
      </c>
      <c r="M228" s="214"/>
      <c r="N228" s="88" t="s">
        <v>1804</v>
      </c>
      <c r="O228" s="216">
        <f t="shared" ref="O228:O233" si="709">BO228</f>
        <v>3</v>
      </c>
      <c r="P228" s="88" t="str">
        <f t="shared" si="663"/>
        <v>B1_3</v>
      </c>
      <c r="Q228" s="88">
        <f t="shared" si="527"/>
        <v>270</v>
      </c>
      <c r="R228" s="88">
        <f t="shared" si="528"/>
        <v>100</v>
      </c>
      <c r="S228" s="231" t="s">
        <v>2662</v>
      </c>
      <c r="T228" s="88" t="s">
        <v>3090</v>
      </c>
      <c r="U228" s="88">
        <f>IF(RIGHT(T228,1)="K",(VLOOKUP(T228,ma_miengiam!$A$3:$B$80,2,0)*100)/2,VLOOKUP(T228,ma_miengiam!$A$3:$B$80,2,0)*100)</f>
        <v>15</v>
      </c>
      <c r="V228" s="88">
        <v>2</v>
      </c>
      <c r="W228" s="220">
        <f>IF(AND(T228="NTS",V228&gt;0),(Q228-(Q228*V228)/12)*VLOOKUP(T228,ma_miengiam!$A$3:$B$80,2,0)+(Q228-(Q228*(12-V228))/12),IF(AND(RIGHT(T228,1)="K",V228&gt;0),(VLOOKUP(T228,ma_miengiam!$A$3:$B$80,2,0)/2)*(Q228*V228)/12,IF(RIGHT(T228,1)="K",(VLOOKUP(T228,ma_miengiam!$A$3:$B$80,2,0)*Q228)/2,IF(V228&gt;0,VLOOKUP(T228,ma_miengiam!$A$3:$B$80,2,0)*Q228*V228/12,VLOOKUP(T228,ma_miengiam!$A$3:$B$80,2,0)*Q228))))</f>
        <v>6.75</v>
      </c>
      <c r="X228" s="220">
        <f>IF(T228="NTS",VLOOKUP(T228,ma_miengiam!$A$3:$B$80,2,0)*R228*V228,IF(AND(T228="NTS",V228=0),0,IF(AND(LEFT(T228,1)="K",V228=0),VLOOKUP(T228,ma_miengiam!$A$3:$B$80,2,0)*R228,IF(LEFT(T228,1)="K",(VLOOKUP(T228,ma_miengiam!$A$3:$B$80,2,0)*R228/12)*V228,IF(AND(LEFT(T228,1)="S",V228&gt;0),(R228/12)*V228,IF(AND(LEFT(T228,1)="S",V228=0),R228,IF(T228="DH",VLOOKUP(T228,ma_miengiam!$A$3:$B$80,2,0)*R228,0)))))))</f>
        <v>0</v>
      </c>
      <c r="Y228" s="220">
        <f>IF(AND(T228="DH",V228&gt;0),(S228*V228/12),IF(AND(T228&lt;&gt;"NTS",V228&gt;0),(Q228*V228/12)-W228,IF(AND(T228="NTS",V228&gt;0),Q228-W228,Q228-W228)))</f>
        <v>38.25</v>
      </c>
      <c r="Z228" s="220">
        <f t="shared" ref="Z228:Z233" si="710">IF(AND(T228="SĐH",V228&gt;0),(R228/12)*V228-X228,IF(AND(T228="DH",V228&gt;0),(R228*V228/12),IF(AND(T228&lt;&gt;"NTS",V228&gt;0),(R228*V228/12)-X228,IF(AND(T228="NTS",V228&gt;0),R228-X228,R228-X228))))</f>
        <v>16.666666666666668</v>
      </c>
      <c r="AA228" s="220">
        <f>Q228</f>
        <v>270</v>
      </c>
      <c r="AB228" s="220">
        <f>R228</f>
        <v>100</v>
      </c>
      <c r="AC228" s="220">
        <f t="shared" ref="AC228:AF233" si="711">W228</f>
        <v>6.75</v>
      </c>
      <c r="AD228" s="220">
        <f t="shared" si="711"/>
        <v>0</v>
      </c>
      <c r="AE228" s="220">
        <f t="shared" si="711"/>
        <v>38.25</v>
      </c>
      <c r="AF228" s="220">
        <f t="shared" si="711"/>
        <v>16.666666666666668</v>
      </c>
      <c r="AG228" s="220">
        <f>AH228+AI228</f>
        <v>207.5</v>
      </c>
      <c r="AH228" s="220">
        <f>EO228</f>
        <v>92.5</v>
      </c>
      <c r="AI228" s="220">
        <f>EN228</f>
        <v>115</v>
      </c>
      <c r="AJ228" s="220">
        <f>IF(AG228-Z228&gt;0,0,AG228-Z228)</f>
        <v>0</v>
      </c>
      <c r="AK228" s="216">
        <f t="shared" si="604"/>
        <v>38.25</v>
      </c>
      <c r="AL228" s="220">
        <f>SUM(CP228:CX228)+SUM(DC228:DK228)</f>
        <v>0</v>
      </c>
      <c r="AM228" s="220">
        <f>SUM(DQ228:DU228)+SUM(DY228:EC228)</f>
        <v>0</v>
      </c>
      <c r="AN228" s="221">
        <f>AM228+AL228</f>
        <v>0</v>
      </c>
      <c r="AO228" s="220">
        <f>CY228+DL228</f>
        <v>0</v>
      </c>
      <c r="AP228" s="220">
        <f>CZ228+DM228</f>
        <v>0</v>
      </c>
      <c r="AQ228" s="220">
        <f>DA228+DN228</f>
        <v>0</v>
      </c>
      <c r="AR228" s="220">
        <f>DV228+ED228</f>
        <v>0</v>
      </c>
      <c r="AS228" s="220">
        <f>DW228+EE228</f>
        <v>0</v>
      </c>
      <c r="AT228" s="216">
        <f>AN228+SUM(AO228:AS228)</f>
        <v>0</v>
      </c>
      <c r="AU228" s="222">
        <f>AN228-AK228</f>
        <v>-38.25</v>
      </c>
      <c r="AV228" s="220"/>
      <c r="AW228" s="220">
        <f>IF(AU228&gt;0,AU228,AV228+AU228)</f>
        <v>-38.25</v>
      </c>
      <c r="AX228" s="216">
        <f t="shared" si="620"/>
        <v>-38.25</v>
      </c>
      <c r="AY228" s="220">
        <f>IF(AN228&gt;=AK228,AO228,IF(AN228+AO228-AK228&gt;=0,AN228+AO228-AK228,0))</f>
        <v>0</v>
      </c>
      <c r="AZ228" s="220">
        <f>IF(OR(AN228&gt;=AK228,AN228+AO228&gt;=AK228),AP228,IF(AN228+AO228+AP228&gt;AK228,AN228+AO228+AP228-AK228,0))</f>
        <v>0</v>
      </c>
      <c r="BA228" s="220">
        <f>IF(OR(AN228&gt;=AK228,AN228+AO228&gt;=AK228,AN228+AO228+AP228&gt;=AK228),AQ228,IF(AN228+AO228+AP228+AQ228&gt;=AK228,AN228+AO228+AP228+AQ228-AK228,0))</f>
        <v>0</v>
      </c>
      <c r="BB228" s="220">
        <f>IF(OR(AN228&gt;=AK228,AN228+AO228&gt;=AK228,AN228+AO228+AP228&gt;=AK228,AN228+AO228+AP228+AQ228&gt;=AK228),AR228,IF(AN228+AO228+AP228+AQ228+AR228&gt;=AK228,AN228+AO228+AP228+AQ228+AR228-AK228,0))</f>
        <v>0</v>
      </c>
      <c r="BC228" s="220">
        <f>IF(OR(AN228&gt;=AK228,AN228+AO228&gt;=AK228,AN228+AO228+AP228&gt;=AK228,AN228+AO228+AP228+AQ228&gt;=AK228,AN228+AO228+AP228+AQ228+AR228&gt;=AK228),AS228,IF(AN228+AO228+AP228+AQ228+AR228+AS228&gt;=AK228,AN228+AO228+AP228+AQ228+AR228+AS228-AK228,0))</f>
        <v>0</v>
      </c>
      <c r="BD228" s="216">
        <f t="shared" si="575"/>
        <v>0</v>
      </c>
      <c r="BE228" s="220">
        <f>AY228-AO228</f>
        <v>0</v>
      </c>
      <c r="BF228" s="220">
        <f>AZ228-AP228</f>
        <v>0</v>
      </c>
      <c r="BG228" s="220">
        <f>BA228-AQ228</f>
        <v>0</v>
      </c>
      <c r="BH228" s="220">
        <f>BB228-AR228</f>
        <v>0</v>
      </c>
      <c r="BI228" s="220">
        <f>BC228-AS228</f>
        <v>0</v>
      </c>
      <c r="BJ228" s="220" t="s">
        <v>2412</v>
      </c>
      <c r="BK228" s="220"/>
      <c r="BL228" s="223">
        <f t="shared" si="582"/>
        <v>0</v>
      </c>
      <c r="BM228" s="220">
        <v>3</v>
      </c>
      <c r="BN228" s="220"/>
      <c r="BO228" s="220">
        <f>ROUND(BM228+(BM228*BN228),2)</f>
        <v>3</v>
      </c>
      <c r="BP228" s="220">
        <f>IF(AND(BL228&gt;0,BL228&lt;tiet!$D$1),BL228,IF(BL228&lt;=0,0,IF(BL228&gt;tiet!$C$1,tiet!$C$1)))</f>
        <v>0</v>
      </c>
      <c r="BQ228" s="87">
        <f t="shared" ref="BQ228:BQ233" si="712">VLOOKUP(P228,ma_dinhmuc_moi,4,0)</f>
        <v>60000</v>
      </c>
      <c r="BR228" s="224">
        <f t="shared" ref="BR228:BR233" si="713">ROUND(BQ228*BP228,0)</f>
        <v>0</v>
      </c>
      <c r="BS228" s="220">
        <f t="shared" si="630"/>
        <v>0</v>
      </c>
      <c r="BT228" s="224">
        <f>VLOOKUP(N228,ma_dinhmuc!$A$1:$J$31,10,0)</f>
        <v>51000</v>
      </c>
      <c r="BU228" s="224">
        <f>ROUND(IF(BS228&gt;0,VLOOKUP(N228,ma_dinhmuc!$A$1:$J$31,10,0)*BS228,0),0)</f>
        <v>0</v>
      </c>
      <c r="BV228" s="224">
        <f t="shared" ref="BV228:BV233" si="714">ROUND(BU228+BR228,0)</f>
        <v>0</v>
      </c>
      <c r="BW228" s="224"/>
      <c r="BX228" s="224">
        <v>0</v>
      </c>
      <c r="BY228" s="224"/>
      <c r="BZ228" s="224"/>
      <c r="CA228" s="224"/>
      <c r="CB228" s="224"/>
      <c r="CC228" s="225">
        <f t="shared" ref="CC228:CC233" si="715">ROUND(IF(BV228+BW228&gt;BX228+BY228+BZ228+CA228+CB228,(BW228+BV228)-(BX228+BY228+BZ228+CA228+CB228+CB228),0),0)</f>
        <v>0</v>
      </c>
      <c r="CD228" s="224">
        <f t="shared" ref="CD228:CD233" si="716">ROUND(IF(BV228+BW228&lt;BX228+BY228+BZ228+CA228-CB228,(BX228+BY228+BZ228+CA228-CB228)-(BW228+BV228),0),0)</f>
        <v>0</v>
      </c>
      <c r="CE228" s="224"/>
      <c r="CF228" s="226"/>
      <c r="CG228" s="87"/>
      <c r="CH228" s="87">
        <f>A228</f>
        <v>33</v>
      </c>
      <c r="CI228" s="227" t="str">
        <f>F228</f>
        <v>Đỗ Trung</v>
      </c>
      <c r="CJ228" s="227" t="str">
        <f t="shared" si="670"/>
        <v>Thực</v>
      </c>
      <c r="CK228" s="87">
        <f t="shared" ref="CK228:CK233" si="717">H228</f>
        <v>4</v>
      </c>
      <c r="CL228" s="227" t="str">
        <f>L228</f>
        <v>Động lực</v>
      </c>
      <c r="CM228" s="87" t="str">
        <f>N228</f>
        <v>CS2</v>
      </c>
      <c r="CN228" s="87">
        <f>Q228</f>
        <v>270</v>
      </c>
      <c r="CO228" s="87">
        <f>R228</f>
        <v>100</v>
      </c>
      <c r="CP228" s="229">
        <f t="shared" si="634"/>
        <v>0</v>
      </c>
      <c r="CQ228" s="229">
        <f t="shared" si="635"/>
        <v>0</v>
      </c>
      <c r="CR228" s="229">
        <f t="shared" si="636"/>
        <v>0</v>
      </c>
      <c r="CS228" s="229">
        <f t="shared" si="637"/>
        <v>0</v>
      </c>
      <c r="CT228" s="229">
        <f t="shared" si="638"/>
        <v>0</v>
      </c>
      <c r="CU228" s="229">
        <f t="shared" si="639"/>
        <v>0</v>
      </c>
      <c r="CV228" s="229">
        <f t="shared" si="640"/>
        <v>0</v>
      </c>
      <c r="CW228" s="229">
        <f t="shared" si="641"/>
        <v>0</v>
      </c>
      <c r="CX228" s="229">
        <f t="shared" si="642"/>
        <v>0</v>
      </c>
      <c r="CY228" s="229">
        <f t="shared" si="643"/>
        <v>0</v>
      </c>
      <c r="CZ228" s="229">
        <f t="shared" si="644"/>
        <v>0</v>
      </c>
      <c r="DA228" s="229">
        <f t="shared" si="645"/>
        <v>0</v>
      </c>
      <c r="DB228" s="228">
        <f>SUM(CP228:DA228)</f>
        <v>0</v>
      </c>
      <c r="DC228" s="229"/>
      <c r="DD228" s="229"/>
      <c r="DE228" s="229"/>
      <c r="DF228" s="229"/>
      <c r="DG228" s="229"/>
      <c r="DH228" s="229"/>
      <c r="DI228" s="229"/>
      <c r="DJ228" s="229"/>
      <c r="DK228" s="229"/>
      <c r="DL228" s="229"/>
      <c r="DM228" s="229"/>
      <c r="DN228" s="229"/>
      <c r="DO228" s="228">
        <f>SUM(DC228:DN228)</f>
        <v>0</v>
      </c>
      <c r="DP228" s="228">
        <f>DO228+DB228</f>
        <v>0</v>
      </c>
      <c r="DQ228" s="229">
        <f t="shared" si="646"/>
        <v>0</v>
      </c>
      <c r="DR228" s="229">
        <f t="shared" si="647"/>
        <v>0</v>
      </c>
      <c r="DS228" s="229">
        <f t="shared" si="648"/>
        <v>0</v>
      </c>
      <c r="DT228" s="229">
        <f t="shared" si="649"/>
        <v>0</v>
      </c>
      <c r="DU228" s="229">
        <f t="shared" si="650"/>
        <v>0</v>
      </c>
      <c r="DV228" s="229">
        <f t="shared" si="651"/>
        <v>0</v>
      </c>
      <c r="DW228" s="229">
        <f t="shared" si="652"/>
        <v>0</v>
      </c>
      <c r="DX228" s="228">
        <f>SUM(DQ228:DW228)</f>
        <v>0</v>
      </c>
      <c r="DY228" s="229"/>
      <c r="DZ228" s="229"/>
      <c r="EA228" s="229"/>
      <c r="EB228" s="229"/>
      <c r="EC228" s="229"/>
      <c r="ED228" s="229"/>
      <c r="EE228" s="229"/>
      <c r="EF228" s="228">
        <f t="shared" si="631"/>
        <v>0</v>
      </c>
      <c r="EG228" s="228">
        <f>EF228+DX228</f>
        <v>0</v>
      </c>
      <c r="EH228" s="229">
        <f t="shared" si="632"/>
        <v>115</v>
      </c>
      <c r="EI228" s="229">
        <v>92.5</v>
      </c>
      <c r="EJ228" s="228">
        <f t="shared" si="602"/>
        <v>207.5</v>
      </c>
      <c r="EK228" s="229"/>
      <c r="EL228" s="229"/>
      <c r="EM228" s="228">
        <f t="shared" si="658"/>
        <v>0</v>
      </c>
      <c r="EN228" s="229">
        <f>EK228+EH228+EL228</f>
        <v>115</v>
      </c>
      <c r="EO228" s="229">
        <f>EI228</f>
        <v>92.5</v>
      </c>
      <c r="EP228" s="228">
        <f t="shared" si="700"/>
        <v>207.5</v>
      </c>
      <c r="EQ228" s="173">
        <f t="shared" si="633"/>
        <v>98.333333333333329</v>
      </c>
      <c r="ER228" s="189">
        <v>0</v>
      </c>
      <c r="ES228" s="189">
        <v>0</v>
      </c>
      <c r="ET228" s="189">
        <v>0</v>
      </c>
      <c r="EU228" s="189">
        <v>0</v>
      </c>
      <c r="EV228" s="189">
        <v>0</v>
      </c>
      <c r="EW228" s="189">
        <v>0</v>
      </c>
      <c r="EX228" s="189">
        <v>0</v>
      </c>
      <c r="EY228" s="189">
        <v>0</v>
      </c>
      <c r="EZ228" s="189">
        <v>0</v>
      </c>
      <c r="FA228" s="189">
        <v>0</v>
      </c>
      <c r="FB228" s="189">
        <v>0</v>
      </c>
      <c r="FC228" s="189">
        <v>0</v>
      </c>
      <c r="FD228" s="189">
        <v>0</v>
      </c>
      <c r="FE228" s="189">
        <v>0</v>
      </c>
      <c r="FF228" s="189">
        <v>0</v>
      </c>
      <c r="FG228" s="189">
        <v>0</v>
      </c>
      <c r="FH228" s="189">
        <v>0</v>
      </c>
      <c r="FI228" s="189">
        <v>0</v>
      </c>
      <c r="FJ228" s="189">
        <v>0</v>
      </c>
      <c r="FK228" s="189">
        <v>0</v>
      </c>
      <c r="FL228" s="189">
        <v>0</v>
      </c>
      <c r="FN228" s="132">
        <v>115</v>
      </c>
    </row>
    <row r="229" spans="1:170" ht="30.75" customHeight="1">
      <c r="A229" s="88">
        <f>COUNTIF($H$12:H229,H229)</f>
        <v>34</v>
      </c>
      <c r="B229" s="88" t="s">
        <v>2927</v>
      </c>
      <c r="C229" s="88" t="s">
        <v>573</v>
      </c>
      <c r="D229" s="88"/>
      <c r="E229" s="88"/>
      <c r="F229" s="301" t="s">
        <v>965</v>
      </c>
      <c r="G229" s="89" t="s">
        <v>14</v>
      </c>
      <c r="H229" s="88">
        <v>4</v>
      </c>
      <c r="I229" s="88"/>
      <c r="J229" s="88">
        <v>4</v>
      </c>
      <c r="K229" s="90"/>
      <c r="L229" s="90" t="s">
        <v>1078</v>
      </c>
      <c r="M229" s="214"/>
      <c r="N229" s="88" t="s">
        <v>1804</v>
      </c>
      <c r="O229" s="216">
        <f t="shared" si="709"/>
        <v>3.33</v>
      </c>
      <c r="P229" s="88" t="str">
        <f t="shared" si="663"/>
        <v>B1_4</v>
      </c>
      <c r="Q229" s="88">
        <f t="shared" si="527"/>
        <v>270</v>
      </c>
      <c r="R229" s="88">
        <f t="shared" si="528"/>
        <v>120</v>
      </c>
      <c r="S229" s="218"/>
      <c r="T229" s="88" t="s">
        <v>3088</v>
      </c>
      <c r="U229" s="88">
        <f>IF(RIGHT(T229,1)="K",(VLOOKUP(T229,ma_miengiam!$A$3:$B$80,2,0)*100)/2,VLOOKUP(T229,ma_miengiam!$A$3:$B$80,2,0)*100)</f>
        <v>0</v>
      </c>
      <c r="V229" s="88">
        <v>5</v>
      </c>
      <c r="W229" s="220">
        <f>IF(AND(T229="NTS",V229&gt;0),(Q229-(Q229*V229)/12)*VLOOKUP(T229,ma_miengiam!$A$3:$B$80,2,0)+(Q229-(Q229*(12-V229))/12),IF(AND(RIGHT(T229,1)="K",V229&gt;0),(VLOOKUP(T229,ma_miengiam!$A$3:$B$80,2,0)/2)*(Q229*V229)/12,IF(RIGHT(T229,1)="K",(VLOOKUP(T229,ma_miengiam!$A$3:$B$80,2,0)*Q229)/2,IF(V229&gt;0,VLOOKUP(T229,ma_miengiam!$A$3:$B$80,2,0)*Q229*V229/12,VLOOKUP(T229,ma_miengiam!$A$3:$B$80,2,0)*Q229))))</f>
        <v>0</v>
      </c>
      <c r="X229" s="220">
        <f>IF(T229="NTS",VLOOKUP(T229,ma_miengiam!$A$3:$B$80,2,0)*R229*V229,IF(AND(T229="NTS",V229=0),0,IF(AND(LEFT(T229,1)="K",V229=0),VLOOKUP(T229,ma_miengiam!$A$3:$B$80,2,0)*R229,IF(LEFT(T229,1)="K",(VLOOKUP(T229,ma_miengiam!$A$3:$B$80,2,0)*R229/12)*V229,IF(AND(LEFT(T229,1)="S",V229&gt;0),(R229/12)*V229,IF(AND(LEFT(T229,1)="S",V229=0),R229,IF(T229="DH",VLOOKUP(T229,ma_miengiam!$A$3:$B$80,2,0)*R229,0)))))))</f>
        <v>0</v>
      </c>
      <c r="Y229" s="220">
        <f>IF(AND(T229="DH",V229&gt;0),(S229*V229/12),IF(AND(T229&lt;&gt;"NTS",V229&gt;0),(Q229*V229/12)-W229,IF(AND(T229="NTS",V229&gt;0),Q229-W229,Q229-W229)))</f>
        <v>112.5</v>
      </c>
      <c r="Z229" s="220">
        <f t="shared" si="710"/>
        <v>50</v>
      </c>
      <c r="AA229" s="220"/>
      <c r="AB229" s="220"/>
      <c r="AC229" s="220"/>
      <c r="AD229" s="220"/>
      <c r="AE229" s="220"/>
      <c r="AF229" s="220"/>
      <c r="AG229" s="220"/>
      <c r="AH229" s="220"/>
      <c r="AI229" s="220"/>
      <c r="AJ229" s="220"/>
      <c r="AK229" s="216"/>
      <c r="AL229" s="220"/>
      <c r="AM229" s="220"/>
      <c r="AN229" s="216"/>
      <c r="AO229" s="220"/>
      <c r="AP229" s="220"/>
      <c r="AQ229" s="220"/>
      <c r="AR229" s="220"/>
      <c r="AS229" s="220"/>
      <c r="AT229" s="216"/>
      <c r="AU229" s="220"/>
      <c r="AV229" s="220"/>
      <c r="AW229" s="220"/>
      <c r="AX229" s="216"/>
      <c r="AY229" s="220"/>
      <c r="AZ229" s="220"/>
      <c r="BA229" s="220"/>
      <c r="BB229" s="220"/>
      <c r="BC229" s="220"/>
      <c r="BD229" s="216"/>
      <c r="BE229" s="220"/>
      <c r="BF229" s="220"/>
      <c r="BG229" s="220"/>
      <c r="BH229" s="220"/>
      <c r="BI229" s="220"/>
      <c r="BJ229" s="220" t="s">
        <v>2412</v>
      </c>
      <c r="BK229" s="220"/>
      <c r="BL229" s="223">
        <f t="shared" si="582"/>
        <v>0</v>
      </c>
      <c r="BM229" s="220">
        <v>3.33</v>
      </c>
      <c r="BN229" s="220"/>
      <c r="BO229" s="220">
        <f>ROUND(BM229+(BM229*BN229),2)</f>
        <v>3.33</v>
      </c>
      <c r="BP229" s="220">
        <f>IF(AND(BL229&gt;0,BL229&lt;tiet!$D$1),BL229,IF(BL229&lt;=0,0,IF(BL229&gt;tiet!$C$1,tiet!$C$1)))</f>
        <v>0</v>
      </c>
      <c r="BQ229" s="87">
        <f t="shared" si="712"/>
        <v>65000</v>
      </c>
      <c r="BR229" s="224">
        <f t="shared" si="713"/>
        <v>0</v>
      </c>
      <c r="BS229" s="220">
        <f t="shared" si="630"/>
        <v>0</v>
      </c>
      <c r="BT229" s="224">
        <f>VLOOKUP(N229,ma_dinhmuc!$A$1:$J$31,10,0)</f>
        <v>51000</v>
      </c>
      <c r="BU229" s="224">
        <f>ROUND(IF(BS229&gt;0,VLOOKUP(N229,ma_dinhmuc!$A$1:$J$31,10,0)*BS229,0),0)</f>
        <v>0</v>
      </c>
      <c r="BV229" s="224">
        <f t="shared" si="714"/>
        <v>0</v>
      </c>
      <c r="BW229" s="224"/>
      <c r="BX229" s="224">
        <v>0</v>
      </c>
      <c r="BY229" s="224"/>
      <c r="BZ229" s="224"/>
      <c r="CA229" s="224"/>
      <c r="CB229" s="224"/>
      <c r="CC229" s="225">
        <f t="shared" si="715"/>
        <v>0</v>
      </c>
      <c r="CD229" s="224">
        <f t="shared" si="716"/>
        <v>0</v>
      </c>
      <c r="CE229" s="224"/>
      <c r="CF229" s="226"/>
      <c r="CG229" s="87"/>
      <c r="CH229" s="87">
        <f>A229</f>
        <v>34</v>
      </c>
      <c r="CI229" s="227" t="str">
        <f>F229</f>
        <v>Lê Anh</v>
      </c>
      <c r="CJ229" s="227" t="str">
        <f t="shared" si="670"/>
        <v>Sơn</v>
      </c>
      <c r="CK229" s="87">
        <f t="shared" si="717"/>
        <v>4</v>
      </c>
      <c r="CL229" s="227" t="str">
        <f>L229</f>
        <v>Động lực</v>
      </c>
      <c r="CM229" s="87" t="str">
        <f>N229</f>
        <v>CS2</v>
      </c>
      <c r="CN229" s="87">
        <f>Q229</f>
        <v>270</v>
      </c>
      <c r="CO229" s="87">
        <f>R229</f>
        <v>120</v>
      </c>
      <c r="CP229" s="229">
        <f t="shared" si="634"/>
        <v>0</v>
      </c>
      <c r="CQ229" s="229">
        <f t="shared" si="635"/>
        <v>0</v>
      </c>
      <c r="CR229" s="229">
        <f t="shared" si="636"/>
        <v>0</v>
      </c>
      <c r="CS229" s="229">
        <f t="shared" si="637"/>
        <v>0</v>
      </c>
      <c r="CT229" s="229">
        <f t="shared" si="638"/>
        <v>0</v>
      </c>
      <c r="CU229" s="229">
        <f t="shared" si="639"/>
        <v>0</v>
      </c>
      <c r="CV229" s="229">
        <f t="shared" si="640"/>
        <v>0</v>
      </c>
      <c r="CW229" s="229">
        <f t="shared" si="641"/>
        <v>0</v>
      </c>
      <c r="CX229" s="229">
        <f t="shared" si="642"/>
        <v>0</v>
      </c>
      <c r="CY229" s="229">
        <f t="shared" si="643"/>
        <v>0</v>
      </c>
      <c r="CZ229" s="229">
        <f t="shared" si="644"/>
        <v>0</v>
      </c>
      <c r="DA229" s="229">
        <f t="shared" si="645"/>
        <v>0</v>
      </c>
      <c r="DB229" s="228">
        <f>SUM(CP229:DA229)</f>
        <v>0</v>
      </c>
      <c r="DC229" s="229"/>
      <c r="DD229" s="229"/>
      <c r="DE229" s="229"/>
      <c r="DF229" s="229"/>
      <c r="DG229" s="229"/>
      <c r="DH229" s="229"/>
      <c r="DI229" s="229"/>
      <c r="DJ229" s="229"/>
      <c r="DK229" s="229"/>
      <c r="DL229" s="229"/>
      <c r="DM229" s="229"/>
      <c r="DN229" s="229"/>
      <c r="DO229" s="228">
        <f>SUM(DC229:DN229)</f>
        <v>0</v>
      </c>
      <c r="DP229" s="228">
        <f>DO229+DB229</f>
        <v>0</v>
      </c>
      <c r="DQ229" s="229">
        <f t="shared" si="646"/>
        <v>0</v>
      </c>
      <c r="DR229" s="229">
        <f t="shared" si="647"/>
        <v>0</v>
      </c>
      <c r="DS229" s="229">
        <f t="shared" si="648"/>
        <v>0</v>
      </c>
      <c r="DT229" s="229">
        <f t="shared" si="649"/>
        <v>0</v>
      </c>
      <c r="DU229" s="229">
        <f t="shared" si="650"/>
        <v>0</v>
      </c>
      <c r="DV229" s="229">
        <f t="shared" si="651"/>
        <v>0</v>
      </c>
      <c r="DW229" s="229">
        <f t="shared" si="652"/>
        <v>0</v>
      </c>
      <c r="DX229" s="228">
        <f>SUM(DQ229:DW229)</f>
        <v>0</v>
      </c>
      <c r="DY229" s="229"/>
      <c r="DZ229" s="229"/>
      <c r="EA229" s="229"/>
      <c r="EB229" s="229"/>
      <c r="EC229" s="229"/>
      <c r="ED229" s="229"/>
      <c r="EE229" s="229"/>
      <c r="EF229" s="228">
        <f t="shared" si="631"/>
        <v>0</v>
      </c>
      <c r="EG229" s="228">
        <f>EF229+DX229</f>
        <v>0</v>
      </c>
      <c r="EH229" s="229">
        <f t="shared" si="632"/>
        <v>0</v>
      </c>
      <c r="EI229" s="229">
        <v>228.85</v>
      </c>
      <c r="EJ229" s="228">
        <f t="shared" si="602"/>
        <v>228.85</v>
      </c>
      <c r="EK229" s="229"/>
      <c r="EL229" s="229"/>
      <c r="EM229" s="228">
        <f t="shared" si="658"/>
        <v>0</v>
      </c>
      <c r="EN229" s="229">
        <f>EK229+EH229+EL229</f>
        <v>0</v>
      </c>
      <c r="EO229" s="229">
        <f>EI229</f>
        <v>228.85</v>
      </c>
      <c r="EP229" s="228">
        <f t="shared" si="700"/>
        <v>228.85</v>
      </c>
      <c r="EQ229" s="173">
        <f t="shared" si="633"/>
        <v>0</v>
      </c>
      <c r="ER229" s="189">
        <v>0</v>
      </c>
      <c r="ES229" s="189">
        <v>0</v>
      </c>
      <c r="ET229" s="189">
        <v>0</v>
      </c>
      <c r="EU229" s="189">
        <v>0</v>
      </c>
      <c r="EV229" s="189">
        <v>0</v>
      </c>
      <c r="EW229" s="189">
        <v>0</v>
      </c>
      <c r="EX229" s="189">
        <v>0</v>
      </c>
      <c r="EY229" s="189">
        <v>0</v>
      </c>
      <c r="EZ229" s="189">
        <v>0</v>
      </c>
      <c r="FA229" s="189">
        <v>0</v>
      </c>
      <c r="FB229" s="189">
        <v>0</v>
      </c>
      <c r="FC229" s="189">
        <v>0</v>
      </c>
      <c r="FD229" s="189">
        <v>0</v>
      </c>
      <c r="FE229" s="189">
        <v>0</v>
      </c>
      <c r="FF229" s="189">
        <v>0</v>
      </c>
      <c r="FG229" s="189">
        <v>0</v>
      </c>
      <c r="FH229" s="189">
        <v>0</v>
      </c>
      <c r="FI229" s="189">
        <v>0</v>
      </c>
      <c r="FJ229" s="189">
        <v>0</v>
      </c>
      <c r="FK229" s="189">
        <v>0</v>
      </c>
      <c r="FL229" s="189">
        <v>0</v>
      </c>
      <c r="FN229" s="132">
        <v>0</v>
      </c>
    </row>
    <row r="230" spans="1:170" ht="30.75" customHeight="1">
      <c r="A230" s="88">
        <f>COUNTIF($H$12:H230,H230)</f>
        <v>35</v>
      </c>
      <c r="B230" s="88" t="s">
        <v>2927</v>
      </c>
      <c r="C230" s="88" t="s">
        <v>573</v>
      </c>
      <c r="D230" s="88"/>
      <c r="E230" s="88"/>
      <c r="F230" s="301" t="s">
        <v>965</v>
      </c>
      <c r="G230" s="89" t="s">
        <v>14</v>
      </c>
      <c r="H230" s="88">
        <v>4</v>
      </c>
      <c r="I230" s="88"/>
      <c r="J230" s="88">
        <v>4</v>
      </c>
      <c r="K230" s="90"/>
      <c r="L230" s="90" t="s">
        <v>1078</v>
      </c>
      <c r="M230" s="214"/>
      <c r="N230" s="88" t="s">
        <v>1804</v>
      </c>
      <c r="O230" s="216">
        <f>BO230</f>
        <v>3.33</v>
      </c>
      <c r="P230" s="88" t="str">
        <f>IF(BO230&lt;3.33,"B1_3",IF(AND(BO230&gt;=3.33,BO230&lt;4.65),"B1_4",IF(AND(BO230&gt;=4.65,BO230&lt;5.42),"B1_5",IF(AND(BO230&gt;=5.42,BO230&lt;6.44),"B1_6",IF(AND(BO230&gt;=6.44,BO230&lt;=6.92),"B1_7","B1_8")))))</f>
        <v>B1_4</v>
      </c>
      <c r="Q230" s="88">
        <f>IF(M230&gt;0,VLOOKUP(P230,ma_dinhmuc_moi,2,0)/2,VLOOKUP(P230,ma_dinhmuc_moi,2,0))</f>
        <v>270</v>
      </c>
      <c r="R230" s="88">
        <f>IF(M230&gt;0,VLOOKUP(P230,ma_dinhmuc_moi,3,0)/2,VLOOKUP(P230,ma_dinhmuc_moi,3,0))</f>
        <v>120</v>
      </c>
      <c r="S230" s="218" t="s">
        <v>2666</v>
      </c>
      <c r="T230" s="88" t="s">
        <v>3090</v>
      </c>
      <c r="U230" s="88">
        <f>IF(RIGHT(T230,1)="K",(VLOOKUP(T230,ma_miengiam!$A$3:$B$80,2,0)*100)/2,VLOOKUP(T230,ma_miengiam!$A$3:$B$80,2,0)*100)</f>
        <v>15</v>
      </c>
      <c r="V230" s="88">
        <v>7</v>
      </c>
      <c r="W230" s="220">
        <f>IF(AND(T230="NTS",V230&gt;0),(Q230-(Q230*V230)/12)*VLOOKUP(T230,ma_miengiam!$A$3:$B$80,2,0)+(Q230-(Q230*(12-V230))/12),IF(AND(RIGHT(T230,1)="K",V230&gt;0),(VLOOKUP(T230,ma_miengiam!$A$3:$B$80,2,0)/2)*(Q230*V230)/12,IF(RIGHT(T230,1)="K",(VLOOKUP(T230,ma_miengiam!$A$3:$B$80,2,0)*Q230)/2,IF(V230&gt;0,VLOOKUP(T230,ma_miengiam!$A$3:$B$80,2,0)*Q230*V230/12,VLOOKUP(T230,ma_miengiam!$A$3:$B$80,2,0)*Q230))))</f>
        <v>23.625</v>
      </c>
      <c r="X230" s="220">
        <f>IF(T230="NTS",VLOOKUP(T230,ma_miengiam!$A$3:$B$80,2,0)*R230*V230,IF(AND(T230="NTS",V230=0),0,IF(AND(LEFT(T230,1)="K",V230=0),VLOOKUP(T230,ma_miengiam!$A$3:$B$80,2,0)*R230,IF(LEFT(T230,1)="K",(VLOOKUP(T230,ma_miengiam!$A$3:$B$80,2,0)*R230/12)*V230,IF(AND(LEFT(T230,1)="S",V230&gt;0),(R230/12)*V230,IF(AND(LEFT(T230,1)="S",V230=0),R230,IF(T230="DH",VLOOKUP(T230,ma_miengiam!$A$3:$B$80,2,0)*R230,0)))))))</f>
        <v>0</v>
      </c>
      <c r="Y230" s="220">
        <f>IF(AND(T230="DH",V230&gt;0),(S230*V230/12),IF(AND(T230&lt;&gt;"NTS",V230&gt;0),(Q230*V230/12)-W230,IF(AND(T230="NTS",V230&gt;0),Q230-W230,Q230-W230)))</f>
        <v>133.875</v>
      </c>
      <c r="Z230" s="220">
        <f>IF(AND(T230="SĐH",V230&gt;0),(R230/12)*V230-X230,IF(AND(T230="DH",V230&gt;0),(R230*V230/12),IF(AND(T230&lt;&gt;"NTS",V230&gt;0),(R230*V230/12)-X230,IF(AND(T230="NTS",V230&gt;0),R230-X230,R230-X230))))</f>
        <v>70</v>
      </c>
      <c r="AA230" s="220"/>
      <c r="AB230" s="220"/>
      <c r="AC230" s="220"/>
      <c r="AD230" s="220"/>
      <c r="AE230" s="220"/>
      <c r="AF230" s="220"/>
      <c r="AG230" s="220"/>
      <c r="AH230" s="220"/>
      <c r="AI230" s="220"/>
      <c r="AJ230" s="220"/>
      <c r="AK230" s="216"/>
      <c r="AL230" s="220"/>
      <c r="AM230" s="220"/>
      <c r="AN230" s="216"/>
      <c r="AO230" s="220"/>
      <c r="AP230" s="220"/>
      <c r="AQ230" s="220"/>
      <c r="AR230" s="220"/>
      <c r="AS230" s="220"/>
      <c r="AT230" s="216"/>
      <c r="AU230" s="220"/>
      <c r="AV230" s="220"/>
      <c r="AW230" s="220"/>
      <c r="AX230" s="216"/>
      <c r="AY230" s="220"/>
      <c r="AZ230" s="220"/>
      <c r="BA230" s="220"/>
      <c r="BB230" s="220"/>
      <c r="BC230" s="220"/>
      <c r="BD230" s="216"/>
      <c r="BE230" s="220"/>
      <c r="BF230" s="220"/>
      <c r="BG230" s="220"/>
      <c r="BH230" s="220"/>
      <c r="BI230" s="220"/>
      <c r="BJ230" s="220" t="s">
        <v>2412</v>
      </c>
      <c r="BK230" s="220"/>
      <c r="BL230" s="223">
        <f>IF(AW230&lt;BK230,0,IF(AND(BK230=0,AW230&gt;0),AW230,IF(AW230&lt;0,0,IF(BK230&gt;0,AW230-BK230,IF(BK230&lt;0,0,AW230)))))</f>
        <v>0</v>
      </c>
      <c r="BM230" s="220">
        <v>3.33</v>
      </c>
      <c r="BN230" s="220"/>
      <c r="BO230" s="220">
        <f>ROUND(BM230+(BM230*BN230),2)</f>
        <v>3.33</v>
      </c>
      <c r="BP230" s="220">
        <f>IF(AND(BL230&gt;0,BL230&lt;tiet!$D$1),BL230,IF(BL230&lt;=0,0,IF(BL230&gt;tiet!$C$1,tiet!$C$1)))</f>
        <v>0</v>
      </c>
      <c r="BQ230" s="87">
        <f>VLOOKUP(P230,ma_dinhmuc_moi,4,0)</f>
        <v>65000</v>
      </c>
      <c r="BR230" s="224">
        <f>ROUND(BQ230*BP230,0)</f>
        <v>0</v>
      </c>
      <c r="BS230" s="220">
        <f t="shared" si="630"/>
        <v>0</v>
      </c>
      <c r="BT230" s="224">
        <f>VLOOKUP(N230,ma_dinhmuc!$A$1:$J$31,10,0)</f>
        <v>51000</v>
      </c>
      <c r="BU230" s="224">
        <f>ROUND(IF(BS230&gt;0,VLOOKUP(N230,ma_dinhmuc!$A$1:$J$31,10,0)*BS230,0),0)</f>
        <v>0</v>
      </c>
      <c r="BV230" s="224">
        <f>ROUND(BU230+BR230,0)</f>
        <v>0</v>
      </c>
      <c r="BW230" s="224"/>
      <c r="BX230" s="224">
        <v>0</v>
      </c>
      <c r="BY230" s="224"/>
      <c r="BZ230" s="224"/>
      <c r="CA230" s="224"/>
      <c r="CB230" s="224"/>
      <c r="CC230" s="225">
        <f>ROUND(IF(BV230+BW230&gt;BX230+BY230+BZ230+CA230+CB230,(BW230+BV230)-(BX230+BY230+BZ230+CA230+CB230+CB230),0),0)</f>
        <v>0</v>
      </c>
      <c r="CD230" s="224">
        <f>ROUND(IF(BV230+BW230&lt;BX230+BY230+BZ230+CA230-CB230,(BX230+BY230+BZ230+CA230-CB230)-(BW230+BV230),0),0)</f>
        <v>0</v>
      </c>
      <c r="CE230" s="224"/>
      <c r="CF230" s="226"/>
      <c r="CG230" s="87"/>
      <c r="CH230" s="87">
        <f>A230</f>
        <v>35</v>
      </c>
      <c r="CI230" s="227" t="str">
        <f>F230</f>
        <v>Lê Anh</v>
      </c>
      <c r="CJ230" s="227" t="str">
        <f t="shared" si="670"/>
        <v>Sơn</v>
      </c>
      <c r="CK230" s="87">
        <f t="shared" si="717"/>
        <v>4</v>
      </c>
      <c r="CL230" s="227" t="str">
        <f>L230</f>
        <v>Động lực</v>
      </c>
      <c r="CM230" s="87" t="str">
        <f>N230</f>
        <v>CS2</v>
      </c>
      <c r="CN230" s="87">
        <f t="shared" ref="CN230:CO233" si="718">Q230</f>
        <v>270</v>
      </c>
      <c r="CO230" s="87">
        <f t="shared" si="718"/>
        <v>120</v>
      </c>
      <c r="CP230" s="229">
        <f t="shared" si="634"/>
        <v>0</v>
      </c>
      <c r="CQ230" s="229">
        <f t="shared" si="635"/>
        <v>0</v>
      </c>
      <c r="CR230" s="229">
        <f t="shared" si="636"/>
        <v>0</v>
      </c>
      <c r="CS230" s="229">
        <f t="shared" si="637"/>
        <v>0</v>
      </c>
      <c r="CT230" s="229">
        <f t="shared" si="638"/>
        <v>0</v>
      </c>
      <c r="CU230" s="229">
        <f t="shared" si="639"/>
        <v>0</v>
      </c>
      <c r="CV230" s="229">
        <f t="shared" si="640"/>
        <v>0</v>
      </c>
      <c r="CW230" s="229">
        <f t="shared" si="641"/>
        <v>0</v>
      </c>
      <c r="CX230" s="229">
        <f t="shared" si="642"/>
        <v>0</v>
      </c>
      <c r="CY230" s="229">
        <f t="shared" si="643"/>
        <v>0</v>
      </c>
      <c r="CZ230" s="229">
        <f t="shared" si="644"/>
        <v>0</v>
      </c>
      <c r="DA230" s="229">
        <f t="shared" si="645"/>
        <v>0</v>
      </c>
      <c r="DB230" s="228">
        <f>SUM(CP230:DA230)</f>
        <v>0</v>
      </c>
      <c r="DC230" s="229"/>
      <c r="DD230" s="229"/>
      <c r="DE230" s="229"/>
      <c r="DF230" s="229"/>
      <c r="DG230" s="229"/>
      <c r="DH230" s="229"/>
      <c r="DI230" s="229"/>
      <c r="DJ230" s="229"/>
      <c r="DK230" s="229"/>
      <c r="DL230" s="229"/>
      <c r="DM230" s="229"/>
      <c r="DN230" s="229"/>
      <c r="DO230" s="228">
        <f>SUM(DC230:DN230)</f>
        <v>0</v>
      </c>
      <c r="DP230" s="228">
        <f>DO230+DB230</f>
        <v>0</v>
      </c>
      <c r="DQ230" s="229">
        <f t="shared" si="646"/>
        <v>0</v>
      </c>
      <c r="DR230" s="229">
        <f t="shared" si="647"/>
        <v>0</v>
      </c>
      <c r="DS230" s="229">
        <f t="shared" si="648"/>
        <v>0</v>
      </c>
      <c r="DT230" s="229">
        <f t="shared" si="649"/>
        <v>0</v>
      </c>
      <c r="DU230" s="229">
        <f t="shared" si="650"/>
        <v>0</v>
      </c>
      <c r="DV230" s="229">
        <f t="shared" si="651"/>
        <v>0</v>
      </c>
      <c r="DW230" s="229">
        <f t="shared" si="652"/>
        <v>0</v>
      </c>
      <c r="DX230" s="228">
        <f>SUM(DQ230:DW230)</f>
        <v>0</v>
      </c>
      <c r="DY230" s="229"/>
      <c r="DZ230" s="229"/>
      <c r="EA230" s="229"/>
      <c r="EB230" s="229"/>
      <c r="EC230" s="229"/>
      <c r="ED230" s="229"/>
      <c r="EE230" s="229"/>
      <c r="EF230" s="228">
        <f t="shared" si="631"/>
        <v>0</v>
      </c>
      <c r="EG230" s="228">
        <f>EF230+DX230</f>
        <v>0</v>
      </c>
      <c r="EH230" s="229">
        <f t="shared" si="632"/>
        <v>0</v>
      </c>
      <c r="EI230" s="229">
        <v>228.85</v>
      </c>
      <c r="EJ230" s="228">
        <f t="shared" ref="EJ230:EJ261" si="719">SUM(EH230:EI230)</f>
        <v>228.85</v>
      </c>
      <c r="EK230" s="229"/>
      <c r="EL230" s="229"/>
      <c r="EM230" s="228">
        <f t="shared" si="658"/>
        <v>0</v>
      </c>
      <c r="EN230" s="229">
        <f>EK230+EH230+EL230</f>
        <v>0</v>
      </c>
      <c r="EO230" s="229">
        <f>EI230</f>
        <v>228.85</v>
      </c>
      <c r="EP230" s="228">
        <f>EM230+EJ230</f>
        <v>228.85</v>
      </c>
      <c r="EQ230" s="173">
        <f t="shared" si="633"/>
        <v>0</v>
      </c>
      <c r="ER230" s="189">
        <v>0</v>
      </c>
      <c r="ES230" s="189">
        <v>0</v>
      </c>
      <c r="ET230" s="189">
        <v>0</v>
      </c>
      <c r="EU230" s="189">
        <v>0</v>
      </c>
      <c r="EV230" s="189">
        <v>0</v>
      </c>
      <c r="EW230" s="189">
        <v>0</v>
      </c>
      <c r="EX230" s="189">
        <v>0</v>
      </c>
      <c r="EY230" s="189">
        <v>0</v>
      </c>
      <c r="EZ230" s="189">
        <v>0</v>
      </c>
      <c r="FA230" s="189">
        <v>0</v>
      </c>
      <c r="FB230" s="189">
        <v>0</v>
      </c>
      <c r="FC230" s="189">
        <v>0</v>
      </c>
      <c r="FD230" s="189">
        <v>0</v>
      </c>
      <c r="FE230" s="189">
        <v>0</v>
      </c>
      <c r="FF230" s="189">
        <v>0</v>
      </c>
      <c r="FG230" s="189">
        <v>0</v>
      </c>
      <c r="FH230" s="189">
        <v>0</v>
      </c>
      <c r="FI230" s="189">
        <v>0</v>
      </c>
      <c r="FJ230" s="189">
        <v>0</v>
      </c>
      <c r="FK230" s="189">
        <v>0</v>
      </c>
      <c r="FL230" s="189">
        <v>0</v>
      </c>
      <c r="FN230" s="132">
        <v>0</v>
      </c>
    </row>
    <row r="231" spans="1:170" ht="30.75" customHeight="1">
      <c r="A231" s="88">
        <f>COUNTIF($H$12:H231,H231)</f>
        <v>36</v>
      </c>
      <c r="B231" s="88" t="s">
        <v>2927</v>
      </c>
      <c r="C231" s="88" t="s">
        <v>573</v>
      </c>
      <c r="D231" s="88"/>
      <c r="E231" s="88"/>
      <c r="F231" s="301" t="s">
        <v>965</v>
      </c>
      <c r="G231" s="89" t="s">
        <v>14</v>
      </c>
      <c r="H231" s="88">
        <v>4</v>
      </c>
      <c r="I231" s="88">
        <v>4</v>
      </c>
      <c r="J231" s="88">
        <v>4</v>
      </c>
      <c r="K231" s="90" t="s">
        <v>1078</v>
      </c>
      <c r="L231" s="90" t="s">
        <v>1078</v>
      </c>
      <c r="M231" s="214"/>
      <c r="N231" s="88" t="s">
        <v>1804</v>
      </c>
      <c r="O231" s="216">
        <f>BO231</f>
        <v>3.33</v>
      </c>
      <c r="P231" s="88" t="str">
        <f>IF(BO231&lt;3.33,"B1_3",IF(AND(BO231&gt;=3.33,BO231&lt;4.65),"B1_4",IF(AND(BO231&gt;=4.65,BO231&lt;5.42),"B1_5",IF(AND(BO231&gt;=5.42,BO231&lt;6.44),"B1_6",IF(AND(BO231&gt;=6.44,BO231&lt;=6.92),"B1_7","B1_8")))))</f>
        <v>B1_4</v>
      </c>
      <c r="Q231" s="88">
        <f>IF(M231&gt;0,VLOOKUP(P231,ma_dinhmuc_moi,2,0)/2,VLOOKUP(P231,ma_dinhmuc_moi,2,0))</f>
        <v>270</v>
      </c>
      <c r="R231" s="88">
        <f>IF(M231&gt;0,VLOOKUP(P231,ma_dinhmuc_moi,3,0)/2,VLOOKUP(P231,ma_dinhmuc_moi,3,0))</f>
        <v>120</v>
      </c>
      <c r="S231" s="218" t="s">
        <v>2666</v>
      </c>
      <c r="T231" s="88" t="s">
        <v>3090</v>
      </c>
      <c r="U231" s="88">
        <f>IF(RIGHT(T231,1)="K",(VLOOKUP(T231,ma_miengiam!$A$3:$B$80,2,0)*100)/2,VLOOKUP(T231,ma_miengiam!$A$3:$B$80,2,0)*100)</f>
        <v>15</v>
      </c>
      <c r="V231" s="88"/>
      <c r="W231" s="220">
        <f>W230+W229</f>
        <v>23.625</v>
      </c>
      <c r="X231" s="220">
        <f>X230+X229</f>
        <v>0</v>
      </c>
      <c r="Y231" s="220">
        <f>Y230+Y229</f>
        <v>246.375</v>
      </c>
      <c r="Z231" s="220">
        <f>Z230+Z229</f>
        <v>120</v>
      </c>
      <c r="AA231" s="220">
        <f>Q231</f>
        <v>270</v>
      </c>
      <c r="AB231" s="220">
        <f>R231</f>
        <v>120</v>
      </c>
      <c r="AC231" s="220">
        <f>W231</f>
        <v>23.625</v>
      </c>
      <c r="AD231" s="220">
        <f>X231</f>
        <v>0</v>
      </c>
      <c r="AE231" s="220">
        <f>Y231</f>
        <v>246.375</v>
      </c>
      <c r="AF231" s="220">
        <f>Z231</f>
        <v>120</v>
      </c>
      <c r="AG231" s="220">
        <f>AH231+AI231</f>
        <v>271.55</v>
      </c>
      <c r="AH231" s="220">
        <f>EO231</f>
        <v>228.85</v>
      </c>
      <c r="AI231" s="220">
        <f>EN231</f>
        <v>42.7</v>
      </c>
      <c r="AJ231" s="220">
        <f>IF(AG231-Z231&gt;0,0,AG231-Z231)</f>
        <v>0</v>
      </c>
      <c r="AK231" s="216">
        <f>IF(AJ231&gt;=0,Y231,Y231-AJ231)</f>
        <v>246.375</v>
      </c>
      <c r="AL231" s="220">
        <f>SUM(CP231:CX231)+SUM(DC231:DK231)</f>
        <v>209.9</v>
      </c>
      <c r="AM231" s="220">
        <f>SUM(DQ231:DU231)+SUM(DY231:EC231)</f>
        <v>0</v>
      </c>
      <c r="AN231" s="216">
        <f>AM231+AL231</f>
        <v>209.9</v>
      </c>
      <c r="AO231" s="220">
        <f>CY231+DL231</f>
        <v>0</v>
      </c>
      <c r="AP231" s="220">
        <f>CZ231+DM231</f>
        <v>0</v>
      </c>
      <c r="AQ231" s="220">
        <f>DA231+DN231</f>
        <v>0</v>
      </c>
      <c r="AR231" s="220">
        <f>DV231+ED231</f>
        <v>0</v>
      </c>
      <c r="AS231" s="220">
        <f>DW231+EE231</f>
        <v>0</v>
      </c>
      <c r="AT231" s="216">
        <f>AN231+SUM(AO231:AS231)</f>
        <v>209.9</v>
      </c>
      <c r="AU231" s="220">
        <f>AN231-AK231</f>
        <v>-36.474999999999994</v>
      </c>
      <c r="AV231" s="220"/>
      <c r="AW231" s="220">
        <f>IF(AU231&gt;0,AU231,AV231+AU231)</f>
        <v>-36.474999999999994</v>
      </c>
      <c r="AX231" s="216">
        <f>IF(AN231&gt;AK231,0,IF(AW231&lt;0,AN231-AK231+AV231,IF(AW231&gt;=0,0)))</f>
        <v>-36.474999999999994</v>
      </c>
      <c r="AY231" s="220">
        <f>IF(AN231&gt;=AK231,AO231,IF(AN231+AO231-AK231&gt;=0,AN231+AO231-AK231,0))</f>
        <v>0</v>
      </c>
      <c r="AZ231" s="220">
        <f>IF(OR(AN231&gt;=AK231,AN231+AO231&gt;=AK231),AP231,IF(AN231+AO231+AP231&gt;AK231,AN231+AO231+AP231-AK231,0))</f>
        <v>0</v>
      </c>
      <c r="BA231" s="220">
        <f>IF(OR(AN231&gt;=AK231,AN231+AO231&gt;=AK231,AN231+AO231+AP231&gt;=AK231),AQ231,IF(AN231+AO231+AP231+AQ231&gt;=AK231,AN231+AO231+AP231+AQ231-AK231,0))</f>
        <v>0</v>
      </c>
      <c r="BB231" s="220">
        <f>IF(OR(AN231&gt;=AK231,AN231+AO231&gt;=AK231,AN231+AO231+AP231&gt;=AK231,AN231+AO231+AP231+AQ231&gt;=AK231),AR231,IF(AN231+AO231+AP231+AQ231+AR231&gt;=AK231,AN231+AO231+AP231+AQ231+AR231-AK231,0))</f>
        <v>0</v>
      </c>
      <c r="BC231" s="220">
        <f>IF(OR(AN231&gt;=AK231,AN231+AO231&gt;=AK231,AN231+AO231+AP231&gt;=AK231,AN231+AO231+AP231+AQ231&gt;=AK231,AN231+AO231+AP231+AQ231+AR231&gt;=AK231),AS231,IF(AN231+AO231+AP231+AQ231+AR231+AS231&gt;=AK231,AN231+AO231+AP231+AQ231+AR231+AS231-AK231,0))</f>
        <v>0</v>
      </c>
      <c r="BD231" s="216">
        <f>SUM(AY231:BC231)</f>
        <v>0</v>
      </c>
      <c r="BE231" s="220">
        <f>AY231-AO231</f>
        <v>0</v>
      </c>
      <c r="BF231" s="220">
        <f>AZ231-AP231</f>
        <v>0</v>
      </c>
      <c r="BG231" s="220">
        <f>BA231-AQ231</f>
        <v>0</v>
      </c>
      <c r="BH231" s="220">
        <f>BB231-AR231</f>
        <v>0</v>
      </c>
      <c r="BI231" s="220">
        <f>BC231-AS231</f>
        <v>0</v>
      </c>
      <c r="BJ231" s="220" t="s">
        <v>2412</v>
      </c>
      <c r="BK231" s="220"/>
      <c r="BL231" s="223">
        <f>IF(AW231&lt;BK231,0,IF(AND(BK231=0,AW231&gt;0),AW231,IF(AW231&lt;0,0,IF(BK231&gt;0,AW231-BK231,IF(BK231&lt;0,0,AW231)))))</f>
        <v>0</v>
      </c>
      <c r="BM231" s="220">
        <v>3.33</v>
      </c>
      <c r="BN231" s="220"/>
      <c r="BO231" s="220">
        <f>ROUND(BM231+(BM231*BN231),2)</f>
        <v>3.33</v>
      </c>
      <c r="BP231" s="220">
        <f>IF(AND(BL231&gt;0,BL231&lt;tiet!$D$1),BL231,IF(BL231&lt;=0,0,IF(BL231&gt;tiet!$C$1,tiet!$C$1)))</f>
        <v>0</v>
      </c>
      <c r="BQ231" s="87">
        <f>VLOOKUP(P231,ma_dinhmuc_moi,4,0)</f>
        <v>65000</v>
      </c>
      <c r="BR231" s="224">
        <f>ROUND(BQ231*BP231,0)</f>
        <v>0</v>
      </c>
      <c r="BS231" s="220">
        <f t="shared" si="630"/>
        <v>0</v>
      </c>
      <c r="BT231" s="224">
        <f>VLOOKUP(N231,ma_dinhmuc!$A$1:$J$31,10,0)</f>
        <v>51000</v>
      </c>
      <c r="BU231" s="224">
        <f>ROUND(IF(BS231&gt;0,VLOOKUP(N231,ma_dinhmuc!$A$1:$J$31,10,0)*BS231,0),0)</f>
        <v>0</v>
      </c>
      <c r="BV231" s="224">
        <f>ROUND(BU231+BR231,0)</f>
        <v>0</v>
      </c>
      <c r="BW231" s="224"/>
      <c r="BX231" s="224">
        <v>0</v>
      </c>
      <c r="BY231" s="224"/>
      <c r="BZ231" s="224"/>
      <c r="CA231" s="224"/>
      <c r="CB231" s="224"/>
      <c r="CC231" s="225">
        <f>ROUND(IF(BV231+BW231&gt;BX231+BY231+BZ231+CA231+CB231,(BW231+BV231)-(BX231+BY231+BZ231+CA231+CB231+CB231),0),0)</f>
        <v>0</v>
      </c>
      <c r="CD231" s="224">
        <f>ROUND(IF(BV231+BW231&lt;BX231+BY231+BZ231+CA231-CB231,(BX231+BY231+BZ231+CA231-CB231)-(BW231+BV231),0),0)</f>
        <v>0</v>
      </c>
      <c r="CE231" s="224"/>
      <c r="CF231" s="226"/>
      <c r="CG231" s="87"/>
      <c r="CH231" s="87">
        <f>A231</f>
        <v>36</v>
      </c>
      <c r="CI231" s="227" t="str">
        <f>F231</f>
        <v>Lê Anh</v>
      </c>
      <c r="CJ231" s="227" t="str">
        <f t="shared" si="670"/>
        <v>Sơn</v>
      </c>
      <c r="CK231" s="87">
        <f t="shared" si="717"/>
        <v>4</v>
      </c>
      <c r="CL231" s="227" t="str">
        <f>L231</f>
        <v>Động lực</v>
      </c>
      <c r="CM231" s="87" t="str">
        <f>N231</f>
        <v>CS2</v>
      </c>
      <c r="CN231" s="87">
        <f t="shared" si="718"/>
        <v>270</v>
      </c>
      <c r="CO231" s="87">
        <f t="shared" si="718"/>
        <v>120</v>
      </c>
      <c r="CP231" s="229">
        <f t="shared" si="634"/>
        <v>0</v>
      </c>
      <c r="CQ231" s="229">
        <f t="shared" si="635"/>
        <v>17</v>
      </c>
      <c r="CR231" s="229">
        <f t="shared" si="636"/>
        <v>6.9</v>
      </c>
      <c r="CS231" s="229">
        <f t="shared" si="637"/>
        <v>28</v>
      </c>
      <c r="CT231" s="229">
        <f t="shared" si="638"/>
        <v>0</v>
      </c>
      <c r="CU231" s="229">
        <f t="shared" si="639"/>
        <v>66</v>
      </c>
      <c r="CV231" s="229">
        <f t="shared" si="640"/>
        <v>0</v>
      </c>
      <c r="CW231" s="229">
        <f t="shared" si="641"/>
        <v>92</v>
      </c>
      <c r="CX231" s="229">
        <f t="shared" si="642"/>
        <v>0</v>
      </c>
      <c r="CY231" s="229">
        <f t="shared" si="643"/>
        <v>0</v>
      </c>
      <c r="CZ231" s="229">
        <f t="shared" si="644"/>
        <v>0</v>
      </c>
      <c r="DA231" s="229">
        <f t="shared" si="645"/>
        <v>0</v>
      </c>
      <c r="DB231" s="228">
        <f>SUM(CP231:DA231)</f>
        <v>209.9</v>
      </c>
      <c r="DC231" s="229"/>
      <c r="DD231" s="229"/>
      <c r="DE231" s="229"/>
      <c r="DF231" s="229"/>
      <c r="DG231" s="229"/>
      <c r="DH231" s="229"/>
      <c r="DI231" s="229"/>
      <c r="DJ231" s="229"/>
      <c r="DK231" s="229"/>
      <c r="DL231" s="229"/>
      <c r="DM231" s="229"/>
      <c r="DN231" s="229"/>
      <c r="DO231" s="228">
        <f>SUM(DC231:DN231)</f>
        <v>0</v>
      </c>
      <c r="DP231" s="228">
        <f>DO231+DB231</f>
        <v>209.9</v>
      </c>
      <c r="DQ231" s="229">
        <f t="shared" si="646"/>
        <v>0</v>
      </c>
      <c r="DR231" s="229">
        <f t="shared" si="647"/>
        <v>0</v>
      </c>
      <c r="DS231" s="229">
        <f t="shared" si="648"/>
        <v>0</v>
      </c>
      <c r="DT231" s="229">
        <f t="shared" si="649"/>
        <v>0</v>
      </c>
      <c r="DU231" s="229">
        <f t="shared" si="650"/>
        <v>0</v>
      </c>
      <c r="DV231" s="229">
        <f t="shared" si="651"/>
        <v>0</v>
      </c>
      <c r="DW231" s="229">
        <f t="shared" si="652"/>
        <v>0</v>
      </c>
      <c r="DX231" s="228">
        <f>SUM(DQ231:DW231)</f>
        <v>0</v>
      </c>
      <c r="DY231" s="229"/>
      <c r="DZ231" s="229"/>
      <c r="EA231" s="229"/>
      <c r="EB231" s="229"/>
      <c r="EC231" s="229"/>
      <c r="ED231" s="229"/>
      <c r="EE231" s="229"/>
      <c r="EF231" s="228">
        <f t="shared" si="631"/>
        <v>0</v>
      </c>
      <c r="EG231" s="228">
        <f>EF231+DX231</f>
        <v>0</v>
      </c>
      <c r="EH231" s="229">
        <f t="shared" si="632"/>
        <v>42.7</v>
      </c>
      <c r="EI231" s="229">
        <v>228.85</v>
      </c>
      <c r="EJ231" s="228">
        <f t="shared" si="719"/>
        <v>271.55</v>
      </c>
      <c r="EK231" s="229"/>
      <c r="EL231" s="229"/>
      <c r="EM231" s="228">
        <f t="shared" si="658"/>
        <v>0</v>
      </c>
      <c r="EN231" s="229">
        <f>EK231+EH231+EL231</f>
        <v>42.7</v>
      </c>
      <c r="EO231" s="229">
        <f>EI231</f>
        <v>228.85</v>
      </c>
      <c r="EP231" s="228">
        <f>EM231+EJ231</f>
        <v>271.55</v>
      </c>
      <c r="EQ231" s="173">
        <f t="shared" si="633"/>
        <v>0</v>
      </c>
      <c r="ER231" s="189">
        <v>0</v>
      </c>
      <c r="ES231" s="189">
        <v>17</v>
      </c>
      <c r="ET231" s="189">
        <v>6.9</v>
      </c>
      <c r="EU231" s="189">
        <v>28</v>
      </c>
      <c r="EV231" s="189">
        <v>0</v>
      </c>
      <c r="EW231" s="189">
        <v>66</v>
      </c>
      <c r="EX231" s="189">
        <v>0</v>
      </c>
      <c r="EY231" s="189">
        <v>92</v>
      </c>
      <c r="EZ231" s="189">
        <v>0</v>
      </c>
      <c r="FA231" s="189">
        <v>0</v>
      </c>
      <c r="FB231" s="189">
        <v>0</v>
      </c>
      <c r="FC231" s="189">
        <v>0</v>
      </c>
      <c r="FD231" s="189">
        <v>0</v>
      </c>
      <c r="FE231" s="189">
        <v>0</v>
      </c>
      <c r="FF231" s="189">
        <v>0</v>
      </c>
      <c r="FG231" s="189">
        <v>0</v>
      </c>
      <c r="FH231" s="189">
        <v>0</v>
      </c>
      <c r="FI231" s="189">
        <v>0</v>
      </c>
      <c r="FJ231" s="189">
        <v>0</v>
      </c>
      <c r="FK231" s="189">
        <v>209.9</v>
      </c>
      <c r="FL231" s="189">
        <v>180</v>
      </c>
      <c r="FN231" s="132">
        <v>42.7</v>
      </c>
    </row>
    <row r="232" spans="1:170" ht="30" customHeight="1">
      <c r="A232" s="88">
        <f>COUNTIF($H$12:H232,H232)</f>
        <v>37</v>
      </c>
      <c r="B232" s="88" t="s">
        <v>2926</v>
      </c>
      <c r="C232" s="88" t="s">
        <v>572</v>
      </c>
      <c r="D232" s="88"/>
      <c r="E232" s="88"/>
      <c r="F232" s="301" t="s">
        <v>2190</v>
      </c>
      <c r="G232" s="303" t="s">
        <v>2089</v>
      </c>
      <c r="H232" s="88">
        <v>4</v>
      </c>
      <c r="I232" s="88">
        <v>4</v>
      </c>
      <c r="J232" s="88">
        <v>4</v>
      </c>
      <c r="K232" s="90" t="s">
        <v>1078</v>
      </c>
      <c r="L232" s="90" t="s">
        <v>1078</v>
      </c>
      <c r="M232" s="214"/>
      <c r="N232" s="88" t="s">
        <v>1804</v>
      </c>
      <c r="O232" s="216">
        <f t="shared" si="709"/>
        <v>2.67</v>
      </c>
      <c r="P232" s="88" t="str">
        <f t="shared" si="663"/>
        <v>B1_3</v>
      </c>
      <c r="Q232" s="88">
        <f t="shared" si="527"/>
        <v>270</v>
      </c>
      <c r="R232" s="88">
        <f t="shared" si="528"/>
        <v>100</v>
      </c>
      <c r="S232" s="218" t="s">
        <v>3134</v>
      </c>
      <c r="T232" s="88" t="s">
        <v>2961</v>
      </c>
      <c r="U232" s="88">
        <f>IF(RIGHT(T232,1)="K",(VLOOKUP(T232,ma_miengiam!$A$3:$B$80,2,0)*100)/2,VLOOKUP(T232,ma_miengiam!$A$3:$B$80,2,0)*100)</f>
        <v>100</v>
      </c>
      <c r="V232" s="88"/>
      <c r="W232" s="220">
        <f>IF(AND(T232="NTS",V232&gt;0),(Q232-(Q232*V232)/12)*VLOOKUP(T232,ma_miengiam!$A$3:$B$80,2,0)+(Q232-(Q232*(12-V232))/12),IF(AND(RIGHT(T232,1)="K",V232&gt;0),(VLOOKUP(T232,ma_miengiam!$A$3:$B$80,2,0)/2)*(Q232*V232)/12,IF(RIGHT(T232,1)="K",(VLOOKUP(T232,ma_miengiam!$A$3:$B$80,2,0)*Q232)/2,IF(V232&gt;0,VLOOKUP(T232,ma_miengiam!$A$3:$B$80,2,0)*Q232*V232/12,VLOOKUP(T232,ma_miengiam!$A$3:$B$80,2,0)*Q232))))</f>
        <v>270</v>
      </c>
      <c r="X232" s="220">
        <f>IF(T232="NTS",VLOOKUP(T232,ma_miengiam!$A$3:$B$80,2,0)*R232*V232,IF(AND(T232="NTS",V232=0),0,IF(AND(LEFT(T232,1)="K",V232=0),VLOOKUP(T232,ma_miengiam!$A$3:$B$80,2,0)*R232,IF(LEFT(T232,1)="K",(VLOOKUP(T232,ma_miengiam!$A$3:$B$80,2,0)*R232/12)*V232,IF(AND(LEFT(T232,1)="S",V232&gt;0),(R232/12)*V232,IF(AND(LEFT(T232,1)="S",V232=0),R232,IF(T232="DH",VLOOKUP(T232,ma_miengiam!$A$3:$B$80,2,0)*R232,0)))))))</f>
        <v>100</v>
      </c>
      <c r="Y232" s="220">
        <f t="shared" si="703"/>
        <v>0</v>
      </c>
      <c r="Z232" s="220">
        <f t="shared" si="710"/>
        <v>0</v>
      </c>
      <c r="AA232" s="220">
        <f>Q232</f>
        <v>270</v>
      </c>
      <c r="AB232" s="220">
        <f>R232</f>
        <v>100</v>
      </c>
      <c r="AC232" s="220">
        <f t="shared" si="711"/>
        <v>270</v>
      </c>
      <c r="AD232" s="220">
        <f t="shared" si="711"/>
        <v>100</v>
      </c>
      <c r="AE232" s="220">
        <f t="shared" si="711"/>
        <v>0</v>
      </c>
      <c r="AF232" s="220">
        <f t="shared" si="711"/>
        <v>0</v>
      </c>
      <c r="AG232" s="220">
        <f t="shared" si="655"/>
        <v>191.67000000000002</v>
      </c>
      <c r="AH232" s="220">
        <f t="shared" si="656"/>
        <v>137.5</v>
      </c>
      <c r="AI232" s="220">
        <f t="shared" si="657"/>
        <v>54.17</v>
      </c>
      <c r="AJ232" s="220">
        <f>IF(AG232-Z232&gt;0,0,AG232-Z232)</f>
        <v>0</v>
      </c>
      <c r="AK232" s="216">
        <f t="shared" si="604"/>
        <v>0</v>
      </c>
      <c r="AL232" s="220">
        <f t="shared" si="611"/>
        <v>0</v>
      </c>
      <c r="AM232" s="220">
        <f t="shared" si="612"/>
        <v>0</v>
      </c>
      <c r="AN232" s="216">
        <f t="shared" si="613"/>
        <v>0</v>
      </c>
      <c r="AO232" s="220">
        <f t="shared" si="614"/>
        <v>0</v>
      </c>
      <c r="AP232" s="220">
        <f t="shared" si="615"/>
        <v>0</v>
      </c>
      <c r="AQ232" s="220">
        <f t="shared" si="616"/>
        <v>0</v>
      </c>
      <c r="AR232" s="220">
        <f t="shared" si="617"/>
        <v>0</v>
      </c>
      <c r="AS232" s="220">
        <f t="shared" si="618"/>
        <v>0</v>
      </c>
      <c r="AT232" s="216">
        <f t="shared" si="619"/>
        <v>0</v>
      </c>
      <c r="AU232" s="220">
        <f>AN232-AK232</f>
        <v>0</v>
      </c>
      <c r="AV232" s="220"/>
      <c r="AW232" s="220">
        <f t="shared" si="680"/>
        <v>0</v>
      </c>
      <c r="AX232" s="216">
        <f t="shared" si="620"/>
        <v>0</v>
      </c>
      <c r="AY232" s="220">
        <f t="shared" si="681"/>
        <v>0</v>
      </c>
      <c r="AZ232" s="220">
        <f t="shared" si="682"/>
        <v>0</v>
      </c>
      <c r="BA232" s="220">
        <f t="shared" si="683"/>
        <v>0</v>
      </c>
      <c r="BB232" s="220">
        <f t="shared" si="684"/>
        <v>0</v>
      </c>
      <c r="BC232" s="220">
        <f t="shared" si="685"/>
        <v>0</v>
      </c>
      <c r="BD232" s="216">
        <f t="shared" si="575"/>
        <v>0</v>
      </c>
      <c r="BE232" s="220">
        <f t="shared" si="686"/>
        <v>0</v>
      </c>
      <c r="BF232" s="220">
        <f t="shared" si="687"/>
        <v>0</v>
      </c>
      <c r="BG232" s="220">
        <f t="shared" si="688"/>
        <v>0</v>
      </c>
      <c r="BH232" s="220">
        <f t="shared" si="689"/>
        <v>0</v>
      </c>
      <c r="BI232" s="220">
        <f t="shared" si="690"/>
        <v>0</v>
      </c>
      <c r="BJ232" s="220" t="s">
        <v>2412</v>
      </c>
      <c r="BK232" s="220"/>
      <c r="BL232" s="223">
        <f t="shared" si="582"/>
        <v>0</v>
      </c>
      <c r="BM232" s="220">
        <v>2.67</v>
      </c>
      <c r="BN232" s="220"/>
      <c r="BO232" s="220">
        <f t="shared" si="704"/>
        <v>2.67</v>
      </c>
      <c r="BP232" s="220">
        <f>IF(AND(BL232&gt;0,BL232&lt;tiet!$D$1),BL232,IF(BL232&lt;=0,0,IF(BL232&gt;tiet!$C$1,tiet!$C$1)))</f>
        <v>0</v>
      </c>
      <c r="BQ232" s="87">
        <f t="shared" si="712"/>
        <v>60000</v>
      </c>
      <c r="BR232" s="224">
        <f t="shared" si="713"/>
        <v>0</v>
      </c>
      <c r="BS232" s="220">
        <f t="shared" si="630"/>
        <v>0</v>
      </c>
      <c r="BT232" s="224">
        <f>VLOOKUP(N232,ma_dinhmuc!$A$1:$J$31,10,0)</f>
        <v>51000</v>
      </c>
      <c r="BU232" s="224">
        <f>ROUND(IF(BS232&gt;0,VLOOKUP(N232,ma_dinhmuc!$A$1:$J$31,10,0)*BS232,0),0)</f>
        <v>0</v>
      </c>
      <c r="BV232" s="224">
        <f t="shared" si="714"/>
        <v>0</v>
      </c>
      <c r="BW232" s="224"/>
      <c r="BX232" s="224">
        <v>0</v>
      </c>
      <c r="BY232" s="224"/>
      <c r="BZ232" s="224"/>
      <c r="CA232" s="224"/>
      <c r="CB232" s="224"/>
      <c r="CC232" s="225">
        <f t="shared" si="715"/>
        <v>0</v>
      </c>
      <c r="CD232" s="224">
        <f t="shared" si="716"/>
        <v>0</v>
      </c>
      <c r="CE232" s="224"/>
      <c r="CF232" s="226"/>
      <c r="CG232" s="87"/>
      <c r="CH232" s="87">
        <f t="shared" si="705"/>
        <v>37</v>
      </c>
      <c r="CI232" s="227" t="str">
        <f t="shared" si="699"/>
        <v>Nguyễn Trọng</v>
      </c>
      <c r="CJ232" s="227" t="str">
        <f t="shared" si="670"/>
        <v>Minh</v>
      </c>
      <c r="CK232" s="87">
        <f t="shared" si="717"/>
        <v>4</v>
      </c>
      <c r="CL232" s="227" t="str">
        <f t="shared" ref="CL232:CL248" si="720">L232</f>
        <v>Động lực</v>
      </c>
      <c r="CM232" s="87" t="str">
        <f t="shared" si="691"/>
        <v>CS2</v>
      </c>
      <c r="CN232" s="87">
        <f t="shared" si="718"/>
        <v>270</v>
      </c>
      <c r="CO232" s="87">
        <f t="shared" si="718"/>
        <v>100</v>
      </c>
      <c r="CP232" s="229">
        <f t="shared" si="634"/>
        <v>0</v>
      </c>
      <c r="CQ232" s="229">
        <f t="shared" si="635"/>
        <v>0</v>
      </c>
      <c r="CR232" s="229">
        <f t="shared" si="636"/>
        <v>0</v>
      </c>
      <c r="CS232" s="229">
        <f t="shared" si="637"/>
        <v>0</v>
      </c>
      <c r="CT232" s="229">
        <f t="shared" si="638"/>
        <v>0</v>
      </c>
      <c r="CU232" s="229">
        <f t="shared" si="639"/>
        <v>0</v>
      </c>
      <c r="CV232" s="229">
        <f t="shared" si="640"/>
        <v>0</v>
      </c>
      <c r="CW232" s="229">
        <f t="shared" si="641"/>
        <v>0</v>
      </c>
      <c r="CX232" s="229">
        <f t="shared" si="642"/>
        <v>0</v>
      </c>
      <c r="CY232" s="229">
        <f t="shared" si="643"/>
        <v>0</v>
      </c>
      <c r="CZ232" s="229">
        <f t="shared" si="644"/>
        <v>0</v>
      </c>
      <c r="DA232" s="229">
        <f t="shared" si="645"/>
        <v>0</v>
      </c>
      <c r="DB232" s="228">
        <f t="shared" si="606"/>
        <v>0</v>
      </c>
      <c r="DC232" s="229"/>
      <c r="DD232" s="229"/>
      <c r="DE232" s="229"/>
      <c r="DF232" s="229"/>
      <c r="DG232" s="229"/>
      <c r="DH232" s="229"/>
      <c r="DI232" s="229"/>
      <c r="DJ232" s="229"/>
      <c r="DK232" s="229"/>
      <c r="DL232" s="229"/>
      <c r="DM232" s="229"/>
      <c r="DN232" s="229"/>
      <c r="DO232" s="228">
        <f t="shared" si="622"/>
        <v>0</v>
      </c>
      <c r="DP232" s="228">
        <f t="shared" si="623"/>
        <v>0</v>
      </c>
      <c r="DQ232" s="229">
        <f t="shared" si="646"/>
        <v>0</v>
      </c>
      <c r="DR232" s="229">
        <f t="shared" si="647"/>
        <v>0</v>
      </c>
      <c r="DS232" s="229">
        <f t="shared" si="648"/>
        <v>0</v>
      </c>
      <c r="DT232" s="229">
        <f t="shared" si="649"/>
        <v>0</v>
      </c>
      <c r="DU232" s="229">
        <f t="shared" si="650"/>
        <v>0</v>
      </c>
      <c r="DV232" s="229">
        <f t="shared" si="651"/>
        <v>0</v>
      </c>
      <c r="DW232" s="229">
        <f t="shared" si="652"/>
        <v>0</v>
      </c>
      <c r="DX232" s="228">
        <f t="shared" si="607"/>
        <v>0</v>
      </c>
      <c r="DY232" s="229"/>
      <c r="DZ232" s="229"/>
      <c r="EA232" s="229"/>
      <c r="EB232" s="229"/>
      <c r="EC232" s="229"/>
      <c r="ED232" s="229"/>
      <c r="EE232" s="229"/>
      <c r="EF232" s="228">
        <f t="shared" si="631"/>
        <v>0</v>
      </c>
      <c r="EG232" s="228">
        <f t="shared" si="624"/>
        <v>0</v>
      </c>
      <c r="EH232" s="229">
        <f t="shared" si="632"/>
        <v>54.17</v>
      </c>
      <c r="EI232" s="229">
        <v>137.5</v>
      </c>
      <c r="EJ232" s="228">
        <f t="shared" si="719"/>
        <v>191.67000000000002</v>
      </c>
      <c r="EK232" s="229"/>
      <c r="EL232" s="229"/>
      <c r="EM232" s="228">
        <f t="shared" si="658"/>
        <v>0</v>
      </c>
      <c r="EN232" s="229">
        <f t="shared" si="708"/>
        <v>54.17</v>
      </c>
      <c r="EO232" s="229">
        <f>EI232</f>
        <v>137.5</v>
      </c>
      <c r="EP232" s="228">
        <f t="shared" si="700"/>
        <v>191.67000000000002</v>
      </c>
      <c r="EQ232" s="173">
        <f t="shared" si="633"/>
        <v>54.17</v>
      </c>
      <c r="ER232" s="189">
        <v>0</v>
      </c>
      <c r="ES232" s="189">
        <v>0</v>
      </c>
      <c r="ET232" s="189">
        <v>0</v>
      </c>
      <c r="EU232" s="189">
        <v>0</v>
      </c>
      <c r="EV232" s="189">
        <v>0</v>
      </c>
      <c r="EW232" s="189">
        <v>0</v>
      </c>
      <c r="EX232" s="189">
        <v>0</v>
      </c>
      <c r="EY232" s="189">
        <v>0</v>
      </c>
      <c r="EZ232" s="189">
        <v>0</v>
      </c>
      <c r="FA232" s="189">
        <v>0</v>
      </c>
      <c r="FB232" s="189">
        <v>0</v>
      </c>
      <c r="FC232" s="189">
        <v>0</v>
      </c>
      <c r="FD232" s="189">
        <v>0</v>
      </c>
      <c r="FE232" s="189">
        <v>0</v>
      </c>
      <c r="FF232" s="189">
        <v>0</v>
      </c>
      <c r="FG232" s="189">
        <v>0</v>
      </c>
      <c r="FH232" s="189">
        <v>0</v>
      </c>
      <c r="FI232" s="189">
        <v>0</v>
      </c>
      <c r="FJ232" s="189">
        <v>0</v>
      </c>
      <c r="FK232" s="189">
        <v>0</v>
      </c>
      <c r="FL232" s="189">
        <v>0</v>
      </c>
      <c r="FN232" s="132">
        <v>54.17</v>
      </c>
    </row>
    <row r="233" spans="1:170" ht="31.5" customHeight="1">
      <c r="A233" s="88">
        <f>COUNTIF($H$12:H233,H233)</f>
        <v>38</v>
      </c>
      <c r="B233" s="88" t="s">
        <v>2928</v>
      </c>
      <c r="C233" s="88" t="s">
        <v>574</v>
      </c>
      <c r="D233" s="88"/>
      <c r="E233" s="88"/>
      <c r="F233" s="301" t="s">
        <v>966</v>
      </c>
      <c r="G233" s="303" t="s">
        <v>1658</v>
      </c>
      <c r="H233" s="88">
        <v>4</v>
      </c>
      <c r="I233" s="88">
        <v>4</v>
      </c>
      <c r="J233" s="88">
        <v>4</v>
      </c>
      <c r="K233" s="90" t="s">
        <v>1078</v>
      </c>
      <c r="L233" s="90" t="s">
        <v>1078</v>
      </c>
      <c r="M233" s="214"/>
      <c r="N233" s="88" t="s">
        <v>1804</v>
      </c>
      <c r="O233" s="216">
        <f t="shared" si="709"/>
        <v>3.33</v>
      </c>
      <c r="P233" s="88" t="str">
        <f t="shared" si="663"/>
        <v>B1_4</v>
      </c>
      <c r="Q233" s="88">
        <f t="shared" si="527"/>
        <v>270</v>
      </c>
      <c r="R233" s="88">
        <f t="shared" si="528"/>
        <v>120</v>
      </c>
      <c r="S233" s="218" t="s">
        <v>3177</v>
      </c>
      <c r="T233" s="88" t="s">
        <v>2961</v>
      </c>
      <c r="U233" s="88">
        <f>IF(RIGHT(T233,1)="K",(VLOOKUP(T233,ma_miengiam!$A$3:$B$80,2,0)*100)/2,VLOOKUP(T233,ma_miengiam!$A$3:$B$80,2,0)*100)</f>
        <v>100</v>
      </c>
      <c r="V233" s="88"/>
      <c r="W233" s="220">
        <f>IF(AND(T233="NTS",V233&gt;0),(Q233-(Q233*V233)/12)*VLOOKUP(T233,ma_miengiam!$A$3:$B$80,2,0)+(Q233-(Q233*(12-V233))/12),IF(AND(RIGHT(T233,1)="K",V233&gt;0),(VLOOKUP(T233,ma_miengiam!$A$3:$B$80,2,0)/2)*(Q233*V233)/12,IF(RIGHT(T233,1)="K",(VLOOKUP(T233,ma_miengiam!$A$3:$B$80,2,0)*Q233)/2,IF(V233&gt;0,VLOOKUP(T233,ma_miengiam!$A$3:$B$80,2,0)*Q233*V233/12,VLOOKUP(T233,ma_miengiam!$A$3:$B$80,2,0)*Q233))))</f>
        <v>270</v>
      </c>
      <c r="X233" s="220">
        <f>IF(T233="NTS",VLOOKUP(T233,ma_miengiam!$A$3:$B$80,2,0)*R233*V233,IF(AND(T233="NTS",V233=0),0,IF(AND(LEFT(T233,1)="K",V233=0),VLOOKUP(T233,ma_miengiam!$A$3:$B$80,2,0)*R233,IF(LEFT(T233,1)="K",(VLOOKUP(T233,ma_miengiam!$A$3:$B$80,2,0)*R233/12)*V233,IF(AND(LEFT(T233,1)="S",V233&gt;0),(R233/12)*V233,IF(AND(LEFT(T233,1)="S",V233=0),R233,IF(T233="DH",VLOOKUP(T233,ma_miengiam!$A$3:$B$80,2,0)*R233,0)))))))</f>
        <v>120</v>
      </c>
      <c r="Y233" s="220">
        <f t="shared" si="703"/>
        <v>0</v>
      </c>
      <c r="Z233" s="220">
        <f t="shared" si="710"/>
        <v>0</v>
      </c>
      <c r="AA233" s="220">
        <f t="shared" ref="AA233:AB235" si="721">Q233</f>
        <v>270</v>
      </c>
      <c r="AB233" s="220">
        <f t="shared" si="721"/>
        <v>120</v>
      </c>
      <c r="AC233" s="220">
        <f t="shared" si="711"/>
        <v>270</v>
      </c>
      <c r="AD233" s="220">
        <f t="shared" si="711"/>
        <v>120</v>
      </c>
      <c r="AE233" s="220">
        <f t="shared" si="711"/>
        <v>0</v>
      </c>
      <c r="AF233" s="220">
        <f t="shared" si="711"/>
        <v>0</v>
      </c>
      <c r="AG233" s="220">
        <f t="shared" si="655"/>
        <v>35</v>
      </c>
      <c r="AH233" s="220">
        <f t="shared" si="656"/>
        <v>35</v>
      </c>
      <c r="AI233" s="220">
        <f t="shared" si="657"/>
        <v>0</v>
      </c>
      <c r="AJ233" s="220">
        <f>IF(AG233-Z233&gt;0,0,AG233-Z233)</f>
        <v>0</v>
      </c>
      <c r="AK233" s="216">
        <f t="shared" si="604"/>
        <v>0</v>
      </c>
      <c r="AL233" s="220">
        <f t="shared" si="611"/>
        <v>0</v>
      </c>
      <c r="AM233" s="220">
        <f t="shared" si="612"/>
        <v>0</v>
      </c>
      <c r="AN233" s="221">
        <f t="shared" si="613"/>
        <v>0</v>
      </c>
      <c r="AO233" s="220">
        <f t="shared" si="614"/>
        <v>0</v>
      </c>
      <c r="AP233" s="220">
        <f t="shared" si="615"/>
        <v>0</v>
      </c>
      <c r="AQ233" s="220">
        <f t="shared" si="616"/>
        <v>0</v>
      </c>
      <c r="AR233" s="220">
        <f t="shared" si="617"/>
        <v>0</v>
      </c>
      <c r="AS233" s="220">
        <f t="shared" si="618"/>
        <v>0</v>
      </c>
      <c r="AT233" s="216">
        <f t="shared" si="619"/>
        <v>0</v>
      </c>
      <c r="AU233" s="222">
        <f t="shared" ref="AU233:AU283" si="722">AN233-AK233</f>
        <v>0</v>
      </c>
      <c r="AV233" s="220"/>
      <c r="AW233" s="220">
        <f t="shared" si="680"/>
        <v>0</v>
      </c>
      <c r="AX233" s="216">
        <f t="shared" si="620"/>
        <v>0</v>
      </c>
      <c r="AY233" s="220">
        <f t="shared" si="681"/>
        <v>0</v>
      </c>
      <c r="AZ233" s="220">
        <f t="shared" si="682"/>
        <v>0</v>
      </c>
      <c r="BA233" s="220">
        <f t="shared" si="683"/>
        <v>0</v>
      </c>
      <c r="BB233" s="220">
        <f t="shared" si="684"/>
        <v>0</v>
      </c>
      <c r="BC233" s="220">
        <f t="shared" si="685"/>
        <v>0</v>
      </c>
      <c r="BD233" s="216">
        <f t="shared" si="575"/>
        <v>0</v>
      </c>
      <c r="BE233" s="220">
        <f t="shared" si="686"/>
        <v>0</v>
      </c>
      <c r="BF233" s="220">
        <f t="shared" si="687"/>
        <v>0</v>
      </c>
      <c r="BG233" s="220">
        <f t="shared" si="688"/>
        <v>0</v>
      </c>
      <c r="BH233" s="220">
        <f t="shared" si="689"/>
        <v>0</v>
      </c>
      <c r="BI233" s="220">
        <f t="shared" si="690"/>
        <v>0</v>
      </c>
      <c r="BJ233" s="220" t="s">
        <v>2412</v>
      </c>
      <c r="BK233" s="220"/>
      <c r="BL233" s="223">
        <f t="shared" si="582"/>
        <v>0</v>
      </c>
      <c r="BM233" s="220">
        <v>3.33</v>
      </c>
      <c r="BN233" s="220"/>
      <c r="BO233" s="220">
        <f t="shared" si="704"/>
        <v>3.33</v>
      </c>
      <c r="BP233" s="220">
        <f>IF(AND(BL233&gt;0,BL233&lt;tiet!$D$1),BL233,IF(BL233&lt;=0,0,IF(BL233&gt;tiet!$C$1,tiet!$C$1)))</f>
        <v>0</v>
      </c>
      <c r="BQ233" s="87">
        <f t="shared" si="712"/>
        <v>65000</v>
      </c>
      <c r="BR233" s="224">
        <f t="shared" si="713"/>
        <v>0</v>
      </c>
      <c r="BS233" s="220">
        <f t="shared" si="630"/>
        <v>0</v>
      </c>
      <c r="BT233" s="224">
        <f>VLOOKUP(N233,ma_dinhmuc!$A$1:$J$31,10,0)</f>
        <v>51000</v>
      </c>
      <c r="BU233" s="224">
        <f>ROUND(IF(BS233&gt;0,VLOOKUP(N233,ma_dinhmuc!$A$1:$J$31,10,0)*BS233,0),0)</f>
        <v>0</v>
      </c>
      <c r="BV233" s="224">
        <f t="shared" si="714"/>
        <v>0</v>
      </c>
      <c r="BW233" s="224"/>
      <c r="BX233" s="224">
        <v>0</v>
      </c>
      <c r="BY233" s="224"/>
      <c r="BZ233" s="224"/>
      <c r="CA233" s="224"/>
      <c r="CB233" s="224"/>
      <c r="CC233" s="225">
        <f t="shared" si="715"/>
        <v>0</v>
      </c>
      <c r="CD233" s="224">
        <f t="shared" si="716"/>
        <v>0</v>
      </c>
      <c r="CE233" s="224"/>
      <c r="CF233" s="226"/>
      <c r="CG233" s="87"/>
      <c r="CH233" s="87">
        <f t="shared" si="705"/>
        <v>38</v>
      </c>
      <c r="CI233" s="227" t="str">
        <f>F233</f>
        <v>Đặng Ngọc</v>
      </c>
      <c r="CJ233" s="227" t="str">
        <f t="shared" si="670"/>
        <v>Danh</v>
      </c>
      <c r="CK233" s="87">
        <f t="shared" si="717"/>
        <v>4</v>
      </c>
      <c r="CL233" s="227" t="str">
        <f t="shared" si="720"/>
        <v>Động lực</v>
      </c>
      <c r="CM233" s="87" t="str">
        <f t="shared" si="691"/>
        <v>CS2</v>
      </c>
      <c r="CN233" s="87">
        <f t="shared" si="718"/>
        <v>270</v>
      </c>
      <c r="CO233" s="87">
        <f t="shared" si="718"/>
        <v>120</v>
      </c>
      <c r="CP233" s="229">
        <f t="shared" si="634"/>
        <v>0</v>
      </c>
      <c r="CQ233" s="229">
        <f t="shared" si="635"/>
        <v>0</v>
      </c>
      <c r="CR233" s="229">
        <f t="shared" si="636"/>
        <v>0</v>
      </c>
      <c r="CS233" s="229">
        <f t="shared" si="637"/>
        <v>0</v>
      </c>
      <c r="CT233" s="229">
        <f t="shared" si="638"/>
        <v>0</v>
      </c>
      <c r="CU233" s="229">
        <f t="shared" si="639"/>
        <v>0</v>
      </c>
      <c r="CV233" s="229">
        <f t="shared" si="640"/>
        <v>0</v>
      </c>
      <c r="CW233" s="229">
        <f t="shared" si="641"/>
        <v>0</v>
      </c>
      <c r="CX233" s="229">
        <f t="shared" si="642"/>
        <v>0</v>
      </c>
      <c r="CY233" s="229">
        <f t="shared" si="643"/>
        <v>0</v>
      </c>
      <c r="CZ233" s="229">
        <f t="shared" si="644"/>
        <v>0</v>
      </c>
      <c r="DA233" s="229">
        <f t="shared" si="645"/>
        <v>0</v>
      </c>
      <c r="DB233" s="228">
        <f t="shared" si="606"/>
        <v>0</v>
      </c>
      <c r="DC233" s="229"/>
      <c r="DD233" s="229"/>
      <c r="DE233" s="229"/>
      <c r="DF233" s="229"/>
      <c r="DG233" s="229"/>
      <c r="DH233" s="229"/>
      <c r="DI233" s="229"/>
      <c r="DJ233" s="229"/>
      <c r="DK233" s="229"/>
      <c r="DL233" s="229"/>
      <c r="DM233" s="229"/>
      <c r="DN233" s="229"/>
      <c r="DO233" s="228">
        <f t="shared" si="622"/>
        <v>0</v>
      </c>
      <c r="DP233" s="228">
        <f t="shared" si="623"/>
        <v>0</v>
      </c>
      <c r="DQ233" s="229">
        <f t="shared" si="646"/>
        <v>0</v>
      </c>
      <c r="DR233" s="229">
        <f t="shared" si="647"/>
        <v>0</v>
      </c>
      <c r="DS233" s="229">
        <f t="shared" si="648"/>
        <v>0</v>
      </c>
      <c r="DT233" s="229">
        <f t="shared" si="649"/>
        <v>0</v>
      </c>
      <c r="DU233" s="229">
        <f t="shared" si="650"/>
        <v>0</v>
      </c>
      <c r="DV233" s="229">
        <f t="shared" si="651"/>
        <v>0</v>
      </c>
      <c r="DW233" s="229">
        <f t="shared" si="652"/>
        <v>0</v>
      </c>
      <c r="DX233" s="228">
        <f t="shared" si="607"/>
        <v>0</v>
      </c>
      <c r="DY233" s="229"/>
      <c r="DZ233" s="229"/>
      <c r="EA233" s="229"/>
      <c r="EB233" s="229"/>
      <c r="EC233" s="229"/>
      <c r="ED233" s="229"/>
      <c r="EE233" s="229"/>
      <c r="EF233" s="228">
        <f t="shared" si="631"/>
        <v>0</v>
      </c>
      <c r="EG233" s="228">
        <f t="shared" si="624"/>
        <v>0</v>
      </c>
      <c r="EH233" s="229">
        <f t="shared" si="632"/>
        <v>0</v>
      </c>
      <c r="EI233" s="229">
        <v>35</v>
      </c>
      <c r="EJ233" s="228">
        <f t="shared" si="719"/>
        <v>35</v>
      </c>
      <c r="EK233" s="229"/>
      <c r="EL233" s="229"/>
      <c r="EM233" s="228">
        <f t="shared" si="658"/>
        <v>0</v>
      </c>
      <c r="EN233" s="229">
        <f t="shared" si="708"/>
        <v>0</v>
      </c>
      <c r="EO233" s="229">
        <f t="shared" ref="EO233:EO283" si="723">EI233</f>
        <v>35</v>
      </c>
      <c r="EP233" s="228">
        <f t="shared" si="700"/>
        <v>35</v>
      </c>
      <c r="EQ233" s="173">
        <f t="shared" si="633"/>
        <v>0</v>
      </c>
      <c r="ER233" s="189">
        <v>0</v>
      </c>
      <c r="ES233" s="189">
        <v>0</v>
      </c>
      <c r="ET233" s="189">
        <v>0</v>
      </c>
      <c r="EU233" s="189">
        <v>0</v>
      </c>
      <c r="EV233" s="189">
        <v>0</v>
      </c>
      <c r="EW233" s="189">
        <v>0</v>
      </c>
      <c r="EX233" s="189">
        <v>0</v>
      </c>
      <c r="EY233" s="189">
        <v>0</v>
      </c>
      <c r="EZ233" s="189">
        <v>0</v>
      </c>
      <c r="FA233" s="189">
        <v>0</v>
      </c>
      <c r="FB233" s="189">
        <v>0</v>
      </c>
      <c r="FC233" s="189">
        <v>0</v>
      </c>
      <c r="FD233" s="189">
        <v>0</v>
      </c>
      <c r="FE233" s="189">
        <v>0</v>
      </c>
      <c r="FF233" s="189">
        <v>0</v>
      </c>
      <c r="FG233" s="189">
        <v>0</v>
      </c>
      <c r="FH233" s="189">
        <v>0</v>
      </c>
      <c r="FI233" s="189">
        <v>0</v>
      </c>
      <c r="FJ233" s="189">
        <v>0</v>
      </c>
      <c r="FK233" s="189">
        <v>0</v>
      </c>
      <c r="FL233" s="189">
        <v>0</v>
      </c>
      <c r="FN233" s="132">
        <v>0</v>
      </c>
    </row>
    <row r="234" spans="1:170" ht="30" customHeight="1">
      <c r="A234" s="88">
        <f>COUNTIF($H$12:H234,H234)</f>
        <v>39</v>
      </c>
      <c r="B234" s="88" t="s">
        <v>2930</v>
      </c>
      <c r="C234" s="88" t="s">
        <v>576</v>
      </c>
      <c r="D234" s="88"/>
      <c r="E234" s="88"/>
      <c r="F234" s="301" t="s">
        <v>1273</v>
      </c>
      <c r="G234" s="89" t="s">
        <v>1274</v>
      </c>
      <c r="H234" s="88">
        <v>4</v>
      </c>
      <c r="I234" s="88">
        <v>4</v>
      </c>
      <c r="J234" s="88">
        <v>4</v>
      </c>
      <c r="K234" s="90" t="s">
        <v>1079</v>
      </c>
      <c r="L234" s="90" t="s">
        <v>1079</v>
      </c>
      <c r="M234" s="214"/>
      <c r="N234" s="88" t="s">
        <v>605</v>
      </c>
      <c r="O234" s="216">
        <f t="shared" ref="O234:O239" si="724">BO234</f>
        <v>7.28</v>
      </c>
      <c r="P234" s="88" t="str">
        <f t="shared" si="663"/>
        <v>B1_8</v>
      </c>
      <c r="Q234" s="88">
        <f t="shared" si="527"/>
        <v>270</v>
      </c>
      <c r="R234" s="88">
        <f t="shared" si="528"/>
        <v>280</v>
      </c>
      <c r="S234" s="233"/>
      <c r="T234" s="219" t="s">
        <v>3088</v>
      </c>
      <c r="U234" s="88">
        <f>IF(RIGHT(T234,1)="K",(VLOOKUP(T234,ma_miengiam!$A$3:$B$80,2,0)*100)/2,VLOOKUP(T234,ma_miengiam!$A$3:$B$80,2,0)*100)</f>
        <v>0</v>
      </c>
      <c r="V234" s="88"/>
      <c r="W234" s="220">
        <f>IF(AND(T234="NTS",V234&gt;0),(Q234-(Q234*V234)/12)*VLOOKUP(T234,ma_miengiam!$A$3:$B$80,2,0)+(Q234-(Q234*(12-V234))/12),IF(AND(RIGHT(T234,1)="K",V234&gt;0),(VLOOKUP(T234,ma_miengiam!$A$3:$B$80,2,0)/2)*(Q234*V234)/12,IF(RIGHT(T234,1)="K",(VLOOKUP(T234,ma_miengiam!$A$3:$B$80,2,0)*Q234)/2,IF(V234&gt;0,VLOOKUP(T234,ma_miengiam!$A$3:$B$80,2,0)*Q234*V234/12,VLOOKUP(T234,ma_miengiam!$A$3:$B$80,2,0)*Q234))))</f>
        <v>0</v>
      </c>
      <c r="X234" s="220">
        <f>IF(T234="NTS",VLOOKUP(T234,ma_miengiam!$A$3:$B$80,2,0)*R234*V234,IF(AND(T234="NTS",V234=0),0,IF(AND(LEFT(T234,1)="K",V234=0),VLOOKUP(T234,ma_miengiam!$A$3:$B$80,2,0)*R234,IF(LEFT(T234,1)="K",(VLOOKUP(T234,ma_miengiam!$A$3:$B$80,2,0)*R234/12)*V234,IF(AND(LEFT(T234,1)="S",V234&gt;0),(R234/12)*V234,IF(AND(LEFT(T234,1)="S",V234=0),R234,IF(T234="DH",VLOOKUP(T234,ma_miengiam!$A$3:$B$80,2,0)*R234,0)))))))</f>
        <v>0</v>
      </c>
      <c r="Y234" s="220">
        <f t="shared" si="703"/>
        <v>270</v>
      </c>
      <c r="Z234" s="220">
        <f t="shared" si="695"/>
        <v>280</v>
      </c>
      <c r="AA234" s="220">
        <f t="shared" si="721"/>
        <v>270</v>
      </c>
      <c r="AB234" s="220">
        <f t="shared" si="721"/>
        <v>280</v>
      </c>
      <c r="AC234" s="220">
        <f t="shared" ref="AC234:AF235" si="725">W234</f>
        <v>0</v>
      </c>
      <c r="AD234" s="220">
        <f t="shared" si="725"/>
        <v>0</v>
      </c>
      <c r="AE234" s="220">
        <f t="shared" si="725"/>
        <v>270</v>
      </c>
      <c r="AF234" s="220">
        <f t="shared" si="725"/>
        <v>280</v>
      </c>
      <c r="AG234" s="220">
        <f t="shared" ref="AG234:AG239" si="726">AH234+AI234</f>
        <v>246.38</v>
      </c>
      <c r="AH234" s="220">
        <f t="shared" ref="AH234:AH239" si="727">EO234</f>
        <v>167.21</v>
      </c>
      <c r="AI234" s="220">
        <f t="shared" ref="AI234:AI239" si="728">EN234</f>
        <v>79.17</v>
      </c>
      <c r="AJ234" s="220">
        <f t="shared" si="677"/>
        <v>-33.620000000000005</v>
      </c>
      <c r="AK234" s="216">
        <f t="shared" si="604"/>
        <v>303.62</v>
      </c>
      <c r="AL234" s="220">
        <f t="shared" si="611"/>
        <v>391.7</v>
      </c>
      <c r="AM234" s="220">
        <f t="shared" si="612"/>
        <v>0</v>
      </c>
      <c r="AN234" s="221">
        <f t="shared" si="613"/>
        <v>391.7</v>
      </c>
      <c r="AO234" s="220">
        <f t="shared" si="614"/>
        <v>0</v>
      </c>
      <c r="AP234" s="220">
        <f t="shared" si="615"/>
        <v>0</v>
      </c>
      <c r="AQ234" s="220">
        <f t="shared" si="616"/>
        <v>0</v>
      </c>
      <c r="AR234" s="220">
        <f t="shared" si="617"/>
        <v>0</v>
      </c>
      <c r="AS234" s="220">
        <f t="shared" si="618"/>
        <v>20</v>
      </c>
      <c r="AT234" s="216">
        <f t="shared" si="619"/>
        <v>411.7</v>
      </c>
      <c r="AU234" s="222">
        <f t="shared" si="722"/>
        <v>88.079999999999984</v>
      </c>
      <c r="AV234" s="220"/>
      <c r="AW234" s="220">
        <f t="shared" si="680"/>
        <v>88.079999999999984</v>
      </c>
      <c r="AX234" s="216">
        <f t="shared" si="620"/>
        <v>0</v>
      </c>
      <c r="AY234" s="220">
        <f t="shared" si="681"/>
        <v>0</v>
      </c>
      <c r="AZ234" s="220">
        <f t="shared" si="682"/>
        <v>0</v>
      </c>
      <c r="BA234" s="220">
        <f t="shared" si="683"/>
        <v>0</v>
      </c>
      <c r="BB234" s="220">
        <f t="shared" si="684"/>
        <v>0</v>
      </c>
      <c r="BC234" s="220">
        <f t="shared" si="685"/>
        <v>20</v>
      </c>
      <c r="BD234" s="216">
        <f t="shared" si="575"/>
        <v>20</v>
      </c>
      <c r="BE234" s="220">
        <f t="shared" si="686"/>
        <v>0</v>
      </c>
      <c r="BF234" s="220">
        <f t="shared" si="687"/>
        <v>0</v>
      </c>
      <c r="BG234" s="220">
        <f t="shared" si="688"/>
        <v>0</v>
      </c>
      <c r="BH234" s="220">
        <f t="shared" si="689"/>
        <v>0</v>
      </c>
      <c r="BI234" s="220">
        <f t="shared" si="690"/>
        <v>0</v>
      </c>
      <c r="BJ234" s="220" t="s">
        <v>2521</v>
      </c>
      <c r="BK234" s="220"/>
      <c r="BL234" s="223">
        <f t="shared" si="582"/>
        <v>88.079999999999984</v>
      </c>
      <c r="BM234" s="220">
        <v>7.28</v>
      </c>
      <c r="BN234" s="220"/>
      <c r="BO234" s="220">
        <f t="shared" si="704"/>
        <v>7.28</v>
      </c>
      <c r="BP234" s="220">
        <f>IF(AND(BL234&gt;0,BL234&lt;tiet!$D$1),BL234,IF(BL234&lt;=0,0,IF(BL234&gt;tiet!$C$1,tiet!$C$1)))</f>
        <v>88.079999999999984</v>
      </c>
      <c r="BQ234" s="87">
        <f t="shared" si="674"/>
        <v>85000</v>
      </c>
      <c r="BR234" s="224">
        <f t="shared" si="675"/>
        <v>7486800</v>
      </c>
      <c r="BS234" s="220">
        <f t="shared" si="630"/>
        <v>0</v>
      </c>
      <c r="BT234" s="224">
        <f>VLOOKUP(N234,ma_dinhmuc!$A$1:$J$31,10,0)</f>
        <v>65000</v>
      </c>
      <c r="BU234" s="224">
        <f>ROUND(IF(BS234&gt;0,VLOOKUP(N234,ma_dinhmuc!$A$1:$J$31,10,0)*BS234,0),0)</f>
        <v>0</v>
      </c>
      <c r="BV234" s="224">
        <f t="shared" si="676"/>
        <v>7486800</v>
      </c>
      <c r="BW234" s="224"/>
      <c r="BX234" s="224">
        <v>0</v>
      </c>
      <c r="BY234" s="224"/>
      <c r="BZ234" s="224"/>
      <c r="CA234" s="224"/>
      <c r="CB234" s="224"/>
      <c r="CC234" s="225">
        <f t="shared" si="697"/>
        <v>7486800</v>
      </c>
      <c r="CD234" s="224">
        <f t="shared" si="698"/>
        <v>0</v>
      </c>
      <c r="CE234" s="224"/>
      <c r="CF234" s="226"/>
      <c r="CG234" s="87"/>
      <c r="CH234" s="87">
        <f t="shared" si="705"/>
        <v>39</v>
      </c>
      <c r="CI234" s="227" t="str">
        <f t="shared" ref="CI234:CI247" si="729">F234</f>
        <v>Trần Như</v>
      </c>
      <c r="CJ234" s="227" t="str">
        <f t="shared" ref="CJ234:CJ247" si="730">G234</f>
        <v>Khuyên</v>
      </c>
      <c r="CK234" s="87">
        <f t="shared" ref="CK234:CK247" si="731">H234</f>
        <v>4</v>
      </c>
      <c r="CL234" s="227" t="str">
        <f t="shared" si="720"/>
        <v>TB bảo quản và CBNS</v>
      </c>
      <c r="CM234" s="87" t="str">
        <f t="shared" si="691"/>
        <v>CS4</v>
      </c>
      <c r="CN234" s="87">
        <f t="shared" ref="CN234:CO236" si="732">Q234</f>
        <v>270</v>
      </c>
      <c r="CO234" s="87">
        <f t="shared" si="732"/>
        <v>280</v>
      </c>
      <c r="CP234" s="229">
        <f t="shared" si="634"/>
        <v>0</v>
      </c>
      <c r="CQ234" s="229">
        <f t="shared" si="635"/>
        <v>44.4</v>
      </c>
      <c r="CR234" s="229">
        <f t="shared" si="636"/>
        <v>18</v>
      </c>
      <c r="CS234" s="229">
        <f t="shared" si="637"/>
        <v>0</v>
      </c>
      <c r="CT234" s="229">
        <f t="shared" si="638"/>
        <v>0</v>
      </c>
      <c r="CU234" s="229">
        <f t="shared" si="639"/>
        <v>238.8</v>
      </c>
      <c r="CV234" s="229">
        <f t="shared" si="640"/>
        <v>0</v>
      </c>
      <c r="CW234" s="229">
        <f t="shared" si="641"/>
        <v>90.5</v>
      </c>
      <c r="CX234" s="229">
        <f t="shared" si="642"/>
        <v>0</v>
      </c>
      <c r="CY234" s="229">
        <f t="shared" si="643"/>
        <v>0</v>
      </c>
      <c r="CZ234" s="229">
        <f t="shared" si="644"/>
        <v>0</v>
      </c>
      <c r="DA234" s="229">
        <f t="shared" si="645"/>
        <v>0</v>
      </c>
      <c r="DB234" s="228">
        <f t="shared" si="606"/>
        <v>391.7</v>
      </c>
      <c r="DC234" s="229"/>
      <c r="DD234" s="229"/>
      <c r="DE234" s="229"/>
      <c r="DF234" s="229"/>
      <c r="DG234" s="229"/>
      <c r="DH234" s="229"/>
      <c r="DI234" s="229"/>
      <c r="DJ234" s="229"/>
      <c r="DK234" s="229"/>
      <c r="DL234" s="229"/>
      <c r="DM234" s="229"/>
      <c r="DN234" s="229"/>
      <c r="DO234" s="228">
        <f t="shared" si="622"/>
        <v>0</v>
      </c>
      <c r="DP234" s="228">
        <f t="shared" si="623"/>
        <v>391.7</v>
      </c>
      <c r="DQ234" s="229">
        <f t="shared" si="646"/>
        <v>0</v>
      </c>
      <c r="DR234" s="229">
        <f t="shared" si="647"/>
        <v>0</v>
      </c>
      <c r="DS234" s="229">
        <f t="shared" si="648"/>
        <v>0</v>
      </c>
      <c r="DT234" s="229">
        <f t="shared" si="649"/>
        <v>0</v>
      </c>
      <c r="DU234" s="229">
        <f t="shared" si="650"/>
        <v>0</v>
      </c>
      <c r="DV234" s="229">
        <f t="shared" si="651"/>
        <v>0</v>
      </c>
      <c r="DW234" s="229">
        <f t="shared" si="652"/>
        <v>20</v>
      </c>
      <c r="DX234" s="228">
        <f t="shared" si="607"/>
        <v>20</v>
      </c>
      <c r="DY234" s="229"/>
      <c r="DZ234" s="229"/>
      <c r="EA234" s="229"/>
      <c r="EB234" s="229"/>
      <c r="EC234" s="229"/>
      <c r="ED234" s="229"/>
      <c r="EE234" s="229"/>
      <c r="EF234" s="228">
        <f t="shared" si="631"/>
        <v>0</v>
      </c>
      <c r="EG234" s="228">
        <f t="shared" si="624"/>
        <v>20</v>
      </c>
      <c r="EH234" s="229">
        <f t="shared" si="632"/>
        <v>79.17</v>
      </c>
      <c r="EI234" s="229">
        <v>167.21</v>
      </c>
      <c r="EJ234" s="228">
        <f t="shared" si="719"/>
        <v>246.38</v>
      </c>
      <c r="EK234" s="229"/>
      <c r="EL234" s="229"/>
      <c r="EM234" s="228">
        <f t="shared" si="658"/>
        <v>0</v>
      </c>
      <c r="EN234" s="229">
        <f t="shared" si="708"/>
        <v>79.17</v>
      </c>
      <c r="EO234" s="229">
        <f t="shared" si="723"/>
        <v>167.21</v>
      </c>
      <c r="EP234" s="228">
        <f t="shared" si="700"/>
        <v>246.38</v>
      </c>
      <c r="EQ234" s="173">
        <f t="shared" si="633"/>
        <v>0</v>
      </c>
      <c r="ER234" s="189">
        <v>0</v>
      </c>
      <c r="ES234" s="189">
        <v>44.4</v>
      </c>
      <c r="ET234" s="189">
        <v>18</v>
      </c>
      <c r="EU234" s="189">
        <v>0</v>
      </c>
      <c r="EV234" s="189">
        <v>0</v>
      </c>
      <c r="EW234" s="189">
        <v>238.8</v>
      </c>
      <c r="EX234" s="189">
        <v>0</v>
      </c>
      <c r="EY234" s="189">
        <v>90.5</v>
      </c>
      <c r="EZ234" s="189">
        <v>0</v>
      </c>
      <c r="FA234" s="189">
        <v>0</v>
      </c>
      <c r="FB234" s="189">
        <v>0</v>
      </c>
      <c r="FC234" s="189">
        <v>0</v>
      </c>
      <c r="FD234" s="189">
        <v>0</v>
      </c>
      <c r="FE234" s="189">
        <v>0</v>
      </c>
      <c r="FF234" s="189">
        <v>0</v>
      </c>
      <c r="FG234" s="189">
        <v>0</v>
      </c>
      <c r="FH234" s="189">
        <v>0</v>
      </c>
      <c r="FI234" s="189">
        <v>0</v>
      </c>
      <c r="FJ234" s="189">
        <v>20</v>
      </c>
      <c r="FK234" s="189">
        <v>411.7</v>
      </c>
      <c r="FL234" s="189">
        <v>321</v>
      </c>
      <c r="FN234" s="132">
        <v>79.17</v>
      </c>
    </row>
    <row r="235" spans="1:170" ht="30.75" customHeight="1">
      <c r="A235" s="88">
        <f>COUNTIF($H$12:H235,H235)</f>
        <v>40</v>
      </c>
      <c r="B235" s="88" t="s">
        <v>992</v>
      </c>
      <c r="C235" s="88" t="s">
        <v>577</v>
      </c>
      <c r="D235" s="88"/>
      <c r="E235" s="88"/>
      <c r="F235" s="301" t="s">
        <v>1275</v>
      </c>
      <c r="G235" s="303" t="s">
        <v>2086</v>
      </c>
      <c r="H235" s="88">
        <v>4</v>
      </c>
      <c r="I235" s="88">
        <v>4</v>
      </c>
      <c r="J235" s="88">
        <v>4</v>
      </c>
      <c r="K235" s="90" t="s">
        <v>1079</v>
      </c>
      <c r="L235" s="90" t="s">
        <v>1079</v>
      </c>
      <c r="M235" s="214"/>
      <c r="N235" s="88" t="s">
        <v>606</v>
      </c>
      <c r="O235" s="216">
        <f t="shared" si="724"/>
        <v>5.08</v>
      </c>
      <c r="P235" s="88" t="str">
        <f t="shared" si="663"/>
        <v>B1_5</v>
      </c>
      <c r="Q235" s="88">
        <f t="shared" ref="Q235:Q294" si="733">IF(M235&gt;0,VLOOKUP(P235,ma_dinhmuc_moi,2,0)/2,VLOOKUP(P235,ma_dinhmuc_moi,2,0))</f>
        <v>270</v>
      </c>
      <c r="R235" s="88">
        <f t="shared" ref="R235:R294" si="734">IF(M235&gt;0,VLOOKUP(P235,ma_dinhmuc_moi,3,0)/2,VLOOKUP(P235,ma_dinhmuc_moi,3,0))</f>
        <v>150</v>
      </c>
      <c r="S235" s="230" t="s">
        <v>2035</v>
      </c>
      <c r="T235" s="215" t="s">
        <v>3090</v>
      </c>
      <c r="U235" s="88">
        <f>IF(RIGHT(T235,1)="K",(VLOOKUP(T235,ma_miengiam!$A$3:$B$80,2,0)*100)/2,VLOOKUP(T235,ma_miengiam!$A$3:$B$80,2,0)*100)</f>
        <v>15</v>
      </c>
      <c r="V235" s="88"/>
      <c r="W235" s="220">
        <f>IF(AND(T235="NTS",V235&gt;0),(Q235-(Q235*V235)/12)*VLOOKUP(T235,ma_miengiam!$A$3:$B$80,2,0)+(Q235-(Q235*(12-V235))/12),IF(AND(RIGHT(T235,1)="K",V235&gt;0),(VLOOKUP(T235,ma_miengiam!$A$3:$B$80,2,0)/2)*(Q235*V235)/12,IF(RIGHT(T235,1)="K",(VLOOKUP(T235,ma_miengiam!$A$3:$B$80,2,0)*Q235)/2,IF(V235&gt;0,VLOOKUP(T235,ma_miengiam!$A$3:$B$80,2,0)*Q235*V235/12,VLOOKUP(T235,ma_miengiam!$A$3:$B$80,2,0)*Q235))))</f>
        <v>40.5</v>
      </c>
      <c r="X235" s="220">
        <f>IF(T235="NTS",VLOOKUP(T235,ma_miengiam!$A$3:$B$80,2,0)*R235*V235,IF(AND(T235="NTS",V235=0),0,IF(AND(LEFT(T235,1)="K",V235=0),VLOOKUP(T235,ma_miengiam!$A$3:$B$80,2,0)*R235,IF(LEFT(T235,1)="K",(VLOOKUP(T235,ma_miengiam!$A$3:$B$80,2,0)*R235/12)*V235,IF(AND(LEFT(T235,1)="S",V235&gt;0),(R235/12)*V235,IF(AND(LEFT(T235,1)="S",V235=0),R235,IF(T235="DH",VLOOKUP(T235,ma_miengiam!$A$3:$B$80,2,0)*R235,0)))))))</f>
        <v>0</v>
      </c>
      <c r="Y235" s="220">
        <f t="shared" si="703"/>
        <v>229.5</v>
      </c>
      <c r="Z235" s="220">
        <f>IF(AND(T235="SĐH",V235&gt;0),(R235/12)*V235-X235,IF(AND(T235="DH",V235&gt;0),(R235*V235/12),IF(AND(T235&lt;&gt;"NTS",V235&gt;0),(R235*V235/12)-X235,IF(AND(T235="NTS",V235&gt;0),R235-X235,R235-X235))))</f>
        <v>150</v>
      </c>
      <c r="AA235" s="220">
        <f t="shared" si="721"/>
        <v>270</v>
      </c>
      <c r="AB235" s="220">
        <f t="shared" si="721"/>
        <v>150</v>
      </c>
      <c r="AC235" s="220">
        <f t="shared" si="725"/>
        <v>40.5</v>
      </c>
      <c r="AD235" s="220">
        <f t="shared" si="725"/>
        <v>0</v>
      </c>
      <c r="AE235" s="220">
        <f t="shared" si="725"/>
        <v>229.5</v>
      </c>
      <c r="AF235" s="220">
        <f t="shared" si="725"/>
        <v>150</v>
      </c>
      <c r="AG235" s="220">
        <f>AH235+AI235</f>
        <v>311.66000000000003</v>
      </c>
      <c r="AH235" s="220">
        <f>EO235</f>
        <v>89.58</v>
      </c>
      <c r="AI235" s="220">
        <f>EN235</f>
        <v>222.08</v>
      </c>
      <c r="AJ235" s="220">
        <f>IF(AG235-Z235&gt;0,0,AG235-Z235)</f>
        <v>0</v>
      </c>
      <c r="AK235" s="216">
        <f t="shared" si="604"/>
        <v>229.5</v>
      </c>
      <c r="AL235" s="220">
        <f t="shared" si="611"/>
        <v>242.3</v>
      </c>
      <c r="AM235" s="220">
        <f t="shared" si="612"/>
        <v>0</v>
      </c>
      <c r="AN235" s="221">
        <f t="shared" si="613"/>
        <v>242.3</v>
      </c>
      <c r="AO235" s="220">
        <f t="shared" si="614"/>
        <v>0</v>
      </c>
      <c r="AP235" s="220">
        <f t="shared" si="615"/>
        <v>0</v>
      </c>
      <c r="AQ235" s="220">
        <f t="shared" si="616"/>
        <v>20</v>
      </c>
      <c r="AR235" s="220">
        <f t="shared" si="617"/>
        <v>0</v>
      </c>
      <c r="AS235" s="220">
        <f t="shared" si="618"/>
        <v>0</v>
      </c>
      <c r="AT235" s="216">
        <f t="shared" si="619"/>
        <v>262.3</v>
      </c>
      <c r="AU235" s="222">
        <f>AN235-AK235</f>
        <v>12.800000000000011</v>
      </c>
      <c r="AV235" s="220"/>
      <c r="AW235" s="220">
        <f t="shared" si="680"/>
        <v>12.800000000000011</v>
      </c>
      <c r="AX235" s="216">
        <f t="shared" si="620"/>
        <v>0</v>
      </c>
      <c r="AY235" s="220">
        <f t="shared" si="681"/>
        <v>0</v>
      </c>
      <c r="AZ235" s="220">
        <f t="shared" si="682"/>
        <v>0</v>
      </c>
      <c r="BA235" s="220">
        <f t="shared" si="683"/>
        <v>20</v>
      </c>
      <c r="BB235" s="220">
        <f t="shared" si="684"/>
        <v>0</v>
      </c>
      <c r="BC235" s="220">
        <f t="shared" si="685"/>
        <v>0</v>
      </c>
      <c r="BD235" s="216">
        <f t="shared" si="575"/>
        <v>20</v>
      </c>
      <c r="BE235" s="220">
        <f t="shared" si="686"/>
        <v>0</v>
      </c>
      <c r="BF235" s="220">
        <f t="shared" si="687"/>
        <v>0</v>
      </c>
      <c r="BG235" s="220">
        <f t="shared" si="688"/>
        <v>0</v>
      </c>
      <c r="BH235" s="220">
        <f t="shared" si="689"/>
        <v>0</v>
      </c>
      <c r="BI235" s="220">
        <f t="shared" si="690"/>
        <v>0</v>
      </c>
      <c r="BJ235" s="220" t="s">
        <v>2521</v>
      </c>
      <c r="BK235" s="220"/>
      <c r="BL235" s="223">
        <f t="shared" si="582"/>
        <v>12.800000000000011</v>
      </c>
      <c r="BM235" s="220">
        <v>5.08</v>
      </c>
      <c r="BN235" s="220"/>
      <c r="BO235" s="220">
        <f t="shared" si="704"/>
        <v>5.08</v>
      </c>
      <c r="BP235" s="220">
        <f>IF(AND(BL235&gt;0,BL235&lt;tiet!$D$1),BL235,IF(BL235&lt;=0,0,IF(BL235&gt;tiet!$C$1,tiet!$C$1)))</f>
        <v>12.800000000000011</v>
      </c>
      <c r="BQ235" s="87">
        <f>VLOOKUP(P235,ma_dinhmuc_moi,4,0)</f>
        <v>70000</v>
      </c>
      <c r="BR235" s="224">
        <f>ROUND(BQ235*BP235,0)</f>
        <v>896000</v>
      </c>
      <c r="BS235" s="220">
        <f t="shared" si="630"/>
        <v>0</v>
      </c>
      <c r="BT235" s="224">
        <f>VLOOKUP(N235,ma_dinhmuc!$A$1:$J$31,10,0)</f>
        <v>55000</v>
      </c>
      <c r="BU235" s="224">
        <f>ROUND(IF(BS235&gt;0,VLOOKUP(N235,ma_dinhmuc!$A$1:$J$31,10,0)*BS235,0),0)</f>
        <v>0</v>
      </c>
      <c r="BV235" s="224">
        <f>ROUND(BU235+BR235,0)</f>
        <v>896000</v>
      </c>
      <c r="BW235" s="224"/>
      <c r="BX235" s="224">
        <v>0</v>
      </c>
      <c r="BY235" s="224"/>
      <c r="BZ235" s="224"/>
      <c r="CA235" s="224"/>
      <c r="CB235" s="224"/>
      <c r="CC235" s="225">
        <f>ROUND(IF(BV235+BW235&gt;BX235+BY235+BZ235+CA235+CB235,(BW235+BV235)-(BX235+BY235+BZ235+CA235+CB235+CB235),0),0)</f>
        <v>896000</v>
      </c>
      <c r="CD235" s="224">
        <f>ROUND(IF(BV235+BW235&lt;BX235+BY235+BZ235+CA235-CB235,(BX235+BY235+BZ235+CA235-CB235)-(BW235+BV235),0),0)</f>
        <v>0</v>
      </c>
      <c r="CE235" s="224"/>
      <c r="CF235" s="226"/>
      <c r="CG235" s="87"/>
      <c r="CH235" s="87">
        <f t="shared" si="705"/>
        <v>40</v>
      </c>
      <c r="CI235" s="227" t="str">
        <f>F235</f>
        <v>Hoàng Xuân</v>
      </c>
      <c r="CJ235" s="227" t="str">
        <f>G235</f>
        <v>Anh</v>
      </c>
      <c r="CK235" s="87">
        <f>H235</f>
        <v>4</v>
      </c>
      <c r="CL235" s="227" t="str">
        <f t="shared" si="720"/>
        <v>TB bảo quản và CBNS</v>
      </c>
      <c r="CM235" s="87" t="str">
        <f t="shared" si="691"/>
        <v>CS3</v>
      </c>
      <c r="CN235" s="87">
        <f t="shared" si="732"/>
        <v>270</v>
      </c>
      <c r="CO235" s="87">
        <f t="shared" si="732"/>
        <v>150</v>
      </c>
      <c r="CP235" s="229">
        <f t="shared" si="634"/>
        <v>0</v>
      </c>
      <c r="CQ235" s="229">
        <f t="shared" si="635"/>
        <v>20.8</v>
      </c>
      <c r="CR235" s="229">
        <f t="shared" si="636"/>
        <v>8.5</v>
      </c>
      <c r="CS235" s="229">
        <f t="shared" si="637"/>
        <v>75</v>
      </c>
      <c r="CT235" s="229">
        <f t="shared" si="638"/>
        <v>0</v>
      </c>
      <c r="CU235" s="229">
        <f t="shared" si="639"/>
        <v>110</v>
      </c>
      <c r="CV235" s="229">
        <f t="shared" si="640"/>
        <v>0</v>
      </c>
      <c r="CW235" s="229">
        <f t="shared" si="641"/>
        <v>28</v>
      </c>
      <c r="CX235" s="229">
        <f t="shared" si="642"/>
        <v>0</v>
      </c>
      <c r="CY235" s="229">
        <f t="shared" si="643"/>
        <v>0</v>
      </c>
      <c r="CZ235" s="229">
        <f t="shared" si="644"/>
        <v>0</v>
      </c>
      <c r="DA235" s="229">
        <f t="shared" si="645"/>
        <v>20</v>
      </c>
      <c r="DB235" s="228">
        <f t="shared" si="606"/>
        <v>262.3</v>
      </c>
      <c r="DC235" s="229"/>
      <c r="DD235" s="229"/>
      <c r="DE235" s="229"/>
      <c r="DF235" s="229"/>
      <c r="DG235" s="229"/>
      <c r="DH235" s="229"/>
      <c r="DI235" s="229"/>
      <c r="DJ235" s="229"/>
      <c r="DK235" s="229"/>
      <c r="DL235" s="229"/>
      <c r="DM235" s="229"/>
      <c r="DN235" s="229"/>
      <c r="DO235" s="228">
        <f t="shared" si="622"/>
        <v>0</v>
      </c>
      <c r="DP235" s="228">
        <f t="shared" si="623"/>
        <v>262.3</v>
      </c>
      <c r="DQ235" s="229">
        <f t="shared" si="646"/>
        <v>0</v>
      </c>
      <c r="DR235" s="229">
        <f t="shared" si="647"/>
        <v>0</v>
      </c>
      <c r="DS235" s="229">
        <f t="shared" si="648"/>
        <v>0</v>
      </c>
      <c r="DT235" s="229">
        <f t="shared" si="649"/>
        <v>0</v>
      </c>
      <c r="DU235" s="229">
        <f t="shared" si="650"/>
        <v>0</v>
      </c>
      <c r="DV235" s="229">
        <f t="shared" si="651"/>
        <v>0</v>
      </c>
      <c r="DW235" s="229">
        <f t="shared" si="652"/>
        <v>0</v>
      </c>
      <c r="DX235" s="228">
        <f t="shared" si="607"/>
        <v>0</v>
      </c>
      <c r="DY235" s="229"/>
      <c r="DZ235" s="229"/>
      <c r="EA235" s="229"/>
      <c r="EB235" s="229"/>
      <c r="EC235" s="229"/>
      <c r="ED235" s="229"/>
      <c r="EE235" s="229"/>
      <c r="EF235" s="228">
        <f t="shared" si="631"/>
        <v>0</v>
      </c>
      <c r="EG235" s="228">
        <f t="shared" si="624"/>
        <v>0</v>
      </c>
      <c r="EH235" s="229">
        <f t="shared" si="632"/>
        <v>222.08</v>
      </c>
      <c r="EI235" s="229">
        <v>89.58</v>
      </c>
      <c r="EJ235" s="228">
        <f t="shared" si="719"/>
        <v>311.66000000000003</v>
      </c>
      <c r="EK235" s="229"/>
      <c r="EL235" s="229"/>
      <c r="EM235" s="228">
        <f t="shared" si="658"/>
        <v>0</v>
      </c>
      <c r="EN235" s="229">
        <f t="shared" si="708"/>
        <v>222.08</v>
      </c>
      <c r="EO235" s="229">
        <f>EI235</f>
        <v>89.58</v>
      </c>
      <c r="EP235" s="228">
        <f t="shared" si="700"/>
        <v>311.66000000000003</v>
      </c>
      <c r="EQ235" s="173">
        <f t="shared" si="633"/>
        <v>72.080000000000013</v>
      </c>
      <c r="ER235" s="189">
        <v>0</v>
      </c>
      <c r="ES235" s="189">
        <v>20.8</v>
      </c>
      <c r="ET235" s="189">
        <v>8.5</v>
      </c>
      <c r="EU235" s="189">
        <v>75</v>
      </c>
      <c r="EV235" s="189">
        <v>0</v>
      </c>
      <c r="EW235" s="189">
        <v>110</v>
      </c>
      <c r="EX235" s="189">
        <v>0</v>
      </c>
      <c r="EY235" s="189">
        <v>28</v>
      </c>
      <c r="EZ235" s="189">
        <v>0</v>
      </c>
      <c r="FA235" s="189">
        <v>0</v>
      </c>
      <c r="FB235" s="189">
        <v>0</v>
      </c>
      <c r="FC235" s="189">
        <v>20</v>
      </c>
      <c r="FD235" s="189">
        <v>0</v>
      </c>
      <c r="FE235" s="189">
        <v>0</v>
      </c>
      <c r="FF235" s="189">
        <v>0</v>
      </c>
      <c r="FG235" s="189">
        <v>0</v>
      </c>
      <c r="FH235" s="189">
        <v>0</v>
      </c>
      <c r="FI235" s="189">
        <v>0</v>
      </c>
      <c r="FJ235" s="189">
        <v>0</v>
      </c>
      <c r="FK235" s="189">
        <v>262.3</v>
      </c>
      <c r="FL235" s="189">
        <v>239</v>
      </c>
      <c r="FN235" s="132">
        <v>222.08</v>
      </c>
    </row>
    <row r="236" spans="1:170" ht="30" customHeight="1">
      <c r="A236" s="88">
        <f>COUNTIF($H$12:H236,H236)</f>
        <v>41</v>
      </c>
      <c r="B236" s="88" t="s">
        <v>993</v>
      </c>
      <c r="C236" s="88" t="s">
        <v>578</v>
      </c>
      <c r="D236" s="88"/>
      <c r="E236" s="88"/>
      <c r="F236" s="301" t="s">
        <v>1273</v>
      </c>
      <c r="G236" s="89" t="s">
        <v>1910</v>
      </c>
      <c r="H236" s="88">
        <v>4</v>
      </c>
      <c r="I236" s="88">
        <v>4</v>
      </c>
      <c r="J236" s="88">
        <v>4</v>
      </c>
      <c r="K236" s="90" t="s">
        <v>1079</v>
      </c>
      <c r="L236" s="90" t="s">
        <v>1079</v>
      </c>
      <c r="M236" s="214"/>
      <c r="N236" s="88" t="s">
        <v>1804</v>
      </c>
      <c r="O236" s="216">
        <f t="shared" si="724"/>
        <v>3</v>
      </c>
      <c r="P236" s="88" t="str">
        <f t="shared" si="663"/>
        <v>B1_3</v>
      </c>
      <c r="Q236" s="88">
        <f t="shared" si="733"/>
        <v>270</v>
      </c>
      <c r="R236" s="88">
        <f t="shared" si="734"/>
        <v>100</v>
      </c>
      <c r="S236" s="218" t="s">
        <v>1509</v>
      </c>
      <c r="T236" s="88" t="s">
        <v>2961</v>
      </c>
      <c r="U236" s="88">
        <f>IF(RIGHT(T236,1)="K",(VLOOKUP(T236,ma_miengiam!$A$3:$B$80,2,0)*100)/2,VLOOKUP(T236,ma_miengiam!$A$3:$B$80,2,0)*100)</f>
        <v>100</v>
      </c>
      <c r="V236" s="88"/>
      <c r="W236" s="220">
        <f>IF(AND(T236="NTS",V236&gt;0),(Q236-(Q236*V236)/12)*VLOOKUP(T236,ma_miengiam!$A$3:$B$80,2,0)+(Q236-(Q236*(12-V236))/12),IF(AND(RIGHT(T236,1)="K",V236&gt;0),(VLOOKUP(T236,ma_miengiam!$A$3:$B$80,2,0)/2)*(Q236*V236)/12,IF(RIGHT(T236,1)="K",(VLOOKUP(T236,ma_miengiam!$A$3:$B$80,2,0)*Q236)/2,IF(V236&gt;0,VLOOKUP(T236,ma_miengiam!$A$3:$B$80,2,0)*Q236*V236/12,VLOOKUP(T236,ma_miengiam!$A$3:$B$80,2,0)*Q236))))</f>
        <v>270</v>
      </c>
      <c r="X236" s="220">
        <f>IF(T236="NTS",VLOOKUP(T236,ma_miengiam!$A$3:$B$80,2,0)*R236*V236,IF(AND(T236="NTS",V236=0),0,IF(AND(LEFT(T236,1)="K",V236=0),VLOOKUP(T236,ma_miengiam!$A$3:$B$80,2,0)*R236,IF(LEFT(T236,1)="K",(VLOOKUP(T236,ma_miengiam!$A$3:$B$80,2,0)*R236/12)*V236,IF(AND(LEFT(T236,1)="S",V236&gt;0),(R236/12)*V236,IF(AND(LEFT(T236,1)="S",V236=0),R236,IF(T236="DH",VLOOKUP(T236,ma_miengiam!$A$3:$B$80,2,0)*R236,0)))))))</f>
        <v>100</v>
      </c>
      <c r="Y236" s="220">
        <f t="shared" si="703"/>
        <v>0</v>
      </c>
      <c r="Z236" s="220">
        <f t="shared" si="695"/>
        <v>0</v>
      </c>
      <c r="AA236" s="220">
        <f t="shared" ref="AA236:AB239" si="735">Q236</f>
        <v>270</v>
      </c>
      <c r="AB236" s="220">
        <f t="shared" si="735"/>
        <v>100</v>
      </c>
      <c r="AC236" s="220">
        <f t="shared" ref="AC236:AF239" si="736">W236</f>
        <v>270</v>
      </c>
      <c r="AD236" s="220">
        <f t="shared" si="736"/>
        <v>100</v>
      </c>
      <c r="AE236" s="220">
        <f t="shared" si="736"/>
        <v>0</v>
      </c>
      <c r="AF236" s="220">
        <f t="shared" si="736"/>
        <v>0</v>
      </c>
      <c r="AG236" s="220">
        <f t="shared" si="726"/>
        <v>0</v>
      </c>
      <c r="AH236" s="220">
        <f t="shared" si="727"/>
        <v>0</v>
      </c>
      <c r="AI236" s="220">
        <f t="shared" si="728"/>
        <v>0</v>
      </c>
      <c r="AJ236" s="220">
        <f t="shared" si="677"/>
        <v>0</v>
      </c>
      <c r="AK236" s="216">
        <f t="shared" si="604"/>
        <v>0</v>
      </c>
      <c r="AL236" s="220">
        <f t="shared" si="611"/>
        <v>0</v>
      </c>
      <c r="AM236" s="220">
        <f t="shared" si="612"/>
        <v>0</v>
      </c>
      <c r="AN236" s="221">
        <f t="shared" si="613"/>
        <v>0</v>
      </c>
      <c r="AO236" s="220">
        <f t="shared" si="614"/>
        <v>0</v>
      </c>
      <c r="AP236" s="220">
        <f t="shared" si="615"/>
        <v>0</v>
      </c>
      <c r="AQ236" s="220">
        <f t="shared" si="616"/>
        <v>0</v>
      </c>
      <c r="AR236" s="220">
        <f t="shared" si="617"/>
        <v>0</v>
      </c>
      <c r="AS236" s="220">
        <f t="shared" si="618"/>
        <v>0</v>
      </c>
      <c r="AT236" s="216">
        <f t="shared" si="619"/>
        <v>0</v>
      </c>
      <c r="AU236" s="222">
        <f t="shared" si="722"/>
        <v>0</v>
      </c>
      <c r="AV236" s="220"/>
      <c r="AW236" s="220">
        <f t="shared" si="680"/>
        <v>0</v>
      </c>
      <c r="AX236" s="216">
        <f t="shared" si="620"/>
        <v>0</v>
      </c>
      <c r="AY236" s="220">
        <f t="shared" si="681"/>
        <v>0</v>
      </c>
      <c r="AZ236" s="220">
        <f t="shared" si="682"/>
        <v>0</v>
      </c>
      <c r="BA236" s="220">
        <f t="shared" si="683"/>
        <v>0</v>
      </c>
      <c r="BB236" s="220">
        <f t="shared" si="684"/>
        <v>0</v>
      </c>
      <c r="BC236" s="220">
        <f t="shared" si="685"/>
        <v>0</v>
      </c>
      <c r="BD236" s="216">
        <f t="shared" si="575"/>
        <v>0</v>
      </c>
      <c r="BE236" s="220">
        <f t="shared" si="686"/>
        <v>0</v>
      </c>
      <c r="BF236" s="220">
        <f t="shared" si="687"/>
        <v>0</v>
      </c>
      <c r="BG236" s="220">
        <f t="shared" si="688"/>
        <v>0</v>
      </c>
      <c r="BH236" s="220">
        <f t="shared" si="689"/>
        <v>0</v>
      </c>
      <c r="BI236" s="220">
        <f t="shared" si="690"/>
        <v>0</v>
      </c>
      <c r="BJ236" s="220" t="s">
        <v>2521</v>
      </c>
      <c r="BK236" s="220"/>
      <c r="BL236" s="223">
        <f t="shared" si="582"/>
        <v>0</v>
      </c>
      <c r="BM236" s="220">
        <v>3</v>
      </c>
      <c r="BN236" s="220"/>
      <c r="BO236" s="220">
        <f t="shared" si="704"/>
        <v>3</v>
      </c>
      <c r="BP236" s="220">
        <f>IF(AND(BL236&gt;0,BL236&lt;tiet!$D$1),BL236,IF(BL236&lt;=0,0,IF(BL236&gt;tiet!$C$1,tiet!$C$1)))</f>
        <v>0</v>
      </c>
      <c r="BQ236" s="87">
        <f t="shared" si="674"/>
        <v>60000</v>
      </c>
      <c r="BR236" s="224">
        <f t="shared" si="675"/>
        <v>0</v>
      </c>
      <c r="BS236" s="220">
        <f t="shared" si="630"/>
        <v>0</v>
      </c>
      <c r="BT236" s="224">
        <f>VLOOKUP(N236,ma_dinhmuc!$A$1:$J$31,10,0)</f>
        <v>51000</v>
      </c>
      <c r="BU236" s="224">
        <f>ROUND(IF(BS236&gt;0,VLOOKUP(N236,ma_dinhmuc!$A$1:$J$31,10,0)*BS236,0),0)</f>
        <v>0</v>
      </c>
      <c r="BV236" s="224">
        <f t="shared" si="676"/>
        <v>0</v>
      </c>
      <c r="BW236" s="224"/>
      <c r="BX236" s="224">
        <v>0</v>
      </c>
      <c r="BY236" s="224"/>
      <c r="BZ236" s="224"/>
      <c r="CA236" s="224"/>
      <c r="CB236" s="224"/>
      <c r="CC236" s="225">
        <f t="shared" si="697"/>
        <v>0</v>
      </c>
      <c r="CD236" s="224">
        <f t="shared" si="698"/>
        <v>0</v>
      </c>
      <c r="CE236" s="224"/>
      <c r="CF236" s="226"/>
      <c r="CG236" s="87"/>
      <c r="CH236" s="87">
        <f t="shared" si="705"/>
        <v>41</v>
      </c>
      <c r="CI236" s="227" t="str">
        <f t="shared" si="729"/>
        <v>Trần Như</v>
      </c>
      <c r="CJ236" s="227" t="str">
        <f t="shared" si="730"/>
        <v>Khánh</v>
      </c>
      <c r="CK236" s="87">
        <f t="shared" si="731"/>
        <v>4</v>
      </c>
      <c r="CL236" s="227" t="str">
        <f t="shared" si="720"/>
        <v>TB bảo quản và CBNS</v>
      </c>
      <c r="CM236" s="87" t="str">
        <f t="shared" si="691"/>
        <v>CS2</v>
      </c>
      <c r="CN236" s="87">
        <f t="shared" si="732"/>
        <v>270</v>
      </c>
      <c r="CO236" s="87">
        <f t="shared" si="732"/>
        <v>100</v>
      </c>
      <c r="CP236" s="229">
        <f t="shared" si="634"/>
        <v>0</v>
      </c>
      <c r="CQ236" s="229">
        <f t="shared" si="635"/>
        <v>0</v>
      </c>
      <c r="CR236" s="229">
        <f t="shared" si="636"/>
        <v>0</v>
      </c>
      <c r="CS236" s="229">
        <f t="shared" si="637"/>
        <v>0</v>
      </c>
      <c r="CT236" s="229">
        <f t="shared" si="638"/>
        <v>0</v>
      </c>
      <c r="CU236" s="229">
        <f t="shared" si="639"/>
        <v>0</v>
      </c>
      <c r="CV236" s="229">
        <f t="shared" si="640"/>
        <v>0</v>
      </c>
      <c r="CW236" s="229">
        <f t="shared" si="641"/>
        <v>0</v>
      </c>
      <c r="CX236" s="229">
        <f t="shared" si="642"/>
        <v>0</v>
      </c>
      <c r="CY236" s="229">
        <f t="shared" si="643"/>
        <v>0</v>
      </c>
      <c r="CZ236" s="229">
        <f t="shared" si="644"/>
        <v>0</v>
      </c>
      <c r="DA236" s="229">
        <f t="shared" si="645"/>
        <v>0</v>
      </c>
      <c r="DB236" s="228">
        <f t="shared" si="606"/>
        <v>0</v>
      </c>
      <c r="DC236" s="229"/>
      <c r="DD236" s="229"/>
      <c r="DE236" s="229"/>
      <c r="DF236" s="229"/>
      <c r="DG236" s="229"/>
      <c r="DH236" s="229"/>
      <c r="DI236" s="229"/>
      <c r="DJ236" s="229"/>
      <c r="DK236" s="229"/>
      <c r="DL236" s="229"/>
      <c r="DM236" s="229"/>
      <c r="DN236" s="229"/>
      <c r="DO236" s="228">
        <f t="shared" si="622"/>
        <v>0</v>
      </c>
      <c r="DP236" s="228">
        <f t="shared" si="623"/>
        <v>0</v>
      </c>
      <c r="DQ236" s="229">
        <f t="shared" si="646"/>
        <v>0</v>
      </c>
      <c r="DR236" s="229">
        <f t="shared" si="647"/>
        <v>0</v>
      </c>
      <c r="DS236" s="229">
        <f t="shared" si="648"/>
        <v>0</v>
      </c>
      <c r="DT236" s="229">
        <f t="shared" si="649"/>
        <v>0</v>
      </c>
      <c r="DU236" s="229">
        <f t="shared" si="650"/>
        <v>0</v>
      </c>
      <c r="DV236" s="229">
        <f t="shared" si="651"/>
        <v>0</v>
      </c>
      <c r="DW236" s="229">
        <f t="shared" si="652"/>
        <v>0</v>
      </c>
      <c r="DX236" s="228">
        <f t="shared" si="607"/>
        <v>0</v>
      </c>
      <c r="DY236" s="229"/>
      <c r="DZ236" s="229"/>
      <c r="EA236" s="229"/>
      <c r="EB236" s="229"/>
      <c r="EC236" s="229"/>
      <c r="ED236" s="229"/>
      <c r="EE236" s="229"/>
      <c r="EF236" s="228">
        <f t="shared" si="631"/>
        <v>0</v>
      </c>
      <c r="EG236" s="228">
        <f t="shared" si="624"/>
        <v>0</v>
      </c>
      <c r="EH236" s="229">
        <f t="shared" si="632"/>
        <v>0</v>
      </c>
      <c r="EI236" s="229">
        <v>0</v>
      </c>
      <c r="EJ236" s="228">
        <f t="shared" si="719"/>
        <v>0</v>
      </c>
      <c r="EK236" s="229"/>
      <c r="EL236" s="229"/>
      <c r="EM236" s="228">
        <f t="shared" si="658"/>
        <v>0</v>
      </c>
      <c r="EN236" s="229">
        <f t="shared" si="708"/>
        <v>0</v>
      </c>
      <c r="EO236" s="229">
        <f t="shared" si="723"/>
        <v>0</v>
      </c>
      <c r="EP236" s="228">
        <f t="shared" si="700"/>
        <v>0</v>
      </c>
      <c r="EQ236" s="173">
        <f t="shared" si="633"/>
        <v>0</v>
      </c>
      <c r="ER236" s="189">
        <v>0</v>
      </c>
      <c r="ES236" s="189">
        <v>0</v>
      </c>
      <c r="ET236" s="189">
        <v>0</v>
      </c>
      <c r="EU236" s="189">
        <v>0</v>
      </c>
      <c r="EV236" s="189">
        <v>0</v>
      </c>
      <c r="EW236" s="189">
        <v>0</v>
      </c>
      <c r="EX236" s="189">
        <v>0</v>
      </c>
      <c r="EY236" s="189">
        <v>0</v>
      </c>
      <c r="EZ236" s="189">
        <v>0</v>
      </c>
      <c r="FA236" s="189">
        <v>0</v>
      </c>
      <c r="FB236" s="189">
        <v>0</v>
      </c>
      <c r="FC236" s="189">
        <v>0</v>
      </c>
      <c r="FD236" s="189">
        <v>0</v>
      </c>
      <c r="FE236" s="189">
        <v>0</v>
      </c>
      <c r="FF236" s="189">
        <v>0</v>
      </c>
      <c r="FG236" s="189">
        <v>0</v>
      </c>
      <c r="FH236" s="189">
        <v>0</v>
      </c>
      <c r="FI236" s="189">
        <v>0</v>
      </c>
      <c r="FJ236" s="189">
        <v>0</v>
      </c>
      <c r="FK236" s="189">
        <v>0</v>
      </c>
      <c r="FL236" s="189">
        <v>0</v>
      </c>
      <c r="FN236" s="132">
        <v>0</v>
      </c>
    </row>
    <row r="237" spans="1:170" ht="30.75" customHeight="1">
      <c r="A237" s="88">
        <f>COUNTIF($H$12:H237,H237)</f>
        <v>42</v>
      </c>
      <c r="B237" s="88" t="s">
        <v>994</v>
      </c>
      <c r="C237" s="88" t="s">
        <v>579</v>
      </c>
      <c r="D237" s="88"/>
      <c r="E237" s="88"/>
      <c r="F237" s="301" t="s">
        <v>1276</v>
      </c>
      <c r="G237" s="89" t="s">
        <v>2815</v>
      </c>
      <c r="H237" s="88">
        <v>4</v>
      </c>
      <c r="I237" s="88">
        <v>4</v>
      </c>
      <c r="J237" s="88">
        <v>4</v>
      </c>
      <c r="K237" s="90" t="s">
        <v>1079</v>
      </c>
      <c r="L237" s="90" t="s">
        <v>1079</v>
      </c>
      <c r="M237" s="214"/>
      <c r="N237" s="88" t="s">
        <v>1804</v>
      </c>
      <c r="O237" s="216">
        <f t="shared" si="724"/>
        <v>3.66</v>
      </c>
      <c r="P237" s="88" t="str">
        <f t="shared" si="663"/>
        <v>B1_4</v>
      </c>
      <c r="Q237" s="88">
        <f t="shared" si="733"/>
        <v>270</v>
      </c>
      <c r="R237" s="88">
        <f t="shared" si="734"/>
        <v>120</v>
      </c>
      <c r="S237" s="234" t="s">
        <v>2659</v>
      </c>
      <c r="T237" s="219" t="s">
        <v>3088</v>
      </c>
      <c r="U237" s="88">
        <f>IF(RIGHT(T237,1)="K",(VLOOKUP(T237,ma_miengiam!$A$3:$B$80,2,0)*100)/2,VLOOKUP(T237,ma_miengiam!$A$3:$B$80,2,0)*100)</f>
        <v>0</v>
      </c>
      <c r="V237" s="88"/>
      <c r="W237" s="220">
        <f>IF(AND(T237="NTS",V237&gt;0),(Q237-(Q237*V237)/12)*VLOOKUP(T237,ma_miengiam!$A$3:$B$80,2,0)+(Q237-(Q237*(12-V237))/12),IF(AND(RIGHT(T237,1)="K",V237&gt;0),(VLOOKUP(T237,ma_miengiam!$A$3:$B$80,2,0)/2)*(Q237*V237)/12,IF(RIGHT(T237,1)="K",(VLOOKUP(T237,ma_miengiam!$A$3:$B$80,2,0)*Q237)/2,IF(V237&gt;0,VLOOKUP(T237,ma_miengiam!$A$3:$B$80,2,0)*Q237*V237/12,VLOOKUP(T237,ma_miengiam!$A$3:$B$80,2,0)*Q237))))</f>
        <v>0</v>
      </c>
      <c r="X237" s="220">
        <f>IF(T237="NTS",VLOOKUP(T237,ma_miengiam!$A$3:$B$80,2,0)*R237*V237,IF(AND(T237="NTS",V237=0),0,IF(AND(LEFT(T237,1)="K",V237=0),VLOOKUP(T237,ma_miengiam!$A$3:$B$80,2,0)*R237,IF(LEFT(T237,1)="K",(VLOOKUP(T237,ma_miengiam!$A$3:$B$80,2,0)*R237/12)*V237,IF(AND(LEFT(T237,1)="S",V237&gt;0),(R237/12)*V237,IF(AND(LEFT(T237,1)="S",V237=0),R237,IF(T237="DH",VLOOKUP(T237,ma_miengiam!$A$3:$B$80,2,0)*R237,0)))))))</f>
        <v>0</v>
      </c>
      <c r="Y237" s="220">
        <f t="shared" si="703"/>
        <v>270</v>
      </c>
      <c r="Z237" s="220">
        <f t="shared" si="695"/>
        <v>120</v>
      </c>
      <c r="AA237" s="220">
        <f t="shared" si="735"/>
        <v>270</v>
      </c>
      <c r="AB237" s="220">
        <f t="shared" si="735"/>
        <v>120</v>
      </c>
      <c r="AC237" s="220">
        <f t="shared" si="736"/>
        <v>0</v>
      </c>
      <c r="AD237" s="220">
        <f t="shared" si="736"/>
        <v>0</v>
      </c>
      <c r="AE237" s="220">
        <f t="shared" si="736"/>
        <v>270</v>
      </c>
      <c r="AF237" s="220">
        <f t="shared" si="736"/>
        <v>120</v>
      </c>
      <c r="AG237" s="220">
        <f t="shared" si="726"/>
        <v>302.02999999999997</v>
      </c>
      <c r="AH237" s="220">
        <f t="shared" si="727"/>
        <v>171.43</v>
      </c>
      <c r="AI237" s="220">
        <f t="shared" si="728"/>
        <v>130.6</v>
      </c>
      <c r="AJ237" s="220">
        <f t="shared" si="677"/>
        <v>0</v>
      </c>
      <c r="AK237" s="216">
        <f t="shared" si="604"/>
        <v>270</v>
      </c>
      <c r="AL237" s="220">
        <f t="shared" si="611"/>
        <v>290.2</v>
      </c>
      <c r="AM237" s="220">
        <f t="shared" si="612"/>
        <v>0</v>
      </c>
      <c r="AN237" s="216">
        <f t="shared" si="613"/>
        <v>290.2</v>
      </c>
      <c r="AO237" s="220">
        <f t="shared" si="614"/>
        <v>0</v>
      </c>
      <c r="AP237" s="220">
        <f t="shared" si="615"/>
        <v>0</v>
      </c>
      <c r="AQ237" s="220">
        <f t="shared" si="616"/>
        <v>0</v>
      </c>
      <c r="AR237" s="220">
        <f t="shared" si="617"/>
        <v>0</v>
      </c>
      <c r="AS237" s="220">
        <f t="shared" si="618"/>
        <v>0</v>
      </c>
      <c r="AT237" s="216">
        <f t="shared" si="619"/>
        <v>290.2</v>
      </c>
      <c r="AU237" s="220">
        <f t="shared" si="722"/>
        <v>20.199999999999989</v>
      </c>
      <c r="AV237" s="220"/>
      <c r="AW237" s="220">
        <f t="shared" si="680"/>
        <v>20.199999999999989</v>
      </c>
      <c r="AX237" s="216">
        <f t="shared" si="620"/>
        <v>0</v>
      </c>
      <c r="AY237" s="220">
        <f t="shared" si="681"/>
        <v>0</v>
      </c>
      <c r="AZ237" s="220">
        <f t="shared" si="682"/>
        <v>0</v>
      </c>
      <c r="BA237" s="220">
        <f t="shared" si="683"/>
        <v>0</v>
      </c>
      <c r="BB237" s="220">
        <f t="shared" si="684"/>
        <v>0</v>
      </c>
      <c r="BC237" s="220">
        <f t="shared" si="685"/>
        <v>0</v>
      </c>
      <c r="BD237" s="216">
        <f t="shared" si="575"/>
        <v>0</v>
      </c>
      <c r="BE237" s="220">
        <f t="shared" si="686"/>
        <v>0</v>
      </c>
      <c r="BF237" s="220">
        <f t="shared" si="687"/>
        <v>0</v>
      </c>
      <c r="BG237" s="220">
        <f t="shared" si="688"/>
        <v>0</v>
      </c>
      <c r="BH237" s="220">
        <f t="shared" si="689"/>
        <v>0</v>
      </c>
      <c r="BI237" s="220">
        <f t="shared" si="690"/>
        <v>0</v>
      </c>
      <c r="BJ237" s="220" t="s">
        <v>2413</v>
      </c>
      <c r="BK237" s="220"/>
      <c r="BL237" s="223">
        <f t="shared" si="582"/>
        <v>20.199999999999989</v>
      </c>
      <c r="BM237" s="220">
        <v>3.66</v>
      </c>
      <c r="BN237" s="220"/>
      <c r="BO237" s="220">
        <f t="shared" si="704"/>
        <v>3.66</v>
      </c>
      <c r="BP237" s="220">
        <f>IF(AND(BL237&gt;0,BL237&lt;tiet!$D$1),BL237,IF(BL237&lt;=0,0,IF(BL237&gt;tiet!$C$1,tiet!$C$1)))</f>
        <v>20.199999999999989</v>
      </c>
      <c r="BQ237" s="87">
        <f t="shared" si="674"/>
        <v>65000</v>
      </c>
      <c r="BR237" s="224">
        <f t="shared" si="675"/>
        <v>1313000</v>
      </c>
      <c r="BS237" s="220">
        <f t="shared" si="630"/>
        <v>0</v>
      </c>
      <c r="BT237" s="224">
        <f>VLOOKUP(N237,ma_dinhmuc!$A$1:$J$31,10,0)</f>
        <v>51000</v>
      </c>
      <c r="BU237" s="224">
        <f>ROUND(IF(BS237&gt;0,VLOOKUP(N237,ma_dinhmuc!$A$1:$J$31,10,0)*BS237,0),0)</f>
        <v>0</v>
      </c>
      <c r="BV237" s="224">
        <f t="shared" si="676"/>
        <v>1313000</v>
      </c>
      <c r="BW237" s="224"/>
      <c r="BX237" s="224">
        <v>0</v>
      </c>
      <c r="BY237" s="224"/>
      <c r="BZ237" s="224"/>
      <c r="CA237" s="224"/>
      <c r="CB237" s="224"/>
      <c r="CC237" s="225">
        <f t="shared" si="697"/>
        <v>1313000</v>
      </c>
      <c r="CD237" s="224">
        <f t="shared" si="698"/>
        <v>0</v>
      </c>
      <c r="CE237" s="224"/>
      <c r="CF237" s="226"/>
      <c r="CG237" s="87"/>
      <c r="CH237" s="87">
        <f t="shared" si="705"/>
        <v>42</v>
      </c>
      <c r="CI237" s="227" t="str">
        <f t="shared" si="729"/>
        <v>Phạm Đức</v>
      </c>
      <c r="CJ237" s="227" t="str">
        <f t="shared" si="730"/>
        <v>Nghĩa</v>
      </c>
      <c r="CK237" s="87">
        <f t="shared" si="731"/>
        <v>4</v>
      </c>
      <c r="CL237" s="227" t="str">
        <f t="shared" si="720"/>
        <v>TB bảo quản và CBNS</v>
      </c>
      <c r="CM237" s="87" t="str">
        <f t="shared" si="691"/>
        <v>CS2</v>
      </c>
      <c r="CN237" s="87">
        <f t="shared" ref="CN237:CO239" si="737">Q237</f>
        <v>270</v>
      </c>
      <c r="CO237" s="87">
        <f t="shared" si="737"/>
        <v>120</v>
      </c>
      <c r="CP237" s="229">
        <f t="shared" si="634"/>
        <v>0</v>
      </c>
      <c r="CQ237" s="229">
        <f t="shared" si="635"/>
        <v>41.8</v>
      </c>
      <c r="CR237" s="229">
        <f t="shared" si="636"/>
        <v>16</v>
      </c>
      <c r="CS237" s="229">
        <f t="shared" si="637"/>
        <v>0</v>
      </c>
      <c r="CT237" s="229">
        <f t="shared" si="638"/>
        <v>0</v>
      </c>
      <c r="CU237" s="229">
        <f t="shared" si="639"/>
        <v>159.4</v>
      </c>
      <c r="CV237" s="229">
        <f t="shared" si="640"/>
        <v>0</v>
      </c>
      <c r="CW237" s="229">
        <f t="shared" si="641"/>
        <v>73</v>
      </c>
      <c r="CX237" s="229">
        <f t="shared" si="642"/>
        <v>0</v>
      </c>
      <c r="CY237" s="229">
        <f t="shared" si="643"/>
        <v>0</v>
      </c>
      <c r="CZ237" s="229">
        <f t="shared" si="644"/>
        <v>0</v>
      </c>
      <c r="DA237" s="229">
        <f t="shared" si="645"/>
        <v>0</v>
      </c>
      <c r="DB237" s="228">
        <f t="shared" si="606"/>
        <v>290.2</v>
      </c>
      <c r="DC237" s="229"/>
      <c r="DD237" s="229"/>
      <c r="DE237" s="229"/>
      <c r="DF237" s="229"/>
      <c r="DG237" s="229"/>
      <c r="DH237" s="229"/>
      <c r="DI237" s="229"/>
      <c r="DJ237" s="229"/>
      <c r="DK237" s="229"/>
      <c r="DL237" s="229"/>
      <c r="DM237" s="229"/>
      <c r="DN237" s="229"/>
      <c r="DO237" s="228">
        <f t="shared" si="622"/>
        <v>0</v>
      </c>
      <c r="DP237" s="228">
        <f t="shared" si="623"/>
        <v>290.2</v>
      </c>
      <c r="DQ237" s="229">
        <f t="shared" si="646"/>
        <v>0</v>
      </c>
      <c r="DR237" s="229">
        <f t="shared" si="647"/>
        <v>0</v>
      </c>
      <c r="DS237" s="229">
        <f t="shared" si="648"/>
        <v>0</v>
      </c>
      <c r="DT237" s="229">
        <f t="shared" si="649"/>
        <v>0</v>
      </c>
      <c r="DU237" s="229">
        <f t="shared" si="650"/>
        <v>0</v>
      </c>
      <c r="DV237" s="229">
        <f t="shared" si="651"/>
        <v>0</v>
      </c>
      <c r="DW237" s="229">
        <f t="shared" si="652"/>
        <v>0</v>
      </c>
      <c r="DX237" s="228">
        <f t="shared" si="607"/>
        <v>0</v>
      </c>
      <c r="DY237" s="229"/>
      <c r="DZ237" s="229"/>
      <c r="EA237" s="229"/>
      <c r="EB237" s="229"/>
      <c r="EC237" s="229"/>
      <c r="ED237" s="229"/>
      <c r="EE237" s="229"/>
      <c r="EF237" s="228">
        <f t="shared" si="631"/>
        <v>0</v>
      </c>
      <c r="EG237" s="228">
        <f t="shared" si="624"/>
        <v>0</v>
      </c>
      <c r="EH237" s="229">
        <f t="shared" si="632"/>
        <v>130.6</v>
      </c>
      <c r="EI237" s="229">
        <v>171.43</v>
      </c>
      <c r="EJ237" s="228">
        <f t="shared" si="719"/>
        <v>302.02999999999997</v>
      </c>
      <c r="EK237" s="229"/>
      <c r="EL237" s="229"/>
      <c r="EM237" s="228">
        <f t="shared" si="658"/>
        <v>0</v>
      </c>
      <c r="EN237" s="229">
        <f t="shared" si="708"/>
        <v>130.6</v>
      </c>
      <c r="EO237" s="229">
        <f t="shared" si="723"/>
        <v>171.43</v>
      </c>
      <c r="EP237" s="228">
        <f t="shared" si="700"/>
        <v>302.02999999999997</v>
      </c>
      <c r="EQ237" s="173">
        <f t="shared" si="633"/>
        <v>10.599999999999994</v>
      </c>
      <c r="ER237" s="189">
        <v>0</v>
      </c>
      <c r="ES237" s="189">
        <v>41.8</v>
      </c>
      <c r="ET237" s="189">
        <v>16</v>
      </c>
      <c r="EU237" s="189">
        <v>0</v>
      </c>
      <c r="EV237" s="189">
        <v>0</v>
      </c>
      <c r="EW237" s="189">
        <v>159.4</v>
      </c>
      <c r="EX237" s="189">
        <v>0</v>
      </c>
      <c r="EY237" s="189">
        <v>73</v>
      </c>
      <c r="EZ237" s="189">
        <v>0</v>
      </c>
      <c r="FA237" s="189">
        <v>0</v>
      </c>
      <c r="FB237" s="189">
        <v>0</v>
      </c>
      <c r="FC237" s="189">
        <v>0</v>
      </c>
      <c r="FD237" s="189">
        <v>0</v>
      </c>
      <c r="FE237" s="189">
        <v>0</v>
      </c>
      <c r="FF237" s="189">
        <v>0</v>
      </c>
      <c r="FG237" s="189">
        <v>0</v>
      </c>
      <c r="FH237" s="189">
        <v>0</v>
      </c>
      <c r="FI237" s="189">
        <v>0</v>
      </c>
      <c r="FJ237" s="189">
        <v>0</v>
      </c>
      <c r="FK237" s="189">
        <v>290.2</v>
      </c>
      <c r="FL237" s="189">
        <v>198</v>
      </c>
      <c r="FN237" s="132">
        <v>130.6</v>
      </c>
    </row>
    <row r="238" spans="1:170" ht="30" customHeight="1">
      <c r="A238" s="88">
        <f>COUNTIF($H$12:H238,H238)</f>
        <v>43</v>
      </c>
      <c r="B238" s="88" t="s">
        <v>995</v>
      </c>
      <c r="C238" s="88" t="s">
        <v>580</v>
      </c>
      <c r="D238" s="88"/>
      <c r="E238" s="88"/>
      <c r="F238" s="301" t="s">
        <v>2899</v>
      </c>
      <c r="G238" s="89" t="s">
        <v>646</v>
      </c>
      <c r="H238" s="88">
        <v>4</v>
      </c>
      <c r="I238" s="88">
        <v>4</v>
      </c>
      <c r="J238" s="88">
        <v>4</v>
      </c>
      <c r="K238" s="90" t="s">
        <v>1079</v>
      </c>
      <c r="L238" s="90" t="s">
        <v>1079</v>
      </c>
      <c r="M238" s="214"/>
      <c r="N238" s="88" t="s">
        <v>1804</v>
      </c>
      <c r="O238" s="216">
        <f t="shared" si="724"/>
        <v>3.66</v>
      </c>
      <c r="P238" s="88" t="str">
        <f t="shared" si="663"/>
        <v>B1_4</v>
      </c>
      <c r="Q238" s="88">
        <f t="shared" si="733"/>
        <v>270</v>
      </c>
      <c r="R238" s="88">
        <f t="shared" si="734"/>
        <v>120</v>
      </c>
      <c r="S238" s="231" t="s">
        <v>1858</v>
      </c>
      <c r="T238" s="215" t="s">
        <v>3088</v>
      </c>
      <c r="U238" s="88">
        <f>IF(RIGHT(T238,1)="K",(VLOOKUP(T238,ma_miengiam!$A$3:$B$80,2,0)*100)/2,VLOOKUP(T238,ma_miengiam!$A$3:$B$80,2,0)*100)</f>
        <v>0</v>
      </c>
      <c r="V238" s="88"/>
      <c r="W238" s="220">
        <f>IF(AND(T238="NTS",V238&gt;0),(Q238-(Q238*V238)/12)*VLOOKUP(T238,ma_miengiam!$A$3:$B$80,2,0)+(Q238-(Q238*(12-V238))/12),IF(AND(RIGHT(T238,1)="K",V238&gt;0),(VLOOKUP(T238,ma_miengiam!$A$3:$B$80,2,0)/2)*(Q238*V238)/12,IF(RIGHT(T238,1)="K",(VLOOKUP(T238,ma_miengiam!$A$3:$B$80,2,0)*Q238)/2,IF(V238&gt;0,VLOOKUP(T238,ma_miengiam!$A$3:$B$80,2,0)*Q238*V238/12,VLOOKUP(T238,ma_miengiam!$A$3:$B$80,2,0)*Q238))))</f>
        <v>0</v>
      </c>
      <c r="X238" s="220">
        <f>IF(T238="NTS",VLOOKUP(T238,ma_miengiam!$A$3:$B$80,2,0)*R238*V238,IF(AND(T238="NTS",V238=0),0,IF(AND(LEFT(T238,1)="K",V238=0),VLOOKUP(T238,ma_miengiam!$A$3:$B$80,2,0)*R238,IF(LEFT(T238,1)="K",(VLOOKUP(T238,ma_miengiam!$A$3:$B$80,2,0)*R238/12)*V238,IF(AND(LEFT(T238,1)="S",V238&gt;0),(R238/12)*V238,IF(AND(LEFT(T238,1)="S",V238=0),R238,IF(T238="DH",VLOOKUP(T238,ma_miengiam!$A$3:$B$80,2,0)*R238,0)))))))</f>
        <v>0</v>
      </c>
      <c r="Y238" s="220">
        <f t="shared" si="703"/>
        <v>270</v>
      </c>
      <c r="Z238" s="220">
        <f t="shared" si="695"/>
        <v>120</v>
      </c>
      <c r="AA238" s="220">
        <f t="shared" si="735"/>
        <v>270</v>
      </c>
      <c r="AB238" s="220">
        <f t="shared" si="735"/>
        <v>120</v>
      </c>
      <c r="AC238" s="220">
        <f t="shared" si="736"/>
        <v>0</v>
      </c>
      <c r="AD238" s="220">
        <f t="shared" si="736"/>
        <v>0</v>
      </c>
      <c r="AE238" s="220">
        <f t="shared" si="736"/>
        <v>270</v>
      </c>
      <c r="AF238" s="220">
        <f t="shared" si="736"/>
        <v>120</v>
      </c>
      <c r="AG238" s="220">
        <f t="shared" si="726"/>
        <v>105</v>
      </c>
      <c r="AH238" s="220">
        <f t="shared" si="727"/>
        <v>71.66</v>
      </c>
      <c r="AI238" s="220">
        <f t="shared" si="728"/>
        <v>33.340000000000003</v>
      </c>
      <c r="AJ238" s="220">
        <f t="shared" si="677"/>
        <v>-15</v>
      </c>
      <c r="AK238" s="216">
        <f t="shared" si="604"/>
        <v>285</v>
      </c>
      <c r="AL238" s="220">
        <f t="shared" si="611"/>
        <v>0</v>
      </c>
      <c r="AM238" s="220">
        <f t="shared" si="612"/>
        <v>0</v>
      </c>
      <c r="AN238" s="221">
        <f t="shared" si="613"/>
        <v>0</v>
      </c>
      <c r="AO238" s="220">
        <f t="shared" si="614"/>
        <v>0</v>
      </c>
      <c r="AP238" s="220">
        <f t="shared" si="615"/>
        <v>0</v>
      </c>
      <c r="AQ238" s="220">
        <f t="shared" si="616"/>
        <v>0</v>
      </c>
      <c r="AR238" s="220">
        <f t="shared" si="617"/>
        <v>0</v>
      </c>
      <c r="AS238" s="220">
        <f t="shared" si="618"/>
        <v>0</v>
      </c>
      <c r="AT238" s="216">
        <f t="shared" si="619"/>
        <v>0</v>
      </c>
      <c r="AU238" s="220">
        <f t="shared" si="722"/>
        <v>-285</v>
      </c>
      <c r="AV238" s="220"/>
      <c r="AW238" s="220">
        <f t="shared" si="680"/>
        <v>-285</v>
      </c>
      <c r="AX238" s="216">
        <f t="shared" si="620"/>
        <v>-285</v>
      </c>
      <c r="AY238" s="220">
        <f t="shared" si="681"/>
        <v>0</v>
      </c>
      <c r="AZ238" s="220">
        <f t="shared" si="682"/>
        <v>0</v>
      </c>
      <c r="BA238" s="220">
        <f t="shared" si="683"/>
        <v>0</v>
      </c>
      <c r="BB238" s="220">
        <f t="shared" si="684"/>
        <v>0</v>
      </c>
      <c r="BC238" s="220">
        <f t="shared" si="685"/>
        <v>0</v>
      </c>
      <c r="BD238" s="216">
        <f t="shared" si="575"/>
        <v>0</v>
      </c>
      <c r="BE238" s="220">
        <f t="shared" si="686"/>
        <v>0</v>
      </c>
      <c r="BF238" s="220">
        <f t="shared" si="687"/>
        <v>0</v>
      </c>
      <c r="BG238" s="220">
        <f t="shared" si="688"/>
        <v>0</v>
      </c>
      <c r="BH238" s="220">
        <f t="shared" si="689"/>
        <v>0</v>
      </c>
      <c r="BI238" s="220">
        <f t="shared" si="690"/>
        <v>0</v>
      </c>
      <c r="BJ238" s="220" t="s">
        <v>2413</v>
      </c>
      <c r="BK238" s="220"/>
      <c r="BL238" s="223">
        <f t="shared" si="582"/>
        <v>0</v>
      </c>
      <c r="BM238" s="220">
        <v>3.66</v>
      </c>
      <c r="BN238" s="220"/>
      <c r="BO238" s="220">
        <f t="shared" si="704"/>
        <v>3.66</v>
      </c>
      <c r="BP238" s="220">
        <f>IF(AND(BL238&gt;0,BL238&lt;tiet!$D$1),BL238,IF(BL238&lt;=0,0,IF(BL238&gt;tiet!$C$1,tiet!$C$1)))</f>
        <v>0</v>
      </c>
      <c r="BQ238" s="87">
        <f t="shared" si="674"/>
        <v>65000</v>
      </c>
      <c r="BR238" s="224">
        <f t="shared" si="675"/>
        <v>0</v>
      </c>
      <c r="BS238" s="220">
        <f t="shared" si="630"/>
        <v>0</v>
      </c>
      <c r="BT238" s="224">
        <f>VLOOKUP(N238,ma_dinhmuc!$A$1:$J$31,10,0)</f>
        <v>51000</v>
      </c>
      <c r="BU238" s="224">
        <f>ROUND(IF(BS238&gt;0,VLOOKUP(N238,ma_dinhmuc!$A$1:$J$31,10,0)*BS238,0),0)</f>
        <v>0</v>
      </c>
      <c r="BV238" s="224">
        <f t="shared" si="676"/>
        <v>0</v>
      </c>
      <c r="BW238" s="224"/>
      <c r="BX238" s="224">
        <v>0</v>
      </c>
      <c r="BY238" s="224"/>
      <c r="BZ238" s="224"/>
      <c r="CA238" s="224"/>
      <c r="CB238" s="224"/>
      <c r="CC238" s="225">
        <f t="shared" si="697"/>
        <v>0</v>
      </c>
      <c r="CD238" s="224">
        <f t="shared" si="698"/>
        <v>0</v>
      </c>
      <c r="CE238" s="224"/>
      <c r="CF238" s="226"/>
      <c r="CG238" s="87"/>
      <c r="CH238" s="87">
        <f t="shared" si="705"/>
        <v>43</v>
      </c>
      <c r="CI238" s="227" t="str">
        <f t="shared" si="729"/>
        <v>Ngô Thị</v>
      </c>
      <c r="CJ238" s="227" t="str">
        <f t="shared" si="730"/>
        <v>Hiền</v>
      </c>
      <c r="CK238" s="87">
        <f t="shared" si="731"/>
        <v>4</v>
      </c>
      <c r="CL238" s="227" t="str">
        <f t="shared" si="720"/>
        <v>TB bảo quản và CBNS</v>
      </c>
      <c r="CM238" s="87" t="str">
        <f t="shared" si="691"/>
        <v>CS2</v>
      </c>
      <c r="CN238" s="87">
        <f t="shared" si="737"/>
        <v>270</v>
      </c>
      <c r="CO238" s="87">
        <f t="shared" si="737"/>
        <v>120</v>
      </c>
      <c r="CP238" s="229">
        <f t="shared" si="634"/>
        <v>0</v>
      </c>
      <c r="CQ238" s="229">
        <f t="shared" si="635"/>
        <v>0</v>
      </c>
      <c r="CR238" s="229">
        <f t="shared" si="636"/>
        <v>0</v>
      </c>
      <c r="CS238" s="229">
        <f t="shared" si="637"/>
        <v>0</v>
      </c>
      <c r="CT238" s="229">
        <f t="shared" si="638"/>
        <v>0</v>
      </c>
      <c r="CU238" s="229">
        <f t="shared" si="639"/>
        <v>0</v>
      </c>
      <c r="CV238" s="229">
        <f t="shared" si="640"/>
        <v>0</v>
      </c>
      <c r="CW238" s="229">
        <f t="shared" si="641"/>
        <v>0</v>
      </c>
      <c r="CX238" s="229">
        <f t="shared" si="642"/>
        <v>0</v>
      </c>
      <c r="CY238" s="229">
        <f t="shared" si="643"/>
        <v>0</v>
      </c>
      <c r="CZ238" s="229">
        <f t="shared" si="644"/>
        <v>0</v>
      </c>
      <c r="DA238" s="229">
        <f t="shared" si="645"/>
        <v>0</v>
      </c>
      <c r="DB238" s="228">
        <f t="shared" si="606"/>
        <v>0</v>
      </c>
      <c r="DC238" s="229"/>
      <c r="DD238" s="229"/>
      <c r="DE238" s="229"/>
      <c r="DF238" s="229"/>
      <c r="DG238" s="229"/>
      <c r="DH238" s="229"/>
      <c r="DI238" s="229"/>
      <c r="DJ238" s="229"/>
      <c r="DK238" s="229"/>
      <c r="DL238" s="229"/>
      <c r="DM238" s="229"/>
      <c r="DN238" s="229"/>
      <c r="DO238" s="228">
        <f t="shared" si="622"/>
        <v>0</v>
      </c>
      <c r="DP238" s="228">
        <f t="shared" si="623"/>
        <v>0</v>
      </c>
      <c r="DQ238" s="229">
        <f t="shared" si="646"/>
        <v>0</v>
      </c>
      <c r="DR238" s="229">
        <f t="shared" si="647"/>
        <v>0</v>
      </c>
      <c r="DS238" s="229">
        <f t="shared" si="648"/>
        <v>0</v>
      </c>
      <c r="DT238" s="229">
        <f t="shared" si="649"/>
        <v>0</v>
      </c>
      <c r="DU238" s="229">
        <f t="shared" si="650"/>
        <v>0</v>
      </c>
      <c r="DV238" s="229">
        <f t="shared" si="651"/>
        <v>0</v>
      </c>
      <c r="DW238" s="229">
        <f t="shared" si="652"/>
        <v>0</v>
      </c>
      <c r="DX238" s="228">
        <f t="shared" si="607"/>
        <v>0</v>
      </c>
      <c r="DY238" s="229"/>
      <c r="DZ238" s="229"/>
      <c r="EA238" s="229"/>
      <c r="EB238" s="229"/>
      <c r="EC238" s="229"/>
      <c r="ED238" s="229"/>
      <c r="EE238" s="229"/>
      <c r="EF238" s="228">
        <f t="shared" si="631"/>
        <v>0</v>
      </c>
      <c r="EG238" s="228">
        <f t="shared" si="624"/>
        <v>0</v>
      </c>
      <c r="EH238" s="229">
        <f t="shared" si="632"/>
        <v>33.340000000000003</v>
      </c>
      <c r="EI238" s="229">
        <v>71.66</v>
      </c>
      <c r="EJ238" s="228">
        <f t="shared" si="719"/>
        <v>105</v>
      </c>
      <c r="EK238" s="229"/>
      <c r="EL238" s="229"/>
      <c r="EM238" s="228">
        <f t="shared" si="658"/>
        <v>0</v>
      </c>
      <c r="EN238" s="229">
        <f t="shared" si="708"/>
        <v>33.340000000000003</v>
      </c>
      <c r="EO238" s="229">
        <f t="shared" si="723"/>
        <v>71.66</v>
      </c>
      <c r="EP238" s="228">
        <f t="shared" si="700"/>
        <v>105</v>
      </c>
      <c r="EQ238" s="173">
        <f t="shared" si="633"/>
        <v>0</v>
      </c>
      <c r="ER238" s="189">
        <v>0</v>
      </c>
      <c r="ES238" s="189">
        <v>0</v>
      </c>
      <c r="ET238" s="189">
        <v>0</v>
      </c>
      <c r="EU238" s="189">
        <v>0</v>
      </c>
      <c r="EV238" s="189">
        <v>0</v>
      </c>
      <c r="EW238" s="189">
        <v>0</v>
      </c>
      <c r="EX238" s="189">
        <v>0</v>
      </c>
      <c r="EY238" s="189">
        <v>0</v>
      </c>
      <c r="EZ238" s="189">
        <v>0</v>
      </c>
      <c r="FA238" s="189">
        <v>0</v>
      </c>
      <c r="FB238" s="189">
        <v>0</v>
      </c>
      <c r="FC238" s="189">
        <v>0</v>
      </c>
      <c r="FD238" s="189">
        <v>0</v>
      </c>
      <c r="FE238" s="189">
        <v>0</v>
      </c>
      <c r="FF238" s="189">
        <v>0</v>
      </c>
      <c r="FG238" s="189">
        <v>0</v>
      </c>
      <c r="FH238" s="189">
        <v>0</v>
      </c>
      <c r="FI238" s="189">
        <v>0</v>
      </c>
      <c r="FJ238" s="189">
        <v>0</v>
      </c>
      <c r="FK238" s="189">
        <v>0</v>
      </c>
      <c r="FL238" s="189">
        <v>0</v>
      </c>
      <c r="FN238" s="132">
        <v>33.340000000000003</v>
      </c>
    </row>
    <row r="239" spans="1:170" ht="30">
      <c r="A239" s="88">
        <f>COUNTIF($H$12:H239,H239)</f>
        <v>44</v>
      </c>
      <c r="B239" s="88" t="s">
        <v>996</v>
      </c>
      <c r="C239" s="88" t="s">
        <v>581</v>
      </c>
      <c r="D239" s="88"/>
      <c r="E239" s="88"/>
      <c r="F239" s="301" t="s">
        <v>2081</v>
      </c>
      <c r="G239" s="89" t="s">
        <v>24</v>
      </c>
      <c r="H239" s="88">
        <v>4</v>
      </c>
      <c r="I239" s="88">
        <v>4</v>
      </c>
      <c r="J239" s="88">
        <v>4</v>
      </c>
      <c r="K239" s="90" t="s">
        <v>1079</v>
      </c>
      <c r="L239" s="90" t="s">
        <v>1079</v>
      </c>
      <c r="M239" s="214"/>
      <c r="N239" s="88" t="s">
        <v>1804</v>
      </c>
      <c r="O239" s="216">
        <f t="shared" si="724"/>
        <v>4.32</v>
      </c>
      <c r="P239" s="88" t="str">
        <f t="shared" si="663"/>
        <v>B1_4</v>
      </c>
      <c r="Q239" s="88">
        <f t="shared" si="733"/>
        <v>270</v>
      </c>
      <c r="R239" s="88">
        <f t="shared" si="734"/>
        <v>120</v>
      </c>
      <c r="S239" s="218" t="s">
        <v>2983</v>
      </c>
      <c r="T239" s="88" t="s">
        <v>3092</v>
      </c>
      <c r="U239" s="88">
        <f>IF(RIGHT(T239,1)="K",(VLOOKUP(T239,ma_miengiam!$A$3:$B$80,2,0)*100)/2,VLOOKUP(T239,ma_miengiam!$A$3:$B$80,2,0)*100)</f>
        <v>25</v>
      </c>
      <c r="V239" s="88"/>
      <c r="W239" s="220">
        <f>IF(AND(T239="NTS",V239&gt;0),(Q239-(Q239*V239)/12)*VLOOKUP(T239,ma_miengiam!$A$3:$B$80,2,0)+(Q239-(Q239*(12-V239))/12),IF(AND(RIGHT(T239,1)="K",V239&gt;0),(VLOOKUP(T239,ma_miengiam!$A$3:$B$80,2,0)/2)*(Q239*V239)/12,IF(RIGHT(T239,1)="K",(VLOOKUP(T239,ma_miengiam!$A$3:$B$80,2,0)*Q239)/2,IF(V239&gt;0,VLOOKUP(T239,ma_miengiam!$A$3:$B$80,2,0)*Q239*V239/12,VLOOKUP(T239,ma_miengiam!$A$3:$B$80,2,0)*Q239))))</f>
        <v>67.5</v>
      </c>
      <c r="X239" s="220">
        <f>IF(T239="NTS",VLOOKUP(T239,ma_miengiam!$A$3:$B$80,2,0)*R239*V239,IF(AND(T239="NTS",V239=0),0,IF(AND(LEFT(T239,1)="K",V239=0),VLOOKUP(T239,ma_miengiam!$A$3:$B$80,2,0)*R239,IF(LEFT(T239,1)="K",(VLOOKUP(T239,ma_miengiam!$A$3:$B$80,2,0)*R239/12)*V239,IF(AND(LEFT(T239,1)="S",V239&gt;0),(R239/12)*V239,IF(AND(LEFT(T239,1)="S",V239=0),R239,IF(T239="DH",VLOOKUP(T239,ma_miengiam!$A$3:$B$80,2,0)*R239,0)))))))</f>
        <v>0</v>
      </c>
      <c r="Y239" s="220">
        <f t="shared" si="703"/>
        <v>202.5</v>
      </c>
      <c r="Z239" s="220">
        <f t="shared" si="695"/>
        <v>120</v>
      </c>
      <c r="AA239" s="220">
        <f t="shared" si="735"/>
        <v>270</v>
      </c>
      <c r="AB239" s="220">
        <f t="shared" si="735"/>
        <v>120</v>
      </c>
      <c r="AC239" s="220">
        <f t="shared" si="736"/>
        <v>67.5</v>
      </c>
      <c r="AD239" s="220">
        <f t="shared" si="736"/>
        <v>0</v>
      </c>
      <c r="AE239" s="220">
        <f t="shared" si="736"/>
        <v>202.5</v>
      </c>
      <c r="AF239" s="220">
        <f t="shared" si="736"/>
        <v>120</v>
      </c>
      <c r="AG239" s="220">
        <f t="shared" si="726"/>
        <v>264.15999999999997</v>
      </c>
      <c r="AH239" s="220">
        <f t="shared" si="727"/>
        <v>71.66</v>
      </c>
      <c r="AI239" s="220">
        <f t="shared" si="728"/>
        <v>192.5</v>
      </c>
      <c r="AJ239" s="220">
        <f t="shared" si="677"/>
        <v>0</v>
      </c>
      <c r="AK239" s="216">
        <f t="shared" si="604"/>
        <v>202.5</v>
      </c>
      <c r="AL239" s="220">
        <f t="shared" si="611"/>
        <v>244.3</v>
      </c>
      <c r="AM239" s="220">
        <f t="shared" si="612"/>
        <v>0</v>
      </c>
      <c r="AN239" s="221">
        <f t="shared" si="613"/>
        <v>244.3</v>
      </c>
      <c r="AO239" s="220">
        <f t="shared" si="614"/>
        <v>0</v>
      </c>
      <c r="AP239" s="220">
        <f t="shared" si="615"/>
        <v>0</v>
      </c>
      <c r="AQ239" s="220">
        <f t="shared" si="616"/>
        <v>6</v>
      </c>
      <c r="AR239" s="220">
        <f t="shared" si="617"/>
        <v>0</v>
      </c>
      <c r="AS239" s="220">
        <f t="shared" si="618"/>
        <v>30</v>
      </c>
      <c r="AT239" s="216">
        <f t="shared" si="619"/>
        <v>280.3</v>
      </c>
      <c r="AU239" s="222">
        <f t="shared" si="722"/>
        <v>41.800000000000011</v>
      </c>
      <c r="AV239" s="220"/>
      <c r="AW239" s="220">
        <f t="shared" si="680"/>
        <v>41.800000000000011</v>
      </c>
      <c r="AX239" s="216">
        <f t="shared" si="620"/>
        <v>0</v>
      </c>
      <c r="AY239" s="220">
        <f t="shared" si="681"/>
        <v>0</v>
      </c>
      <c r="AZ239" s="220">
        <f t="shared" si="682"/>
        <v>0</v>
      </c>
      <c r="BA239" s="220">
        <f t="shared" si="683"/>
        <v>6</v>
      </c>
      <c r="BB239" s="220">
        <f t="shared" si="684"/>
        <v>0</v>
      </c>
      <c r="BC239" s="220">
        <f t="shared" si="685"/>
        <v>30</v>
      </c>
      <c r="BD239" s="216">
        <f t="shared" si="575"/>
        <v>36</v>
      </c>
      <c r="BE239" s="220">
        <f t="shared" si="686"/>
        <v>0</v>
      </c>
      <c r="BF239" s="220">
        <f t="shared" si="687"/>
        <v>0</v>
      </c>
      <c r="BG239" s="220">
        <f t="shared" si="688"/>
        <v>0</v>
      </c>
      <c r="BH239" s="220">
        <f t="shared" si="689"/>
        <v>0</v>
      </c>
      <c r="BI239" s="220">
        <f t="shared" si="690"/>
        <v>0</v>
      </c>
      <c r="BJ239" s="220" t="s">
        <v>2413</v>
      </c>
      <c r="BK239" s="220"/>
      <c r="BL239" s="223">
        <f t="shared" si="582"/>
        <v>41.800000000000011</v>
      </c>
      <c r="BM239" s="220">
        <v>4.32</v>
      </c>
      <c r="BN239" s="220"/>
      <c r="BO239" s="220">
        <f t="shared" si="704"/>
        <v>4.32</v>
      </c>
      <c r="BP239" s="220">
        <f>IF(AND(BL239&gt;0,BL239&lt;tiet!$D$1),BL239,IF(BL239&lt;=0,0,IF(BL239&gt;tiet!$C$1,tiet!$C$1)))</f>
        <v>41.800000000000011</v>
      </c>
      <c r="BQ239" s="87">
        <f t="shared" si="674"/>
        <v>65000</v>
      </c>
      <c r="BR239" s="224">
        <f t="shared" si="675"/>
        <v>2717000</v>
      </c>
      <c r="BS239" s="220">
        <f t="shared" si="630"/>
        <v>0</v>
      </c>
      <c r="BT239" s="224">
        <f>VLOOKUP(N239,ma_dinhmuc!$A$1:$J$31,10,0)</f>
        <v>51000</v>
      </c>
      <c r="BU239" s="224">
        <f>ROUND(IF(BS239&gt;0,VLOOKUP(N239,ma_dinhmuc!$A$1:$J$31,10,0)*BS239,0),0)</f>
        <v>0</v>
      </c>
      <c r="BV239" s="224">
        <f t="shared" si="676"/>
        <v>2717000</v>
      </c>
      <c r="BW239" s="224"/>
      <c r="BX239" s="224">
        <v>0</v>
      </c>
      <c r="BY239" s="224"/>
      <c r="BZ239" s="224"/>
      <c r="CA239" s="224"/>
      <c r="CB239" s="224"/>
      <c r="CC239" s="225">
        <f t="shared" si="697"/>
        <v>2717000</v>
      </c>
      <c r="CD239" s="224">
        <f t="shared" si="698"/>
        <v>0</v>
      </c>
      <c r="CE239" s="224"/>
      <c r="CF239" s="226"/>
      <c r="CG239" s="87"/>
      <c r="CH239" s="87">
        <f t="shared" si="705"/>
        <v>44</v>
      </c>
      <c r="CI239" s="227" t="str">
        <f t="shared" si="729"/>
        <v>Nguyễn Thanh</v>
      </c>
      <c r="CJ239" s="227" t="str">
        <f t="shared" si="730"/>
        <v>Hải</v>
      </c>
      <c r="CK239" s="87">
        <f t="shared" si="731"/>
        <v>4</v>
      </c>
      <c r="CL239" s="227" t="str">
        <f t="shared" si="720"/>
        <v>TB bảo quản và CBNS</v>
      </c>
      <c r="CM239" s="87" t="str">
        <f t="shared" si="691"/>
        <v>CS2</v>
      </c>
      <c r="CN239" s="87">
        <f t="shared" si="737"/>
        <v>270</v>
      </c>
      <c r="CO239" s="87">
        <f t="shared" si="737"/>
        <v>120</v>
      </c>
      <c r="CP239" s="229">
        <f t="shared" si="634"/>
        <v>0</v>
      </c>
      <c r="CQ239" s="229">
        <f t="shared" si="635"/>
        <v>14.3</v>
      </c>
      <c r="CR239" s="229">
        <f t="shared" si="636"/>
        <v>6</v>
      </c>
      <c r="CS239" s="229">
        <f t="shared" si="637"/>
        <v>0</v>
      </c>
      <c r="CT239" s="229">
        <f t="shared" si="638"/>
        <v>0</v>
      </c>
      <c r="CU239" s="229">
        <f t="shared" si="639"/>
        <v>132</v>
      </c>
      <c r="CV239" s="229">
        <f t="shared" si="640"/>
        <v>0</v>
      </c>
      <c r="CW239" s="229">
        <f t="shared" si="641"/>
        <v>92</v>
      </c>
      <c r="CX239" s="229">
        <f t="shared" si="642"/>
        <v>0</v>
      </c>
      <c r="CY239" s="229">
        <f t="shared" si="643"/>
        <v>0</v>
      </c>
      <c r="CZ239" s="229">
        <f t="shared" si="644"/>
        <v>0</v>
      </c>
      <c r="DA239" s="229">
        <f t="shared" si="645"/>
        <v>6</v>
      </c>
      <c r="DB239" s="228">
        <f t="shared" si="606"/>
        <v>250.3</v>
      </c>
      <c r="DC239" s="229"/>
      <c r="DD239" s="229"/>
      <c r="DE239" s="229"/>
      <c r="DF239" s="229"/>
      <c r="DG239" s="229"/>
      <c r="DH239" s="229"/>
      <c r="DI239" s="229"/>
      <c r="DJ239" s="229"/>
      <c r="DK239" s="229"/>
      <c r="DL239" s="229"/>
      <c r="DM239" s="229"/>
      <c r="DN239" s="229"/>
      <c r="DO239" s="228">
        <f t="shared" si="622"/>
        <v>0</v>
      </c>
      <c r="DP239" s="228">
        <f t="shared" si="623"/>
        <v>250.3</v>
      </c>
      <c r="DQ239" s="229">
        <f t="shared" si="646"/>
        <v>0</v>
      </c>
      <c r="DR239" s="229">
        <f t="shared" si="647"/>
        <v>0</v>
      </c>
      <c r="DS239" s="229">
        <f t="shared" si="648"/>
        <v>0</v>
      </c>
      <c r="DT239" s="229">
        <f t="shared" si="649"/>
        <v>0</v>
      </c>
      <c r="DU239" s="229">
        <f t="shared" si="650"/>
        <v>0</v>
      </c>
      <c r="DV239" s="229">
        <f t="shared" si="651"/>
        <v>0</v>
      </c>
      <c r="DW239" s="229">
        <f t="shared" si="652"/>
        <v>30</v>
      </c>
      <c r="DX239" s="228">
        <f t="shared" si="607"/>
        <v>30</v>
      </c>
      <c r="DY239" s="229"/>
      <c r="DZ239" s="229"/>
      <c r="EA239" s="229"/>
      <c r="EB239" s="229"/>
      <c r="EC239" s="229"/>
      <c r="ED239" s="229"/>
      <c r="EE239" s="229"/>
      <c r="EF239" s="228">
        <f t="shared" si="631"/>
        <v>0</v>
      </c>
      <c r="EG239" s="228">
        <f t="shared" si="624"/>
        <v>30</v>
      </c>
      <c r="EH239" s="229">
        <f t="shared" si="632"/>
        <v>192.5</v>
      </c>
      <c r="EI239" s="229">
        <v>71.66</v>
      </c>
      <c r="EJ239" s="228">
        <f t="shared" si="719"/>
        <v>264.15999999999997</v>
      </c>
      <c r="EK239" s="229"/>
      <c r="EL239" s="229"/>
      <c r="EM239" s="228">
        <f t="shared" si="658"/>
        <v>0</v>
      </c>
      <c r="EN239" s="229">
        <f t="shared" si="708"/>
        <v>192.5</v>
      </c>
      <c r="EO239" s="229">
        <f t="shared" si="723"/>
        <v>71.66</v>
      </c>
      <c r="EP239" s="228">
        <f t="shared" si="700"/>
        <v>264.15999999999997</v>
      </c>
      <c r="EQ239" s="173">
        <f t="shared" si="633"/>
        <v>72.5</v>
      </c>
      <c r="ER239" s="189">
        <v>0</v>
      </c>
      <c r="ES239" s="189">
        <v>14.3</v>
      </c>
      <c r="ET239" s="189">
        <v>6</v>
      </c>
      <c r="EU239" s="189">
        <v>0</v>
      </c>
      <c r="EV239" s="189">
        <v>0</v>
      </c>
      <c r="EW239" s="189">
        <v>132</v>
      </c>
      <c r="EX239" s="189">
        <v>0</v>
      </c>
      <c r="EY239" s="189">
        <v>92</v>
      </c>
      <c r="EZ239" s="189">
        <v>0</v>
      </c>
      <c r="FA239" s="189">
        <v>0</v>
      </c>
      <c r="FB239" s="189">
        <v>0</v>
      </c>
      <c r="FC239" s="189">
        <v>6</v>
      </c>
      <c r="FD239" s="189">
        <v>0</v>
      </c>
      <c r="FE239" s="189">
        <v>0</v>
      </c>
      <c r="FF239" s="189">
        <v>0</v>
      </c>
      <c r="FG239" s="189">
        <v>0</v>
      </c>
      <c r="FH239" s="189">
        <v>0</v>
      </c>
      <c r="FI239" s="189">
        <v>0</v>
      </c>
      <c r="FJ239" s="189">
        <v>30</v>
      </c>
      <c r="FK239" s="189">
        <v>280.3</v>
      </c>
      <c r="FL239" s="189">
        <v>254</v>
      </c>
      <c r="FN239" s="132">
        <v>192.5</v>
      </c>
    </row>
    <row r="240" spans="1:170" ht="30.75" customHeight="1">
      <c r="A240" s="88">
        <f>COUNTIF($H$12:H240,H240)</f>
        <v>45</v>
      </c>
      <c r="B240" s="88" t="s">
        <v>997</v>
      </c>
      <c r="C240" s="88" t="s">
        <v>582</v>
      </c>
      <c r="D240" s="88"/>
      <c r="E240" s="88"/>
      <c r="F240" s="301" t="s">
        <v>1279</v>
      </c>
      <c r="G240" s="89" t="s">
        <v>1280</v>
      </c>
      <c r="H240" s="88">
        <v>4</v>
      </c>
      <c r="I240" s="88">
        <v>4</v>
      </c>
      <c r="J240" s="88">
        <v>4</v>
      </c>
      <c r="K240" s="90" t="s">
        <v>1939</v>
      </c>
      <c r="L240" s="90" t="s">
        <v>1939</v>
      </c>
      <c r="M240" s="214"/>
      <c r="N240" s="88" t="s">
        <v>1804</v>
      </c>
      <c r="O240" s="216">
        <f t="shared" ref="O240:O247" si="738">BO240</f>
        <v>3.33</v>
      </c>
      <c r="P240" s="88" t="str">
        <f t="shared" si="663"/>
        <v>B1_4</v>
      </c>
      <c r="Q240" s="88">
        <f t="shared" si="733"/>
        <v>270</v>
      </c>
      <c r="R240" s="88">
        <f t="shared" si="734"/>
        <v>120</v>
      </c>
      <c r="S240" s="231" t="s">
        <v>524</v>
      </c>
      <c r="T240" s="88" t="s">
        <v>3089</v>
      </c>
      <c r="U240" s="88">
        <f>IF(RIGHT(T240,1)="K",(VLOOKUP(T240,ma_miengiam!$A$3:$B$80,2,0)*100)/2,VLOOKUP(T240,ma_miengiam!$A$3:$B$80,2,0)*100)</f>
        <v>10</v>
      </c>
      <c r="V240" s="88"/>
      <c r="W240" s="220">
        <f>IF(AND(T240="NTS",V240&gt;0),(Q240-(Q240*V240)/12)*VLOOKUP(T240,ma_miengiam!$A$3:$B$80,2,0)+(Q240-(Q240*(12-V240))/12),IF(AND(RIGHT(T240,1)="K",V240&gt;0),(VLOOKUP(T240,ma_miengiam!$A$3:$B$80,2,0)/2)*(Q240*V240)/12,IF(RIGHT(T240,1)="K",(VLOOKUP(T240,ma_miengiam!$A$3:$B$80,2,0)*Q240)/2,IF(V240&gt;0,VLOOKUP(T240,ma_miengiam!$A$3:$B$80,2,0)*Q240*V240/12,VLOOKUP(T240,ma_miengiam!$A$3:$B$80,2,0)*Q240))))</f>
        <v>27</v>
      </c>
      <c r="X240" s="220">
        <f>IF(T240="NTS",VLOOKUP(T240,ma_miengiam!$A$3:$B$80,2,0)*R240*V240,IF(AND(T240="NTS",V240=0),0,IF(AND(LEFT(T240,1)="K",V240=0),VLOOKUP(T240,ma_miengiam!$A$3:$B$80,2,0)*R240,IF(LEFT(T240,1)="K",(VLOOKUP(T240,ma_miengiam!$A$3:$B$80,2,0)*R240/12)*V240,IF(AND(LEFT(T240,1)="S",V240&gt;0),(R240/12)*V240,IF(AND(LEFT(T240,1)="S",V240=0),R240,IF(T240="DH",VLOOKUP(T240,ma_miengiam!$A$3:$B$80,2,0)*R240,0)))))))</f>
        <v>0</v>
      </c>
      <c r="Y240" s="220">
        <f t="shared" si="703"/>
        <v>243</v>
      </c>
      <c r="Z240" s="220">
        <f t="shared" ref="Z240:Z271" si="739">IF(AND(T240="SĐH",V240&gt;0),(R240/12)*V240-X240,IF(AND(T240="DH",V240&gt;0),(R240*V240/12),IF(AND(T240&lt;&gt;"NTS",V240&gt;0),(R240*V240/12)-X240,IF(AND(T240="NTS",V240&gt;0),R240-X240,R240-X240))))</f>
        <v>120</v>
      </c>
      <c r="AA240" s="220">
        <f t="shared" ref="AA240:AB242" si="740">Q240</f>
        <v>270</v>
      </c>
      <c r="AB240" s="220">
        <f t="shared" si="740"/>
        <v>120</v>
      </c>
      <c r="AC240" s="220">
        <f>W240</f>
        <v>27</v>
      </c>
      <c r="AD240" s="220">
        <f>X240</f>
        <v>0</v>
      </c>
      <c r="AE240" s="220">
        <f>Y240</f>
        <v>243</v>
      </c>
      <c r="AF240" s="220">
        <f>Z240</f>
        <v>120</v>
      </c>
      <c r="AG240" s="220">
        <f t="shared" ref="AG240:AG246" si="741">AH240+AI240</f>
        <v>240.82</v>
      </c>
      <c r="AH240" s="220">
        <f t="shared" ref="AH240:AH246" si="742">EO240</f>
        <v>129.16</v>
      </c>
      <c r="AI240" s="220">
        <f t="shared" ref="AI240:AI246" si="743">EN240</f>
        <v>111.66</v>
      </c>
      <c r="AJ240" s="220">
        <f t="shared" si="677"/>
        <v>0</v>
      </c>
      <c r="AK240" s="216">
        <f t="shared" si="604"/>
        <v>243</v>
      </c>
      <c r="AL240" s="220">
        <f t="shared" si="611"/>
        <v>221.3</v>
      </c>
      <c r="AM240" s="220">
        <f t="shared" si="612"/>
        <v>0</v>
      </c>
      <c r="AN240" s="221">
        <f t="shared" si="613"/>
        <v>221.3</v>
      </c>
      <c r="AO240" s="220">
        <f t="shared" si="614"/>
        <v>0</v>
      </c>
      <c r="AP240" s="220">
        <f t="shared" si="615"/>
        <v>0</v>
      </c>
      <c r="AQ240" s="220">
        <f t="shared" si="616"/>
        <v>60</v>
      </c>
      <c r="AR240" s="220">
        <f t="shared" si="617"/>
        <v>0</v>
      </c>
      <c r="AS240" s="220">
        <f t="shared" si="618"/>
        <v>0</v>
      </c>
      <c r="AT240" s="216">
        <f t="shared" si="619"/>
        <v>281.3</v>
      </c>
      <c r="AU240" s="222">
        <f t="shared" si="722"/>
        <v>-21.699999999999989</v>
      </c>
      <c r="AV240" s="220"/>
      <c r="AW240" s="220">
        <f t="shared" si="680"/>
        <v>-21.699999999999989</v>
      </c>
      <c r="AX240" s="216">
        <f t="shared" si="620"/>
        <v>-21.699999999999989</v>
      </c>
      <c r="AY240" s="220">
        <f t="shared" si="681"/>
        <v>0</v>
      </c>
      <c r="AZ240" s="220">
        <f t="shared" si="682"/>
        <v>0</v>
      </c>
      <c r="BA240" s="220">
        <f t="shared" si="683"/>
        <v>38.300000000000011</v>
      </c>
      <c r="BB240" s="220">
        <f t="shared" si="684"/>
        <v>0</v>
      </c>
      <c r="BC240" s="220">
        <f t="shared" si="685"/>
        <v>0</v>
      </c>
      <c r="BD240" s="216">
        <f t="shared" si="575"/>
        <v>38.300000000000011</v>
      </c>
      <c r="BE240" s="220">
        <f t="shared" si="686"/>
        <v>0</v>
      </c>
      <c r="BF240" s="220">
        <f t="shared" si="687"/>
        <v>0</v>
      </c>
      <c r="BG240" s="220">
        <f t="shared" si="688"/>
        <v>-21.699999999999989</v>
      </c>
      <c r="BH240" s="220">
        <f t="shared" si="689"/>
        <v>0</v>
      </c>
      <c r="BI240" s="220">
        <f t="shared" si="690"/>
        <v>0</v>
      </c>
      <c r="BJ240" s="220" t="s">
        <v>2414</v>
      </c>
      <c r="BK240" s="220"/>
      <c r="BL240" s="223">
        <f t="shared" si="582"/>
        <v>0</v>
      </c>
      <c r="BM240" s="220">
        <v>3.33</v>
      </c>
      <c r="BN240" s="220"/>
      <c r="BO240" s="220">
        <f t="shared" si="704"/>
        <v>3.33</v>
      </c>
      <c r="BP240" s="220">
        <f>IF(AND(BL240&gt;0,BL240&lt;tiet!$D$1),BL240,IF(BL240&lt;=0,0,IF(BL240&gt;tiet!$C$1,tiet!$C$1)))</f>
        <v>0</v>
      </c>
      <c r="BQ240" s="87">
        <f t="shared" si="674"/>
        <v>65000</v>
      </c>
      <c r="BR240" s="224">
        <f t="shared" si="675"/>
        <v>0</v>
      </c>
      <c r="BS240" s="220">
        <f t="shared" si="630"/>
        <v>0</v>
      </c>
      <c r="BT240" s="224">
        <f>VLOOKUP(N240,ma_dinhmuc!$A$1:$J$31,10,0)</f>
        <v>51000</v>
      </c>
      <c r="BU240" s="224">
        <f>ROUND(IF(BS240&gt;0,VLOOKUP(N240,ma_dinhmuc!$A$1:$J$31,10,0)*BS240,0),0)</f>
        <v>0</v>
      </c>
      <c r="BV240" s="224">
        <f t="shared" si="676"/>
        <v>0</v>
      </c>
      <c r="BW240" s="224"/>
      <c r="BX240" s="224">
        <v>0</v>
      </c>
      <c r="BY240" s="224"/>
      <c r="BZ240" s="224"/>
      <c r="CA240" s="224"/>
      <c r="CB240" s="224"/>
      <c r="CC240" s="225">
        <f t="shared" si="697"/>
        <v>0</v>
      </c>
      <c r="CD240" s="224">
        <f t="shared" si="698"/>
        <v>0</v>
      </c>
      <c r="CE240" s="224"/>
      <c r="CF240" s="226"/>
      <c r="CG240" s="87"/>
      <c r="CH240" s="87">
        <f t="shared" si="705"/>
        <v>45</v>
      </c>
      <c r="CI240" s="227" t="str">
        <f t="shared" si="729"/>
        <v>Đào Xuân</v>
      </c>
      <c r="CJ240" s="227" t="str">
        <f t="shared" si="730"/>
        <v>Tiến</v>
      </c>
      <c r="CK240" s="87">
        <f t="shared" si="731"/>
        <v>4</v>
      </c>
      <c r="CL240" s="227" t="str">
        <f t="shared" si="720"/>
        <v>Hệ thống điện</v>
      </c>
      <c r="CM240" s="87" t="str">
        <f t="shared" si="691"/>
        <v>CS2</v>
      </c>
      <c r="CN240" s="87">
        <f>Q240</f>
        <v>270</v>
      </c>
      <c r="CO240" s="87">
        <f>R240</f>
        <v>120</v>
      </c>
      <c r="CP240" s="229">
        <f t="shared" si="634"/>
        <v>0</v>
      </c>
      <c r="CQ240" s="229">
        <f t="shared" si="635"/>
        <v>18</v>
      </c>
      <c r="CR240" s="229">
        <f t="shared" si="636"/>
        <v>4.8</v>
      </c>
      <c r="CS240" s="229">
        <f t="shared" si="637"/>
        <v>32.5</v>
      </c>
      <c r="CT240" s="229">
        <f t="shared" si="638"/>
        <v>0</v>
      </c>
      <c r="CU240" s="229">
        <f t="shared" si="639"/>
        <v>142</v>
      </c>
      <c r="CV240" s="229">
        <f t="shared" si="640"/>
        <v>0</v>
      </c>
      <c r="CW240" s="229">
        <f t="shared" si="641"/>
        <v>24</v>
      </c>
      <c r="CX240" s="229">
        <f t="shared" si="642"/>
        <v>0</v>
      </c>
      <c r="CY240" s="229">
        <f t="shared" si="643"/>
        <v>0</v>
      </c>
      <c r="CZ240" s="229">
        <f t="shared" si="644"/>
        <v>0</v>
      </c>
      <c r="DA240" s="229">
        <f t="shared" si="645"/>
        <v>60</v>
      </c>
      <c r="DB240" s="228">
        <f t="shared" si="606"/>
        <v>281.3</v>
      </c>
      <c r="DC240" s="229"/>
      <c r="DD240" s="229"/>
      <c r="DE240" s="229"/>
      <c r="DF240" s="229"/>
      <c r="DG240" s="229"/>
      <c r="DH240" s="229"/>
      <c r="DI240" s="229"/>
      <c r="DJ240" s="229"/>
      <c r="DK240" s="229"/>
      <c r="DL240" s="229"/>
      <c r="DM240" s="229"/>
      <c r="DN240" s="229"/>
      <c r="DO240" s="228">
        <f t="shared" si="622"/>
        <v>0</v>
      </c>
      <c r="DP240" s="228">
        <f t="shared" si="623"/>
        <v>281.3</v>
      </c>
      <c r="DQ240" s="229">
        <f t="shared" si="646"/>
        <v>0</v>
      </c>
      <c r="DR240" s="229">
        <f t="shared" si="647"/>
        <v>0</v>
      </c>
      <c r="DS240" s="229">
        <f t="shared" si="648"/>
        <v>0</v>
      </c>
      <c r="DT240" s="229">
        <f t="shared" si="649"/>
        <v>0</v>
      </c>
      <c r="DU240" s="229">
        <f t="shared" si="650"/>
        <v>0</v>
      </c>
      <c r="DV240" s="229">
        <f t="shared" si="651"/>
        <v>0</v>
      </c>
      <c r="DW240" s="229">
        <f t="shared" si="652"/>
        <v>0</v>
      </c>
      <c r="DX240" s="228">
        <f t="shared" si="607"/>
        <v>0</v>
      </c>
      <c r="DY240" s="229"/>
      <c r="DZ240" s="229"/>
      <c r="EA240" s="229"/>
      <c r="EB240" s="229"/>
      <c r="EC240" s="229"/>
      <c r="ED240" s="229"/>
      <c r="EE240" s="229"/>
      <c r="EF240" s="228">
        <f t="shared" si="631"/>
        <v>0</v>
      </c>
      <c r="EG240" s="228">
        <f t="shared" si="624"/>
        <v>0</v>
      </c>
      <c r="EH240" s="229">
        <f t="shared" si="632"/>
        <v>111.66</v>
      </c>
      <c r="EI240" s="229">
        <v>129.16</v>
      </c>
      <c r="EJ240" s="228">
        <f t="shared" si="719"/>
        <v>240.82</v>
      </c>
      <c r="EK240" s="229"/>
      <c r="EL240" s="229"/>
      <c r="EM240" s="228">
        <f t="shared" ref="EM240:EM247" si="744">SUM(EK240:EL240)</f>
        <v>0</v>
      </c>
      <c r="EN240" s="229">
        <f t="shared" si="708"/>
        <v>111.66</v>
      </c>
      <c r="EO240" s="229">
        <f t="shared" si="723"/>
        <v>129.16</v>
      </c>
      <c r="EP240" s="228">
        <f t="shared" ref="EP240:EP247" si="745">EM240+EJ240</f>
        <v>240.82</v>
      </c>
      <c r="EQ240" s="173">
        <f t="shared" si="633"/>
        <v>0</v>
      </c>
      <c r="ER240" s="189">
        <v>0</v>
      </c>
      <c r="ES240" s="189">
        <v>18</v>
      </c>
      <c r="ET240" s="189">
        <v>4.8</v>
      </c>
      <c r="EU240" s="189">
        <v>32.5</v>
      </c>
      <c r="EV240" s="189">
        <v>0</v>
      </c>
      <c r="EW240" s="189">
        <v>142</v>
      </c>
      <c r="EX240" s="189">
        <v>0</v>
      </c>
      <c r="EY240" s="189">
        <v>24</v>
      </c>
      <c r="EZ240" s="189">
        <v>0</v>
      </c>
      <c r="FA240" s="189">
        <v>0</v>
      </c>
      <c r="FB240" s="189">
        <v>0</v>
      </c>
      <c r="FC240" s="189">
        <v>60</v>
      </c>
      <c r="FD240" s="189">
        <v>0</v>
      </c>
      <c r="FE240" s="189">
        <v>0</v>
      </c>
      <c r="FF240" s="189">
        <v>0</v>
      </c>
      <c r="FG240" s="189">
        <v>0</v>
      </c>
      <c r="FH240" s="189">
        <v>0</v>
      </c>
      <c r="FI240" s="189">
        <v>0</v>
      </c>
      <c r="FJ240" s="189">
        <v>0</v>
      </c>
      <c r="FK240" s="189">
        <v>281.3</v>
      </c>
      <c r="FL240" s="189">
        <v>259.5</v>
      </c>
      <c r="FN240" s="132">
        <v>111.66</v>
      </c>
    </row>
    <row r="241" spans="1:170" ht="45">
      <c r="A241" s="88">
        <f>COUNTIF($H$12:H241,H241)</f>
        <v>46</v>
      </c>
      <c r="B241" s="88" t="s">
        <v>999</v>
      </c>
      <c r="C241" s="88" t="s">
        <v>583</v>
      </c>
      <c r="D241" s="88"/>
      <c r="E241" s="88"/>
      <c r="F241" s="301" t="s">
        <v>1281</v>
      </c>
      <c r="G241" s="89" t="s">
        <v>1431</v>
      </c>
      <c r="H241" s="88">
        <v>4</v>
      </c>
      <c r="I241" s="88">
        <v>4</v>
      </c>
      <c r="J241" s="88">
        <v>4</v>
      </c>
      <c r="K241" s="90" t="s">
        <v>1939</v>
      </c>
      <c r="L241" s="90" t="s">
        <v>1939</v>
      </c>
      <c r="M241" s="214"/>
      <c r="N241" s="88" t="s">
        <v>1804</v>
      </c>
      <c r="O241" s="216">
        <f>BO241</f>
        <v>3.33</v>
      </c>
      <c r="P241" s="88" t="str">
        <f t="shared" si="663"/>
        <v>B1_4</v>
      </c>
      <c r="Q241" s="88">
        <f t="shared" si="733"/>
        <v>270</v>
      </c>
      <c r="R241" s="88">
        <f t="shared" si="734"/>
        <v>120</v>
      </c>
      <c r="S241" s="234" t="s">
        <v>493</v>
      </c>
      <c r="T241" s="88" t="s">
        <v>1326</v>
      </c>
      <c r="U241" s="88">
        <f>IF(RIGHT(T241,1)="K",(VLOOKUP(T241,ma_miengiam!$A$3:$B$80,2,0)*100)/2,VLOOKUP(T241,ma_miengiam!$A$3:$B$80,2,0)*100)</f>
        <v>65</v>
      </c>
      <c r="V241" s="88"/>
      <c r="W241" s="220">
        <f>IF(AND(T241="NTS",V241&gt;0),(Q241-(Q241*V241)/12)*VLOOKUP(T241,ma_miengiam!$A$3:$B$80,2,0)+(Q241-(Q241*(12-V241))/12),IF(AND(RIGHT(T241,1)="K",V241&gt;0),(VLOOKUP(T241,ma_miengiam!$A$3:$B$80,2,0)/2)*(Q241*V241)/12,IF(RIGHT(T241,1)="K",(VLOOKUP(T241,ma_miengiam!$A$3:$B$80,2,0)*Q241)/2,IF(V241&gt;0,VLOOKUP(T241,ma_miengiam!$A$3:$B$80,2,0)*Q241*V241/12,VLOOKUP(T241,ma_miengiam!$A$3:$B$80,2,0)*Q241))))</f>
        <v>175.5</v>
      </c>
      <c r="X241" s="220">
        <f>IF(T241="NTS",VLOOKUP(T241,ma_miengiam!$A$3:$B$80,2,0)*R241*V241,IF(AND(T241="NTS",V241=0),0,IF(AND(LEFT(T241,1)="K",V241=0),VLOOKUP(T241,ma_miengiam!$A$3:$B$80,2,0)*R241,IF(LEFT(T241,1)="K",(VLOOKUP(T241,ma_miengiam!$A$3:$B$80,2,0)*R241/12)*V241,IF(AND(LEFT(T241,1)="S",V241&gt;0),(R241/12)*V241,IF(AND(LEFT(T241,1)="S",V241=0),R241,IF(T241="DH",VLOOKUP(T241,ma_miengiam!$A$3:$B$80,2,0)*R241,0)))))))</f>
        <v>120</v>
      </c>
      <c r="Y241" s="220">
        <f t="shared" si="703"/>
        <v>94.5</v>
      </c>
      <c r="Z241" s="220">
        <f>IF(AND(T241="SĐH",V241&gt;0),(R241/12)*V241-X241,IF(AND(T241="DH",V241&gt;0),(R241*V241/12),IF(AND(T241&lt;&gt;"NTS",V241&gt;0),(R241*V241/12)-X241,IF(AND(T241="NTS",V241&gt;0),R241-X241,R241-X241))))</f>
        <v>0</v>
      </c>
      <c r="AA241" s="220">
        <f t="shared" si="740"/>
        <v>270</v>
      </c>
      <c r="AB241" s="220">
        <f t="shared" si="740"/>
        <v>120</v>
      </c>
      <c r="AC241" s="220">
        <f t="shared" ref="AC241:AF242" si="746">W241</f>
        <v>175.5</v>
      </c>
      <c r="AD241" s="220">
        <f t="shared" si="746"/>
        <v>120</v>
      </c>
      <c r="AE241" s="220">
        <f t="shared" si="746"/>
        <v>94.5</v>
      </c>
      <c r="AF241" s="220">
        <f t="shared" si="746"/>
        <v>0</v>
      </c>
      <c r="AG241" s="220">
        <f>AH241+AI241</f>
        <v>139.17000000000002</v>
      </c>
      <c r="AH241" s="220">
        <f>EO241</f>
        <v>61.67</v>
      </c>
      <c r="AI241" s="220">
        <f>EN241</f>
        <v>77.5</v>
      </c>
      <c r="AJ241" s="220">
        <f>IF(AG241-Z241&gt;0,0,AG241-Z241)</f>
        <v>0</v>
      </c>
      <c r="AK241" s="216">
        <f t="shared" si="604"/>
        <v>94.5</v>
      </c>
      <c r="AL241" s="220">
        <f t="shared" si="611"/>
        <v>132.30000000000001</v>
      </c>
      <c r="AM241" s="220">
        <f t="shared" si="612"/>
        <v>0</v>
      </c>
      <c r="AN241" s="221">
        <f t="shared" si="613"/>
        <v>132.30000000000001</v>
      </c>
      <c r="AO241" s="220">
        <f t="shared" si="614"/>
        <v>0</v>
      </c>
      <c r="AP241" s="220">
        <f t="shared" si="615"/>
        <v>0</v>
      </c>
      <c r="AQ241" s="220">
        <f t="shared" si="616"/>
        <v>60</v>
      </c>
      <c r="AR241" s="220">
        <f t="shared" si="617"/>
        <v>0</v>
      </c>
      <c r="AS241" s="220">
        <f t="shared" si="618"/>
        <v>0</v>
      </c>
      <c r="AT241" s="216">
        <f t="shared" si="619"/>
        <v>192.3</v>
      </c>
      <c r="AU241" s="222">
        <f>AN241-AK241</f>
        <v>37.800000000000011</v>
      </c>
      <c r="AV241" s="220"/>
      <c r="AW241" s="220">
        <f t="shared" si="680"/>
        <v>37.800000000000011</v>
      </c>
      <c r="AX241" s="216">
        <f t="shared" si="620"/>
        <v>0</v>
      </c>
      <c r="AY241" s="220">
        <f t="shared" si="681"/>
        <v>0</v>
      </c>
      <c r="AZ241" s="220">
        <f t="shared" si="682"/>
        <v>0</v>
      </c>
      <c r="BA241" s="220">
        <f t="shared" si="683"/>
        <v>60</v>
      </c>
      <c r="BB241" s="220">
        <f t="shared" si="684"/>
        <v>0</v>
      </c>
      <c r="BC241" s="220">
        <f t="shared" si="685"/>
        <v>0</v>
      </c>
      <c r="BD241" s="216">
        <f t="shared" si="575"/>
        <v>60</v>
      </c>
      <c r="BE241" s="220">
        <f t="shared" si="686"/>
        <v>0</v>
      </c>
      <c r="BF241" s="220">
        <f t="shared" si="687"/>
        <v>0</v>
      </c>
      <c r="BG241" s="220">
        <f t="shared" si="688"/>
        <v>0</v>
      </c>
      <c r="BH241" s="220">
        <f t="shared" si="689"/>
        <v>0</v>
      </c>
      <c r="BI241" s="220">
        <f t="shared" si="690"/>
        <v>0</v>
      </c>
      <c r="BJ241" s="220" t="s">
        <v>2414</v>
      </c>
      <c r="BK241" s="220"/>
      <c r="BL241" s="223">
        <f t="shared" si="582"/>
        <v>37.800000000000011</v>
      </c>
      <c r="BM241" s="220">
        <v>3.33</v>
      </c>
      <c r="BN241" s="220"/>
      <c r="BO241" s="220">
        <f t="shared" si="704"/>
        <v>3.33</v>
      </c>
      <c r="BP241" s="220">
        <f>IF(AND(BL241&gt;0,BL241&lt;tiet!$D$1),BL241,IF(BL241&lt;=0,0,IF(BL241&gt;tiet!$C$1,tiet!$C$1)))</f>
        <v>37.800000000000011</v>
      </c>
      <c r="BQ241" s="87">
        <f>VLOOKUP(P241,ma_dinhmuc_moi,4,0)</f>
        <v>65000</v>
      </c>
      <c r="BR241" s="224">
        <f>ROUND(BQ241*BP241,0)</f>
        <v>2457000</v>
      </c>
      <c r="BS241" s="220">
        <f t="shared" si="630"/>
        <v>0</v>
      </c>
      <c r="BT241" s="224">
        <f>VLOOKUP(N241,ma_dinhmuc!$A$1:$J$31,10,0)</f>
        <v>51000</v>
      </c>
      <c r="BU241" s="224">
        <f>ROUND(IF(BS241&gt;0,VLOOKUP(N241,ma_dinhmuc!$A$1:$J$31,10,0)*BS241,0),0)</f>
        <v>0</v>
      </c>
      <c r="BV241" s="224">
        <f>ROUND(BU241+BR241,0)</f>
        <v>2457000</v>
      </c>
      <c r="BW241" s="224"/>
      <c r="BX241" s="224">
        <v>0</v>
      </c>
      <c r="BY241" s="224"/>
      <c r="BZ241" s="224"/>
      <c r="CA241" s="224"/>
      <c r="CB241" s="224"/>
      <c r="CC241" s="225">
        <f>ROUND(IF(BV241+BW241&gt;BX241+BY241+BZ241+CA241+CB241,(BW241+BV241)-(BX241+BY241+BZ241+CA241+CB241+CB241),0),0)</f>
        <v>2457000</v>
      </c>
      <c r="CD241" s="224">
        <f>ROUND(IF(BV241+BW241&lt;BX241+BY241+BZ241+CA241-CB241,(BX241+BY241+BZ241+CA241-CB241)-(BW241+BV241),0),0)</f>
        <v>0</v>
      </c>
      <c r="CE241" s="224"/>
      <c r="CF241" s="226"/>
      <c r="CG241" s="87"/>
      <c r="CH241" s="87">
        <f t="shared" si="705"/>
        <v>46</v>
      </c>
      <c r="CI241" s="227" t="str">
        <f>F241</f>
        <v>Ngô Quang</v>
      </c>
      <c r="CJ241" s="227" t="str">
        <f>G241</f>
        <v>Ước</v>
      </c>
      <c r="CK241" s="87">
        <f>H241</f>
        <v>4</v>
      </c>
      <c r="CL241" s="227" t="str">
        <f t="shared" si="720"/>
        <v>Hệ thống điện</v>
      </c>
      <c r="CM241" s="87" t="str">
        <f t="shared" si="691"/>
        <v>CS2</v>
      </c>
      <c r="CN241" s="87">
        <f>Q241</f>
        <v>270</v>
      </c>
      <c r="CO241" s="87">
        <f>R241</f>
        <v>120</v>
      </c>
      <c r="CP241" s="229">
        <f t="shared" si="634"/>
        <v>0</v>
      </c>
      <c r="CQ241" s="229">
        <f t="shared" si="635"/>
        <v>9.6999999999999993</v>
      </c>
      <c r="CR241" s="229">
        <f t="shared" si="636"/>
        <v>2.6</v>
      </c>
      <c r="CS241" s="229">
        <f t="shared" si="637"/>
        <v>0</v>
      </c>
      <c r="CT241" s="229">
        <f t="shared" si="638"/>
        <v>0</v>
      </c>
      <c r="CU241" s="229">
        <f t="shared" si="639"/>
        <v>54</v>
      </c>
      <c r="CV241" s="229">
        <f t="shared" si="640"/>
        <v>0</v>
      </c>
      <c r="CW241" s="229">
        <f t="shared" si="641"/>
        <v>66</v>
      </c>
      <c r="CX241" s="229">
        <f t="shared" si="642"/>
        <v>0</v>
      </c>
      <c r="CY241" s="229">
        <f t="shared" si="643"/>
        <v>0</v>
      </c>
      <c r="CZ241" s="229">
        <f t="shared" si="644"/>
        <v>0</v>
      </c>
      <c r="DA241" s="229">
        <f t="shared" si="645"/>
        <v>60</v>
      </c>
      <c r="DB241" s="228">
        <f t="shared" si="606"/>
        <v>192.3</v>
      </c>
      <c r="DC241" s="229"/>
      <c r="DD241" s="229"/>
      <c r="DE241" s="229"/>
      <c r="DF241" s="229"/>
      <c r="DG241" s="229"/>
      <c r="DH241" s="229"/>
      <c r="DI241" s="229"/>
      <c r="DJ241" s="229"/>
      <c r="DK241" s="229"/>
      <c r="DL241" s="229"/>
      <c r="DM241" s="229"/>
      <c r="DN241" s="229"/>
      <c r="DO241" s="228">
        <f t="shared" si="622"/>
        <v>0</v>
      </c>
      <c r="DP241" s="228">
        <f t="shared" si="623"/>
        <v>192.3</v>
      </c>
      <c r="DQ241" s="229">
        <f t="shared" si="646"/>
        <v>0</v>
      </c>
      <c r="DR241" s="229">
        <f t="shared" si="647"/>
        <v>0</v>
      </c>
      <c r="DS241" s="229">
        <f t="shared" si="648"/>
        <v>0</v>
      </c>
      <c r="DT241" s="229">
        <f t="shared" si="649"/>
        <v>0</v>
      </c>
      <c r="DU241" s="229">
        <f t="shared" si="650"/>
        <v>0</v>
      </c>
      <c r="DV241" s="229">
        <f t="shared" si="651"/>
        <v>0</v>
      </c>
      <c r="DW241" s="229">
        <f t="shared" si="652"/>
        <v>0</v>
      </c>
      <c r="DX241" s="228">
        <f t="shared" si="607"/>
        <v>0</v>
      </c>
      <c r="DY241" s="229"/>
      <c r="DZ241" s="229"/>
      <c r="EA241" s="229"/>
      <c r="EB241" s="229"/>
      <c r="EC241" s="229"/>
      <c r="ED241" s="229"/>
      <c r="EE241" s="229"/>
      <c r="EF241" s="228">
        <f t="shared" si="631"/>
        <v>0</v>
      </c>
      <c r="EG241" s="228">
        <f t="shared" si="624"/>
        <v>0</v>
      </c>
      <c r="EH241" s="229">
        <f t="shared" si="632"/>
        <v>77.5</v>
      </c>
      <c r="EI241" s="229">
        <v>61.67</v>
      </c>
      <c r="EJ241" s="228">
        <f t="shared" si="719"/>
        <v>139.17000000000002</v>
      </c>
      <c r="EK241" s="229"/>
      <c r="EL241" s="229"/>
      <c r="EM241" s="228">
        <f>SUM(EK241:EL241)</f>
        <v>0</v>
      </c>
      <c r="EN241" s="229">
        <f t="shared" si="708"/>
        <v>77.5</v>
      </c>
      <c r="EO241" s="229">
        <f>EI241</f>
        <v>61.67</v>
      </c>
      <c r="EP241" s="228">
        <f>EM241+EJ241</f>
        <v>139.17000000000002</v>
      </c>
      <c r="EQ241" s="173">
        <f t="shared" si="633"/>
        <v>77.5</v>
      </c>
      <c r="ER241" s="189">
        <v>0</v>
      </c>
      <c r="ES241" s="189">
        <v>9.6999999999999993</v>
      </c>
      <c r="ET241" s="189">
        <v>2.6</v>
      </c>
      <c r="EU241" s="189">
        <v>0</v>
      </c>
      <c r="EV241" s="189">
        <v>0</v>
      </c>
      <c r="EW241" s="189">
        <v>54</v>
      </c>
      <c r="EX241" s="189">
        <v>0</v>
      </c>
      <c r="EY241" s="189">
        <v>66</v>
      </c>
      <c r="EZ241" s="189">
        <v>0</v>
      </c>
      <c r="FA241" s="189">
        <v>0</v>
      </c>
      <c r="FB241" s="189">
        <v>0</v>
      </c>
      <c r="FC241" s="189">
        <v>60</v>
      </c>
      <c r="FD241" s="189">
        <v>0</v>
      </c>
      <c r="FE241" s="189">
        <v>0</v>
      </c>
      <c r="FF241" s="189">
        <v>0</v>
      </c>
      <c r="FG241" s="189">
        <v>0</v>
      </c>
      <c r="FH241" s="189">
        <v>0</v>
      </c>
      <c r="FI241" s="189">
        <v>0</v>
      </c>
      <c r="FJ241" s="189">
        <v>0</v>
      </c>
      <c r="FK241" s="189">
        <v>192.3</v>
      </c>
      <c r="FL241" s="189">
        <v>172</v>
      </c>
      <c r="FN241" s="132">
        <v>77.5</v>
      </c>
    </row>
    <row r="242" spans="1:170" ht="30" customHeight="1">
      <c r="A242" s="88">
        <f>COUNTIF($H$12:H242,H242)</f>
        <v>47</v>
      </c>
      <c r="B242" s="88" t="s">
        <v>1955</v>
      </c>
      <c r="C242" s="88" t="s">
        <v>584</v>
      </c>
      <c r="D242" s="88"/>
      <c r="E242" s="88"/>
      <c r="F242" s="301" t="s">
        <v>2832</v>
      </c>
      <c r="G242" s="303" t="s">
        <v>607</v>
      </c>
      <c r="H242" s="88">
        <v>4</v>
      </c>
      <c r="I242" s="88">
        <v>4</v>
      </c>
      <c r="J242" s="88">
        <v>4</v>
      </c>
      <c r="K242" s="90" t="s">
        <v>1939</v>
      </c>
      <c r="L242" s="90" t="s">
        <v>1939</v>
      </c>
      <c r="M242" s="214"/>
      <c r="N242" s="88" t="s">
        <v>1804</v>
      </c>
      <c r="O242" s="216">
        <f t="shared" si="738"/>
        <v>3.66</v>
      </c>
      <c r="P242" s="88" t="str">
        <f t="shared" si="663"/>
        <v>B1_4</v>
      </c>
      <c r="Q242" s="88">
        <f t="shared" si="733"/>
        <v>270</v>
      </c>
      <c r="R242" s="88">
        <f t="shared" si="734"/>
        <v>120</v>
      </c>
      <c r="S242" s="231" t="s">
        <v>1858</v>
      </c>
      <c r="T242" s="215" t="s">
        <v>3088</v>
      </c>
      <c r="U242" s="88">
        <f>IF(RIGHT(T242,1)="K",(VLOOKUP(T242,ma_miengiam!$A$3:$B$80,2,0)*100)/2,VLOOKUP(T242,ma_miengiam!$A$3:$B$80,2,0)*100)</f>
        <v>0</v>
      </c>
      <c r="V242" s="88"/>
      <c r="W242" s="220">
        <f>IF(AND(T242="NTS",V242&gt;0),(Q242-(Q242*V242)/12)*VLOOKUP(T242,ma_miengiam!$A$3:$B$80,2,0)+(Q242-(Q242*(12-V242))/12),IF(AND(RIGHT(T242,1)="K",V242&gt;0),(VLOOKUP(T242,ma_miengiam!$A$3:$B$80,2,0)/2)*(Q242*V242)/12,IF(RIGHT(T242,1)="K",(VLOOKUP(T242,ma_miengiam!$A$3:$B$80,2,0)*Q242)/2,IF(V242&gt;0,VLOOKUP(T242,ma_miengiam!$A$3:$B$80,2,0)*Q242*V242/12,VLOOKUP(T242,ma_miengiam!$A$3:$B$80,2,0)*Q242))))</f>
        <v>0</v>
      </c>
      <c r="X242" s="220">
        <f>IF(T242="NTS",VLOOKUP(T242,ma_miengiam!$A$3:$B$80,2,0)*R242*V242,IF(AND(T242="NTS",V242=0),0,IF(AND(LEFT(T242,1)="K",V242=0),VLOOKUP(T242,ma_miengiam!$A$3:$B$80,2,0)*R242,IF(LEFT(T242,1)="K",(VLOOKUP(T242,ma_miengiam!$A$3:$B$80,2,0)*R242/12)*V242,IF(AND(LEFT(T242,1)="S",V242&gt;0),(R242/12)*V242,IF(AND(LEFT(T242,1)="S",V242=0),R242,IF(T242="DH",VLOOKUP(T242,ma_miengiam!$A$3:$B$80,2,0)*R242,0)))))))</f>
        <v>0</v>
      </c>
      <c r="Y242" s="220">
        <f t="shared" si="703"/>
        <v>270</v>
      </c>
      <c r="Z242" s="220">
        <f t="shared" si="739"/>
        <v>120</v>
      </c>
      <c r="AA242" s="220">
        <f t="shared" si="740"/>
        <v>270</v>
      </c>
      <c r="AB242" s="220">
        <f t="shared" si="740"/>
        <v>120</v>
      </c>
      <c r="AC242" s="220">
        <f t="shared" si="746"/>
        <v>0</v>
      </c>
      <c r="AD242" s="220">
        <f t="shared" si="746"/>
        <v>0</v>
      </c>
      <c r="AE242" s="220">
        <f t="shared" si="746"/>
        <v>270</v>
      </c>
      <c r="AF242" s="220">
        <f t="shared" si="746"/>
        <v>120</v>
      </c>
      <c r="AG242" s="220">
        <f t="shared" si="741"/>
        <v>370.82</v>
      </c>
      <c r="AH242" s="220">
        <f t="shared" si="742"/>
        <v>127.5</v>
      </c>
      <c r="AI242" s="220">
        <f t="shared" si="743"/>
        <v>243.32</v>
      </c>
      <c r="AJ242" s="220">
        <f t="shared" si="677"/>
        <v>0</v>
      </c>
      <c r="AK242" s="216">
        <f t="shared" si="604"/>
        <v>270</v>
      </c>
      <c r="AL242" s="220">
        <f t="shared" si="611"/>
        <v>175.3</v>
      </c>
      <c r="AM242" s="220">
        <f t="shared" si="612"/>
        <v>0</v>
      </c>
      <c r="AN242" s="221">
        <f t="shared" si="613"/>
        <v>175.3</v>
      </c>
      <c r="AO242" s="220">
        <f t="shared" si="614"/>
        <v>0</v>
      </c>
      <c r="AP242" s="220">
        <f t="shared" si="615"/>
        <v>0</v>
      </c>
      <c r="AQ242" s="220">
        <f t="shared" si="616"/>
        <v>100</v>
      </c>
      <c r="AR242" s="220">
        <f t="shared" si="617"/>
        <v>0</v>
      </c>
      <c r="AS242" s="220">
        <f t="shared" si="618"/>
        <v>0</v>
      </c>
      <c r="AT242" s="216">
        <f t="shared" si="619"/>
        <v>275.3</v>
      </c>
      <c r="AU242" s="220">
        <f t="shared" si="722"/>
        <v>-94.699999999999989</v>
      </c>
      <c r="AV242" s="220"/>
      <c r="AW242" s="220">
        <f t="shared" si="680"/>
        <v>-94.699999999999989</v>
      </c>
      <c r="AX242" s="216">
        <f t="shared" si="620"/>
        <v>-94.699999999999989</v>
      </c>
      <c r="AY242" s="220">
        <f t="shared" si="681"/>
        <v>0</v>
      </c>
      <c r="AZ242" s="220">
        <f t="shared" si="682"/>
        <v>0</v>
      </c>
      <c r="BA242" s="220">
        <f t="shared" si="683"/>
        <v>5.3000000000000114</v>
      </c>
      <c r="BB242" s="220">
        <f t="shared" si="684"/>
        <v>0</v>
      </c>
      <c r="BC242" s="220">
        <f t="shared" si="685"/>
        <v>0</v>
      </c>
      <c r="BD242" s="216">
        <f t="shared" si="575"/>
        <v>5.3000000000000114</v>
      </c>
      <c r="BE242" s="220">
        <f t="shared" si="686"/>
        <v>0</v>
      </c>
      <c r="BF242" s="220">
        <f t="shared" si="687"/>
        <v>0</v>
      </c>
      <c r="BG242" s="220">
        <f t="shared" si="688"/>
        <v>-94.699999999999989</v>
      </c>
      <c r="BH242" s="220">
        <f t="shared" si="689"/>
        <v>0</v>
      </c>
      <c r="BI242" s="220">
        <f t="shared" si="690"/>
        <v>0</v>
      </c>
      <c r="BJ242" s="220" t="s">
        <v>1816</v>
      </c>
      <c r="BK242" s="220"/>
      <c r="BL242" s="223">
        <f t="shared" si="582"/>
        <v>0</v>
      </c>
      <c r="BM242" s="220">
        <v>3.66</v>
      </c>
      <c r="BN242" s="220"/>
      <c r="BO242" s="220">
        <f t="shared" si="704"/>
        <v>3.66</v>
      </c>
      <c r="BP242" s="220">
        <f>IF(AND(BL242&gt;0,BL242&lt;tiet!$D$1),BL242,IF(BL242&lt;=0,0,IF(BL242&gt;tiet!$C$1,tiet!$C$1)))</f>
        <v>0</v>
      </c>
      <c r="BQ242" s="87">
        <f t="shared" si="674"/>
        <v>65000</v>
      </c>
      <c r="BR242" s="224">
        <f t="shared" si="675"/>
        <v>0</v>
      </c>
      <c r="BS242" s="220">
        <f t="shared" si="630"/>
        <v>0</v>
      </c>
      <c r="BT242" s="224">
        <f>VLOOKUP(N242,ma_dinhmuc!$A$1:$J$31,10,0)</f>
        <v>51000</v>
      </c>
      <c r="BU242" s="224">
        <f>ROUND(IF(BS242&gt;0,VLOOKUP(N242,ma_dinhmuc!$A$1:$J$31,10,0)*BS242,0),0)</f>
        <v>0</v>
      </c>
      <c r="BV242" s="224">
        <f t="shared" si="676"/>
        <v>0</v>
      </c>
      <c r="BW242" s="224"/>
      <c r="BX242" s="224">
        <v>0</v>
      </c>
      <c r="BY242" s="224"/>
      <c r="BZ242" s="224"/>
      <c r="CA242" s="224"/>
      <c r="CB242" s="224"/>
      <c r="CC242" s="225">
        <f t="shared" si="697"/>
        <v>0</v>
      </c>
      <c r="CD242" s="224">
        <f t="shared" si="698"/>
        <v>0</v>
      </c>
      <c r="CE242" s="224"/>
      <c r="CF242" s="226"/>
      <c r="CG242" s="87"/>
      <c r="CH242" s="87">
        <f t="shared" si="705"/>
        <v>47</v>
      </c>
      <c r="CI242" s="227" t="str">
        <f t="shared" si="729"/>
        <v>Nguyễn Quang</v>
      </c>
      <c r="CJ242" s="227" t="str">
        <f t="shared" si="730"/>
        <v>Huy</v>
      </c>
      <c r="CK242" s="87">
        <f t="shared" si="731"/>
        <v>4</v>
      </c>
      <c r="CL242" s="227" t="str">
        <f t="shared" si="720"/>
        <v>Hệ thống điện</v>
      </c>
      <c r="CM242" s="87" t="str">
        <f t="shared" si="691"/>
        <v>CS2</v>
      </c>
      <c r="CN242" s="87">
        <f t="shared" ref="CN242:CO244" si="747">Q242</f>
        <v>270</v>
      </c>
      <c r="CO242" s="87">
        <f t="shared" si="747"/>
        <v>120</v>
      </c>
      <c r="CP242" s="229">
        <f t="shared" si="634"/>
        <v>0</v>
      </c>
      <c r="CQ242" s="229">
        <f t="shared" si="635"/>
        <v>23.4</v>
      </c>
      <c r="CR242" s="229">
        <f t="shared" si="636"/>
        <v>9.4</v>
      </c>
      <c r="CS242" s="229">
        <f t="shared" si="637"/>
        <v>30</v>
      </c>
      <c r="CT242" s="229">
        <f t="shared" si="638"/>
        <v>0</v>
      </c>
      <c r="CU242" s="229">
        <f t="shared" si="639"/>
        <v>75</v>
      </c>
      <c r="CV242" s="229">
        <f t="shared" si="640"/>
        <v>0</v>
      </c>
      <c r="CW242" s="229">
        <f t="shared" si="641"/>
        <v>37.5</v>
      </c>
      <c r="CX242" s="229">
        <f t="shared" si="642"/>
        <v>0</v>
      </c>
      <c r="CY242" s="229">
        <f t="shared" si="643"/>
        <v>0</v>
      </c>
      <c r="CZ242" s="229">
        <f t="shared" si="644"/>
        <v>0</v>
      </c>
      <c r="DA242" s="229">
        <f t="shared" si="645"/>
        <v>100</v>
      </c>
      <c r="DB242" s="228">
        <f t="shared" si="606"/>
        <v>275.3</v>
      </c>
      <c r="DC242" s="229"/>
      <c r="DD242" s="229"/>
      <c r="DE242" s="229"/>
      <c r="DF242" s="229"/>
      <c r="DG242" s="229"/>
      <c r="DH242" s="229"/>
      <c r="DI242" s="229"/>
      <c r="DJ242" s="229"/>
      <c r="DK242" s="229"/>
      <c r="DL242" s="229"/>
      <c r="DM242" s="229"/>
      <c r="DN242" s="229"/>
      <c r="DO242" s="228">
        <f t="shared" si="622"/>
        <v>0</v>
      </c>
      <c r="DP242" s="228">
        <f t="shared" si="623"/>
        <v>275.3</v>
      </c>
      <c r="DQ242" s="229">
        <f t="shared" si="646"/>
        <v>0</v>
      </c>
      <c r="DR242" s="229">
        <f t="shared" si="647"/>
        <v>0</v>
      </c>
      <c r="DS242" s="229">
        <f t="shared" si="648"/>
        <v>0</v>
      </c>
      <c r="DT242" s="229">
        <f t="shared" si="649"/>
        <v>0</v>
      </c>
      <c r="DU242" s="229">
        <f t="shared" si="650"/>
        <v>0</v>
      </c>
      <c r="DV242" s="229">
        <f t="shared" si="651"/>
        <v>0</v>
      </c>
      <c r="DW242" s="229">
        <f t="shared" si="652"/>
        <v>0</v>
      </c>
      <c r="DX242" s="228">
        <f t="shared" si="607"/>
        <v>0</v>
      </c>
      <c r="DY242" s="229"/>
      <c r="DZ242" s="229"/>
      <c r="EA242" s="229"/>
      <c r="EB242" s="229"/>
      <c r="EC242" s="229"/>
      <c r="ED242" s="229"/>
      <c r="EE242" s="229"/>
      <c r="EF242" s="228">
        <f t="shared" si="631"/>
        <v>0</v>
      </c>
      <c r="EG242" s="228">
        <f t="shared" si="624"/>
        <v>0</v>
      </c>
      <c r="EH242" s="229">
        <f t="shared" si="632"/>
        <v>243.32</v>
      </c>
      <c r="EI242" s="229">
        <v>127.5</v>
      </c>
      <c r="EJ242" s="228">
        <f t="shared" si="719"/>
        <v>370.82</v>
      </c>
      <c r="EK242" s="229"/>
      <c r="EL242" s="229"/>
      <c r="EM242" s="228">
        <f t="shared" si="744"/>
        <v>0</v>
      </c>
      <c r="EN242" s="229">
        <f t="shared" si="708"/>
        <v>243.32</v>
      </c>
      <c r="EO242" s="229">
        <f t="shared" si="723"/>
        <v>127.5</v>
      </c>
      <c r="EP242" s="228">
        <f t="shared" si="745"/>
        <v>370.82</v>
      </c>
      <c r="EQ242" s="173">
        <f t="shared" si="633"/>
        <v>123.32</v>
      </c>
      <c r="ER242" s="189">
        <v>0</v>
      </c>
      <c r="ES242" s="189">
        <v>23.4</v>
      </c>
      <c r="ET242" s="189">
        <v>9.4</v>
      </c>
      <c r="EU242" s="189">
        <v>30</v>
      </c>
      <c r="EV242" s="189">
        <v>0</v>
      </c>
      <c r="EW242" s="189">
        <v>75</v>
      </c>
      <c r="EX242" s="189">
        <v>0</v>
      </c>
      <c r="EY242" s="189">
        <v>37.5</v>
      </c>
      <c r="EZ242" s="189">
        <v>0</v>
      </c>
      <c r="FA242" s="189">
        <v>0</v>
      </c>
      <c r="FB242" s="189">
        <v>0</v>
      </c>
      <c r="FC242" s="189">
        <v>100</v>
      </c>
      <c r="FD242" s="189">
        <v>0</v>
      </c>
      <c r="FE242" s="189">
        <v>0</v>
      </c>
      <c r="FF242" s="189">
        <v>0</v>
      </c>
      <c r="FG242" s="189">
        <v>0</v>
      </c>
      <c r="FH242" s="189">
        <v>0</v>
      </c>
      <c r="FI242" s="189">
        <v>0</v>
      </c>
      <c r="FJ242" s="189">
        <v>0</v>
      </c>
      <c r="FK242" s="189">
        <v>275.3</v>
      </c>
      <c r="FL242" s="189">
        <v>243</v>
      </c>
      <c r="FN242" s="132">
        <v>243.32</v>
      </c>
    </row>
    <row r="243" spans="1:170" ht="45">
      <c r="A243" s="88">
        <f>COUNTIF($H$12:H243,H243)</f>
        <v>48</v>
      </c>
      <c r="B243" s="88" t="s">
        <v>1000</v>
      </c>
      <c r="C243" s="88" t="s">
        <v>585</v>
      </c>
      <c r="D243" s="88"/>
      <c r="E243" s="88"/>
      <c r="F243" s="301" t="s">
        <v>1139</v>
      </c>
      <c r="G243" s="89" t="s">
        <v>1784</v>
      </c>
      <c r="H243" s="88">
        <v>4</v>
      </c>
      <c r="I243" s="88">
        <v>4</v>
      </c>
      <c r="J243" s="88">
        <v>4</v>
      </c>
      <c r="K243" s="90" t="s">
        <v>1939</v>
      </c>
      <c r="L243" s="90" t="s">
        <v>1939</v>
      </c>
      <c r="M243" s="214"/>
      <c r="N243" s="88" t="s">
        <v>1804</v>
      </c>
      <c r="O243" s="216">
        <f t="shared" si="738"/>
        <v>3.66</v>
      </c>
      <c r="P243" s="88" t="str">
        <f t="shared" si="663"/>
        <v>B1_4</v>
      </c>
      <c r="Q243" s="88">
        <f t="shared" si="733"/>
        <v>270</v>
      </c>
      <c r="R243" s="88">
        <f t="shared" si="734"/>
        <v>120</v>
      </c>
      <c r="S243" s="230" t="s">
        <v>163</v>
      </c>
      <c r="T243" s="88" t="s">
        <v>3090</v>
      </c>
      <c r="U243" s="88">
        <f>IF(RIGHT(T243,1)="K",(VLOOKUP(T243,ma_miengiam!$A$3:$B$80,2,0)*100)/2,VLOOKUP(T243,ma_miengiam!$A$3:$B$80,2,0)*100)</f>
        <v>15</v>
      </c>
      <c r="V243" s="88"/>
      <c r="W243" s="220">
        <f>IF(AND(T243="NTS",V243&gt;0),(Q243-(Q243*V243)/12)*VLOOKUP(T243,ma_miengiam!$A$3:$B$80,2,0)+(Q243-(Q243*(12-V243))/12),IF(AND(RIGHT(T243,1)="K",V243&gt;0),(VLOOKUP(T243,ma_miengiam!$A$3:$B$80,2,0)/2)*(Q243*V243)/12,IF(RIGHT(T243,1)="K",(VLOOKUP(T243,ma_miengiam!$A$3:$B$80,2,0)*Q243)/2,IF(V243&gt;0,VLOOKUP(T243,ma_miengiam!$A$3:$B$80,2,0)*Q243*V243/12,VLOOKUP(T243,ma_miengiam!$A$3:$B$80,2,0)*Q243))))</f>
        <v>40.5</v>
      </c>
      <c r="X243" s="220">
        <f>IF(T243="NTS",VLOOKUP(T243,ma_miengiam!$A$3:$B$80,2,0)*R243*V243,IF(AND(T243="NTS",V243=0),0,IF(AND(LEFT(T243,1)="K",V243=0),VLOOKUP(T243,ma_miengiam!$A$3:$B$80,2,0)*R243,IF(LEFT(T243,1)="K",(VLOOKUP(T243,ma_miengiam!$A$3:$B$80,2,0)*R243/12)*V243,IF(AND(LEFT(T243,1)="S",V243&gt;0),(R243/12)*V243,IF(AND(LEFT(T243,1)="S",V243=0),R243,IF(T243="DH",VLOOKUP(T243,ma_miengiam!$A$3:$B$80,2,0)*R243,0)))))))</f>
        <v>0</v>
      </c>
      <c r="Y243" s="220">
        <f t="shared" si="703"/>
        <v>229.5</v>
      </c>
      <c r="Z243" s="220">
        <f t="shared" si="739"/>
        <v>120</v>
      </c>
      <c r="AA243" s="220">
        <f t="shared" ref="AA243:AB245" si="748">Q243</f>
        <v>270</v>
      </c>
      <c r="AB243" s="220">
        <f t="shared" si="748"/>
        <v>120</v>
      </c>
      <c r="AC243" s="220">
        <f t="shared" ref="AC243:AF245" si="749">W243</f>
        <v>40.5</v>
      </c>
      <c r="AD243" s="220">
        <f t="shared" si="749"/>
        <v>0</v>
      </c>
      <c r="AE243" s="220">
        <f t="shared" si="749"/>
        <v>229.5</v>
      </c>
      <c r="AF243" s="220">
        <f t="shared" si="749"/>
        <v>120</v>
      </c>
      <c r="AG243" s="220">
        <f t="shared" si="741"/>
        <v>167.5</v>
      </c>
      <c r="AH243" s="220">
        <f t="shared" si="742"/>
        <v>67.5</v>
      </c>
      <c r="AI243" s="220">
        <f t="shared" si="743"/>
        <v>100</v>
      </c>
      <c r="AJ243" s="220">
        <f t="shared" si="677"/>
        <v>0</v>
      </c>
      <c r="AK243" s="216">
        <f t="shared" si="604"/>
        <v>229.5</v>
      </c>
      <c r="AL243" s="220">
        <f t="shared" si="611"/>
        <v>154.6</v>
      </c>
      <c r="AM243" s="220">
        <f t="shared" si="612"/>
        <v>0</v>
      </c>
      <c r="AN243" s="221">
        <f t="shared" si="613"/>
        <v>154.6</v>
      </c>
      <c r="AO243" s="220">
        <f t="shared" si="614"/>
        <v>0</v>
      </c>
      <c r="AP243" s="220">
        <f t="shared" si="615"/>
        <v>0</v>
      </c>
      <c r="AQ243" s="220">
        <f t="shared" si="616"/>
        <v>80</v>
      </c>
      <c r="AR243" s="220">
        <f t="shared" si="617"/>
        <v>0</v>
      </c>
      <c r="AS243" s="220">
        <f t="shared" si="618"/>
        <v>0</v>
      </c>
      <c r="AT243" s="216">
        <f t="shared" si="619"/>
        <v>234.6</v>
      </c>
      <c r="AU243" s="222">
        <f t="shared" si="722"/>
        <v>-74.900000000000006</v>
      </c>
      <c r="AV243" s="220"/>
      <c r="AW243" s="220">
        <f t="shared" si="680"/>
        <v>-74.900000000000006</v>
      </c>
      <c r="AX243" s="216">
        <f t="shared" si="620"/>
        <v>-74.900000000000006</v>
      </c>
      <c r="AY243" s="220">
        <f t="shared" si="681"/>
        <v>0</v>
      </c>
      <c r="AZ243" s="220">
        <f t="shared" si="682"/>
        <v>0</v>
      </c>
      <c r="BA243" s="220">
        <f t="shared" si="683"/>
        <v>5.0999999999999943</v>
      </c>
      <c r="BB243" s="220">
        <f t="shared" si="684"/>
        <v>0</v>
      </c>
      <c r="BC243" s="220">
        <f t="shared" si="685"/>
        <v>0</v>
      </c>
      <c r="BD243" s="216">
        <f t="shared" si="575"/>
        <v>5.0999999999999943</v>
      </c>
      <c r="BE243" s="220">
        <f t="shared" si="686"/>
        <v>0</v>
      </c>
      <c r="BF243" s="220">
        <f t="shared" si="687"/>
        <v>0</v>
      </c>
      <c r="BG243" s="220">
        <f t="shared" si="688"/>
        <v>-74.900000000000006</v>
      </c>
      <c r="BH243" s="220">
        <f t="shared" si="689"/>
        <v>0</v>
      </c>
      <c r="BI243" s="220">
        <f t="shared" si="690"/>
        <v>0</v>
      </c>
      <c r="BJ243" s="220" t="s">
        <v>1816</v>
      </c>
      <c r="BK243" s="220"/>
      <c r="BL243" s="223">
        <f t="shared" si="582"/>
        <v>0</v>
      </c>
      <c r="BM243" s="220">
        <v>3.66</v>
      </c>
      <c r="BN243" s="220"/>
      <c r="BO243" s="220">
        <f t="shared" si="704"/>
        <v>3.66</v>
      </c>
      <c r="BP243" s="220">
        <f>IF(AND(BL243&gt;0,BL243&lt;tiet!$D$1),BL243,IF(BL243&lt;=0,0,IF(BL243&gt;tiet!$C$1,tiet!$C$1)))</f>
        <v>0</v>
      </c>
      <c r="BQ243" s="87">
        <f t="shared" si="674"/>
        <v>65000</v>
      </c>
      <c r="BR243" s="224">
        <f t="shared" si="675"/>
        <v>0</v>
      </c>
      <c r="BS243" s="220">
        <f t="shared" si="630"/>
        <v>0</v>
      </c>
      <c r="BT243" s="224">
        <f>VLOOKUP(N243,ma_dinhmuc!$A$1:$J$31,10,0)</f>
        <v>51000</v>
      </c>
      <c r="BU243" s="224">
        <f>ROUND(IF(BS243&gt;0,VLOOKUP(N243,ma_dinhmuc!$A$1:$J$31,10,0)*BS243,0),0)</f>
        <v>0</v>
      </c>
      <c r="BV243" s="224">
        <f t="shared" si="676"/>
        <v>0</v>
      </c>
      <c r="BW243" s="224"/>
      <c r="BX243" s="224">
        <v>0</v>
      </c>
      <c r="BY243" s="224"/>
      <c r="BZ243" s="224"/>
      <c r="CA243" s="224"/>
      <c r="CB243" s="224"/>
      <c r="CC243" s="225">
        <f t="shared" si="697"/>
        <v>0</v>
      </c>
      <c r="CD243" s="224">
        <f t="shared" si="698"/>
        <v>0</v>
      </c>
      <c r="CE243" s="224"/>
      <c r="CF243" s="226"/>
      <c r="CG243" s="87"/>
      <c r="CH243" s="87">
        <f t="shared" si="705"/>
        <v>48</v>
      </c>
      <c r="CI243" s="227" t="str">
        <f t="shared" si="729"/>
        <v>Nguyễn Thị</v>
      </c>
      <c r="CJ243" s="227" t="str">
        <f t="shared" si="730"/>
        <v>Duyên</v>
      </c>
      <c r="CK243" s="87">
        <f t="shared" si="731"/>
        <v>4</v>
      </c>
      <c r="CL243" s="227" t="str">
        <f t="shared" si="720"/>
        <v>Hệ thống điện</v>
      </c>
      <c r="CM243" s="87" t="str">
        <f t="shared" si="691"/>
        <v>CS2</v>
      </c>
      <c r="CN243" s="87">
        <f>Q243</f>
        <v>270</v>
      </c>
      <c r="CO243" s="87">
        <f>R243</f>
        <v>120</v>
      </c>
      <c r="CP243" s="229">
        <f t="shared" si="634"/>
        <v>0</v>
      </c>
      <c r="CQ243" s="229">
        <f t="shared" si="635"/>
        <v>14.4</v>
      </c>
      <c r="CR243" s="229">
        <f t="shared" si="636"/>
        <v>2.7</v>
      </c>
      <c r="CS243" s="229">
        <f t="shared" si="637"/>
        <v>32.5</v>
      </c>
      <c r="CT243" s="229">
        <f t="shared" si="638"/>
        <v>0</v>
      </c>
      <c r="CU243" s="229">
        <f t="shared" si="639"/>
        <v>105</v>
      </c>
      <c r="CV243" s="229">
        <f t="shared" si="640"/>
        <v>0</v>
      </c>
      <c r="CW243" s="229">
        <f t="shared" si="641"/>
        <v>0</v>
      </c>
      <c r="CX243" s="229">
        <f t="shared" si="642"/>
        <v>0</v>
      </c>
      <c r="CY243" s="229">
        <f t="shared" si="643"/>
        <v>0</v>
      </c>
      <c r="CZ243" s="229">
        <f t="shared" si="644"/>
        <v>0</v>
      </c>
      <c r="DA243" s="229">
        <f t="shared" si="645"/>
        <v>80</v>
      </c>
      <c r="DB243" s="228">
        <f t="shared" si="606"/>
        <v>234.6</v>
      </c>
      <c r="DC243" s="229"/>
      <c r="DD243" s="229"/>
      <c r="DE243" s="229"/>
      <c r="DF243" s="229"/>
      <c r="DG243" s="229"/>
      <c r="DH243" s="229"/>
      <c r="DI243" s="229"/>
      <c r="DJ243" s="229"/>
      <c r="DK243" s="229"/>
      <c r="DL243" s="229"/>
      <c r="DM243" s="229"/>
      <c r="DN243" s="229"/>
      <c r="DO243" s="228">
        <f t="shared" si="622"/>
        <v>0</v>
      </c>
      <c r="DP243" s="228">
        <f t="shared" si="623"/>
        <v>234.6</v>
      </c>
      <c r="DQ243" s="229">
        <f t="shared" si="646"/>
        <v>0</v>
      </c>
      <c r="DR243" s="229">
        <f t="shared" si="647"/>
        <v>0</v>
      </c>
      <c r="DS243" s="229">
        <f t="shared" si="648"/>
        <v>0</v>
      </c>
      <c r="DT243" s="229">
        <f t="shared" si="649"/>
        <v>0</v>
      </c>
      <c r="DU243" s="229">
        <f t="shared" si="650"/>
        <v>0</v>
      </c>
      <c r="DV243" s="229">
        <f t="shared" si="651"/>
        <v>0</v>
      </c>
      <c r="DW243" s="229">
        <f t="shared" si="652"/>
        <v>0</v>
      </c>
      <c r="DX243" s="228">
        <f t="shared" si="607"/>
        <v>0</v>
      </c>
      <c r="DY243" s="229"/>
      <c r="DZ243" s="229"/>
      <c r="EA243" s="229"/>
      <c r="EB243" s="229"/>
      <c r="EC243" s="229"/>
      <c r="ED243" s="229"/>
      <c r="EE243" s="229"/>
      <c r="EF243" s="228">
        <f t="shared" si="631"/>
        <v>0</v>
      </c>
      <c r="EG243" s="228">
        <f t="shared" si="624"/>
        <v>0</v>
      </c>
      <c r="EH243" s="229">
        <f t="shared" si="632"/>
        <v>100</v>
      </c>
      <c r="EI243" s="229">
        <v>67.5</v>
      </c>
      <c r="EJ243" s="228">
        <f t="shared" si="719"/>
        <v>167.5</v>
      </c>
      <c r="EK243" s="229"/>
      <c r="EL243" s="229"/>
      <c r="EM243" s="228">
        <f t="shared" si="744"/>
        <v>0</v>
      </c>
      <c r="EN243" s="229">
        <f t="shared" si="708"/>
        <v>100</v>
      </c>
      <c r="EO243" s="229">
        <f t="shared" si="723"/>
        <v>67.5</v>
      </c>
      <c r="EP243" s="228">
        <f t="shared" si="745"/>
        <v>167.5</v>
      </c>
      <c r="EQ243" s="173">
        <f t="shared" si="633"/>
        <v>0</v>
      </c>
      <c r="ER243" s="189">
        <v>0</v>
      </c>
      <c r="ES243" s="189">
        <v>14.4</v>
      </c>
      <c r="ET243" s="189">
        <v>2.7</v>
      </c>
      <c r="EU243" s="189">
        <v>32.5</v>
      </c>
      <c r="EV243" s="189">
        <v>0</v>
      </c>
      <c r="EW243" s="189">
        <v>105</v>
      </c>
      <c r="EX243" s="189">
        <v>0</v>
      </c>
      <c r="EY243" s="189">
        <v>0</v>
      </c>
      <c r="EZ243" s="189">
        <v>0</v>
      </c>
      <c r="FA243" s="189">
        <v>0</v>
      </c>
      <c r="FB243" s="189">
        <v>0</v>
      </c>
      <c r="FC243" s="189">
        <v>80</v>
      </c>
      <c r="FD243" s="189">
        <v>0</v>
      </c>
      <c r="FE243" s="189">
        <v>0</v>
      </c>
      <c r="FF243" s="189">
        <v>0</v>
      </c>
      <c r="FG243" s="189">
        <v>0</v>
      </c>
      <c r="FH243" s="189">
        <v>0</v>
      </c>
      <c r="FI243" s="189">
        <v>0</v>
      </c>
      <c r="FJ243" s="189">
        <v>0</v>
      </c>
      <c r="FK243" s="189">
        <v>234.6</v>
      </c>
      <c r="FL243" s="189">
        <v>224.5</v>
      </c>
      <c r="FN243" s="132">
        <v>100</v>
      </c>
    </row>
    <row r="244" spans="1:170" ht="29.25" customHeight="1">
      <c r="A244" s="88">
        <f>COUNTIF($H$12:H244,H244)</f>
        <v>49</v>
      </c>
      <c r="B244" s="88" t="s">
        <v>1001</v>
      </c>
      <c r="C244" s="88" t="s">
        <v>586</v>
      </c>
      <c r="D244" s="88"/>
      <c r="E244" s="88"/>
      <c r="F244" s="301" t="s">
        <v>1432</v>
      </c>
      <c r="G244" s="303" t="s">
        <v>1772</v>
      </c>
      <c r="H244" s="88">
        <v>4</v>
      </c>
      <c r="I244" s="88">
        <v>4</v>
      </c>
      <c r="J244" s="88">
        <v>4</v>
      </c>
      <c r="K244" s="90" t="s">
        <v>1939</v>
      </c>
      <c r="L244" s="90" t="s">
        <v>1939</v>
      </c>
      <c r="M244" s="214"/>
      <c r="N244" s="88" t="s">
        <v>1804</v>
      </c>
      <c r="O244" s="216">
        <f t="shared" si="738"/>
        <v>3.66</v>
      </c>
      <c r="P244" s="88" t="str">
        <f t="shared" si="663"/>
        <v>B1_4</v>
      </c>
      <c r="Q244" s="88">
        <f t="shared" si="733"/>
        <v>270</v>
      </c>
      <c r="R244" s="88">
        <f t="shared" si="734"/>
        <v>120</v>
      </c>
      <c r="S244" s="230" t="s">
        <v>494</v>
      </c>
      <c r="T244" s="88" t="s">
        <v>3091</v>
      </c>
      <c r="U244" s="88">
        <f>IF(RIGHT(T244,1)="K",(VLOOKUP(T244,ma_miengiam!$A$3:$B$80,2,0)*100)/2,VLOOKUP(T244,ma_miengiam!$A$3:$B$80,2,0)*100)</f>
        <v>20</v>
      </c>
      <c r="V244" s="88"/>
      <c r="W244" s="220">
        <f>IF(AND(T244="NTS",V244&gt;0),(Q244-(Q244*V244)/12)*VLOOKUP(T244,ma_miengiam!$A$3:$B$80,2,0)+(Q244-(Q244*(12-V244))/12),IF(AND(RIGHT(T244,1)="K",V244&gt;0),(VLOOKUP(T244,ma_miengiam!$A$3:$B$80,2,0)/2)*(Q244*V244)/12,IF(RIGHT(T244,1)="K",(VLOOKUP(T244,ma_miengiam!$A$3:$B$80,2,0)*Q244)/2,IF(V244&gt;0,VLOOKUP(T244,ma_miengiam!$A$3:$B$80,2,0)*Q244*V244/12,VLOOKUP(T244,ma_miengiam!$A$3:$B$80,2,0)*Q244))))</f>
        <v>54</v>
      </c>
      <c r="X244" s="220">
        <f>IF(T244="NTS",VLOOKUP(T244,ma_miengiam!$A$3:$B$80,2,0)*R244*V244,IF(AND(T244="NTS",V244=0),0,IF(AND(LEFT(T244,1)="K",V244=0),VLOOKUP(T244,ma_miengiam!$A$3:$B$80,2,0)*R244,IF(LEFT(T244,1)="K",(VLOOKUP(T244,ma_miengiam!$A$3:$B$80,2,0)*R244/12)*V244,IF(AND(LEFT(T244,1)="S",V244&gt;0),(R244/12)*V244,IF(AND(LEFT(T244,1)="S",V244=0),R244,IF(T244="DH",VLOOKUP(T244,ma_miengiam!$A$3:$B$80,2,0)*R244,0)))))))</f>
        <v>0</v>
      </c>
      <c r="Y244" s="220">
        <f t="shared" si="703"/>
        <v>216</v>
      </c>
      <c r="Z244" s="220">
        <f t="shared" si="739"/>
        <v>120</v>
      </c>
      <c r="AA244" s="220">
        <f t="shared" si="748"/>
        <v>270</v>
      </c>
      <c r="AB244" s="220">
        <f t="shared" si="748"/>
        <v>120</v>
      </c>
      <c r="AC244" s="220">
        <f t="shared" si="749"/>
        <v>54</v>
      </c>
      <c r="AD244" s="220">
        <f t="shared" si="749"/>
        <v>0</v>
      </c>
      <c r="AE244" s="220">
        <f t="shared" si="749"/>
        <v>216</v>
      </c>
      <c r="AF244" s="220">
        <f t="shared" si="749"/>
        <v>120</v>
      </c>
      <c r="AG244" s="220">
        <f t="shared" si="741"/>
        <v>70.83</v>
      </c>
      <c r="AH244" s="220">
        <f t="shared" si="742"/>
        <v>0</v>
      </c>
      <c r="AI244" s="220">
        <f t="shared" si="743"/>
        <v>70.83</v>
      </c>
      <c r="AJ244" s="220">
        <f t="shared" si="677"/>
        <v>-49.17</v>
      </c>
      <c r="AK244" s="216">
        <f t="shared" si="604"/>
        <v>265.17</v>
      </c>
      <c r="AL244" s="220">
        <f t="shared" si="611"/>
        <v>136.30000000000001</v>
      </c>
      <c r="AM244" s="220">
        <f t="shared" si="612"/>
        <v>0</v>
      </c>
      <c r="AN244" s="221">
        <f t="shared" si="613"/>
        <v>136.30000000000001</v>
      </c>
      <c r="AO244" s="220">
        <f t="shared" si="614"/>
        <v>0</v>
      </c>
      <c r="AP244" s="220">
        <f t="shared" si="615"/>
        <v>0</v>
      </c>
      <c r="AQ244" s="220">
        <f t="shared" si="616"/>
        <v>80</v>
      </c>
      <c r="AR244" s="220">
        <f t="shared" si="617"/>
        <v>0</v>
      </c>
      <c r="AS244" s="220">
        <f t="shared" si="618"/>
        <v>0</v>
      </c>
      <c r="AT244" s="216">
        <f t="shared" si="619"/>
        <v>216.3</v>
      </c>
      <c r="AU244" s="222">
        <f t="shared" si="722"/>
        <v>-128.87</v>
      </c>
      <c r="AV244" s="220"/>
      <c r="AW244" s="220">
        <f t="shared" si="680"/>
        <v>-128.87</v>
      </c>
      <c r="AX244" s="216">
        <f t="shared" si="620"/>
        <v>-128.87</v>
      </c>
      <c r="AY244" s="220">
        <f t="shared" si="681"/>
        <v>0</v>
      </c>
      <c r="AZ244" s="220">
        <f t="shared" si="682"/>
        <v>0</v>
      </c>
      <c r="BA244" s="220">
        <f t="shared" si="683"/>
        <v>0</v>
      </c>
      <c r="BB244" s="220">
        <f t="shared" si="684"/>
        <v>0</v>
      </c>
      <c r="BC244" s="220">
        <f t="shared" si="685"/>
        <v>0</v>
      </c>
      <c r="BD244" s="216">
        <f t="shared" si="575"/>
        <v>0</v>
      </c>
      <c r="BE244" s="220">
        <f t="shared" si="686"/>
        <v>0</v>
      </c>
      <c r="BF244" s="220">
        <f t="shared" si="687"/>
        <v>0</v>
      </c>
      <c r="BG244" s="220">
        <f t="shared" si="688"/>
        <v>-80</v>
      </c>
      <c r="BH244" s="220">
        <f t="shared" si="689"/>
        <v>0</v>
      </c>
      <c r="BI244" s="220">
        <f t="shared" si="690"/>
        <v>0</v>
      </c>
      <c r="BJ244" s="220" t="s">
        <v>1816</v>
      </c>
      <c r="BK244" s="220"/>
      <c r="BL244" s="223">
        <f t="shared" si="582"/>
        <v>0</v>
      </c>
      <c r="BM244" s="220">
        <v>3.66</v>
      </c>
      <c r="BN244" s="220"/>
      <c r="BO244" s="220">
        <f t="shared" si="704"/>
        <v>3.66</v>
      </c>
      <c r="BP244" s="220">
        <f>IF(AND(BL244&gt;0,BL244&lt;tiet!$D$1),BL244,IF(BL244&lt;=0,0,IF(BL244&gt;tiet!$C$1,tiet!$C$1)))</f>
        <v>0</v>
      </c>
      <c r="BQ244" s="87">
        <f t="shared" si="674"/>
        <v>65000</v>
      </c>
      <c r="BR244" s="224">
        <f t="shared" si="675"/>
        <v>0</v>
      </c>
      <c r="BS244" s="220">
        <f t="shared" si="630"/>
        <v>0</v>
      </c>
      <c r="BT244" s="224">
        <f>VLOOKUP(N244,ma_dinhmuc!$A$1:$J$31,10,0)</f>
        <v>51000</v>
      </c>
      <c r="BU244" s="224">
        <f>ROUND(IF(BS244&gt;0,VLOOKUP(N244,ma_dinhmuc!$A$1:$J$31,10,0)*BS244,0),0)</f>
        <v>0</v>
      </c>
      <c r="BV244" s="224">
        <f t="shared" si="676"/>
        <v>0</v>
      </c>
      <c r="BW244" s="224"/>
      <c r="BX244" s="224">
        <v>0</v>
      </c>
      <c r="BY244" s="224"/>
      <c r="BZ244" s="224"/>
      <c r="CA244" s="224"/>
      <c r="CB244" s="224"/>
      <c r="CC244" s="225">
        <f t="shared" si="697"/>
        <v>0</v>
      </c>
      <c r="CD244" s="224">
        <f t="shared" si="698"/>
        <v>0</v>
      </c>
      <c r="CE244" s="224"/>
      <c r="CF244" s="226"/>
      <c r="CG244" s="87"/>
      <c r="CH244" s="87">
        <f t="shared" si="705"/>
        <v>49</v>
      </c>
      <c r="CI244" s="227" t="str">
        <f t="shared" si="729"/>
        <v>Nguyễn Thị Huyền</v>
      </c>
      <c r="CJ244" s="227" t="str">
        <f t="shared" si="730"/>
        <v>Thanh</v>
      </c>
      <c r="CK244" s="87">
        <f t="shared" si="731"/>
        <v>4</v>
      </c>
      <c r="CL244" s="227" t="str">
        <f t="shared" si="720"/>
        <v>Hệ thống điện</v>
      </c>
      <c r="CM244" s="87" t="str">
        <f t="shared" si="691"/>
        <v>CS2</v>
      </c>
      <c r="CN244" s="87">
        <f t="shared" si="747"/>
        <v>270</v>
      </c>
      <c r="CO244" s="87">
        <f t="shared" si="747"/>
        <v>120</v>
      </c>
      <c r="CP244" s="229">
        <f t="shared" si="634"/>
        <v>0</v>
      </c>
      <c r="CQ244" s="229">
        <f t="shared" si="635"/>
        <v>9.1</v>
      </c>
      <c r="CR244" s="229">
        <f t="shared" si="636"/>
        <v>3.7</v>
      </c>
      <c r="CS244" s="229">
        <f t="shared" si="637"/>
        <v>32.5</v>
      </c>
      <c r="CT244" s="229">
        <f t="shared" si="638"/>
        <v>0</v>
      </c>
      <c r="CU244" s="229">
        <f t="shared" si="639"/>
        <v>59</v>
      </c>
      <c r="CV244" s="229">
        <f t="shared" si="640"/>
        <v>0</v>
      </c>
      <c r="CW244" s="229">
        <f t="shared" si="641"/>
        <v>32</v>
      </c>
      <c r="CX244" s="229">
        <f t="shared" si="642"/>
        <v>0</v>
      </c>
      <c r="CY244" s="229">
        <f t="shared" si="643"/>
        <v>0</v>
      </c>
      <c r="CZ244" s="229">
        <f t="shared" si="644"/>
        <v>0</v>
      </c>
      <c r="DA244" s="229">
        <f t="shared" si="645"/>
        <v>80</v>
      </c>
      <c r="DB244" s="228">
        <f t="shared" si="606"/>
        <v>216.3</v>
      </c>
      <c r="DC244" s="229"/>
      <c r="DD244" s="229"/>
      <c r="DE244" s="229"/>
      <c r="DF244" s="229"/>
      <c r="DG244" s="229"/>
      <c r="DH244" s="229"/>
      <c r="DI244" s="229"/>
      <c r="DJ244" s="229"/>
      <c r="DK244" s="229"/>
      <c r="DL244" s="229"/>
      <c r="DM244" s="229"/>
      <c r="DN244" s="229"/>
      <c r="DO244" s="228">
        <f t="shared" si="622"/>
        <v>0</v>
      </c>
      <c r="DP244" s="228">
        <f t="shared" si="623"/>
        <v>216.3</v>
      </c>
      <c r="DQ244" s="229">
        <f t="shared" si="646"/>
        <v>0</v>
      </c>
      <c r="DR244" s="229">
        <f t="shared" si="647"/>
        <v>0</v>
      </c>
      <c r="DS244" s="229">
        <f t="shared" si="648"/>
        <v>0</v>
      </c>
      <c r="DT244" s="229">
        <f t="shared" si="649"/>
        <v>0</v>
      </c>
      <c r="DU244" s="229">
        <f t="shared" si="650"/>
        <v>0</v>
      </c>
      <c r="DV244" s="229">
        <f t="shared" si="651"/>
        <v>0</v>
      </c>
      <c r="DW244" s="229">
        <f t="shared" si="652"/>
        <v>0</v>
      </c>
      <c r="DX244" s="228">
        <f t="shared" si="607"/>
        <v>0</v>
      </c>
      <c r="DY244" s="229"/>
      <c r="DZ244" s="229"/>
      <c r="EA244" s="229"/>
      <c r="EB244" s="229"/>
      <c r="EC244" s="229"/>
      <c r="ED244" s="229"/>
      <c r="EE244" s="229"/>
      <c r="EF244" s="228">
        <f t="shared" si="631"/>
        <v>0</v>
      </c>
      <c r="EG244" s="228">
        <f t="shared" si="624"/>
        <v>0</v>
      </c>
      <c r="EH244" s="229">
        <f t="shared" si="632"/>
        <v>70.83</v>
      </c>
      <c r="EI244" s="229">
        <v>0</v>
      </c>
      <c r="EJ244" s="228">
        <f t="shared" si="719"/>
        <v>70.83</v>
      </c>
      <c r="EK244" s="229"/>
      <c r="EL244" s="229"/>
      <c r="EM244" s="228">
        <f t="shared" si="744"/>
        <v>0</v>
      </c>
      <c r="EN244" s="229">
        <f t="shared" si="708"/>
        <v>70.83</v>
      </c>
      <c r="EO244" s="229">
        <f t="shared" si="723"/>
        <v>0</v>
      </c>
      <c r="EP244" s="228">
        <f t="shared" si="745"/>
        <v>70.83</v>
      </c>
      <c r="EQ244" s="173">
        <f t="shared" si="633"/>
        <v>0</v>
      </c>
      <c r="ER244" s="189">
        <v>0</v>
      </c>
      <c r="ES244" s="189">
        <v>9.1</v>
      </c>
      <c r="ET244" s="189">
        <v>3.7</v>
      </c>
      <c r="EU244" s="189">
        <v>32.5</v>
      </c>
      <c r="EV244" s="189">
        <v>0</v>
      </c>
      <c r="EW244" s="189">
        <v>59</v>
      </c>
      <c r="EX244" s="189">
        <v>0</v>
      </c>
      <c r="EY244" s="189">
        <v>32</v>
      </c>
      <c r="EZ244" s="189">
        <v>0</v>
      </c>
      <c r="FA244" s="189">
        <v>0</v>
      </c>
      <c r="FB244" s="189">
        <v>0</v>
      </c>
      <c r="FC244" s="189">
        <v>80</v>
      </c>
      <c r="FD244" s="189">
        <v>0</v>
      </c>
      <c r="FE244" s="189">
        <v>0</v>
      </c>
      <c r="FF244" s="189">
        <v>0</v>
      </c>
      <c r="FG244" s="189">
        <v>0</v>
      </c>
      <c r="FH244" s="189">
        <v>0</v>
      </c>
      <c r="FI244" s="189">
        <v>0</v>
      </c>
      <c r="FJ244" s="189">
        <v>0</v>
      </c>
      <c r="FK244" s="189">
        <v>216.3</v>
      </c>
      <c r="FL244" s="189">
        <v>207.5</v>
      </c>
      <c r="FN244" s="132">
        <v>70.83</v>
      </c>
    </row>
    <row r="245" spans="1:170" ht="30.75" customHeight="1">
      <c r="A245" s="88">
        <f>COUNTIF($H$12:H245,H245)</f>
        <v>50</v>
      </c>
      <c r="B245" s="88" t="s">
        <v>1002</v>
      </c>
      <c r="C245" s="88" t="s">
        <v>587</v>
      </c>
      <c r="D245" s="88"/>
      <c r="E245" s="88"/>
      <c r="F245" s="301" t="s">
        <v>1433</v>
      </c>
      <c r="G245" s="89" t="s">
        <v>963</v>
      </c>
      <c r="H245" s="88">
        <v>4</v>
      </c>
      <c r="I245" s="88">
        <v>4</v>
      </c>
      <c r="J245" s="88">
        <v>4</v>
      </c>
      <c r="K245" s="90" t="s">
        <v>1939</v>
      </c>
      <c r="L245" s="90" t="s">
        <v>1939</v>
      </c>
      <c r="M245" s="214"/>
      <c r="N245" s="88" t="s">
        <v>1804</v>
      </c>
      <c r="O245" s="216">
        <f>BO245</f>
        <v>3</v>
      </c>
      <c r="P245" s="88" t="str">
        <f t="shared" si="663"/>
        <v>B1_3</v>
      </c>
      <c r="Q245" s="88">
        <f t="shared" si="733"/>
        <v>270</v>
      </c>
      <c r="R245" s="88">
        <f t="shared" si="734"/>
        <v>100</v>
      </c>
      <c r="S245" s="230" t="s">
        <v>2872</v>
      </c>
      <c r="T245" s="88" t="s">
        <v>3091</v>
      </c>
      <c r="U245" s="88">
        <f>IF(RIGHT(T245,1)="K",(VLOOKUP(T245,ma_miengiam!$A$3:$B$80,2,0)*100)/2,VLOOKUP(T245,ma_miengiam!$A$3:$B$80,2,0)*100)</f>
        <v>20</v>
      </c>
      <c r="V245" s="88"/>
      <c r="W245" s="220">
        <f>IF(AND(T245="NTS",V245&gt;0),(Q245-(Q245*V245)/12)*VLOOKUP(T245,ma_miengiam!$A$3:$B$80,2,0)+(Q245-(Q245*(12-V245))/12),IF(AND(RIGHT(T245,1)="K",V245&gt;0),(VLOOKUP(T245,ma_miengiam!$A$3:$B$80,2,0)/2)*(Q245*V245)/12,IF(RIGHT(T245,1)="K",(VLOOKUP(T245,ma_miengiam!$A$3:$B$80,2,0)*Q245)/2,IF(V245&gt;0,VLOOKUP(T245,ma_miengiam!$A$3:$B$80,2,0)*Q245*V245/12,VLOOKUP(T245,ma_miengiam!$A$3:$B$80,2,0)*Q245))))</f>
        <v>54</v>
      </c>
      <c r="X245" s="220">
        <f>IF(T245="NTS",VLOOKUP(T245,ma_miengiam!$A$3:$B$80,2,0)*R245*V245,IF(AND(T245="NTS",V245=0),0,IF(AND(LEFT(T245,1)="K",V245=0),VLOOKUP(T245,ma_miengiam!$A$3:$B$80,2,0)*R245,IF(LEFT(T245,1)="K",(VLOOKUP(T245,ma_miengiam!$A$3:$B$80,2,0)*R245/12)*V245,IF(AND(LEFT(T245,1)="S",V245&gt;0),(R245/12)*V245,IF(AND(LEFT(T245,1)="S",V245=0),R245,IF(T245="DH",VLOOKUP(T245,ma_miengiam!$A$3:$B$80,2,0)*R245,0)))))))</f>
        <v>0</v>
      </c>
      <c r="Y245" s="220">
        <f t="shared" si="703"/>
        <v>216</v>
      </c>
      <c r="Z245" s="220">
        <f t="shared" si="739"/>
        <v>100</v>
      </c>
      <c r="AA245" s="220">
        <f t="shared" si="748"/>
        <v>270</v>
      </c>
      <c r="AB245" s="220">
        <f t="shared" si="748"/>
        <v>100</v>
      </c>
      <c r="AC245" s="220">
        <f t="shared" si="749"/>
        <v>54</v>
      </c>
      <c r="AD245" s="220">
        <f t="shared" si="749"/>
        <v>0</v>
      </c>
      <c r="AE245" s="220">
        <f t="shared" si="749"/>
        <v>216</v>
      </c>
      <c r="AF245" s="220">
        <f t="shared" si="749"/>
        <v>100</v>
      </c>
      <c r="AG245" s="220">
        <f t="shared" si="741"/>
        <v>142.5</v>
      </c>
      <c r="AH245" s="220">
        <f t="shared" si="742"/>
        <v>67.5</v>
      </c>
      <c r="AI245" s="220">
        <f t="shared" si="743"/>
        <v>75</v>
      </c>
      <c r="AJ245" s="220">
        <f t="shared" si="677"/>
        <v>0</v>
      </c>
      <c r="AK245" s="216">
        <f t="shared" si="604"/>
        <v>216</v>
      </c>
      <c r="AL245" s="220">
        <f t="shared" si="611"/>
        <v>200.2</v>
      </c>
      <c r="AM245" s="220">
        <f t="shared" si="612"/>
        <v>0</v>
      </c>
      <c r="AN245" s="221">
        <f t="shared" si="613"/>
        <v>200.2</v>
      </c>
      <c r="AO245" s="220">
        <f t="shared" si="614"/>
        <v>0</v>
      </c>
      <c r="AP245" s="220">
        <f t="shared" si="615"/>
        <v>0</v>
      </c>
      <c r="AQ245" s="220">
        <f t="shared" si="616"/>
        <v>80</v>
      </c>
      <c r="AR245" s="220">
        <f t="shared" si="617"/>
        <v>0</v>
      </c>
      <c r="AS245" s="220">
        <f t="shared" si="618"/>
        <v>0</v>
      </c>
      <c r="AT245" s="216">
        <f t="shared" si="619"/>
        <v>280.2</v>
      </c>
      <c r="AU245" s="222">
        <f t="shared" si="722"/>
        <v>-15.800000000000011</v>
      </c>
      <c r="AV245" s="220"/>
      <c r="AW245" s="220">
        <f t="shared" si="680"/>
        <v>-15.800000000000011</v>
      </c>
      <c r="AX245" s="216">
        <f t="shared" si="620"/>
        <v>-15.800000000000011</v>
      </c>
      <c r="AY245" s="220">
        <f t="shared" si="681"/>
        <v>0</v>
      </c>
      <c r="AZ245" s="220">
        <f t="shared" si="682"/>
        <v>0</v>
      </c>
      <c r="BA245" s="220">
        <f t="shared" si="683"/>
        <v>64.199999999999989</v>
      </c>
      <c r="BB245" s="220">
        <f t="shared" si="684"/>
        <v>0</v>
      </c>
      <c r="BC245" s="220">
        <f t="shared" si="685"/>
        <v>0</v>
      </c>
      <c r="BD245" s="216">
        <f t="shared" si="575"/>
        <v>64.199999999999989</v>
      </c>
      <c r="BE245" s="220">
        <f t="shared" si="686"/>
        <v>0</v>
      </c>
      <c r="BF245" s="220">
        <f t="shared" si="687"/>
        <v>0</v>
      </c>
      <c r="BG245" s="220">
        <f t="shared" si="688"/>
        <v>-15.800000000000011</v>
      </c>
      <c r="BH245" s="220">
        <f t="shared" si="689"/>
        <v>0</v>
      </c>
      <c r="BI245" s="220">
        <f t="shared" si="690"/>
        <v>0</v>
      </c>
      <c r="BJ245" s="220" t="s">
        <v>1816</v>
      </c>
      <c r="BK245" s="220"/>
      <c r="BL245" s="223">
        <f t="shared" si="582"/>
        <v>0</v>
      </c>
      <c r="BM245" s="220">
        <v>3</v>
      </c>
      <c r="BN245" s="220"/>
      <c r="BO245" s="220">
        <f t="shared" si="704"/>
        <v>3</v>
      </c>
      <c r="BP245" s="220">
        <f>IF(AND(BL245&gt;0,BL245&lt;tiet!$D$1),BL245,IF(BL245&lt;=0,0,IF(BL245&gt;tiet!$C$1,tiet!$C$1)))</f>
        <v>0</v>
      </c>
      <c r="BQ245" s="87">
        <f t="shared" si="674"/>
        <v>60000</v>
      </c>
      <c r="BR245" s="224">
        <f t="shared" si="675"/>
        <v>0</v>
      </c>
      <c r="BS245" s="220">
        <f t="shared" si="630"/>
        <v>0</v>
      </c>
      <c r="BT245" s="224">
        <f>VLOOKUP(N245,ma_dinhmuc!$A$1:$J$31,10,0)</f>
        <v>51000</v>
      </c>
      <c r="BU245" s="224">
        <f>ROUND(IF(BS245&gt;0,VLOOKUP(N245,ma_dinhmuc!$A$1:$J$31,10,0)*BS245,0),0)</f>
        <v>0</v>
      </c>
      <c r="BV245" s="224">
        <f t="shared" si="676"/>
        <v>0</v>
      </c>
      <c r="BW245" s="224"/>
      <c r="BX245" s="224">
        <v>0</v>
      </c>
      <c r="BY245" s="224"/>
      <c r="BZ245" s="224"/>
      <c r="CA245" s="224"/>
      <c r="CB245" s="224"/>
      <c r="CC245" s="225">
        <f t="shared" si="697"/>
        <v>0</v>
      </c>
      <c r="CD245" s="224">
        <f t="shared" si="698"/>
        <v>0</v>
      </c>
      <c r="CE245" s="224"/>
      <c r="CF245" s="226"/>
      <c r="CG245" s="87"/>
      <c r="CH245" s="87">
        <f t="shared" si="705"/>
        <v>50</v>
      </c>
      <c r="CI245" s="227" t="str">
        <f t="shared" ref="CI245:CK246" si="750">F245</f>
        <v>Phạm Thị Lan</v>
      </c>
      <c r="CJ245" s="227" t="str">
        <f t="shared" si="750"/>
        <v>Hương</v>
      </c>
      <c r="CK245" s="87">
        <f t="shared" si="750"/>
        <v>4</v>
      </c>
      <c r="CL245" s="227" t="str">
        <f t="shared" si="720"/>
        <v>Hệ thống điện</v>
      </c>
      <c r="CM245" s="87" t="str">
        <f t="shared" si="691"/>
        <v>CS2</v>
      </c>
      <c r="CN245" s="87">
        <f t="shared" ref="CN245:CO247" si="751">Q245</f>
        <v>270</v>
      </c>
      <c r="CO245" s="87">
        <f t="shared" si="751"/>
        <v>100</v>
      </c>
      <c r="CP245" s="229">
        <f t="shared" si="634"/>
        <v>0</v>
      </c>
      <c r="CQ245" s="229">
        <f t="shared" si="635"/>
        <v>9.6999999999999993</v>
      </c>
      <c r="CR245" s="229">
        <f t="shared" si="636"/>
        <v>4</v>
      </c>
      <c r="CS245" s="229">
        <f t="shared" si="637"/>
        <v>32.5</v>
      </c>
      <c r="CT245" s="229">
        <f t="shared" si="638"/>
        <v>0</v>
      </c>
      <c r="CU245" s="229">
        <f t="shared" si="639"/>
        <v>134</v>
      </c>
      <c r="CV245" s="229">
        <f t="shared" si="640"/>
        <v>0</v>
      </c>
      <c r="CW245" s="229">
        <f t="shared" si="641"/>
        <v>20</v>
      </c>
      <c r="CX245" s="229">
        <f t="shared" si="642"/>
        <v>0</v>
      </c>
      <c r="CY245" s="229">
        <f t="shared" si="643"/>
        <v>0</v>
      </c>
      <c r="CZ245" s="229">
        <f t="shared" si="644"/>
        <v>0</v>
      </c>
      <c r="DA245" s="229">
        <f t="shared" si="645"/>
        <v>80</v>
      </c>
      <c r="DB245" s="228">
        <f t="shared" si="606"/>
        <v>280.2</v>
      </c>
      <c r="DC245" s="229"/>
      <c r="DD245" s="229"/>
      <c r="DE245" s="229"/>
      <c r="DF245" s="229"/>
      <c r="DG245" s="229"/>
      <c r="DH245" s="229"/>
      <c r="DI245" s="229"/>
      <c r="DJ245" s="229"/>
      <c r="DK245" s="229"/>
      <c r="DL245" s="229"/>
      <c r="DM245" s="229"/>
      <c r="DN245" s="229"/>
      <c r="DO245" s="228">
        <f t="shared" si="622"/>
        <v>0</v>
      </c>
      <c r="DP245" s="228">
        <f t="shared" si="623"/>
        <v>280.2</v>
      </c>
      <c r="DQ245" s="229">
        <f t="shared" si="646"/>
        <v>0</v>
      </c>
      <c r="DR245" s="229">
        <f t="shared" si="647"/>
        <v>0</v>
      </c>
      <c r="DS245" s="229">
        <f t="shared" si="648"/>
        <v>0</v>
      </c>
      <c r="DT245" s="229">
        <f t="shared" si="649"/>
        <v>0</v>
      </c>
      <c r="DU245" s="229">
        <f t="shared" si="650"/>
        <v>0</v>
      </c>
      <c r="DV245" s="229">
        <f t="shared" si="651"/>
        <v>0</v>
      </c>
      <c r="DW245" s="229">
        <f t="shared" si="652"/>
        <v>0</v>
      </c>
      <c r="DX245" s="228">
        <f t="shared" si="607"/>
        <v>0</v>
      </c>
      <c r="DY245" s="229"/>
      <c r="DZ245" s="229"/>
      <c r="EA245" s="229"/>
      <c r="EB245" s="229"/>
      <c r="EC245" s="229"/>
      <c r="ED245" s="229"/>
      <c r="EE245" s="229"/>
      <c r="EF245" s="228">
        <f t="shared" si="631"/>
        <v>0</v>
      </c>
      <c r="EG245" s="228">
        <f t="shared" si="624"/>
        <v>0</v>
      </c>
      <c r="EH245" s="229">
        <f t="shared" si="632"/>
        <v>75</v>
      </c>
      <c r="EI245" s="229">
        <v>67.5</v>
      </c>
      <c r="EJ245" s="228">
        <f t="shared" si="719"/>
        <v>142.5</v>
      </c>
      <c r="EK245" s="229"/>
      <c r="EL245" s="229"/>
      <c r="EM245" s="228">
        <f t="shared" si="744"/>
        <v>0</v>
      </c>
      <c r="EN245" s="229">
        <f t="shared" si="708"/>
        <v>75</v>
      </c>
      <c r="EO245" s="229">
        <f t="shared" si="723"/>
        <v>67.5</v>
      </c>
      <c r="EP245" s="228">
        <f t="shared" si="745"/>
        <v>142.5</v>
      </c>
      <c r="EQ245" s="173">
        <f t="shared" si="633"/>
        <v>0</v>
      </c>
      <c r="ER245" s="189">
        <v>0</v>
      </c>
      <c r="ES245" s="189">
        <v>9.6999999999999993</v>
      </c>
      <c r="ET245" s="189">
        <v>4</v>
      </c>
      <c r="EU245" s="189">
        <v>32.5</v>
      </c>
      <c r="EV245" s="189">
        <v>0</v>
      </c>
      <c r="EW245" s="189">
        <v>134</v>
      </c>
      <c r="EX245" s="189">
        <v>0</v>
      </c>
      <c r="EY245" s="189">
        <v>20</v>
      </c>
      <c r="EZ245" s="189">
        <v>0</v>
      </c>
      <c r="FA245" s="189">
        <v>0</v>
      </c>
      <c r="FB245" s="189">
        <v>0</v>
      </c>
      <c r="FC245" s="189">
        <v>80</v>
      </c>
      <c r="FD245" s="189">
        <v>0</v>
      </c>
      <c r="FE245" s="189">
        <v>0</v>
      </c>
      <c r="FF245" s="189">
        <v>0</v>
      </c>
      <c r="FG245" s="189">
        <v>0</v>
      </c>
      <c r="FH245" s="189">
        <v>0</v>
      </c>
      <c r="FI245" s="189">
        <v>0</v>
      </c>
      <c r="FJ245" s="189">
        <v>0</v>
      </c>
      <c r="FK245" s="189">
        <v>280.2</v>
      </c>
      <c r="FL245" s="189">
        <v>270.5</v>
      </c>
      <c r="FN245" s="132">
        <v>75</v>
      </c>
    </row>
    <row r="246" spans="1:170" ht="30" customHeight="1">
      <c r="A246" s="88">
        <f>COUNTIF($H$12:H246,H246)</f>
        <v>51</v>
      </c>
      <c r="B246" s="88" t="s">
        <v>1003</v>
      </c>
      <c r="C246" s="88" t="s">
        <v>588</v>
      </c>
      <c r="D246" s="88"/>
      <c r="E246" s="88"/>
      <c r="F246" s="301" t="s">
        <v>2909</v>
      </c>
      <c r="G246" s="89" t="s">
        <v>1434</v>
      </c>
      <c r="H246" s="88">
        <v>4</v>
      </c>
      <c r="I246" s="88">
        <v>4</v>
      </c>
      <c r="J246" s="88">
        <v>4</v>
      </c>
      <c r="K246" s="90" t="s">
        <v>1939</v>
      </c>
      <c r="L246" s="90" t="s">
        <v>1939</v>
      </c>
      <c r="M246" s="214"/>
      <c r="N246" s="88" t="s">
        <v>606</v>
      </c>
      <c r="O246" s="216">
        <f>BO246</f>
        <v>4.74</v>
      </c>
      <c r="P246" s="88" t="str">
        <f t="shared" si="663"/>
        <v>B1_5</v>
      </c>
      <c r="Q246" s="88">
        <f t="shared" si="733"/>
        <v>270</v>
      </c>
      <c r="R246" s="88">
        <f t="shared" si="734"/>
        <v>150</v>
      </c>
      <c r="S246" s="231" t="s">
        <v>2983</v>
      </c>
      <c r="T246" s="88" t="s">
        <v>3092</v>
      </c>
      <c r="U246" s="88">
        <f>IF(RIGHT(T246,1)="K",(VLOOKUP(T246,ma_miengiam!$A$3:$B$80,2,0)*100)/2,VLOOKUP(T246,ma_miengiam!$A$3:$B$80,2,0)*100)</f>
        <v>25</v>
      </c>
      <c r="V246" s="88"/>
      <c r="W246" s="220">
        <f>IF(AND(T246="NTS",V246&gt;0),(Q246-(Q246*V246)/12)*VLOOKUP(T246,ma_miengiam!$A$3:$B$80,2,0)+(Q246-(Q246*(12-V246))/12),IF(AND(RIGHT(T246,1)="K",V246&gt;0),(VLOOKUP(T246,ma_miengiam!$A$3:$B$80,2,0)/2)*(Q246*V246)/12,IF(RIGHT(T246,1)="K",(VLOOKUP(T246,ma_miengiam!$A$3:$B$80,2,0)*Q246)/2,IF(V246&gt;0,VLOOKUP(T246,ma_miengiam!$A$3:$B$80,2,0)*Q246*V246/12,VLOOKUP(T246,ma_miengiam!$A$3:$B$80,2,0)*Q246))))</f>
        <v>67.5</v>
      </c>
      <c r="X246" s="220">
        <f>IF(T246="NTS",VLOOKUP(T246,ma_miengiam!$A$3:$B$80,2,0)*R246*V246,IF(AND(T246="NTS",V246=0),0,IF(AND(LEFT(T246,1)="K",V246=0),VLOOKUP(T246,ma_miengiam!$A$3:$B$80,2,0)*R246,IF(LEFT(T246,1)="K",(VLOOKUP(T246,ma_miengiam!$A$3:$B$80,2,0)*R246/12)*V246,IF(AND(LEFT(T246,1)="S",V246&gt;0),(R246/12)*V246,IF(AND(LEFT(T246,1)="S",V246=0),R246,IF(T246="DH",VLOOKUP(T246,ma_miengiam!$A$3:$B$80,2,0)*R246,0)))))))</f>
        <v>0</v>
      </c>
      <c r="Y246" s="220">
        <f t="shared" si="703"/>
        <v>202.5</v>
      </c>
      <c r="Z246" s="220">
        <f t="shared" si="739"/>
        <v>150</v>
      </c>
      <c r="AA246" s="220">
        <f t="shared" ref="AA246:AB248" si="752">Q246</f>
        <v>270</v>
      </c>
      <c r="AB246" s="220">
        <f t="shared" si="752"/>
        <v>150</v>
      </c>
      <c r="AC246" s="220">
        <f t="shared" ref="AC246:AF247" si="753">W246</f>
        <v>67.5</v>
      </c>
      <c r="AD246" s="220">
        <f t="shared" si="753"/>
        <v>0</v>
      </c>
      <c r="AE246" s="220">
        <f t="shared" si="753"/>
        <v>202.5</v>
      </c>
      <c r="AF246" s="220">
        <f t="shared" si="753"/>
        <v>150</v>
      </c>
      <c r="AG246" s="220">
        <f t="shared" si="741"/>
        <v>219.99</v>
      </c>
      <c r="AH246" s="220">
        <f t="shared" si="742"/>
        <v>111.66</v>
      </c>
      <c r="AI246" s="220">
        <f t="shared" si="743"/>
        <v>108.33</v>
      </c>
      <c r="AJ246" s="220">
        <f t="shared" si="677"/>
        <v>0</v>
      </c>
      <c r="AK246" s="216">
        <f t="shared" si="604"/>
        <v>202.5</v>
      </c>
      <c r="AL246" s="220">
        <f t="shared" si="611"/>
        <v>139.69999999999999</v>
      </c>
      <c r="AM246" s="220">
        <f t="shared" si="612"/>
        <v>0</v>
      </c>
      <c r="AN246" s="221">
        <f t="shared" si="613"/>
        <v>139.69999999999999</v>
      </c>
      <c r="AO246" s="220">
        <f t="shared" si="614"/>
        <v>0</v>
      </c>
      <c r="AP246" s="220">
        <f t="shared" si="615"/>
        <v>0</v>
      </c>
      <c r="AQ246" s="220">
        <f t="shared" si="616"/>
        <v>100</v>
      </c>
      <c r="AR246" s="220">
        <f t="shared" si="617"/>
        <v>0</v>
      </c>
      <c r="AS246" s="220">
        <f t="shared" si="618"/>
        <v>0</v>
      </c>
      <c r="AT246" s="216">
        <f t="shared" si="619"/>
        <v>239.7</v>
      </c>
      <c r="AU246" s="222">
        <f t="shared" si="722"/>
        <v>-62.800000000000011</v>
      </c>
      <c r="AV246" s="220"/>
      <c r="AW246" s="220">
        <f t="shared" si="680"/>
        <v>-62.800000000000011</v>
      </c>
      <c r="AX246" s="216">
        <f t="shared" si="620"/>
        <v>-62.800000000000011</v>
      </c>
      <c r="AY246" s="220">
        <f t="shared" si="681"/>
        <v>0</v>
      </c>
      <c r="AZ246" s="220">
        <f t="shared" si="682"/>
        <v>0</v>
      </c>
      <c r="BA246" s="220">
        <f t="shared" si="683"/>
        <v>37.199999999999989</v>
      </c>
      <c r="BB246" s="220">
        <f t="shared" si="684"/>
        <v>0</v>
      </c>
      <c r="BC246" s="220">
        <f t="shared" si="685"/>
        <v>0</v>
      </c>
      <c r="BD246" s="216">
        <f t="shared" si="575"/>
        <v>37.199999999999989</v>
      </c>
      <c r="BE246" s="220">
        <f t="shared" si="686"/>
        <v>0</v>
      </c>
      <c r="BF246" s="220">
        <f t="shared" si="687"/>
        <v>0</v>
      </c>
      <c r="BG246" s="220">
        <f t="shared" si="688"/>
        <v>-62.800000000000011</v>
      </c>
      <c r="BH246" s="220">
        <f t="shared" si="689"/>
        <v>0</v>
      </c>
      <c r="BI246" s="220">
        <f t="shared" si="690"/>
        <v>0</v>
      </c>
      <c r="BJ246" s="220" t="s">
        <v>1817</v>
      </c>
      <c r="BK246" s="220"/>
      <c r="BL246" s="223">
        <f t="shared" si="582"/>
        <v>0</v>
      </c>
      <c r="BM246" s="220">
        <v>4.74</v>
      </c>
      <c r="BN246" s="220"/>
      <c r="BO246" s="220">
        <f t="shared" si="704"/>
        <v>4.74</v>
      </c>
      <c r="BP246" s="220">
        <f>IF(AND(BL246&gt;0,BL246&lt;tiet!$D$1),BL246,IF(BL246&lt;=0,0,IF(BL246&gt;tiet!$C$1,tiet!$C$1)))</f>
        <v>0</v>
      </c>
      <c r="BQ246" s="87">
        <f t="shared" si="674"/>
        <v>70000</v>
      </c>
      <c r="BR246" s="224">
        <f t="shared" si="675"/>
        <v>0</v>
      </c>
      <c r="BS246" s="220">
        <f t="shared" si="630"/>
        <v>0</v>
      </c>
      <c r="BT246" s="224">
        <f>VLOOKUP(N246,ma_dinhmuc!$A$1:$J$31,10,0)</f>
        <v>55000</v>
      </c>
      <c r="BU246" s="224">
        <f>ROUND(IF(BS246&gt;0,VLOOKUP(N246,ma_dinhmuc!$A$1:$J$31,10,0)*BS246,0),0)</f>
        <v>0</v>
      </c>
      <c r="BV246" s="224">
        <f t="shared" si="676"/>
        <v>0</v>
      </c>
      <c r="BW246" s="224"/>
      <c r="BX246" s="224">
        <v>0</v>
      </c>
      <c r="BY246" s="224"/>
      <c r="BZ246" s="224"/>
      <c r="CA246" s="224"/>
      <c r="CB246" s="224"/>
      <c r="CC246" s="225">
        <f t="shared" si="697"/>
        <v>0</v>
      </c>
      <c r="CD246" s="224">
        <f t="shared" si="698"/>
        <v>0</v>
      </c>
      <c r="CE246" s="224"/>
      <c r="CF246" s="226"/>
      <c r="CG246" s="87"/>
      <c r="CH246" s="87">
        <f t="shared" si="705"/>
        <v>51</v>
      </c>
      <c r="CI246" s="227" t="str">
        <f t="shared" si="750"/>
        <v>Nguyên Xuân</v>
      </c>
      <c r="CJ246" s="227" t="str">
        <f t="shared" si="750"/>
        <v>Trường</v>
      </c>
      <c r="CK246" s="87">
        <f t="shared" si="750"/>
        <v>4</v>
      </c>
      <c r="CL246" s="227" t="str">
        <f t="shared" si="720"/>
        <v>Hệ thống điện</v>
      </c>
      <c r="CM246" s="87" t="str">
        <f t="shared" si="691"/>
        <v>CS3</v>
      </c>
      <c r="CN246" s="87">
        <f t="shared" si="751"/>
        <v>270</v>
      </c>
      <c r="CO246" s="87">
        <f t="shared" si="751"/>
        <v>150</v>
      </c>
      <c r="CP246" s="229">
        <f t="shared" si="634"/>
        <v>0</v>
      </c>
      <c r="CQ246" s="229">
        <f t="shared" si="635"/>
        <v>12.3</v>
      </c>
      <c r="CR246" s="229">
        <f t="shared" si="636"/>
        <v>4.9000000000000004</v>
      </c>
      <c r="CS246" s="229">
        <f t="shared" si="637"/>
        <v>32.5</v>
      </c>
      <c r="CT246" s="229">
        <f t="shared" si="638"/>
        <v>0</v>
      </c>
      <c r="CU246" s="229">
        <f t="shared" si="639"/>
        <v>90</v>
      </c>
      <c r="CV246" s="229">
        <f t="shared" si="640"/>
        <v>0</v>
      </c>
      <c r="CW246" s="229">
        <f t="shared" si="641"/>
        <v>0</v>
      </c>
      <c r="CX246" s="229">
        <f t="shared" si="642"/>
        <v>0</v>
      </c>
      <c r="CY246" s="229">
        <f t="shared" si="643"/>
        <v>0</v>
      </c>
      <c r="CZ246" s="229">
        <f t="shared" si="644"/>
        <v>0</v>
      </c>
      <c r="DA246" s="229">
        <f t="shared" si="645"/>
        <v>100</v>
      </c>
      <c r="DB246" s="228">
        <f t="shared" si="606"/>
        <v>239.7</v>
      </c>
      <c r="DC246" s="229"/>
      <c r="DD246" s="229"/>
      <c r="DE246" s="229"/>
      <c r="DF246" s="229"/>
      <c r="DG246" s="229"/>
      <c r="DH246" s="229"/>
      <c r="DI246" s="229"/>
      <c r="DJ246" s="229"/>
      <c r="DK246" s="229"/>
      <c r="DL246" s="229"/>
      <c r="DM246" s="229"/>
      <c r="DN246" s="229"/>
      <c r="DO246" s="228">
        <f t="shared" si="622"/>
        <v>0</v>
      </c>
      <c r="DP246" s="228">
        <f t="shared" si="623"/>
        <v>239.7</v>
      </c>
      <c r="DQ246" s="229">
        <f t="shared" si="646"/>
        <v>0</v>
      </c>
      <c r="DR246" s="229">
        <f t="shared" si="647"/>
        <v>0</v>
      </c>
      <c r="DS246" s="229">
        <f t="shared" si="648"/>
        <v>0</v>
      </c>
      <c r="DT246" s="229">
        <f t="shared" si="649"/>
        <v>0</v>
      </c>
      <c r="DU246" s="229">
        <f t="shared" si="650"/>
        <v>0</v>
      </c>
      <c r="DV246" s="229">
        <f t="shared" si="651"/>
        <v>0</v>
      </c>
      <c r="DW246" s="229">
        <f t="shared" si="652"/>
        <v>0</v>
      </c>
      <c r="DX246" s="228">
        <f t="shared" si="607"/>
        <v>0</v>
      </c>
      <c r="DY246" s="229"/>
      <c r="DZ246" s="229"/>
      <c r="EA246" s="229"/>
      <c r="EB246" s="229"/>
      <c r="EC246" s="229"/>
      <c r="ED246" s="229"/>
      <c r="EE246" s="229"/>
      <c r="EF246" s="228">
        <f t="shared" si="631"/>
        <v>0</v>
      </c>
      <c r="EG246" s="228">
        <f t="shared" si="624"/>
        <v>0</v>
      </c>
      <c r="EH246" s="229">
        <f t="shared" si="632"/>
        <v>108.33</v>
      </c>
      <c r="EI246" s="229">
        <v>111.66</v>
      </c>
      <c r="EJ246" s="228">
        <f t="shared" si="719"/>
        <v>219.99</v>
      </c>
      <c r="EK246" s="229"/>
      <c r="EL246" s="229"/>
      <c r="EM246" s="228">
        <f t="shared" si="744"/>
        <v>0</v>
      </c>
      <c r="EN246" s="229">
        <f t="shared" si="708"/>
        <v>108.33</v>
      </c>
      <c r="EO246" s="229">
        <f t="shared" si="723"/>
        <v>111.66</v>
      </c>
      <c r="EP246" s="228">
        <f t="shared" si="745"/>
        <v>219.99</v>
      </c>
      <c r="EQ246" s="173">
        <f t="shared" si="633"/>
        <v>0</v>
      </c>
      <c r="ER246" s="189">
        <v>0</v>
      </c>
      <c r="ES246" s="189">
        <v>12.3</v>
      </c>
      <c r="ET246" s="189">
        <v>4.9000000000000004</v>
      </c>
      <c r="EU246" s="189">
        <v>32.5</v>
      </c>
      <c r="EV246" s="189">
        <v>0</v>
      </c>
      <c r="EW246" s="189">
        <v>90</v>
      </c>
      <c r="EX246" s="189">
        <v>0</v>
      </c>
      <c r="EY246" s="189">
        <v>0</v>
      </c>
      <c r="EZ246" s="189">
        <v>0</v>
      </c>
      <c r="FA246" s="189">
        <v>0</v>
      </c>
      <c r="FB246" s="189">
        <v>0</v>
      </c>
      <c r="FC246" s="189">
        <v>100</v>
      </c>
      <c r="FD246" s="189">
        <v>0</v>
      </c>
      <c r="FE246" s="189">
        <v>0</v>
      </c>
      <c r="FF246" s="189">
        <v>0</v>
      </c>
      <c r="FG246" s="189">
        <v>0</v>
      </c>
      <c r="FH246" s="189">
        <v>0</v>
      </c>
      <c r="FI246" s="189">
        <v>0</v>
      </c>
      <c r="FJ246" s="189">
        <v>0</v>
      </c>
      <c r="FK246" s="189">
        <v>239.7</v>
      </c>
      <c r="FL246" s="189">
        <v>226.5</v>
      </c>
      <c r="FN246" s="132">
        <v>108.33</v>
      </c>
    </row>
    <row r="247" spans="1:170" ht="30" customHeight="1">
      <c r="A247" s="88">
        <f>COUNTIF($H$12:H247,H247)</f>
        <v>52</v>
      </c>
      <c r="B247" s="88" t="s">
        <v>1004</v>
      </c>
      <c r="C247" s="88" t="s">
        <v>589</v>
      </c>
      <c r="D247" s="88"/>
      <c r="E247" s="88"/>
      <c r="F247" s="301" t="s">
        <v>2856</v>
      </c>
      <c r="G247" s="89" t="s">
        <v>1909</v>
      </c>
      <c r="H247" s="88">
        <v>4</v>
      </c>
      <c r="I247" s="88">
        <v>4</v>
      </c>
      <c r="J247" s="88">
        <v>4</v>
      </c>
      <c r="K247" s="90" t="s">
        <v>1939</v>
      </c>
      <c r="L247" s="90" t="s">
        <v>1939</v>
      </c>
      <c r="M247" s="214"/>
      <c r="N247" s="88" t="s">
        <v>1804</v>
      </c>
      <c r="O247" s="216">
        <f t="shared" si="738"/>
        <v>3.33</v>
      </c>
      <c r="P247" s="88" t="str">
        <f t="shared" si="663"/>
        <v>B1_4</v>
      </c>
      <c r="Q247" s="88">
        <f t="shared" si="733"/>
        <v>270</v>
      </c>
      <c r="R247" s="88">
        <f t="shared" si="734"/>
        <v>120</v>
      </c>
      <c r="S247" s="218" t="s">
        <v>3189</v>
      </c>
      <c r="T247" s="88" t="s">
        <v>2961</v>
      </c>
      <c r="U247" s="88">
        <f>IF(RIGHT(T247,1)="K",(VLOOKUP(T247,ma_miengiam!$A$3:$B$80,2,0)*100)/2,VLOOKUP(T247,ma_miengiam!$A$3:$B$80,2,0)*100)</f>
        <v>100</v>
      </c>
      <c r="V247" s="88"/>
      <c r="W247" s="220">
        <f>IF(AND(T247="NTS",V247&gt;0),(Q247-(Q247*V247)/12)*VLOOKUP(T247,ma_miengiam!$A$3:$B$80,2,0)+(Q247-(Q247*(12-V247))/12),IF(AND(RIGHT(T247,1)="K",V247&gt;0),(VLOOKUP(T247,ma_miengiam!$A$3:$B$80,2,0)/2)*(Q247*V247)/12,IF(RIGHT(T247,1)="K",(VLOOKUP(T247,ma_miengiam!$A$3:$B$80,2,0)*Q247)/2,IF(V247&gt;0,VLOOKUP(T247,ma_miengiam!$A$3:$B$80,2,0)*Q247*V247/12,VLOOKUP(T247,ma_miengiam!$A$3:$B$80,2,0)*Q247))))</f>
        <v>270</v>
      </c>
      <c r="X247" s="220">
        <f>IF(T247="NTS",VLOOKUP(T247,ma_miengiam!$A$3:$B$80,2,0)*R247*V247,IF(AND(T247="NTS",V247=0),0,IF(AND(LEFT(T247,1)="K",V247=0),VLOOKUP(T247,ma_miengiam!$A$3:$B$80,2,0)*R247,IF(LEFT(T247,1)="K",(VLOOKUP(T247,ma_miengiam!$A$3:$B$80,2,0)*R247/12)*V247,IF(AND(LEFT(T247,1)="S",V247&gt;0),(R247/12)*V247,IF(AND(LEFT(T247,1)="S",V247=0),R247,IF(T247="DH",VLOOKUP(T247,ma_miengiam!$A$3:$B$80,2,0)*R247,0)))))))</f>
        <v>120</v>
      </c>
      <c r="Y247" s="220">
        <f t="shared" si="703"/>
        <v>0</v>
      </c>
      <c r="Z247" s="220">
        <f t="shared" si="739"/>
        <v>0</v>
      </c>
      <c r="AA247" s="220">
        <f t="shared" si="752"/>
        <v>270</v>
      </c>
      <c r="AB247" s="220">
        <f t="shared" si="752"/>
        <v>120</v>
      </c>
      <c r="AC247" s="220">
        <f t="shared" si="753"/>
        <v>270</v>
      </c>
      <c r="AD247" s="220">
        <f t="shared" si="753"/>
        <v>120</v>
      </c>
      <c r="AE247" s="220">
        <f t="shared" si="753"/>
        <v>0</v>
      </c>
      <c r="AF247" s="220">
        <f t="shared" si="753"/>
        <v>0</v>
      </c>
      <c r="AG247" s="220">
        <f t="shared" ref="AG247:AG255" si="754">AH247+AI247</f>
        <v>0</v>
      </c>
      <c r="AH247" s="220">
        <f t="shared" ref="AH247:AH255" si="755">EO247</f>
        <v>0</v>
      </c>
      <c r="AI247" s="220">
        <f t="shared" ref="AI247:AI255" si="756">EN247</f>
        <v>0</v>
      </c>
      <c r="AJ247" s="220">
        <f t="shared" si="677"/>
        <v>0</v>
      </c>
      <c r="AK247" s="216">
        <f t="shared" si="604"/>
        <v>0</v>
      </c>
      <c r="AL247" s="220">
        <f t="shared" si="611"/>
        <v>0</v>
      </c>
      <c r="AM247" s="220">
        <f t="shared" si="612"/>
        <v>0</v>
      </c>
      <c r="AN247" s="221">
        <f t="shared" si="613"/>
        <v>0</v>
      </c>
      <c r="AO247" s="220">
        <f t="shared" si="614"/>
        <v>0</v>
      </c>
      <c r="AP247" s="220">
        <f t="shared" si="615"/>
        <v>0</v>
      </c>
      <c r="AQ247" s="220">
        <f t="shared" si="616"/>
        <v>0</v>
      </c>
      <c r="AR247" s="220">
        <f t="shared" si="617"/>
        <v>0</v>
      </c>
      <c r="AS247" s="220">
        <f t="shared" si="618"/>
        <v>0</v>
      </c>
      <c r="AT247" s="216">
        <f t="shared" si="619"/>
        <v>0</v>
      </c>
      <c r="AU247" s="222">
        <f t="shared" si="722"/>
        <v>0</v>
      </c>
      <c r="AV247" s="220"/>
      <c r="AW247" s="220">
        <f t="shared" si="680"/>
        <v>0</v>
      </c>
      <c r="AX247" s="216">
        <f t="shared" si="620"/>
        <v>0</v>
      </c>
      <c r="AY247" s="220">
        <f t="shared" si="681"/>
        <v>0</v>
      </c>
      <c r="AZ247" s="220">
        <f t="shared" si="682"/>
        <v>0</v>
      </c>
      <c r="BA247" s="220">
        <f t="shared" si="683"/>
        <v>0</v>
      </c>
      <c r="BB247" s="220">
        <f t="shared" si="684"/>
        <v>0</v>
      </c>
      <c r="BC247" s="220">
        <f t="shared" si="685"/>
        <v>0</v>
      </c>
      <c r="BD247" s="216">
        <f t="shared" si="575"/>
        <v>0</v>
      </c>
      <c r="BE247" s="220">
        <f t="shared" si="686"/>
        <v>0</v>
      </c>
      <c r="BF247" s="220">
        <f t="shared" si="687"/>
        <v>0</v>
      </c>
      <c r="BG247" s="220">
        <f t="shared" si="688"/>
        <v>0</v>
      </c>
      <c r="BH247" s="220">
        <f t="shared" si="689"/>
        <v>0</v>
      </c>
      <c r="BI247" s="220">
        <f t="shared" si="690"/>
        <v>0</v>
      </c>
      <c r="BJ247" s="220" t="s">
        <v>1817</v>
      </c>
      <c r="BK247" s="220"/>
      <c r="BL247" s="223">
        <f t="shared" si="582"/>
        <v>0</v>
      </c>
      <c r="BM247" s="220">
        <v>3.33</v>
      </c>
      <c r="BN247" s="220"/>
      <c r="BO247" s="220">
        <f t="shared" si="704"/>
        <v>3.33</v>
      </c>
      <c r="BP247" s="220">
        <f>IF(AND(BL247&gt;0,BL247&lt;tiet!$D$1),BL247,IF(BL247&lt;=0,0,IF(BL247&gt;tiet!$C$1,tiet!$C$1)))</f>
        <v>0</v>
      </c>
      <c r="BQ247" s="87">
        <f t="shared" si="674"/>
        <v>65000</v>
      </c>
      <c r="BR247" s="224">
        <f t="shared" si="675"/>
        <v>0</v>
      </c>
      <c r="BS247" s="220">
        <f t="shared" si="630"/>
        <v>0</v>
      </c>
      <c r="BT247" s="224">
        <f>VLOOKUP(N247,ma_dinhmuc!$A$1:$J$31,10,0)</f>
        <v>51000</v>
      </c>
      <c r="BU247" s="224">
        <f>ROUND(IF(BS247&gt;0,VLOOKUP(N247,ma_dinhmuc!$A$1:$J$31,10,0)*BS247,0),0)</f>
        <v>0</v>
      </c>
      <c r="BV247" s="224">
        <f t="shared" si="676"/>
        <v>0</v>
      </c>
      <c r="BW247" s="224"/>
      <c r="BX247" s="224">
        <v>0</v>
      </c>
      <c r="BY247" s="224"/>
      <c r="BZ247" s="224"/>
      <c r="CA247" s="224"/>
      <c r="CB247" s="224"/>
      <c r="CC247" s="225">
        <f t="shared" si="697"/>
        <v>0</v>
      </c>
      <c r="CD247" s="224">
        <f t="shared" si="698"/>
        <v>0</v>
      </c>
      <c r="CE247" s="224"/>
      <c r="CF247" s="226"/>
      <c r="CG247" s="87"/>
      <c r="CH247" s="87">
        <f t="shared" si="705"/>
        <v>52</v>
      </c>
      <c r="CI247" s="227" t="str">
        <f t="shared" si="729"/>
        <v>Nguyễn Xuân</v>
      </c>
      <c r="CJ247" s="227" t="str">
        <f t="shared" si="730"/>
        <v>Hiếu</v>
      </c>
      <c r="CK247" s="87">
        <f t="shared" si="731"/>
        <v>4</v>
      </c>
      <c r="CL247" s="227" t="str">
        <f t="shared" si="720"/>
        <v>Hệ thống điện</v>
      </c>
      <c r="CM247" s="87" t="str">
        <f t="shared" si="691"/>
        <v>CS2</v>
      </c>
      <c r="CN247" s="87">
        <f t="shared" si="751"/>
        <v>270</v>
      </c>
      <c r="CO247" s="87">
        <f t="shared" si="751"/>
        <v>120</v>
      </c>
      <c r="CP247" s="229">
        <f t="shared" si="634"/>
        <v>0</v>
      </c>
      <c r="CQ247" s="229">
        <f t="shared" si="635"/>
        <v>0</v>
      </c>
      <c r="CR247" s="229">
        <f t="shared" si="636"/>
        <v>0</v>
      </c>
      <c r="CS247" s="229">
        <f t="shared" si="637"/>
        <v>0</v>
      </c>
      <c r="CT247" s="229">
        <f t="shared" si="638"/>
        <v>0</v>
      </c>
      <c r="CU247" s="229">
        <f t="shared" si="639"/>
        <v>0</v>
      </c>
      <c r="CV247" s="229">
        <f t="shared" si="640"/>
        <v>0</v>
      </c>
      <c r="CW247" s="229">
        <f t="shared" si="641"/>
        <v>0</v>
      </c>
      <c r="CX247" s="229">
        <f t="shared" si="642"/>
        <v>0</v>
      </c>
      <c r="CY247" s="229">
        <f t="shared" si="643"/>
        <v>0</v>
      </c>
      <c r="CZ247" s="229">
        <f t="shared" si="644"/>
        <v>0</v>
      </c>
      <c r="DA247" s="229">
        <f t="shared" si="645"/>
        <v>0</v>
      </c>
      <c r="DB247" s="228">
        <f t="shared" si="606"/>
        <v>0</v>
      </c>
      <c r="DC247" s="229"/>
      <c r="DD247" s="229"/>
      <c r="DE247" s="229"/>
      <c r="DF247" s="229"/>
      <c r="DG247" s="229"/>
      <c r="DH247" s="229"/>
      <c r="DI247" s="229"/>
      <c r="DJ247" s="229"/>
      <c r="DK247" s="229"/>
      <c r="DL247" s="229"/>
      <c r="DM247" s="229"/>
      <c r="DN247" s="229"/>
      <c r="DO247" s="228">
        <f t="shared" si="622"/>
        <v>0</v>
      </c>
      <c r="DP247" s="228">
        <f t="shared" si="623"/>
        <v>0</v>
      </c>
      <c r="DQ247" s="229">
        <f t="shared" si="646"/>
        <v>0</v>
      </c>
      <c r="DR247" s="229">
        <f t="shared" si="647"/>
        <v>0</v>
      </c>
      <c r="DS247" s="229">
        <f t="shared" si="648"/>
        <v>0</v>
      </c>
      <c r="DT247" s="229">
        <f t="shared" si="649"/>
        <v>0</v>
      </c>
      <c r="DU247" s="229">
        <f t="shared" si="650"/>
        <v>0</v>
      </c>
      <c r="DV247" s="229">
        <f t="shared" si="651"/>
        <v>0</v>
      </c>
      <c r="DW247" s="229">
        <f t="shared" si="652"/>
        <v>0</v>
      </c>
      <c r="DX247" s="228">
        <f t="shared" si="607"/>
        <v>0</v>
      </c>
      <c r="DY247" s="229"/>
      <c r="DZ247" s="229"/>
      <c r="EA247" s="229"/>
      <c r="EB247" s="229"/>
      <c r="EC247" s="229"/>
      <c r="ED247" s="229"/>
      <c r="EE247" s="229"/>
      <c r="EF247" s="228">
        <f t="shared" si="631"/>
        <v>0</v>
      </c>
      <c r="EG247" s="228">
        <f t="shared" si="624"/>
        <v>0</v>
      </c>
      <c r="EH247" s="229">
        <f t="shared" si="632"/>
        <v>0</v>
      </c>
      <c r="EI247" s="229">
        <v>0</v>
      </c>
      <c r="EJ247" s="228">
        <f t="shared" si="719"/>
        <v>0</v>
      </c>
      <c r="EK247" s="229"/>
      <c r="EL247" s="229"/>
      <c r="EM247" s="228">
        <f t="shared" si="744"/>
        <v>0</v>
      </c>
      <c r="EN247" s="229">
        <f t="shared" si="708"/>
        <v>0</v>
      </c>
      <c r="EO247" s="229">
        <f t="shared" si="723"/>
        <v>0</v>
      </c>
      <c r="EP247" s="228">
        <f t="shared" si="745"/>
        <v>0</v>
      </c>
      <c r="EQ247" s="173">
        <f t="shared" si="633"/>
        <v>0</v>
      </c>
      <c r="ER247" s="189">
        <v>0</v>
      </c>
      <c r="ES247" s="189">
        <v>0</v>
      </c>
      <c r="ET247" s="189">
        <v>0</v>
      </c>
      <c r="EU247" s="189">
        <v>0</v>
      </c>
      <c r="EV247" s="189">
        <v>0</v>
      </c>
      <c r="EW247" s="189">
        <v>0</v>
      </c>
      <c r="EX247" s="189">
        <v>0</v>
      </c>
      <c r="EY247" s="189">
        <v>0</v>
      </c>
      <c r="EZ247" s="189">
        <v>0</v>
      </c>
      <c r="FA247" s="189">
        <v>0</v>
      </c>
      <c r="FB247" s="189">
        <v>0</v>
      </c>
      <c r="FC247" s="189">
        <v>0</v>
      </c>
      <c r="FD247" s="189">
        <v>0</v>
      </c>
      <c r="FE247" s="189">
        <v>0</v>
      </c>
      <c r="FF247" s="189">
        <v>0</v>
      </c>
      <c r="FG247" s="189">
        <v>0</v>
      </c>
      <c r="FH247" s="189">
        <v>0</v>
      </c>
      <c r="FI247" s="189">
        <v>0</v>
      </c>
      <c r="FJ247" s="189">
        <v>0</v>
      </c>
      <c r="FK247" s="189">
        <v>0</v>
      </c>
      <c r="FL247" s="189">
        <v>0</v>
      </c>
      <c r="FN247" s="132">
        <v>0</v>
      </c>
    </row>
    <row r="248" spans="1:170" ht="45">
      <c r="A248" s="88">
        <f>COUNTIF($H$12:H248,H248)</f>
        <v>1</v>
      </c>
      <c r="B248" s="88" t="s">
        <v>1005</v>
      </c>
      <c r="C248" s="88" t="s">
        <v>590</v>
      </c>
      <c r="D248" s="88"/>
      <c r="E248" s="88"/>
      <c r="F248" s="301" t="s">
        <v>2912</v>
      </c>
      <c r="G248" s="89" t="s">
        <v>1436</v>
      </c>
      <c r="H248" s="88">
        <v>5</v>
      </c>
      <c r="I248" s="88">
        <v>5</v>
      </c>
      <c r="J248" s="88">
        <v>5</v>
      </c>
      <c r="K248" s="90" t="s">
        <v>1085</v>
      </c>
      <c r="L248" s="90" t="s">
        <v>1085</v>
      </c>
      <c r="M248" s="214"/>
      <c r="N248" s="88" t="s">
        <v>1804</v>
      </c>
      <c r="O248" s="216">
        <f t="shared" ref="O248:O253" si="757">BO248</f>
        <v>3.66</v>
      </c>
      <c r="P248" s="88" t="str">
        <f t="shared" si="663"/>
        <v>B1_4</v>
      </c>
      <c r="Q248" s="88">
        <f t="shared" si="733"/>
        <v>270</v>
      </c>
      <c r="R248" s="88">
        <f t="shared" si="734"/>
        <v>120</v>
      </c>
      <c r="S248" s="218" t="s">
        <v>495</v>
      </c>
      <c r="T248" s="88" t="s">
        <v>1326</v>
      </c>
      <c r="U248" s="88">
        <f>IF(RIGHT(T248,1)="K",(VLOOKUP(T248,ma_miengiam!$A$3:$B$80,2,0)*100)/2,VLOOKUP(T248,ma_miengiam!$A$3:$B$80,2,0)*100)</f>
        <v>65</v>
      </c>
      <c r="V248" s="88"/>
      <c r="W248" s="220">
        <f>IF(AND(T248="NTS",V248&gt;0),(Q248-(Q248*V248)/12)*VLOOKUP(T248,ma_miengiam!$A$3:$B$80,2,0)+(Q248-(Q248*(12-V248))/12),IF(AND(RIGHT(T248,1)="K",V248&gt;0),(VLOOKUP(T248,ma_miengiam!$A$3:$B$80,2,0)/2)*(Q248*V248)/12,IF(RIGHT(T248,1)="K",(VLOOKUP(T248,ma_miengiam!$A$3:$B$80,2,0)*Q248)/2,IF(V248&gt;0,VLOOKUP(T248,ma_miengiam!$A$3:$B$80,2,0)*Q248*V248/12,VLOOKUP(T248,ma_miengiam!$A$3:$B$80,2,0)*Q248))))</f>
        <v>175.5</v>
      </c>
      <c r="X248" s="220">
        <f>IF(T248="NTS",VLOOKUP(T248,ma_miengiam!$A$3:$B$80,2,0)*R248*V248,IF(AND(T248="NTS",V248=0),0,IF(AND(LEFT(T248,1)="K",V248=0),VLOOKUP(T248,ma_miengiam!$A$3:$B$80,2,0)*R248,IF(LEFT(T248,1)="K",(VLOOKUP(T248,ma_miengiam!$A$3:$B$80,2,0)*R248/12)*V248,IF(AND(LEFT(T248,1)="S",V248&gt;0),(R248/12)*V248,IF(AND(LEFT(T248,1)="S",V248=0),R248,IF(T248="DH",VLOOKUP(T248,ma_miengiam!$A$3:$B$80,2,0)*R248,0)))))))</f>
        <v>120</v>
      </c>
      <c r="Y248" s="220">
        <f t="shared" si="703"/>
        <v>94.5</v>
      </c>
      <c r="Z248" s="220">
        <f t="shared" si="739"/>
        <v>0</v>
      </c>
      <c r="AA248" s="220">
        <f t="shared" si="752"/>
        <v>270</v>
      </c>
      <c r="AB248" s="220">
        <f t="shared" si="752"/>
        <v>120</v>
      </c>
      <c r="AC248" s="220">
        <f t="shared" ref="AC248:AF250" si="758">W248</f>
        <v>175.5</v>
      </c>
      <c r="AD248" s="220">
        <f t="shared" si="758"/>
        <v>120</v>
      </c>
      <c r="AE248" s="220">
        <f t="shared" si="758"/>
        <v>94.5</v>
      </c>
      <c r="AF248" s="220">
        <f t="shared" si="758"/>
        <v>0</v>
      </c>
      <c r="AG248" s="220">
        <f t="shared" si="754"/>
        <v>216.36</v>
      </c>
      <c r="AH248" s="220">
        <f t="shared" si="755"/>
        <v>184.69</v>
      </c>
      <c r="AI248" s="220">
        <f t="shared" si="756"/>
        <v>31.67</v>
      </c>
      <c r="AJ248" s="220">
        <f t="shared" si="677"/>
        <v>0</v>
      </c>
      <c r="AK248" s="216">
        <f t="shared" si="604"/>
        <v>94.5</v>
      </c>
      <c r="AL248" s="220">
        <f t="shared" si="611"/>
        <v>307.8</v>
      </c>
      <c r="AM248" s="220">
        <f t="shared" si="612"/>
        <v>0</v>
      </c>
      <c r="AN248" s="221">
        <f t="shared" si="613"/>
        <v>307.8</v>
      </c>
      <c r="AO248" s="220">
        <f t="shared" si="614"/>
        <v>0</v>
      </c>
      <c r="AP248" s="220">
        <f t="shared" si="615"/>
        <v>0</v>
      </c>
      <c r="AQ248" s="220">
        <f t="shared" si="616"/>
        <v>60</v>
      </c>
      <c r="AR248" s="220">
        <f t="shared" si="617"/>
        <v>0</v>
      </c>
      <c r="AS248" s="220">
        <f t="shared" si="618"/>
        <v>0</v>
      </c>
      <c r="AT248" s="216">
        <f t="shared" si="619"/>
        <v>367.8</v>
      </c>
      <c r="AU248" s="222">
        <f t="shared" si="722"/>
        <v>213.3</v>
      </c>
      <c r="AV248" s="220"/>
      <c r="AW248" s="220">
        <f t="shared" si="680"/>
        <v>213.3</v>
      </c>
      <c r="AX248" s="216">
        <f t="shared" si="620"/>
        <v>0</v>
      </c>
      <c r="AY248" s="220">
        <f t="shared" si="681"/>
        <v>0</v>
      </c>
      <c r="AZ248" s="220">
        <f t="shared" si="682"/>
        <v>0</v>
      </c>
      <c r="BA248" s="220">
        <f t="shared" si="683"/>
        <v>60</v>
      </c>
      <c r="BB248" s="220">
        <f t="shared" si="684"/>
        <v>0</v>
      </c>
      <c r="BC248" s="220">
        <f t="shared" si="685"/>
        <v>0</v>
      </c>
      <c r="BD248" s="216">
        <f t="shared" ref="BD248:BD311" si="759">SUM(AY248:BC248)</f>
        <v>60</v>
      </c>
      <c r="BE248" s="220">
        <f t="shared" si="686"/>
        <v>0</v>
      </c>
      <c r="BF248" s="220">
        <f t="shared" si="687"/>
        <v>0</v>
      </c>
      <c r="BG248" s="220">
        <f t="shared" si="688"/>
        <v>0</v>
      </c>
      <c r="BH248" s="220">
        <f t="shared" si="689"/>
        <v>0</v>
      </c>
      <c r="BI248" s="220">
        <f t="shared" si="690"/>
        <v>0</v>
      </c>
      <c r="BJ248" s="220" t="s">
        <v>2415</v>
      </c>
      <c r="BK248" s="220"/>
      <c r="BL248" s="223">
        <f t="shared" si="582"/>
        <v>213.3</v>
      </c>
      <c r="BM248" s="220">
        <v>3.66</v>
      </c>
      <c r="BN248" s="220"/>
      <c r="BO248" s="220">
        <f t="shared" ref="BO248:BO253" si="760">ROUND(BM248+(BM248*BN248),2)</f>
        <v>3.66</v>
      </c>
      <c r="BP248" s="220">
        <f>IF(AND(BL248&gt;0,BL248&lt;tiet!$D$1),BL248,IF(BL248&lt;=0,0,IF(BL248&gt;tiet!$C$1,tiet!$C$1)))</f>
        <v>200</v>
      </c>
      <c r="BQ248" s="87">
        <f t="shared" si="674"/>
        <v>65000</v>
      </c>
      <c r="BR248" s="224">
        <f t="shared" si="675"/>
        <v>13000000</v>
      </c>
      <c r="BS248" s="220">
        <f t="shared" si="630"/>
        <v>13.300000000000011</v>
      </c>
      <c r="BT248" s="224">
        <f>VLOOKUP(N248,ma_dinhmuc!$A$1:$J$31,10,0)</f>
        <v>51000</v>
      </c>
      <c r="BU248" s="224">
        <f>ROUND(IF(BS248&gt;0,VLOOKUP(N248,ma_dinhmuc!$A$1:$J$31,10,0)*BS248,0),0)</f>
        <v>678300</v>
      </c>
      <c r="BV248" s="224">
        <f t="shared" si="676"/>
        <v>13678300</v>
      </c>
      <c r="BW248" s="224"/>
      <c r="BX248" s="224">
        <v>0</v>
      </c>
      <c r="BY248" s="224"/>
      <c r="BZ248" s="224"/>
      <c r="CA248" s="224"/>
      <c r="CB248" s="224"/>
      <c r="CC248" s="225">
        <f t="shared" si="697"/>
        <v>13678300</v>
      </c>
      <c r="CD248" s="224">
        <f t="shared" si="698"/>
        <v>0</v>
      </c>
      <c r="CE248" s="224"/>
      <c r="CF248" s="226"/>
      <c r="CG248" s="87"/>
      <c r="CH248" s="87">
        <f t="shared" si="705"/>
        <v>1</v>
      </c>
      <c r="CI248" s="227" t="str">
        <f>F248</f>
        <v>Nguyễn Thị Thu</v>
      </c>
      <c r="CJ248" s="227" t="str">
        <f t="shared" ref="CJ248:CJ263" si="761">G248</f>
        <v>Quỳnh</v>
      </c>
      <c r="CK248" s="87">
        <f t="shared" ref="CK248:CK263" si="762">H248</f>
        <v>5</v>
      </c>
      <c r="CL248" s="227" t="str">
        <f t="shared" si="720"/>
        <v>Kinh tế</v>
      </c>
      <c r="CM248" s="87" t="str">
        <f t="shared" si="691"/>
        <v>CS2</v>
      </c>
      <c r="CN248" s="87">
        <f t="shared" ref="CN248:CO250" si="763">Q248</f>
        <v>270</v>
      </c>
      <c r="CO248" s="87">
        <f t="shared" si="763"/>
        <v>120</v>
      </c>
      <c r="CP248" s="229">
        <f t="shared" si="634"/>
        <v>0</v>
      </c>
      <c r="CQ248" s="229">
        <f t="shared" si="635"/>
        <v>43.8</v>
      </c>
      <c r="CR248" s="229">
        <f t="shared" si="636"/>
        <v>17.5</v>
      </c>
      <c r="CS248" s="229">
        <f t="shared" si="637"/>
        <v>0</v>
      </c>
      <c r="CT248" s="229">
        <f t="shared" si="638"/>
        <v>0</v>
      </c>
      <c r="CU248" s="229">
        <f t="shared" si="639"/>
        <v>246.5</v>
      </c>
      <c r="CV248" s="229">
        <f t="shared" si="640"/>
        <v>0</v>
      </c>
      <c r="CW248" s="229">
        <f t="shared" si="641"/>
        <v>0</v>
      </c>
      <c r="CX248" s="229">
        <f t="shared" si="642"/>
        <v>0</v>
      </c>
      <c r="CY248" s="229">
        <f t="shared" si="643"/>
        <v>0</v>
      </c>
      <c r="CZ248" s="229">
        <f t="shared" si="644"/>
        <v>0</v>
      </c>
      <c r="DA248" s="229">
        <f t="shared" si="645"/>
        <v>60</v>
      </c>
      <c r="DB248" s="228">
        <f t="shared" si="606"/>
        <v>367.8</v>
      </c>
      <c r="DC248" s="229"/>
      <c r="DD248" s="229"/>
      <c r="DE248" s="229"/>
      <c r="DF248" s="229"/>
      <c r="DG248" s="229"/>
      <c r="DH248" s="229"/>
      <c r="DI248" s="229"/>
      <c r="DJ248" s="229"/>
      <c r="DK248" s="229"/>
      <c r="DL248" s="229"/>
      <c r="DM248" s="229"/>
      <c r="DN248" s="229"/>
      <c r="DO248" s="228">
        <f t="shared" si="622"/>
        <v>0</v>
      </c>
      <c r="DP248" s="228">
        <f t="shared" si="623"/>
        <v>367.8</v>
      </c>
      <c r="DQ248" s="229">
        <f t="shared" si="646"/>
        <v>0</v>
      </c>
      <c r="DR248" s="229">
        <f t="shared" si="647"/>
        <v>0</v>
      </c>
      <c r="DS248" s="229">
        <f t="shared" si="648"/>
        <v>0</v>
      </c>
      <c r="DT248" s="229">
        <f t="shared" si="649"/>
        <v>0</v>
      </c>
      <c r="DU248" s="229">
        <f t="shared" si="650"/>
        <v>0</v>
      </c>
      <c r="DV248" s="229">
        <f t="shared" si="651"/>
        <v>0</v>
      </c>
      <c r="DW248" s="229">
        <f t="shared" si="652"/>
        <v>0</v>
      </c>
      <c r="DX248" s="228">
        <f t="shared" si="607"/>
        <v>0</v>
      </c>
      <c r="DY248" s="229"/>
      <c r="DZ248" s="229"/>
      <c r="EA248" s="229"/>
      <c r="EB248" s="229"/>
      <c r="EC248" s="229"/>
      <c r="ED248" s="229"/>
      <c r="EE248" s="229"/>
      <c r="EF248" s="228">
        <f t="shared" si="631"/>
        <v>0</v>
      </c>
      <c r="EG248" s="228">
        <f t="shared" si="624"/>
        <v>0</v>
      </c>
      <c r="EH248" s="229">
        <f t="shared" si="632"/>
        <v>31.67</v>
      </c>
      <c r="EI248" s="229">
        <v>184.69</v>
      </c>
      <c r="EJ248" s="228">
        <f t="shared" si="719"/>
        <v>216.36</v>
      </c>
      <c r="EK248" s="229"/>
      <c r="EL248" s="229"/>
      <c r="EM248" s="228">
        <f t="shared" ref="EM248:EM263" si="764">SUM(EK248:EL248)</f>
        <v>0</v>
      </c>
      <c r="EN248" s="229">
        <f t="shared" si="708"/>
        <v>31.67</v>
      </c>
      <c r="EO248" s="229">
        <f t="shared" si="723"/>
        <v>184.69</v>
      </c>
      <c r="EP248" s="228">
        <f t="shared" ref="EP248:EP255" si="765">EM248+EJ248</f>
        <v>216.36</v>
      </c>
      <c r="EQ248" s="173">
        <f t="shared" si="633"/>
        <v>31.67</v>
      </c>
      <c r="ER248" s="189">
        <v>0</v>
      </c>
      <c r="ES248" s="189">
        <v>43.8</v>
      </c>
      <c r="ET248" s="189">
        <v>17.5</v>
      </c>
      <c r="EU248" s="189">
        <v>0</v>
      </c>
      <c r="EV248" s="189">
        <v>0</v>
      </c>
      <c r="EW248" s="189">
        <v>246.5</v>
      </c>
      <c r="EX248" s="189">
        <v>0</v>
      </c>
      <c r="EY248" s="189">
        <v>0</v>
      </c>
      <c r="EZ248" s="189">
        <v>0</v>
      </c>
      <c r="FA248" s="189">
        <v>0</v>
      </c>
      <c r="FB248" s="189">
        <v>0</v>
      </c>
      <c r="FC248" s="189">
        <v>60</v>
      </c>
      <c r="FD248" s="189">
        <v>0</v>
      </c>
      <c r="FE248" s="189">
        <v>0</v>
      </c>
      <c r="FF248" s="189">
        <v>0</v>
      </c>
      <c r="FG248" s="189">
        <v>0</v>
      </c>
      <c r="FH248" s="189">
        <v>0</v>
      </c>
      <c r="FI248" s="189">
        <v>0</v>
      </c>
      <c r="FJ248" s="189">
        <v>0</v>
      </c>
      <c r="FK248" s="189">
        <v>367.8</v>
      </c>
      <c r="FL248" s="189">
        <v>250</v>
      </c>
      <c r="FN248" s="132">
        <v>31.67</v>
      </c>
    </row>
    <row r="249" spans="1:170" ht="30" customHeight="1">
      <c r="A249" s="88">
        <f>COUNTIF($H$12:H249,H249)</f>
        <v>2</v>
      </c>
      <c r="B249" s="88" t="s">
        <v>1007</v>
      </c>
      <c r="C249" s="88" t="s">
        <v>592</v>
      </c>
      <c r="D249" s="88"/>
      <c r="E249" s="88"/>
      <c r="F249" s="301" t="s">
        <v>2853</v>
      </c>
      <c r="G249" s="89" t="s">
        <v>26</v>
      </c>
      <c r="H249" s="88">
        <v>5</v>
      </c>
      <c r="I249" s="88">
        <v>5</v>
      </c>
      <c r="J249" s="88">
        <v>5</v>
      </c>
      <c r="K249" s="90" t="s">
        <v>1085</v>
      </c>
      <c r="L249" s="90" t="s">
        <v>1085</v>
      </c>
      <c r="M249" s="214"/>
      <c r="N249" s="88" t="s">
        <v>606</v>
      </c>
      <c r="O249" s="216">
        <f t="shared" si="757"/>
        <v>4.74</v>
      </c>
      <c r="P249" s="88" t="str">
        <f t="shared" si="663"/>
        <v>B1_5</v>
      </c>
      <c r="Q249" s="88">
        <f t="shared" si="733"/>
        <v>270</v>
      </c>
      <c r="R249" s="88">
        <f t="shared" si="734"/>
        <v>150</v>
      </c>
      <c r="S249" s="230" t="s">
        <v>2031</v>
      </c>
      <c r="T249" s="219" t="s">
        <v>3091</v>
      </c>
      <c r="U249" s="88">
        <f>IF(RIGHT(T249,1)="K",(VLOOKUP(T249,ma_miengiam!$A$3:$B$80,2,0)*100)/2,VLOOKUP(T249,ma_miengiam!$A$3:$B$80,2,0)*100)</f>
        <v>20</v>
      </c>
      <c r="V249" s="88"/>
      <c r="W249" s="220">
        <f>IF(AND(T249="NTS",V249&gt;0),(Q249-(Q249*V249)/12)*VLOOKUP(T249,ma_miengiam!$A$3:$B$80,2,0)+(Q249-(Q249*(12-V249))/12),IF(AND(RIGHT(T249,1)="K",V249&gt;0),(VLOOKUP(T249,ma_miengiam!$A$3:$B$80,2,0)/2)*(Q249*V249)/12,IF(RIGHT(T249,1)="K",(VLOOKUP(T249,ma_miengiam!$A$3:$B$80,2,0)*Q249)/2,IF(V249&gt;0,VLOOKUP(T249,ma_miengiam!$A$3:$B$80,2,0)*Q249*V249/12,VLOOKUP(T249,ma_miengiam!$A$3:$B$80,2,0)*Q249))))</f>
        <v>54</v>
      </c>
      <c r="X249" s="220">
        <f>IF(T249="NTS",VLOOKUP(T249,ma_miengiam!$A$3:$B$80,2,0)*R249*V249,IF(AND(T249="NTS",V249=0),0,IF(AND(LEFT(T249,1)="K",V249=0),VLOOKUP(T249,ma_miengiam!$A$3:$B$80,2,0)*R249,IF(LEFT(T249,1)="K",(VLOOKUP(T249,ma_miengiam!$A$3:$B$80,2,0)*R249/12)*V249,IF(AND(LEFT(T249,1)="S",V249&gt;0),(R249/12)*V249,IF(AND(LEFT(T249,1)="S",V249=0),R249,IF(T249="DH",VLOOKUP(T249,ma_miengiam!$A$3:$B$80,2,0)*R249,0)))))))</f>
        <v>0</v>
      </c>
      <c r="Y249" s="220">
        <f t="shared" si="703"/>
        <v>216</v>
      </c>
      <c r="Z249" s="220">
        <f t="shared" si="739"/>
        <v>150</v>
      </c>
      <c r="AA249" s="220">
        <f t="shared" ref="AA249:AB253" si="766">Q249</f>
        <v>270</v>
      </c>
      <c r="AB249" s="220">
        <f t="shared" si="766"/>
        <v>150</v>
      </c>
      <c r="AC249" s="220">
        <f t="shared" si="758"/>
        <v>54</v>
      </c>
      <c r="AD249" s="220">
        <f t="shared" si="758"/>
        <v>0</v>
      </c>
      <c r="AE249" s="220">
        <f t="shared" si="758"/>
        <v>216</v>
      </c>
      <c r="AF249" s="220">
        <f t="shared" si="758"/>
        <v>150</v>
      </c>
      <c r="AG249" s="220">
        <f t="shared" si="754"/>
        <v>129.19999999999999</v>
      </c>
      <c r="AH249" s="220">
        <f t="shared" si="755"/>
        <v>80.86</v>
      </c>
      <c r="AI249" s="220">
        <f t="shared" si="756"/>
        <v>48.34</v>
      </c>
      <c r="AJ249" s="220">
        <f t="shared" si="677"/>
        <v>-20.800000000000011</v>
      </c>
      <c r="AK249" s="216">
        <f t="shared" si="604"/>
        <v>236.8</v>
      </c>
      <c r="AL249" s="220">
        <f t="shared" si="611"/>
        <v>448.5</v>
      </c>
      <c r="AM249" s="220">
        <f t="shared" si="612"/>
        <v>456.8</v>
      </c>
      <c r="AN249" s="221">
        <f t="shared" si="613"/>
        <v>905.3</v>
      </c>
      <c r="AO249" s="220">
        <f t="shared" si="614"/>
        <v>0</v>
      </c>
      <c r="AP249" s="220">
        <f t="shared" si="615"/>
        <v>0</v>
      </c>
      <c r="AQ249" s="220">
        <f t="shared" si="616"/>
        <v>80</v>
      </c>
      <c r="AR249" s="220">
        <f t="shared" si="617"/>
        <v>280</v>
      </c>
      <c r="AS249" s="220">
        <f t="shared" si="618"/>
        <v>10</v>
      </c>
      <c r="AT249" s="216">
        <f t="shared" si="619"/>
        <v>1275.3</v>
      </c>
      <c r="AU249" s="222">
        <f t="shared" si="722"/>
        <v>668.5</v>
      </c>
      <c r="AV249" s="220"/>
      <c r="AW249" s="220">
        <f t="shared" si="680"/>
        <v>668.5</v>
      </c>
      <c r="AX249" s="216">
        <f t="shared" si="620"/>
        <v>0</v>
      </c>
      <c r="AY249" s="220">
        <f t="shared" si="681"/>
        <v>0</v>
      </c>
      <c r="AZ249" s="220">
        <f t="shared" si="682"/>
        <v>0</v>
      </c>
      <c r="BA249" s="220">
        <f t="shared" si="683"/>
        <v>80</v>
      </c>
      <c r="BB249" s="220">
        <f t="shared" si="684"/>
        <v>280</v>
      </c>
      <c r="BC249" s="220">
        <f t="shared" si="685"/>
        <v>10</v>
      </c>
      <c r="BD249" s="216">
        <f t="shared" si="759"/>
        <v>370</v>
      </c>
      <c r="BE249" s="220">
        <f t="shared" si="686"/>
        <v>0</v>
      </c>
      <c r="BF249" s="220">
        <f t="shared" si="687"/>
        <v>0</v>
      </c>
      <c r="BG249" s="220">
        <f t="shared" si="688"/>
        <v>0</v>
      </c>
      <c r="BH249" s="220">
        <f t="shared" si="689"/>
        <v>0</v>
      </c>
      <c r="BI249" s="220">
        <f t="shared" si="690"/>
        <v>0</v>
      </c>
      <c r="BJ249" s="220" t="s">
        <v>2415</v>
      </c>
      <c r="BK249" s="220"/>
      <c r="BL249" s="223">
        <f t="shared" si="582"/>
        <v>668.5</v>
      </c>
      <c r="BM249" s="220">
        <v>4.74</v>
      </c>
      <c r="BN249" s="220"/>
      <c r="BO249" s="220">
        <f t="shared" si="760"/>
        <v>4.74</v>
      </c>
      <c r="BP249" s="220">
        <f>IF(AND(BL249&gt;0,BL249&lt;tiet!$D$1),BL249,IF(BL249&lt;=0,0,IF(BL249&gt;tiet!$C$1,tiet!$C$1)))</f>
        <v>200</v>
      </c>
      <c r="BQ249" s="87">
        <f t="shared" si="674"/>
        <v>70000</v>
      </c>
      <c r="BR249" s="224">
        <f t="shared" si="675"/>
        <v>14000000</v>
      </c>
      <c r="BS249" s="220">
        <f t="shared" si="630"/>
        <v>468.5</v>
      </c>
      <c r="BT249" s="224">
        <f>VLOOKUP(N249,ma_dinhmuc!$A$1:$J$31,10,0)</f>
        <v>55000</v>
      </c>
      <c r="BU249" s="224">
        <f>ROUND(IF(BS249&gt;0,VLOOKUP(N249,ma_dinhmuc!$A$1:$J$31,10,0)*BS249,0),0)</f>
        <v>25767500</v>
      </c>
      <c r="BV249" s="224">
        <f t="shared" si="676"/>
        <v>39767500</v>
      </c>
      <c r="BW249" s="224"/>
      <c r="BX249" s="224">
        <v>0</v>
      </c>
      <c r="BY249" s="224"/>
      <c r="BZ249" s="224"/>
      <c r="CA249" s="224"/>
      <c r="CB249" s="224"/>
      <c r="CC249" s="225">
        <f t="shared" si="697"/>
        <v>39767500</v>
      </c>
      <c r="CD249" s="224">
        <f t="shared" si="698"/>
        <v>0</v>
      </c>
      <c r="CE249" s="224"/>
      <c r="CF249" s="226"/>
      <c r="CG249" s="87"/>
      <c r="CH249" s="87">
        <f t="shared" ref="CH249:CH257" si="767">A249</f>
        <v>2</v>
      </c>
      <c r="CI249" s="227" t="str">
        <f>F249</f>
        <v>Nguyễn Tất</v>
      </c>
      <c r="CJ249" s="227" t="str">
        <f t="shared" si="761"/>
        <v>Thắng</v>
      </c>
      <c r="CK249" s="87">
        <f t="shared" si="762"/>
        <v>5</v>
      </c>
      <c r="CL249" s="227" t="str">
        <f t="shared" ref="CL249:CL255" si="768">L249</f>
        <v>Kinh tế</v>
      </c>
      <c r="CM249" s="87" t="str">
        <f t="shared" si="691"/>
        <v>CS3</v>
      </c>
      <c r="CN249" s="87">
        <f t="shared" si="763"/>
        <v>270</v>
      </c>
      <c r="CO249" s="87">
        <f t="shared" si="763"/>
        <v>150</v>
      </c>
      <c r="CP249" s="229">
        <f t="shared" si="634"/>
        <v>0</v>
      </c>
      <c r="CQ249" s="229">
        <f t="shared" si="635"/>
        <v>61.9</v>
      </c>
      <c r="CR249" s="229">
        <f t="shared" si="636"/>
        <v>24.9</v>
      </c>
      <c r="CS249" s="229">
        <f t="shared" si="637"/>
        <v>0</v>
      </c>
      <c r="CT249" s="229">
        <f t="shared" si="638"/>
        <v>0</v>
      </c>
      <c r="CU249" s="229">
        <f t="shared" si="639"/>
        <v>361.7</v>
      </c>
      <c r="CV249" s="229">
        <f t="shared" si="640"/>
        <v>0</v>
      </c>
      <c r="CW249" s="229">
        <f t="shared" si="641"/>
        <v>0</v>
      </c>
      <c r="CX249" s="229">
        <f t="shared" si="642"/>
        <v>0</v>
      </c>
      <c r="CY249" s="229">
        <f t="shared" si="643"/>
        <v>0</v>
      </c>
      <c r="CZ249" s="229">
        <f t="shared" si="644"/>
        <v>0</v>
      </c>
      <c r="DA249" s="229">
        <f t="shared" si="645"/>
        <v>80</v>
      </c>
      <c r="DB249" s="228">
        <f t="shared" si="606"/>
        <v>528.5</v>
      </c>
      <c r="DC249" s="229"/>
      <c r="DD249" s="229"/>
      <c r="DE249" s="229"/>
      <c r="DF249" s="229"/>
      <c r="DG249" s="229"/>
      <c r="DH249" s="229"/>
      <c r="DI249" s="229"/>
      <c r="DJ249" s="229"/>
      <c r="DK249" s="229"/>
      <c r="DL249" s="229"/>
      <c r="DM249" s="229"/>
      <c r="DN249" s="229"/>
      <c r="DO249" s="228">
        <f t="shared" si="622"/>
        <v>0</v>
      </c>
      <c r="DP249" s="228">
        <f t="shared" si="623"/>
        <v>528.5</v>
      </c>
      <c r="DQ249" s="229">
        <f t="shared" si="646"/>
        <v>432</v>
      </c>
      <c r="DR249" s="229">
        <f t="shared" si="647"/>
        <v>17.600000000000001</v>
      </c>
      <c r="DS249" s="229">
        <f t="shared" si="648"/>
        <v>0</v>
      </c>
      <c r="DT249" s="229">
        <f t="shared" si="649"/>
        <v>7.2</v>
      </c>
      <c r="DU249" s="229">
        <f t="shared" si="650"/>
        <v>0</v>
      </c>
      <c r="DV249" s="229">
        <f t="shared" si="651"/>
        <v>280</v>
      </c>
      <c r="DW249" s="229">
        <f t="shared" si="652"/>
        <v>10</v>
      </c>
      <c r="DX249" s="228">
        <f t="shared" si="607"/>
        <v>746.8</v>
      </c>
      <c r="DY249" s="229"/>
      <c r="DZ249" s="229"/>
      <c r="EA249" s="229"/>
      <c r="EB249" s="229"/>
      <c r="EC249" s="229"/>
      <c r="ED249" s="229"/>
      <c r="EE249" s="229"/>
      <c r="EF249" s="228">
        <f t="shared" si="631"/>
        <v>0</v>
      </c>
      <c r="EG249" s="228">
        <f t="shared" si="624"/>
        <v>746.8</v>
      </c>
      <c r="EH249" s="229">
        <f t="shared" si="632"/>
        <v>48.34</v>
      </c>
      <c r="EI249" s="229">
        <v>80.86</v>
      </c>
      <c r="EJ249" s="228">
        <f t="shared" si="719"/>
        <v>129.19999999999999</v>
      </c>
      <c r="EK249" s="229"/>
      <c r="EL249" s="229"/>
      <c r="EM249" s="228">
        <f t="shared" si="764"/>
        <v>0</v>
      </c>
      <c r="EN249" s="229">
        <f t="shared" si="708"/>
        <v>48.34</v>
      </c>
      <c r="EO249" s="229">
        <f t="shared" si="723"/>
        <v>80.86</v>
      </c>
      <c r="EP249" s="228">
        <f t="shared" si="765"/>
        <v>129.19999999999999</v>
      </c>
      <c r="EQ249" s="173">
        <f t="shared" si="633"/>
        <v>0</v>
      </c>
      <c r="ER249" s="189">
        <v>0</v>
      </c>
      <c r="ES249" s="189">
        <v>61.9</v>
      </c>
      <c r="ET249" s="189">
        <v>24.9</v>
      </c>
      <c r="EU249" s="189">
        <v>0</v>
      </c>
      <c r="EV249" s="189">
        <v>0</v>
      </c>
      <c r="EW249" s="189">
        <v>361.7</v>
      </c>
      <c r="EX249" s="189">
        <v>0</v>
      </c>
      <c r="EY249" s="189">
        <v>0</v>
      </c>
      <c r="EZ249" s="189">
        <v>0</v>
      </c>
      <c r="FA249" s="189">
        <v>0</v>
      </c>
      <c r="FB249" s="189">
        <v>0</v>
      </c>
      <c r="FC249" s="189">
        <v>80</v>
      </c>
      <c r="FD249" s="189">
        <v>432</v>
      </c>
      <c r="FE249" s="189">
        <v>17.600000000000001</v>
      </c>
      <c r="FF249" s="189">
        <v>0</v>
      </c>
      <c r="FG249" s="189">
        <v>7.2</v>
      </c>
      <c r="FH249" s="189">
        <v>280</v>
      </c>
      <c r="FI249" s="189">
        <v>0</v>
      </c>
      <c r="FJ249" s="189">
        <v>10</v>
      </c>
      <c r="FK249" s="189">
        <v>1275.3</v>
      </c>
      <c r="FL249" s="189">
        <v>936</v>
      </c>
      <c r="FN249" s="132">
        <v>48.34</v>
      </c>
    </row>
    <row r="250" spans="1:170" ht="30" customHeight="1">
      <c r="A250" s="88">
        <f>COUNTIF($H$12:H250,H250)</f>
        <v>3</v>
      </c>
      <c r="B250" s="88" t="s">
        <v>1006</v>
      </c>
      <c r="C250" s="88" t="s">
        <v>591</v>
      </c>
      <c r="D250" s="88"/>
      <c r="E250" s="88"/>
      <c r="F250" s="301" t="s">
        <v>180</v>
      </c>
      <c r="G250" s="89" t="s">
        <v>1437</v>
      </c>
      <c r="H250" s="88">
        <v>5</v>
      </c>
      <c r="I250" s="88">
        <v>5</v>
      </c>
      <c r="J250" s="88">
        <v>5</v>
      </c>
      <c r="K250" s="90" t="s">
        <v>1085</v>
      </c>
      <c r="L250" s="90" t="s">
        <v>1085</v>
      </c>
      <c r="M250" s="214"/>
      <c r="N250" s="88" t="s">
        <v>1804</v>
      </c>
      <c r="O250" s="216">
        <f>BO250</f>
        <v>3.66</v>
      </c>
      <c r="P250" s="88" t="str">
        <f t="shared" si="663"/>
        <v>B1_4</v>
      </c>
      <c r="Q250" s="88">
        <f t="shared" si="733"/>
        <v>270</v>
      </c>
      <c r="R250" s="88">
        <f t="shared" si="734"/>
        <v>120</v>
      </c>
      <c r="S250" s="218" t="s">
        <v>2653</v>
      </c>
      <c r="T250" s="88" t="s">
        <v>3088</v>
      </c>
      <c r="U250" s="88">
        <f>IF(RIGHT(T250,1)="K",(VLOOKUP(T250,ma_miengiam!$A$3:$B$80,2,0)*100)/2,VLOOKUP(T250,ma_miengiam!$A$3:$B$80,2,0)*100)</f>
        <v>0</v>
      </c>
      <c r="V250" s="88">
        <v>8</v>
      </c>
      <c r="W250" s="220">
        <f>IF(AND(T250="NTS",V250&gt;0),(Q250-(Q250*V250)/12)*VLOOKUP(T250,ma_miengiam!$A$3:$B$80,2,0)+(Q250-(Q250*(12-V250))/12),IF(AND(RIGHT(T250,1)="K",V250&gt;0),(VLOOKUP(T250,ma_miengiam!$A$3:$B$80,2,0)/2)*(Q250*V250)/12,IF(RIGHT(T250,1)="K",(VLOOKUP(T250,ma_miengiam!$A$3:$B$80,2,0)*Q250)/2,IF(V250&gt;0,VLOOKUP(T250,ma_miengiam!$A$3:$B$80,2,0)*Q250*V250/12,VLOOKUP(T250,ma_miengiam!$A$3:$B$80,2,0)*Q250))))</f>
        <v>0</v>
      </c>
      <c r="X250" s="220">
        <f>IF(T250="NTS",VLOOKUP(T250,ma_miengiam!$A$3:$B$80,2,0)*R250*V250,IF(AND(T250="NTS",V250=0),0,IF(AND(LEFT(T250,1)="K",V250=0),VLOOKUP(T250,ma_miengiam!$A$3:$B$80,2,0)*R250,IF(LEFT(T250,1)="K",(VLOOKUP(T250,ma_miengiam!$A$3:$B$80,2,0)*R250/12)*V250,IF(AND(LEFT(T250,1)="S",V250&gt;0),(R250/12)*V250,IF(AND(LEFT(T250,1)="S",V250=0),R250,IF(T250="DH",VLOOKUP(T250,ma_miengiam!$A$3:$B$80,2,0)*R250,0)))))))</f>
        <v>0</v>
      </c>
      <c r="Y250" s="220">
        <f>IF(AND(T250="DH",V250&gt;0),(S250*V250/12),IF(AND(T250&lt;&gt;"NTS",V250&gt;0),(Q250*V250/12)-W250,IF(AND(T250="NTS",V250&gt;0),Q250-W250,Q250-W250)))</f>
        <v>180</v>
      </c>
      <c r="Z250" s="220">
        <f>IF(AND(T250="SĐH",V250&gt;0),(R250/12)*V250-X250,IF(AND(T250="DH",V250&gt;0),(R250*V250/12),IF(AND(T250&lt;&gt;"NTS",V250&gt;0),(R250*V250/12)-X250,IF(AND(T250="NTS",V250&gt;0),R250-X250,R250-X250))))</f>
        <v>80</v>
      </c>
      <c r="AA250" s="220">
        <f>Q250</f>
        <v>270</v>
      </c>
      <c r="AB250" s="220">
        <f>R250</f>
        <v>120</v>
      </c>
      <c r="AC250" s="220">
        <f t="shared" si="758"/>
        <v>0</v>
      </c>
      <c r="AD250" s="220">
        <f t="shared" si="758"/>
        <v>0</v>
      </c>
      <c r="AE250" s="220">
        <f t="shared" si="758"/>
        <v>180</v>
      </c>
      <c r="AF250" s="220">
        <f t="shared" si="758"/>
        <v>80</v>
      </c>
      <c r="AG250" s="220">
        <f>AH250+AI250</f>
        <v>0</v>
      </c>
      <c r="AH250" s="220">
        <f>EO250</f>
        <v>0</v>
      </c>
      <c r="AI250" s="220">
        <f>EN250</f>
        <v>0</v>
      </c>
      <c r="AJ250" s="220">
        <f>IF(AG250-Z250&gt;0,0,AG250-Z250)</f>
        <v>-80</v>
      </c>
      <c r="AK250" s="216">
        <f t="shared" si="604"/>
        <v>260</v>
      </c>
      <c r="AL250" s="220">
        <f>SUM(CP250:CX250)+SUM(DC250:DK250)</f>
        <v>49.2</v>
      </c>
      <c r="AM250" s="220">
        <f>SUM(DQ250:DU250)+SUM(DY250:EC250)</f>
        <v>0</v>
      </c>
      <c r="AN250" s="216">
        <f>AM250+AL250</f>
        <v>49.2</v>
      </c>
      <c r="AO250" s="220">
        <f>CY250+DL250</f>
        <v>0</v>
      </c>
      <c r="AP250" s="220">
        <f>CZ250+DM250</f>
        <v>0</v>
      </c>
      <c r="AQ250" s="220">
        <f>DA250+DN250</f>
        <v>0</v>
      </c>
      <c r="AR250" s="220">
        <f>DV250+ED250</f>
        <v>0</v>
      </c>
      <c r="AS250" s="220">
        <f>DW250+EE250</f>
        <v>0</v>
      </c>
      <c r="AT250" s="216">
        <f>AN250+SUM(AO250:AS250)</f>
        <v>49.2</v>
      </c>
      <c r="AU250" s="220">
        <f>AN250-AK250</f>
        <v>-210.8</v>
      </c>
      <c r="AV250" s="220"/>
      <c r="AW250" s="220">
        <f>IF(AU250&gt;0,AU250,AV250+AU250)</f>
        <v>-210.8</v>
      </c>
      <c r="AX250" s="216">
        <f t="shared" si="620"/>
        <v>-210.8</v>
      </c>
      <c r="AY250" s="220">
        <f>IF(AN250&gt;=AK250,AO250,IF(AN250+AO250-AK250&gt;=0,AN250+AO250-AK250,0))</f>
        <v>0</v>
      </c>
      <c r="AZ250" s="220">
        <f>IF(OR(AN250&gt;=AK250,AN250+AO250&gt;=AK250),AP250,IF(AN250+AO250+AP250&gt;AK250,AN250+AO250+AP250-AK250,0))</f>
        <v>0</v>
      </c>
      <c r="BA250" s="220">
        <f>IF(OR(AN250&gt;=AK250,AN250+AO250&gt;=AK250,AN250+AO250+AP250&gt;=AK250),AQ250,IF(AN250+AO250+AP250+AQ250&gt;=AK250,AN250+AO250+AP250+AQ250-AK250,0))</f>
        <v>0</v>
      </c>
      <c r="BB250" s="220">
        <f>IF(OR(AN250&gt;=AK250,AN250+AO250&gt;=AK250,AN250+AO250+AP250&gt;=AK250,AN250+AO250+AP250+AQ250&gt;=AK250),AR250,IF(AN250+AO250+AP250+AQ250+AR250&gt;=AK250,AN250+AO250+AP250+AQ250+AR250-AK250,0))</f>
        <v>0</v>
      </c>
      <c r="BC250" s="220">
        <f>IF(OR(AN250&gt;=AK250,AN250+AO250&gt;=AK250,AN250+AO250+AP250&gt;=AK250,AN250+AO250+AP250+AQ250&gt;=AK250,AN250+AO250+AP250+AQ250+AR250&gt;=AK250),AS250,IF(AN250+AO250+AP250+AQ250+AR250+AS250&gt;=AK250,AN250+AO250+AP250+AQ250+AR250+AS250-AK250,0))</f>
        <v>0</v>
      </c>
      <c r="BD250" s="216">
        <f t="shared" si="759"/>
        <v>0</v>
      </c>
      <c r="BE250" s="220">
        <f>AY250-AO250</f>
        <v>0</v>
      </c>
      <c r="BF250" s="220">
        <f>AZ250-AP250</f>
        <v>0</v>
      </c>
      <c r="BG250" s="220">
        <f>BA250-AQ250</f>
        <v>0</v>
      </c>
      <c r="BH250" s="220">
        <f>BB250-AR250</f>
        <v>0</v>
      </c>
      <c r="BI250" s="220">
        <f>BC250-AS250</f>
        <v>0</v>
      </c>
      <c r="BJ250" s="220" t="s">
        <v>2415</v>
      </c>
      <c r="BK250" s="220"/>
      <c r="BL250" s="223">
        <f t="shared" si="582"/>
        <v>0</v>
      </c>
      <c r="BM250" s="220">
        <v>3.66</v>
      </c>
      <c r="BN250" s="220"/>
      <c r="BO250" s="220">
        <f>ROUND(BM250+(BM250*BN250),2)</f>
        <v>3.66</v>
      </c>
      <c r="BP250" s="220">
        <f>IF(AND(BL250&gt;0,BL250&lt;tiet!$D$1),BL250,IF(BL250&lt;=0,0,IF(BL250&gt;tiet!$C$1,tiet!$C$1)))</f>
        <v>0</v>
      </c>
      <c r="BQ250" s="87">
        <f>VLOOKUP(P250,ma_dinhmuc_moi,4,0)</f>
        <v>65000</v>
      </c>
      <c r="BR250" s="224">
        <f>ROUND(BQ250*BP250,0)</f>
        <v>0</v>
      </c>
      <c r="BS250" s="220">
        <f t="shared" si="630"/>
        <v>0</v>
      </c>
      <c r="BT250" s="224">
        <f>VLOOKUP(N250,ma_dinhmuc!$A$1:$J$31,10,0)</f>
        <v>51000</v>
      </c>
      <c r="BU250" s="224">
        <f>ROUND(IF(BS250&gt;0,VLOOKUP(N250,ma_dinhmuc!$A$1:$J$31,10,0)*BS250,0),0)</f>
        <v>0</v>
      </c>
      <c r="BV250" s="224">
        <f>ROUND(BU250+BR250,0)</f>
        <v>0</v>
      </c>
      <c r="BW250" s="224"/>
      <c r="BX250" s="224">
        <v>0</v>
      </c>
      <c r="BY250" s="224"/>
      <c r="BZ250" s="224"/>
      <c r="CA250" s="224"/>
      <c r="CB250" s="224"/>
      <c r="CC250" s="225">
        <f>ROUND(IF(BV250+BW250&gt;BX250+BY250+BZ250+CA250+CB250,(BW250+BV250)-(BX250+BY250+BZ250+CA250+CB250+CB250),0),0)</f>
        <v>0</v>
      </c>
      <c r="CD250" s="224">
        <f>ROUND(IF(BV250+BW250&lt;BX250+BY250+BZ250+CA250-CB250,(BX250+BY250+BZ250+CA250-CB250)-(BW250+BV250),0),0)</f>
        <v>0</v>
      </c>
      <c r="CE250" s="224"/>
      <c r="CF250" s="226"/>
      <c r="CG250" s="87"/>
      <c r="CH250" s="87">
        <f>A250</f>
        <v>3</v>
      </c>
      <c r="CI250" s="227" t="str">
        <f>F250</f>
        <v>Trần Đức</v>
      </c>
      <c r="CJ250" s="227" t="str">
        <f>G250</f>
        <v>Trí</v>
      </c>
      <c r="CK250" s="87">
        <f>H250</f>
        <v>5</v>
      </c>
      <c r="CL250" s="227" t="str">
        <f>L250</f>
        <v>Kinh tế</v>
      </c>
      <c r="CM250" s="87" t="str">
        <f>N250</f>
        <v>CS2</v>
      </c>
      <c r="CN250" s="87">
        <f t="shared" si="763"/>
        <v>270</v>
      </c>
      <c r="CO250" s="87">
        <f t="shared" si="763"/>
        <v>120</v>
      </c>
      <c r="CP250" s="229">
        <f t="shared" si="634"/>
        <v>0</v>
      </c>
      <c r="CQ250" s="229">
        <f t="shared" si="635"/>
        <v>3</v>
      </c>
      <c r="CR250" s="229">
        <f t="shared" si="636"/>
        <v>1.2</v>
      </c>
      <c r="CS250" s="229">
        <f t="shared" si="637"/>
        <v>0</v>
      </c>
      <c r="CT250" s="229">
        <f t="shared" si="638"/>
        <v>0</v>
      </c>
      <c r="CU250" s="229">
        <f t="shared" si="639"/>
        <v>45</v>
      </c>
      <c r="CV250" s="229">
        <f t="shared" si="640"/>
        <v>0</v>
      </c>
      <c r="CW250" s="229">
        <f t="shared" si="641"/>
        <v>0</v>
      </c>
      <c r="CX250" s="229">
        <f t="shared" si="642"/>
        <v>0</v>
      </c>
      <c r="CY250" s="229">
        <f t="shared" si="643"/>
        <v>0</v>
      </c>
      <c r="CZ250" s="229">
        <f t="shared" si="644"/>
        <v>0</v>
      </c>
      <c r="DA250" s="229">
        <f t="shared" si="645"/>
        <v>0</v>
      </c>
      <c r="DB250" s="228">
        <f>SUM(CP250:DA250)</f>
        <v>49.2</v>
      </c>
      <c r="DC250" s="229"/>
      <c r="DD250" s="229"/>
      <c r="DE250" s="229"/>
      <c r="DF250" s="229"/>
      <c r="DG250" s="229"/>
      <c r="DH250" s="229"/>
      <c r="DI250" s="229"/>
      <c r="DJ250" s="229"/>
      <c r="DK250" s="229"/>
      <c r="DL250" s="229"/>
      <c r="DM250" s="229"/>
      <c r="DN250" s="229"/>
      <c r="DO250" s="228">
        <f>SUM(DC250:DN250)</f>
        <v>0</v>
      </c>
      <c r="DP250" s="228">
        <f>DO250+DB250</f>
        <v>49.2</v>
      </c>
      <c r="DQ250" s="229">
        <f t="shared" si="646"/>
        <v>0</v>
      </c>
      <c r="DR250" s="229">
        <f t="shared" si="647"/>
        <v>0</v>
      </c>
      <c r="DS250" s="229">
        <f t="shared" si="648"/>
        <v>0</v>
      </c>
      <c r="DT250" s="229">
        <f t="shared" si="649"/>
        <v>0</v>
      </c>
      <c r="DU250" s="229">
        <f t="shared" si="650"/>
        <v>0</v>
      </c>
      <c r="DV250" s="229">
        <f t="shared" si="651"/>
        <v>0</v>
      </c>
      <c r="DW250" s="229">
        <f t="shared" si="652"/>
        <v>0</v>
      </c>
      <c r="DX250" s="228">
        <f>SUM(DQ250:DW250)</f>
        <v>0</v>
      </c>
      <c r="DY250" s="229"/>
      <c r="DZ250" s="229"/>
      <c r="EA250" s="229"/>
      <c r="EB250" s="229"/>
      <c r="EC250" s="229"/>
      <c r="ED250" s="229"/>
      <c r="EE250" s="229"/>
      <c r="EF250" s="228">
        <f t="shared" si="631"/>
        <v>0</v>
      </c>
      <c r="EG250" s="228">
        <f>EF250+DX250</f>
        <v>0</v>
      </c>
      <c r="EH250" s="229">
        <f t="shared" si="632"/>
        <v>0</v>
      </c>
      <c r="EI250" s="229">
        <v>0</v>
      </c>
      <c r="EJ250" s="228">
        <f t="shared" si="719"/>
        <v>0</v>
      </c>
      <c r="EK250" s="229"/>
      <c r="EL250" s="229"/>
      <c r="EM250" s="228">
        <f>SUM(EK250:EL250)</f>
        <v>0</v>
      </c>
      <c r="EN250" s="229">
        <f>EK250+EH250+EL250</f>
        <v>0</v>
      </c>
      <c r="EO250" s="229">
        <f>EI250</f>
        <v>0</v>
      </c>
      <c r="EP250" s="228">
        <f>EM250+EJ250</f>
        <v>0</v>
      </c>
      <c r="EQ250" s="173">
        <f t="shared" si="633"/>
        <v>0</v>
      </c>
      <c r="ER250" s="189">
        <v>0</v>
      </c>
      <c r="ES250" s="189">
        <v>3</v>
      </c>
      <c r="ET250" s="189">
        <v>1.2</v>
      </c>
      <c r="EU250" s="189">
        <v>0</v>
      </c>
      <c r="EV250" s="189">
        <v>0</v>
      </c>
      <c r="EW250" s="189">
        <v>45</v>
      </c>
      <c r="EX250" s="189">
        <v>0</v>
      </c>
      <c r="EY250" s="189">
        <v>0</v>
      </c>
      <c r="EZ250" s="189">
        <v>0</v>
      </c>
      <c r="FA250" s="189">
        <v>0</v>
      </c>
      <c r="FB250" s="189">
        <v>0</v>
      </c>
      <c r="FC250" s="189">
        <v>0</v>
      </c>
      <c r="FD250" s="189">
        <v>0</v>
      </c>
      <c r="FE250" s="189">
        <v>0</v>
      </c>
      <c r="FF250" s="189">
        <v>0</v>
      </c>
      <c r="FG250" s="189">
        <v>0</v>
      </c>
      <c r="FH250" s="189">
        <v>0</v>
      </c>
      <c r="FI250" s="189">
        <v>0</v>
      </c>
      <c r="FJ250" s="189">
        <v>0</v>
      </c>
      <c r="FK250" s="189">
        <v>49.2</v>
      </c>
      <c r="FL250" s="189">
        <v>47</v>
      </c>
      <c r="FN250" s="132">
        <v>0</v>
      </c>
    </row>
    <row r="251" spans="1:170" ht="30" customHeight="1">
      <c r="A251" s="88">
        <f>COUNTIF($H$12:H251,H251)</f>
        <v>4</v>
      </c>
      <c r="B251" s="88" t="s">
        <v>1008</v>
      </c>
      <c r="C251" s="88" t="s">
        <v>593</v>
      </c>
      <c r="D251" s="88"/>
      <c r="E251" s="88"/>
      <c r="F251" s="301" t="s">
        <v>1438</v>
      </c>
      <c r="G251" s="89" t="s">
        <v>24</v>
      </c>
      <c r="H251" s="88">
        <v>5</v>
      </c>
      <c r="I251" s="88">
        <v>5</v>
      </c>
      <c r="J251" s="88">
        <v>5</v>
      </c>
      <c r="K251" s="90" t="s">
        <v>1085</v>
      </c>
      <c r="L251" s="90" t="s">
        <v>1085</v>
      </c>
      <c r="M251" s="214"/>
      <c r="N251" s="88" t="s">
        <v>1804</v>
      </c>
      <c r="O251" s="216">
        <f t="shared" si="757"/>
        <v>3</v>
      </c>
      <c r="P251" s="88" t="str">
        <f t="shared" si="663"/>
        <v>B1_3</v>
      </c>
      <c r="Q251" s="88">
        <f t="shared" si="733"/>
        <v>270</v>
      </c>
      <c r="R251" s="88">
        <f t="shared" si="734"/>
        <v>100</v>
      </c>
      <c r="S251" s="218" t="s">
        <v>659</v>
      </c>
      <c r="T251" s="88" t="s">
        <v>2961</v>
      </c>
      <c r="U251" s="88">
        <f>IF(RIGHT(T251,1)="K",(VLOOKUP(T251,ma_miengiam!$A$3:$B$80,2,0)*100)/2,VLOOKUP(T251,ma_miengiam!$A$3:$B$80,2,0)*100)</f>
        <v>100</v>
      </c>
      <c r="V251" s="88"/>
      <c r="W251" s="220">
        <f>IF(AND(T251="NTS",V251&gt;0),(Q251-(Q251*V251)/12)*VLOOKUP(T251,ma_miengiam!$A$3:$B$80,2,0)+(Q251-(Q251*(12-V251))/12),IF(AND(RIGHT(T251,1)="K",V251&gt;0),(VLOOKUP(T251,ma_miengiam!$A$3:$B$80,2,0)/2)*(Q251*V251)/12,IF(RIGHT(T251,1)="K",(VLOOKUP(T251,ma_miengiam!$A$3:$B$80,2,0)*Q251)/2,IF(V251&gt;0,VLOOKUP(T251,ma_miengiam!$A$3:$B$80,2,0)*Q251*V251/12,VLOOKUP(T251,ma_miengiam!$A$3:$B$80,2,0)*Q251))))</f>
        <v>270</v>
      </c>
      <c r="X251" s="220">
        <f>IF(T251="NTS",VLOOKUP(T251,ma_miengiam!$A$3:$B$80,2,0)*R251*V251,IF(AND(T251="NTS",V251=0),0,IF(AND(LEFT(T251,1)="K",V251=0),VLOOKUP(T251,ma_miengiam!$A$3:$B$80,2,0)*R251,IF(LEFT(T251,1)="K",(VLOOKUP(T251,ma_miengiam!$A$3:$B$80,2,0)*R251/12)*V251,IF(AND(LEFT(T251,1)="S",V251&gt;0),(R251/12)*V251,IF(AND(LEFT(T251,1)="S",V251=0),R251,IF(T251="DH",VLOOKUP(T251,ma_miengiam!$A$3:$B$80,2,0)*R251,0)))))))</f>
        <v>100</v>
      </c>
      <c r="Y251" s="220">
        <f t="shared" si="703"/>
        <v>0</v>
      </c>
      <c r="Z251" s="220">
        <f t="shared" si="739"/>
        <v>0</v>
      </c>
      <c r="AA251" s="220">
        <f t="shared" si="766"/>
        <v>270</v>
      </c>
      <c r="AB251" s="220">
        <f t="shared" si="766"/>
        <v>100</v>
      </c>
      <c r="AC251" s="220">
        <f t="shared" ref="AC251:AF253" si="769">W251</f>
        <v>270</v>
      </c>
      <c r="AD251" s="220">
        <f t="shared" si="769"/>
        <v>100</v>
      </c>
      <c r="AE251" s="220">
        <f t="shared" si="769"/>
        <v>0</v>
      </c>
      <c r="AF251" s="220">
        <f t="shared" si="769"/>
        <v>0</v>
      </c>
      <c r="AG251" s="220">
        <f t="shared" si="754"/>
        <v>108.33</v>
      </c>
      <c r="AH251" s="220">
        <f t="shared" si="755"/>
        <v>108.33</v>
      </c>
      <c r="AI251" s="220">
        <f t="shared" si="756"/>
        <v>0</v>
      </c>
      <c r="AJ251" s="220">
        <f t="shared" si="677"/>
        <v>0</v>
      </c>
      <c r="AK251" s="216">
        <f t="shared" si="604"/>
        <v>0</v>
      </c>
      <c r="AL251" s="220">
        <f t="shared" si="611"/>
        <v>0</v>
      </c>
      <c r="AM251" s="220">
        <f t="shared" si="612"/>
        <v>0</v>
      </c>
      <c r="AN251" s="221">
        <f t="shared" si="613"/>
        <v>0</v>
      </c>
      <c r="AO251" s="220">
        <f t="shared" si="614"/>
        <v>0</v>
      </c>
      <c r="AP251" s="220">
        <f t="shared" si="615"/>
        <v>0</v>
      </c>
      <c r="AQ251" s="220">
        <f t="shared" si="616"/>
        <v>0</v>
      </c>
      <c r="AR251" s="220">
        <f t="shared" si="617"/>
        <v>0</v>
      </c>
      <c r="AS251" s="220">
        <f t="shared" si="618"/>
        <v>0</v>
      </c>
      <c r="AT251" s="216">
        <f t="shared" si="619"/>
        <v>0</v>
      </c>
      <c r="AU251" s="220">
        <f t="shared" si="722"/>
        <v>0</v>
      </c>
      <c r="AV251" s="220"/>
      <c r="AW251" s="220">
        <f t="shared" si="680"/>
        <v>0</v>
      </c>
      <c r="AX251" s="216">
        <f t="shared" si="620"/>
        <v>0</v>
      </c>
      <c r="AY251" s="220">
        <f t="shared" si="681"/>
        <v>0</v>
      </c>
      <c r="AZ251" s="220">
        <f t="shared" si="682"/>
        <v>0</v>
      </c>
      <c r="BA251" s="220">
        <f t="shared" si="683"/>
        <v>0</v>
      </c>
      <c r="BB251" s="220">
        <f t="shared" si="684"/>
        <v>0</v>
      </c>
      <c r="BC251" s="220">
        <f t="shared" si="685"/>
        <v>0</v>
      </c>
      <c r="BD251" s="216">
        <f t="shared" si="759"/>
        <v>0</v>
      </c>
      <c r="BE251" s="220">
        <f t="shared" si="686"/>
        <v>0</v>
      </c>
      <c r="BF251" s="220">
        <f t="shared" si="687"/>
        <v>0</v>
      </c>
      <c r="BG251" s="220">
        <f t="shared" si="688"/>
        <v>0</v>
      </c>
      <c r="BH251" s="220">
        <f t="shared" si="689"/>
        <v>0</v>
      </c>
      <c r="BI251" s="220">
        <f t="shared" si="690"/>
        <v>0</v>
      </c>
      <c r="BJ251" s="220" t="s">
        <v>2415</v>
      </c>
      <c r="BK251" s="220"/>
      <c r="BL251" s="223">
        <f t="shared" si="582"/>
        <v>0</v>
      </c>
      <c r="BM251" s="220">
        <v>3</v>
      </c>
      <c r="BN251" s="220"/>
      <c r="BO251" s="220">
        <f t="shared" si="760"/>
        <v>3</v>
      </c>
      <c r="BP251" s="220">
        <f>IF(AND(BL251&gt;0,BL251&lt;tiet!$D$1),BL251,IF(BL251&lt;=0,0,IF(BL251&gt;tiet!$C$1,tiet!$C$1)))</f>
        <v>0</v>
      </c>
      <c r="BQ251" s="87">
        <f t="shared" si="674"/>
        <v>60000</v>
      </c>
      <c r="BR251" s="224">
        <f t="shared" si="675"/>
        <v>0</v>
      </c>
      <c r="BS251" s="220">
        <f t="shared" si="630"/>
        <v>0</v>
      </c>
      <c r="BT251" s="224">
        <f>VLOOKUP(N251,ma_dinhmuc!$A$1:$J$31,10,0)</f>
        <v>51000</v>
      </c>
      <c r="BU251" s="224">
        <f>ROUND(IF(BS251&gt;0,VLOOKUP(N251,ma_dinhmuc!$A$1:$J$31,10,0)*BS251,0),0)</f>
        <v>0</v>
      </c>
      <c r="BV251" s="224">
        <f t="shared" si="676"/>
        <v>0</v>
      </c>
      <c r="BW251" s="224"/>
      <c r="BX251" s="224">
        <v>0</v>
      </c>
      <c r="BY251" s="224"/>
      <c r="BZ251" s="224"/>
      <c r="CA251" s="224"/>
      <c r="CB251" s="224"/>
      <c r="CC251" s="225">
        <f t="shared" si="697"/>
        <v>0</v>
      </c>
      <c r="CD251" s="224">
        <f t="shared" si="698"/>
        <v>0</v>
      </c>
      <c r="CE251" s="224"/>
      <c r="CF251" s="226"/>
      <c r="CG251" s="87"/>
      <c r="CH251" s="87">
        <f t="shared" si="767"/>
        <v>4</v>
      </c>
      <c r="CI251" s="227" t="str">
        <f t="shared" ref="CI251:CI257" si="770">F251</f>
        <v>Ngô Minh</v>
      </c>
      <c r="CJ251" s="227" t="str">
        <f t="shared" si="761"/>
        <v>Hải</v>
      </c>
      <c r="CK251" s="87">
        <f t="shared" si="762"/>
        <v>5</v>
      </c>
      <c r="CL251" s="227" t="str">
        <f t="shared" si="768"/>
        <v>Kinh tế</v>
      </c>
      <c r="CM251" s="87" t="str">
        <f t="shared" si="691"/>
        <v>CS2</v>
      </c>
      <c r="CN251" s="87">
        <f t="shared" ref="CN251:CO253" si="771">Q251</f>
        <v>270</v>
      </c>
      <c r="CO251" s="87">
        <f t="shared" si="771"/>
        <v>100</v>
      </c>
      <c r="CP251" s="229">
        <f t="shared" si="634"/>
        <v>0</v>
      </c>
      <c r="CQ251" s="229">
        <f t="shared" si="635"/>
        <v>0</v>
      </c>
      <c r="CR251" s="229">
        <f t="shared" si="636"/>
        <v>0</v>
      </c>
      <c r="CS251" s="229">
        <f t="shared" si="637"/>
        <v>0</v>
      </c>
      <c r="CT251" s="229">
        <f t="shared" si="638"/>
        <v>0</v>
      </c>
      <c r="CU251" s="229">
        <f t="shared" si="639"/>
        <v>0</v>
      </c>
      <c r="CV251" s="229">
        <f t="shared" si="640"/>
        <v>0</v>
      </c>
      <c r="CW251" s="229">
        <f t="shared" si="641"/>
        <v>0</v>
      </c>
      <c r="CX251" s="229">
        <f t="shared" si="642"/>
        <v>0</v>
      </c>
      <c r="CY251" s="229">
        <f t="shared" si="643"/>
        <v>0</v>
      </c>
      <c r="CZ251" s="229">
        <f t="shared" si="644"/>
        <v>0</v>
      </c>
      <c r="DA251" s="229">
        <f t="shared" si="645"/>
        <v>0</v>
      </c>
      <c r="DB251" s="228">
        <f t="shared" si="606"/>
        <v>0</v>
      </c>
      <c r="DC251" s="229"/>
      <c r="DD251" s="229"/>
      <c r="DE251" s="229"/>
      <c r="DF251" s="229"/>
      <c r="DG251" s="229"/>
      <c r="DH251" s="229"/>
      <c r="DI251" s="229"/>
      <c r="DJ251" s="229"/>
      <c r="DK251" s="229"/>
      <c r="DL251" s="229"/>
      <c r="DM251" s="229"/>
      <c r="DN251" s="229"/>
      <c r="DO251" s="228">
        <f t="shared" si="622"/>
        <v>0</v>
      </c>
      <c r="DP251" s="228">
        <f t="shared" si="623"/>
        <v>0</v>
      </c>
      <c r="DQ251" s="229">
        <f t="shared" si="646"/>
        <v>0</v>
      </c>
      <c r="DR251" s="229">
        <f t="shared" si="647"/>
        <v>0</v>
      </c>
      <c r="DS251" s="229">
        <f t="shared" si="648"/>
        <v>0</v>
      </c>
      <c r="DT251" s="229">
        <f t="shared" si="649"/>
        <v>0</v>
      </c>
      <c r="DU251" s="229">
        <f t="shared" si="650"/>
        <v>0</v>
      </c>
      <c r="DV251" s="229">
        <f t="shared" si="651"/>
        <v>0</v>
      </c>
      <c r="DW251" s="229">
        <f t="shared" si="652"/>
        <v>0</v>
      </c>
      <c r="DX251" s="228">
        <f t="shared" si="607"/>
        <v>0</v>
      </c>
      <c r="DY251" s="229"/>
      <c r="DZ251" s="229"/>
      <c r="EA251" s="229"/>
      <c r="EB251" s="229"/>
      <c r="EC251" s="229"/>
      <c r="ED251" s="229"/>
      <c r="EE251" s="229"/>
      <c r="EF251" s="228">
        <f t="shared" si="631"/>
        <v>0</v>
      </c>
      <c r="EG251" s="228">
        <f t="shared" si="624"/>
        <v>0</v>
      </c>
      <c r="EH251" s="229">
        <f t="shared" si="632"/>
        <v>0</v>
      </c>
      <c r="EI251" s="229">
        <v>108.33</v>
      </c>
      <c r="EJ251" s="228">
        <f t="shared" ref="EJ251:EJ276" si="772">SUM(EH251:EI251)</f>
        <v>108.33</v>
      </c>
      <c r="EK251" s="229"/>
      <c r="EL251" s="229"/>
      <c r="EM251" s="228">
        <f t="shared" si="764"/>
        <v>0</v>
      </c>
      <c r="EN251" s="229">
        <f t="shared" si="708"/>
        <v>0</v>
      </c>
      <c r="EO251" s="229">
        <f t="shared" si="723"/>
        <v>108.33</v>
      </c>
      <c r="EP251" s="228">
        <f t="shared" si="765"/>
        <v>108.33</v>
      </c>
      <c r="EQ251" s="173">
        <f t="shared" si="633"/>
        <v>0</v>
      </c>
      <c r="ER251" s="189">
        <v>0</v>
      </c>
      <c r="ES251" s="189">
        <v>0</v>
      </c>
      <c r="ET251" s="189">
        <v>0</v>
      </c>
      <c r="EU251" s="189">
        <v>0</v>
      </c>
      <c r="EV251" s="189">
        <v>0</v>
      </c>
      <c r="EW251" s="189">
        <v>0</v>
      </c>
      <c r="EX251" s="189">
        <v>0</v>
      </c>
      <c r="EY251" s="189">
        <v>0</v>
      </c>
      <c r="EZ251" s="189">
        <v>0</v>
      </c>
      <c r="FA251" s="189">
        <v>0</v>
      </c>
      <c r="FB251" s="189">
        <v>0</v>
      </c>
      <c r="FC251" s="189">
        <v>0</v>
      </c>
      <c r="FD251" s="189">
        <v>0</v>
      </c>
      <c r="FE251" s="189">
        <v>0</v>
      </c>
      <c r="FF251" s="189">
        <v>0</v>
      </c>
      <c r="FG251" s="189">
        <v>0</v>
      </c>
      <c r="FH251" s="189">
        <v>0</v>
      </c>
      <c r="FI251" s="189">
        <v>0</v>
      </c>
      <c r="FJ251" s="189">
        <v>0</v>
      </c>
      <c r="FK251" s="189">
        <v>0</v>
      </c>
      <c r="FL251" s="189">
        <v>0</v>
      </c>
      <c r="FN251" s="132">
        <v>0</v>
      </c>
    </row>
    <row r="252" spans="1:170" ht="30" customHeight="1">
      <c r="A252" s="88">
        <f>COUNTIF($H$12:H252,H252)</f>
        <v>5</v>
      </c>
      <c r="B252" s="88" t="s">
        <v>1009</v>
      </c>
      <c r="C252" s="88" t="s">
        <v>594</v>
      </c>
      <c r="D252" s="88"/>
      <c r="E252" s="88"/>
      <c r="F252" s="301" t="s">
        <v>1439</v>
      </c>
      <c r="G252" s="89" t="s">
        <v>1440</v>
      </c>
      <c r="H252" s="88">
        <v>5</v>
      </c>
      <c r="I252" s="88">
        <v>5</v>
      </c>
      <c r="J252" s="88">
        <v>5</v>
      </c>
      <c r="K252" s="90" t="s">
        <v>1085</v>
      </c>
      <c r="L252" s="90" t="s">
        <v>1085</v>
      </c>
      <c r="M252" s="214"/>
      <c r="N252" s="88" t="s">
        <v>1804</v>
      </c>
      <c r="O252" s="216">
        <f t="shared" si="757"/>
        <v>3</v>
      </c>
      <c r="P252" s="88" t="str">
        <f t="shared" si="663"/>
        <v>B1_3</v>
      </c>
      <c r="Q252" s="88">
        <f t="shared" si="733"/>
        <v>270</v>
      </c>
      <c r="R252" s="88">
        <f t="shared" si="734"/>
        <v>100</v>
      </c>
      <c r="S252" s="218" t="s">
        <v>2641</v>
      </c>
      <c r="T252" s="88" t="s">
        <v>2961</v>
      </c>
      <c r="U252" s="88">
        <f>IF(RIGHT(T252,1)="K",(VLOOKUP(T252,ma_miengiam!$A$3:$B$80,2,0)*100)/2,VLOOKUP(T252,ma_miengiam!$A$3:$B$80,2,0)*100)</f>
        <v>100</v>
      </c>
      <c r="V252" s="88"/>
      <c r="W252" s="220">
        <f>IF(AND(T252="NTS",V252&gt;0),(Q252-(Q252*V252)/12)*VLOOKUP(T252,ma_miengiam!$A$3:$B$80,2,0)+(Q252-(Q252*(12-V252))/12),IF(AND(RIGHT(T252,1)="K",V252&gt;0),(VLOOKUP(T252,ma_miengiam!$A$3:$B$80,2,0)/2)*(Q252*V252)/12,IF(RIGHT(T252,1)="K",(VLOOKUP(T252,ma_miengiam!$A$3:$B$80,2,0)*Q252)/2,IF(V252&gt;0,VLOOKUP(T252,ma_miengiam!$A$3:$B$80,2,0)*Q252*V252/12,VLOOKUP(T252,ma_miengiam!$A$3:$B$80,2,0)*Q252))))</f>
        <v>270</v>
      </c>
      <c r="X252" s="220">
        <f>IF(T252="NTS",VLOOKUP(T252,ma_miengiam!$A$3:$B$80,2,0)*R252*V252,IF(AND(T252="NTS",V252=0),0,IF(AND(LEFT(T252,1)="K",V252=0),VLOOKUP(T252,ma_miengiam!$A$3:$B$80,2,0)*R252,IF(LEFT(T252,1)="K",(VLOOKUP(T252,ma_miengiam!$A$3:$B$80,2,0)*R252/12)*V252,IF(AND(LEFT(T252,1)="S",V252&gt;0),(R252/12)*V252,IF(AND(LEFT(T252,1)="S",V252=0),R252,IF(T252="DH",VLOOKUP(T252,ma_miengiam!$A$3:$B$80,2,0)*R252,0)))))))</f>
        <v>100</v>
      </c>
      <c r="Y252" s="220">
        <f t="shared" si="703"/>
        <v>0</v>
      </c>
      <c r="Z252" s="220">
        <f t="shared" si="739"/>
        <v>0</v>
      </c>
      <c r="AA252" s="220">
        <f t="shared" si="766"/>
        <v>270</v>
      </c>
      <c r="AB252" s="220">
        <f t="shared" si="766"/>
        <v>100</v>
      </c>
      <c r="AC252" s="220">
        <f t="shared" si="769"/>
        <v>270</v>
      </c>
      <c r="AD252" s="220">
        <f t="shared" si="769"/>
        <v>100</v>
      </c>
      <c r="AE252" s="220">
        <f t="shared" si="769"/>
        <v>0</v>
      </c>
      <c r="AF252" s="220">
        <f t="shared" si="769"/>
        <v>0</v>
      </c>
      <c r="AG252" s="220">
        <f t="shared" si="754"/>
        <v>153.91</v>
      </c>
      <c r="AH252" s="220">
        <f t="shared" si="755"/>
        <v>153.91</v>
      </c>
      <c r="AI252" s="220">
        <f t="shared" si="756"/>
        <v>0</v>
      </c>
      <c r="AJ252" s="220">
        <f t="shared" si="677"/>
        <v>0</v>
      </c>
      <c r="AK252" s="216">
        <f t="shared" si="604"/>
        <v>0</v>
      </c>
      <c r="AL252" s="220">
        <f t="shared" si="611"/>
        <v>0</v>
      </c>
      <c r="AM252" s="220">
        <f t="shared" si="612"/>
        <v>0</v>
      </c>
      <c r="AN252" s="216">
        <f t="shared" si="613"/>
        <v>0</v>
      </c>
      <c r="AO252" s="220">
        <f t="shared" si="614"/>
        <v>0</v>
      </c>
      <c r="AP252" s="220">
        <f t="shared" si="615"/>
        <v>0</v>
      </c>
      <c r="AQ252" s="220">
        <f t="shared" si="616"/>
        <v>0</v>
      </c>
      <c r="AR252" s="220">
        <f t="shared" si="617"/>
        <v>0</v>
      </c>
      <c r="AS252" s="220">
        <f t="shared" si="618"/>
        <v>0</v>
      </c>
      <c r="AT252" s="216">
        <f t="shared" si="619"/>
        <v>0</v>
      </c>
      <c r="AU252" s="220">
        <f t="shared" si="722"/>
        <v>0</v>
      </c>
      <c r="AV252" s="220"/>
      <c r="AW252" s="220">
        <f t="shared" si="680"/>
        <v>0</v>
      </c>
      <c r="AX252" s="216">
        <f t="shared" si="620"/>
        <v>0</v>
      </c>
      <c r="AY252" s="220">
        <f t="shared" si="681"/>
        <v>0</v>
      </c>
      <c r="AZ252" s="220">
        <f t="shared" si="682"/>
        <v>0</v>
      </c>
      <c r="BA252" s="220">
        <f t="shared" si="683"/>
        <v>0</v>
      </c>
      <c r="BB252" s="220">
        <f t="shared" si="684"/>
        <v>0</v>
      </c>
      <c r="BC252" s="220">
        <f t="shared" si="685"/>
        <v>0</v>
      </c>
      <c r="BD252" s="216">
        <f t="shared" si="759"/>
        <v>0</v>
      </c>
      <c r="BE252" s="220">
        <f t="shared" si="686"/>
        <v>0</v>
      </c>
      <c r="BF252" s="220">
        <f t="shared" si="687"/>
        <v>0</v>
      </c>
      <c r="BG252" s="220">
        <f t="shared" si="688"/>
        <v>0</v>
      </c>
      <c r="BH252" s="220">
        <f t="shared" si="689"/>
        <v>0</v>
      </c>
      <c r="BI252" s="220">
        <f t="shared" si="690"/>
        <v>0</v>
      </c>
      <c r="BJ252" s="220" t="s">
        <v>2415</v>
      </c>
      <c r="BK252" s="220"/>
      <c r="BL252" s="223">
        <f t="shared" si="582"/>
        <v>0</v>
      </c>
      <c r="BM252" s="220">
        <v>3</v>
      </c>
      <c r="BN252" s="220"/>
      <c r="BO252" s="220">
        <f t="shared" si="760"/>
        <v>3</v>
      </c>
      <c r="BP252" s="220">
        <f>IF(AND(BL252&gt;0,BL252&lt;tiet!$D$1),BL252,IF(BL252&lt;=0,0,IF(BL252&gt;tiet!$C$1,tiet!$C$1)))</f>
        <v>0</v>
      </c>
      <c r="BQ252" s="87">
        <f t="shared" si="674"/>
        <v>60000</v>
      </c>
      <c r="BR252" s="224">
        <f t="shared" si="675"/>
        <v>0</v>
      </c>
      <c r="BS252" s="220">
        <f t="shared" si="630"/>
        <v>0</v>
      </c>
      <c r="BT252" s="224">
        <f>VLOOKUP(N252,ma_dinhmuc!$A$1:$J$31,10,0)</f>
        <v>51000</v>
      </c>
      <c r="BU252" s="224">
        <f>ROUND(IF(BS252&gt;0,VLOOKUP(N252,ma_dinhmuc!$A$1:$J$31,10,0)*BS252,0),0)</f>
        <v>0</v>
      </c>
      <c r="BV252" s="224">
        <f t="shared" si="676"/>
        <v>0</v>
      </c>
      <c r="BW252" s="224"/>
      <c r="BX252" s="224">
        <v>0</v>
      </c>
      <c r="BY252" s="224"/>
      <c r="BZ252" s="224"/>
      <c r="CA252" s="224"/>
      <c r="CB252" s="224"/>
      <c r="CC252" s="225">
        <f t="shared" si="697"/>
        <v>0</v>
      </c>
      <c r="CD252" s="224">
        <f t="shared" si="698"/>
        <v>0</v>
      </c>
      <c r="CE252" s="224"/>
      <c r="CF252" s="226"/>
      <c r="CG252" s="87"/>
      <c r="CH252" s="87">
        <f t="shared" si="767"/>
        <v>5</v>
      </c>
      <c r="CI252" s="227" t="str">
        <f t="shared" si="770"/>
        <v xml:space="preserve">Lương Thị </v>
      </c>
      <c r="CJ252" s="227" t="str">
        <f t="shared" si="761"/>
        <v>Dân</v>
      </c>
      <c r="CK252" s="87">
        <f t="shared" si="762"/>
        <v>5</v>
      </c>
      <c r="CL252" s="227" t="str">
        <f t="shared" si="768"/>
        <v>Kinh tế</v>
      </c>
      <c r="CM252" s="87" t="str">
        <f t="shared" si="691"/>
        <v>CS2</v>
      </c>
      <c r="CN252" s="87">
        <f t="shared" si="771"/>
        <v>270</v>
      </c>
      <c r="CO252" s="87">
        <f t="shared" si="771"/>
        <v>100</v>
      </c>
      <c r="CP252" s="229">
        <f t="shared" si="634"/>
        <v>0</v>
      </c>
      <c r="CQ252" s="229">
        <f t="shared" si="635"/>
        <v>0</v>
      </c>
      <c r="CR252" s="229">
        <f t="shared" si="636"/>
        <v>0</v>
      </c>
      <c r="CS252" s="229">
        <f t="shared" si="637"/>
        <v>0</v>
      </c>
      <c r="CT252" s="229">
        <f t="shared" si="638"/>
        <v>0</v>
      </c>
      <c r="CU252" s="229">
        <f t="shared" si="639"/>
        <v>0</v>
      </c>
      <c r="CV252" s="229">
        <f t="shared" si="640"/>
        <v>0</v>
      </c>
      <c r="CW252" s="229">
        <f t="shared" si="641"/>
        <v>0</v>
      </c>
      <c r="CX252" s="229">
        <f t="shared" si="642"/>
        <v>0</v>
      </c>
      <c r="CY252" s="229">
        <f t="shared" si="643"/>
        <v>0</v>
      </c>
      <c r="CZ252" s="229">
        <f t="shared" si="644"/>
        <v>0</v>
      </c>
      <c r="DA252" s="229">
        <f t="shared" si="645"/>
        <v>0</v>
      </c>
      <c r="DB252" s="228">
        <f t="shared" si="606"/>
        <v>0</v>
      </c>
      <c r="DC252" s="229"/>
      <c r="DD252" s="229"/>
      <c r="DE252" s="229"/>
      <c r="DF252" s="229"/>
      <c r="DG252" s="229"/>
      <c r="DH252" s="229"/>
      <c r="DI252" s="229"/>
      <c r="DJ252" s="229"/>
      <c r="DK252" s="229"/>
      <c r="DL252" s="229"/>
      <c r="DM252" s="229"/>
      <c r="DN252" s="229"/>
      <c r="DO252" s="228">
        <f t="shared" si="622"/>
        <v>0</v>
      </c>
      <c r="DP252" s="228">
        <f t="shared" si="623"/>
        <v>0</v>
      </c>
      <c r="DQ252" s="229">
        <f t="shared" si="646"/>
        <v>0</v>
      </c>
      <c r="DR252" s="229">
        <f t="shared" si="647"/>
        <v>0</v>
      </c>
      <c r="DS252" s="229">
        <f t="shared" si="648"/>
        <v>0</v>
      </c>
      <c r="DT252" s="229">
        <f t="shared" si="649"/>
        <v>0</v>
      </c>
      <c r="DU252" s="229">
        <f t="shared" si="650"/>
        <v>0</v>
      </c>
      <c r="DV252" s="229">
        <f t="shared" si="651"/>
        <v>0</v>
      </c>
      <c r="DW252" s="229">
        <f t="shared" si="652"/>
        <v>0</v>
      </c>
      <c r="DX252" s="228">
        <f t="shared" si="607"/>
        <v>0</v>
      </c>
      <c r="DY252" s="229"/>
      <c r="DZ252" s="229"/>
      <c r="EA252" s="229"/>
      <c r="EB252" s="229"/>
      <c r="EC252" s="229"/>
      <c r="ED252" s="229"/>
      <c r="EE252" s="229"/>
      <c r="EF252" s="228">
        <f t="shared" si="631"/>
        <v>0</v>
      </c>
      <c r="EG252" s="228">
        <f t="shared" si="624"/>
        <v>0</v>
      </c>
      <c r="EH252" s="229">
        <f t="shared" si="632"/>
        <v>0</v>
      </c>
      <c r="EI252" s="229">
        <v>153.91</v>
      </c>
      <c r="EJ252" s="228">
        <f t="shared" si="772"/>
        <v>153.91</v>
      </c>
      <c r="EK252" s="229"/>
      <c r="EL252" s="229"/>
      <c r="EM252" s="228">
        <f t="shared" si="764"/>
        <v>0</v>
      </c>
      <c r="EN252" s="229">
        <f t="shared" si="708"/>
        <v>0</v>
      </c>
      <c r="EO252" s="229">
        <f t="shared" si="723"/>
        <v>153.91</v>
      </c>
      <c r="EP252" s="228">
        <f t="shared" si="765"/>
        <v>153.91</v>
      </c>
      <c r="EQ252" s="173">
        <f t="shared" si="633"/>
        <v>0</v>
      </c>
      <c r="ER252" s="189">
        <v>0</v>
      </c>
      <c r="ES252" s="189">
        <v>0</v>
      </c>
      <c r="ET252" s="189">
        <v>0</v>
      </c>
      <c r="EU252" s="189">
        <v>0</v>
      </c>
      <c r="EV252" s="189">
        <v>0</v>
      </c>
      <c r="EW252" s="189">
        <v>0</v>
      </c>
      <c r="EX252" s="189">
        <v>0</v>
      </c>
      <c r="EY252" s="189">
        <v>0</v>
      </c>
      <c r="EZ252" s="189">
        <v>0</v>
      </c>
      <c r="FA252" s="189">
        <v>0</v>
      </c>
      <c r="FB252" s="189">
        <v>0</v>
      </c>
      <c r="FC252" s="189">
        <v>0</v>
      </c>
      <c r="FD252" s="189">
        <v>0</v>
      </c>
      <c r="FE252" s="189">
        <v>0</v>
      </c>
      <c r="FF252" s="189">
        <v>0</v>
      </c>
      <c r="FG252" s="189">
        <v>0</v>
      </c>
      <c r="FH252" s="189">
        <v>0</v>
      </c>
      <c r="FI252" s="189">
        <v>0</v>
      </c>
      <c r="FJ252" s="189">
        <v>0</v>
      </c>
      <c r="FK252" s="189">
        <v>0</v>
      </c>
      <c r="FL252" s="189">
        <v>0</v>
      </c>
      <c r="FN252" s="132">
        <v>0</v>
      </c>
    </row>
    <row r="253" spans="1:170" ht="30">
      <c r="A253" s="88">
        <f>COUNTIF($H$12:H253,H253)</f>
        <v>6</v>
      </c>
      <c r="B253" s="88" t="s">
        <v>260</v>
      </c>
      <c r="C253" s="88" t="s">
        <v>595</v>
      </c>
      <c r="D253" s="88"/>
      <c r="E253" s="88"/>
      <c r="F253" s="301" t="s">
        <v>1441</v>
      </c>
      <c r="G253" s="303" t="s">
        <v>1651</v>
      </c>
      <c r="H253" s="88">
        <v>5</v>
      </c>
      <c r="I253" s="88">
        <v>5</v>
      </c>
      <c r="J253" s="88">
        <v>5</v>
      </c>
      <c r="K253" s="90" t="s">
        <v>1085</v>
      </c>
      <c r="L253" s="90" t="s">
        <v>1085</v>
      </c>
      <c r="M253" s="214"/>
      <c r="N253" s="88" t="s">
        <v>1804</v>
      </c>
      <c r="O253" s="216">
        <f t="shared" si="757"/>
        <v>3</v>
      </c>
      <c r="P253" s="88" t="str">
        <f t="shared" si="663"/>
        <v>B1_3</v>
      </c>
      <c r="Q253" s="88">
        <f t="shared" si="733"/>
        <v>270</v>
      </c>
      <c r="R253" s="88">
        <f t="shared" si="734"/>
        <v>100</v>
      </c>
      <c r="S253" s="218" t="s">
        <v>496</v>
      </c>
      <c r="T253" s="88" t="s">
        <v>1326</v>
      </c>
      <c r="U253" s="88">
        <f>IF(RIGHT(T253,1)="K",(VLOOKUP(T253,ma_miengiam!$A$3:$B$80,2,0)*100)/2,VLOOKUP(T253,ma_miengiam!$A$3:$B$80,2,0)*100)</f>
        <v>65</v>
      </c>
      <c r="V253" s="88"/>
      <c r="W253" s="220">
        <f>IF(AND(T253="NTS",V253&gt;0),(Q253-(Q253*V253)/12)*VLOOKUP(T253,ma_miengiam!$A$3:$B$80,2,0)+(Q253-(Q253*(12-V253))/12),IF(AND(RIGHT(T253,1)="K",V253&gt;0),(VLOOKUP(T253,ma_miengiam!$A$3:$B$80,2,0)/2)*(Q253*V253)/12,IF(RIGHT(T253,1)="K",(VLOOKUP(T253,ma_miengiam!$A$3:$B$80,2,0)*Q253)/2,IF(V253&gt;0,VLOOKUP(T253,ma_miengiam!$A$3:$B$80,2,0)*Q253*V253/12,VLOOKUP(T253,ma_miengiam!$A$3:$B$80,2,0)*Q253))))</f>
        <v>175.5</v>
      </c>
      <c r="X253" s="220">
        <f>IF(T253="NTS",VLOOKUP(T253,ma_miengiam!$A$3:$B$80,2,0)*R253*V253,IF(AND(T253="NTS",V253=0),0,IF(AND(LEFT(T253,1)="K",V253=0),VLOOKUP(T253,ma_miengiam!$A$3:$B$80,2,0)*R253,IF(LEFT(T253,1)="K",(VLOOKUP(T253,ma_miengiam!$A$3:$B$80,2,0)*R253/12)*V253,IF(AND(LEFT(T253,1)="S",V253&gt;0),(R253/12)*V253,IF(AND(LEFT(T253,1)="S",V253=0),R253,IF(T253="DH",VLOOKUP(T253,ma_miengiam!$A$3:$B$80,2,0)*R253,0)))))))</f>
        <v>100</v>
      </c>
      <c r="Y253" s="220">
        <f t="shared" si="703"/>
        <v>94.5</v>
      </c>
      <c r="Z253" s="220">
        <f t="shared" si="739"/>
        <v>0</v>
      </c>
      <c r="AA253" s="220">
        <f t="shared" si="766"/>
        <v>270</v>
      </c>
      <c r="AB253" s="220">
        <f t="shared" si="766"/>
        <v>100</v>
      </c>
      <c r="AC253" s="220">
        <f t="shared" si="769"/>
        <v>175.5</v>
      </c>
      <c r="AD253" s="220">
        <f t="shared" si="769"/>
        <v>100</v>
      </c>
      <c r="AE253" s="220">
        <f t="shared" si="769"/>
        <v>94.5</v>
      </c>
      <c r="AF253" s="220">
        <f t="shared" si="769"/>
        <v>0</v>
      </c>
      <c r="AG253" s="220">
        <f t="shared" si="754"/>
        <v>208.91</v>
      </c>
      <c r="AH253" s="220">
        <f t="shared" si="755"/>
        <v>153.91</v>
      </c>
      <c r="AI253" s="220">
        <f t="shared" si="756"/>
        <v>55</v>
      </c>
      <c r="AJ253" s="220">
        <f t="shared" si="677"/>
        <v>0</v>
      </c>
      <c r="AK253" s="216">
        <f t="shared" si="604"/>
        <v>94.5</v>
      </c>
      <c r="AL253" s="220">
        <f t="shared" si="611"/>
        <v>409.3</v>
      </c>
      <c r="AM253" s="220">
        <f t="shared" si="612"/>
        <v>0</v>
      </c>
      <c r="AN253" s="221">
        <f t="shared" si="613"/>
        <v>409.3</v>
      </c>
      <c r="AO253" s="220">
        <f t="shared" si="614"/>
        <v>0</v>
      </c>
      <c r="AP253" s="220">
        <f t="shared" si="615"/>
        <v>0</v>
      </c>
      <c r="AQ253" s="220">
        <f t="shared" si="616"/>
        <v>60</v>
      </c>
      <c r="AR253" s="220">
        <f t="shared" si="617"/>
        <v>0</v>
      </c>
      <c r="AS253" s="220">
        <f t="shared" si="618"/>
        <v>0</v>
      </c>
      <c r="AT253" s="216">
        <f t="shared" si="619"/>
        <v>469.3</v>
      </c>
      <c r="AU253" s="222">
        <f t="shared" si="722"/>
        <v>314.8</v>
      </c>
      <c r="AV253" s="220"/>
      <c r="AW253" s="220">
        <f t="shared" si="680"/>
        <v>314.8</v>
      </c>
      <c r="AX253" s="216">
        <f t="shared" si="620"/>
        <v>0</v>
      </c>
      <c r="AY253" s="220">
        <f t="shared" si="681"/>
        <v>0</v>
      </c>
      <c r="AZ253" s="220">
        <f t="shared" si="682"/>
        <v>0</v>
      </c>
      <c r="BA253" s="220">
        <f t="shared" si="683"/>
        <v>60</v>
      </c>
      <c r="BB253" s="220">
        <f t="shared" si="684"/>
        <v>0</v>
      </c>
      <c r="BC253" s="220">
        <f t="shared" si="685"/>
        <v>0</v>
      </c>
      <c r="BD253" s="216">
        <f t="shared" si="759"/>
        <v>60</v>
      </c>
      <c r="BE253" s="220">
        <f t="shared" si="686"/>
        <v>0</v>
      </c>
      <c r="BF253" s="220">
        <f t="shared" si="687"/>
        <v>0</v>
      </c>
      <c r="BG253" s="220">
        <f t="shared" si="688"/>
        <v>0</v>
      </c>
      <c r="BH253" s="220">
        <f t="shared" si="689"/>
        <v>0</v>
      </c>
      <c r="BI253" s="220">
        <f t="shared" si="690"/>
        <v>0</v>
      </c>
      <c r="BJ253" s="220" t="s">
        <v>2415</v>
      </c>
      <c r="BK253" s="220"/>
      <c r="BL253" s="223">
        <f t="shared" ref="BL253:BL315" si="773">IF(AW253&lt;BK253,0,IF(AND(BK253=0,AW253&gt;0),AW253,IF(AW253&lt;0,0,IF(BK253&gt;0,AW253-BK253,IF(BK253&lt;0,0,AW253)))))</f>
        <v>314.8</v>
      </c>
      <c r="BM253" s="220">
        <v>3</v>
      </c>
      <c r="BN253" s="220"/>
      <c r="BO253" s="220">
        <f t="shared" si="760"/>
        <v>3</v>
      </c>
      <c r="BP253" s="220">
        <f>IF(AND(BL253&gt;0,BL253&lt;tiet!$D$1),BL253,IF(BL253&lt;=0,0,IF(BL253&gt;tiet!$C$1,tiet!$C$1)))</f>
        <v>200</v>
      </c>
      <c r="BQ253" s="87">
        <f t="shared" si="674"/>
        <v>60000</v>
      </c>
      <c r="BR253" s="224">
        <f t="shared" si="675"/>
        <v>12000000</v>
      </c>
      <c r="BS253" s="220">
        <f t="shared" si="630"/>
        <v>114.80000000000001</v>
      </c>
      <c r="BT253" s="224">
        <f>VLOOKUP(N253,ma_dinhmuc!$A$1:$J$31,10,0)</f>
        <v>51000</v>
      </c>
      <c r="BU253" s="224">
        <f>ROUND(IF(BS253&gt;0,VLOOKUP(N253,ma_dinhmuc!$A$1:$J$31,10,0)*BS253,0),0)</f>
        <v>5854800</v>
      </c>
      <c r="BV253" s="224">
        <f t="shared" si="676"/>
        <v>17854800</v>
      </c>
      <c r="BW253" s="224"/>
      <c r="BX253" s="224">
        <v>0</v>
      </c>
      <c r="BY253" s="224"/>
      <c r="BZ253" s="224"/>
      <c r="CA253" s="224"/>
      <c r="CB253" s="224"/>
      <c r="CC253" s="225">
        <f t="shared" si="697"/>
        <v>17854800</v>
      </c>
      <c r="CD253" s="224">
        <f t="shared" si="698"/>
        <v>0</v>
      </c>
      <c r="CE253" s="224"/>
      <c r="CF253" s="226"/>
      <c r="CG253" s="87"/>
      <c r="CH253" s="87">
        <f t="shared" si="767"/>
        <v>6</v>
      </c>
      <c r="CI253" s="227" t="str">
        <f t="shared" si="770"/>
        <v>Thái Thị</v>
      </c>
      <c r="CJ253" s="227" t="str">
        <f t="shared" si="761"/>
        <v>Nhung</v>
      </c>
      <c r="CK253" s="87">
        <f t="shared" si="762"/>
        <v>5</v>
      </c>
      <c r="CL253" s="227" t="str">
        <f t="shared" si="768"/>
        <v>Kinh tế</v>
      </c>
      <c r="CM253" s="87" t="str">
        <f t="shared" si="691"/>
        <v>CS2</v>
      </c>
      <c r="CN253" s="87">
        <f t="shared" si="771"/>
        <v>270</v>
      </c>
      <c r="CO253" s="87">
        <f t="shared" si="771"/>
        <v>100</v>
      </c>
      <c r="CP253" s="229">
        <f t="shared" si="634"/>
        <v>0</v>
      </c>
      <c r="CQ253" s="229">
        <f t="shared" si="635"/>
        <v>46</v>
      </c>
      <c r="CR253" s="229">
        <f t="shared" si="636"/>
        <v>18.5</v>
      </c>
      <c r="CS253" s="229">
        <f t="shared" si="637"/>
        <v>0</v>
      </c>
      <c r="CT253" s="229">
        <f t="shared" si="638"/>
        <v>0</v>
      </c>
      <c r="CU253" s="229">
        <f t="shared" si="639"/>
        <v>344.8</v>
      </c>
      <c r="CV253" s="229">
        <f t="shared" si="640"/>
        <v>0</v>
      </c>
      <c r="CW253" s="229">
        <f t="shared" si="641"/>
        <v>0</v>
      </c>
      <c r="CX253" s="229">
        <f t="shared" si="642"/>
        <v>0</v>
      </c>
      <c r="CY253" s="229">
        <f t="shared" si="643"/>
        <v>0</v>
      </c>
      <c r="CZ253" s="229">
        <f t="shared" si="644"/>
        <v>0</v>
      </c>
      <c r="DA253" s="229">
        <f t="shared" si="645"/>
        <v>60</v>
      </c>
      <c r="DB253" s="228">
        <f t="shared" si="606"/>
        <v>469.3</v>
      </c>
      <c r="DC253" s="229"/>
      <c r="DD253" s="229"/>
      <c r="DE253" s="229"/>
      <c r="DF253" s="229"/>
      <c r="DG253" s="229"/>
      <c r="DH253" s="229"/>
      <c r="DI253" s="229"/>
      <c r="DJ253" s="229"/>
      <c r="DK253" s="229"/>
      <c r="DL253" s="229"/>
      <c r="DM253" s="229"/>
      <c r="DN253" s="229"/>
      <c r="DO253" s="228">
        <f t="shared" si="622"/>
        <v>0</v>
      </c>
      <c r="DP253" s="228">
        <f t="shared" si="623"/>
        <v>469.3</v>
      </c>
      <c r="DQ253" s="229">
        <f t="shared" si="646"/>
        <v>0</v>
      </c>
      <c r="DR253" s="229">
        <f t="shared" si="647"/>
        <v>0</v>
      </c>
      <c r="DS253" s="229">
        <f t="shared" si="648"/>
        <v>0</v>
      </c>
      <c r="DT253" s="229">
        <f t="shared" si="649"/>
        <v>0</v>
      </c>
      <c r="DU253" s="229">
        <f t="shared" si="650"/>
        <v>0</v>
      </c>
      <c r="DV253" s="229">
        <f t="shared" si="651"/>
        <v>0</v>
      </c>
      <c r="DW253" s="229">
        <f t="shared" si="652"/>
        <v>0</v>
      </c>
      <c r="DX253" s="228">
        <f t="shared" si="607"/>
        <v>0</v>
      </c>
      <c r="DY253" s="229"/>
      <c r="DZ253" s="229"/>
      <c r="EA253" s="229"/>
      <c r="EB253" s="229"/>
      <c r="EC253" s="229"/>
      <c r="ED253" s="229"/>
      <c r="EE253" s="229"/>
      <c r="EF253" s="228">
        <f t="shared" si="631"/>
        <v>0</v>
      </c>
      <c r="EG253" s="228">
        <f t="shared" si="624"/>
        <v>0</v>
      </c>
      <c r="EH253" s="229">
        <f t="shared" si="632"/>
        <v>55</v>
      </c>
      <c r="EI253" s="229">
        <v>153.91</v>
      </c>
      <c r="EJ253" s="228">
        <f t="shared" si="772"/>
        <v>208.91</v>
      </c>
      <c r="EK253" s="229"/>
      <c r="EL253" s="229"/>
      <c r="EM253" s="228">
        <f t="shared" si="764"/>
        <v>0</v>
      </c>
      <c r="EN253" s="229">
        <f t="shared" si="708"/>
        <v>55</v>
      </c>
      <c r="EO253" s="229">
        <f t="shared" si="723"/>
        <v>153.91</v>
      </c>
      <c r="EP253" s="228">
        <f t="shared" si="765"/>
        <v>208.91</v>
      </c>
      <c r="EQ253" s="173">
        <f t="shared" si="633"/>
        <v>55</v>
      </c>
      <c r="ER253" s="189">
        <v>0</v>
      </c>
      <c r="ES253" s="189">
        <v>46</v>
      </c>
      <c r="ET253" s="189">
        <v>18.5</v>
      </c>
      <c r="EU253" s="189">
        <v>0</v>
      </c>
      <c r="EV253" s="189">
        <v>0</v>
      </c>
      <c r="EW253" s="189">
        <v>344.8</v>
      </c>
      <c r="EX253" s="189">
        <v>0</v>
      </c>
      <c r="EY253" s="189">
        <v>0</v>
      </c>
      <c r="EZ253" s="189">
        <v>0</v>
      </c>
      <c r="FA253" s="189">
        <v>0</v>
      </c>
      <c r="FB253" s="189">
        <v>0</v>
      </c>
      <c r="FC253" s="189">
        <v>60</v>
      </c>
      <c r="FD253" s="189">
        <v>0</v>
      </c>
      <c r="FE253" s="189">
        <v>0</v>
      </c>
      <c r="FF253" s="189">
        <v>0</v>
      </c>
      <c r="FG253" s="189">
        <v>0</v>
      </c>
      <c r="FH253" s="189">
        <v>0</v>
      </c>
      <c r="FI253" s="189">
        <v>0</v>
      </c>
      <c r="FJ253" s="189">
        <v>0</v>
      </c>
      <c r="FK253" s="189">
        <v>469.3</v>
      </c>
      <c r="FL253" s="189">
        <v>359</v>
      </c>
      <c r="FN253" s="132">
        <v>55</v>
      </c>
    </row>
    <row r="254" spans="1:170" ht="30" customHeight="1">
      <c r="A254" s="88">
        <f>COUNTIF($H$12:H254,H254)</f>
        <v>7</v>
      </c>
      <c r="B254" s="88" t="s">
        <v>261</v>
      </c>
      <c r="C254" s="88" t="s">
        <v>596</v>
      </c>
      <c r="D254" s="88"/>
      <c r="E254" s="88"/>
      <c r="F254" s="301" t="s">
        <v>1432</v>
      </c>
      <c r="G254" s="89" t="s">
        <v>2079</v>
      </c>
      <c r="H254" s="88">
        <v>5</v>
      </c>
      <c r="I254" s="88">
        <v>5</v>
      </c>
      <c r="J254" s="88">
        <v>5</v>
      </c>
      <c r="K254" s="90" t="s">
        <v>1085</v>
      </c>
      <c r="L254" s="90" t="s">
        <v>1085</v>
      </c>
      <c r="M254" s="214"/>
      <c r="N254" s="88" t="s">
        <v>1804</v>
      </c>
      <c r="O254" s="216">
        <f t="shared" ref="O254:O276" si="774">BO254</f>
        <v>3</v>
      </c>
      <c r="P254" s="88" t="str">
        <f t="shared" si="663"/>
        <v>B1_3</v>
      </c>
      <c r="Q254" s="88">
        <f t="shared" si="733"/>
        <v>270</v>
      </c>
      <c r="R254" s="88">
        <f t="shared" si="734"/>
        <v>100</v>
      </c>
      <c r="S254" s="218" t="s">
        <v>1911</v>
      </c>
      <c r="T254" s="88" t="s">
        <v>1326</v>
      </c>
      <c r="U254" s="88">
        <f>IF(RIGHT(T254,1)="K",(VLOOKUP(T254,ma_miengiam!$A$3:$B$80,2,0)*100)/2,VLOOKUP(T254,ma_miengiam!$A$3:$B$80,2,0)*100)</f>
        <v>65</v>
      </c>
      <c r="V254" s="88"/>
      <c r="W254" s="220">
        <f>IF(AND(T254="NTS",V254&gt;0),(Q254-(Q254*V254)/12)*VLOOKUP(T254,ma_miengiam!$A$3:$B$80,2,0)+(Q254-(Q254*(12-V254))/12),IF(AND(RIGHT(T254,1)="K",V254&gt;0),(VLOOKUP(T254,ma_miengiam!$A$3:$B$80,2,0)/2)*(Q254*V254)/12,IF(RIGHT(T254,1)="K",(VLOOKUP(T254,ma_miengiam!$A$3:$B$80,2,0)*Q254)/2,IF(V254&gt;0,VLOOKUP(T254,ma_miengiam!$A$3:$B$80,2,0)*Q254*V254/12,VLOOKUP(T254,ma_miengiam!$A$3:$B$80,2,0)*Q254))))</f>
        <v>175.5</v>
      </c>
      <c r="X254" s="220">
        <f>IF(T254="NTS",VLOOKUP(T254,ma_miengiam!$A$3:$B$80,2,0)*R254*V254,IF(AND(T254="NTS",V254=0),0,IF(AND(LEFT(T254,1)="K",V254=0),VLOOKUP(T254,ma_miengiam!$A$3:$B$80,2,0)*R254,IF(LEFT(T254,1)="K",(VLOOKUP(T254,ma_miengiam!$A$3:$B$80,2,0)*R254/12)*V254,IF(AND(LEFT(T254,1)="S",V254&gt;0),(R254/12)*V254,IF(AND(LEFT(T254,1)="S",V254=0),R254,IF(T254="DH",VLOOKUP(T254,ma_miengiam!$A$3:$B$80,2,0)*R254,0)))))))</f>
        <v>100</v>
      </c>
      <c r="Y254" s="220">
        <f t="shared" si="703"/>
        <v>94.5</v>
      </c>
      <c r="Z254" s="220">
        <f>IF(AND(T254="SĐH",V254&gt;0),(R254/12)*V254-X254,IF(AND(T254="DH",V254&gt;0),(R254*V254/12),IF(AND(T254&lt;&gt;"NTS",V254&gt;0),(R254*V254/12)-X254,IF(AND(T254="NTS",V254&gt;0),R254-X254,R254-X254))))</f>
        <v>0</v>
      </c>
      <c r="AA254" s="220">
        <f>Q254</f>
        <v>270</v>
      </c>
      <c r="AB254" s="220">
        <f>R254</f>
        <v>100</v>
      </c>
      <c r="AC254" s="220">
        <f t="shared" ref="AC254:AF255" si="775">W254</f>
        <v>175.5</v>
      </c>
      <c r="AD254" s="220">
        <f t="shared" si="775"/>
        <v>100</v>
      </c>
      <c r="AE254" s="220">
        <f t="shared" si="775"/>
        <v>94.5</v>
      </c>
      <c r="AF254" s="220">
        <f t="shared" si="775"/>
        <v>0</v>
      </c>
      <c r="AG254" s="220">
        <f>AH254+AI254</f>
        <v>153.91</v>
      </c>
      <c r="AH254" s="220">
        <f>EO254</f>
        <v>153.91</v>
      </c>
      <c r="AI254" s="220">
        <f>EN254</f>
        <v>0</v>
      </c>
      <c r="AJ254" s="220">
        <f>IF(AG254-Z254&gt;0,0,AG254-Z254)</f>
        <v>0</v>
      </c>
      <c r="AK254" s="216">
        <f t="shared" si="604"/>
        <v>94.5</v>
      </c>
      <c r="AL254" s="220">
        <f t="shared" si="611"/>
        <v>542.29999999999995</v>
      </c>
      <c r="AM254" s="220">
        <f t="shared" si="612"/>
        <v>0</v>
      </c>
      <c r="AN254" s="221">
        <f t="shared" si="613"/>
        <v>542.29999999999995</v>
      </c>
      <c r="AO254" s="220">
        <f t="shared" si="614"/>
        <v>0</v>
      </c>
      <c r="AP254" s="220">
        <f t="shared" si="615"/>
        <v>0</v>
      </c>
      <c r="AQ254" s="220">
        <f t="shared" si="616"/>
        <v>60</v>
      </c>
      <c r="AR254" s="220">
        <f t="shared" si="617"/>
        <v>0</v>
      </c>
      <c r="AS254" s="220">
        <f t="shared" si="618"/>
        <v>0</v>
      </c>
      <c r="AT254" s="216">
        <f t="shared" si="619"/>
        <v>602.29999999999995</v>
      </c>
      <c r="AU254" s="222">
        <f t="shared" si="722"/>
        <v>447.79999999999995</v>
      </c>
      <c r="AV254" s="220"/>
      <c r="AW254" s="220">
        <f t="shared" si="680"/>
        <v>447.79999999999995</v>
      </c>
      <c r="AX254" s="216">
        <f t="shared" si="620"/>
        <v>0</v>
      </c>
      <c r="AY254" s="220">
        <f t="shared" si="681"/>
        <v>0</v>
      </c>
      <c r="AZ254" s="220">
        <f t="shared" si="682"/>
        <v>0</v>
      </c>
      <c r="BA254" s="220">
        <f t="shared" si="683"/>
        <v>60</v>
      </c>
      <c r="BB254" s="220">
        <f t="shared" si="684"/>
        <v>0</v>
      </c>
      <c r="BC254" s="220">
        <f t="shared" si="685"/>
        <v>0</v>
      </c>
      <c r="BD254" s="216">
        <f t="shared" si="759"/>
        <v>60</v>
      </c>
      <c r="BE254" s="220">
        <f t="shared" si="686"/>
        <v>0</v>
      </c>
      <c r="BF254" s="220">
        <f t="shared" si="687"/>
        <v>0</v>
      </c>
      <c r="BG254" s="220">
        <f t="shared" si="688"/>
        <v>0</v>
      </c>
      <c r="BH254" s="220">
        <f t="shared" si="689"/>
        <v>0</v>
      </c>
      <c r="BI254" s="220">
        <f t="shared" si="690"/>
        <v>0</v>
      </c>
      <c r="BJ254" s="220" t="s">
        <v>2415</v>
      </c>
      <c r="BK254" s="220"/>
      <c r="BL254" s="223">
        <f t="shared" si="773"/>
        <v>447.79999999999995</v>
      </c>
      <c r="BM254" s="220">
        <v>3</v>
      </c>
      <c r="BN254" s="220"/>
      <c r="BO254" s="220">
        <f t="shared" ref="BO254:BO264" si="776">ROUND(BM254+(BM254*BN254),2)</f>
        <v>3</v>
      </c>
      <c r="BP254" s="220">
        <f>IF(AND(BL254&gt;0,BL254&lt;tiet!$D$1),BL254,IF(BL254&lt;=0,0,IF(BL254&gt;tiet!$C$1,tiet!$C$1)))</f>
        <v>200</v>
      </c>
      <c r="BQ254" s="87">
        <f>VLOOKUP(P254,ma_dinhmuc_moi,4,0)</f>
        <v>60000</v>
      </c>
      <c r="BR254" s="224">
        <f>ROUND(BQ254*BP254,0)</f>
        <v>12000000</v>
      </c>
      <c r="BS254" s="220">
        <f t="shared" si="630"/>
        <v>247.79999999999995</v>
      </c>
      <c r="BT254" s="224">
        <f>VLOOKUP(N254,ma_dinhmuc!$A$1:$J$31,10,0)</f>
        <v>51000</v>
      </c>
      <c r="BU254" s="224">
        <f>ROUND(IF(BS254&gt;0,VLOOKUP(N254,ma_dinhmuc!$A$1:$J$31,10,0)*BS254,0),0)</f>
        <v>12637800</v>
      </c>
      <c r="BV254" s="224">
        <f>ROUND(BU254+BR254,0)</f>
        <v>24637800</v>
      </c>
      <c r="BW254" s="224"/>
      <c r="BX254" s="224">
        <v>0</v>
      </c>
      <c r="BY254" s="224"/>
      <c r="BZ254" s="224"/>
      <c r="CA254" s="224"/>
      <c r="CB254" s="224"/>
      <c r="CC254" s="225">
        <f t="shared" si="697"/>
        <v>24637800</v>
      </c>
      <c r="CD254" s="224">
        <f t="shared" si="698"/>
        <v>0</v>
      </c>
      <c r="CE254" s="224"/>
      <c r="CF254" s="226"/>
      <c r="CG254" s="87"/>
      <c r="CH254" s="87">
        <f>A254</f>
        <v>7</v>
      </c>
      <c r="CI254" s="227" t="str">
        <f>F254</f>
        <v>Nguyễn Thị Huyền</v>
      </c>
      <c r="CJ254" s="227" t="str">
        <f>G254</f>
        <v>Châm</v>
      </c>
      <c r="CK254" s="87">
        <f>H254</f>
        <v>5</v>
      </c>
      <c r="CL254" s="227" t="str">
        <f>L254</f>
        <v>Kinh tế</v>
      </c>
      <c r="CM254" s="87" t="str">
        <f t="shared" si="691"/>
        <v>CS2</v>
      </c>
      <c r="CN254" s="87">
        <f t="shared" ref="CN254:CO256" si="777">Q254</f>
        <v>270</v>
      </c>
      <c r="CO254" s="87">
        <f t="shared" si="777"/>
        <v>100</v>
      </c>
      <c r="CP254" s="229">
        <f t="shared" si="634"/>
        <v>0</v>
      </c>
      <c r="CQ254" s="229">
        <f t="shared" si="635"/>
        <v>66.099999999999994</v>
      </c>
      <c r="CR254" s="229">
        <f t="shared" si="636"/>
        <v>26.5</v>
      </c>
      <c r="CS254" s="229">
        <f t="shared" si="637"/>
        <v>0</v>
      </c>
      <c r="CT254" s="229">
        <f t="shared" si="638"/>
        <v>0</v>
      </c>
      <c r="CU254" s="229">
        <f t="shared" si="639"/>
        <v>449.7</v>
      </c>
      <c r="CV254" s="229">
        <f t="shared" si="640"/>
        <v>0</v>
      </c>
      <c r="CW254" s="229">
        <f t="shared" si="641"/>
        <v>0</v>
      </c>
      <c r="CX254" s="229">
        <f t="shared" si="642"/>
        <v>0</v>
      </c>
      <c r="CY254" s="229">
        <f t="shared" si="643"/>
        <v>0</v>
      </c>
      <c r="CZ254" s="229">
        <f t="shared" si="644"/>
        <v>0</v>
      </c>
      <c r="DA254" s="229">
        <f t="shared" si="645"/>
        <v>60</v>
      </c>
      <c r="DB254" s="228">
        <f t="shared" si="606"/>
        <v>602.29999999999995</v>
      </c>
      <c r="DC254" s="229"/>
      <c r="DD254" s="229"/>
      <c r="DE254" s="229"/>
      <c r="DF254" s="229"/>
      <c r="DG254" s="229"/>
      <c r="DH254" s="229"/>
      <c r="DI254" s="229"/>
      <c r="DJ254" s="229"/>
      <c r="DK254" s="229"/>
      <c r="DL254" s="229"/>
      <c r="DM254" s="229"/>
      <c r="DN254" s="229"/>
      <c r="DO254" s="228">
        <f t="shared" si="622"/>
        <v>0</v>
      </c>
      <c r="DP254" s="228">
        <f t="shared" si="623"/>
        <v>602.29999999999995</v>
      </c>
      <c r="DQ254" s="229">
        <f t="shared" si="646"/>
        <v>0</v>
      </c>
      <c r="DR254" s="229">
        <f t="shared" si="647"/>
        <v>0</v>
      </c>
      <c r="DS254" s="229">
        <f t="shared" si="648"/>
        <v>0</v>
      </c>
      <c r="DT254" s="229">
        <f t="shared" si="649"/>
        <v>0</v>
      </c>
      <c r="DU254" s="229">
        <f t="shared" si="650"/>
        <v>0</v>
      </c>
      <c r="DV254" s="229">
        <f t="shared" si="651"/>
        <v>0</v>
      </c>
      <c r="DW254" s="229">
        <f t="shared" si="652"/>
        <v>0</v>
      </c>
      <c r="DX254" s="228">
        <f t="shared" si="607"/>
        <v>0</v>
      </c>
      <c r="DY254" s="229"/>
      <c r="DZ254" s="229"/>
      <c r="EA254" s="229"/>
      <c r="EB254" s="229"/>
      <c r="EC254" s="229"/>
      <c r="ED254" s="229"/>
      <c r="EE254" s="229"/>
      <c r="EF254" s="228">
        <f t="shared" si="631"/>
        <v>0</v>
      </c>
      <c r="EG254" s="228">
        <f t="shared" si="624"/>
        <v>0</v>
      </c>
      <c r="EH254" s="229">
        <f t="shared" si="632"/>
        <v>0</v>
      </c>
      <c r="EI254" s="229">
        <v>153.91</v>
      </c>
      <c r="EJ254" s="228">
        <f t="shared" si="772"/>
        <v>153.91</v>
      </c>
      <c r="EK254" s="229"/>
      <c r="EL254" s="229"/>
      <c r="EM254" s="228">
        <f>SUM(EK254:EL254)</f>
        <v>0</v>
      </c>
      <c r="EN254" s="229">
        <f t="shared" si="708"/>
        <v>0</v>
      </c>
      <c r="EO254" s="229">
        <f t="shared" si="723"/>
        <v>153.91</v>
      </c>
      <c r="EP254" s="228">
        <f>EM254+EJ254</f>
        <v>153.91</v>
      </c>
      <c r="EQ254" s="173">
        <f t="shared" si="633"/>
        <v>0</v>
      </c>
      <c r="ER254" s="189">
        <v>0</v>
      </c>
      <c r="ES254" s="189">
        <v>66.099999999999994</v>
      </c>
      <c r="ET254" s="189">
        <v>26.5</v>
      </c>
      <c r="EU254" s="189">
        <v>0</v>
      </c>
      <c r="EV254" s="189">
        <v>0</v>
      </c>
      <c r="EW254" s="189">
        <v>449.7</v>
      </c>
      <c r="EX254" s="189">
        <v>0</v>
      </c>
      <c r="EY254" s="189">
        <v>0</v>
      </c>
      <c r="EZ254" s="189">
        <v>0</v>
      </c>
      <c r="FA254" s="189">
        <v>0</v>
      </c>
      <c r="FB254" s="189">
        <v>0</v>
      </c>
      <c r="FC254" s="189">
        <v>60</v>
      </c>
      <c r="FD254" s="189">
        <v>0</v>
      </c>
      <c r="FE254" s="189">
        <v>0</v>
      </c>
      <c r="FF254" s="189">
        <v>0</v>
      </c>
      <c r="FG254" s="189">
        <v>0</v>
      </c>
      <c r="FH254" s="189">
        <v>0</v>
      </c>
      <c r="FI254" s="189">
        <v>0</v>
      </c>
      <c r="FJ254" s="189">
        <v>0</v>
      </c>
      <c r="FK254" s="189">
        <v>602.29999999999995</v>
      </c>
      <c r="FL254" s="189">
        <v>421</v>
      </c>
      <c r="FN254" s="132">
        <v>0</v>
      </c>
    </row>
    <row r="255" spans="1:170" ht="34.5" customHeight="1">
      <c r="A255" s="88">
        <f>COUNTIF($H$12:H255,H255)</f>
        <v>8</v>
      </c>
      <c r="B255" s="88" t="s">
        <v>262</v>
      </c>
      <c r="C255" s="88" t="s">
        <v>597</v>
      </c>
      <c r="D255" s="88"/>
      <c r="E255" s="88"/>
      <c r="F255" s="301" t="s">
        <v>1442</v>
      </c>
      <c r="G255" s="89" t="s">
        <v>1600</v>
      </c>
      <c r="H255" s="88">
        <v>5</v>
      </c>
      <c r="I255" s="88">
        <v>5</v>
      </c>
      <c r="J255" s="88">
        <v>5</v>
      </c>
      <c r="K255" s="90" t="s">
        <v>1085</v>
      </c>
      <c r="L255" s="90" t="s">
        <v>1085</v>
      </c>
      <c r="M255" s="214"/>
      <c r="N255" s="88" t="s">
        <v>1804</v>
      </c>
      <c r="O255" s="216">
        <f t="shared" si="774"/>
        <v>3</v>
      </c>
      <c r="P255" s="88" t="str">
        <f t="shared" si="663"/>
        <v>B1_3</v>
      </c>
      <c r="Q255" s="88">
        <f t="shared" si="733"/>
        <v>270</v>
      </c>
      <c r="R255" s="88">
        <f t="shared" si="734"/>
        <v>100</v>
      </c>
      <c r="S255" s="218" t="s">
        <v>497</v>
      </c>
      <c r="T255" s="88" t="s">
        <v>3091</v>
      </c>
      <c r="U255" s="88">
        <f>IF(RIGHT(T255,1)="K",(VLOOKUP(T255,ma_miengiam!$A$3:$B$80,2,0)*100)/2,VLOOKUP(T255,ma_miengiam!$A$3:$B$80,2,0)*100)</f>
        <v>20</v>
      </c>
      <c r="V255" s="88"/>
      <c r="W255" s="220">
        <f>IF(AND(T255="NTS",V255&gt;0),(Q255-(Q255*V255)/12)*VLOOKUP(T255,ma_miengiam!$A$3:$B$80,2,0)+(Q255-(Q255*(12-V255))/12),IF(AND(RIGHT(T255,1)="K",V255&gt;0),(VLOOKUP(T255,ma_miengiam!$A$3:$B$80,2,0)/2)*(Q255*V255)/12,IF(RIGHT(T255,1)="K",(VLOOKUP(T255,ma_miengiam!$A$3:$B$80,2,0)*Q255)/2,IF(V255&gt;0,VLOOKUP(T255,ma_miengiam!$A$3:$B$80,2,0)*Q255*V255/12,VLOOKUP(T255,ma_miengiam!$A$3:$B$80,2,0)*Q255))))</f>
        <v>54</v>
      </c>
      <c r="X255" s="220">
        <f>IF(T255="NTS",VLOOKUP(T255,ma_miengiam!$A$3:$B$80,2,0)*R255*V255,IF(AND(T255="NTS",V255=0),0,IF(AND(LEFT(T255,1)="K",V255=0),VLOOKUP(T255,ma_miengiam!$A$3:$B$80,2,0)*R255,IF(LEFT(T255,1)="K",(VLOOKUP(T255,ma_miengiam!$A$3:$B$80,2,0)*R255/12)*V255,IF(AND(LEFT(T255,1)="S",V255&gt;0),(R255/12)*V255,IF(AND(LEFT(T255,1)="S",V255=0),R255,IF(T255="DH",VLOOKUP(T255,ma_miengiam!$A$3:$B$80,2,0)*R255,0)))))))</f>
        <v>0</v>
      </c>
      <c r="Y255" s="220">
        <f t="shared" si="703"/>
        <v>216</v>
      </c>
      <c r="Z255" s="220">
        <f t="shared" si="739"/>
        <v>100</v>
      </c>
      <c r="AA255" s="220">
        <f t="shared" ref="AA255:AB257" si="778">Q255</f>
        <v>270</v>
      </c>
      <c r="AB255" s="220">
        <f t="shared" si="778"/>
        <v>100</v>
      </c>
      <c r="AC255" s="220">
        <f t="shared" si="775"/>
        <v>54</v>
      </c>
      <c r="AD255" s="220">
        <f t="shared" si="775"/>
        <v>0</v>
      </c>
      <c r="AE255" s="220">
        <f t="shared" si="775"/>
        <v>216</v>
      </c>
      <c r="AF255" s="220">
        <f t="shared" si="775"/>
        <v>100</v>
      </c>
      <c r="AG255" s="220">
        <f t="shared" si="754"/>
        <v>142.25</v>
      </c>
      <c r="AH255" s="220">
        <f t="shared" si="755"/>
        <v>103.91</v>
      </c>
      <c r="AI255" s="220">
        <f t="shared" si="756"/>
        <v>38.340000000000003</v>
      </c>
      <c r="AJ255" s="220">
        <f t="shared" si="677"/>
        <v>0</v>
      </c>
      <c r="AK255" s="216">
        <f t="shared" si="604"/>
        <v>216</v>
      </c>
      <c r="AL255" s="220">
        <f t="shared" si="611"/>
        <v>326.8</v>
      </c>
      <c r="AM255" s="220">
        <f t="shared" si="612"/>
        <v>0</v>
      </c>
      <c r="AN255" s="221">
        <f t="shared" si="613"/>
        <v>326.8</v>
      </c>
      <c r="AO255" s="220">
        <f t="shared" si="614"/>
        <v>0</v>
      </c>
      <c r="AP255" s="220">
        <f t="shared" si="615"/>
        <v>0</v>
      </c>
      <c r="AQ255" s="220">
        <f t="shared" si="616"/>
        <v>60</v>
      </c>
      <c r="AR255" s="220">
        <f t="shared" si="617"/>
        <v>0</v>
      </c>
      <c r="AS255" s="220">
        <f t="shared" si="618"/>
        <v>0</v>
      </c>
      <c r="AT255" s="216">
        <f t="shared" si="619"/>
        <v>386.8</v>
      </c>
      <c r="AU255" s="222">
        <f t="shared" si="722"/>
        <v>110.80000000000001</v>
      </c>
      <c r="AV255" s="220"/>
      <c r="AW255" s="220">
        <f t="shared" si="680"/>
        <v>110.80000000000001</v>
      </c>
      <c r="AX255" s="216">
        <f t="shared" si="620"/>
        <v>0</v>
      </c>
      <c r="AY255" s="220">
        <f t="shared" si="681"/>
        <v>0</v>
      </c>
      <c r="AZ255" s="220">
        <f t="shared" si="682"/>
        <v>0</v>
      </c>
      <c r="BA255" s="220">
        <f t="shared" si="683"/>
        <v>60</v>
      </c>
      <c r="BB255" s="220">
        <f t="shared" si="684"/>
        <v>0</v>
      </c>
      <c r="BC255" s="220">
        <f t="shared" si="685"/>
        <v>0</v>
      </c>
      <c r="BD255" s="216">
        <f t="shared" si="759"/>
        <v>60</v>
      </c>
      <c r="BE255" s="220">
        <f t="shared" si="686"/>
        <v>0</v>
      </c>
      <c r="BF255" s="220">
        <f t="shared" si="687"/>
        <v>0</v>
      </c>
      <c r="BG255" s="220">
        <f t="shared" si="688"/>
        <v>0</v>
      </c>
      <c r="BH255" s="220">
        <f t="shared" si="689"/>
        <v>0</v>
      </c>
      <c r="BI255" s="220">
        <f t="shared" si="690"/>
        <v>0</v>
      </c>
      <c r="BJ255" s="220" t="s">
        <v>2415</v>
      </c>
      <c r="BK255" s="220"/>
      <c r="BL255" s="223">
        <f t="shared" si="773"/>
        <v>110.80000000000001</v>
      </c>
      <c r="BM255" s="220">
        <v>3</v>
      </c>
      <c r="BN255" s="220"/>
      <c r="BO255" s="220">
        <f t="shared" si="776"/>
        <v>3</v>
      </c>
      <c r="BP255" s="220">
        <f>IF(AND(BL255&gt;0,BL255&lt;tiet!$D$1),BL255,IF(BL255&lt;=0,0,IF(BL255&gt;tiet!$C$1,tiet!$C$1)))</f>
        <v>110.80000000000001</v>
      </c>
      <c r="BQ255" s="87">
        <f t="shared" si="674"/>
        <v>60000</v>
      </c>
      <c r="BR255" s="224">
        <f t="shared" si="675"/>
        <v>6648000</v>
      </c>
      <c r="BS255" s="220">
        <f t="shared" si="630"/>
        <v>0</v>
      </c>
      <c r="BT255" s="224">
        <f>VLOOKUP(N255,ma_dinhmuc!$A$1:$J$31,10,0)</f>
        <v>51000</v>
      </c>
      <c r="BU255" s="224">
        <f>ROUND(IF(BS255&gt;0,VLOOKUP(N255,ma_dinhmuc!$A$1:$J$31,10,0)*BS255,0),0)</f>
        <v>0</v>
      </c>
      <c r="BV255" s="224">
        <f t="shared" si="676"/>
        <v>6648000</v>
      </c>
      <c r="BW255" s="224"/>
      <c r="BX255" s="224">
        <v>0</v>
      </c>
      <c r="BY255" s="224"/>
      <c r="BZ255" s="224"/>
      <c r="CA255" s="224"/>
      <c r="CB255" s="224"/>
      <c r="CC255" s="225">
        <f t="shared" si="697"/>
        <v>6648000</v>
      </c>
      <c r="CD255" s="224">
        <f t="shared" si="698"/>
        <v>0</v>
      </c>
      <c r="CE255" s="224"/>
      <c r="CF255" s="226"/>
      <c r="CG255" s="87"/>
      <c r="CH255" s="87">
        <f t="shared" si="767"/>
        <v>8</v>
      </c>
      <c r="CI255" s="227" t="str">
        <f t="shared" si="770"/>
        <v>Đoàn Bích</v>
      </c>
      <c r="CJ255" s="227" t="str">
        <f t="shared" si="761"/>
        <v>Hạnh</v>
      </c>
      <c r="CK255" s="87">
        <f t="shared" si="762"/>
        <v>5</v>
      </c>
      <c r="CL255" s="227" t="str">
        <f t="shared" si="768"/>
        <v>Kinh tế</v>
      </c>
      <c r="CM255" s="87" t="str">
        <f t="shared" si="691"/>
        <v>CS2</v>
      </c>
      <c r="CN255" s="87">
        <f t="shared" si="777"/>
        <v>270</v>
      </c>
      <c r="CO255" s="87">
        <f t="shared" si="777"/>
        <v>100</v>
      </c>
      <c r="CP255" s="229">
        <f t="shared" si="634"/>
        <v>0</v>
      </c>
      <c r="CQ255" s="229">
        <f t="shared" si="635"/>
        <v>46</v>
      </c>
      <c r="CR255" s="229">
        <f t="shared" si="636"/>
        <v>18.5</v>
      </c>
      <c r="CS255" s="229">
        <f t="shared" si="637"/>
        <v>0</v>
      </c>
      <c r="CT255" s="229">
        <f t="shared" si="638"/>
        <v>0</v>
      </c>
      <c r="CU255" s="229">
        <f t="shared" si="639"/>
        <v>262.3</v>
      </c>
      <c r="CV255" s="229">
        <f t="shared" si="640"/>
        <v>0</v>
      </c>
      <c r="CW255" s="229">
        <f t="shared" si="641"/>
        <v>0</v>
      </c>
      <c r="CX255" s="229">
        <f t="shared" si="642"/>
        <v>0</v>
      </c>
      <c r="CY255" s="229">
        <f t="shared" si="643"/>
        <v>0</v>
      </c>
      <c r="CZ255" s="229">
        <f t="shared" si="644"/>
        <v>0</v>
      </c>
      <c r="DA255" s="229">
        <f t="shared" si="645"/>
        <v>60</v>
      </c>
      <c r="DB255" s="228">
        <f t="shared" si="606"/>
        <v>386.8</v>
      </c>
      <c r="DC255" s="229"/>
      <c r="DD255" s="229"/>
      <c r="DE255" s="229"/>
      <c r="DF255" s="229"/>
      <c r="DG255" s="229"/>
      <c r="DH255" s="229"/>
      <c r="DI255" s="229"/>
      <c r="DJ255" s="229"/>
      <c r="DK255" s="229"/>
      <c r="DL255" s="229"/>
      <c r="DM255" s="229"/>
      <c r="DN255" s="229"/>
      <c r="DO255" s="228">
        <f t="shared" si="622"/>
        <v>0</v>
      </c>
      <c r="DP255" s="228">
        <f t="shared" si="623"/>
        <v>386.8</v>
      </c>
      <c r="DQ255" s="229">
        <f t="shared" si="646"/>
        <v>0</v>
      </c>
      <c r="DR255" s="229">
        <f t="shared" si="647"/>
        <v>0</v>
      </c>
      <c r="DS255" s="229">
        <f t="shared" si="648"/>
        <v>0</v>
      </c>
      <c r="DT255" s="229">
        <f t="shared" si="649"/>
        <v>0</v>
      </c>
      <c r="DU255" s="229">
        <f t="shared" si="650"/>
        <v>0</v>
      </c>
      <c r="DV255" s="229">
        <f t="shared" si="651"/>
        <v>0</v>
      </c>
      <c r="DW255" s="229">
        <f t="shared" si="652"/>
        <v>0</v>
      </c>
      <c r="DX255" s="228">
        <f t="shared" si="607"/>
        <v>0</v>
      </c>
      <c r="DY255" s="229"/>
      <c r="DZ255" s="229"/>
      <c r="EA255" s="229"/>
      <c r="EB255" s="229"/>
      <c r="EC255" s="229"/>
      <c r="ED255" s="229"/>
      <c r="EE255" s="229"/>
      <c r="EF255" s="228">
        <f t="shared" si="631"/>
        <v>0</v>
      </c>
      <c r="EG255" s="228">
        <f t="shared" si="624"/>
        <v>0</v>
      </c>
      <c r="EH255" s="229">
        <f t="shared" si="632"/>
        <v>38.340000000000003</v>
      </c>
      <c r="EI255" s="229">
        <v>103.91</v>
      </c>
      <c r="EJ255" s="228">
        <f t="shared" si="772"/>
        <v>142.25</v>
      </c>
      <c r="EK255" s="229"/>
      <c r="EL255" s="229"/>
      <c r="EM255" s="228">
        <f t="shared" si="764"/>
        <v>0</v>
      </c>
      <c r="EN255" s="229">
        <f t="shared" si="708"/>
        <v>38.340000000000003</v>
      </c>
      <c r="EO255" s="229">
        <f t="shared" si="723"/>
        <v>103.91</v>
      </c>
      <c r="EP255" s="228">
        <f t="shared" si="765"/>
        <v>142.25</v>
      </c>
      <c r="EQ255" s="173">
        <f t="shared" si="633"/>
        <v>0</v>
      </c>
      <c r="ER255" s="189">
        <v>0</v>
      </c>
      <c r="ES255" s="189">
        <v>46</v>
      </c>
      <c r="ET255" s="189">
        <v>18.5</v>
      </c>
      <c r="EU255" s="189">
        <v>0</v>
      </c>
      <c r="EV255" s="189">
        <v>0</v>
      </c>
      <c r="EW255" s="189">
        <v>262.3</v>
      </c>
      <c r="EX255" s="189">
        <v>0</v>
      </c>
      <c r="EY255" s="189">
        <v>0</v>
      </c>
      <c r="EZ255" s="189">
        <v>0</v>
      </c>
      <c r="FA255" s="189">
        <v>0</v>
      </c>
      <c r="FB255" s="189">
        <v>0</v>
      </c>
      <c r="FC255" s="189">
        <v>60</v>
      </c>
      <c r="FD255" s="189">
        <v>0</v>
      </c>
      <c r="FE255" s="189">
        <v>0</v>
      </c>
      <c r="FF255" s="189">
        <v>0</v>
      </c>
      <c r="FG255" s="189">
        <v>0</v>
      </c>
      <c r="FH255" s="189">
        <v>0</v>
      </c>
      <c r="FI255" s="189">
        <v>0</v>
      </c>
      <c r="FJ255" s="189">
        <v>0</v>
      </c>
      <c r="FK255" s="189">
        <v>386.8</v>
      </c>
      <c r="FL255" s="189">
        <v>312</v>
      </c>
      <c r="FN255" s="132">
        <v>38.340000000000003</v>
      </c>
    </row>
    <row r="256" spans="1:170" ht="30">
      <c r="A256" s="88">
        <f>COUNTIF($H$12:H256,H256)</f>
        <v>9</v>
      </c>
      <c r="B256" s="88" t="s">
        <v>263</v>
      </c>
      <c r="C256" s="88" t="s">
        <v>598</v>
      </c>
      <c r="D256" s="88"/>
      <c r="E256" s="88"/>
      <c r="F256" s="301" t="s">
        <v>1443</v>
      </c>
      <c r="G256" s="303" t="s">
        <v>3086</v>
      </c>
      <c r="H256" s="88">
        <v>5</v>
      </c>
      <c r="I256" s="88">
        <v>5</v>
      </c>
      <c r="J256" s="88">
        <v>5</v>
      </c>
      <c r="K256" s="90" t="s">
        <v>1085</v>
      </c>
      <c r="L256" s="90" t="s">
        <v>1085</v>
      </c>
      <c r="M256" s="214"/>
      <c r="N256" s="88" t="s">
        <v>1804</v>
      </c>
      <c r="O256" s="216">
        <f t="shared" si="774"/>
        <v>3</v>
      </c>
      <c r="P256" s="88" t="str">
        <f t="shared" si="663"/>
        <v>B1_3</v>
      </c>
      <c r="Q256" s="88">
        <f t="shared" si="733"/>
        <v>270</v>
      </c>
      <c r="R256" s="88">
        <f t="shared" si="734"/>
        <v>100</v>
      </c>
      <c r="S256" s="218" t="s">
        <v>1423</v>
      </c>
      <c r="T256" s="88" t="s">
        <v>1326</v>
      </c>
      <c r="U256" s="88">
        <f>IF(RIGHT(T256,1)="K",(VLOOKUP(T256,ma_miengiam!$A$3:$B$80,2,0)*100)/2,VLOOKUP(T256,ma_miengiam!$A$3:$B$80,2,0)*100)</f>
        <v>65</v>
      </c>
      <c r="V256" s="88"/>
      <c r="W256" s="220">
        <f>IF(AND(T256="NTS",V256&gt;0),(Q256-(Q256*V256)/12)*VLOOKUP(T256,ma_miengiam!$A$3:$B$80,2,0)+(Q256-(Q256*(12-V256))/12),IF(AND(RIGHT(T256,1)="K",V256&gt;0),(VLOOKUP(T256,ma_miengiam!$A$3:$B$80,2,0)/2)*(Q256*V256)/12,IF(RIGHT(T256,1)="K",(VLOOKUP(T256,ma_miengiam!$A$3:$B$80,2,0)*Q256)/2,IF(V256&gt;0,VLOOKUP(T256,ma_miengiam!$A$3:$B$80,2,0)*Q256*V256/12,VLOOKUP(T256,ma_miengiam!$A$3:$B$80,2,0)*Q256))))</f>
        <v>175.5</v>
      </c>
      <c r="X256" s="220">
        <f>IF(T256="NTS",VLOOKUP(T256,ma_miengiam!$A$3:$B$80,2,0)*R256*V256,IF(AND(T256="NTS",V256=0),0,IF(AND(LEFT(T256,1)="K",V256=0),VLOOKUP(T256,ma_miengiam!$A$3:$B$80,2,0)*R256,IF(LEFT(T256,1)="K",(VLOOKUP(T256,ma_miengiam!$A$3:$B$80,2,0)*R256/12)*V256,IF(AND(LEFT(T256,1)="S",V256&gt;0),(R256/12)*V256,IF(AND(LEFT(T256,1)="S",V256=0),R256,IF(T256="DH",VLOOKUP(T256,ma_miengiam!$A$3:$B$80,2,0)*R256,0)))))))</f>
        <v>100</v>
      </c>
      <c r="Y256" s="220">
        <f t="shared" si="703"/>
        <v>94.5</v>
      </c>
      <c r="Z256" s="220">
        <f t="shared" si="739"/>
        <v>0</v>
      </c>
      <c r="AA256" s="220">
        <f t="shared" si="778"/>
        <v>270</v>
      </c>
      <c r="AB256" s="220">
        <f t="shared" si="778"/>
        <v>100</v>
      </c>
      <c r="AC256" s="220">
        <f t="shared" ref="AC256:AF257" si="779">W256</f>
        <v>175.5</v>
      </c>
      <c r="AD256" s="220">
        <f t="shared" si="779"/>
        <v>100</v>
      </c>
      <c r="AE256" s="220">
        <f t="shared" si="779"/>
        <v>94.5</v>
      </c>
      <c r="AF256" s="220">
        <f t="shared" si="779"/>
        <v>0</v>
      </c>
      <c r="AG256" s="220">
        <f>AH256+AI256</f>
        <v>295</v>
      </c>
      <c r="AH256" s="220">
        <f>EO256</f>
        <v>210</v>
      </c>
      <c r="AI256" s="220">
        <f>EN256</f>
        <v>85</v>
      </c>
      <c r="AJ256" s="220">
        <f t="shared" si="677"/>
        <v>0</v>
      </c>
      <c r="AK256" s="216">
        <f t="shared" si="604"/>
        <v>94.5</v>
      </c>
      <c r="AL256" s="220">
        <f t="shared" si="611"/>
        <v>388.5</v>
      </c>
      <c r="AM256" s="220">
        <f t="shared" si="612"/>
        <v>0</v>
      </c>
      <c r="AN256" s="216">
        <f t="shared" si="613"/>
        <v>388.5</v>
      </c>
      <c r="AO256" s="220">
        <f t="shared" si="614"/>
        <v>0</v>
      </c>
      <c r="AP256" s="220">
        <f t="shared" si="615"/>
        <v>0</v>
      </c>
      <c r="AQ256" s="220">
        <f t="shared" si="616"/>
        <v>70</v>
      </c>
      <c r="AR256" s="220">
        <f t="shared" si="617"/>
        <v>0</v>
      </c>
      <c r="AS256" s="220">
        <f t="shared" si="618"/>
        <v>0</v>
      </c>
      <c r="AT256" s="216">
        <f t="shared" si="619"/>
        <v>458.5</v>
      </c>
      <c r="AU256" s="220">
        <f t="shared" si="722"/>
        <v>294</v>
      </c>
      <c r="AV256" s="220"/>
      <c r="AW256" s="220">
        <f t="shared" si="680"/>
        <v>294</v>
      </c>
      <c r="AX256" s="216">
        <f t="shared" si="620"/>
        <v>0</v>
      </c>
      <c r="AY256" s="220">
        <f t="shared" si="681"/>
        <v>0</v>
      </c>
      <c r="AZ256" s="220">
        <f t="shared" si="682"/>
        <v>0</v>
      </c>
      <c r="BA256" s="220">
        <f t="shared" si="683"/>
        <v>70</v>
      </c>
      <c r="BB256" s="220">
        <f t="shared" si="684"/>
        <v>0</v>
      </c>
      <c r="BC256" s="220">
        <f t="shared" si="685"/>
        <v>0</v>
      </c>
      <c r="BD256" s="216">
        <f t="shared" si="759"/>
        <v>70</v>
      </c>
      <c r="BE256" s="220">
        <f t="shared" si="686"/>
        <v>0</v>
      </c>
      <c r="BF256" s="220">
        <f t="shared" si="687"/>
        <v>0</v>
      </c>
      <c r="BG256" s="220">
        <f t="shared" si="688"/>
        <v>0</v>
      </c>
      <c r="BH256" s="220">
        <f t="shared" si="689"/>
        <v>0</v>
      </c>
      <c r="BI256" s="220">
        <f t="shared" si="690"/>
        <v>0</v>
      </c>
      <c r="BJ256" s="220" t="s">
        <v>2415</v>
      </c>
      <c r="BK256" s="220"/>
      <c r="BL256" s="223">
        <f t="shared" si="773"/>
        <v>294</v>
      </c>
      <c r="BM256" s="220">
        <v>3</v>
      </c>
      <c r="BN256" s="220"/>
      <c r="BO256" s="220">
        <f t="shared" si="776"/>
        <v>3</v>
      </c>
      <c r="BP256" s="220">
        <f>IF(AND(BL256&gt;0,BL256&lt;tiet!$D$1),BL256,IF(BL256&lt;=0,0,IF(BL256&gt;tiet!$C$1,tiet!$C$1)))</f>
        <v>200</v>
      </c>
      <c r="BQ256" s="87">
        <f t="shared" si="674"/>
        <v>60000</v>
      </c>
      <c r="BR256" s="224">
        <f t="shared" si="675"/>
        <v>12000000</v>
      </c>
      <c r="BS256" s="220">
        <f t="shared" si="630"/>
        <v>94</v>
      </c>
      <c r="BT256" s="224">
        <f>VLOOKUP(N256,ma_dinhmuc!$A$1:$J$31,10,0)</f>
        <v>51000</v>
      </c>
      <c r="BU256" s="224">
        <f>ROUND(IF(BS256&gt;0,VLOOKUP(N256,ma_dinhmuc!$A$1:$J$31,10,0)*BS256,0),0)</f>
        <v>4794000</v>
      </c>
      <c r="BV256" s="224">
        <f t="shared" si="676"/>
        <v>16794000</v>
      </c>
      <c r="BW256" s="224"/>
      <c r="BX256" s="224">
        <v>0</v>
      </c>
      <c r="BY256" s="224"/>
      <c r="BZ256" s="224"/>
      <c r="CA256" s="224"/>
      <c r="CB256" s="224"/>
      <c r="CC256" s="225">
        <f t="shared" si="697"/>
        <v>16794000</v>
      </c>
      <c r="CD256" s="224">
        <f t="shared" si="698"/>
        <v>0</v>
      </c>
      <c r="CE256" s="224"/>
      <c r="CF256" s="226"/>
      <c r="CG256" s="87"/>
      <c r="CH256" s="87">
        <f t="shared" si="767"/>
        <v>9</v>
      </c>
      <c r="CI256" s="227" t="str">
        <f t="shared" si="770"/>
        <v>Đồng Thanh</v>
      </c>
      <c r="CJ256" s="227" t="str">
        <f t="shared" ref="CJ256:CK258" si="780">G256</f>
        <v>Mai</v>
      </c>
      <c r="CK256" s="87">
        <f t="shared" si="780"/>
        <v>5</v>
      </c>
      <c r="CL256" s="227" t="str">
        <f t="shared" ref="CL256:CL263" si="781">L256</f>
        <v>Kinh tế</v>
      </c>
      <c r="CM256" s="87" t="str">
        <f t="shared" si="691"/>
        <v>CS2</v>
      </c>
      <c r="CN256" s="87">
        <f t="shared" si="777"/>
        <v>270</v>
      </c>
      <c r="CO256" s="87">
        <f t="shared" si="777"/>
        <v>100</v>
      </c>
      <c r="CP256" s="229">
        <f t="shared" si="634"/>
        <v>0</v>
      </c>
      <c r="CQ256" s="229">
        <f t="shared" si="635"/>
        <v>48.5</v>
      </c>
      <c r="CR256" s="229">
        <f t="shared" si="636"/>
        <v>19.399999999999999</v>
      </c>
      <c r="CS256" s="229">
        <f t="shared" si="637"/>
        <v>0</v>
      </c>
      <c r="CT256" s="229">
        <f t="shared" si="638"/>
        <v>0</v>
      </c>
      <c r="CU256" s="229">
        <f t="shared" si="639"/>
        <v>320.60000000000002</v>
      </c>
      <c r="CV256" s="229">
        <f t="shared" si="640"/>
        <v>0</v>
      </c>
      <c r="CW256" s="229">
        <f t="shared" si="641"/>
        <v>0</v>
      </c>
      <c r="CX256" s="229">
        <f t="shared" si="642"/>
        <v>0</v>
      </c>
      <c r="CY256" s="229">
        <f t="shared" si="643"/>
        <v>0</v>
      </c>
      <c r="CZ256" s="229">
        <f t="shared" si="644"/>
        <v>0</v>
      </c>
      <c r="DA256" s="229">
        <f t="shared" si="645"/>
        <v>70</v>
      </c>
      <c r="DB256" s="228">
        <f t="shared" si="606"/>
        <v>458.5</v>
      </c>
      <c r="DC256" s="229"/>
      <c r="DD256" s="229"/>
      <c r="DE256" s="229"/>
      <c r="DF256" s="229"/>
      <c r="DG256" s="229"/>
      <c r="DH256" s="229"/>
      <c r="DI256" s="229"/>
      <c r="DJ256" s="229"/>
      <c r="DK256" s="229"/>
      <c r="DL256" s="229"/>
      <c r="DM256" s="229"/>
      <c r="DN256" s="229"/>
      <c r="DO256" s="228">
        <f t="shared" si="622"/>
        <v>0</v>
      </c>
      <c r="DP256" s="228">
        <f t="shared" si="623"/>
        <v>458.5</v>
      </c>
      <c r="DQ256" s="229">
        <f t="shared" si="646"/>
        <v>0</v>
      </c>
      <c r="DR256" s="229">
        <f t="shared" si="647"/>
        <v>0</v>
      </c>
      <c r="DS256" s="229">
        <f t="shared" si="648"/>
        <v>0</v>
      </c>
      <c r="DT256" s="229">
        <f t="shared" si="649"/>
        <v>0</v>
      </c>
      <c r="DU256" s="229">
        <f t="shared" si="650"/>
        <v>0</v>
      </c>
      <c r="DV256" s="229">
        <f t="shared" si="651"/>
        <v>0</v>
      </c>
      <c r="DW256" s="229">
        <f t="shared" si="652"/>
        <v>0</v>
      </c>
      <c r="DX256" s="228">
        <f t="shared" si="607"/>
        <v>0</v>
      </c>
      <c r="DY256" s="229"/>
      <c r="DZ256" s="229"/>
      <c r="EA256" s="229"/>
      <c r="EB256" s="229"/>
      <c r="EC256" s="229"/>
      <c r="ED256" s="229"/>
      <c r="EE256" s="229"/>
      <c r="EF256" s="228">
        <f t="shared" si="631"/>
        <v>0</v>
      </c>
      <c r="EG256" s="228">
        <f t="shared" si="624"/>
        <v>0</v>
      </c>
      <c r="EH256" s="229">
        <f t="shared" si="632"/>
        <v>85</v>
      </c>
      <c r="EI256" s="229">
        <v>210</v>
      </c>
      <c r="EJ256" s="228">
        <f t="shared" si="772"/>
        <v>295</v>
      </c>
      <c r="EK256" s="229"/>
      <c r="EL256" s="229"/>
      <c r="EM256" s="228">
        <f>SUM(EK256:EL256)</f>
        <v>0</v>
      </c>
      <c r="EN256" s="229">
        <f t="shared" si="708"/>
        <v>85</v>
      </c>
      <c r="EO256" s="229">
        <f t="shared" si="723"/>
        <v>210</v>
      </c>
      <c r="EP256" s="228">
        <f t="shared" ref="EP256:EP264" si="782">EM256+EJ256</f>
        <v>295</v>
      </c>
      <c r="EQ256" s="173">
        <f t="shared" si="633"/>
        <v>85</v>
      </c>
      <c r="ER256" s="189">
        <v>0</v>
      </c>
      <c r="ES256" s="189">
        <v>48.5</v>
      </c>
      <c r="ET256" s="189">
        <v>19.399999999999999</v>
      </c>
      <c r="EU256" s="189">
        <v>0</v>
      </c>
      <c r="EV256" s="189">
        <v>0</v>
      </c>
      <c r="EW256" s="189">
        <v>320.60000000000002</v>
      </c>
      <c r="EX256" s="189">
        <v>0</v>
      </c>
      <c r="EY256" s="189">
        <v>0</v>
      </c>
      <c r="EZ256" s="189">
        <v>0</v>
      </c>
      <c r="FA256" s="189">
        <v>0</v>
      </c>
      <c r="FB256" s="189">
        <v>0</v>
      </c>
      <c r="FC256" s="189">
        <v>70</v>
      </c>
      <c r="FD256" s="189">
        <v>0</v>
      </c>
      <c r="FE256" s="189">
        <v>0</v>
      </c>
      <c r="FF256" s="189">
        <v>0</v>
      </c>
      <c r="FG256" s="189">
        <v>0</v>
      </c>
      <c r="FH256" s="189">
        <v>0</v>
      </c>
      <c r="FI256" s="189">
        <v>0</v>
      </c>
      <c r="FJ256" s="189">
        <v>0</v>
      </c>
      <c r="FK256" s="189">
        <v>458.5</v>
      </c>
      <c r="FL256" s="189">
        <v>337</v>
      </c>
      <c r="FN256" s="132">
        <v>85</v>
      </c>
    </row>
    <row r="257" spans="1:170" ht="30">
      <c r="A257" s="88">
        <f>COUNTIF($H$12:H257,H257)</f>
        <v>10</v>
      </c>
      <c r="B257" s="88" t="s">
        <v>264</v>
      </c>
      <c r="C257" s="88" t="s">
        <v>599</v>
      </c>
      <c r="D257" s="88"/>
      <c r="E257" s="88"/>
      <c r="F257" s="301" t="s">
        <v>2198</v>
      </c>
      <c r="G257" s="89" t="s">
        <v>1140</v>
      </c>
      <c r="H257" s="88">
        <v>5</v>
      </c>
      <c r="I257" s="88">
        <v>5</v>
      </c>
      <c r="J257" s="88">
        <v>5</v>
      </c>
      <c r="K257" s="90" t="s">
        <v>1085</v>
      </c>
      <c r="L257" s="90" t="s">
        <v>1085</v>
      </c>
      <c r="M257" s="214"/>
      <c r="N257" s="88" t="s">
        <v>1804</v>
      </c>
      <c r="O257" s="216">
        <f t="shared" si="774"/>
        <v>3</v>
      </c>
      <c r="P257" s="88" t="str">
        <f t="shared" si="663"/>
        <v>B1_3</v>
      </c>
      <c r="Q257" s="88">
        <f t="shared" si="733"/>
        <v>270</v>
      </c>
      <c r="R257" s="88">
        <f t="shared" si="734"/>
        <v>100</v>
      </c>
      <c r="S257" s="218" t="s">
        <v>2642</v>
      </c>
      <c r="T257" s="88" t="s">
        <v>3091</v>
      </c>
      <c r="U257" s="88">
        <f>IF(RIGHT(T257,1)="K",(VLOOKUP(T257,ma_miengiam!$A$3:$B$80,2,0)*100)/2,VLOOKUP(T257,ma_miengiam!$A$3:$B$80,2,0)*100)</f>
        <v>20</v>
      </c>
      <c r="V257" s="88">
        <v>6</v>
      </c>
      <c r="W257" s="220">
        <f>IF(AND(T257="NTS",V257&gt;0),(Q257-(Q257*V257)/12)*VLOOKUP(T257,ma_miengiam!$A$3:$B$80,2,0)+(Q257-(Q257*(12-V257))/12),IF(AND(RIGHT(T257,1)="K",V257&gt;0),(VLOOKUP(T257,ma_miengiam!$A$3:$B$80,2,0)/2)*(Q257*V257)/12,IF(RIGHT(T257,1)="K",(VLOOKUP(T257,ma_miengiam!$A$3:$B$80,2,0)*Q257)/2,IF(V257&gt;0,VLOOKUP(T257,ma_miengiam!$A$3:$B$80,2,0)*Q257*V257/12,VLOOKUP(T257,ma_miengiam!$A$3:$B$80,2,0)*Q257))))</f>
        <v>27</v>
      </c>
      <c r="X257" s="220">
        <f>IF(T257="NTS",VLOOKUP(T257,ma_miengiam!$A$3:$B$80,2,0)*R257*V257,IF(AND(T257="NTS",V257=0),0,IF(AND(LEFT(T257,1)="K",V257=0),VLOOKUP(T257,ma_miengiam!$A$3:$B$80,2,0)*R257,IF(LEFT(T257,1)="K",(VLOOKUP(T257,ma_miengiam!$A$3:$B$80,2,0)*R257/12)*V257,IF(AND(LEFT(T257,1)="S",V257&gt;0),(R257/12)*V257,IF(AND(LEFT(T257,1)="S",V257=0),R257,IF(T257="DH",VLOOKUP(T257,ma_miengiam!$A$3:$B$80,2,0)*R257,0)))))))</f>
        <v>0</v>
      </c>
      <c r="Y257" s="220">
        <f t="shared" ref="Y257:Y288" si="783">IF(AND(T257="DH",V257&gt;0),(S257*V257/12),IF(AND(T257&lt;&gt;"NTS",V257&gt;0),(Q257*V257/12)-W257,IF(AND(T257="NTS",V257&gt;0),Q257-W257,Q257-W257)))</f>
        <v>108</v>
      </c>
      <c r="Z257" s="220">
        <f t="shared" si="739"/>
        <v>50</v>
      </c>
      <c r="AA257" s="220">
        <f t="shared" si="778"/>
        <v>270</v>
      </c>
      <c r="AB257" s="220">
        <f t="shared" si="778"/>
        <v>100</v>
      </c>
      <c r="AC257" s="220">
        <f t="shared" si="779"/>
        <v>27</v>
      </c>
      <c r="AD257" s="220">
        <f t="shared" si="779"/>
        <v>0</v>
      </c>
      <c r="AE257" s="220">
        <f t="shared" si="779"/>
        <v>108</v>
      </c>
      <c r="AF257" s="220">
        <f t="shared" si="779"/>
        <v>50</v>
      </c>
      <c r="AG257" s="220">
        <f t="shared" ref="AG257:AG262" si="784">AH257+AI257</f>
        <v>78.91</v>
      </c>
      <c r="AH257" s="220">
        <f t="shared" ref="AH257:AH262" si="785">EO257</f>
        <v>53.91</v>
      </c>
      <c r="AI257" s="220">
        <f t="shared" ref="AI257:AI262" si="786">EN257</f>
        <v>25</v>
      </c>
      <c r="AJ257" s="220">
        <f t="shared" si="677"/>
        <v>0</v>
      </c>
      <c r="AK257" s="216">
        <f t="shared" si="604"/>
        <v>108</v>
      </c>
      <c r="AL257" s="220">
        <f t="shared" si="611"/>
        <v>322.5</v>
      </c>
      <c r="AM257" s="220">
        <f t="shared" si="612"/>
        <v>0</v>
      </c>
      <c r="AN257" s="221">
        <f t="shared" si="613"/>
        <v>322.5</v>
      </c>
      <c r="AO257" s="220">
        <f t="shared" si="614"/>
        <v>0</v>
      </c>
      <c r="AP257" s="220">
        <f t="shared" si="615"/>
        <v>0</v>
      </c>
      <c r="AQ257" s="220">
        <f t="shared" si="616"/>
        <v>60</v>
      </c>
      <c r="AR257" s="220">
        <f t="shared" si="617"/>
        <v>0</v>
      </c>
      <c r="AS257" s="220">
        <f t="shared" si="618"/>
        <v>0</v>
      </c>
      <c r="AT257" s="216">
        <f t="shared" si="619"/>
        <v>382.5</v>
      </c>
      <c r="AU257" s="222">
        <f t="shared" si="722"/>
        <v>214.5</v>
      </c>
      <c r="AV257" s="220"/>
      <c r="AW257" s="220">
        <f t="shared" si="680"/>
        <v>214.5</v>
      </c>
      <c r="AX257" s="216">
        <f t="shared" si="620"/>
        <v>0</v>
      </c>
      <c r="AY257" s="220">
        <f t="shared" si="681"/>
        <v>0</v>
      </c>
      <c r="AZ257" s="220">
        <f t="shared" si="682"/>
        <v>0</v>
      </c>
      <c r="BA257" s="220">
        <f t="shared" si="683"/>
        <v>60</v>
      </c>
      <c r="BB257" s="220">
        <f t="shared" si="684"/>
        <v>0</v>
      </c>
      <c r="BC257" s="220">
        <f t="shared" si="685"/>
        <v>0</v>
      </c>
      <c r="BD257" s="216">
        <f t="shared" si="759"/>
        <v>60</v>
      </c>
      <c r="BE257" s="220">
        <f t="shared" si="686"/>
        <v>0</v>
      </c>
      <c r="BF257" s="220">
        <f t="shared" si="687"/>
        <v>0</v>
      </c>
      <c r="BG257" s="220">
        <f t="shared" si="688"/>
        <v>0</v>
      </c>
      <c r="BH257" s="220">
        <f t="shared" si="689"/>
        <v>0</v>
      </c>
      <c r="BI257" s="220">
        <f t="shared" si="690"/>
        <v>0</v>
      </c>
      <c r="BJ257" s="220" t="s">
        <v>2415</v>
      </c>
      <c r="BK257" s="220"/>
      <c r="BL257" s="223">
        <f t="shared" si="773"/>
        <v>214.5</v>
      </c>
      <c r="BM257" s="220">
        <v>3</v>
      </c>
      <c r="BN257" s="220"/>
      <c r="BO257" s="220">
        <f t="shared" si="776"/>
        <v>3</v>
      </c>
      <c r="BP257" s="220">
        <f>IF(AND(BL257&gt;0,BL257&lt;tiet!$D$1),BL257,IF(BL257&lt;=0,0,IF(BL257&gt;tiet!$C$1,tiet!$C$1)))</f>
        <v>200</v>
      </c>
      <c r="BQ257" s="87">
        <f t="shared" si="674"/>
        <v>60000</v>
      </c>
      <c r="BR257" s="224">
        <f t="shared" si="675"/>
        <v>12000000</v>
      </c>
      <c r="BS257" s="220">
        <f t="shared" si="630"/>
        <v>14.5</v>
      </c>
      <c r="BT257" s="224">
        <f>VLOOKUP(N257,ma_dinhmuc!$A$1:$J$31,10,0)</f>
        <v>51000</v>
      </c>
      <c r="BU257" s="224">
        <f>ROUND(IF(BS257&gt;0,VLOOKUP(N257,ma_dinhmuc!$A$1:$J$31,10,0)*BS257,0),0)</f>
        <v>739500</v>
      </c>
      <c r="BV257" s="224">
        <f t="shared" si="676"/>
        <v>12739500</v>
      </c>
      <c r="BW257" s="224"/>
      <c r="BX257" s="224">
        <v>0</v>
      </c>
      <c r="BY257" s="224"/>
      <c r="BZ257" s="224"/>
      <c r="CA257" s="224"/>
      <c r="CB257" s="224"/>
      <c r="CC257" s="225">
        <f t="shared" si="697"/>
        <v>12739500</v>
      </c>
      <c r="CD257" s="224">
        <f t="shared" si="698"/>
        <v>0</v>
      </c>
      <c r="CE257" s="224"/>
      <c r="CF257" s="226"/>
      <c r="CG257" s="87"/>
      <c r="CH257" s="87">
        <f t="shared" si="767"/>
        <v>10</v>
      </c>
      <c r="CI257" s="227" t="str">
        <f t="shared" si="770"/>
        <v>Bùi Thị Khánh</v>
      </c>
      <c r="CJ257" s="227" t="str">
        <f t="shared" si="780"/>
        <v>Hòa</v>
      </c>
      <c r="CK257" s="87">
        <f t="shared" si="780"/>
        <v>5</v>
      </c>
      <c r="CL257" s="227" t="str">
        <f t="shared" si="781"/>
        <v>Kinh tế</v>
      </c>
      <c r="CM257" s="87" t="str">
        <f t="shared" si="691"/>
        <v>CS2</v>
      </c>
      <c r="CN257" s="87">
        <f t="shared" ref="CN257:CO259" si="787">Q257</f>
        <v>270</v>
      </c>
      <c r="CO257" s="87">
        <f t="shared" si="787"/>
        <v>100</v>
      </c>
      <c r="CP257" s="229">
        <f t="shared" si="634"/>
        <v>0</v>
      </c>
      <c r="CQ257" s="229">
        <f t="shared" si="635"/>
        <v>33.1</v>
      </c>
      <c r="CR257" s="229">
        <f t="shared" si="636"/>
        <v>13.3</v>
      </c>
      <c r="CS257" s="229">
        <f t="shared" si="637"/>
        <v>54</v>
      </c>
      <c r="CT257" s="229">
        <f t="shared" si="638"/>
        <v>0</v>
      </c>
      <c r="CU257" s="229">
        <f t="shared" si="639"/>
        <v>222.1</v>
      </c>
      <c r="CV257" s="229">
        <f t="shared" si="640"/>
        <v>0</v>
      </c>
      <c r="CW257" s="229">
        <f t="shared" si="641"/>
        <v>0</v>
      </c>
      <c r="CX257" s="229">
        <f t="shared" si="642"/>
        <v>0</v>
      </c>
      <c r="CY257" s="229">
        <f t="shared" si="643"/>
        <v>0</v>
      </c>
      <c r="CZ257" s="229">
        <f t="shared" si="644"/>
        <v>0</v>
      </c>
      <c r="DA257" s="229">
        <f t="shared" si="645"/>
        <v>60</v>
      </c>
      <c r="DB257" s="228">
        <f t="shared" si="606"/>
        <v>382.5</v>
      </c>
      <c r="DC257" s="229"/>
      <c r="DD257" s="229"/>
      <c r="DE257" s="229"/>
      <c r="DF257" s="229"/>
      <c r="DG257" s="229"/>
      <c r="DH257" s="229"/>
      <c r="DI257" s="229"/>
      <c r="DJ257" s="229"/>
      <c r="DK257" s="229"/>
      <c r="DL257" s="229"/>
      <c r="DM257" s="229"/>
      <c r="DN257" s="229"/>
      <c r="DO257" s="228">
        <f t="shared" si="622"/>
        <v>0</v>
      </c>
      <c r="DP257" s="228">
        <f t="shared" si="623"/>
        <v>382.5</v>
      </c>
      <c r="DQ257" s="229">
        <f t="shared" si="646"/>
        <v>0</v>
      </c>
      <c r="DR257" s="229">
        <f t="shared" si="647"/>
        <v>0</v>
      </c>
      <c r="DS257" s="229">
        <f t="shared" si="648"/>
        <v>0</v>
      </c>
      <c r="DT257" s="229">
        <f t="shared" si="649"/>
        <v>0</v>
      </c>
      <c r="DU257" s="229">
        <f t="shared" si="650"/>
        <v>0</v>
      </c>
      <c r="DV257" s="229">
        <f t="shared" si="651"/>
        <v>0</v>
      </c>
      <c r="DW257" s="229">
        <f t="shared" si="652"/>
        <v>0</v>
      </c>
      <c r="DX257" s="228">
        <f t="shared" si="607"/>
        <v>0</v>
      </c>
      <c r="DY257" s="229"/>
      <c r="DZ257" s="229"/>
      <c r="EA257" s="229"/>
      <c r="EB257" s="229"/>
      <c r="EC257" s="229"/>
      <c r="ED257" s="229"/>
      <c r="EE257" s="229"/>
      <c r="EF257" s="228">
        <f t="shared" si="631"/>
        <v>0</v>
      </c>
      <c r="EG257" s="228">
        <f t="shared" si="624"/>
        <v>0</v>
      </c>
      <c r="EH257" s="229">
        <f t="shared" si="632"/>
        <v>25</v>
      </c>
      <c r="EI257" s="229">
        <v>53.91</v>
      </c>
      <c r="EJ257" s="228">
        <f t="shared" si="772"/>
        <v>78.91</v>
      </c>
      <c r="EK257" s="229"/>
      <c r="EL257" s="229"/>
      <c r="EM257" s="228">
        <f>SUM(EK257:EL257)</f>
        <v>0</v>
      </c>
      <c r="EN257" s="229">
        <f t="shared" si="708"/>
        <v>25</v>
      </c>
      <c r="EO257" s="229">
        <f t="shared" si="723"/>
        <v>53.91</v>
      </c>
      <c r="EP257" s="228">
        <f t="shared" si="782"/>
        <v>78.91</v>
      </c>
      <c r="EQ257" s="173">
        <f t="shared" si="633"/>
        <v>0</v>
      </c>
      <c r="ER257" s="189">
        <v>0</v>
      </c>
      <c r="ES257" s="189">
        <v>33.1</v>
      </c>
      <c r="ET257" s="189">
        <v>13.3</v>
      </c>
      <c r="EU257" s="189">
        <v>54</v>
      </c>
      <c r="EV257" s="189">
        <v>0</v>
      </c>
      <c r="EW257" s="189">
        <v>222.1</v>
      </c>
      <c r="EX257" s="189">
        <v>0</v>
      </c>
      <c r="EY257" s="189">
        <v>0</v>
      </c>
      <c r="EZ257" s="189">
        <v>0</v>
      </c>
      <c r="FA257" s="189">
        <v>0</v>
      </c>
      <c r="FB257" s="189">
        <v>0</v>
      </c>
      <c r="FC257" s="189">
        <v>60</v>
      </c>
      <c r="FD257" s="189">
        <v>0</v>
      </c>
      <c r="FE257" s="189">
        <v>0</v>
      </c>
      <c r="FF257" s="189">
        <v>0</v>
      </c>
      <c r="FG257" s="189">
        <v>0</v>
      </c>
      <c r="FH257" s="189">
        <v>0</v>
      </c>
      <c r="FI257" s="189">
        <v>0</v>
      </c>
      <c r="FJ257" s="189">
        <v>0</v>
      </c>
      <c r="FK257" s="189">
        <v>382.5</v>
      </c>
      <c r="FL257" s="189">
        <v>319</v>
      </c>
      <c r="FN257" s="132">
        <v>25</v>
      </c>
    </row>
    <row r="258" spans="1:170" ht="32.25" customHeight="1">
      <c r="A258" s="88">
        <f>COUNTIF($H$12:H258,H258)</f>
        <v>11</v>
      </c>
      <c r="B258" s="88" t="s">
        <v>265</v>
      </c>
      <c r="C258" s="88" t="s">
        <v>600</v>
      </c>
      <c r="D258" s="88"/>
      <c r="E258" s="88"/>
      <c r="F258" s="301" t="s">
        <v>721</v>
      </c>
      <c r="G258" s="89" t="s">
        <v>2855</v>
      </c>
      <c r="H258" s="88">
        <v>5</v>
      </c>
      <c r="I258" s="88">
        <v>5</v>
      </c>
      <c r="J258" s="88">
        <v>5</v>
      </c>
      <c r="K258" s="90" t="s">
        <v>1085</v>
      </c>
      <c r="L258" s="90" t="s">
        <v>1085</v>
      </c>
      <c r="M258" s="214"/>
      <c r="N258" s="88" t="s">
        <v>1804</v>
      </c>
      <c r="O258" s="216">
        <f>BO258</f>
        <v>2.67</v>
      </c>
      <c r="P258" s="88" t="str">
        <f t="shared" si="663"/>
        <v>B1_3</v>
      </c>
      <c r="Q258" s="88">
        <f t="shared" si="733"/>
        <v>270</v>
      </c>
      <c r="R258" s="88">
        <f t="shared" si="734"/>
        <v>100</v>
      </c>
      <c r="S258" s="218" t="s">
        <v>3134</v>
      </c>
      <c r="T258" s="88" t="s">
        <v>2961</v>
      </c>
      <c r="U258" s="88">
        <f>IF(RIGHT(T258,1)="K",(VLOOKUP(T258,ma_miengiam!$A$3:$B$80,2,0)*100)/2,VLOOKUP(T258,ma_miengiam!$A$3:$B$80,2,0)*100)</f>
        <v>100</v>
      </c>
      <c r="V258" s="88"/>
      <c r="W258" s="220">
        <f>IF(AND(T258="NTS",V258&gt;0),(Q258-(Q258*V258)/12)*VLOOKUP(T258,ma_miengiam!$A$3:$B$80,2,0)+(Q258-(Q258*(12-V258))/12),IF(AND(RIGHT(T258,1)="K",V258&gt;0),(VLOOKUP(T258,ma_miengiam!$A$3:$B$80,2,0)/2)*(Q258*V258)/12,IF(RIGHT(T258,1)="K",(VLOOKUP(T258,ma_miengiam!$A$3:$B$80,2,0)*Q258)/2,IF(V258&gt;0,VLOOKUP(T258,ma_miengiam!$A$3:$B$80,2,0)*Q258*V258/12,VLOOKUP(T258,ma_miengiam!$A$3:$B$80,2,0)*Q258))))</f>
        <v>270</v>
      </c>
      <c r="X258" s="220">
        <f>IF(T258="NTS",VLOOKUP(T258,ma_miengiam!$A$3:$B$80,2,0)*R258*V258,IF(AND(T258="NTS",V258=0),0,IF(AND(LEFT(T258,1)="K",V258=0),VLOOKUP(T258,ma_miengiam!$A$3:$B$80,2,0)*R258,IF(LEFT(T258,1)="K",(VLOOKUP(T258,ma_miengiam!$A$3:$B$80,2,0)*R258/12)*V258,IF(AND(LEFT(T258,1)="S",V258&gt;0),(R258/12)*V258,IF(AND(LEFT(T258,1)="S",V258=0),R258,IF(T258="DH",VLOOKUP(T258,ma_miengiam!$A$3:$B$80,2,0)*R258,0)))))))</f>
        <v>100</v>
      </c>
      <c r="Y258" s="220">
        <f>IF(AND(T258="DH",V258&gt;0),(S258*V258/12),IF(AND(T258&lt;&gt;"NTS",V258&gt;0),(Q258*V258/12)-W258,IF(AND(T258="NTS",V258&gt;0),Q258-W258,Q258-W258)))</f>
        <v>0</v>
      </c>
      <c r="Z258" s="220">
        <f>IF(AND(T258="SĐH",V258&gt;0),(R258/12)*V258-X258,IF(AND(T258="DH",V258&gt;0),(R258*V258/12),IF(AND(T258&lt;&gt;"NTS",V258&gt;0),(R258*V258/12)-X258,IF(AND(T258="NTS",V258&gt;0),R258-X258,R258-X258))))</f>
        <v>0</v>
      </c>
      <c r="AA258" s="220">
        <f>Q258</f>
        <v>270</v>
      </c>
      <c r="AB258" s="220">
        <f>R258</f>
        <v>100</v>
      </c>
      <c r="AC258" s="220">
        <f>W258</f>
        <v>270</v>
      </c>
      <c r="AD258" s="220">
        <f>X258</f>
        <v>100</v>
      </c>
      <c r="AE258" s="220">
        <f>Y258</f>
        <v>0</v>
      </c>
      <c r="AF258" s="220">
        <f>Z258</f>
        <v>0</v>
      </c>
      <c r="AG258" s="220">
        <f>AH258+AI258</f>
        <v>172.3</v>
      </c>
      <c r="AH258" s="220">
        <f>EO258</f>
        <v>172.3</v>
      </c>
      <c r="AI258" s="220">
        <f>EN258</f>
        <v>0</v>
      </c>
      <c r="AJ258" s="220">
        <f>IF(AG258-Z258&gt;0,0,AG258-Z258)</f>
        <v>0</v>
      </c>
      <c r="AK258" s="216">
        <f t="shared" si="604"/>
        <v>0</v>
      </c>
      <c r="AL258" s="220">
        <f t="shared" si="611"/>
        <v>0</v>
      </c>
      <c r="AM258" s="220">
        <f t="shared" si="612"/>
        <v>0</v>
      </c>
      <c r="AN258" s="221">
        <f t="shared" si="613"/>
        <v>0</v>
      </c>
      <c r="AO258" s="220">
        <f t="shared" si="614"/>
        <v>0</v>
      </c>
      <c r="AP258" s="220">
        <f t="shared" si="615"/>
        <v>0</v>
      </c>
      <c r="AQ258" s="220">
        <f t="shared" si="616"/>
        <v>0</v>
      </c>
      <c r="AR258" s="220">
        <f t="shared" si="617"/>
        <v>0</v>
      </c>
      <c r="AS258" s="220">
        <f t="shared" si="618"/>
        <v>0</v>
      </c>
      <c r="AT258" s="216">
        <f t="shared" si="619"/>
        <v>0</v>
      </c>
      <c r="AU258" s="222">
        <f>AN258-AK258</f>
        <v>0</v>
      </c>
      <c r="AV258" s="220"/>
      <c r="AW258" s="220">
        <f>IF(AU258&gt;0,AU258,AV258+AU258)</f>
        <v>0</v>
      </c>
      <c r="AX258" s="216">
        <f t="shared" si="620"/>
        <v>0</v>
      </c>
      <c r="AY258" s="220">
        <f>IF(AN258&gt;=AK258,AO258,IF(AN258+AO258-AK258&gt;=0,AN258+AO258-AK258,0))</f>
        <v>0</v>
      </c>
      <c r="AZ258" s="220">
        <f>IF(OR(AN258&gt;=AK258,AN258+AO258&gt;=AK258),AP258,IF(AN258+AO258+AP258&gt;AK258,AN258+AO258+AP258-AK258,0))</f>
        <v>0</v>
      </c>
      <c r="BA258" s="220">
        <f>IF(OR(AN258&gt;=AK258,AN258+AO258&gt;=AK258,AN258+AO258+AP258&gt;=AK258),AQ258,IF(AN258+AO258+AP258+AQ258&gt;=AK258,AN258+AO258+AP258+AQ258-AK258,0))</f>
        <v>0</v>
      </c>
      <c r="BB258" s="220">
        <f>IF(OR(AN258&gt;=AK258,AN258+AO258&gt;=AK258,AN258+AO258+AP258&gt;=AK258,AN258+AO258+AP258+AQ258&gt;=AK258),AR258,IF(AN258+AO258+AP258+AQ258+AR258&gt;=AK258,AN258+AO258+AP258+AQ258+AR258-AK258,0))</f>
        <v>0</v>
      </c>
      <c r="BC258" s="220">
        <f>IF(OR(AN258&gt;=AK258,AN258+AO258&gt;=AK258,AN258+AO258+AP258&gt;=AK258,AN258+AO258+AP258+AQ258&gt;=AK258,AN258+AO258+AP258+AQ258+AR258&gt;=AK258),AS258,IF(AN258+AO258+AP258+AQ258+AR258+AS258&gt;=AK258,AN258+AO258+AP258+AQ258+AR258+AS258-AK258,0))</f>
        <v>0</v>
      </c>
      <c r="BD258" s="216">
        <f t="shared" si="759"/>
        <v>0</v>
      </c>
      <c r="BE258" s="220">
        <f>AY258-AO258</f>
        <v>0</v>
      </c>
      <c r="BF258" s="220">
        <f>AZ258-AP258</f>
        <v>0</v>
      </c>
      <c r="BG258" s="220">
        <f>BA258-AQ258</f>
        <v>0</v>
      </c>
      <c r="BH258" s="220">
        <f>BB258-AR258</f>
        <v>0</v>
      </c>
      <c r="BI258" s="220">
        <f>BC258-AS258</f>
        <v>0</v>
      </c>
      <c r="BJ258" s="220" t="s">
        <v>2415</v>
      </c>
      <c r="BK258" s="220"/>
      <c r="BL258" s="223">
        <f t="shared" si="773"/>
        <v>0</v>
      </c>
      <c r="BM258" s="220">
        <v>2.67</v>
      </c>
      <c r="BN258" s="220"/>
      <c r="BO258" s="220">
        <f t="shared" si="776"/>
        <v>2.67</v>
      </c>
      <c r="BP258" s="220">
        <f>IF(AND(BL258&gt;0,BL258&lt;tiet!$D$1),BL258,IF(BL258&lt;=0,0,IF(BL258&gt;tiet!$C$1,tiet!$C$1)))</f>
        <v>0</v>
      </c>
      <c r="BQ258" s="87">
        <f>VLOOKUP(P258,ma_dinhmuc_moi,4,0)</f>
        <v>60000</v>
      </c>
      <c r="BR258" s="224">
        <f>ROUND(BQ258*BP258,0)</f>
        <v>0</v>
      </c>
      <c r="BS258" s="220">
        <f t="shared" si="630"/>
        <v>0</v>
      </c>
      <c r="BT258" s="224">
        <f>VLOOKUP(N258,ma_dinhmuc!$A$1:$J$31,10,0)</f>
        <v>51000</v>
      </c>
      <c r="BU258" s="224">
        <f>ROUND(IF(BS258&gt;0,VLOOKUP(N258,ma_dinhmuc!$A$1:$J$31,10,0)*BS258,0),0)</f>
        <v>0</v>
      </c>
      <c r="BV258" s="224">
        <f>ROUND(BU258+BR258,0)</f>
        <v>0</v>
      </c>
      <c r="BW258" s="224"/>
      <c r="BX258" s="224">
        <v>297000</v>
      </c>
      <c r="BY258" s="224"/>
      <c r="BZ258" s="224"/>
      <c r="CA258" s="224"/>
      <c r="CB258" s="224"/>
      <c r="CC258" s="225">
        <f>ROUND(IF(BV258+BW258&gt;BX258+BY258+BZ258+CA258+CB258,(BW258+BV258)-(BX258+BY258+BZ258+CA258+CB258+CB258),0),0)</f>
        <v>0</v>
      </c>
      <c r="CD258" s="224">
        <f>ROUND(IF(BV258+BW258&lt;BX258+BY258+BZ258+CA258-CB258,(BX258+BY258+BZ258+CA258-CB258)-(BW258+BV258),0),0)</f>
        <v>297000</v>
      </c>
      <c r="CE258" s="224"/>
      <c r="CF258" s="226"/>
      <c r="CG258" s="87"/>
      <c r="CH258" s="87">
        <f t="shared" ref="CH258:CH270" si="788">A258</f>
        <v>11</v>
      </c>
      <c r="CI258" s="227" t="str">
        <f t="shared" ref="CI258:CI264" si="789">F258</f>
        <v>Phan Xuân</v>
      </c>
      <c r="CJ258" s="227" t="str">
        <f t="shared" si="780"/>
        <v>Tân</v>
      </c>
      <c r="CK258" s="87">
        <f t="shared" si="780"/>
        <v>5</v>
      </c>
      <c r="CL258" s="227" t="str">
        <f>L258</f>
        <v>Kinh tế</v>
      </c>
      <c r="CM258" s="87" t="str">
        <f>N258</f>
        <v>CS2</v>
      </c>
      <c r="CN258" s="87">
        <f t="shared" si="787"/>
        <v>270</v>
      </c>
      <c r="CO258" s="87">
        <f t="shared" si="787"/>
        <v>100</v>
      </c>
      <c r="CP258" s="229">
        <f t="shared" si="634"/>
        <v>0</v>
      </c>
      <c r="CQ258" s="229">
        <f t="shared" si="635"/>
        <v>0</v>
      </c>
      <c r="CR258" s="229">
        <f t="shared" si="636"/>
        <v>0</v>
      </c>
      <c r="CS258" s="229">
        <f t="shared" si="637"/>
        <v>0</v>
      </c>
      <c r="CT258" s="229">
        <f t="shared" si="638"/>
        <v>0</v>
      </c>
      <c r="CU258" s="229">
        <f t="shared" si="639"/>
        <v>0</v>
      </c>
      <c r="CV258" s="229">
        <f t="shared" si="640"/>
        <v>0</v>
      </c>
      <c r="CW258" s="229">
        <f t="shared" si="641"/>
        <v>0</v>
      </c>
      <c r="CX258" s="229">
        <f t="shared" si="642"/>
        <v>0</v>
      </c>
      <c r="CY258" s="229">
        <f t="shared" si="643"/>
        <v>0</v>
      </c>
      <c r="CZ258" s="229">
        <f t="shared" si="644"/>
        <v>0</v>
      </c>
      <c r="DA258" s="229">
        <f t="shared" si="645"/>
        <v>0</v>
      </c>
      <c r="DB258" s="228">
        <f t="shared" si="606"/>
        <v>0</v>
      </c>
      <c r="DC258" s="229"/>
      <c r="DD258" s="229"/>
      <c r="DE258" s="229"/>
      <c r="DF258" s="229"/>
      <c r="DG258" s="229"/>
      <c r="DH258" s="229"/>
      <c r="DI258" s="229"/>
      <c r="DJ258" s="229"/>
      <c r="DK258" s="229"/>
      <c r="DL258" s="229"/>
      <c r="DM258" s="229"/>
      <c r="DN258" s="229"/>
      <c r="DO258" s="228">
        <f t="shared" si="622"/>
        <v>0</v>
      </c>
      <c r="DP258" s="228">
        <f t="shared" si="623"/>
        <v>0</v>
      </c>
      <c r="DQ258" s="229">
        <f t="shared" si="646"/>
        <v>0</v>
      </c>
      <c r="DR258" s="229">
        <f t="shared" si="647"/>
        <v>0</v>
      </c>
      <c r="DS258" s="229">
        <f t="shared" si="648"/>
        <v>0</v>
      </c>
      <c r="DT258" s="229">
        <f t="shared" si="649"/>
        <v>0</v>
      </c>
      <c r="DU258" s="229">
        <f t="shared" si="650"/>
        <v>0</v>
      </c>
      <c r="DV258" s="229">
        <f t="shared" si="651"/>
        <v>0</v>
      </c>
      <c r="DW258" s="229">
        <f t="shared" si="652"/>
        <v>0</v>
      </c>
      <c r="DX258" s="228">
        <f t="shared" si="607"/>
        <v>0</v>
      </c>
      <c r="DY258" s="229"/>
      <c r="DZ258" s="229"/>
      <c r="EA258" s="229"/>
      <c r="EB258" s="229"/>
      <c r="EC258" s="229"/>
      <c r="ED258" s="229"/>
      <c r="EE258" s="229"/>
      <c r="EF258" s="228">
        <f t="shared" si="631"/>
        <v>0</v>
      </c>
      <c r="EG258" s="228">
        <f t="shared" si="624"/>
        <v>0</v>
      </c>
      <c r="EH258" s="229">
        <f t="shared" si="632"/>
        <v>0</v>
      </c>
      <c r="EI258" s="229">
        <v>172.3</v>
      </c>
      <c r="EJ258" s="228">
        <f>SUM(EH258:EI258)</f>
        <v>172.3</v>
      </c>
      <c r="EK258" s="229"/>
      <c r="EL258" s="229"/>
      <c r="EM258" s="228">
        <f>SUM(EK258:EL258)</f>
        <v>0</v>
      </c>
      <c r="EN258" s="229">
        <f>EK258+EH258+EL258</f>
        <v>0</v>
      </c>
      <c r="EO258" s="229">
        <f>EI258</f>
        <v>172.3</v>
      </c>
      <c r="EP258" s="228">
        <f t="shared" si="782"/>
        <v>172.3</v>
      </c>
      <c r="EQ258" s="173">
        <f t="shared" si="633"/>
        <v>0</v>
      </c>
      <c r="ER258" s="189">
        <v>0</v>
      </c>
      <c r="ES258" s="189">
        <v>0</v>
      </c>
      <c r="ET258" s="189">
        <v>0</v>
      </c>
      <c r="EU258" s="189">
        <v>0</v>
      </c>
      <c r="EV258" s="189">
        <v>0</v>
      </c>
      <c r="EW258" s="189">
        <v>0</v>
      </c>
      <c r="EX258" s="189">
        <v>0</v>
      </c>
      <c r="EY258" s="189">
        <v>0</v>
      </c>
      <c r="EZ258" s="189">
        <v>0</v>
      </c>
      <c r="FA258" s="189">
        <v>0</v>
      </c>
      <c r="FB258" s="189">
        <v>0</v>
      </c>
      <c r="FC258" s="189">
        <v>0</v>
      </c>
      <c r="FD258" s="189">
        <v>0</v>
      </c>
      <c r="FE258" s="189">
        <v>0</v>
      </c>
      <c r="FF258" s="189">
        <v>0</v>
      </c>
      <c r="FG258" s="189">
        <v>0</v>
      </c>
      <c r="FH258" s="189">
        <v>0</v>
      </c>
      <c r="FI258" s="189">
        <v>0</v>
      </c>
      <c r="FJ258" s="189">
        <v>0</v>
      </c>
      <c r="FK258" s="189">
        <v>0</v>
      </c>
      <c r="FL258" s="189">
        <v>0</v>
      </c>
      <c r="FN258" s="132">
        <v>0</v>
      </c>
    </row>
    <row r="259" spans="1:170" ht="30" customHeight="1">
      <c r="A259" s="88">
        <f>COUNTIF($H$12:H259,H259)</f>
        <v>12</v>
      </c>
      <c r="B259" s="88" t="s">
        <v>266</v>
      </c>
      <c r="C259" s="88" t="s">
        <v>601</v>
      </c>
      <c r="D259" s="88"/>
      <c r="E259" s="88"/>
      <c r="F259" s="301" t="s">
        <v>2895</v>
      </c>
      <c r="G259" s="303" t="s">
        <v>1725</v>
      </c>
      <c r="H259" s="88">
        <v>5</v>
      </c>
      <c r="I259" s="88">
        <v>5</v>
      </c>
      <c r="J259" s="88">
        <v>5</v>
      </c>
      <c r="K259" s="90" t="s">
        <v>1086</v>
      </c>
      <c r="L259" s="90" t="s">
        <v>1086</v>
      </c>
      <c r="M259" s="214"/>
      <c r="N259" s="88" t="s">
        <v>605</v>
      </c>
      <c r="O259" s="216">
        <f t="shared" si="774"/>
        <v>6.92</v>
      </c>
      <c r="P259" s="88" t="str">
        <f t="shared" si="663"/>
        <v>B1_7</v>
      </c>
      <c r="Q259" s="88">
        <f t="shared" si="733"/>
        <v>270</v>
      </c>
      <c r="R259" s="88">
        <f t="shared" si="734"/>
        <v>200</v>
      </c>
      <c r="S259" s="230"/>
      <c r="T259" s="88" t="s">
        <v>3088</v>
      </c>
      <c r="U259" s="88">
        <f>IF(RIGHT(T259,1)="K",(VLOOKUP(T259,ma_miengiam!$A$3:$B$80,2,0)*100)/2,VLOOKUP(T259,ma_miengiam!$A$3:$B$80,2,0)*100)</f>
        <v>0</v>
      </c>
      <c r="V259" s="88"/>
      <c r="W259" s="220">
        <f>IF(AND(T259="NTS",V259&gt;0),(Q259-(Q259*V259)/12)*VLOOKUP(T259,ma_miengiam!$A$3:$B$80,2,0)+(Q259-(Q259*(12-V259))/12),IF(AND(RIGHT(T259,1)="K",V259&gt;0),(VLOOKUP(T259,ma_miengiam!$A$3:$B$80,2,0)/2)*(Q259*V259)/12,IF(RIGHT(T259,1)="K",(VLOOKUP(T259,ma_miengiam!$A$3:$B$80,2,0)*Q259)/2,IF(V259&gt;0,VLOOKUP(T259,ma_miengiam!$A$3:$B$80,2,0)*Q259*V259/12,VLOOKUP(T259,ma_miengiam!$A$3:$B$80,2,0)*Q259))))</f>
        <v>0</v>
      </c>
      <c r="X259" s="220">
        <f>IF(T259="NTS",VLOOKUP(T259,ma_miengiam!$A$3:$B$80,2,0)*R259*V259,IF(AND(T259="NTS",V259=0),0,IF(AND(LEFT(T259,1)="K",V259=0),VLOOKUP(T259,ma_miengiam!$A$3:$B$80,2,0)*R259,IF(LEFT(T259,1)="K",(VLOOKUP(T259,ma_miengiam!$A$3:$B$80,2,0)*R259/12)*V259,IF(AND(LEFT(T259,1)="S",V259&gt;0),(R259/12)*V259,IF(AND(LEFT(T259,1)="S",V259=0),R259,IF(T259="DH",VLOOKUP(T259,ma_miengiam!$A$3:$B$80,2,0)*R259,0)))))))</f>
        <v>0</v>
      </c>
      <c r="Y259" s="220">
        <f t="shared" si="783"/>
        <v>270</v>
      </c>
      <c r="Z259" s="220">
        <f t="shared" si="739"/>
        <v>200</v>
      </c>
      <c r="AA259" s="220">
        <f t="shared" ref="AA259:AB262" si="790">Q259</f>
        <v>270</v>
      </c>
      <c r="AB259" s="220">
        <f t="shared" si="790"/>
        <v>200</v>
      </c>
      <c r="AC259" s="220">
        <f t="shared" ref="AC259:AF262" si="791">W259</f>
        <v>0</v>
      </c>
      <c r="AD259" s="220">
        <f t="shared" si="791"/>
        <v>0</v>
      </c>
      <c r="AE259" s="220">
        <f t="shared" si="791"/>
        <v>270</v>
      </c>
      <c r="AF259" s="220">
        <f t="shared" si="791"/>
        <v>200</v>
      </c>
      <c r="AG259" s="220">
        <f t="shared" si="784"/>
        <v>237.8</v>
      </c>
      <c r="AH259" s="220">
        <f t="shared" si="785"/>
        <v>107.81</v>
      </c>
      <c r="AI259" s="220">
        <f t="shared" si="786"/>
        <v>129.99</v>
      </c>
      <c r="AJ259" s="220">
        <f t="shared" si="677"/>
        <v>0</v>
      </c>
      <c r="AK259" s="216">
        <f t="shared" si="604"/>
        <v>270</v>
      </c>
      <c r="AL259" s="220">
        <f t="shared" si="611"/>
        <v>97.7</v>
      </c>
      <c r="AM259" s="220">
        <f t="shared" si="612"/>
        <v>648.9</v>
      </c>
      <c r="AN259" s="221">
        <f t="shared" si="613"/>
        <v>746.6</v>
      </c>
      <c r="AO259" s="220">
        <f t="shared" si="614"/>
        <v>0</v>
      </c>
      <c r="AP259" s="220">
        <f t="shared" si="615"/>
        <v>0</v>
      </c>
      <c r="AQ259" s="220">
        <f t="shared" si="616"/>
        <v>20</v>
      </c>
      <c r="AR259" s="220">
        <f t="shared" si="617"/>
        <v>560</v>
      </c>
      <c r="AS259" s="220">
        <f t="shared" si="618"/>
        <v>60</v>
      </c>
      <c r="AT259" s="216">
        <f t="shared" si="619"/>
        <v>1386.6</v>
      </c>
      <c r="AU259" s="222">
        <f t="shared" si="722"/>
        <v>476.6</v>
      </c>
      <c r="AV259" s="220"/>
      <c r="AW259" s="220">
        <f t="shared" si="680"/>
        <v>476.6</v>
      </c>
      <c r="AX259" s="216">
        <f t="shared" si="620"/>
        <v>0</v>
      </c>
      <c r="AY259" s="220">
        <f t="shared" si="681"/>
        <v>0</v>
      </c>
      <c r="AZ259" s="220">
        <f t="shared" si="682"/>
        <v>0</v>
      </c>
      <c r="BA259" s="220">
        <f t="shared" si="683"/>
        <v>20</v>
      </c>
      <c r="BB259" s="220">
        <f t="shared" si="684"/>
        <v>560</v>
      </c>
      <c r="BC259" s="220">
        <f t="shared" si="685"/>
        <v>60</v>
      </c>
      <c r="BD259" s="216">
        <f t="shared" si="759"/>
        <v>640</v>
      </c>
      <c r="BE259" s="220">
        <f t="shared" si="686"/>
        <v>0</v>
      </c>
      <c r="BF259" s="220">
        <f t="shared" si="687"/>
        <v>0</v>
      </c>
      <c r="BG259" s="220">
        <f t="shared" si="688"/>
        <v>0</v>
      </c>
      <c r="BH259" s="220">
        <f t="shared" si="689"/>
        <v>0</v>
      </c>
      <c r="BI259" s="220">
        <f t="shared" si="690"/>
        <v>0</v>
      </c>
      <c r="BJ259" s="220" t="s">
        <v>2416</v>
      </c>
      <c r="BK259" s="220"/>
      <c r="BL259" s="223">
        <f t="shared" si="773"/>
        <v>476.6</v>
      </c>
      <c r="BM259" s="220">
        <v>6.92</v>
      </c>
      <c r="BN259" s="220"/>
      <c r="BO259" s="220">
        <f t="shared" si="776"/>
        <v>6.92</v>
      </c>
      <c r="BP259" s="220">
        <f>IF(AND(BL259&gt;0,BL259&lt;tiet!$D$1),BL259,IF(BL259&lt;=0,0,IF(BL259&gt;tiet!$C$1,tiet!$C$1)))</f>
        <v>200</v>
      </c>
      <c r="BQ259" s="87">
        <f t="shared" si="674"/>
        <v>80000</v>
      </c>
      <c r="BR259" s="224">
        <f t="shared" si="675"/>
        <v>16000000</v>
      </c>
      <c r="BS259" s="220">
        <f t="shared" si="630"/>
        <v>276.60000000000002</v>
      </c>
      <c r="BT259" s="224">
        <f>VLOOKUP(N259,ma_dinhmuc!$A$1:$J$31,10,0)</f>
        <v>65000</v>
      </c>
      <c r="BU259" s="224">
        <f>ROUND(IF(BS259&gt;0,VLOOKUP(N259,ma_dinhmuc!$A$1:$J$31,10,0)*BS259,0),0)</f>
        <v>17979000</v>
      </c>
      <c r="BV259" s="224">
        <f t="shared" si="676"/>
        <v>33979000</v>
      </c>
      <c r="BW259" s="224"/>
      <c r="BX259" s="224">
        <v>0</v>
      </c>
      <c r="BY259" s="224"/>
      <c r="BZ259" s="224"/>
      <c r="CA259" s="224"/>
      <c r="CB259" s="224"/>
      <c r="CC259" s="225">
        <f t="shared" si="697"/>
        <v>33979000</v>
      </c>
      <c r="CD259" s="224">
        <f t="shared" si="698"/>
        <v>0</v>
      </c>
      <c r="CE259" s="224"/>
      <c r="CF259" s="226"/>
      <c r="CG259" s="87"/>
      <c r="CH259" s="87">
        <f t="shared" si="788"/>
        <v>12</v>
      </c>
      <c r="CI259" s="227" t="str">
        <f t="shared" si="789"/>
        <v>Nguyễn Văn</v>
      </c>
      <c r="CJ259" s="227" t="str">
        <f t="shared" si="761"/>
        <v>Song</v>
      </c>
      <c r="CK259" s="87">
        <f t="shared" si="762"/>
        <v>5</v>
      </c>
      <c r="CL259" s="227" t="str">
        <f t="shared" si="781"/>
        <v>Kinh tế Tài nguyên và MT</v>
      </c>
      <c r="CM259" s="87" t="str">
        <f t="shared" si="691"/>
        <v>CS4</v>
      </c>
      <c r="CN259" s="87">
        <f t="shared" si="787"/>
        <v>270</v>
      </c>
      <c r="CO259" s="87">
        <f t="shared" si="787"/>
        <v>200</v>
      </c>
      <c r="CP259" s="229">
        <f t="shared" si="634"/>
        <v>0</v>
      </c>
      <c r="CQ259" s="229">
        <f t="shared" si="635"/>
        <v>5.5</v>
      </c>
      <c r="CR259" s="229">
        <f t="shared" si="636"/>
        <v>2.2000000000000002</v>
      </c>
      <c r="CS259" s="229">
        <f t="shared" si="637"/>
        <v>0</v>
      </c>
      <c r="CT259" s="229">
        <f t="shared" si="638"/>
        <v>0</v>
      </c>
      <c r="CU259" s="229">
        <f t="shared" si="639"/>
        <v>90</v>
      </c>
      <c r="CV259" s="229">
        <f t="shared" si="640"/>
        <v>0</v>
      </c>
      <c r="CW259" s="229">
        <f t="shared" si="641"/>
        <v>0</v>
      </c>
      <c r="CX259" s="229">
        <f t="shared" si="642"/>
        <v>0</v>
      </c>
      <c r="CY259" s="229">
        <f t="shared" si="643"/>
        <v>0</v>
      </c>
      <c r="CZ259" s="229">
        <f t="shared" si="644"/>
        <v>0</v>
      </c>
      <c r="DA259" s="229">
        <f t="shared" si="645"/>
        <v>20</v>
      </c>
      <c r="DB259" s="228">
        <f t="shared" ref="DB259:DB318" si="792">SUM(CP259:DA259)</f>
        <v>117.7</v>
      </c>
      <c r="DC259" s="229"/>
      <c r="DD259" s="229"/>
      <c r="DE259" s="229"/>
      <c r="DF259" s="229"/>
      <c r="DG259" s="229"/>
      <c r="DH259" s="229"/>
      <c r="DI259" s="229"/>
      <c r="DJ259" s="229"/>
      <c r="DK259" s="229"/>
      <c r="DL259" s="229"/>
      <c r="DM259" s="229"/>
      <c r="DN259" s="229"/>
      <c r="DO259" s="228">
        <f t="shared" si="622"/>
        <v>0</v>
      </c>
      <c r="DP259" s="228">
        <f t="shared" si="623"/>
        <v>117.7</v>
      </c>
      <c r="DQ259" s="229">
        <f t="shared" si="646"/>
        <v>606</v>
      </c>
      <c r="DR259" s="229">
        <f t="shared" si="647"/>
        <v>31.9</v>
      </c>
      <c r="DS259" s="229">
        <f t="shared" si="648"/>
        <v>0</v>
      </c>
      <c r="DT259" s="229">
        <f t="shared" si="649"/>
        <v>11</v>
      </c>
      <c r="DU259" s="229">
        <f t="shared" si="650"/>
        <v>0</v>
      </c>
      <c r="DV259" s="229">
        <f t="shared" si="651"/>
        <v>560</v>
      </c>
      <c r="DW259" s="229">
        <f t="shared" si="652"/>
        <v>60</v>
      </c>
      <c r="DX259" s="228">
        <f t="shared" ref="DX259:DX318" si="793">SUM(DQ259:DW259)</f>
        <v>1268.9000000000001</v>
      </c>
      <c r="DY259" s="229"/>
      <c r="DZ259" s="229"/>
      <c r="EA259" s="229"/>
      <c r="EB259" s="229"/>
      <c r="EC259" s="229"/>
      <c r="ED259" s="229"/>
      <c r="EE259" s="229"/>
      <c r="EF259" s="228">
        <f t="shared" si="631"/>
        <v>0</v>
      </c>
      <c r="EG259" s="228">
        <f t="shared" si="624"/>
        <v>1268.9000000000001</v>
      </c>
      <c r="EH259" s="229">
        <f t="shared" si="632"/>
        <v>129.99</v>
      </c>
      <c r="EI259" s="229">
        <v>107.81</v>
      </c>
      <c r="EJ259" s="228">
        <f t="shared" si="772"/>
        <v>237.8</v>
      </c>
      <c r="EK259" s="229"/>
      <c r="EL259" s="229"/>
      <c r="EM259" s="228">
        <f t="shared" si="764"/>
        <v>0</v>
      </c>
      <c r="EN259" s="229">
        <f t="shared" si="708"/>
        <v>129.99</v>
      </c>
      <c r="EO259" s="229">
        <f t="shared" si="723"/>
        <v>107.81</v>
      </c>
      <c r="EP259" s="228">
        <f t="shared" si="782"/>
        <v>237.8</v>
      </c>
      <c r="EQ259" s="173">
        <f t="shared" si="633"/>
        <v>0</v>
      </c>
      <c r="ER259" s="189">
        <v>0</v>
      </c>
      <c r="ES259" s="189">
        <v>5.5</v>
      </c>
      <c r="ET259" s="189">
        <v>2.2000000000000002</v>
      </c>
      <c r="EU259" s="189">
        <v>0</v>
      </c>
      <c r="EV259" s="189">
        <v>0</v>
      </c>
      <c r="EW259" s="189">
        <v>90</v>
      </c>
      <c r="EX259" s="189">
        <v>0</v>
      </c>
      <c r="EY259" s="189">
        <v>0</v>
      </c>
      <c r="EZ259" s="189">
        <v>0</v>
      </c>
      <c r="FA259" s="189">
        <v>0</v>
      </c>
      <c r="FB259" s="189">
        <v>0</v>
      </c>
      <c r="FC259" s="189">
        <v>20</v>
      </c>
      <c r="FD259" s="189">
        <v>606</v>
      </c>
      <c r="FE259" s="189">
        <v>31.9</v>
      </c>
      <c r="FF259" s="189">
        <v>0</v>
      </c>
      <c r="FG259" s="189">
        <v>11</v>
      </c>
      <c r="FH259" s="189">
        <v>560</v>
      </c>
      <c r="FI259" s="189">
        <v>0</v>
      </c>
      <c r="FJ259" s="189">
        <v>60</v>
      </c>
      <c r="FK259" s="189">
        <v>1386.6</v>
      </c>
      <c r="FL259" s="189">
        <v>1036</v>
      </c>
      <c r="FN259" s="132">
        <v>129.99</v>
      </c>
    </row>
    <row r="260" spans="1:170" ht="30.75" customHeight="1">
      <c r="A260" s="88">
        <f>COUNTIF($H$12:H260,H260)</f>
        <v>13</v>
      </c>
      <c r="B260" s="88" t="s">
        <v>268</v>
      </c>
      <c r="C260" s="88" t="s">
        <v>1756</v>
      </c>
      <c r="D260" s="88"/>
      <c r="E260" s="88"/>
      <c r="F260" s="301" t="s">
        <v>2199</v>
      </c>
      <c r="G260" s="303" t="s">
        <v>1648</v>
      </c>
      <c r="H260" s="88">
        <v>5</v>
      </c>
      <c r="I260" s="88">
        <v>5</v>
      </c>
      <c r="J260" s="88">
        <v>5</v>
      </c>
      <c r="K260" s="90" t="s">
        <v>1086</v>
      </c>
      <c r="L260" s="90" t="s">
        <v>1086</v>
      </c>
      <c r="M260" s="214"/>
      <c r="N260" s="88" t="s">
        <v>1804</v>
      </c>
      <c r="O260" s="216">
        <f t="shared" si="774"/>
        <v>3.33</v>
      </c>
      <c r="P260" s="88" t="str">
        <f t="shared" si="663"/>
        <v>B1_4</v>
      </c>
      <c r="Q260" s="88">
        <f t="shared" si="733"/>
        <v>270</v>
      </c>
      <c r="R260" s="88">
        <f t="shared" si="734"/>
        <v>120</v>
      </c>
      <c r="S260" s="218" t="s">
        <v>498</v>
      </c>
      <c r="T260" s="88" t="s">
        <v>3091</v>
      </c>
      <c r="U260" s="88">
        <f>IF(RIGHT(T260,1)="K",(VLOOKUP(T260,ma_miengiam!$A$3:$B$80,2,0)*100)/2,VLOOKUP(T260,ma_miengiam!$A$3:$B$80,2,0)*100)</f>
        <v>20</v>
      </c>
      <c r="V260" s="88"/>
      <c r="W260" s="220">
        <f>IF(AND(T260="NTS",V260&gt;0),(Q260-(Q260*V260)/12)*VLOOKUP(T260,ma_miengiam!$A$3:$B$80,2,0)+(Q260-(Q260*(12-V260))/12),IF(AND(RIGHT(T260,1)="K",V260&gt;0),(VLOOKUP(T260,ma_miengiam!$A$3:$B$80,2,0)/2)*(Q260*V260)/12,IF(RIGHT(T260,1)="K",(VLOOKUP(T260,ma_miengiam!$A$3:$B$80,2,0)*Q260)/2,IF(V260&gt;0,VLOOKUP(T260,ma_miengiam!$A$3:$B$80,2,0)*Q260*V260/12,VLOOKUP(T260,ma_miengiam!$A$3:$B$80,2,0)*Q260))))</f>
        <v>54</v>
      </c>
      <c r="X260" s="220">
        <f>IF(T260="NTS",VLOOKUP(T260,ma_miengiam!$A$3:$B$80,2,0)*R260*V260,IF(AND(T260="NTS",V260=0),0,IF(AND(LEFT(T260,1)="K",V260=0),VLOOKUP(T260,ma_miengiam!$A$3:$B$80,2,0)*R260,IF(LEFT(T260,1)="K",(VLOOKUP(T260,ma_miengiam!$A$3:$B$80,2,0)*R260/12)*V260,IF(AND(LEFT(T260,1)="S",V260&gt;0),(R260/12)*V260,IF(AND(LEFT(T260,1)="S",V260=0),R260,IF(T260="DH",VLOOKUP(T260,ma_miengiam!$A$3:$B$80,2,0)*R260,0)))))))</f>
        <v>0</v>
      </c>
      <c r="Y260" s="220">
        <f t="shared" si="783"/>
        <v>216</v>
      </c>
      <c r="Z260" s="220">
        <f t="shared" si="739"/>
        <v>120</v>
      </c>
      <c r="AA260" s="220">
        <f t="shared" si="790"/>
        <v>270</v>
      </c>
      <c r="AB260" s="220">
        <f t="shared" si="790"/>
        <v>120</v>
      </c>
      <c r="AC260" s="220">
        <f t="shared" si="791"/>
        <v>54</v>
      </c>
      <c r="AD260" s="220">
        <f t="shared" si="791"/>
        <v>0</v>
      </c>
      <c r="AE260" s="220">
        <f t="shared" si="791"/>
        <v>216</v>
      </c>
      <c r="AF260" s="220">
        <f t="shared" si="791"/>
        <v>120</v>
      </c>
      <c r="AG260" s="220">
        <f t="shared" si="784"/>
        <v>189.69</v>
      </c>
      <c r="AH260" s="220">
        <f t="shared" si="785"/>
        <v>124.69</v>
      </c>
      <c r="AI260" s="220">
        <f t="shared" si="786"/>
        <v>65</v>
      </c>
      <c r="AJ260" s="220">
        <f t="shared" si="677"/>
        <v>0</v>
      </c>
      <c r="AK260" s="216">
        <f t="shared" ref="AK260:AK322" si="794">IF(AJ260&gt;=0,Y260,Y260-AJ260)</f>
        <v>216</v>
      </c>
      <c r="AL260" s="220">
        <f t="shared" ref="AL260:AL319" si="795">SUM(CP260:CX260)+SUM(DC260:DK260)</f>
        <v>137.6</v>
      </c>
      <c r="AM260" s="220">
        <f t="shared" ref="AM260:AM319" si="796">SUM(DQ260:DU260)+SUM(DY260:EC260)</f>
        <v>57.199999999999996</v>
      </c>
      <c r="AN260" s="221">
        <f t="shared" ref="AN260:AN319" si="797">AM260+AL260</f>
        <v>194.79999999999998</v>
      </c>
      <c r="AO260" s="220">
        <f t="shared" ref="AO260:AO319" si="798">CY260+DL260</f>
        <v>0</v>
      </c>
      <c r="AP260" s="220">
        <f t="shared" ref="AP260:AP319" si="799">CZ260+DM260</f>
        <v>0</v>
      </c>
      <c r="AQ260" s="220">
        <f t="shared" ref="AQ260:AQ319" si="800">DA260+DN260</f>
        <v>60</v>
      </c>
      <c r="AR260" s="220">
        <f t="shared" ref="AR260:AR319" si="801">DV260+ED260</f>
        <v>0</v>
      </c>
      <c r="AS260" s="220">
        <f t="shared" ref="AS260:AS319" si="802">DW260+EE260</f>
        <v>0</v>
      </c>
      <c r="AT260" s="216">
        <f t="shared" ref="AT260:AT319" si="803">AN260+SUM(AO260:AS260)</f>
        <v>254.79999999999998</v>
      </c>
      <c r="AU260" s="220">
        <f t="shared" si="722"/>
        <v>-21.200000000000017</v>
      </c>
      <c r="AV260" s="220"/>
      <c r="AW260" s="220">
        <f t="shared" ref="AW260:AW317" si="804">IF(AU260&gt;0,AU260,AV260+AU260)</f>
        <v>-21.200000000000017</v>
      </c>
      <c r="AX260" s="216">
        <f t="shared" si="620"/>
        <v>-21.200000000000017</v>
      </c>
      <c r="AY260" s="220">
        <f t="shared" si="681"/>
        <v>0</v>
      </c>
      <c r="AZ260" s="220">
        <f t="shared" si="682"/>
        <v>0</v>
      </c>
      <c r="BA260" s="220">
        <f t="shared" si="683"/>
        <v>38.799999999999983</v>
      </c>
      <c r="BB260" s="220">
        <f t="shared" si="684"/>
        <v>0</v>
      </c>
      <c r="BC260" s="220">
        <f t="shared" si="685"/>
        <v>0</v>
      </c>
      <c r="BD260" s="216">
        <f t="shared" si="759"/>
        <v>38.799999999999983</v>
      </c>
      <c r="BE260" s="220">
        <f t="shared" ref="BE260:BE317" si="805">AY260-AO260</f>
        <v>0</v>
      </c>
      <c r="BF260" s="220">
        <f t="shared" ref="BF260:BF317" si="806">AZ260-AP260</f>
        <v>0</v>
      </c>
      <c r="BG260" s="220">
        <f t="shared" ref="BG260:BG317" si="807">BA260-AQ260</f>
        <v>-21.200000000000017</v>
      </c>
      <c r="BH260" s="220">
        <f t="shared" ref="BH260:BH317" si="808">BB260-AR260</f>
        <v>0</v>
      </c>
      <c r="BI260" s="220">
        <f t="shared" ref="BI260:BI317" si="809">BC260-AS260</f>
        <v>0</v>
      </c>
      <c r="BJ260" s="220" t="s">
        <v>2416</v>
      </c>
      <c r="BK260" s="220"/>
      <c r="BL260" s="223">
        <f t="shared" si="773"/>
        <v>0</v>
      </c>
      <c r="BM260" s="220">
        <v>3.33</v>
      </c>
      <c r="BN260" s="220"/>
      <c r="BO260" s="220">
        <f t="shared" si="776"/>
        <v>3.33</v>
      </c>
      <c r="BP260" s="220">
        <f>IF(AND(BL260&gt;0,BL260&lt;tiet!$D$1),BL260,IF(BL260&lt;=0,0,IF(BL260&gt;tiet!$C$1,tiet!$C$1)))</f>
        <v>0</v>
      </c>
      <c r="BQ260" s="87">
        <f t="shared" si="674"/>
        <v>65000</v>
      </c>
      <c r="BR260" s="224">
        <f t="shared" si="675"/>
        <v>0</v>
      </c>
      <c r="BS260" s="220">
        <f t="shared" si="630"/>
        <v>0</v>
      </c>
      <c r="BT260" s="224">
        <f>VLOOKUP(N260,ma_dinhmuc!$A$1:$J$31,10,0)</f>
        <v>51000</v>
      </c>
      <c r="BU260" s="224">
        <f>ROUND(IF(BS260&gt;0,VLOOKUP(N260,ma_dinhmuc!$A$1:$J$31,10,0)*BS260,0),0)</f>
        <v>0</v>
      </c>
      <c r="BV260" s="224">
        <f t="shared" si="676"/>
        <v>0</v>
      </c>
      <c r="BW260" s="224"/>
      <c r="BX260" s="224">
        <v>0</v>
      </c>
      <c r="BY260" s="224"/>
      <c r="BZ260" s="224"/>
      <c r="CA260" s="224"/>
      <c r="CB260" s="224"/>
      <c r="CC260" s="225">
        <f t="shared" si="697"/>
        <v>0</v>
      </c>
      <c r="CD260" s="224">
        <f t="shared" si="698"/>
        <v>0</v>
      </c>
      <c r="CE260" s="224"/>
      <c r="CF260" s="226"/>
      <c r="CG260" s="87"/>
      <c r="CH260" s="87">
        <f t="shared" si="788"/>
        <v>13</v>
      </c>
      <c r="CI260" s="227" t="str">
        <f t="shared" si="789"/>
        <v>Trần Thị Thu</v>
      </c>
      <c r="CJ260" s="227" t="str">
        <f t="shared" si="761"/>
        <v>Trang</v>
      </c>
      <c r="CK260" s="87">
        <f t="shared" si="762"/>
        <v>5</v>
      </c>
      <c r="CL260" s="227" t="str">
        <f t="shared" si="781"/>
        <v>Kinh tế Tài nguyên và MT</v>
      </c>
      <c r="CM260" s="87" t="str">
        <f t="shared" ref="CM260:CM317" si="810">N260</f>
        <v>CS2</v>
      </c>
      <c r="CN260" s="87">
        <f t="shared" ref="CN260:CO262" si="811">Q260</f>
        <v>270</v>
      </c>
      <c r="CO260" s="87">
        <f t="shared" si="811"/>
        <v>120</v>
      </c>
      <c r="CP260" s="229">
        <f t="shared" si="634"/>
        <v>0</v>
      </c>
      <c r="CQ260" s="229">
        <f t="shared" si="635"/>
        <v>12.5</v>
      </c>
      <c r="CR260" s="229">
        <f t="shared" si="636"/>
        <v>5.0999999999999996</v>
      </c>
      <c r="CS260" s="229">
        <f t="shared" si="637"/>
        <v>0</v>
      </c>
      <c r="CT260" s="229">
        <f t="shared" si="638"/>
        <v>0</v>
      </c>
      <c r="CU260" s="229">
        <f t="shared" si="639"/>
        <v>120</v>
      </c>
      <c r="CV260" s="229">
        <f t="shared" si="640"/>
        <v>0</v>
      </c>
      <c r="CW260" s="229">
        <f t="shared" si="641"/>
        <v>0</v>
      </c>
      <c r="CX260" s="229">
        <f t="shared" si="642"/>
        <v>0</v>
      </c>
      <c r="CY260" s="229">
        <f t="shared" si="643"/>
        <v>0</v>
      </c>
      <c r="CZ260" s="229">
        <f t="shared" si="644"/>
        <v>0</v>
      </c>
      <c r="DA260" s="229">
        <f t="shared" si="645"/>
        <v>60</v>
      </c>
      <c r="DB260" s="228">
        <f t="shared" si="792"/>
        <v>197.6</v>
      </c>
      <c r="DC260" s="229"/>
      <c r="DD260" s="229"/>
      <c r="DE260" s="229"/>
      <c r="DF260" s="229"/>
      <c r="DG260" s="229"/>
      <c r="DH260" s="229"/>
      <c r="DI260" s="229"/>
      <c r="DJ260" s="229"/>
      <c r="DK260" s="229"/>
      <c r="DL260" s="229"/>
      <c r="DM260" s="229"/>
      <c r="DN260" s="229"/>
      <c r="DO260" s="228">
        <f t="shared" ref="DO260:DO319" si="812">SUM(DC260:DN260)</f>
        <v>0</v>
      </c>
      <c r="DP260" s="228">
        <f t="shared" ref="DP260:DP319" si="813">DO260+DB260</f>
        <v>197.6</v>
      </c>
      <c r="DQ260" s="229">
        <f t="shared" si="646"/>
        <v>54</v>
      </c>
      <c r="DR260" s="229">
        <f t="shared" si="647"/>
        <v>2.2999999999999998</v>
      </c>
      <c r="DS260" s="229">
        <f t="shared" si="648"/>
        <v>0</v>
      </c>
      <c r="DT260" s="229">
        <f t="shared" si="649"/>
        <v>0.9</v>
      </c>
      <c r="DU260" s="229">
        <f t="shared" si="650"/>
        <v>0</v>
      </c>
      <c r="DV260" s="229">
        <f t="shared" si="651"/>
        <v>0</v>
      </c>
      <c r="DW260" s="229">
        <f t="shared" si="652"/>
        <v>0</v>
      </c>
      <c r="DX260" s="228">
        <f t="shared" si="793"/>
        <v>57.199999999999996</v>
      </c>
      <c r="DY260" s="229"/>
      <c r="DZ260" s="229"/>
      <c r="EA260" s="229"/>
      <c r="EB260" s="229"/>
      <c r="EC260" s="229"/>
      <c r="ED260" s="229"/>
      <c r="EE260" s="229"/>
      <c r="EF260" s="228">
        <f t="shared" si="631"/>
        <v>0</v>
      </c>
      <c r="EG260" s="228">
        <f t="shared" ref="EG260:EG319" si="814">EF260+DX260</f>
        <v>57.199999999999996</v>
      </c>
      <c r="EH260" s="229">
        <f t="shared" si="632"/>
        <v>65</v>
      </c>
      <c r="EI260" s="229">
        <v>124.69</v>
      </c>
      <c r="EJ260" s="228">
        <f t="shared" si="772"/>
        <v>189.69</v>
      </c>
      <c r="EK260" s="229"/>
      <c r="EL260" s="229"/>
      <c r="EM260" s="228">
        <f t="shared" si="764"/>
        <v>0</v>
      </c>
      <c r="EN260" s="229">
        <f t="shared" si="708"/>
        <v>65</v>
      </c>
      <c r="EO260" s="229">
        <f t="shared" si="723"/>
        <v>124.69</v>
      </c>
      <c r="EP260" s="228">
        <f t="shared" si="782"/>
        <v>189.69</v>
      </c>
      <c r="EQ260" s="173">
        <f t="shared" si="633"/>
        <v>0</v>
      </c>
      <c r="ER260" s="189">
        <v>0</v>
      </c>
      <c r="ES260" s="189">
        <v>12.5</v>
      </c>
      <c r="ET260" s="189">
        <v>5.0999999999999996</v>
      </c>
      <c r="EU260" s="189">
        <v>0</v>
      </c>
      <c r="EV260" s="189">
        <v>0</v>
      </c>
      <c r="EW260" s="189">
        <v>120</v>
      </c>
      <c r="EX260" s="189">
        <v>0</v>
      </c>
      <c r="EY260" s="189">
        <v>0</v>
      </c>
      <c r="EZ260" s="189">
        <v>0</v>
      </c>
      <c r="FA260" s="189">
        <v>0</v>
      </c>
      <c r="FB260" s="189">
        <v>0</v>
      </c>
      <c r="FC260" s="189">
        <v>60</v>
      </c>
      <c r="FD260" s="189">
        <v>54</v>
      </c>
      <c r="FE260" s="189">
        <v>2.2999999999999998</v>
      </c>
      <c r="FF260" s="189">
        <v>0</v>
      </c>
      <c r="FG260" s="189">
        <v>0.9</v>
      </c>
      <c r="FH260" s="189">
        <v>0</v>
      </c>
      <c r="FI260" s="189">
        <v>0</v>
      </c>
      <c r="FJ260" s="189">
        <v>0</v>
      </c>
      <c r="FK260" s="189">
        <v>254.8</v>
      </c>
      <c r="FL260" s="189">
        <v>188</v>
      </c>
      <c r="FN260" s="132">
        <v>65</v>
      </c>
    </row>
    <row r="261" spans="1:170" ht="45">
      <c r="A261" s="88">
        <f>COUNTIF($H$12:H261,H261)</f>
        <v>14</v>
      </c>
      <c r="B261" s="88" t="s">
        <v>269</v>
      </c>
      <c r="C261" s="88" t="s">
        <v>1757</v>
      </c>
      <c r="D261" s="88"/>
      <c r="E261" s="88"/>
      <c r="F261" s="301" t="s">
        <v>2817</v>
      </c>
      <c r="G261" s="89" t="s">
        <v>2200</v>
      </c>
      <c r="H261" s="88">
        <v>5</v>
      </c>
      <c r="I261" s="88">
        <v>5</v>
      </c>
      <c r="J261" s="88">
        <v>5</v>
      </c>
      <c r="K261" s="90" t="s">
        <v>1086</v>
      </c>
      <c r="L261" s="90" t="s">
        <v>1086</v>
      </c>
      <c r="M261" s="214"/>
      <c r="N261" s="88" t="s">
        <v>1804</v>
      </c>
      <c r="O261" s="216">
        <f t="shared" si="774"/>
        <v>3.66</v>
      </c>
      <c r="P261" s="88" t="str">
        <f t="shared" si="663"/>
        <v>B1_4</v>
      </c>
      <c r="Q261" s="88">
        <f t="shared" si="733"/>
        <v>270</v>
      </c>
      <c r="R261" s="88">
        <f t="shared" si="734"/>
        <v>120</v>
      </c>
      <c r="S261" s="218" t="s">
        <v>1282</v>
      </c>
      <c r="T261" s="88" t="s">
        <v>1326</v>
      </c>
      <c r="U261" s="88">
        <f>IF(RIGHT(T261,1)="K",(VLOOKUP(T261,ma_miengiam!$A$3:$B$80,2,0)*100)/2,VLOOKUP(T261,ma_miengiam!$A$3:$B$80,2,0)*100)</f>
        <v>65</v>
      </c>
      <c r="V261" s="88"/>
      <c r="W261" s="220">
        <f>IF(AND(T261="NTS",V261&gt;0),(Q261-(Q261*V261)/12)*VLOOKUP(T261,ma_miengiam!$A$3:$B$80,2,0)+(Q261-(Q261*(12-V261))/12),IF(AND(RIGHT(T261,1)="K",V261&gt;0),(VLOOKUP(T261,ma_miengiam!$A$3:$B$80,2,0)/2)*(Q261*V261)/12,IF(RIGHT(T261,1)="K",(VLOOKUP(T261,ma_miengiam!$A$3:$B$80,2,0)*Q261)/2,IF(V261&gt;0,VLOOKUP(T261,ma_miengiam!$A$3:$B$80,2,0)*Q261*V261/12,VLOOKUP(T261,ma_miengiam!$A$3:$B$80,2,0)*Q261))))</f>
        <v>175.5</v>
      </c>
      <c r="X261" s="220">
        <f>IF(T261="NTS",VLOOKUP(T261,ma_miengiam!$A$3:$B$80,2,0)*R261*V261,IF(AND(T261="NTS",V261=0),0,IF(AND(LEFT(T261,1)="K",V261=0),VLOOKUP(T261,ma_miengiam!$A$3:$B$80,2,0)*R261,IF(LEFT(T261,1)="K",(VLOOKUP(T261,ma_miengiam!$A$3:$B$80,2,0)*R261/12)*V261,IF(AND(LEFT(T261,1)="S",V261&gt;0),(R261/12)*V261,IF(AND(LEFT(T261,1)="S",V261=0),R261,IF(T261="DH",VLOOKUP(T261,ma_miengiam!$A$3:$B$80,2,0)*R261,0)))))))</f>
        <v>120</v>
      </c>
      <c r="Y261" s="220">
        <f t="shared" si="783"/>
        <v>94.5</v>
      </c>
      <c r="Z261" s="220">
        <f t="shared" si="739"/>
        <v>0</v>
      </c>
      <c r="AA261" s="220">
        <f t="shared" si="790"/>
        <v>270</v>
      </c>
      <c r="AB261" s="220">
        <f t="shared" si="790"/>
        <v>120</v>
      </c>
      <c r="AC261" s="220">
        <f t="shared" si="791"/>
        <v>175.5</v>
      </c>
      <c r="AD261" s="220">
        <f t="shared" si="791"/>
        <v>120</v>
      </c>
      <c r="AE261" s="220">
        <f t="shared" si="791"/>
        <v>94.5</v>
      </c>
      <c r="AF261" s="220">
        <f t="shared" si="791"/>
        <v>0</v>
      </c>
      <c r="AG261" s="220">
        <f t="shared" si="784"/>
        <v>477.36</v>
      </c>
      <c r="AH261" s="220">
        <f t="shared" si="785"/>
        <v>184.69</v>
      </c>
      <c r="AI261" s="220">
        <f t="shared" si="786"/>
        <v>292.67</v>
      </c>
      <c r="AJ261" s="220">
        <f t="shared" si="677"/>
        <v>0</v>
      </c>
      <c r="AK261" s="216">
        <f t="shared" si="794"/>
        <v>94.5</v>
      </c>
      <c r="AL261" s="220">
        <f t="shared" si="795"/>
        <v>293.3</v>
      </c>
      <c r="AM261" s="220">
        <f t="shared" si="796"/>
        <v>0</v>
      </c>
      <c r="AN261" s="221">
        <f t="shared" si="797"/>
        <v>293.3</v>
      </c>
      <c r="AO261" s="220">
        <f t="shared" si="798"/>
        <v>0</v>
      </c>
      <c r="AP261" s="220">
        <f t="shared" si="799"/>
        <v>0</v>
      </c>
      <c r="AQ261" s="220">
        <f t="shared" si="800"/>
        <v>80</v>
      </c>
      <c r="AR261" s="220">
        <f t="shared" si="801"/>
        <v>0</v>
      </c>
      <c r="AS261" s="220">
        <f t="shared" si="802"/>
        <v>0</v>
      </c>
      <c r="AT261" s="216">
        <f t="shared" si="803"/>
        <v>373.3</v>
      </c>
      <c r="AU261" s="222">
        <f t="shared" si="722"/>
        <v>198.8</v>
      </c>
      <c r="AV261" s="220"/>
      <c r="AW261" s="220">
        <f t="shared" si="804"/>
        <v>198.8</v>
      </c>
      <c r="AX261" s="216">
        <f t="shared" si="620"/>
        <v>0</v>
      </c>
      <c r="AY261" s="220">
        <f t="shared" ref="AY261:AY318" si="815">IF(AN261&gt;=AK261,AO261,IF(AN261+AO261-AK261&gt;=0,AN261+AO261-AK261,0))</f>
        <v>0</v>
      </c>
      <c r="AZ261" s="220">
        <f t="shared" ref="AZ261:AZ318" si="816">IF(OR(AN261&gt;=AK261,AN261+AO261&gt;=AK261),AP261,IF(AN261+AO261+AP261&gt;AK261,AN261+AO261+AP261-AK261,0))</f>
        <v>0</v>
      </c>
      <c r="BA261" s="220">
        <f t="shared" ref="BA261:BA318" si="817">IF(OR(AN261&gt;=AK261,AN261+AO261&gt;=AK261,AN261+AO261+AP261&gt;=AK261),AQ261,IF(AN261+AO261+AP261+AQ261&gt;=AK261,AN261+AO261+AP261+AQ261-AK261,0))</f>
        <v>80</v>
      </c>
      <c r="BB261" s="220">
        <f t="shared" ref="BB261:BB318" si="818">IF(OR(AN261&gt;=AK261,AN261+AO261&gt;=AK261,AN261+AO261+AP261&gt;=AK261,AN261+AO261+AP261+AQ261&gt;=AK261),AR261,IF(AN261+AO261+AP261+AQ261+AR261&gt;=AK261,AN261+AO261+AP261+AQ261+AR261-AK261,0))</f>
        <v>0</v>
      </c>
      <c r="BC261" s="220">
        <f t="shared" ref="BC261:BC318" si="819">IF(OR(AN261&gt;=AK261,AN261+AO261&gt;=AK261,AN261+AO261+AP261&gt;=AK261,AN261+AO261+AP261+AQ261&gt;=AK261,AN261+AO261+AP261+AQ261+AR261&gt;=AK261),AS261,IF(AN261+AO261+AP261+AQ261+AR261+AS261&gt;=AK261,AN261+AO261+AP261+AQ261+AR261+AS261-AK261,0))</f>
        <v>0</v>
      </c>
      <c r="BD261" s="216">
        <f t="shared" si="759"/>
        <v>80</v>
      </c>
      <c r="BE261" s="220">
        <f t="shared" si="805"/>
        <v>0</v>
      </c>
      <c r="BF261" s="220">
        <f t="shared" si="806"/>
        <v>0</v>
      </c>
      <c r="BG261" s="220">
        <f t="shared" si="807"/>
        <v>0</v>
      </c>
      <c r="BH261" s="220">
        <f t="shared" si="808"/>
        <v>0</v>
      </c>
      <c r="BI261" s="220">
        <f t="shared" si="809"/>
        <v>0</v>
      </c>
      <c r="BJ261" s="220" t="s">
        <v>2416</v>
      </c>
      <c r="BK261" s="220"/>
      <c r="BL261" s="223">
        <f t="shared" si="773"/>
        <v>198.8</v>
      </c>
      <c r="BM261" s="220">
        <v>3.66</v>
      </c>
      <c r="BN261" s="220"/>
      <c r="BO261" s="220">
        <f t="shared" si="776"/>
        <v>3.66</v>
      </c>
      <c r="BP261" s="220">
        <f>IF(AND(BL261&gt;0,BL261&lt;tiet!$D$1),BL261,IF(BL261&lt;=0,0,IF(BL261&gt;tiet!$C$1,tiet!$C$1)))</f>
        <v>198.8</v>
      </c>
      <c r="BQ261" s="87">
        <f t="shared" si="674"/>
        <v>65000</v>
      </c>
      <c r="BR261" s="224">
        <f t="shared" si="675"/>
        <v>12922000</v>
      </c>
      <c r="BS261" s="220">
        <f t="shared" si="630"/>
        <v>0</v>
      </c>
      <c r="BT261" s="224">
        <f>VLOOKUP(N261,ma_dinhmuc!$A$1:$J$31,10,0)</f>
        <v>51000</v>
      </c>
      <c r="BU261" s="224">
        <f>ROUND(IF(BS261&gt;0,VLOOKUP(N261,ma_dinhmuc!$A$1:$J$31,10,0)*BS261,0),0)</f>
        <v>0</v>
      </c>
      <c r="BV261" s="224">
        <f t="shared" si="676"/>
        <v>12922000</v>
      </c>
      <c r="BW261" s="224"/>
      <c r="BX261" s="224">
        <v>0</v>
      </c>
      <c r="BY261" s="224"/>
      <c r="BZ261" s="224"/>
      <c r="CA261" s="224"/>
      <c r="CB261" s="224"/>
      <c r="CC261" s="225">
        <f t="shared" si="697"/>
        <v>12922000</v>
      </c>
      <c r="CD261" s="224">
        <f t="shared" si="698"/>
        <v>0</v>
      </c>
      <c r="CE261" s="224"/>
      <c r="CF261" s="226"/>
      <c r="CG261" s="87"/>
      <c r="CH261" s="87">
        <f t="shared" si="788"/>
        <v>14</v>
      </c>
      <c r="CI261" s="227" t="str">
        <f t="shared" si="789"/>
        <v>Đỗ Thị</v>
      </c>
      <c r="CJ261" s="227" t="str">
        <f t="shared" si="761"/>
        <v>Diệp</v>
      </c>
      <c r="CK261" s="87">
        <f t="shared" si="762"/>
        <v>5</v>
      </c>
      <c r="CL261" s="227" t="str">
        <f t="shared" si="781"/>
        <v>Kinh tế Tài nguyên và MT</v>
      </c>
      <c r="CM261" s="87" t="str">
        <f t="shared" si="810"/>
        <v>CS2</v>
      </c>
      <c r="CN261" s="87">
        <f t="shared" si="811"/>
        <v>270</v>
      </c>
      <c r="CO261" s="87">
        <f t="shared" si="811"/>
        <v>120</v>
      </c>
      <c r="CP261" s="229">
        <f t="shared" si="634"/>
        <v>0</v>
      </c>
      <c r="CQ261" s="229">
        <f t="shared" si="635"/>
        <v>28.5</v>
      </c>
      <c r="CR261" s="229">
        <f t="shared" si="636"/>
        <v>11.4</v>
      </c>
      <c r="CS261" s="229">
        <f t="shared" si="637"/>
        <v>0</v>
      </c>
      <c r="CT261" s="229">
        <f t="shared" si="638"/>
        <v>0</v>
      </c>
      <c r="CU261" s="229">
        <f t="shared" si="639"/>
        <v>253.4</v>
      </c>
      <c r="CV261" s="229">
        <f t="shared" si="640"/>
        <v>0</v>
      </c>
      <c r="CW261" s="229">
        <f t="shared" si="641"/>
        <v>0</v>
      </c>
      <c r="CX261" s="229">
        <f t="shared" si="642"/>
        <v>0</v>
      </c>
      <c r="CY261" s="229">
        <f t="shared" si="643"/>
        <v>0</v>
      </c>
      <c r="CZ261" s="229">
        <f t="shared" si="644"/>
        <v>0</v>
      </c>
      <c r="DA261" s="229">
        <f t="shared" si="645"/>
        <v>80</v>
      </c>
      <c r="DB261" s="228">
        <f t="shared" si="792"/>
        <v>373.3</v>
      </c>
      <c r="DC261" s="229"/>
      <c r="DD261" s="229"/>
      <c r="DE261" s="229"/>
      <c r="DF261" s="229"/>
      <c r="DG261" s="229"/>
      <c r="DH261" s="229"/>
      <c r="DI261" s="229"/>
      <c r="DJ261" s="229"/>
      <c r="DK261" s="229"/>
      <c r="DL261" s="229"/>
      <c r="DM261" s="229"/>
      <c r="DN261" s="229"/>
      <c r="DO261" s="228">
        <f t="shared" si="812"/>
        <v>0</v>
      </c>
      <c r="DP261" s="228">
        <f t="shared" si="813"/>
        <v>373.3</v>
      </c>
      <c r="DQ261" s="229">
        <f t="shared" si="646"/>
        <v>0</v>
      </c>
      <c r="DR261" s="229">
        <f t="shared" si="647"/>
        <v>0</v>
      </c>
      <c r="DS261" s="229">
        <f t="shared" si="648"/>
        <v>0</v>
      </c>
      <c r="DT261" s="229">
        <f t="shared" si="649"/>
        <v>0</v>
      </c>
      <c r="DU261" s="229">
        <f t="shared" si="650"/>
        <v>0</v>
      </c>
      <c r="DV261" s="229">
        <f t="shared" si="651"/>
        <v>0</v>
      </c>
      <c r="DW261" s="229">
        <f t="shared" si="652"/>
        <v>0</v>
      </c>
      <c r="DX261" s="228">
        <f t="shared" si="793"/>
        <v>0</v>
      </c>
      <c r="DY261" s="229"/>
      <c r="DZ261" s="229"/>
      <c r="EA261" s="229"/>
      <c r="EB261" s="229"/>
      <c r="EC261" s="229"/>
      <c r="ED261" s="229"/>
      <c r="EE261" s="229"/>
      <c r="EF261" s="228">
        <f t="shared" si="631"/>
        <v>0</v>
      </c>
      <c r="EG261" s="228">
        <f t="shared" si="814"/>
        <v>0</v>
      </c>
      <c r="EH261" s="229">
        <f t="shared" si="632"/>
        <v>292.67</v>
      </c>
      <c r="EI261" s="229">
        <v>184.69</v>
      </c>
      <c r="EJ261" s="228">
        <f t="shared" si="772"/>
        <v>477.36</v>
      </c>
      <c r="EK261" s="229"/>
      <c r="EL261" s="229"/>
      <c r="EM261" s="228">
        <f t="shared" si="764"/>
        <v>0</v>
      </c>
      <c r="EN261" s="229">
        <f t="shared" si="708"/>
        <v>292.67</v>
      </c>
      <c r="EO261" s="229">
        <f t="shared" si="723"/>
        <v>184.69</v>
      </c>
      <c r="EP261" s="228">
        <f t="shared" si="782"/>
        <v>477.36</v>
      </c>
      <c r="EQ261" s="173">
        <f t="shared" si="633"/>
        <v>292.67</v>
      </c>
      <c r="ER261" s="189">
        <v>0</v>
      </c>
      <c r="ES261" s="189">
        <v>28.5</v>
      </c>
      <c r="ET261" s="189">
        <v>11.4</v>
      </c>
      <c r="EU261" s="189">
        <v>0</v>
      </c>
      <c r="EV261" s="189">
        <v>0</v>
      </c>
      <c r="EW261" s="189">
        <v>253.4</v>
      </c>
      <c r="EX261" s="189">
        <v>0</v>
      </c>
      <c r="EY261" s="189">
        <v>0</v>
      </c>
      <c r="EZ261" s="189">
        <v>0</v>
      </c>
      <c r="FA261" s="189">
        <v>0</v>
      </c>
      <c r="FB261" s="189">
        <v>0</v>
      </c>
      <c r="FC261" s="189">
        <v>80</v>
      </c>
      <c r="FD261" s="189">
        <v>0</v>
      </c>
      <c r="FE261" s="189">
        <v>0</v>
      </c>
      <c r="FF261" s="189">
        <v>0</v>
      </c>
      <c r="FG261" s="189">
        <v>0</v>
      </c>
      <c r="FH261" s="189">
        <v>0</v>
      </c>
      <c r="FI261" s="189">
        <v>0</v>
      </c>
      <c r="FJ261" s="189">
        <v>0</v>
      </c>
      <c r="FK261" s="189">
        <v>373.3</v>
      </c>
      <c r="FL261" s="189">
        <v>270</v>
      </c>
      <c r="FN261" s="132">
        <v>292.67</v>
      </c>
    </row>
    <row r="262" spans="1:170" ht="30">
      <c r="A262" s="88">
        <f>COUNTIF($H$12:H262,H262)</f>
        <v>15</v>
      </c>
      <c r="B262" s="88" t="s">
        <v>270</v>
      </c>
      <c r="C262" s="88" t="s">
        <v>1758</v>
      </c>
      <c r="D262" s="88"/>
      <c r="E262" s="88"/>
      <c r="F262" s="301" t="s">
        <v>168</v>
      </c>
      <c r="G262" s="303" t="s">
        <v>1773</v>
      </c>
      <c r="H262" s="88">
        <v>5</v>
      </c>
      <c r="I262" s="88">
        <v>5</v>
      </c>
      <c r="J262" s="88">
        <v>5</v>
      </c>
      <c r="K262" s="90" t="s">
        <v>1086</v>
      </c>
      <c r="L262" s="90" t="s">
        <v>1086</v>
      </c>
      <c r="M262" s="214"/>
      <c r="N262" s="88" t="s">
        <v>1804</v>
      </c>
      <c r="O262" s="216">
        <f t="shared" si="774"/>
        <v>3.66</v>
      </c>
      <c r="P262" s="88" t="str">
        <f t="shared" si="663"/>
        <v>B1_4</v>
      </c>
      <c r="Q262" s="88">
        <f t="shared" si="733"/>
        <v>270</v>
      </c>
      <c r="R262" s="88">
        <f t="shared" si="734"/>
        <v>120</v>
      </c>
      <c r="S262" s="218" t="s">
        <v>499</v>
      </c>
      <c r="T262" s="88" t="s">
        <v>3093</v>
      </c>
      <c r="U262" s="88">
        <f>IF(RIGHT(T262,1)="K",(VLOOKUP(T262,ma_miengiam!$A$3:$B$80,2,0)*100)/2,VLOOKUP(T262,ma_miengiam!$A$3:$B$80,2,0)*100)</f>
        <v>30</v>
      </c>
      <c r="V262" s="88"/>
      <c r="W262" s="220">
        <f>IF(AND(T262="NTS",V262&gt;0),(Q262-(Q262*V262)/12)*VLOOKUP(T262,ma_miengiam!$A$3:$B$80,2,0)+(Q262-(Q262*(12-V262))/12),IF(AND(RIGHT(T262,1)="K",V262&gt;0),(VLOOKUP(T262,ma_miengiam!$A$3:$B$80,2,0)/2)*(Q262*V262)/12,IF(RIGHT(T262,1)="K",(VLOOKUP(T262,ma_miengiam!$A$3:$B$80,2,0)*Q262)/2,IF(V262&gt;0,VLOOKUP(T262,ma_miengiam!$A$3:$B$80,2,0)*Q262*V262/12,VLOOKUP(T262,ma_miengiam!$A$3:$B$80,2,0)*Q262))))</f>
        <v>81</v>
      </c>
      <c r="X262" s="220">
        <f>IF(T262="NTS",VLOOKUP(T262,ma_miengiam!$A$3:$B$80,2,0)*R262*V262,IF(AND(T262="NTS",V262=0),0,IF(AND(LEFT(T262,1)="K",V262=0),VLOOKUP(T262,ma_miengiam!$A$3:$B$80,2,0)*R262,IF(LEFT(T262,1)="K",(VLOOKUP(T262,ma_miengiam!$A$3:$B$80,2,0)*R262/12)*V262,IF(AND(LEFT(T262,1)="S",V262&gt;0),(R262/12)*V262,IF(AND(LEFT(T262,1)="S",V262=0),R262,IF(T262="DH",VLOOKUP(T262,ma_miengiam!$A$3:$B$80,2,0)*R262,0)))))))</f>
        <v>0</v>
      </c>
      <c r="Y262" s="220">
        <f t="shared" si="783"/>
        <v>189</v>
      </c>
      <c r="Z262" s="220">
        <f t="shared" si="739"/>
        <v>120</v>
      </c>
      <c r="AA262" s="220">
        <f t="shared" si="790"/>
        <v>270</v>
      </c>
      <c r="AB262" s="220">
        <f t="shared" si="790"/>
        <v>120</v>
      </c>
      <c r="AC262" s="220">
        <f t="shared" si="791"/>
        <v>81</v>
      </c>
      <c r="AD262" s="220">
        <f t="shared" si="791"/>
        <v>0</v>
      </c>
      <c r="AE262" s="220">
        <f t="shared" si="791"/>
        <v>189</v>
      </c>
      <c r="AF262" s="220">
        <f t="shared" si="791"/>
        <v>120</v>
      </c>
      <c r="AG262" s="220">
        <f t="shared" si="784"/>
        <v>241.25</v>
      </c>
      <c r="AH262" s="220">
        <f t="shared" si="785"/>
        <v>147.5</v>
      </c>
      <c r="AI262" s="220">
        <f t="shared" si="786"/>
        <v>93.75</v>
      </c>
      <c r="AJ262" s="220">
        <f t="shared" si="677"/>
        <v>0</v>
      </c>
      <c r="AK262" s="216">
        <f t="shared" si="794"/>
        <v>189</v>
      </c>
      <c r="AL262" s="220">
        <f t="shared" si="795"/>
        <v>137.80000000000001</v>
      </c>
      <c r="AM262" s="220">
        <f t="shared" si="796"/>
        <v>114.2</v>
      </c>
      <c r="AN262" s="221">
        <f t="shared" si="797"/>
        <v>252</v>
      </c>
      <c r="AO262" s="220">
        <f t="shared" si="798"/>
        <v>0</v>
      </c>
      <c r="AP262" s="220">
        <f t="shared" si="799"/>
        <v>0</v>
      </c>
      <c r="AQ262" s="220">
        <f t="shared" si="800"/>
        <v>80</v>
      </c>
      <c r="AR262" s="220">
        <f t="shared" si="801"/>
        <v>40</v>
      </c>
      <c r="AS262" s="220">
        <f t="shared" si="802"/>
        <v>0</v>
      </c>
      <c r="AT262" s="216">
        <f t="shared" si="803"/>
        <v>372</v>
      </c>
      <c r="AU262" s="222">
        <f t="shared" si="722"/>
        <v>63</v>
      </c>
      <c r="AV262" s="220"/>
      <c r="AW262" s="220">
        <f t="shared" si="804"/>
        <v>63</v>
      </c>
      <c r="AX262" s="216">
        <f t="shared" ref="AX262:AX324" si="820">IF(AN262&gt;AK262,0,IF(AW262&lt;0,AN262-AK262+AV262,IF(AW262&gt;=0,0)))</f>
        <v>0</v>
      </c>
      <c r="AY262" s="220">
        <f t="shared" si="815"/>
        <v>0</v>
      </c>
      <c r="AZ262" s="220">
        <f t="shared" si="816"/>
        <v>0</v>
      </c>
      <c r="BA262" s="220">
        <f t="shared" si="817"/>
        <v>80</v>
      </c>
      <c r="BB262" s="220">
        <f t="shared" si="818"/>
        <v>40</v>
      </c>
      <c r="BC262" s="220">
        <f t="shared" si="819"/>
        <v>0</v>
      </c>
      <c r="BD262" s="216">
        <f t="shared" si="759"/>
        <v>120</v>
      </c>
      <c r="BE262" s="220">
        <f t="shared" si="805"/>
        <v>0</v>
      </c>
      <c r="BF262" s="220">
        <f t="shared" si="806"/>
        <v>0</v>
      </c>
      <c r="BG262" s="220">
        <f t="shared" si="807"/>
        <v>0</v>
      </c>
      <c r="BH262" s="220">
        <f t="shared" si="808"/>
        <v>0</v>
      </c>
      <c r="BI262" s="220">
        <f t="shared" si="809"/>
        <v>0</v>
      </c>
      <c r="BJ262" s="220" t="s">
        <v>2416</v>
      </c>
      <c r="BK262" s="220"/>
      <c r="BL262" s="223">
        <f t="shared" si="773"/>
        <v>63</v>
      </c>
      <c r="BM262" s="220">
        <v>3.66</v>
      </c>
      <c r="BN262" s="220"/>
      <c r="BO262" s="220">
        <f t="shared" si="776"/>
        <v>3.66</v>
      </c>
      <c r="BP262" s="220">
        <f>IF(AND(BL262&gt;0,BL262&lt;tiet!$D$1),BL262,IF(BL262&lt;=0,0,IF(BL262&gt;tiet!$C$1,tiet!$C$1)))</f>
        <v>63</v>
      </c>
      <c r="BQ262" s="87">
        <f t="shared" si="674"/>
        <v>65000</v>
      </c>
      <c r="BR262" s="224">
        <f t="shared" si="675"/>
        <v>4095000</v>
      </c>
      <c r="BS262" s="220">
        <f t="shared" si="630"/>
        <v>0</v>
      </c>
      <c r="BT262" s="224">
        <f>VLOOKUP(N262,ma_dinhmuc!$A$1:$J$31,10,0)</f>
        <v>51000</v>
      </c>
      <c r="BU262" s="224">
        <f>ROUND(IF(BS262&gt;0,VLOOKUP(N262,ma_dinhmuc!$A$1:$J$31,10,0)*BS262,0),0)</f>
        <v>0</v>
      </c>
      <c r="BV262" s="224">
        <f t="shared" si="676"/>
        <v>4095000</v>
      </c>
      <c r="BW262" s="224"/>
      <c r="BX262" s="224">
        <v>0</v>
      </c>
      <c r="BY262" s="224"/>
      <c r="BZ262" s="224"/>
      <c r="CA262" s="224"/>
      <c r="CB262" s="224"/>
      <c r="CC262" s="225">
        <f t="shared" si="697"/>
        <v>4095000</v>
      </c>
      <c r="CD262" s="224">
        <f t="shared" si="698"/>
        <v>0</v>
      </c>
      <c r="CE262" s="224"/>
      <c r="CF262" s="226"/>
      <c r="CG262" s="87"/>
      <c r="CH262" s="87">
        <f t="shared" si="788"/>
        <v>15</v>
      </c>
      <c r="CI262" s="227" t="str">
        <f t="shared" si="789"/>
        <v>Phạm Thanh</v>
      </c>
      <c r="CJ262" s="227" t="str">
        <f t="shared" si="761"/>
        <v>Lan</v>
      </c>
      <c r="CK262" s="87">
        <f t="shared" si="762"/>
        <v>5</v>
      </c>
      <c r="CL262" s="227" t="str">
        <f t="shared" si="781"/>
        <v>Kinh tế Tài nguyên và MT</v>
      </c>
      <c r="CM262" s="87" t="str">
        <f t="shared" si="810"/>
        <v>CS2</v>
      </c>
      <c r="CN262" s="87">
        <f t="shared" si="811"/>
        <v>270</v>
      </c>
      <c r="CO262" s="87">
        <f t="shared" si="811"/>
        <v>120</v>
      </c>
      <c r="CP262" s="229">
        <f t="shared" si="634"/>
        <v>0</v>
      </c>
      <c r="CQ262" s="229">
        <f t="shared" si="635"/>
        <v>12.7</v>
      </c>
      <c r="CR262" s="229">
        <f t="shared" si="636"/>
        <v>5.0999999999999996</v>
      </c>
      <c r="CS262" s="229">
        <f t="shared" si="637"/>
        <v>0</v>
      </c>
      <c r="CT262" s="229">
        <f t="shared" si="638"/>
        <v>0</v>
      </c>
      <c r="CU262" s="229">
        <f t="shared" si="639"/>
        <v>120</v>
      </c>
      <c r="CV262" s="229">
        <f t="shared" si="640"/>
        <v>0</v>
      </c>
      <c r="CW262" s="229">
        <f t="shared" si="641"/>
        <v>0</v>
      </c>
      <c r="CX262" s="229">
        <f t="shared" si="642"/>
        <v>0</v>
      </c>
      <c r="CY262" s="229">
        <f t="shared" si="643"/>
        <v>0</v>
      </c>
      <c r="CZ262" s="229">
        <f t="shared" si="644"/>
        <v>0</v>
      </c>
      <c r="DA262" s="229">
        <f t="shared" si="645"/>
        <v>80</v>
      </c>
      <c r="DB262" s="228">
        <f t="shared" si="792"/>
        <v>217.8</v>
      </c>
      <c r="DC262" s="229"/>
      <c r="DD262" s="229"/>
      <c r="DE262" s="229"/>
      <c r="DF262" s="229"/>
      <c r="DG262" s="229"/>
      <c r="DH262" s="229"/>
      <c r="DI262" s="229"/>
      <c r="DJ262" s="229"/>
      <c r="DK262" s="229"/>
      <c r="DL262" s="229"/>
      <c r="DM262" s="229"/>
      <c r="DN262" s="229"/>
      <c r="DO262" s="228">
        <f t="shared" si="812"/>
        <v>0</v>
      </c>
      <c r="DP262" s="228">
        <f t="shared" si="813"/>
        <v>217.8</v>
      </c>
      <c r="DQ262" s="229">
        <f t="shared" si="646"/>
        <v>108</v>
      </c>
      <c r="DR262" s="229">
        <f t="shared" si="647"/>
        <v>4.4000000000000004</v>
      </c>
      <c r="DS262" s="229">
        <f t="shared" si="648"/>
        <v>0</v>
      </c>
      <c r="DT262" s="229">
        <f t="shared" si="649"/>
        <v>1.8</v>
      </c>
      <c r="DU262" s="229">
        <f t="shared" si="650"/>
        <v>0</v>
      </c>
      <c r="DV262" s="229">
        <f t="shared" si="651"/>
        <v>40</v>
      </c>
      <c r="DW262" s="229">
        <f t="shared" si="652"/>
        <v>0</v>
      </c>
      <c r="DX262" s="228">
        <f t="shared" si="793"/>
        <v>154.19999999999999</v>
      </c>
      <c r="DY262" s="229"/>
      <c r="DZ262" s="229"/>
      <c r="EA262" s="229"/>
      <c r="EB262" s="229"/>
      <c r="EC262" s="229"/>
      <c r="ED262" s="229"/>
      <c r="EE262" s="229"/>
      <c r="EF262" s="228">
        <f t="shared" si="631"/>
        <v>0</v>
      </c>
      <c r="EG262" s="228">
        <f t="shared" si="814"/>
        <v>154.19999999999999</v>
      </c>
      <c r="EH262" s="229">
        <f t="shared" si="632"/>
        <v>93.75</v>
      </c>
      <c r="EI262" s="229">
        <v>147.5</v>
      </c>
      <c r="EJ262" s="228">
        <f t="shared" si="772"/>
        <v>241.25</v>
      </c>
      <c r="EK262" s="229"/>
      <c r="EL262" s="229"/>
      <c r="EM262" s="228">
        <f t="shared" si="764"/>
        <v>0</v>
      </c>
      <c r="EN262" s="229">
        <f t="shared" si="708"/>
        <v>93.75</v>
      </c>
      <c r="EO262" s="229">
        <f t="shared" si="723"/>
        <v>147.5</v>
      </c>
      <c r="EP262" s="228">
        <f t="shared" si="782"/>
        <v>241.25</v>
      </c>
      <c r="EQ262" s="173">
        <f t="shared" si="633"/>
        <v>0</v>
      </c>
      <c r="ER262" s="189">
        <v>0</v>
      </c>
      <c r="ES262" s="189">
        <v>12.7</v>
      </c>
      <c r="ET262" s="189">
        <v>5.0999999999999996</v>
      </c>
      <c r="EU262" s="189">
        <v>0</v>
      </c>
      <c r="EV262" s="189">
        <v>0</v>
      </c>
      <c r="EW262" s="189">
        <v>120</v>
      </c>
      <c r="EX262" s="189">
        <v>0</v>
      </c>
      <c r="EY262" s="189">
        <v>0</v>
      </c>
      <c r="EZ262" s="189">
        <v>0</v>
      </c>
      <c r="FA262" s="189">
        <v>0</v>
      </c>
      <c r="FB262" s="189">
        <v>0</v>
      </c>
      <c r="FC262" s="189">
        <v>80</v>
      </c>
      <c r="FD262" s="189">
        <v>108</v>
      </c>
      <c r="FE262" s="189">
        <v>4.4000000000000004</v>
      </c>
      <c r="FF262" s="189">
        <v>0</v>
      </c>
      <c r="FG262" s="189">
        <v>1.8</v>
      </c>
      <c r="FH262" s="189">
        <v>40</v>
      </c>
      <c r="FI262" s="189">
        <v>0</v>
      </c>
      <c r="FJ262" s="189">
        <v>0</v>
      </c>
      <c r="FK262" s="189">
        <v>372</v>
      </c>
      <c r="FL262" s="189">
        <v>280</v>
      </c>
      <c r="FN262" s="132">
        <v>93.75</v>
      </c>
    </row>
    <row r="263" spans="1:170" ht="30" customHeight="1">
      <c r="A263" s="88">
        <f>COUNTIF($H$12:H263,H263)</f>
        <v>16</v>
      </c>
      <c r="B263" s="88" t="s">
        <v>271</v>
      </c>
      <c r="C263" s="88" t="s">
        <v>1759</v>
      </c>
      <c r="D263" s="88"/>
      <c r="E263" s="88"/>
      <c r="F263" s="301" t="s">
        <v>2201</v>
      </c>
      <c r="G263" s="89" t="s">
        <v>2901</v>
      </c>
      <c r="H263" s="88">
        <v>5</v>
      </c>
      <c r="I263" s="88">
        <v>5</v>
      </c>
      <c r="J263" s="88">
        <v>5</v>
      </c>
      <c r="K263" s="90" t="s">
        <v>1086</v>
      </c>
      <c r="L263" s="90" t="s">
        <v>1086</v>
      </c>
      <c r="M263" s="214"/>
      <c r="N263" s="88" t="s">
        <v>605</v>
      </c>
      <c r="O263" s="216">
        <f t="shared" si="774"/>
        <v>6.56</v>
      </c>
      <c r="P263" s="88" t="str">
        <f t="shared" si="663"/>
        <v>B1_7</v>
      </c>
      <c r="Q263" s="88">
        <f t="shared" si="733"/>
        <v>270</v>
      </c>
      <c r="R263" s="88">
        <f t="shared" si="734"/>
        <v>200</v>
      </c>
      <c r="S263" s="218" t="s">
        <v>2984</v>
      </c>
      <c r="T263" s="219" t="s">
        <v>3091</v>
      </c>
      <c r="U263" s="88">
        <f>IF(RIGHT(T263,1)="K",(VLOOKUP(T263,ma_miengiam!$A$3:$B$80,2,0)*100)/2,VLOOKUP(T263,ma_miengiam!$A$3:$B$80,2,0)*100)</f>
        <v>20</v>
      </c>
      <c r="V263" s="88"/>
      <c r="W263" s="220">
        <f>IF(AND(T263="NTS",V263&gt;0),(Q263-(Q263*V263)/12)*VLOOKUP(T263,ma_miengiam!$A$3:$B$80,2,0)+(Q263-(Q263*(12-V263))/12),IF(AND(RIGHT(T263,1)="K",V263&gt;0),(VLOOKUP(T263,ma_miengiam!$A$3:$B$80,2,0)/2)*(Q263*V263)/12,IF(RIGHT(T263,1)="K",(VLOOKUP(T263,ma_miengiam!$A$3:$B$80,2,0)*Q263)/2,IF(V263&gt;0,VLOOKUP(T263,ma_miengiam!$A$3:$B$80,2,0)*Q263*V263/12,VLOOKUP(T263,ma_miengiam!$A$3:$B$80,2,0)*Q263))))</f>
        <v>54</v>
      </c>
      <c r="X263" s="220">
        <f>IF(T263="NTS",VLOOKUP(T263,ma_miengiam!$A$3:$B$80,2,0)*R263*V263,IF(AND(T263="NTS",V263=0),0,IF(AND(LEFT(T263,1)="K",V263=0),VLOOKUP(T263,ma_miengiam!$A$3:$B$80,2,0)*R263,IF(LEFT(T263,1)="K",(VLOOKUP(T263,ma_miengiam!$A$3:$B$80,2,0)*R263/12)*V263,IF(AND(LEFT(T263,1)="S",V263&gt;0),(R263/12)*V263,IF(AND(LEFT(T263,1)="S",V263=0),R263,IF(T263="DH",VLOOKUP(T263,ma_miengiam!$A$3:$B$80,2,0)*R263,0)))))))</f>
        <v>0</v>
      </c>
      <c r="Y263" s="220">
        <f t="shared" si="783"/>
        <v>216</v>
      </c>
      <c r="Z263" s="220">
        <f t="shared" si="739"/>
        <v>200</v>
      </c>
      <c r="AA263" s="220">
        <f>Q263</f>
        <v>270</v>
      </c>
      <c r="AB263" s="220">
        <f>R263</f>
        <v>200</v>
      </c>
      <c r="AC263" s="220">
        <f t="shared" ref="AC263:AF264" si="821">W263</f>
        <v>54</v>
      </c>
      <c r="AD263" s="220">
        <f t="shared" si="821"/>
        <v>0</v>
      </c>
      <c r="AE263" s="220">
        <f t="shared" si="821"/>
        <v>216</v>
      </c>
      <c r="AF263" s="220">
        <f t="shared" si="821"/>
        <v>200</v>
      </c>
      <c r="AG263" s="220">
        <f t="shared" ref="AG263:AG272" si="822">AH263+AI263</f>
        <v>374.96999999999997</v>
      </c>
      <c r="AH263" s="220">
        <f t="shared" ref="AH263:AH272" si="823">EO263</f>
        <v>91.64</v>
      </c>
      <c r="AI263" s="220">
        <f t="shared" ref="AI263:AI272" si="824">EN263</f>
        <v>283.33</v>
      </c>
      <c r="AJ263" s="220">
        <f t="shared" si="677"/>
        <v>0</v>
      </c>
      <c r="AK263" s="216">
        <f t="shared" si="794"/>
        <v>216</v>
      </c>
      <c r="AL263" s="220">
        <f t="shared" si="795"/>
        <v>124.4</v>
      </c>
      <c r="AM263" s="220">
        <f t="shared" si="796"/>
        <v>410.5</v>
      </c>
      <c r="AN263" s="221">
        <f t="shared" si="797"/>
        <v>534.9</v>
      </c>
      <c r="AO263" s="220">
        <f t="shared" si="798"/>
        <v>0</v>
      </c>
      <c r="AP263" s="220">
        <f t="shared" si="799"/>
        <v>0</v>
      </c>
      <c r="AQ263" s="220">
        <f t="shared" si="800"/>
        <v>0</v>
      </c>
      <c r="AR263" s="220">
        <f t="shared" si="801"/>
        <v>440</v>
      </c>
      <c r="AS263" s="220">
        <f t="shared" si="802"/>
        <v>60</v>
      </c>
      <c r="AT263" s="216">
        <f t="shared" si="803"/>
        <v>1034.9000000000001</v>
      </c>
      <c r="AU263" s="222">
        <f t="shared" si="722"/>
        <v>318.89999999999998</v>
      </c>
      <c r="AV263" s="220"/>
      <c r="AW263" s="220">
        <f t="shared" si="804"/>
        <v>318.89999999999998</v>
      </c>
      <c r="AX263" s="216">
        <f t="shared" si="820"/>
        <v>0</v>
      </c>
      <c r="AY263" s="220">
        <f t="shared" si="815"/>
        <v>0</v>
      </c>
      <c r="AZ263" s="220">
        <f t="shared" si="816"/>
        <v>0</v>
      </c>
      <c r="BA263" s="220">
        <f t="shared" si="817"/>
        <v>0</v>
      </c>
      <c r="BB263" s="220">
        <f t="shared" si="818"/>
        <v>440</v>
      </c>
      <c r="BC263" s="220">
        <f t="shared" si="819"/>
        <v>60</v>
      </c>
      <c r="BD263" s="216">
        <f t="shared" si="759"/>
        <v>500</v>
      </c>
      <c r="BE263" s="220">
        <f t="shared" si="805"/>
        <v>0</v>
      </c>
      <c r="BF263" s="220">
        <f t="shared" si="806"/>
        <v>0</v>
      </c>
      <c r="BG263" s="220">
        <f t="shared" si="807"/>
        <v>0</v>
      </c>
      <c r="BH263" s="220">
        <f t="shared" si="808"/>
        <v>0</v>
      </c>
      <c r="BI263" s="220">
        <f t="shared" si="809"/>
        <v>0</v>
      </c>
      <c r="BJ263" s="220" t="s">
        <v>2416</v>
      </c>
      <c r="BK263" s="220"/>
      <c r="BL263" s="223">
        <f t="shared" si="773"/>
        <v>318.89999999999998</v>
      </c>
      <c r="BM263" s="220">
        <v>6.56</v>
      </c>
      <c r="BN263" s="220"/>
      <c r="BO263" s="220">
        <f t="shared" si="776"/>
        <v>6.56</v>
      </c>
      <c r="BP263" s="220">
        <f>IF(AND(BL263&gt;0,BL263&lt;tiet!$D$1),BL263,IF(BL263&lt;=0,0,IF(BL263&gt;tiet!$C$1,tiet!$C$1)))</f>
        <v>200</v>
      </c>
      <c r="BQ263" s="87">
        <f t="shared" si="674"/>
        <v>80000</v>
      </c>
      <c r="BR263" s="224">
        <f t="shared" si="675"/>
        <v>16000000</v>
      </c>
      <c r="BS263" s="220">
        <f t="shared" si="630"/>
        <v>118.89999999999998</v>
      </c>
      <c r="BT263" s="224">
        <f>VLOOKUP(N263,ma_dinhmuc!$A$1:$J$31,10,0)</f>
        <v>65000</v>
      </c>
      <c r="BU263" s="224">
        <f>ROUND(IF(BS263&gt;0,VLOOKUP(N263,ma_dinhmuc!$A$1:$J$31,10,0)*BS263,0),0)</f>
        <v>7728500</v>
      </c>
      <c r="BV263" s="224">
        <f t="shared" si="676"/>
        <v>23728500</v>
      </c>
      <c r="BW263" s="224"/>
      <c r="BX263" s="224">
        <v>0</v>
      </c>
      <c r="BY263" s="224"/>
      <c r="BZ263" s="224"/>
      <c r="CA263" s="224"/>
      <c r="CB263" s="224"/>
      <c r="CC263" s="225">
        <f t="shared" si="697"/>
        <v>23728500</v>
      </c>
      <c r="CD263" s="224">
        <f t="shared" si="698"/>
        <v>0</v>
      </c>
      <c r="CE263" s="224"/>
      <c r="CF263" s="226"/>
      <c r="CG263" s="87"/>
      <c r="CH263" s="87">
        <f t="shared" si="788"/>
        <v>16</v>
      </c>
      <c r="CI263" s="227" t="str">
        <f t="shared" si="789"/>
        <v>Nguyễn Mậu</v>
      </c>
      <c r="CJ263" s="227" t="str">
        <f t="shared" si="761"/>
        <v>Dũng</v>
      </c>
      <c r="CK263" s="87">
        <f t="shared" si="762"/>
        <v>5</v>
      </c>
      <c r="CL263" s="227" t="str">
        <f t="shared" si="781"/>
        <v>Kinh tế Tài nguyên và MT</v>
      </c>
      <c r="CM263" s="87" t="str">
        <f t="shared" si="810"/>
        <v>CS4</v>
      </c>
      <c r="CN263" s="87">
        <f t="shared" ref="CN263:CN279" si="825">Q263</f>
        <v>270</v>
      </c>
      <c r="CO263" s="87">
        <f t="shared" ref="CO263:CO279" si="826">R263</f>
        <v>200</v>
      </c>
      <c r="CP263" s="229">
        <f t="shared" si="634"/>
        <v>0</v>
      </c>
      <c r="CQ263" s="229">
        <f t="shared" si="635"/>
        <v>6.7</v>
      </c>
      <c r="CR263" s="229">
        <f t="shared" si="636"/>
        <v>2.7</v>
      </c>
      <c r="CS263" s="229">
        <f t="shared" si="637"/>
        <v>0</v>
      </c>
      <c r="CT263" s="229">
        <f t="shared" si="638"/>
        <v>0</v>
      </c>
      <c r="CU263" s="229">
        <f t="shared" si="639"/>
        <v>115</v>
      </c>
      <c r="CV263" s="229">
        <f t="shared" si="640"/>
        <v>0</v>
      </c>
      <c r="CW263" s="229">
        <f t="shared" si="641"/>
        <v>0</v>
      </c>
      <c r="CX263" s="229">
        <f t="shared" si="642"/>
        <v>0</v>
      </c>
      <c r="CY263" s="229">
        <f t="shared" si="643"/>
        <v>0</v>
      </c>
      <c r="CZ263" s="229">
        <f t="shared" si="644"/>
        <v>0</v>
      </c>
      <c r="DA263" s="229">
        <f t="shared" si="645"/>
        <v>0</v>
      </c>
      <c r="DB263" s="228">
        <f t="shared" si="792"/>
        <v>124.4</v>
      </c>
      <c r="DC263" s="229"/>
      <c r="DD263" s="229"/>
      <c r="DE263" s="229"/>
      <c r="DF263" s="229"/>
      <c r="DG263" s="229"/>
      <c r="DH263" s="229"/>
      <c r="DI263" s="229"/>
      <c r="DJ263" s="229"/>
      <c r="DK263" s="229"/>
      <c r="DL263" s="229"/>
      <c r="DM263" s="229"/>
      <c r="DN263" s="229"/>
      <c r="DO263" s="228">
        <f t="shared" si="812"/>
        <v>0</v>
      </c>
      <c r="DP263" s="228">
        <f t="shared" si="813"/>
        <v>124.4</v>
      </c>
      <c r="DQ263" s="229">
        <f t="shared" si="646"/>
        <v>381</v>
      </c>
      <c r="DR263" s="229">
        <f t="shared" si="647"/>
        <v>23.2</v>
      </c>
      <c r="DS263" s="229">
        <f t="shared" si="648"/>
        <v>0</v>
      </c>
      <c r="DT263" s="229">
        <f t="shared" si="649"/>
        <v>6.3</v>
      </c>
      <c r="DU263" s="229">
        <f t="shared" si="650"/>
        <v>0</v>
      </c>
      <c r="DV263" s="229">
        <f t="shared" si="651"/>
        <v>440</v>
      </c>
      <c r="DW263" s="229">
        <f t="shared" si="652"/>
        <v>60</v>
      </c>
      <c r="DX263" s="228">
        <f t="shared" si="793"/>
        <v>910.5</v>
      </c>
      <c r="DY263" s="229"/>
      <c r="DZ263" s="229"/>
      <c r="EA263" s="229"/>
      <c r="EB263" s="229"/>
      <c r="EC263" s="229"/>
      <c r="ED263" s="229"/>
      <c r="EE263" s="229"/>
      <c r="EF263" s="228">
        <f t="shared" si="631"/>
        <v>0</v>
      </c>
      <c r="EG263" s="228">
        <f t="shared" si="814"/>
        <v>910.5</v>
      </c>
      <c r="EH263" s="229">
        <f t="shared" si="632"/>
        <v>283.33</v>
      </c>
      <c r="EI263" s="229">
        <v>91.64</v>
      </c>
      <c r="EJ263" s="228">
        <f t="shared" si="772"/>
        <v>374.96999999999997</v>
      </c>
      <c r="EK263" s="229"/>
      <c r="EL263" s="229"/>
      <c r="EM263" s="228">
        <f t="shared" si="764"/>
        <v>0</v>
      </c>
      <c r="EN263" s="229">
        <f t="shared" si="708"/>
        <v>283.33</v>
      </c>
      <c r="EO263" s="229">
        <f t="shared" si="723"/>
        <v>91.64</v>
      </c>
      <c r="EP263" s="228">
        <f t="shared" si="782"/>
        <v>374.96999999999997</v>
      </c>
      <c r="EQ263" s="173">
        <f t="shared" si="633"/>
        <v>83.329999999999984</v>
      </c>
      <c r="ER263" s="189">
        <v>0</v>
      </c>
      <c r="ES263" s="189">
        <v>6.7</v>
      </c>
      <c r="ET263" s="189">
        <v>2.7</v>
      </c>
      <c r="EU263" s="189">
        <v>0</v>
      </c>
      <c r="EV263" s="189">
        <v>0</v>
      </c>
      <c r="EW263" s="189">
        <v>115</v>
      </c>
      <c r="EX263" s="189">
        <v>0</v>
      </c>
      <c r="EY263" s="189">
        <v>0</v>
      </c>
      <c r="EZ263" s="189">
        <v>0</v>
      </c>
      <c r="FA263" s="189">
        <v>0</v>
      </c>
      <c r="FB263" s="189">
        <v>0</v>
      </c>
      <c r="FC263" s="189">
        <v>0</v>
      </c>
      <c r="FD263" s="189">
        <v>381</v>
      </c>
      <c r="FE263" s="189">
        <v>23.2</v>
      </c>
      <c r="FF263" s="189">
        <v>0</v>
      </c>
      <c r="FG263" s="189">
        <v>6.3</v>
      </c>
      <c r="FH263" s="189">
        <v>440</v>
      </c>
      <c r="FI263" s="189">
        <v>0</v>
      </c>
      <c r="FJ263" s="189">
        <v>60</v>
      </c>
      <c r="FK263" s="189">
        <v>1034.9000000000001</v>
      </c>
      <c r="FL263" s="189">
        <v>823</v>
      </c>
      <c r="FN263" s="132">
        <v>283.33</v>
      </c>
    </row>
    <row r="264" spans="1:170" ht="42.75" customHeight="1">
      <c r="A264" s="88">
        <f>COUNTIF($H$12:H264,H264)</f>
        <v>17</v>
      </c>
      <c r="B264" s="88" t="s">
        <v>273</v>
      </c>
      <c r="C264" s="88" t="s">
        <v>1761</v>
      </c>
      <c r="D264" s="88"/>
      <c r="E264" s="88"/>
      <c r="F264" s="301" t="s">
        <v>1584</v>
      </c>
      <c r="G264" s="89" t="s">
        <v>2203</v>
      </c>
      <c r="H264" s="88">
        <v>5</v>
      </c>
      <c r="I264" s="88">
        <v>5</v>
      </c>
      <c r="J264" s="88">
        <v>5</v>
      </c>
      <c r="K264" s="90" t="s">
        <v>1086</v>
      </c>
      <c r="L264" s="90" t="s">
        <v>1086</v>
      </c>
      <c r="M264" s="214"/>
      <c r="N264" s="88" t="s">
        <v>1804</v>
      </c>
      <c r="O264" s="216">
        <f>BO264</f>
        <v>3</v>
      </c>
      <c r="P264" s="88" t="str">
        <f t="shared" si="663"/>
        <v>B1_3</v>
      </c>
      <c r="Q264" s="88">
        <f t="shared" si="733"/>
        <v>270</v>
      </c>
      <c r="R264" s="88">
        <f t="shared" si="734"/>
        <v>100</v>
      </c>
      <c r="S264" s="218" t="s">
        <v>2005</v>
      </c>
      <c r="T264" s="88" t="s">
        <v>1326</v>
      </c>
      <c r="U264" s="88">
        <f>IF(RIGHT(T264,1)="K",(VLOOKUP(T264,ma_miengiam!$A$3:$B$80,2,0)*100)/2,VLOOKUP(T264,ma_miengiam!$A$3:$B$80,2,0)*100)</f>
        <v>65</v>
      </c>
      <c r="V264" s="88"/>
      <c r="W264" s="220">
        <f>IF(AND(T264="NTS",V264&gt;0),(Q264-(Q264*V264)/12)*VLOOKUP(T264,ma_miengiam!$A$3:$B$80,2,0)+(Q264-(Q264*(12-V264))/12),IF(AND(RIGHT(T264,1)="K",V264&gt;0),(VLOOKUP(T264,ma_miengiam!$A$3:$B$80,2,0)/2)*(Q264*V264)/12,IF(RIGHT(T264,1)="K",(VLOOKUP(T264,ma_miengiam!$A$3:$B$80,2,0)*Q264)/2,IF(V264&gt;0,VLOOKUP(T264,ma_miengiam!$A$3:$B$80,2,0)*Q264*V264/12,VLOOKUP(T264,ma_miengiam!$A$3:$B$80,2,0)*Q264))))</f>
        <v>175.5</v>
      </c>
      <c r="X264" s="220">
        <f>IF(T264="NTS",VLOOKUP(T264,ma_miengiam!$A$3:$B$80,2,0)*R264*V264,IF(AND(T264="NTS",V264=0),0,IF(AND(LEFT(T264,1)="K",V264=0),VLOOKUP(T264,ma_miengiam!$A$3:$B$80,2,0)*R264,IF(LEFT(T264,1)="K",(VLOOKUP(T264,ma_miengiam!$A$3:$B$80,2,0)*R264/12)*V264,IF(AND(LEFT(T264,1)="S",V264&gt;0),(R264/12)*V264,IF(AND(LEFT(T264,1)="S",V264=0),R264,IF(T264="DH",VLOOKUP(T264,ma_miengiam!$A$3:$B$80,2,0)*R264,0)))))))</f>
        <v>100</v>
      </c>
      <c r="Y264" s="220">
        <f>IF(AND(T264="DH",V264&gt;0),(S264*V264/12),IF(AND(T264&lt;&gt;"NTS",V264&gt;0),(Q264*V264/12)-W264,IF(AND(T264="NTS",V264&gt;0),Q264-W264,Q264-W264)))</f>
        <v>94.5</v>
      </c>
      <c r="Z264" s="220">
        <f t="shared" ref="Z264:Z270" si="827">IF(AND(T264="SĐH",V264&gt;0),(R264/12)*V264-X264,IF(AND(T264="DH",V264&gt;0),(R264*V264/12),IF(AND(T264&lt;&gt;"NTS",V264&gt;0),(R264*V264/12)-X264,IF(AND(T264="NTS",V264&gt;0),R264-X264,R264-X264))))</f>
        <v>0</v>
      </c>
      <c r="AA264" s="220">
        <f>Q264</f>
        <v>270</v>
      </c>
      <c r="AB264" s="220">
        <f>R264</f>
        <v>100</v>
      </c>
      <c r="AC264" s="220">
        <f t="shared" si="821"/>
        <v>175.5</v>
      </c>
      <c r="AD264" s="220">
        <f t="shared" si="821"/>
        <v>100</v>
      </c>
      <c r="AE264" s="220">
        <f t="shared" si="821"/>
        <v>94.5</v>
      </c>
      <c r="AF264" s="220">
        <f t="shared" si="821"/>
        <v>0</v>
      </c>
      <c r="AG264" s="220">
        <f t="shared" si="822"/>
        <v>465.57000000000005</v>
      </c>
      <c r="AH264" s="220">
        <f t="shared" si="823"/>
        <v>153.91</v>
      </c>
      <c r="AI264" s="220">
        <f t="shared" si="824"/>
        <v>311.66000000000003</v>
      </c>
      <c r="AJ264" s="220">
        <f t="shared" ref="AJ264:AJ270" si="828">IF(AG264-Z264&gt;0,0,AG264-Z264)</f>
        <v>0</v>
      </c>
      <c r="AK264" s="216">
        <f t="shared" si="794"/>
        <v>94.5</v>
      </c>
      <c r="AL264" s="220">
        <f t="shared" si="795"/>
        <v>213.9</v>
      </c>
      <c r="AM264" s="220">
        <f t="shared" si="796"/>
        <v>0</v>
      </c>
      <c r="AN264" s="221">
        <f t="shared" si="797"/>
        <v>213.9</v>
      </c>
      <c r="AO264" s="220">
        <f t="shared" si="798"/>
        <v>0</v>
      </c>
      <c r="AP264" s="220">
        <f t="shared" si="799"/>
        <v>0</v>
      </c>
      <c r="AQ264" s="220">
        <f t="shared" si="800"/>
        <v>100</v>
      </c>
      <c r="AR264" s="220">
        <f t="shared" si="801"/>
        <v>0</v>
      </c>
      <c r="AS264" s="220">
        <f t="shared" si="802"/>
        <v>0</v>
      </c>
      <c r="AT264" s="216">
        <f t="shared" si="803"/>
        <v>313.89999999999998</v>
      </c>
      <c r="AU264" s="222">
        <f>AN264-AK264</f>
        <v>119.4</v>
      </c>
      <c r="AV264" s="220"/>
      <c r="AW264" s="220">
        <f>IF(AU264&gt;0,AU264,AV264+AU264)</f>
        <v>119.4</v>
      </c>
      <c r="AX264" s="216">
        <f t="shared" si="820"/>
        <v>0</v>
      </c>
      <c r="AY264" s="220">
        <f>IF(AN264&gt;=AK264,AO264,IF(AN264+AO264-AK264&gt;=0,AN264+AO264-AK264,0))</f>
        <v>0</v>
      </c>
      <c r="AZ264" s="220">
        <f>IF(OR(AN264&gt;=AK264,AN264+AO264&gt;=AK264),AP264,IF(AN264+AO264+AP264&gt;AK264,AN264+AO264+AP264-AK264,0))</f>
        <v>0</v>
      </c>
      <c r="BA264" s="220">
        <f>IF(OR(AN264&gt;=AK264,AN264+AO264&gt;=AK264,AN264+AO264+AP264&gt;=AK264),AQ264,IF(AN264+AO264+AP264+AQ264&gt;=AK264,AN264+AO264+AP264+AQ264-AK264,0))</f>
        <v>100</v>
      </c>
      <c r="BB264" s="220">
        <f>IF(OR(AN264&gt;=AK264,AN264+AO264&gt;=AK264,AN264+AO264+AP264&gt;=AK264,AN264+AO264+AP264+AQ264&gt;=AK264),AR264,IF(AN264+AO264+AP264+AQ264+AR264&gt;=AK264,AN264+AO264+AP264+AQ264+AR264-AK264,0))</f>
        <v>0</v>
      </c>
      <c r="BC264" s="220">
        <f>IF(OR(AN264&gt;=AK264,AN264+AO264&gt;=AK264,AN264+AO264+AP264&gt;=AK264,AN264+AO264+AP264+AQ264&gt;=AK264,AN264+AO264+AP264+AQ264+AR264&gt;=AK264),AS264,IF(AN264+AO264+AP264+AQ264+AR264+AS264&gt;=AK264,AN264+AO264+AP264+AQ264+AR264+AS264-AK264,0))</f>
        <v>0</v>
      </c>
      <c r="BD264" s="216">
        <f t="shared" si="759"/>
        <v>100</v>
      </c>
      <c r="BE264" s="220">
        <f>AY264-AO264</f>
        <v>0</v>
      </c>
      <c r="BF264" s="220">
        <f>AZ264-AP264</f>
        <v>0</v>
      </c>
      <c r="BG264" s="220">
        <f>BA264-AQ264</f>
        <v>0</v>
      </c>
      <c r="BH264" s="220">
        <f>BB264-AR264</f>
        <v>0</v>
      </c>
      <c r="BI264" s="220">
        <f>BC264-AS264</f>
        <v>0</v>
      </c>
      <c r="BJ264" s="220" t="s">
        <v>2416</v>
      </c>
      <c r="BK264" s="220"/>
      <c r="BL264" s="223">
        <f t="shared" si="773"/>
        <v>119.4</v>
      </c>
      <c r="BM264" s="220">
        <v>3</v>
      </c>
      <c r="BN264" s="220"/>
      <c r="BO264" s="220">
        <f t="shared" si="776"/>
        <v>3</v>
      </c>
      <c r="BP264" s="220">
        <f>IF(AND(BL264&gt;0,BL264&lt;tiet!$D$1),BL264,IF(BL264&lt;=0,0,IF(BL264&gt;tiet!$C$1,tiet!$C$1)))</f>
        <v>119.4</v>
      </c>
      <c r="BQ264" s="87">
        <f t="shared" ref="BQ264:BQ270" si="829">VLOOKUP(P264,ma_dinhmuc_moi,4,0)</f>
        <v>60000</v>
      </c>
      <c r="BR264" s="224">
        <f t="shared" ref="BR264:BR270" si="830">ROUND(BQ264*BP264,0)</f>
        <v>7164000</v>
      </c>
      <c r="BS264" s="220">
        <f t="shared" si="630"/>
        <v>0</v>
      </c>
      <c r="BT264" s="224">
        <f>VLOOKUP(N264,ma_dinhmuc!$A$1:$J$31,10,0)</f>
        <v>51000</v>
      </c>
      <c r="BU264" s="224">
        <f>ROUND(IF(BS264&gt;0,VLOOKUP(N264,ma_dinhmuc!$A$1:$J$31,10,0)*BS264,0),0)</f>
        <v>0</v>
      </c>
      <c r="BV264" s="224">
        <f t="shared" ref="BV264:BV270" si="831">ROUND(BU264+BR264,0)</f>
        <v>7164000</v>
      </c>
      <c r="BW264" s="224"/>
      <c r="BX264" s="224">
        <v>0</v>
      </c>
      <c r="BY264" s="224"/>
      <c r="BZ264" s="224"/>
      <c r="CA264" s="224"/>
      <c r="CB264" s="224"/>
      <c r="CC264" s="225">
        <f t="shared" ref="CC264:CC270" si="832">ROUND(IF(BV264+BW264&gt;BX264+BY264+BZ264+CA264+CB264,(BW264+BV264)-(BX264+BY264+BZ264+CA264+CB264+CB264),0),0)</f>
        <v>7164000</v>
      </c>
      <c r="CD264" s="224">
        <f t="shared" ref="CD264:CD270" si="833">ROUND(IF(BV264+BW264&lt;BX264+BY264+BZ264+CA264-CB264,(BX264+BY264+BZ264+CA264-CB264)-(BW264+BV264),0),0)</f>
        <v>0</v>
      </c>
      <c r="CE264" s="224"/>
      <c r="CF264" s="226"/>
      <c r="CG264" s="87"/>
      <c r="CH264" s="87">
        <f t="shared" si="788"/>
        <v>17</v>
      </c>
      <c r="CI264" s="227" t="str">
        <f t="shared" si="789"/>
        <v>Nguyễn Hữu</v>
      </c>
      <c r="CJ264" s="227" t="str">
        <f t="shared" ref="CJ264:CJ270" si="834">G264</f>
        <v>Giáp</v>
      </c>
      <c r="CK264" s="87">
        <f t="shared" ref="CK264:CK270" si="835">H264</f>
        <v>5</v>
      </c>
      <c r="CL264" s="227" t="str">
        <f t="shared" ref="CL264:CL270" si="836">L264</f>
        <v>Kinh tế Tài nguyên và MT</v>
      </c>
      <c r="CM264" s="87" t="str">
        <f>N264</f>
        <v>CS2</v>
      </c>
      <c r="CN264" s="87">
        <f t="shared" si="825"/>
        <v>270</v>
      </c>
      <c r="CO264" s="87">
        <f>R264</f>
        <v>100</v>
      </c>
      <c r="CP264" s="229">
        <f t="shared" si="634"/>
        <v>0</v>
      </c>
      <c r="CQ264" s="229">
        <f t="shared" si="635"/>
        <v>20.6</v>
      </c>
      <c r="CR264" s="229">
        <f t="shared" si="636"/>
        <v>8.3000000000000007</v>
      </c>
      <c r="CS264" s="229">
        <f t="shared" si="637"/>
        <v>0</v>
      </c>
      <c r="CT264" s="229">
        <f t="shared" si="638"/>
        <v>0</v>
      </c>
      <c r="CU264" s="229">
        <f t="shared" si="639"/>
        <v>185</v>
      </c>
      <c r="CV264" s="229">
        <f t="shared" si="640"/>
        <v>0</v>
      </c>
      <c r="CW264" s="229">
        <f t="shared" si="641"/>
        <v>0</v>
      </c>
      <c r="CX264" s="229">
        <f t="shared" si="642"/>
        <v>0</v>
      </c>
      <c r="CY264" s="229">
        <f t="shared" si="643"/>
        <v>0</v>
      </c>
      <c r="CZ264" s="229">
        <f t="shared" si="644"/>
        <v>0</v>
      </c>
      <c r="DA264" s="229">
        <f t="shared" si="645"/>
        <v>100</v>
      </c>
      <c r="DB264" s="228">
        <f t="shared" si="792"/>
        <v>313.89999999999998</v>
      </c>
      <c r="DC264" s="229"/>
      <c r="DD264" s="229"/>
      <c r="DE264" s="229"/>
      <c r="DF264" s="229"/>
      <c r="DG264" s="229"/>
      <c r="DH264" s="229"/>
      <c r="DI264" s="229"/>
      <c r="DJ264" s="229"/>
      <c r="DK264" s="229"/>
      <c r="DL264" s="229"/>
      <c r="DM264" s="229"/>
      <c r="DN264" s="229"/>
      <c r="DO264" s="228">
        <f t="shared" si="812"/>
        <v>0</v>
      </c>
      <c r="DP264" s="228">
        <f t="shared" si="813"/>
        <v>313.89999999999998</v>
      </c>
      <c r="DQ264" s="229">
        <f t="shared" si="646"/>
        <v>0</v>
      </c>
      <c r="DR264" s="229">
        <f t="shared" si="647"/>
        <v>0</v>
      </c>
      <c r="DS264" s="229">
        <f t="shared" si="648"/>
        <v>0</v>
      </c>
      <c r="DT264" s="229">
        <f t="shared" si="649"/>
        <v>0</v>
      </c>
      <c r="DU264" s="229">
        <f t="shared" si="650"/>
        <v>0</v>
      </c>
      <c r="DV264" s="229">
        <f t="shared" si="651"/>
        <v>0</v>
      </c>
      <c r="DW264" s="229">
        <f t="shared" si="652"/>
        <v>0</v>
      </c>
      <c r="DX264" s="228">
        <f t="shared" si="793"/>
        <v>0</v>
      </c>
      <c r="DY264" s="229"/>
      <c r="DZ264" s="229"/>
      <c r="EA264" s="229"/>
      <c r="EB264" s="229"/>
      <c r="EC264" s="229"/>
      <c r="ED264" s="229"/>
      <c r="EE264" s="229"/>
      <c r="EF264" s="228">
        <f t="shared" si="631"/>
        <v>0</v>
      </c>
      <c r="EG264" s="228">
        <f t="shared" si="814"/>
        <v>0</v>
      </c>
      <c r="EH264" s="229">
        <f t="shared" si="632"/>
        <v>311.66000000000003</v>
      </c>
      <c r="EI264" s="229">
        <v>153.91</v>
      </c>
      <c r="EJ264" s="228">
        <f>SUM(EH264:EI264)</f>
        <v>465.57000000000005</v>
      </c>
      <c r="EK264" s="229"/>
      <c r="EL264" s="229"/>
      <c r="EM264" s="228">
        <f>SUM(EK264:EL264)</f>
        <v>0</v>
      </c>
      <c r="EN264" s="229">
        <f>EK264+EH264+EL264</f>
        <v>311.66000000000003</v>
      </c>
      <c r="EO264" s="229">
        <f>EI264</f>
        <v>153.91</v>
      </c>
      <c r="EP264" s="228">
        <f t="shared" si="782"/>
        <v>465.57000000000005</v>
      </c>
      <c r="EQ264" s="173">
        <f t="shared" si="633"/>
        <v>311.66000000000003</v>
      </c>
      <c r="ER264" s="189">
        <v>0</v>
      </c>
      <c r="ES264" s="189">
        <v>20.6</v>
      </c>
      <c r="ET264" s="189">
        <v>8.3000000000000007</v>
      </c>
      <c r="EU264" s="189">
        <v>0</v>
      </c>
      <c r="EV264" s="189">
        <v>0</v>
      </c>
      <c r="EW264" s="189">
        <v>185</v>
      </c>
      <c r="EX264" s="189">
        <v>0</v>
      </c>
      <c r="EY264" s="189">
        <v>0</v>
      </c>
      <c r="EZ264" s="189">
        <v>0</v>
      </c>
      <c r="FA264" s="189">
        <v>0</v>
      </c>
      <c r="FB264" s="189">
        <v>0</v>
      </c>
      <c r="FC264" s="189">
        <v>100</v>
      </c>
      <c r="FD264" s="189">
        <v>0</v>
      </c>
      <c r="FE264" s="189">
        <v>0</v>
      </c>
      <c r="FF264" s="189">
        <v>0</v>
      </c>
      <c r="FG264" s="189">
        <v>0</v>
      </c>
      <c r="FH264" s="189">
        <v>0</v>
      </c>
      <c r="FI264" s="189">
        <v>0</v>
      </c>
      <c r="FJ264" s="189">
        <v>0</v>
      </c>
      <c r="FK264" s="189">
        <v>313.89999999999998</v>
      </c>
      <c r="FL264" s="189">
        <v>275</v>
      </c>
      <c r="FN264" s="132">
        <v>311.66000000000003</v>
      </c>
    </row>
    <row r="265" spans="1:170" ht="30" customHeight="1">
      <c r="A265" s="88">
        <f>COUNTIF($H$12:H271,H265)</f>
        <v>24</v>
      </c>
      <c r="B265" s="88" t="s">
        <v>274</v>
      </c>
      <c r="C265" s="88" t="s">
        <v>1762</v>
      </c>
      <c r="D265" s="88"/>
      <c r="E265" s="88"/>
      <c r="F265" s="301" t="s">
        <v>1200</v>
      </c>
      <c r="G265" s="89" t="s">
        <v>35</v>
      </c>
      <c r="H265" s="88">
        <v>5</v>
      </c>
      <c r="I265" s="88">
        <v>5</v>
      </c>
      <c r="J265" s="88">
        <v>5</v>
      </c>
      <c r="K265" s="90" t="s">
        <v>1086</v>
      </c>
      <c r="L265" s="90" t="s">
        <v>1086</v>
      </c>
      <c r="M265" s="214"/>
      <c r="N265" s="88" t="s">
        <v>1804</v>
      </c>
      <c r="O265" s="216">
        <f t="shared" si="774"/>
        <v>2.67</v>
      </c>
      <c r="P265" s="88" t="str">
        <f t="shared" si="663"/>
        <v>B1_3</v>
      </c>
      <c r="Q265" s="88">
        <f t="shared" si="733"/>
        <v>270</v>
      </c>
      <c r="R265" s="88">
        <f t="shared" si="734"/>
        <v>100</v>
      </c>
      <c r="S265" s="218" t="s">
        <v>2040</v>
      </c>
      <c r="T265" s="88" t="s">
        <v>3091</v>
      </c>
      <c r="U265" s="88">
        <f>IF(RIGHT(T265,1)="K",(VLOOKUP(T265,ma_miengiam!$A$3:$B$80,2,0)*100)/2,VLOOKUP(T265,ma_miengiam!$A$3:$B$80,2,0)*100)</f>
        <v>20</v>
      </c>
      <c r="V265" s="88"/>
      <c r="W265" s="220">
        <f>IF(AND(T265="NTS",V265&gt;0),(Q265-(Q265*V265)/12)*VLOOKUP(T265,ma_miengiam!$A$3:$B$80,2,0)+(Q265-(Q265*(12-V265))/12),IF(AND(RIGHT(T265,1)="K",V265&gt;0),(VLOOKUP(T265,ma_miengiam!$A$3:$B$80,2,0)/2)*(Q265*V265)/12,IF(RIGHT(T265,1)="K",(VLOOKUP(T265,ma_miengiam!$A$3:$B$80,2,0)*Q265)/2,IF(V265&gt;0,VLOOKUP(T265,ma_miengiam!$A$3:$B$80,2,0)*Q265*V265/12,VLOOKUP(T265,ma_miengiam!$A$3:$B$80,2,0)*Q265))))</f>
        <v>54</v>
      </c>
      <c r="X265" s="220">
        <f>IF(T265="NTS",VLOOKUP(T265,ma_miengiam!$A$3:$B$80,2,0)*R265*V265,IF(AND(T265="NTS",V265=0),0,IF(AND(LEFT(T265,1)="K",V265=0),VLOOKUP(T265,ma_miengiam!$A$3:$B$80,2,0)*R265,IF(LEFT(T265,1)="K",(VLOOKUP(T265,ma_miengiam!$A$3:$B$80,2,0)*R265/12)*V265,IF(AND(LEFT(T265,1)="S",V265&gt;0),(R265/12)*V265,IF(AND(LEFT(T265,1)="S",V265=0),R265,IF(T265="DH",VLOOKUP(T265,ma_miengiam!$A$3:$B$80,2,0)*R265,0)))))))</f>
        <v>0</v>
      </c>
      <c r="Y265" s="220">
        <f t="shared" si="783"/>
        <v>216</v>
      </c>
      <c r="Z265" s="220">
        <f t="shared" si="827"/>
        <v>100</v>
      </c>
      <c r="AA265" s="220">
        <f t="shared" ref="AA265:AB270" si="837">Q265</f>
        <v>270</v>
      </c>
      <c r="AB265" s="220">
        <f t="shared" si="837"/>
        <v>100</v>
      </c>
      <c r="AC265" s="220">
        <f t="shared" ref="AC265:AF268" si="838">W265</f>
        <v>54</v>
      </c>
      <c r="AD265" s="220">
        <f t="shared" si="838"/>
        <v>0</v>
      </c>
      <c r="AE265" s="220">
        <f t="shared" si="838"/>
        <v>216</v>
      </c>
      <c r="AF265" s="220">
        <f t="shared" si="838"/>
        <v>100</v>
      </c>
      <c r="AG265" s="220">
        <f t="shared" si="822"/>
        <v>162.24</v>
      </c>
      <c r="AH265" s="220">
        <f t="shared" si="823"/>
        <v>53.91</v>
      </c>
      <c r="AI265" s="220">
        <f t="shared" si="824"/>
        <v>108.33</v>
      </c>
      <c r="AJ265" s="220">
        <f t="shared" si="828"/>
        <v>0</v>
      </c>
      <c r="AK265" s="216">
        <f t="shared" si="794"/>
        <v>216</v>
      </c>
      <c r="AL265" s="220">
        <f t="shared" si="795"/>
        <v>286.3</v>
      </c>
      <c r="AM265" s="220">
        <f t="shared" si="796"/>
        <v>0</v>
      </c>
      <c r="AN265" s="221">
        <f t="shared" si="797"/>
        <v>286.3</v>
      </c>
      <c r="AO265" s="220">
        <f t="shared" si="798"/>
        <v>0</v>
      </c>
      <c r="AP265" s="220">
        <f t="shared" si="799"/>
        <v>0</v>
      </c>
      <c r="AQ265" s="220">
        <f t="shared" si="800"/>
        <v>60</v>
      </c>
      <c r="AR265" s="220">
        <f t="shared" si="801"/>
        <v>0</v>
      </c>
      <c r="AS265" s="220">
        <f t="shared" si="802"/>
        <v>0</v>
      </c>
      <c r="AT265" s="216">
        <f t="shared" si="803"/>
        <v>346.3</v>
      </c>
      <c r="AU265" s="222">
        <f t="shared" si="722"/>
        <v>70.300000000000011</v>
      </c>
      <c r="AV265" s="220"/>
      <c r="AW265" s="220">
        <f t="shared" si="804"/>
        <v>70.300000000000011</v>
      </c>
      <c r="AX265" s="216">
        <f t="shared" si="820"/>
        <v>0</v>
      </c>
      <c r="AY265" s="220">
        <f t="shared" si="815"/>
        <v>0</v>
      </c>
      <c r="AZ265" s="220">
        <f t="shared" si="816"/>
        <v>0</v>
      </c>
      <c r="BA265" s="220">
        <f t="shared" si="817"/>
        <v>60</v>
      </c>
      <c r="BB265" s="220">
        <f t="shared" si="818"/>
        <v>0</v>
      </c>
      <c r="BC265" s="220">
        <f t="shared" si="819"/>
        <v>0</v>
      </c>
      <c r="BD265" s="216">
        <f t="shared" si="759"/>
        <v>60</v>
      </c>
      <c r="BE265" s="220">
        <f t="shared" si="805"/>
        <v>0</v>
      </c>
      <c r="BF265" s="220">
        <f t="shared" si="806"/>
        <v>0</v>
      </c>
      <c r="BG265" s="220">
        <f t="shared" si="807"/>
        <v>0</v>
      </c>
      <c r="BH265" s="220">
        <f t="shared" si="808"/>
        <v>0</v>
      </c>
      <c r="BI265" s="220">
        <f t="shared" si="809"/>
        <v>0</v>
      </c>
      <c r="BJ265" s="220" t="s">
        <v>2416</v>
      </c>
      <c r="BK265" s="220"/>
      <c r="BL265" s="223">
        <f t="shared" si="773"/>
        <v>70.300000000000011</v>
      </c>
      <c r="BM265" s="220">
        <v>2.67</v>
      </c>
      <c r="BN265" s="220"/>
      <c r="BO265" s="220">
        <f t="shared" ref="BO265:BO271" si="839">ROUND(BM265+(BM265*BN265),2)</f>
        <v>2.67</v>
      </c>
      <c r="BP265" s="220">
        <f>IF(AND(BL265&gt;0,BL265&lt;tiet!$D$1),BL265,IF(BL265&lt;=0,0,IF(BL265&gt;tiet!$C$1,tiet!$C$1)))</f>
        <v>70.300000000000011</v>
      </c>
      <c r="BQ265" s="87">
        <f t="shared" si="829"/>
        <v>60000</v>
      </c>
      <c r="BR265" s="224">
        <f t="shared" si="830"/>
        <v>4218000</v>
      </c>
      <c r="BS265" s="220">
        <f t="shared" si="630"/>
        <v>0</v>
      </c>
      <c r="BT265" s="224">
        <f>VLOOKUP(N265,ma_dinhmuc!$A$1:$J$31,10,0)</f>
        <v>51000</v>
      </c>
      <c r="BU265" s="224">
        <f>ROUND(IF(BS265&gt;0,VLOOKUP(N265,ma_dinhmuc!$A$1:$J$31,10,0)*BS265,0),0)</f>
        <v>0</v>
      </c>
      <c r="BV265" s="224">
        <f t="shared" si="831"/>
        <v>4218000</v>
      </c>
      <c r="BW265" s="224"/>
      <c r="BX265" s="224">
        <v>0</v>
      </c>
      <c r="BY265" s="224"/>
      <c r="BZ265" s="224"/>
      <c r="CA265" s="224"/>
      <c r="CB265" s="224"/>
      <c r="CC265" s="225">
        <f t="shared" si="832"/>
        <v>4218000</v>
      </c>
      <c r="CD265" s="224">
        <f t="shared" si="833"/>
        <v>0</v>
      </c>
      <c r="CE265" s="224"/>
      <c r="CF265" s="226"/>
      <c r="CG265" s="87"/>
      <c r="CH265" s="87">
        <f t="shared" si="788"/>
        <v>24</v>
      </c>
      <c r="CI265" s="227" t="str">
        <f t="shared" ref="CI265:CI270" si="840">F265</f>
        <v xml:space="preserve">Hoàng Thị </v>
      </c>
      <c r="CJ265" s="227" t="str">
        <f t="shared" si="834"/>
        <v>Hằng</v>
      </c>
      <c r="CK265" s="87">
        <f t="shared" si="835"/>
        <v>5</v>
      </c>
      <c r="CL265" s="227" t="str">
        <f t="shared" si="836"/>
        <v>Kinh tế Tài nguyên và MT</v>
      </c>
      <c r="CM265" s="87" t="str">
        <f t="shared" si="810"/>
        <v>CS2</v>
      </c>
      <c r="CN265" s="87">
        <f t="shared" si="825"/>
        <v>270</v>
      </c>
      <c r="CO265" s="87">
        <f t="shared" si="826"/>
        <v>100</v>
      </c>
      <c r="CP265" s="229">
        <f t="shared" si="634"/>
        <v>0</v>
      </c>
      <c r="CQ265" s="229">
        <f t="shared" si="635"/>
        <v>33</v>
      </c>
      <c r="CR265" s="229">
        <f t="shared" si="636"/>
        <v>13.3</v>
      </c>
      <c r="CS265" s="229">
        <f t="shared" si="637"/>
        <v>0</v>
      </c>
      <c r="CT265" s="229">
        <f t="shared" si="638"/>
        <v>0</v>
      </c>
      <c r="CU265" s="229">
        <f t="shared" si="639"/>
        <v>240</v>
      </c>
      <c r="CV265" s="229">
        <f t="shared" si="640"/>
        <v>0</v>
      </c>
      <c r="CW265" s="229">
        <f t="shared" si="641"/>
        <v>0</v>
      </c>
      <c r="CX265" s="229">
        <f t="shared" si="642"/>
        <v>0</v>
      </c>
      <c r="CY265" s="229">
        <f t="shared" si="643"/>
        <v>0</v>
      </c>
      <c r="CZ265" s="229">
        <f t="shared" si="644"/>
        <v>0</v>
      </c>
      <c r="DA265" s="229">
        <f t="shared" si="645"/>
        <v>60</v>
      </c>
      <c r="DB265" s="228">
        <f t="shared" si="792"/>
        <v>346.3</v>
      </c>
      <c r="DC265" s="229"/>
      <c r="DD265" s="229"/>
      <c r="DE265" s="229"/>
      <c r="DF265" s="229"/>
      <c r="DG265" s="229"/>
      <c r="DH265" s="229"/>
      <c r="DI265" s="229"/>
      <c r="DJ265" s="229"/>
      <c r="DK265" s="229"/>
      <c r="DL265" s="229"/>
      <c r="DM265" s="229"/>
      <c r="DN265" s="229"/>
      <c r="DO265" s="228">
        <f t="shared" si="812"/>
        <v>0</v>
      </c>
      <c r="DP265" s="228">
        <f t="shared" si="813"/>
        <v>346.3</v>
      </c>
      <c r="DQ265" s="229">
        <f t="shared" si="646"/>
        <v>0</v>
      </c>
      <c r="DR265" s="229">
        <f t="shared" si="647"/>
        <v>0</v>
      </c>
      <c r="DS265" s="229">
        <f t="shared" si="648"/>
        <v>0</v>
      </c>
      <c r="DT265" s="229">
        <f t="shared" si="649"/>
        <v>0</v>
      </c>
      <c r="DU265" s="229">
        <f t="shared" si="650"/>
        <v>0</v>
      </c>
      <c r="DV265" s="229">
        <f t="shared" si="651"/>
        <v>0</v>
      </c>
      <c r="DW265" s="229">
        <f t="shared" si="652"/>
        <v>0</v>
      </c>
      <c r="DX265" s="228">
        <f t="shared" si="793"/>
        <v>0</v>
      </c>
      <c r="DY265" s="229"/>
      <c r="DZ265" s="229"/>
      <c r="EA265" s="229"/>
      <c r="EB265" s="229"/>
      <c r="EC265" s="229"/>
      <c r="ED265" s="229"/>
      <c r="EE265" s="229"/>
      <c r="EF265" s="228">
        <f t="shared" si="631"/>
        <v>0</v>
      </c>
      <c r="EG265" s="228">
        <f t="shared" si="814"/>
        <v>0</v>
      </c>
      <c r="EH265" s="229">
        <f t="shared" si="632"/>
        <v>108.33</v>
      </c>
      <c r="EI265" s="229">
        <v>53.91</v>
      </c>
      <c r="EJ265" s="228">
        <f t="shared" si="772"/>
        <v>162.24</v>
      </c>
      <c r="EK265" s="229"/>
      <c r="EL265" s="229"/>
      <c r="EM265" s="228">
        <f t="shared" ref="EM265:EM271" si="841">SUM(EK265:EL265)</f>
        <v>0</v>
      </c>
      <c r="EN265" s="229">
        <f t="shared" si="708"/>
        <v>108.33</v>
      </c>
      <c r="EO265" s="229">
        <f t="shared" si="723"/>
        <v>53.91</v>
      </c>
      <c r="EP265" s="228">
        <f t="shared" ref="EP265:EP271" si="842">EM265+EJ265</f>
        <v>162.24</v>
      </c>
      <c r="EQ265" s="173">
        <f t="shared" si="633"/>
        <v>8.3299999999999983</v>
      </c>
      <c r="ER265" s="189">
        <v>0</v>
      </c>
      <c r="ES265" s="189">
        <v>33</v>
      </c>
      <c r="ET265" s="189">
        <v>13.3</v>
      </c>
      <c r="EU265" s="189">
        <v>0</v>
      </c>
      <c r="EV265" s="189">
        <v>0</v>
      </c>
      <c r="EW265" s="189">
        <v>240</v>
      </c>
      <c r="EX265" s="189">
        <v>0</v>
      </c>
      <c r="EY265" s="189">
        <v>0</v>
      </c>
      <c r="EZ265" s="189">
        <v>0</v>
      </c>
      <c r="FA265" s="189">
        <v>0</v>
      </c>
      <c r="FB265" s="189">
        <v>0</v>
      </c>
      <c r="FC265" s="189">
        <v>60</v>
      </c>
      <c r="FD265" s="189">
        <v>0</v>
      </c>
      <c r="FE265" s="189">
        <v>0</v>
      </c>
      <c r="FF265" s="189">
        <v>0</v>
      </c>
      <c r="FG265" s="189">
        <v>0</v>
      </c>
      <c r="FH265" s="189">
        <v>0</v>
      </c>
      <c r="FI265" s="189">
        <v>0</v>
      </c>
      <c r="FJ265" s="189">
        <v>0</v>
      </c>
      <c r="FK265" s="189">
        <v>346.3</v>
      </c>
      <c r="FL265" s="189">
        <v>282</v>
      </c>
      <c r="FN265" s="132">
        <v>108.33</v>
      </c>
    </row>
    <row r="266" spans="1:170" ht="30" customHeight="1">
      <c r="A266" s="88">
        <f>COUNTIF($H$12:H271,H266)</f>
        <v>24</v>
      </c>
      <c r="B266" s="88" t="s">
        <v>278</v>
      </c>
      <c r="C266" s="88" t="s">
        <v>1767</v>
      </c>
      <c r="D266" s="88"/>
      <c r="E266" s="88"/>
      <c r="F266" s="301" t="s">
        <v>1147</v>
      </c>
      <c r="G266" s="89" t="s">
        <v>1909</v>
      </c>
      <c r="H266" s="88">
        <v>5</v>
      </c>
      <c r="I266" s="88">
        <v>5</v>
      </c>
      <c r="J266" s="88">
        <v>5</v>
      </c>
      <c r="K266" s="90" t="s">
        <v>1086</v>
      </c>
      <c r="L266" s="90" t="s">
        <v>1086</v>
      </c>
      <c r="M266" s="214"/>
      <c r="N266" s="88" t="s">
        <v>1804</v>
      </c>
      <c r="O266" s="216">
        <f>BO266</f>
        <v>2.67</v>
      </c>
      <c r="P266" s="88" t="str">
        <f t="shared" si="663"/>
        <v>B1_3</v>
      </c>
      <c r="Q266" s="88">
        <f t="shared" si="733"/>
        <v>270</v>
      </c>
      <c r="R266" s="88">
        <f t="shared" si="734"/>
        <v>100</v>
      </c>
      <c r="S266" s="218" t="s">
        <v>2539</v>
      </c>
      <c r="T266" s="214" t="s">
        <v>3088</v>
      </c>
      <c r="U266" s="88">
        <f>IF(RIGHT(T266,1)="K",(VLOOKUP(T266,ma_miengiam!$A$3:$B$80,2,0)*100)/2,VLOOKUP(T266,ma_miengiam!$A$3:$B$80,2,0)*100)</f>
        <v>0</v>
      </c>
      <c r="V266" s="88"/>
      <c r="W266" s="220">
        <f>IF(AND(T266="NTS",V266&gt;0),(Q266-(Q266*V266)/12)*VLOOKUP(T266,ma_miengiam!$A$3:$B$80,2,0)+(Q266-(Q266*(12-V266))/12),IF(AND(RIGHT(T266,1)="K",V266&gt;0),(VLOOKUP(T266,ma_miengiam!$A$3:$B$80,2,0)/2)*(Q266*V266)/12,IF(RIGHT(T266,1)="K",(VLOOKUP(T266,ma_miengiam!$A$3:$B$80,2,0)*Q266)/2,IF(V266&gt;0,VLOOKUP(T266,ma_miengiam!$A$3:$B$80,2,0)*Q266*V266/12,VLOOKUP(T266,ma_miengiam!$A$3:$B$80,2,0)*Q266))))</f>
        <v>0</v>
      </c>
      <c r="X266" s="220">
        <f>IF(T266="NTS",VLOOKUP(T266,ma_miengiam!$A$3:$B$80,2,0)*R266*V266,IF(AND(T266="NTS",V266=0),0,IF(AND(LEFT(T266,1)="K",V266=0),VLOOKUP(T266,ma_miengiam!$A$3:$B$80,2,0)*R266,IF(LEFT(T266,1)="K",(VLOOKUP(T266,ma_miengiam!$A$3:$B$80,2,0)*R266/12)*V266,IF(AND(LEFT(T266,1)="S",V266&gt;0),(R266/12)*V266,IF(AND(LEFT(T266,1)="S",V266=0),R266,IF(T266="DH",VLOOKUP(T266,ma_miengiam!$A$3:$B$80,2,0)*R266,0)))))))</f>
        <v>0</v>
      </c>
      <c r="Y266" s="220">
        <f>IF(AND(T266="DH",V266&gt;0),(S266*V266/12),IF(AND(T266&lt;&gt;"NTS",V266&gt;0),(Q266*V266/12)-W266,IF(AND(T266="NTS",V266&gt;0),Q266-W266,Q266-W266)))</f>
        <v>270</v>
      </c>
      <c r="Z266" s="220">
        <f t="shared" si="827"/>
        <v>100</v>
      </c>
      <c r="AA266" s="220">
        <f>Q266</f>
        <v>270</v>
      </c>
      <c r="AB266" s="220">
        <f>R266</f>
        <v>100</v>
      </c>
      <c r="AC266" s="220">
        <f t="shared" ref="AC266:AF267" si="843">W266</f>
        <v>0</v>
      </c>
      <c r="AD266" s="220">
        <f t="shared" si="843"/>
        <v>0</v>
      </c>
      <c r="AE266" s="220">
        <f t="shared" si="843"/>
        <v>270</v>
      </c>
      <c r="AF266" s="220">
        <f t="shared" si="843"/>
        <v>100</v>
      </c>
      <c r="AG266" s="220">
        <f t="shared" si="822"/>
        <v>77.08</v>
      </c>
      <c r="AH266" s="220">
        <f t="shared" si="823"/>
        <v>0</v>
      </c>
      <c r="AI266" s="220">
        <f t="shared" si="824"/>
        <v>77.08</v>
      </c>
      <c r="AJ266" s="220">
        <f t="shared" si="828"/>
        <v>-22.92</v>
      </c>
      <c r="AK266" s="216">
        <f t="shared" si="794"/>
        <v>292.92</v>
      </c>
      <c r="AL266" s="220">
        <f>SUM(CP266:CX266)+SUM(DC266:DK266)</f>
        <v>273.2</v>
      </c>
      <c r="AM266" s="220">
        <f>SUM(DQ266:DU266)+SUM(DY266:EC266)</f>
        <v>0</v>
      </c>
      <c r="AN266" s="216">
        <f>AM266+AL266</f>
        <v>273.2</v>
      </c>
      <c r="AO266" s="220">
        <f t="shared" ref="AO266:AQ267" si="844">CY266+DL266</f>
        <v>0</v>
      </c>
      <c r="AP266" s="220">
        <f t="shared" si="844"/>
        <v>0</v>
      </c>
      <c r="AQ266" s="220">
        <f t="shared" si="844"/>
        <v>60</v>
      </c>
      <c r="AR266" s="220">
        <f>DV266+ED266</f>
        <v>0</v>
      </c>
      <c r="AS266" s="220">
        <f>DW266+EE266</f>
        <v>0</v>
      </c>
      <c r="AT266" s="216">
        <f>AN266+SUM(AO266:AS266)</f>
        <v>333.2</v>
      </c>
      <c r="AU266" s="220">
        <f>AN266-AK266</f>
        <v>-19.720000000000027</v>
      </c>
      <c r="AV266" s="220"/>
      <c r="AW266" s="220">
        <f>IF(AU266&gt;0,AU266,AV266+AU266)</f>
        <v>-19.720000000000027</v>
      </c>
      <c r="AX266" s="216">
        <f t="shared" si="820"/>
        <v>-19.720000000000027</v>
      </c>
      <c r="AY266" s="220">
        <f>IF(AN266&gt;=AK266,AO266,IF(AN266+AO266-AK266&gt;=0,AN266+AO266-AK266,0))</f>
        <v>0</v>
      </c>
      <c r="AZ266" s="220">
        <f>IF(OR(AN266&gt;=AK266,AN266+AO266&gt;=AK266),AP266,IF(AN266+AO266+AP266&gt;AK266,AN266+AO266+AP266-AK266,0))</f>
        <v>0</v>
      </c>
      <c r="BA266" s="220">
        <f>IF(OR(AN266&gt;=AK266,AN266+AO266&gt;=AK266,AN266+AO266+AP266&gt;=AK266),AQ266,IF(AN266+AO266+AP266+AQ266&gt;=AK266,AN266+AO266+AP266+AQ266-AK266,0))</f>
        <v>40.279999999999973</v>
      </c>
      <c r="BB266" s="220">
        <f>IF(OR(AN266&gt;=AK266,AN266+AO266&gt;=AK266,AN266+AO266+AP266&gt;=AK266,AN266+AO266+AP266+AQ266&gt;=AK266),AR266,IF(AN266+AO266+AP266+AQ266+AR266&gt;=AK266,AN266+AO266+AP266+AQ266+AR266-AK266,0))</f>
        <v>0</v>
      </c>
      <c r="BC266" s="220">
        <f>IF(OR(AN266&gt;=AK266,AN266+AO266&gt;=AK266,AN266+AO266+AP266&gt;=AK266,AN266+AO266+AP266+AQ266&gt;=AK266,AN266+AO266+AP266+AQ266+AR266&gt;=AK266),AS266,IF(AN266+AO266+AP266+AQ266+AR266+AS266&gt;=AK266,AN266+AO266+AP266+AQ266+AR266+AS266-AK266,0))</f>
        <v>0</v>
      </c>
      <c r="BD266" s="216">
        <f t="shared" si="759"/>
        <v>40.279999999999973</v>
      </c>
      <c r="BE266" s="220">
        <f t="shared" ref="BE266:BI267" si="845">AY266-AO266</f>
        <v>0</v>
      </c>
      <c r="BF266" s="220">
        <f t="shared" si="845"/>
        <v>0</v>
      </c>
      <c r="BG266" s="220">
        <f t="shared" si="845"/>
        <v>-19.720000000000027</v>
      </c>
      <c r="BH266" s="220">
        <f t="shared" si="845"/>
        <v>0</v>
      </c>
      <c r="BI266" s="220">
        <f t="shared" si="845"/>
        <v>0</v>
      </c>
      <c r="BJ266" s="220" t="s">
        <v>2416</v>
      </c>
      <c r="BK266" s="220"/>
      <c r="BL266" s="223">
        <f t="shared" si="773"/>
        <v>0</v>
      </c>
      <c r="BM266" s="220">
        <v>2.67</v>
      </c>
      <c r="BN266" s="220"/>
      <c r="BO266" s="220">
        <f>ROUND(BM266+(BM266*BN266),2)</f>
        <v>2.67</v>
      </c>
      <c r="BP266" s="220">
        <f>IF(AND(BL266&gt;0,BL266&lt;tiet!$D$1),BL266,IF(BL266&lt;=0,0,IF(BL266&gt;tiet!$C$1,tiet!$C$1)))</f>
        <v>0</v>
      </c>
      <c r="BQ266" s="87">
        <f t="shared" si="829"/>
        <v>60000</v>
      </c>
      <c r="BR266" s="224">
        <f t="shared" si="830"/>
        <v>0</v>
      </c>
      <c r="BS266" s="220">
        <f t="shared" si="630"/>
        <v>0</v>
      </c>
      <c r="BT266" s="224">
        <f>VLOOKUP(N266,ma_dinhmuc!$A$1:$J$31,10,0)</f>
        <v>51000</v>
      </c>
      <c r="BU266" s="224">
        <f>ROUND(IF(BS266&gt;0,VLOOKUP(N266,ma_dinhmuc!$A$1:$J$31,10,0)*BS266,0),0)</f>
        <v>0</v>
      </c>
      <c r="BV266" s="224">
        <f t="shared" si="831"/>
        <v>0</v>
      </c>
      <c r="BW266" s="224"/>
      <c r="BX266" s="224">
        <v>0</v>
      </c>
      <c r="BY266" s="224"/>
      <c r="BZ266" s="224"/>
      <c r="CA266" s="224"/>
      <c r="CB266" s="224"/>
      <c r="CC266" s="225">
        <f t="shared" si="832"/>
        <v>0</v>
      </c>
      <c r="CD266" s="224">
        <f t="shared" si="833"/>
        <v>0</v>
      </c>
      <c r="CE266" s="224"/>
      <c r="CF266" s="226"/>
      <c r="CG266" s="87"/>
      <c r="CH266" s="87">
        <f>A266</f>
        <v>24</v>
      </c>
      <c r="CI266" s="227" t="str">
        <f t="shared" si="840"/>
        <v>Nguyễn Mạnh</v>
      </c>
      <c r="CJ266" s="227" t="str">
        <f t="shared" si="834"/>
        <v>Hiếu</v>
      </c>
      <c r="CK266" s="87">
        <f t="shared" si="835"/>
        <v>5</v>
      </c>
      <c r="CL266" s="227" t="str">
        <f t="shared" si="836"/>
        <v>Kinh tế Tài nguyên và MT</v>
      </c>
      <c r="CM266" s="87" t="str">
        <f>N266</f>
        <v>CS2</v>
      </c>
      <c r="CN266" s="87">
        <f t="shared" si="825"/>
        <v>270</v>
      </c>
      <c r="CO266" s="87">
        <f>R266</f>
        <v>100</v>
      </c>
      <c r="CP266" s="229">
        <f t="shared" si="634"/>
        <v>0</v>
      </c>
      <c r="CQ266" s="229">
        <f t="shared" si="635"/>
        <v>30.9</v>
      </c>
      <c r="CR266" s="229">
        <f t="shared" si="636"/>
        <v>12.4</v>
      </c>
      <c r="CS266" s="229">
        <f t="shared" si="637"/>
        <v>72.599999999999994</v>
      </c>
      <c r="CT266" s="229">
        <f t="shared" si="638"/>
        <v>0</v>
      </c>
      <c r="CU266" s="229">
        <f t="shared" si="639"/>
        <v>157.30000000000001</v>
      </c>
      <c r="CV266" s="229">
        <f t="shared" si="640"/>
        <v>0</v>
      </c>
      <c r="CW266" s="229">
        <f t="shared" si="641"/>
        <v>0</v>
      </c>
      <c r="CX266" s="229">
        <f t="shared" si="642"/>
        <v>0</v>
      </c>
      <c r="CY266" s="229">
        <f t="shared" si="643"/>
        <v>0</v>
      </c>
      <c r="CZ266" s="229">
        <f t="shared" si="644"/>
        <v>0</v>
      </c>
      <c r="DA266" s="229">
        <f t="shared" si="645"/>
        <v>60</v>
      </c>
      <c r="DB266" s="228">
        <f>SUM(CP266:DA266)</f>
        <v>333.2</v>
      </c>
      <c r="DC266" s="229"/>
      <c r="DD266" s="229"/>
      <c r="DE266" s="229"/>
      <c r="DF266" s="229"/>
      <c r="DG266" s="229"/>
      <c r="DH266" s="229"/>
      <c r="DI266" s="229"/>
      <c r="DJ266" s="229"/>
      <c r="DK266" s="229"/>
      <c r="DL266" s="229"/>
      <c r="DM266" s="229"/>
      <c r="DN266" s="229"/>
      <c r="DO266" s="228">
        <f>SUM(DC266:DN266)</f>
        <v>0</v>
      </c>
      <c r="DP266" s="228">
        <f>DO266+DB266</f>
        <v>333.2</v>
      </c>
      <c r="DQ266" s="229">
        <f t="shared" si="646"/>
        <v>0</v>
      </c>
      <c r="DR266" s="229">
        <f t="shared" si="647"/>
        <v>0</v>
      </c>
      <c r="DS266" s="229">
        <f t="shared" si="648"/>
        <v>0</v>
      </c>
      <c r="DT266" s="229">
        <f t="shared" si="649"/>
        <v>0</v>
      </c>
      <c r="DU266" s="229">
        <f t="shared" si="650"/>
        <v>0</v>
      </c>
      <c r="DV266" s="229">
        <f t="shared" si="651"/>
        <v>0</v>
      </c>
      <c r="DW266" s="229">
        <f t="shared" si="652"/>
        <v>0</v>
      </c>
      <c r="DX266" s="228">
        <f>SUM(DQ266:DW266)</f>
        <v>0</v>
      </c>
      <c r="DY266" s="229"/>
      <c r="DZ266" s="229"/>
      <c r="EA266" s="229"/>
      <c r="EB266" s="229"/>
      <c r="EC266" s="229"/>
      <c r="ED266" s="229"/>
      <c r="EE266" s="229"/>
      <c r="EF266" s="228">
        <f t="shared" si="631"/>
        <v>0</v>
      </c>
      <c r="EG266" s="228">
        <f>EF266+DX266</f>
        <v>0</v>
      </c>
      <c r="EH266" s="229">
        <f t="shared" si="632"/>
        <v>77.08</v>
      </c>
      <c r="EI266" s="229">
        <v>0</v>
      </c>
      <c r="EJ266" s="228">
        <f>SUM(EH266:EI266)</f>
        <v>77.08</v>
      </c>
      <c r="EK266" s="229"/>
      <c r="EL266" s="229"/>
      <c r="EM266" s="228">
        <f>SUM(EK266:EL266)</f>
        <v>0</v>
      </c>
      <c r="EN266" s="229">
        <f>EK266+EH266+EL266</f>
        <v>77.08</v>
      </c>
      <c r="EO266" s="229">
        <f>EI266</f>
        <v>0</v>
      </c>
      <c r="EP266" s="228">
        <f>EM266+EJ266</f>
        <v>77.08</v>
      </c>
      <c r="EQ266" s="173">
        <f t="shared" si="633"/>
        <v>0</v>
      </c>
      <c r="ER266" s="189">
        <v>0</v>
      </c>
      <c r="ES266" s="189">
        <v>30.9</v>
      </c>
      <c r="ET266" s="189">
        <v>12.4</v>
      </c>
      <c r="EU266" s="189">
        <v>72.599999999999994</v>
      </c>
      <c r="EV266" s="189">
        <v>0</v>
      </c>
      <c r="EW266" s="189">
        <v>157.30000000000001</v>
      </c>
      <c r="EX266" s="189">
        <v>0</v>
      </c>
      <c r="EY266" s="189">
        <v>0</v>
      </c>
      <c r="EZ266" s="189">
        <v>0</v>
      </c>
      <c r="FA266" s="189">
        <v>0</v>
      </c>
      <c r="FB266" s="189">
        <v>0</v>
      </c>
      <c r="FC266" s="189">
        <v>60</v>
      </c>
      <c r="FD266" s="189">
        <v>0</v>
      </c>
      <c r="FE266" s="189">
        <v>0</v>
      </c>
      <c r="FF266" s="189">
        <v>0</v>
      </c>
      <c r="FG266" s="189">
        <v>0</v>
      </c>
      <c r="FH266" s="189">
        <v>0</v>
      </c>
      <c r="FI266" s="189">
        <v>0</v>
      </c>
      <c r="FJ266" s="189">
        <v>0</v>
      </c>
      <c r="FK266" s="189">
        <v>333.2</v>
      </c>
      <c r="FL266" s="189">
        <v>292.60000000000002</v>
      </c>
      <c r="FN266" s="132">
        <v>77.08</v>
      </c>
    </row>
    <row r="267" spans="1:170" ht="30" customHeight="1">
      <c r="A267" s="88">
        <f>COUNTIF($H$12:H270,H267)</f>
        <v>23</v>
      </c>
      <c r="B267" s="88" t="s">
        <v>276</v>
      </c>
      <c r="C267" s="88" t="s">
        <v>1765</v>
      </c>
      <c r="D267" s="88"/>
      <c r="E267" s="88"/>
      <c r="F267" s="301" t="s">
        <v>2204</v>
      </c>
      <c r="G267" s="89" t="s">
        <v>19</v>
      </c>
      <c r="H267" s="88">
        <v>5</v>
      </c>
      <c r="I267" s="88">
        <v>5</v>
      </c>
      <c r="J267" s="88">
        <v>5</v>
      </c>
      <c r="K267" s="90" t="s">
        <v>1086</v>
      </c>
      <c r="L267" s="90" t="s">
        <v>1086</v>
      </c>
      <c r="M267" s="214"/>
      <c r="N267" s="88" t="s">
        <v>1804</v>
      </c>
      <c r="O267" s="216">
        <f>BO267</f>
        <v>3.33</v>
      </c>
      <c r="P267" s="88" t="str">
        <f>IF(BO267&lt;3.33,"B1_3",IF(AND(BO267&gt;=3.33,BO267&lt;4.65),"B1_4",IF(AND(BO267&gt;=4.65,BO267&lt;5.42),"B1_5",IF(AND(BO267&gt;=5.42,BO267&lt;6.44),"B1_6",IF(AND(BO267&gt;=6.44,BO267&lt;=6.92),"B1_7","B1_8")))))</f>
        <v>B1_4</v>
      </c>
      <c r="Q267" s="88">
        <f>IF(M267&gt;0,VLOOKUP(P267,ma_dinhmuc_moi,2,0)/2,VLOOKUP(P267,ma_dinhmuc_moi,2,0))</f>
        <v>270</v>
      </c>
      <c r="R267" s="88">
        <f>IF(M267&gt;0,VLOOKUP(P267,ma_dinhmuc_moi,3,0)/2,VLOOKUP(P267,ma_dinhmuc_moi,3,0))</f>
        <v>120</v>
      </c>
      <c r="S267" s="230" t="s">
        <v>2653</v>
      </c>
      <c r="T267" s="214" t="s">
        <v>3088</v>
      </c>
      <c r="U267" s="88">
        <f>IF(RIGHT(T267,1)="K",(VLOOKUP(T267,ma_miengiam!$A$3:$B$80,2,0)*100)/2,VLOOKUP(T267,ma_miengiam!$A$3:$B$80,2,0)*100)</f>
        <v>0</v>
      </c>
      <c r="V267" s="88">
        <v>8</v>
      </c>
      <c r="W267" s="220">
        <f>IF(AND(T267="NTS",V267&gt;0),(Q267-(Q267*V267)/12)*VLOOKUP(T267,ma_miengiam!$A$3:$B$80,2,0)+(Q267-(Q267*(12-V267))/12),IF(AND(RIGHT(T267,1)="K",V267&gt;0),(VLOOKUP(T267,ma_miengiam!$A$3:$B$80,2,0)/2)*(Q267*V267)/12,IF(RIGHT(T267,1)="K",(VLOOKUP(T267,ma_miengiam!$A$3:$B$80,2,0)*Q267)/2,IF(V267&gt;0,VLOOKUP(T267,ma_miengiam!$A$3:$B$80,2,0)*Q267*V267/12,VLOOKUP(T267,ma_miengiam!$A$3:$B$80,2,0)*Q267))))</f>
        <v>0</v>
      </c>
      <c r="X267" s="220">
        <f>IF(T267="NTS",VLOOKUP(T267,ma_miengiam!$A$3:$B$80,2,0)*R267*V267,IF(AND(T267="NTS",V267=0),0,IF(AND(LEFT(T267,1)="K",V267=0),VLOOKUP(T267,ma_miengiam!$A$3:$B$80,2,0)*R267,IF(LEFT(T267,1)="K",(VLOOKUP(T267,ma_miengiam!$A$3:$B$80,2,0)*R267/12)*V267,IF(AND(LEFT(T267,1)="S",V267&gt;0),(R267/12)*V267,IF(AND(LEFT(T267,1)="S",V267=0),R267,IF(T267="DH",VLOOKUP(T267,ma_miengiam!$A$3:$B$80,2,0)*R267,0)))))))</f>
        <v>0</v>
      </c>
      <c r="Y267" s="220">
        <f>IF(AND(T267="DH",V267&gt;0),(S267*V267/12),IF(AND(T267&lt;&gt;"NTS",V267&gt;0),(Q267*V267/12)-W267,IF(AND(T267="NTS",V267&gt;0),Q267-W267,Q267-W267)))</f>
        <v>180</v>
      </c>
      <c r="Z267" s="220">
        <f>IF(AND(T267="SĐH",V267&gt;0),(R267/12)*V267-X267,IF(AND(T267="DH",V267&gt;0),(R267*V267/12),IF(AND(T267&lt;&gt;"NTS",V267&gt;0),(R267*V267/12)-X267,IF(AND(T267="NTS",V267&gt;0),R267-X267,R267-X267))))</f>
        <v>80</v>
      </c>
      <c r="AA267" s="220">
        <f>Q267</f>
        <v>270</v>
      </c>
      <c r="AB267" s="220">
        <f>R267</f>
        <v>120</v>
      </c>
      <c r="AC267" s="220">
        <f t="shared" si="843"/>
        <v>0</v>
      </c>
      <c r="AD267" s="220">
        <f t="shared" si="843"/>
        <v>0</v>
      </c>
      <c r="AE267" s="220">
        <f t="shared" si="843"/>
        <v>180</v>
      </c>
      <c r="AF267" s="220">
        <f t="shared" si="843"/>
        <v>80</v>
      </c>
      <c r="AG267" s="220">
        <f>AH267+AI267</f>
        <v>225</v>
      </c>
      <c r="AH267" s="220">
        <f>EO267</f>
        <v>0</v>
      </c>
      <c r="AI267" s="220">
        <f>EN267</f>
        <v>225</v>
      </c>
      <c r="AJ267" s="220">
        <f>IF(AG267-Z267&gt;0,0,AG267-Z267)</f>
        <v>0</v>
      </c>
      <c r="AK267" s="216">
        <f>IF(AJ267&gt;=0,Y267,Y267-AJ267)</f>
        <v>180</v>
      </c>
      <c r="AL267" s="220">
        <f>SUM(CP267:CX267)+SUM(DC267:DK267)</f>
        <v>35.299999999999997</v>
      </c>
      <c r="AM267" s="220">
        <f>SUM(DQ267:DU267)+SUM(DY267:EC267)</f>
        <v>0</v>
      </c>
      <c r="AN267" s="216">
        <f>AM267+AL267</f>
        <v>35.299999999999997</v>
      </c>
      <c r="AO267" s="220">
        <f t="shared" si="844"/>
        <v>0</v>
      </c>
      <c r="AP267" s="220">
        <f t="shared" si="844"/>
        <v>0</v>
      </c>
      <c r="AQ267" s="220">
        <f t="shared" si="844"/>
        <v>0</v>
      </c>
      <c r="AR267" s="220">
        <f>DV267+ED267</f>
        <v>0</v>
      </c>
      <c r="AS267" s="220">
        <f>DW267+EE267</f>
        <v>0</v>
      </c>
      <c r="AT267" s="216">
        <f>AN267+SUM(AO267:AS267)</f>
        <v>35.299999999999997</v>
      </c>
      <c r="AU267" s="220">
        <f>AN267-AK267</f>
        <v>-144.69999999999999</v>
      </c>
      <c r="AV267" s="220"/>
      <c r="AW267" s="220">
        <f>IF(AU267&gt;0,AU267,AV267+AU267)</f>
        <v>-144.69999999999999</v>
      </c>
      <c r="AX267" s="216">
        <f>IF(AN267&gt;AK267,0,IF(AW267&lt;0,AN267-AK267+AV267,IF(AW267&gt;=0,0)))</f>
        <v>-144.69999999999999</v>
      </c>
      <c r="AY267" s="220">
        <f>IF(AN267&gt;=AK267,AO267,IF(AN267+AO267-AK267&gt;=0,AN267+AO267-AK267,0))</f>
        <v>0</v>
      </c>
      <c r="AZ267" s="220">
        <f>IF(OR(AN267&gt;=AK267,AN267+AO267&gt;=AK267),AP267,IF(AN267+AO267+AP267&gt;AK267,AN267+AO267+AP267-AK267,0))</f>
        <v>0</v>
      </c>
      <c r="BA267" s="220">
        <f>IF(OR(AN267&gt;=AK267,AN267+AO267&gt;=AK267,AN267+AO267+AP267&gt;=AK267),AQ267,IF(AN267+AO267+AP267+AQ267&gt;=AK267,AN267+AO267+AP267+AQ267-AK267,0))</f>
        <v>0</v>
      </c>
      <c r="BB267" s="220">
        <f>IF(OR(AN267&gt;=AK267,AN267+AO267&gt;=AK267,AN267+AO267+AP267&gt;=AK267,AN267+AO267+AP267+AQ267&gt;=AK267),AR267,IF(AN267+AO267+AP267+AQ267+AR267&gt;=AK267,AN267+AO267+AP267+AQ267+AR267-AK267,0))</f>
        <v>0</v>
      </c>
      <c r="BC267" s="220">
        <f>IF(OR(AN267&gt;=AK267,AN267+AO267&gt;=AK267,AN267+AO267+AP267&gt;=AK267,AN267+AO267+AP267+AQ267&gt;=AK267,AN267+AO267+AP267+AQ267+AR267&gt;=AK267),AS267,IF(AN267+AO267+AP267+AQ267+AR267+AS267&gt;=AK267,AN267+AO267+AP267+AQ267+AR267+AS267-AK267,0))</f>
        <v>0</v>
      </c>
      <c r="BD267" s="216">
        <f>SUM(AY267:BC267)</f>
        <v>0</v>
      </c>
      <c r="BE267" s="220">
        <f t="shared" si="845"/>
        <v>0</v>
      </c>
      <c r="BF267" s="220">
        <f t="shared" si="845"/>
        <v>0</v>
      </c>
      <c r="BG267" s="220">
        <f t="shared" si="845"/>
        <v>0</v>
      </c>
      <c r="BH267" s="220">
        <f t="shared" si="845"/>
        <v>0</v>
      </c>
      <c r="BI267" s="220">
        <f t="shared" si="845"/>
        <v>0</v>
      </c>
      <c r="BJ267" s="220" t="s">
        <v>2416</v>
      </c>
      <c r="BK267" s="220"/>
      <c r="BL267" s="223">
        <f>IF(AW267&lt;BK267,0,IF(AND(BK267=0,AW267&gt;0),AW267,IF(AW267&lt;0,0,IF(BK267&gt;0,AW267-BK267,IF(BK267&lt;0,0,AW267)))))</f>
        <v>0</v>
      </c>
      <c r="BM267" s="220">
        <v>3.33</v>
      </c>
      <c r="BN267" s="220"/>
      <c r="BO267" s="220">
        <f>ROUND(BM267+(BM267*BN267),2)</f>
        <v>3.33</v>
      </c>
      <c r="BP267" s="220">
        <f>IF(AND(BL267&gt;0,BL267&lt;tiet!$D$1),BL267,IF(BL267&lt;=0,0,IF(BL267&gt;tiet!$C$1,tiet!$C$1)))</f>
        <v>0</v>
      </c>
      <c r="BQ267" s="87">
        <f>VLOOKUP(P267,ma_dinhmuc_moi,4,0)</f>
        <v>65000</v>
      </c>
      <c r="BR267" s="224">
        <f>ROUND(BQ267*BP267,0)</f>
        <v>0</v>
      </c>
      <c r="BS267" s="220">
        <f t="shared" si="630"/>
        <v>0</v>
      </c>
      <c r="BT267" s="224">
        <f>VLOOKUP(N267,ma_dinhmuc!$A$1:$J$31,10,0)</f>
        <v>51000</v>
      </c>
      <c r="BU267" s="224">
        <f>ROUND(IF(BS267&gt;0,VLOOKUP(N267,ma_dinhmuc!$A$1:$J$31,10,0)*BS267,0),0)</f>
        <v>0</v>
      </c>
      <c r="BV267" s="224">
        <f>ROUND(BU267+BR267,0)</f>
        <v>0</v>
      </c>
      <c r="BW267" s="224"/>
      <c r="BX267" s="224">
        <v>0</v>
      </c>
      <c r="BY267" s="224"/>
      <c r="BZ267" s="224"/>
      <c r="CA267" s="224"/>
      <c r="CB267" s="224"/>
      <c r="CC267" s="225">
        <f>ROUND(IF(BV267+BW267&gt;BX267+BY267+BZ267+CA267+CB267,(BW267+BV267)-(BX267+BY267+BZ267+CA267+CB267+CB267),0),0)</f>
        <v>0</v>
      </c>
      <c r="CD267" s="224">
        <f>ROUND(IF(BV267+BW267&lt;BX267+BY267+BZ267+CA267-CB267,(BX267+BY267+BZ267+CA267-CB267)-(BW267+BV267),0),0)</f>
        <v>0</v>
      </c>
      <c r="CE267" s="224"/>
      <c r="CF267" s="226"/>
      <c r="CG267" s="87"/>
      <c r="CH267" s="87">
        <f>A267</f>
        <v>23</v>
      </c>
      <c r="CI267" s="227" t="str">
        <f t="shared" si="840"/>
        <v xml:space="preserve">Hồ Ngọc </v>
      </c>
      <c r="CJ267" s="227" t="str">
        <f t="shared" si="834"/>
        <v>Cường</v>
      </c>
      <c r="CK267" s="87">
        <f t="shared" si="835"/>
        <v>5</v>
      </c>
      <c r="CL267" s="227" t="str">
        <f>L267</f>
        <v>Kinh tế Tài nguyên và MT</v>
      </c>
      <c r="CM267" s="87" t="str">
        <f>N267</f>
        <v>CS2</v>
      </c>
      <c r="CN267" s="87">
        <f>Q267</f>
        <v>270</v>
      </c>
      <c r="CO267" s="87">
        <f>R267</f>
        <v>120</v>
      </c>
      <c r="CP267" s="229">
        <f t="shared" si="634"/>
        <v>0</v>
      </c>
      <c r="CQ267" s="229">
        <f t="shared" si="635"/>
        <v>4.8</v>
      </c>
      <c r="CR267" s="229">
        <f t="shared" si="636"/>
        <v>1.9</v>
      </c>
      <c r="CS267" s="229">
        <f t="shared" si="637"/>
        <v>18.600000000000001</v>
      </c>
      <c r="CT267" s="229">
        <f t="shared" si="638"/>
        <v>0</v>
      </c>
      <c r="CU267" s="229">
        <f t="shared" si="639"/>
        <v>10</v>
      </c>
      <c r="CV267" s="229">
        <f t="shared" si="640"/>
        <v>0</v>
      </c>
      <c r="CW267" s="229">
        <f t="shared" si="641"/>
        <v>0</v>
      </c>
      <c r="CX267" s="229">
        <f t="shared" si="642"/>
        <v>0</v>
      </c>
      <c r="CY267" s="229">
        <f t="shared" si="643"/>
        <v>0</v>
      </c>
      <c r="CZ267" s="229">
        <f t="shared" si="644"/>
        <v>0</v>
      </c>
      <c r="DA267" s="229">
        <f t="shared" si="645"/>
        <v>0</v>
      </c>
      <c r="DB267" s="228">
        <f>SUM(CP267:DA267)</f>
        <v>35.299999999999997</v>
      </c>
      <c r="DC267" s="229"/>
      <c r="DD267" s="229"/>
      <c r="DE267" s="229"/>
      <c r="DF267" s="229"/>
      <c r="DG267" s="229"/>
      <c r="DH267" s="229"/>
      <c r="DI267" s="229"/>
      <c r="DJ267" s="229"/>
      <c r="DK267" s="229"/>
      <c r="DL267" s="229"/>
      <c r="DM267" s="229"/>
      <c r="DN267" s="229"/>
      <c r="DO267" s="228">
        <f>SUM(DC267:DN267)</f>
        <v>0</v>
      </c>
      <c r="DP267" s="228">
        <f>DO267+DB267</f>
        <v>35.299999999999997</v>
      </c>
      <c r="DQ267" s="229">
        <f t="shared" si="646"/>
        <v>0</v>
      </c>
      <c r="DR267" s="229">
        <f t="shared" si="647"/>
        <v>0</v>
      </c>
      <c r="DS267" s="229">
        <f t="shared" si="648"/>
        <v>0</v>
      </c>
      <c r="DT267" s="229">
        <f t="shared" si="649"/>
        <v>0</v>
      </c>
      <c r="DU267" s="229">
        <f t="shared" si="650"/>
        <v>0</v>
      </c>
      <c r="DV267" s="229">
        <f t="shared" si="651"/>
        <v>0</v>
      </c>
      <c r="DW267" s="229">
        <f t="shared" si="652"/>
        <v>0</v>
      </c>
      <c r="DX267" s="228">
        <f>SUM(DQ267:DW267)</f>
        <v>0</v>
      </c>
      <c r="DY267" s="229"/>
      <c r="DZ267" s="229"/>
      <c r="EA267" s="229"/>
      <c r="EB267" s="229"/>
      <c r="EC267" s="229"/>
      <c r="ED267" s="229"/>
      <c r="EE267" s="229"/>
      <c r="EF267" s="228">
        <f t="shared" si="631"/>
        <v>0</v>
      </c>
      <c r="EG267" s="228">
        <f>EF267+DX267</f>
        <v>0</v>
      </c>
      <c r="EH267" s="229">
        <f t="shared" si="632"/>
        <v>225</v>
      </c>
      <c r="EI267" s="229">
        <v>0</v>
      </c>
      <c r="EJ267" s="228">
        <f>SUM(EH267:EI267)</f>
        <v>225</v>
      </c>
      <c r="EK267" s="229"/>
      <c r="EL267" s="229"/>
      <c r="EM267" s="228">
        <f>SUM(EK267:EL267)</f>
        <v>0</v>
      </c>
      <c r="EN267" s="229">
        <f>EK267+EH267+EL267</f>
        <v>225</v>
      </c>
      <c r="EO267" s="229">
        <f>EI267</f>
        <v>0</v>
      </c>
      <c r="EP267" s="228">
        <f>EM267+EJ267</f>
        <v>225</v>
      </c>
      <c r="EQ267" s="173">
        <f t="shared" si="633"/>
        <v>145</v>
      </c>
      <c r="ER267" s="189">
        <v>0</v>
      </c>
      <c r="ES267" s="189">
        <v>4.8</v>
      </c>
      <c r="ET267" s="189">
        <v>1.9</v>
      </c>
      <c r="EU267" s="189">
        <v>18.600000000000001</v>
      </c>
      <c r="EV267" s="189">
        <v>0</v>
      </c>
      <c r="EW267" s="189">
        <v>10</v>
      </c>
      <c r="EX267" s="189">
        <v>0</v>
      </c>
      <c r="EY267" s="189">
        <v>0</v>
      </c>
      <c r="EZ267" s="189">
        <v>0</v>
      </c>
      <c r="FA267" s="189">
        <v>0</v>
      </c>
      <c r="FB267" s="189">
        <v>0</v>
      </c>
      <c r="FC267" s="189">
        <v>0</v>
      </c>
      <c r="FD267" s="189">
        <v>0</v>
      </c>
      <c r="FE267" s="189">
        <v>0</v>
      </c>
      <c r="FF267" s="189">
        <v>0</v>
      </c>
      <c r="FG267" s="189">
        <v>0</v>
      </c>
      <c r="FH267" s="189">
        <v>0</v>
      </c>
      <c r="FI267" s="189">
        <v>0</v>
      </c>
      <c r="FJ267" s="189">
        <v>0</v>
      </c>
      <c r="FK267" s="189">
        <v>35.299999999999997</v>
      </c>
      <c r="FL267" s="189">
        <v>30.6</v>
      </c>
      <c r="FN267" s="132">
        <v>225</v>
      </c>
    </row>
    <row r="268" spans="1:170" ht="30" customHeight="1">
      <c r="A268" s="88">
        <f>COUNTIF($H$12:H271,H268)</f>
        <v>24</v>
      </c>
      <c r="B268" s="88" t="s">
        <v>275</v>
      </c>
      <c r="C268" s="88" t="s">
        <v>1763</v>
      </c>
      <c r="D268" s="88" t="s">
        <v>622</v>
      </c>
      <c r="E268" s="88"/>
      <c r="F268" s="301" t="s">
        <v>113</v>
      </c>
      <c r="G268" s="89" t="s">
        <v>2893</v>
      </c>
      <c r="H268" s="88">
        <v>5</v>
      </c>
      <c r="I268" s="88">
        <v>5</v>
      </c>
      <c r="J268" s="88">
        <v>5</v>
      </c>
      <c r="K268" s="90" t="s">
        <v>1086</v>
      </c>
      <c r="L268" s="90" t="s">
        <v>1086</v>
      </c>
      <c r="M268" s="214"/>
      <c r="N268" s="88" t="s">
        <v>1804</v>
      </c>
      <c r="O268" s="216">
        <f t="shared" si="774"/>
        <v>2.67</v>
      </c>
      <c r="P268" s="88" t="str">
        <f t="shared" si="663"/>
        <v>B1_3</v>
      </c>
      <c r="Q268" s="88">
        <f t="shared" si="733"/>
        <v>270</v>
      </c>
      <c r="R268" s="88">
        <f t="shared" si="734"/>
        <v>100</v>
      </c>
      <c r="S268" s="231" t="s">
        <v>2541</v>
      </c>
      <c r="T268" s="88" t="s">
        <v>2961</v>
      </c>
      <c r="U268" s="88">
        <f>IF(RIGHT(T268,1)="K",(VLOOKUP(T268,ma_miengiam!$A$3:$B$80,2,0)*100)/2,VLOOKUP(T268,ma_miengiam!$A$3:$B$80,2,0)*100)</f>
        <v>100</v>
      </c>
      <c r="V268" s="88"/>
      <c r="W268" s="220">
        <f>IF(AND(T268="NTS",V268&gt;0),(Q268-(Q268*V268)/12)*VLOOKUP(T268,ma_miengiam!$A$3:$B$80,2,0)+(Q268-(Q268*(12-V268))/12),IF(AND(RIGHT(T268,1)="K",V268&gt;0),(VLOOKUP(T268,ma_miengiam!$A$3:$B$80,2,0)/2)*(Q268*V268)/12,IF(RIGHT(T268,1)="K",(VLOOKUP(T268,ma_miengiam!$A$3:$B$80,2,0)*Q268)/2,IF(V268&gt;0,VLOOKUP(T268,ma_miengiam!$A$3:$B$80,2,0)*Q268*V268/12,VLOOKUP(T268,ma_miengiam!$A$3:$B$80,2,0)*Q268))))</f>
        <v>270</v>
      </c>
      <c r="X268" s="220">
        <f>IF(T268="NTS",VLOOKUP(T268,ma_miengiam!$A$3:$B$80,2,0)*R268*V268,IF(AND(T268="NTS",V268=0),0,IF(AND(LEFT(T268,1)="K",V268=0),VLOOKUP(T268,ma_miengiam!$A$3:$B$80,2,0)*R268,IF(LEFT(T268,1)="K",(VLOOKUP(T268,ma_miengiam!$A$3:$B$80,2,0)*R268/12)*V268,IF(AND(LEFT(T268,1)="S",V268&gt;0),(R268/12)*V268,IF(AND(LEFT(T268,1)="S",V268=0),R268,IF(T268="DH",VLOOKUP(T268,ma_miengiam!$A$3:$B$80,2,0)*R268,0)))))))</f>
        <v>100</v>
      </c>
      <c r="Y268" s="220">
        <f t="shared" si="783"/>
        <v>0</v>
      </c>
      <c r="Z268" s="220">
        <f t="shared" si="827"/>
        <v>0</v>
      </c>
      <c r="AA268" s="220">
        <f t="shared" si="837"/>
        <v>270</v>
      </c>
      <c r="AB268" s="220">
        <f t="shared" si="837"/>
        <v>100</v>
      </c>
      <c r="AC268" s="220">
        <f t="shared" si="838"/>
        <v>270</v>
      </c>
      <c r="AD268" s="220">
        <f t="shared" si="838"/>
        <v>100</v>
      </c>
      <c r="AE268" s="220">
        <f t="shared" si="838"/>
        <v>0</v>
      </c>
      <c r="AF268" s="220">
        <f t="shared" si="838"/>
        <v>0</v>
      </c>
      <c r="AG268" s="220">
        <f t="shared" si="822"/>
        <v>137.24</v>
      </c>
      <c r="AH268" s="220">
        <f t="shared" si="823"/>
        <v>103.91</v>
      </c>
      <c r="AI268" s="220">
        <f t="shared" si="824"/>
        <v>33.33</v>
      </c>
      <c r="AJ268" s="220">
        <f t="shared" si="828"/>
        <v>0</v>
      </c>
      <c r="AK268" s="216">
        <f t="shared" si="794"/>
        <v>0</v>
      </c>
      <c r="AL268" s="220">
        <f t="shared" si="795"/>
        <v>0</v>
      </c>
      <c r="AM268" s="220">
        <f t="shared" si="796"/>
        <v>0</v>
      </c>
      <c r="AN268" s="221">
        <f t="shared" si="797"/>
        <v>0</v>
      </c>
      <c r="AO268" s="220">
        <f t="shared" si="798"/>
        <v>0</v>
      </c>
      <c r="AP268" s="220">
        <f t="shared" si="799"/>
        <v>0</v>
      </c>
      <c r="AQ268" s="220">
        <f t="shared" si="800"/>
        <v>0</v>
      </c>
      <c r="AR268" s="220">
        <f t="shared" si="801"/>
        <v>0</v>
      </c>
      <c r="AS268" s="220">
        <f t="shared" si="802"/>
        <v>0</v>
      </c>
      <c r="AT268" s="216">
        <f t="shared" si="803"/>
        <v>0</v>
      </c>
      <c r="AU268" s="222">
        <f t="shared" si="722"/>
        <v>0</v>
      </c>
      <c r="AV268" s="220"/>
      <c r="AW268" s="220">
        <f t="shared" si="804"/>
        <v>0</v>
      </c>
      <c r="AX268" s="216">
        <f t="shared" si="820"/>
        <v>0</v>
      </c>
      <c r="AY268" s="220">
        <f t="shared" si="815"/>
        <v>0</v>
      </c>
      <c r="AZ268" s="220">
        <f t="shared" si="816"/>
        <v>0</v>
      </c>
      <c r="BA268" s="220">
        <f t="shared" si="817"/>
        <v>0</v>
      </c>
      <c r="BB268" s="220">
        <f t="shared" si="818"/>
        <v>0</v>
      </c>
      <c r="BC268" s="220">
        <f t="shared" si="819"/>
        <v>0</v>
      </c>
      <c r="BD268" s="216">
        <f t="shared" si="759"/>
        <v>0</v>
      </c>
      <c r="BE268" s="220">
        <f t="shared" si="805"/>
        <v>0</v>
      </c>
      <c r="BF268" s="220">
        <f t="shared" si="806"/>
        <v>0</v>
      </c>
      <c r="BG268" s="220">
        <f t="shared" si="807"/>
        <v>0</v>
      </c>
      <c r="BH268" s="220">
        <f t="shared" si="808"/>
        <v>0</v>
      </c>
      <c r="BI268" s="220">
        <f t="shared" si="809"/>
        <v>0</v>
      </c>
      <c r="BJ268" s="220" t="s">
        <v>2416</v>
      </c>
      <c r="BK268" s="220"/>
      <c r="BL268" s="223">
        <f t="shared" si="773"/>
        <v>0</v>
      </c>
      <c r="BM268" s="220">
        <v>2.67</v>
      </c>
      <c r="BN268" s="220"/>
      <c r="BO268" s="220">
        <f t="shared" si="839"/>
        <v>2.67</v>
      </c>
      <c r="BP268" s="220">
        <f>IF(AND(BL268&gt;0,BL268&lt;tiet!$D$1),BL268,IF(BL268&lt;=0,0,IF(BL268&gt;tiet!$C$1,tiet!$C$1)))</f>
        <v>0</v>
      </c>
      <c r="BQ268" s="87">
        <f t="shared" si="829"/>
        <v>60000</v>
      </c>
      <c r="BR268" s="224">
        <f t="shared" si="830"/>
        <v>0</v>
      </c>
      <c r="BS268" s="220">
        <f t="shared" ref="BS268:BS331" si="846">BL268-BP268</f>
        <v>0</v>
      </c>
      <c r="BT268" s="224">
        <f>VLOOKUP(N268,ma_dinhmuc!$A$1:$J$31,10,0)</f>
        <v>51000</v>
      </c>
      <c r="BU268" s="224">
        <f>ROUND(IF(BS268&gt;0,VLOOKUP(N268,ma_dinhmuc!$A$1:$J$31,10,0)*BS268,0),0)</f>
        <v>0</v>
      </c>
      <c r="BV268" s="224">
        <f t="shared" si="831"/>
        <v>0</v>
      </c>
      <c r="BW268" s="224"/>
      <c r="BX268" s="224">
        <v>0</v>
      </c>
      <c r="BY268" s="224"/>
      <c r="BZ268" s="224"/>
      <c r="CA268" s="224"/>
      <c r="CB268" s="224"/>
      <c r="CC268" s="225">
        <f t="shared" si="832"/>
        <v>0</v>
      </c>
      <c r="CD268" s="224">
        <f t="shared" si="833"/>
        <v>0</v>
      </c>
      <c r="CE268" s="224"/>
      <c r="CF268" s="226"/>
      <c r="CG268" s="87"/>
      <c r="CH268" s="87">
        <f t="shared" si="788"/>
        <v>24</v>
      </c>
      <c r="CI268" s="227" t="str">
        <f t="shared" si="840"/>
        <v>Ngô Văn</v>
      </c>
      <c r="CJ268" s="227" t="str">
        <f t="shared" si="834"/>
        <v>Hoàng</v>
      </c>
      <c r="CK268" s="87">
        <f t="shared" si="835"/>
        <v>5</v>
      </c>
      <c r="CL268" s="227" t="str">
        <f t="shared" si="836"/>
        <v>Kinh tế Tài nguyên và MT</v>
      </c>
      <c r="CM268" s="87" t="str">
        <f t="shared" si="810"/>
        <v>CS2</v>
      </c>
      <c r="CN268" s="87">
        <f t="shared" si="825"/>
        <v>270</v>
      </c>
      <c r="CO268" s="87">
        <f t="shared" si="826"/>
        <v>100</v>
      </c>
      <c r="CP268" s="229">
        <f t="shared" si="634"/>
        <v>0</v>
      </c>
      <c r="CQ268" s="229">
        <f t="shared" si="635"/>
        <v>0</v>
      </c>
      <c r="CR268" s="229">
        <f t="shared" si="636"/>
        <v>0</v>
      </c>
      <c r="CS268" s="229">
        <f t="shared" si="637"/>
        <v>0</v>
      </c>
      <c r="CT268" s="229">
        <f t="shared" si="638"/>
        <v>0</v>
      </c>
      <c r="CU268" s="229">
        <f t="shared" si="639"/>
        <v>0</v>
      </c>
      <c r="CV268" s="229">
        <f t="shared" si="640"/>
        <v>0</v>
      </c>
      <c r="CW268" s="229">
        <f t="shared" si="641"/>
        <v>0</v>
      </c>
      <c r="CX268" s="229">
        <f t="shared" si="642"/>
        <v>0</v>
      </c>
      <c r="CY268" s="229">
        <f t="shared" si="643"/>
        <v>0</v>
      </c>
      <c r="CZ268" s="229">
        <f t="shared" si="644"/>
        <v>0</v>
      </c>
      <c r="DA268" s="229">
        <f t="shared" si="645"/>
        <v>0</v>
      </c>
      <c r="DB268" s="228">
        <f t="shared" si="792"/>
        <v>0</v>
      </c>
      <c r="DC268" s="229"/>
      <c r="DD268" s="229"/>
      <c r="DE268" s="229"/>
      <c r="DF268" s="229"/>
      <c r="DG268" s="229"/>
      <c r="DH268" s="229"/>
      <c r="DI268" s="229"/>
      <c r="DJ268" s="229"/>
      <c r="DK268" s="229"/>
      <c r="DL268" s="229"/>
      <c r="DM268" s="229"/>
      <c r="DN268" s="229"/>
      <c r="DO268" s="228">
        <f t="shared" si="812"/>
        <v>0</v>
      </c>
      <c r="DP268" s="228">
        <f t="shared" si="813"/>
        <v>0</v>
      </c>
      <c r="DQ268" s="229">
        <f t="shared" si="646"/>
        <v>0</v>
      </c>
      <c r="DR268" s="229">
        <f t="shared" si="647"/>
        <v>0</v>
      </c>
      <c r="DS268" s="229">
        <f t="shared" si="648"/>
        <v>0</v>
      </c>
      <c r="DT268" s="229">
        <f t="shared" si="649"/>
        <v>0</v>
      </c>
      <c r="DU268" s="229">
        <f t="shared" si="650"/>
        <v>0</v>
      </c>
      <c r="DV268" s="229">
        <f t="shared" si="651"/>
        <v>0</v>
      </c>
      <c r="DW268" s="229">
        <f t="shared" si="652"/>
        <v>0</v>
      </c>
      <c r="DX268" s="228">
        <f t="shared" si="793"/>
        <v>0</v>
      </c>
      <c r="DY268" s="229"/>
      <c r="DZ268" s="229"/>
      <c r="EA268" s="229"/>
      <c r="EB268" s="229"/>
      <c r="EC268" s="229"/>
      <c r="ED268" s="229"/>
      <c r="EE268" s="229"/>
      <c r="EF268" s="228">
        <f t="shared" ref="EF268:EF331" si="847">SUM(DY268:EE268)</f>
        <v>0</v>
      </c>
      <c r="EG268" s="228">
        <f t="shared" si="814"/>
        <v>0</v>
      </c>
      <c r="EH268" s="229">
        <f t="shared" ref="EH268:EH331" si="848">FN268</f>
        <v>33.33</v>
      </c>
      <c r="EI268" s="229">
        <v>103.91</v>
      </c>
      <c r="EJ268" s="228">
        <f t="shared" si="772"/>
        <v>137.24</v>
      </c>
      <c r="EK268" s="229"/>
      <c r="EL268" s="229"/>
      <c r="EM268" s="228">
        <f t="shared" si="841"/>
        <v>0</v>
      </c>
      <c r="EN268" s="229">
        <f t="shared" si="708"/>
        <v>33.33</v>
      </c>
      <c r="EO268" s="229">
        <f t="shared" si="723"/>
        <v>103.91</v>
      </c>
      <c r="EP268" s="228">
        <f t="shared" si="842"/>
        <v>137.24</v>
      </c>
      <c r="EQ268" s="173">
        <f t="shared" ref="EQ268:EQ331" si="849">IF(EN268&gt;Z268,EN268-Z268,0)</f>
        <v>33.33</v>
      </c>
      <c r="ER268" s="189">
        <v>0</v>
      </c>
      <c r="ES268" s="189">
        <v>0</v>
      </c>
      <c r="ET268" s="189">
        <v>0</v>
      </c>
      <c r="EU268" s="189">
        <v>0</v>
      </c>
      <c r="EV268" s="189">
        <v>0</v>
      </c>
      <c r="EW268" s="189">
        <v>0</v>
      </c>
      <c r="EX268" s="189">
        <v>0</v>
      </c>
      <c r="EY268" s="189">
        <v>0</v>
      </c>
      <c r="EZ268" s="189">
        <v>0</v>
      </c>
      <c r="FA268" s="189">
        <v>0</v>
      </c>
      <c r="FB268" s="189">
        <v>0</v>
      </c>
      <c r="FC268" s="189">
        <v>0</v>
      </c>
      <c r="FD268" s="189">
        <v>0</v>
      </c>
      <c r="FE268" s="189">
        <v>0</v>
      </c>
      <c r="FF268" s="189">
        <v>0</v>
      </c>
      <c r="FG268" s="189">
        <v>0</v>
      </c>
      <c r="FH268" s="189">
        <v>0</v>
      </c>
      <c r="FI268" s="189">
        <v>0</v>
      </c>
      <c r="FJ268" s="189">
        <v>0</v>
      </c>
      <c r="FK268" s="189">
        <v>0</v>
      </c>
      <c r="FL268" s="189">
        <v>0</v>
      </c>
      <c r="FN268" s="132">
        <v>33.33</v>
      </c>
    </row>
    <row r="269" spans="1:170" ht="30" customHeight="1">
      <c r="A269" s="88">
        <f>COUNTIF($H$12:H269,H269)</f>
        <v>22</v>
      </c>
      <c r="B269" s="88" t="s">
        <v>272</v>
      </c>
      <c r="C269" s="88" t="s">
        <v>1760</v>
      </c>
      <c r="D269" s="88"/>
      <c r="E269" s="88"/>
      <c r="F269" s="301" t="s">
        <v>2202</v>
      </c>
      <c r="G269" s="303" t="s">
        <v>1113</v>
      </c>
      <c r="H269" s="88">
        <v>5</v>
      </c>
      <c r="I269" s="88">
        <v>5</v>
      </c>
      <c r="J269" s="88">
        <v>5</v>
      </c>
      <c r="K269" s="90" t="s">
        <v>1086</v>
      </c>
      <c r="L269" s="90" t="s">
        <v>1086</v>
      </c>
      <c r="M269" s="214"/>
      <c r="N269" s="88" t="s">
        <v>1804</v>
      </c>
      <c r="O269" s="216">
        <f>BO269</f>
        <v>3</v>
      </c>
      <c r="P269" s="88" t="str">
        <f t="shared" si="663"/>
        <v>B1_3</v>
      </c>
      <c r="Q269" s="88">
        <f t="shared" si="733"/>
        <v>270</v>
      </c>
      <c r="R269" s="88">
        <f t="shared" si="734"/>
        <v>100</v>
      </c>
      <c r="S269" s="230" t="s">
        <v>1240</v>
      </c>
      <c r="T269" s="88" t="s">
        <v>2961</v>
      </c>
      <c r="U269" s="88">
        <f>IF(RIGHT(T269,1)="K",(VLOOKUP(T269,ma_miengiam!$A$3:$B$80,2,0)*100)/2,VLOOKUP(T269,ma_miengiam!$A$3:$B$80,2,0)*100)</f>
        <v>100</v>
      </c>
      <c r="V269" s="88"/>
      <c r="W269" s="220">
        <f>IF(AND(T269="NTS",V269&gt;0),(Q269-(Q269*V269)/12)*VLOOKUP(T269,ma_miengiam!$A$3:$B$80,2,0)+(Q269-(Q269*(12-V269))/12),IF(AND(RIGHT(T269,1)="K",V269&gt;0),(VLOOKUP(T269,ma_miengiam!$A$3:$B$80,2,0)/2)*(Q269*V269)/12,IF(RIGHT(T269,1)="K",(VLOOKUP(T269,ma_miengiam!$A$3:$B$80,2,0)*Q269)/2,IF(V269&gt;0,VLOOKUP(T269,ma_miengiam!$A$3:$B$80,2,0)*Q269*V269/12,VLOOKUP(T269,ma_miengiam!$A$3:$B$80,2,0)*Q269))))</f>
        <v>270</v>
      </c>
      <c r="X269" s="220">
        <f>IF(T269="NTS",VLOOKUP(T269,ma_miengiam!$A$3:$B$80,2,0)*R269*V269,IF(AND(T269="NTS",V269=0),0,IF(AND(LEFT(T269,1)="K",V269=0),VLOOKUP(T269,ma_miengiam!$A$3:$B$80,2,0)*R269,IF(LEFT(T269,1)="K",(VLOOKUP(T269,ma_miengiam!$A$3:$B$80,2,0)*R269/12)*V269,IF(AND(LEFT(T269,1)="S",V269&gt;0),(R269/12)*V269,IF(AND(LEFT(T269,1)="S",V269=0),R269,IF(T269="DH",VLOOKUP(T269,ma_miengiam!$A$3:$B$80,2,0)*R269,0)))))))</f>
        <v>100</v>
      </c>
      <c r="Y269" s="220">
        <f>IF(AND(T269="DH",V269&gt;0),(S269*V269/12),IF(AND(T269&lt;&gt;"NTS",V269&gt;0),(Q269*V269/12)-W269,IF(AND(T269="NTS",V269&gt;0),Q269-W269,Q269-W269)))</f>
        <v>0</v>
      </c>
      <c r="Z269" s="220">
        <f t="shared" si="827"/>
        <v>0</v>
      </c>
      <c r="AA269" s="220">
        <f>Q269</f>
        <v>270</v>
      </c>
      <c r="AB269" s="220">
        <f>R269</f>
        <v>100</v>
      </c>
      <c r="AC269" s="220">
        <f t="shared" ref="AC269:AF270" si="850">W269</f>
        <v>270</v>
      </c>
      <c r="AD269" s="220">
        <f t="shared" si="850"/>
        <v>100</v>
      </c>
      <c r="AE269" s="220">
        <f t="shared" si="850"/>
        <v>0</v>
      </c>
      <c r="AF269" s="220">
        <f t="shared" si="850"/>
        <v>0</v>
      </c>
      <c r="AG269" s="220">
        <f t="shared" si="822"/>
        <v>187.24</v>
      </c>
      <c r="AH269" s="220">
        <f t="shared" si="823"/>
        <v>153.91</v>
      </c>
      <c r="AI269" s="220">
        <f t="shared" si="824"/>
        <v>33.33</v>
      </c>
      <c r="AJ269" s="220">
        <f t="shared" si="828"/>
        <v>0</v>
      </c>
      <c r="AK269" s="216">
        <f t="shared" si="794"/>
        <v>0</v>
      </c>
      <c r="AL269" s="220">
        <f>SUM(CP269:CX269)+SUM(DC269:DK269)</f>
        <v>0</v>
      </c>
      <c r="AM269" s="220">
        <f>SUM(DQ269:DU269)+SUM(DY269:EC269)</f>
        <v>0</v>
      </c>
      <c r="AN269" s="216">
        <f>AM269+AL269</f>
        <v>0</v>
      </c>
      <c r="AO269" s="220">
        <f>CY269+DL269</f>
        <v>0</v>
      </c>
      <c r="AP269" s="220">
        <f>CZ269+DM269</f>
        <v>0</v>
      </c>
      <c r="AQ269" s="220">
        <f>DA269+DN269</f>
        <v>0</v>
      </c>
      <c r="AR269" s="220">
        <f>DV269+ED269</f>
        <v>0</v>
      </c>
      <c r="AS269" s="220">
        <f>DW269+EE269</f>
        <v>0</v>
      </c>
      <c r="AT269" s="216">
        <f>AN269+SUM(AO269:AS269)</f>
        <v>0</v>
      </c>
      <c r="AU269" s="220">
        <f>AN269-AK269</f>
        <v>0</v>
      </c>
      <c r="AV269" s="220"/>
      <c r="AW269" s="220">
        <f>IF(AU269&gt;0,AU269,AV269+AU269)</f>
        <v>0</v>
      </c>
      <c r="AX269" s="216">
        <f t="shared" si="820"/>
        <v>0</v>
      </c>
      <c r="AY269" s="220">
        <f>IF(AN269&gt;=AK269,AO269,IF(AN269+AO269-AK269&gt;=0,AN269+AO269-AK269,0))</f>
        <v>0</v>
      </c>
      <c r="AZ269" s="220">
        <f>IF(OR(AN269&gt;=AK269,AN269+AO269&gt;=AK269),AP269,IF(AN269+AO269+AP269&gt;AK269,AN269+AO269+AP269-AK269,0))</f>
        <v>0</v>
      </c>
      <c r="BA269" s="220">
        <f>IF(OR(AN269&gt;=AK269,AN269+AO269&gt;=AK269,AN269+AO269+AP269&gt;=AK269),AQ269,IF(AN269+AO269+AP269+AQ269&gt;=AK269,AN269+AO269+AP269+AQ269-AK269,0))</f>
        <v>0</v>
      </c>
      <c r="BB269" s="220">
        <f>IF(OR(AN269&gt;=AK269,AN269+AO269&gt;=AK269,AN269+AO269+AP269&gt;=AK269,AN269+AO269+AP269+AQ269&gt;=AK269),AR269,IF(AN269+AO269+AP269+AQ269+AR269&gt;=AK269,AN269+AO269+AP269+AQ269+AR269-AK269,0))</f>
        <v>0</v>
      </c>
      <c r="BC269" s="220">
        <f>IF(OR(AN269&gt;=AK269,AN269+AO269&gt;=AK269,AN269+AO269+AP269&gt;=AK269,AN269+AO269+AP269+AQ269&gt;=AK269,AN269+AO269+AP269+AQ269+AR269&gt;=AK269),AS269,IF(AN269+AO269+AP269+AQ269+AR269+AS269&gt;=AK269,AN269+AO269+AP269+AQ269+AR269+AS269-AK269,0))</f>
        <v>0</v>
      </c>
      <c r="BD269" s="216">
        <f t="shared" si="759"/>
        <v>0</v>
      </c>
      <c r="BE269" s="220">
        <f t="shared" ref="BE269:BI270" si="851">AY269-AO269</f>
        <v>0</v>
      </c>
      <c r="BF269" s="220">
        <f t="shared" si="851"/>
        <v>0</v>
      </c>
      <c r="BG269" s="220">
        <f t="shared" si="851"/>
        <v>0</v>
      </c>
      <c r="BH269" s="220">
        <f t="shared" si="851"/>
        <v>0</v>
      </c>
      <c r="BI269" s="220">
        <f t="shared" si="851"/>
        <v>0</v>
      </c>
      <c r="BJ269" s="220" t="s">
        <v>2416</v>
      </c>
      <c r="BK269" s="220"/>
      <c r="BL269" s="223">
        <f t="shared" si="773"/>
        <v>0</v>
      </c>
      <c r="BM269" s="220">
        <v>3</v>
      </c>
      <c r="BN269" s="220"/>
      <c r="BO269" s="220">
        <f>ROUND(BM269+(BM269*BN269),2)</f>
        <v>3</v>
      </c>
      <c r="BP269" s="220">
        <f>IF(AND(BL269&gt;0,BL269&lt;tiet!$D$1),BL269,IF(BL269&lt;=0,0,IF(BL269&gt;tiet!$C$1,tiet!$C$1)))</f>
        <v>0</v>
      </c>
      <c r="BQ269" s="87">
        <f t="shared" si="829"/>
        <v>60000</v>
      </c>
      <c r="BR269" s="224">
        <f t="shared" si="830"/>
        <v>0</v>
      </c>
      <c r="BS269" s="220">
        <f t="shared" si="846"/>
        <v>0</v>
      </c>
      <c r="BT269" s="224">
        <f>VLOOKUP(N269,ma_dinhmuc!$A$1:$J$31,10,0)</f>
        <v>51000</v>
      </c>
      <c r="BU269" s="224">
        <f>ROUND(IF(BS269&gt;0,VLOOKUP(N269,ma_dinhmuc!$A$1:$J$31,10,0)*BS269,0),0)</f>
        <v>0</v>
      </c>
      <c r="BV269" s="224">
        <f t="shared" si="831"/>
        <v>0</v>
      </c>
      <c r="BW269" s="224"/>
      <c r="BX269" s="224">
        <v>0</v>
      </c>
      <c r="BY269" s="224"/>
      <c r="BZ269" s="224"/>
      <c r="CA269" s="224"/>
      <c r="CB269" s="224"/>
      <c r="CC269" s="225">
        <f t="shared" si="832"/>
        <v>0</v>
      </c>
      <c r="CD269" s="224">
        <f t="shared" si="833"/>
        <v>0</v>
      </c>
      <c r="CE269" s="224"/>
      <c r="CF269" s="226"/>
      <c r="CG269" s="87"/>
      <c r="CH269" s="87">
        <f t="shared" si="788"/>
        <v>22</v>
      </c>
      <c r="CI269" s="227" t="str">
        <f t="shared" si="840"/>
        <v>Lê Phương</v>
      </c>
      <c r="CJ269" s="227" t="str">
        <f t="shared" si="834"/>
        <v>Nam</v>
      </c>
      <c r="CK269" s="87">
        <f t="shared" si="835"/>
        <v>5</v>
      </c>
      <c r="CL269" s="227" t="str">
        <f t="shared" si="836"/>
        <v>Kinh tế Tài nguyên và MT</v>
      </c>
      <c r="CM269" s="87" t="str">
        <f>N269</f>
        <v>CS2</v>
      </c>
      <c r="CN269" s="87">
        <f t="shared" si="825"/>
        <v>270</v>
      </c>
      <c r="CO269" s="87">
        <f>R269</f>
        <v>100</v>
      </c>
      <c r="CP269" s="229">
        <f t="shared" ref="CP269:CP332" si="852">ER269</f>
        <v>0</v>
      </c>
      <c r="CQ269" s="229">
        <f t="shared" ref="CQ269:CQ332" si="853">ES269</f>
        <v>0</v>
      </c>
      <c r="CR269" s="229">
        <f t="shared" ref="CR269:CR332" si="854">ET269</f>
        <v>0</v>
      </c>
      <c r="CS269" s="229">
        <f t="shared" ref="CS269:CS332" si="855">EU269</f>
        <v>0</v>
      </c>
      <c r="CT269" s="229">
        <f t="shared" ref="CT269:CT332" si="856">EV269</f>
        <v>0</v>
      </c>
      <c r="CU269" s="229">
        <f t="shared" ref="CU269:CU332" si="857">EW269</f>
        <v>0</v>
      </c>
      <c r="CV269" s="229">
        <f t="shared" ref="CV269:CV332" si="858">EX269</f>
        <v>0</v>
      </c>
      <c r="CW269" s="229">
        <f t="shared" ref="CW269:CW332" si="859">EY269</f>
        <v>0</v>
      </c>
      <c r="CX269" s="229">
        <f t="shared" ref="CX269:CX332" si="860">EZ269</f>
        <v>0</v>
      </c>
      <c r="CY269" s="229">
        <f t="shared" ref="CY269:CY332" si="861">FA269</f>
        <v>0</v>
      </c>
      <c r="CZ269" s="229">
        <f t="shared" ref="CZ269:CZ332" si="862">FB269</f>
        <v>0</v>
      </c>
      <c r="DA269" s="229">
        <f t="shared" ref="DA269:DA332" si="863">FC269</f>
        <v>0</v>
      </c>
      <c r="DB269" s="228">
        <f>SUM(CP269:DA269)</f>
        <v>0</v>
      </c>
      <c r="DC269" s="229"/>
      <c r="DD269" s="229"/>
      <c r="DE269" s="229"/>
      <c r="DF269" s="229"/>
      <c r="DG269" s="229"/>
      <c r="DH269" s="229"/>
      <c r="DI269" s="229"/>
      <c r="DJ269" s="229"/>
      <c r="DK269" s="229"/>
      <c r="DL269" s="229"/>
      <c r="DM269" s="229"/>
      <c r="DN269" s="229"/>
      <c r="DO269" s="228">
        <f>SUM(DC269:DN269)</f>
        <v>0</v>
      </c>
      <c r="DP269" s="228">
        <f>DO269+DB269</f>
        <v>0</v>
      </c>
      <c r="DQ269" s="229">
        <f t="shared" ref="DQ269:DQ332" si="864">FD269</f>
        <v>0</v>
      </c>
      <c r="DR269" s="229">
        <f t="shared" ref="DR269:DR332" si="865">FE269</f>
        <v>0</v>
      </c>
      <c r="DS269" s="229">
        <f t="shared" ref="DS269:DS332" si="866">FF269</f>
        <v>0</v>
      </c>
      <c r="DT269" s="229">
        <f t="shared" ref="DT269:DT332" si="867">FG269</f>
        <v>0</v>
      </c>
      <c r="DU269" s="229">
        <f t="shared" ref="DU269:DU332" si="868">FI269</f>
        <v>0</v>
      </c>
      <c r="DV269" s="229">
        <f t="shared" ref="DV269:DV332" si="869">FH269</f>
        <v>0</v>
      </c>
      <c r="DW269" s="229">
        <f t="shared" ref="DW269:DW332" si="870">FJ269</f>
        <v>0</v>
      </c>
      <c r="DX269" s="228">
        <f>SUM(DQ269:DW269)</f>
        <v>0</v>
      </c>
      <c r="DY269" s="229"/>
      <c r="DZ269" s="229"/>
      <c r="EA269" s="229"/>
      <c r="EB269" s="229"/>
      <c r="EC269" s="229"/>
      <c r="ED269" s="229"/>
      <c r="EE269" s="229"/>
      <c r="EF269" s="228">
        <f t="shared" si="847"/>
        <v>0</v>
      </c>
      <c r="EG269" s="228">
        <f>EF269+DX269</f>
        <v>0</v>
      </c>
      <c r="EH269" s="229">
        <f t="shared" si="848"/>
        <v>33.33</v>
      </c>
      <c r="EI269" s="229">
        <v>153.91</v>
      </c>
      <c r="EJ269" s="228">
        <f>SUM(EH269:EI269)</f>
        <v>187.24</v>
      </c>
      <c r="EK269" s="229"/>
      <c r="EL269" s="229"/>
      <c r="EM269" s="228">
        <f>SUM(EK269:EL269)</f>
        <v>0</v>
      </c>
      <c r="EN269" s="229">
        <f>EK269+EH269+EL269</f>
        <v>33.33</v>
      </c>
      <c r="EO269" s="229">
        <f>EI269</f>
        <v>153.91</v>
      </c>
      <c r="EP269" s="228">
        <f>EM269+EJ269</f>
        <v>187.24</v>
      </c>
      <c r="EQ269" s="173">
        <f t="shared" si="849"/>
        <v>33.33</v>
      </c>
      <c r="ER269" s="189">
        <v>0</v>
      </c>
      <c r="ES269" s="189">
        <v>0</v>
      </c>
      <c r="ET269" s="189">
        <v>0</v>
      </c>
      <c r="EU269" s="189">
        <v>0</v>
      </c>
      <c r="EV269" s="189">
        <v>0</v>
      </c>
      <c r="EW269" s="189">
        <v>0</v>
      </c>
      <c r="EX269" s="189">
        <v>0</v>
      </c>
      <c r="EY269" s="189">
        <v>0</v>
      </c>
      <c r="EZ269" s="189">
        <v>0</v>
      </c>
      <c r="FA269" s="189">
        <v>0</v>
      </c>
      <c r="FB269" s="189">
        <v>0</v>
      </c>
      <c r="FC269" s="189">
        <v>0</v>
      </c>
      <c r="FD269" s="189">
        <v>0</v>
      </c>
      <c r="FE269" s="189">
        <v>0</v>
      </c>
      <c r="FF269" s="189">
        <v>0</v>
      </c>
      <c r="FG269" s="189">
        <v>0</v>
      </c>
      <c r="FH269" s="189">
        <v>0</v>
      </c>
      <c r="FI269" s="189">
        <v>0</v>
      </c>
      <c r="FJ269" s="189">
        <v>0</v>
      </c>
      <c r="FK269" s="189">
        <v>0</v>
      </c>
      <c r="FL269" s="189">
        <v>0</v>
      </c>
      <c r="FN269" s="132">
        <v>33.33</v>
      </c>
    </row>
    <row r="270" spans="1:170" ht="31.5" customHeight="1">
      <c r="A270" s="88">
        <f>COUNTIF($H$12:H270,H270)</f>
        <v>23</v>
      </c>
      <c r="B270" s="88" t="s">
        <v>267</v>
      </c>
      <c r="C270" s="88" t="s">
        <v>1764</v>
      </c>
      <c r="D270" s="88"/>
      <c r="E270" s="88"/>
      <c r="F270" s="301" t="s">
        <v>2813</v>
      </c>
      <c r="G270" s="89" t="s">
        <v>1277</v>
      </c>
      <c r="H270" s="88">
        <v>5</v>
      </c>
      <c r="I270" s="88">
        <v>5</v>
      </c>
      <c r="J270" s="88">
        <v>5</v>
      </c>
      <c r="K270" s="90" t="s">
        <v>1086</v>
      </c>
      <c r="L270" s="90" t="s">
        <v>1086</v>
      </c>
      <c r="M270" s="214"/>
      <c r="N270" s="88" t="s">
        <v>1804</v>
      </c>
      <c r="O270" s="216">
        <f>BO270</f>
        <v>3.33</v>
      </c>
      <c r="P270" s="88" t="str">
        <f t="shared" si="663"/>
        <v>B1_4</v>
      </c>
      <c r="Q270" s="88">
        <f t="shared" si="733"/>
        <v>270</v>
      </c>
      <c r="R270" s="88">
        <f t="shared" si="734"/>
        <v>120</v>
      </c>
      <c r="S270" s="230" t="s">
        <v>2183</v>
      </c>
      <c r="T270" s="88" t="s">
        <v>2961</v>
      </c>
      <c r="U270" s="88">
        <f>IF(RIGHT(T270,1)="K",(VLOOKUP(T270,ma_miengiam!$A$3:$B$80,2,0)*100)/2,VLOOKUP(T270,ma_miengiam!$A$3:$B$80,2,0)*100)</f>
        <v>100</v>
      </c>
      <c r="V270" s="88"/>
      <c r="W270" s="220">
        <f>IF(AND(T270="NTS",V270&gt;0),(Q270-(Q270*V270)/12)*VLOOKUP(T270,ma_miengiam!$A$3:$B$80,2,0)+(Q270-(Q270*(12-V270))/12),IF(AND(RIGHT(T270,1)="K",V270&gt;0),(VLOOKUP(T270,ma_miengiam!$A$3:$B$80,2,0)/2)*(Q270*V270)/12,IF(RIGHT(T270,1)="K",(VLOOKUP(T270,ma_miengiam!$A$3:$B$80,2,0)*Q270)/2,IF(V270&gt;0,VLOOKUP(T270,ma_miengiam!$A$3:$B$80,2,0)*Q270*V270/12,VLOOKUP(T270,ma_miengiam!$A$3:$B$80,2,0)*Q270))))</f>
        <v>270</v>
      </c>
      <c r="X270" s="220">
        <f>IF(T270="NTS",VLOOKUP(T270,ma_miengiam!$A$3:$B$80,2,0)*R270*V270,IF(AND(T270="NTS",V270=0),0,IF(AND(LEFT(T270,1)="K",V270=0),VLOOKUP(T270,ma_miengiam!$A$3:$B$80,2,0)*R270,IF(LEFT(T270,1)="K",(VLOOKUP(T270,ma_miengiam!$A$3:$B$80,2,0)*R270/12)*V270,IF(AND(LEFT(T270,1)="S",V270&gt;0),(R270/12)*V270,IF(AND(LEFT(T270,1)="S",V270=0),R270,IF(T270="DH",VLOOKUP(T270,ma_miengiam!$A$3:$B$80,2,0)*R270,0)))))))</f>
        <v>120</v>
      </c>
      <c r="Y270" s="220">
        <f t="shared" si="783"/>
        <v>0</v>
      </c>
      <c r="Z270" s="220">
        <f t="shared" si="827"/>
        <v>0</v>
      </c>
      <c r="AA270" s="220">
        <f t="shared" si="837"/>
        <v>270</v>
      </c>
      <c r="AB270" s="220">
        <f t="shared" si="837"/>
        <v>120</v>
      </c>
      <c r="AC270" s="220">
        <f t="shared" si="850"/>
        <v>270</v>
      </c>
      <c r="AD270" s="220">
        <f t="shared" si="850"/>
        <v>120</v>
      </c>
      <c r="AE270" s="220">
        <f t="shared" si="850"/>
        <v>0</v>
      </c>
      <c r="AF270" s="220">
        <f t="shared" si="850"/>
        <v>0</v>
      </c>
      <c r="AG270" s="220">
        <f t="shared" si="822"/>
        <v>0</v>
      </c>
      <c r="AH270" s="220">
        <f t="shared" si="823"/>
        <v>0</v>
      </c>
      <c r="AI270" s="220">
        <f t="shared" si="824"/>
        <v>0</v>
      </c>
      <c r="AJ270" s="220">
        <f t="shared" si="828"/>
        <v>0</v>
      </c>
      <c r="AK270" s="216">
        <f t="shared" si="794"/>
        <v>0</v>
      </c>
      <c r="AL270" s="220">
        <f t="shared" si="795"/>
        <v>0</v>
      </c>
      <c r="AM270" s="220">
        <f t="shared" si="796"/>
        <v>0</v>
      </c>
      <c r="AN270" s="221">
        <f t="shared" si="797"/>
        <v>0</v>
      </c>
      <c r="AO270" s="220">
        <f t="shared" si="798"/>
        <v>0</v>
      </c>
      <c r="AP270" s="220">
        <f t="shared" si="799"/>
        <v>0</v>
      </c>
      <c r="AQ270" s="220">
        <f t="shared" si="800"/>
        <v>0</v>
      </c>
      <c r="AR270" s="220">
        <f t="shared" si="801"/>
        <v>0</v>
      </c>
      <c r="AS270" s="220">
        <f t="shared" si="802"/>
        <v>0</v>
      </c>
      <c r="AT270" s="216">
        <f t="shared" si="803"/>
        <v>0</v>
      </c>
      <c r="AU270" s="222">
        <f>AN270-AK270</f>
        <v>0</v>
      </c>
      <c r="AV270" s="220"/>
      <c r="AW270" s="220">
        <f>IF(AU270&gt;0,AU270,AV270+AU270)</f>
        <v>0</v>
      </c>
      <c r="AX270" s="216">
        <f t="shared" si="820"/>
        <v>0</v>
      </c>
      <c r="AY270" s="220">
        <f>IF(AN270&gt;=AK270,AO270,IF(AN270+AO270-AK270&gt;=0,AN270+AO270-AK270,0))</f>
        <v>0</v>
      </c>
      <c r="AZ270" s="220">
        <f>IF(OR(AN270&gt;=AK270,AN270+AO270&gt;=AK270),AP270,IF(AN270+AO270+AP270&gt;AK270,AN270+AO270+AP270-AK270,0))</f>
        <v>0</v>
      </c>
      <c r="BA270" s="220">
        <f>IF(OR(AN270&gt;=AK270,AN270+AO270&gt;=AK270,AN270+AO270+AP270&gt;=AK270),AQ270,IF(AN270+AO270+AP270+AQ270&gt;=AK270,AN270+AO270+AP270+AQ270-AK270,0))</f>
        <v>0</v>
      </c>
      <c r="BB270" s="220">
        <f>IF(OR(AN270&gt;=AK270,AN270+AO270&gt;=AK270,AN270+AO270+AP270&gt;=AK270,AN270+AO270+AP270+AQ270&gt;=AK270),AR270,IF(AN270+AO270+AP270+AQ270+AR270&gt;=AK270,AN270+AO270+AP270+AQ270+AR270-AK270,0))</f>
        <v>0</v>
      </c>
      <c r="BC270" s="220">
        <f>IF(OR(AN270&gt;=AK270,AN270+AO270&gt;=AK270,AN270+AO270+AP270&gt;=AK270,AN270+AO270+AP270+AQ270&gt;=AK270,AN270+AO270+AP270+AQ270+AR270&gt;=AK270),AS270,IF(AN270+AO270+AP270+AQ270+AR270+AS270&gt;=AK270,AN270+AO270+AP270+AQ270+AR270+AS270-AK270,0))</f>
        <v>0</v>
      </c>
      <c r="BD270" s="216">
        <f t="shared" si="759"/>
        <v>0</v>
      </c>
      <c r="BE270" s="220">
        <f t="shared" si="851"/>
        <v>0</v>
      </c>
      <c r="BF270" s="220">
        <f t="shared" si="851"/>
        <v>0</v>
      </c>
      <c r="BG270" s="220">
        <f t="shared" si="851"/>
        <v>0</v>
      </c>
      <c r="BH270" s="220">
        <f t="shared" si="851"/>
        <v>0</v>
      </c>
      <c r="BI270" s="220">
        <f t="shared" si="851"/>
        <v>0</v>
      </c>
      <c r="BJ270" s="220" t="s">
        <v>2416</v>
      </c>
      <c r="BK270" s="220"/>
      <c r="BL270" s="223">
        <f t="shared" si="773"/>
        <v>0</v>
      </c>
      <c r="BM270" s="220">
        <v>3.33</v>
      </c>
      <c r="BN270" s="220"/>
      <c r="BO270" s="220">
        <f t="shared" si="839"/>
        <v>3.33</v>
      </c>
      <c r="BP270" s="220">
        <f>IF(AND(BL270&gt;0,BL270&lt;tiet!$D$1),BL270,IF(BL270&lt;=0,0,IF(BL270&gt;tiet!$C$1,tiet!$C$1)))</f>
        <v>0</v>
      </c>
      <c r="BQ270" s="87">
        <f t="shared" si="829"/>
        <v>65000</v>
      </c>
      <c r="BR270" s="224">
        <f t="shared" si="830"/>
        <v>0</v>
      </c>
      <c r="BS270" s="220">
        <f t="shared" si="846"/>
        <v>0</v>
      </c>
      <c r="BT270" s="224">
        <f>VLOOKUP(N270,ma_dinhmuc!$A$1:$J$31,10,0)</f>
        <v>51000</v>
      </c>
      <c r="BU270" s="224">
        <f>ROUND(IF(BS270&gt;0,VLOOKUP(N270,ma_dinhmuc!$A$1:$J$31,10,0)*BS270,0),0)</f>
        <v>0</v>
      </c>
      <c r="BV270" s="224">
        <f t="shared" si="831"/>
        <v>0</v>
      </c>
      <c r="BW270" s="224"/>
      <c r="BX270" s="224">
        <v>0</v>
      </c>
      <c r="BY270" s="224"/>
      <c r="BZ270" s="224"/>
      <c r="CA270" s="224"/>
      <c r="CB270" s="224"/>
      <c r="CC270" s="225">
        <f t="shared" si="832"/>
        <v>0</v>
      </c>
      <c r="CD270" s="224">
        <f t="shared" si="833"/>
        <v>0</v>
      </c>
      <c r="CE270" s="224"/>
      <c r="CF270" s="226"/>
      <c r="CG270" s="87"/>
      <c r="CH270" s="87">
        <f t="shared" si="788"/>
        <v>23</v>
      </c>
      <c r="CI270" s="227" t="str">
        <f t="shared" si="840"/>
        <v>Nguyễn Thị Ngọc</v>
      </c>
      <c r="CJ270" s="227" t="str">
        <f t="shared" si="834"/>
        <v>Thương</v>
      </c>
      <c r="CK270" s="87">
        <f t="shared" si="835"/>
        <v>5</v>
      </c>
      <c r="CL270" s="227" t="str">
        <f t="shared" si="836"/>
        <v>Kinh tế Tài nguyên và MT</v>
      </c>
      <c r="CM270" s="87" t="str">
        <f>N270</f>
        <v>CS2</v>
      </c>
      <c r="CN270" s="87">
        <f t="shared" si="825"/>
        <v>270</v>
      </c>
      <c r="CO270" s="87">
        <f>R270</f>
        <v>120</v>
      </c>
      <c r="CP270" s="229">
        <f t="shared" si="852"/>
        <v>0</v>
      </c>
      <c r="CQ270" s="229">
        <f t="shared" si="853"/>
        <v>0</v>
      </c>
      <c r="CR270" s="229">
        <f t="shared" si="854"/>
        <v>0</v>
      </c>
      <c r="CS270" s="229">
        <f t="shared" si="855"/>
        <v>0</v>
      </c>
      <c r="CT270" s="229">
        <f t="shared" si="856"/>
        <v>0</v>
      </c>
      <c r="CU270" s="229">
        <f t="shared" si="857"/>
        <v>0</v>
      </c>
      <c r="CV270" s="229">
        <f t="shared" si="858"/>
        <v>0</v>
      </c>
      <c r="CW270" s="229">
        <f t="shared" si="859"/>
        <v>0</v>
      </c>
      <c r="CX270" s="229">
        <f t="shared" si="860"/>
        <v>0</v>
      </c>
      <c r="CY270" s="229">
        <f t="shared" si="861"/>
        <v>0</v>
      </c>
      <c r="CZ270" s="229">
        <f t="shared" si="862"/>
        <v>0</v>
      </c>
      <c r="DA270" s="229">
        <f t="shared" si="863"/>
        <v>0</v>
      </c>
      <c r="DB270" s="228">
        <f t="shared" si="792"/>
        <v>0</v>
      </c>
      <c r="DC270" s="229"/>
      <c r="DD270" s="229"/>
      <c r="DE270" s="229"/>
      <c r="DF270" s="229"/>
      <c r="DG270" s="229"/>
      <c r="DH270" s="229"/>
      <c r="DI270" s="229"/>
      <c r="DJ270" s="229"/>
      <c r="DK270" s="229"/>
      <c r="DL270" s="229"/>
      <c r="DM270" s="229"/>
      <c r="DN270" s="229"/>
      <c r="DO270" s="228">
        <f t="shared" si="812"/>
        <v>0</v>
      </c>
      <c r="DP270" s="228">
        <f t="shared" si="813"/>
        <v>0</v>
      </c>
      <c r="DQ270" s="229">
        <f t="shared" si="864"/>
        <v>0</v>
      </c>
      <c r="DR270" s="229">
        <f t="shared" si="865"/>
        <v>0</v>
      </c>
      <c r="DS270" s="229">
        <f t="shared" si="866"/>
        <v>0</v>
      </c>
      <c r="DT270" s="229">
        <f t="shared" si="867"/>
        <v>0</v>
      </c>
      <c r="DU270" s="229">
        <f t="shared" si="868"/>
        <v>0</v>
      </c>
      <c r="DV270" s="229">
        <f t="shared" si="869"/>
        <v>0</v>
      </c>
      <c r="DW270" s="229">
        <f t="shared" si="870"/>
        <v>0</v>
      </c>
      <c r="DX270" s="228">
        <f t="shared" si="793"/>
        <v>0</v>
      </c>
      <c r="DY270" s="229"/>
      <c r="DZ270" s="229"/>
      <c r="EA270" s="229"/>
      <c r="EB270" s="229"/>
      <c r="EC270" s="229"/>
      <c r="ED270" s="229"/>
      <c r="EE270" s="229"/>
      <c r="EF270" s="228">
        <f t="shared" si="847"/>
        <v>0</v>
      </c>
      <c r="EG270" s="228">
        <f t="shared" si="814"/>
        <v>0</v>
      </c>
      <c r="EH270" s="229">
        <f t="shared" si="848"/>
        <v>0</v>
      </c>
      <c r="EI270" s="229">
        <v>0</v>
      </c>
      <c r="EJ270" s="228">
        <f>SUM(EH270:EI270)</f>
        <v>0</v>
      </c>
      <c r="EK270" s="229"/>
      <c r="EL270" s="229"/>
      <c r="EM270" s="228">
        <f>SUM(EK270:EL270)</f>
        <v>0</v>
      </c>
      <c r="EN270" s="229">
        <f>EK270+EH270+EL270</f>
        <v>0</v>
      </c>
      <c r="EO270" s="229">
        <f>EI270</f>
        <v>0</v>
      </c>
      <c r="EP270" s="228">
        <f t="shared" si="842"/>
        <v>0</v>
      </c>
      <c r="EQ270" s="173">
        <f t="shared" si="849"/>
        <v>0</v>
      </c>
      <c r="ER270" s="189">
        <v>0</v>
      </c>
      <c r="ES270" s="189">
        <v>0</v>
      </c>
      <c r="ET270" s="189">
        <v>0</v>
      </c>
      <c r="EU270" s="189">
        <v>0</v>
      </c>
      <c r="EV270" s="189">
        <v>0</v>
      </c>
      <c r="EW270" s="189">
        <v>0</v>
      </c>
      <c r="EX270" s="189">
        <v>0</v>
      </c>
      <c r="EY270" s="189">
        <v>0</v>
      </c>
      <c r="EZ270" s="189">
        <v>0</v>
      </c>
      <c r="FA270" s="189">
        <v>0</v>
      </c>
      <c r="FB270" s="189">
        <v>0</v>
      </c>
      <c r="FC270" s="189">
        <v>0</v>
      </c>
      <c r="FD270" s="189">
        <v>0</v>
      </c>
      <c r="FE270" s="189">
        <v>0</v>
      </c>
      <c r="FF270" s="189">
        <v>0</v>
      </c>
      <c r="FG270" s="189">
        <v>0</v>
      </c>
      <c r="FH270" s="189">
        <v>0</v>
      </c>
      <c r="FI270" s="189">
        <v>0</v>
      </c>
      <c r="FJ270" s="189">
        <v>0</v>
      </c>
      <c r="FK270" s="189">
        <v>0</v>
      </c>
      <c r="FL270" s="189">
        <v>0</v>
      </c>
      <c r="FN270" s="132">
        <v>0</v>
      </c>
    </row>
    <row r="271" spans="1:170" ht="30.75" customHeight="1">
      <c r="A271" s="88">
        <f>COUNTIF($H$12:H271,H271)</f>
        <v>24</v>
      </c>
      <c r="B271" s="88" t="s">
        <v>277</v>
      </c>
      <c r="C271" s="88" t="s">
        <v>1766</v>
      </c>
      <c r="D271" s="88"/>
      <c r="E271" s="88"/>
      <c r="F271" s="301" t="s">
        <v>1199</v>
      </c>
      <c r="G271" s="89" t="s">
        <v>3080</v>
      </c>
      <c r="H271" s="88">
        <v>5</v>
      </c>
      <c r="I271" s="88">
        <v>5</v>
      </c>
      <c r="J271" s="88">
        <v>5</v>
      </c>
      <c r="K271" s="90" t="s">
        <v>1086</v>
      </c>
      <c r="L271" s="90" t="s">
        <v>1086</v>
      </c>
      <c r="M271" s="214"/>
      <c r="N271" s="88" t="s">
        <v>1804</v>
      </c>
      <c r="O271" s="216">
        <f t="shared" si="774"/>
        <v>3.66</v>
      </c>
      <c r="P271" s="88" t="str">
        <f t="shared" si="663"/>
        <v>B1_4</v>
      </c>
      <c r="Q271" s="88">
        <f t="shared" si="733"/>
        <v>270</v>
      </c>
      <c r="R271" s="88">
        <f t="shared" si="734"/>
        <v>120</v>
      </c>
      <c r="S271" s="218" t="s">
        <v>2183</v>
      </c>
      <c r="T271" s="88" t="s">
        <v>2961</v>
      </c>
      <c r="U271" s="88">
        <f>IF(RIGHT(T271,1)="K",(VLOOKUP(T271,ma_miengiam!$A$3:$B$80,2,0)*100)/2,VLOOKUP(T271,ma_miengiam!$A$3:$B$80,2,0)*100)</f>
        <v>100</v>
      </c>
      <c r="V271" s="88"/>
      <c r="W271" s="220">
        <f>IF(AND(T271="NTS",V271&gt;0),(Q271-(Q271*V271)/12)*VLOOKUP(T271,ma_miengiam!$A$3:$B$80,2,0)+(Q271-(Q271*(12-V271))/12),IF(AND(RIGHT(T271,1)="K",V271&gt;0),(VLOOKUP(T271,ma_miengiam!$A$3:$B$80,2,0)/2)*(Q271*V271)/12,IF(RIGHT(T271,1)="K",(VLOOKUP(T271,ma_miengiam!$A$3:$B$80,2,0)*Q271)/2,IF(V271&gt;0,VLOOKUP(T271,ma_miengiam!$A$3:$B$80,2,0)*Q271*V271/12,VLOOKUP(T271,ma_miengiam!$A$3:$B$80,2,0)*Q271))))</f>
        <v>270</v>
      </c>
      <c r="X271" s="220">
        <f>IF(T271="NTS",VLOOKUP(T271,ma_miengiam!$A$3:$B$80,2,0)*R271*V271,IF(AND(T271="NTS",V271=0),0,IF(AND(LEFT(T271,1)="K",V271=0),VLOOKUP(T271,ma_miengiam!$A$3:$B$80,2,0)*R271,IF(LEFT(T271,1)="K",(VLOOKUP(T271,ma_miengiam!$A$3:$B$80,2,0)*R271/12)*V271,IF(AND(LEFT(T271,1)="S",V271&gt;0),(R271/12)*V271,IF(AND(LEFT(T271,1)="S",V271=0),R271,IF(T271="DH",VLOOKUP(T271,ma_miengiam!$A$3:$B$80,2,0)*R271,0)))))))</f>
        <v>120</v>
      </c>
      <c r="Y271" s="220">
        <f t="shared" si="783"/>
        <v>0</v>
      </c>
      <c r="Z271" s="220">
        <f t="shared" si="739"/>
        <v>0</v>
      </c>
      <c r="AA271" s="220">
        <f t="shared" ref="AA271:AB273" si="871">Q271</f>
        <v>270</v>
      </c>
      <c r="AB271" s="220">
        <f t="shared" si="871"/>
        <v>120</v>
      </c>
      <c r="AC271" s="220">
        <f t="shared" ref="AC271:AF272" si="872">W271</f>
        <v>270</v>
      </c>
      <c r="AD271" s="220">
        <f t="shared" si="872"/>
        <v>120</v>
      </c>
      <c r="AE271" s="220">
        <f t="shared" si="872"/>
        <v>0</v>
      </c>
      <c r="AF271" s="220">
        <f t="shared" si="872"/>
        <v>0</v>
      </c>
      <c r="AG271" s="220">
        <f t="shared" si="822"/>
        <v>265.83</v>
      </c>
      <c r="AH271" s="220">
        <f t="shared" si="823"/>
        <v>265.83</v>
      </c>
      <c r="AI271" s="220">
        <f t="shared" si="824"/>
        <v>0</v>
      </c>
      <c r="AJ271" s="220">
        <f t="shared" si="677"/>
        <v>0</v>
      </c>
      <c r="AK271" s="216">
        <f t="shared" si="794"/>
        <v>0</v>
      </c>
      <c r="AL271" s="220">
        <f t="shared" si="795"/>
        <v>0</v>
      </c>
      <c r="AM271" s="220">
        <f t="shared" si="796"/>
        <v>0</v>
      </c>
      <c r="AN271" s="221">
        <f t="shared" si="797"/>
        <v>0</v>
      </c>
      <c r="AO271" s="220">
        <f t="shared" si="798"/>
        <v>0</v>
      </c>
      <c r="AP271" s="220">
        <f t="shared" si="799"/>
        <v>0</v>
      </c>
      <c r="AQ271" s="220">
        <f t="shared" si="800"/>
        <v>0</v>
      </c>
      <c r="AR271" s="220">
        <f t="shared" si="801"/>
        <v>0</v>
      </c>
      <c r="AS271" s="220">
        <f t="shared" si="802"/>
        <v>0</v>
      </c>
      <c r="AT271" s="216">
        <f t="shared" si="803"/>
        <v>0</v>
      </c>
      <c r="AU271" s="222">
        <f t="shared" si="722"/>
        <v>0</v>
      </c>
      <c r="AV271" s="220"/>
      <c r="AW271" s="220">
        <f t="shared" si="804"/>
        <v>0</v>
      </c>
      <c r="AX271" s="216">
        <f t="shared" si="820"/>
        <v>0</v>
      </c>
      <c r="AY271" s="220">
        <f t="shared" si="815"/>
        <v>0</v>
      </c>
      <c r="AZ271" s="220">
        <f t="shared" si="816"/>
        <v>0</v>
      </c>
      <c r="BA271" s="220">
        <f t="shared" si="817"/>
        <v>0</v>
      </c>
      <c r="BB271" s="220">
        <f t="shared" si="818"/>
        <v>0</v>
      </c>
      <c r="BC271" s="220">
        <f t="shared" si="819"/>
        <v>0</v>
      </c>
      <c r="BD271" s="216">
        <f t="shared" si="759"/>
        <v>0</v>
      </c>
      <c r="BE271" s="220">
        <f t="shared" si="805"/>
        <v>0</v>
      </c>
      <c r="BF271" s="220">
        <f t="shared" si="806"/>
        <v>0</v>
      </c>
      <c r="BG271" s="220">
        <f t="shared" si="807"/>
        <v>0</v>
      </c>
      <c r="BH271" s="220">
        <f t="shared" si="808"/>
        <v>0</v>
      </c>
      <c r="BI271" s="220">
        <f t="shared" si="809"/>
        <v>0</v>
      </c>
      <c r="BJ271" s="220" t="s">
        <v>2416</v>
      </c>
      <c r="BK271" s="220"/>
      <c r="BL271" s="223">
        <f t="shared" si="773"/>
        <v>0</v>
      </c>
      <c r="BM271" s="220">
        <v>3.66</v>
      </c>
      <c r="BN271" s="220"/>
      <c r="BO271" s="220">
        <f t="shared" si="839"/>
        <v>3.66</v>
      </c>
      <c r="BP271" s="220">
        <f>IF(AND(BL271&gt;0,BL271&lt;tiet!$D$1),BL271,IF(BL271&lt;=0,0,IF(BL271&gt;tiet!$C$1,tiet!$C$1)))</f>
        <v>0</v>
      </c>
      <c r="BQ271" s="87">
        <f t="shared" si="674"/>
        <v>65000</v>
      </c>
      <c r="BR271" s="224">
        <f t="shared" si="675"/>
        <v>0</v>
      </c>
      <c r="BS271" s="220">
        <f t="shared" si="846"/>
        <v>0</v>
      </c>
      <c r="BT271" s="224">
        <f>VLOOKUP(N271,ma_dinhmuc!$A$1:$J$31,10,0)</f>
        <v>51000</v>
      </c>
      <c r="BU271" s="224">
        <f>ROUND(IF(BS271&gt;0,VLOOKUP(N271,ma_dinhmuc!$A$1:$J$31,10,0)*BS271,0),0)</f>
        <v>0</v>
      </c>
      <c r="BV271" s="224">
        <f t="shared" si="676"/>
        <v>0</v>
      </c>
      <c r="BW271" s="224"/>
      <c r="BX271" s="224">
        <v>0</v>
      </c>
      <c r="BY271" s="224"/>
      <c r="BZ271" s="224"/>
      <c r="CA271" s="224"/>
      <c r="CB271" s="224"/>
      <c r="CC271" s="225">
        <f t="shared" si="697"/>
        <v>0</v>
      </c>
      <c r="CD271" s="224">
        <f t="shared" si="698"/>
        <v>0</v>
      </c>
      <c r="CE271" s="224"/>
      <c r="CF271" s="226"/>
      <c r="CG271" s="87"/>
      <c r="CH271" s="87">
        <f t="shared" ref="CH271:CH276" si="873">A271</f>
        <v>24</v>
      </c>
      <c r="CI271" s="227" t="str">
        <f t="shared" ref="CI271:CI276" si="874">F271</f>
        <v>Nguyễn Thị Hải</v>
      </c>
      <c r="CJ271" s="227" t="str">
        <f t="shared" ref="CJ271:CJ276" si="875">G271</f>
        <v>Ninh</v>
      </c>
      <c r="CK271" s="87">
        <f t="shared" ref="CK271:CK276" si="876">H271</f>
        <v>5</v>
      </c>
      <c r="CL271" s="227" t="str">
        <f t="shared" ref="CL271:CL276" si="877">L271</f>
        <v>Kinh tế Tài nguyên và MT</v>
      </c>
      <c r="CM271" s="87" t="str">
        <f t="shared" si="810"/>
        <v>CS2</v>
      </c>
      <c r="CN271" s="87">
        <f t="shared" si="825"/>
        <v>270</v>
      </c>
      <c r="CO271" s="87">
        <f t="shared" si="826"/>
        <v>120</v>
      </c>
      <c r="CP271" s="229">
        <f t="shared" si="852"/>
        <v>0</v>
      </c>
      <c r="CQ271" s="229">
        <f t="shared" si="853"/>
        <v>0</v>
      </c>
      <c r="CR271" s="229">
        <f t="shared" si="854"/>
        <v>0</v>
      </c>
      <c r="CS271" s="229">
        <f t="shared" si="855"/>
        <v>0</v>
      </c>
      <c r="CT271" s="229">
        <f t="shared" si="856"/>
        <v>0</v>
      </c>
      <c r="CU271" s="229">
        <f t="shared" si="857"/>
        <v>0</v>
      </c>
      <c r="CV271" s="229">
        <f t="shared" si="858"/>
        <v>0</v>
      </c>
      <c r="CW271" s="229">
        <f t="shared" si="859"/>
        <v>0</v>
      </c>
      <c r="CX271" s="229">
        <f t="shared" si="860"/>
        <v>0</v>
      </c>
      <c r="CY271" s="229">
        <f t="shared" si="861"/>
        <v>0</v>
      </c>
      <c r="CZ271" s="229">
        <f t="shared" si="862"/>
        <v>0</v>
      </c>
      <c r="DA271" s="229">
        <f t="shared" si="863"/>
        <v>0</v>
      </c>
      <c r="DB271" s="228">
        <f t="shared" si="792"/>
        <v>0</v>
      </c>
      <c r="DC271" s="229"/>
      <c r="DD271" s="229"/>
      <c r="DE271" s="229"/>
      <c r="DF271" s="229"/>
      <c r="DG271" s="229"/>
      <c r="DH271" s="229"/>
      <c r="DI271" s="229"/>
      <c r="DJ271" s="229"/>
      <c r="DK271" s="229"/>
      <c r="DL271" s="229"/>
      <c r="DM271" s="229"/>
      <c r="DN271" s="229"/>
      <c r="DO271" s="228">
        <f t="shared" si="812"/>
        <v>0</v>
      </c>
      <c r="DP271" s="228">
        <f t="shared" si="813"/>
        <v>0</v>
      </c>
      <c r="DQ271" s="229">
        <f t="shared" si="864"/>
        <v>0</v>
      </c>
      <c r="DR271" s="229">
        <f t="shared" si="865"/>
        <v>0</v>
      </c>
      <c r="DS271" s="229">
        <f t="shared" si="866"/>
        <v>0</v>
      </c>
      <c r="DT271" s="229">
        <f t="shared" si="867"/>
        <v>0</v>
      </c>
      <c r="DU271" s="229">
        <f t="shared" si="868"/>
        <v>0</v>
      </c>
      <c r="DV271" s="229">
        <f t="shared" si="869"/>
        <v>0</v>
      </c>
      <c r="DW271" s="229">
        <f t="shared" si="870"/>
        <v>0</v>
      </c>
      <c r="DX271" s="228">
        <f t="shared" si="793"/>
        <v>0</v>
      </c>
      <c r="DY271" s="229"/>
      <c r="DZ271" s="229"/>
      <c r="EA271" s="229"/>
      <c r="EB271" s="229"/>
      <c r="EC271" s="229"/>
      <c r="ED271" s="229"/>
      <c r="EE271" s="229"/>
      <c r="EF271" s="228">
        <f t="shared" si="847"/>
        <v>0</v>
      </c>
      <c r="EG271" s="228">
        <f t="shared" si="814"/>
        <v>0</v>
      </c>
      <c r="EH271" s="229">
        <f t="shared" si="848"/>
        <v>0</v>
      </c>
      <c r="EI271" s="229">
        <v>265.83</v>
      </c>
      <c r="EJ271" s="228">
        <f t="shared" si="772"/>
        <v>265.83</v>
      </c>
      <c r="EK271" s="229"/>
      <c r="EL271" s="229"/>
      <c r="EM271" s="228">
        <f t="shared" si="841"/>
        <v>0</v>
      </c>
      <c r="EN271" s="229">
        <f t="shared" si="708"/>
        <v>0</v>
      </c>
      <c r="EO271" s="229">
        <f t="shared" si="723"/>
        <v>265.83</v>
      </c>
      <c r="EP271" s="228">
        <f t="shared" si="842"/>
        <v>265.83</v>
      </c>
      <c r="EQ271" s="173">
        <f t="shared" si="849"/>
        <v>0</v>
      </c>
      <c r="ER271" s="189">
        <v>0</v>
      </c>
      <c r="ES271" s="189">
        <v>0</v>
      </c>
      <c r="ET271" s="189">
        <v>0</v>
      </c>
      <c r="EU271" s="189">
        <v>0</v>
      </c>
      <c r="EV271" s="189">
        <v>0</v>
      </c>
      <c r="EW271" s="189">
        <v>0</v>
      </c>
      <c r="EX271" s="189">
        <v>0</v>
      </c>
      <c r="EY271" s="189">
        <v>0</v>
      </c>
      <c r="EZ271" s="189">
        <v>0</v>
      </c>
      <c r="FA271" s="189">
        <v>0</v>
      </c>
      <c r="FB271" s="189">
        <v>0</v>
      </c>
      <c r="FC271" s="189">
        <v>0</v>
      </c>
      <c r="FD271" s="189">
        <v>0</v>
      </c>
      <c r="FE271" s="189">
        <v>0</v>
      </c>
      <c r="FF271" s="189">
        <v>0</v>
      </c>
      <c r="FG271" s="189">
        <v>0</v>
      </c>
      <c r="FH271" s="189">
        <v>0</v>
      </c>
      <c r="FI271" s="189">
        <v>0</v>
      </c>
      <c r="FJ271" s="189">
        <v>0</v>
      </c>
      <c r="FK271" s="189">
        <v>0</v>
      </c>
      <c r="FL271" s="189">
        <v>0</v>
      </c>
      <c r="FN271" s="132">
        <v>0</v>
      </c>
    </row>
    <row r="272" spans="1:170" ht="30" customHeight="1">
      <c r="A272" s="88">
        <f>COUNTIF($H$12:H272,H272)</f>
        <v>25</v>
      </c>
      <c r="B272" s="88" t="s">
        <v>928</v>
      </c>
      <c r="C272" s="88" t="s">
        <v>2633</v>
      </c>
      <c r="D272" s="88"/>
      <c r="E272" s="88"/>
      <c r="F272" s="301" t="s">
        <v>2205</v>
      </c>
      <c r="G272" s="89" t="s">
        <v>17</v>
      </c>
      <c r="H272" s="88">
        <v>5</v>
      </c>
      <c r="I272" s="88">
        <v>5</v>
      </c>
      <c r="J272" s="88">
        <v>5</v>
      </c>
      <c r="K272" s="90" t="s">
        <v>1087</v>
      </c>
      <c r="L272" s="90" t="s">
        <v>1087</v>
      </c>
      <c r="M272" s="214"/>
      <c r="N272" s="88" t="s">
        <v>605</v>
      </c>
      <c r="O272" s="216">
        <f t="shared" si="774"/>
        <v>7.28</v>
      </c>
      <c r="P272" s="88" t="str">
        <f t="shared" si="663"/>
        <v>B1_8</v>
      </c>
      <c r="Q272" s="88">
        <f t="shared" si="733"/>
        <v>270</v>
      </c>
      <c r="R272" s="88">
        <f t="shared" si="734"/>
        <v>280</v>
      </c>
      <c r="S272" s="233" t="s">
        <v>3176</v>
      </c>
      <c r="T272" s="219" t="s">
        <v>3088</v>
      </c>
      <c r="U272" s="88">
        <f>IF(RIGHT(T272,1)="K",(VLOOKUP(T272,ma_miengiam!$A$3:$B$80,2,0)*100)/2,VLOOKUP(T272,ma_miengiam!$A$3:$B$80,2,0)*100)</f>
        <v>0</v>
      </c>
      <c r="V272" s="88">
        <v>8</v>
      </c>
      <c r="W272" s="220">
        <f>IF(AND(T272="NTS",V272&gt;0),(Q272-(Q272*V272)/12)*VLOOKUP(T272,ma_miengiam!$A$3:$B$80,2,0)+(Q272-(Q272*(12-V272))/12),IF(AND(RIGHT(T272,1)="K",V272&gt;0),(VLOOKUP(T272,ma_miengiam!$A$3:$B$80,2,0)/2)*(Q272*V272)/12,IF(RIGHT(T272,1)="K",(VLOOKUP(T272,ma_miengiam!$A$3:$B$80,2,0)*Q272)/2,IF(V272&gt;0,VLOOKUP(T272,ma_miengiam!$A$3:$B$80,2,0)*Q272*V272/12,VLOOKUP(T272,ma_miengiam!$A$3:$B$80,2,0)*Q272))))</f>
        <v>0</v>
      </c>
      <c r="X272" s="220">
        <f>IF(T272="NTS",VLOOKUP(T272,ma_miengiam!$A$3:$B$80,2,0)*R272*V272,IF(AND(T272="NTS",V272=0),0,IF(AND(LEFT(T272,1)="K",V272=0),VLOOKUP(T272,ma_miengiam!$A$3:$B$80,2,0)*R272,IF(LEFT(T272,1)="K",(VLOOKUP(T272,ma_miengiam!$A$3:$B$80,2,0)*R272/12)*V272,IF(AND(LEFT(T272,1)="S",V272&gt;0),(R272/12)*V272,IF(AND(LEFT(T272,1)="S",V272=0),R272,IF(T272="DH",VLOOKUP(T272,ma_miengiam!$A$3:$B$80,2,0)*R272,0)))))))</f>
        <v>0</v>
      </c>
      <c r="Y272" s="220">
        <f t="shared" si="783"/>
        <v>180</v>
      </c>
      <c r="Z272" s="220">
        <f t="shared" ref="Z272:Z277" si="878">IF(AND(T272="SĐH",V272&gt;0),(R272/12)*V272-X272,IF(AND(T272="DH",V272&gt;0),(R272*V272/12),IF(AND(T272&lt;&gt;"NTS",V272&gt;0),(R272*V272/12)-X272,IF(AND(T272="NTS",V272&gt;0),R272-X272,R272-X272))))</f>
        <v>186.66666666666666</v>
      </c>
      <c r="AA272" s="220">
        <f t="shared" si="871"/>
        <v>270</v>
      </c>
      <c r="AB272" s="220">
        <f t="shared" si="871"/>
        <v>280</v>
      </c>
      <c r="AC272" s="220">
        <f t="shared" si="872"/>
        <v>0</v>
      </c>
      <c r="AD272" s="220">
        <f t="shared" si="872"/>
        <v>0</v>
      </c>
      <c r="AE272" s="220">
        <f t="shared" si="872"/>
        <v>180</v>
      </c>
      <c r="AF272" s="220">
        <f t="shared" si="872"/>
        <v>186.66666666666666</v>
      </c>
      <c r="AG272" s="220">
        <f t="shared" si="822"/>
        <v>243.76</v>
      </c>
      <c r="AH272" s="220">
        <f t="shared" si="823"/>
        <v>183.34</v>
      </c>
      <c r="AI272" s="220">
        <f t="shared" si="824"/>
        <v>60.42</v>
      </c>
      <c r="AJ272" s="220">
        <f t="shared" ref="AJ272:AJ277" si="879">IF(AG272-Z272&gt;0,0,AG272-Z272)</f>
        <v>0</v>
      </c>
      <c r="AK272" s="216">
        <f t="shared" si="794"/>
        <v>180</v>
      </c>
      <c r="AL272" s="220">
        <f t="shared" si="795"/>
        <v>224.5</v>
      </c>
      <c r="AM272" s="220">
        <f t="shared" si="796"/>
        <v>180.7</v>
      </c>
      <c r="AN272" s="221">
        <f t="shared" si="797"/>
        <v>405.2</v>
      </c>
      <c r="AO272" s="220">
        <f t="shared" si="798"/>
        <v>0</v>
      </c>
      <c r="AP272" s="220">
        <f t="shared" si="799"/>
        <v>0</v>
      </c>
      <c r="AQ272" s="220">
        <f t="shared" si="800"/>
        <v>60</v>
      </c>
      <c r="AR272" s="220">
        <f t="shared" si="801"/>
        <v>400</v>
      </c>
      <c r="AS272" s="220">
        <f t="shared" si="802"/>
        <v>30</v>
      </c>
      <c r="AT272" s="216">
        <f t="shared" si="803"/>
        <v>895.2</v>
      </c>
      <c r="AU272" s="222">
        <f t="shared" si="722"/>
        <v>225.2</v>
      </c>
      <c r="AV272" s="220"/>
      <c r="AW272" s="220">
        <f t="shared" si="804"/>
        <v>225.2</v>
      </c>
      <c r="AX272" s="216">
        <f t="shared" si="820"/>
        <v>0</v>
      </c>
      <c r="AY272" s="220">
        <f t="shared" si="815"/>
        <v>0</v>
      </c>
      <c r="AZ272" s="220">
        <f t="shared" si="816"/>
        <v>0</v>
      </c>
      <c r="BA272" s="220">
        <f t="shared" si="817"/>
        <v>60</v>
      </c>
      <c r="BB272" s="220">
        <f t="shared" si="818"/>
        <v>400</v>
      </c>
      <c r="BC272" s="220">
        <f t="shared" si="819"/>
        <v>30</v>
      </c>
      <c r="BD272" s="216">
        <f t="shared" si="759"/>
        <v>490</v>
      </c>
      <c r="BE272" s="220">
        <f t="shared" si="805"/>
        <v>0</v>
      </c>
      <c r="BF272" s="220">
        <f t="shared" si="806"/>
        <v>0</v>
      </c>
      <c r="BG272" s="220">
        <f t="shared" si="807"/>
        <v>0</v>
      </c>
      <c r="BH272" s="220">
        <f t="shared" si="808"/>
        <v>0</v>
      </c>
      <c r="BI272" s="220">
        <f t="shared" si="809"/>
        <v>0</v>
      </c>
      <c r="BJ272" s="220" t="s">
        <v>2417</v>
      </c>
      <c r="BK272" s="220"/>
      <c r="BL272" s="223">
        <f t="shared" si="773"/>
        <v>225.2</v>
      </c>
      <c r="BM272" s="220">
        <v>7.28</v>
      </c>
      <c r="BN272" s="220"/>
      <c r="BO272" s="220">
        <f>ROUND(BM272+(BM272*BN272),2)</f>
        <v>7.28</v>
      </c>
      <c r="BP272" s="220">
        <f>IF(AND(BL272&gt;0,BL272&lt;tiet!$D$1),BL272,IF(BL272&lt;=0,0,IF(BL272&gt;tiet!$C$1,tiet!$C$1)))</f>
        <v>200</v>
      </c>
      <c r="BQ272" s="87">
        <f>VLOOKUP(P272,ma_dinhmuc_moi,4,0)</f>
        <v>85000</v>
      </c>
      <c r="BR272" s="224">
        <f>ROUND(BQ272*BP272,0)</f>
        <v>17000000</v>
      </c>
      <c r="BS272" s="220">
        <f t="shared" si="846"/>
        <v>25.199999999999989</v>
      </c>
      <c r="BT272" s="224">
        <f>VLOOKUP(N272,ma_dinhmuc!$A$1:$J$31,10,0)</f>
        <v>65000</v>
      </c>
      <c r="BU272" s="224">
        <f>ROUND(IF(BS272&gt;0,VLOOKUP(N272,ma_dinhmuc!$A$1:$J$31,10,0)*BS272,0),0)</f>
        <v>1638000</v>
      </c>
      <c r="BV272" s="224">
        <f>ROUND(BU272+BR272,0)</f>
        <v>18638000</v>
      </c>
      <c r="BW272" s="224"/>
      <c r="BX272" s="224">
        <v>0</v>
      </c>
      <c r="BY272" s="224"/>
      <c r="BZ272" s="224"/>
      <c r="CA272" s="224"/>
      <c r="CB272" s="224"/>
      <c r="CC272" s="225">
        <f t="shared" si="697"/>
        <v>18638000</v>
      </c>
      <c r="CD272" s="224">
        <f t="shared" si="698"/>
        <v>0</v>
      </c>
      <c r="CE272" s="224"/>
      <c r="CF272" s="226"/>
      <c r="CG272" s="87"/>
      <c r="CH272" s="87">
        <f t="shared" si="873"/>
        <v>25</v>
      </c>
      <c r="CI272" s="227" t="str">
        <f t="shared" si="874"/>
        <v>Quyền Đình</v>
      </c>
      <c r="CJ272" s="227" t="str">
        <f t="shared" si="875"/>
        <v>Hà</v>
      </c>
      <c r="CK272" s="87">
        <f t="shared" si="876"/>
        <v>5</v>
      </c>
      <c r="CL272" s="227" t="str">
        <f t="shared" si="877"/>
        <v>Phát triển nông thôn</v>
      </c>
      <c r="CM272" s="87" t="str">
        <f t="shared" si="810"/>
        <v>CS4</v>
      </c>
      <c r="CN272" s="87">
        <f t="shared" si="825"/>
        <v>270</v>
      </c>
      <c r="CO272" s="87">
        <f t="shared" si="826"/>
        <v>280</v>
      </c>
      <c r="CP272" s="229">
        <f t="shared" si="852"/>
        <v>0</v>
      </c>
      <c r="CQ272" s="229">
        <f t="shared" si="853"/>
        <v>14.6</v>
      </c>
      <c r="CR272" s="229">
        <f t="shared" si="854"/>
        <v>5.9</v>
      </c>
      <c r="CS272" s="229">
        <f t="shared" si="855"/>
        <v>54</v>
      </c>
      <c r="CT272" s="229">
        <f t="shared" si="856"/>
        <v>0</v>
      </c>
      <c r="CU272" s="229">
        <f t="shared" si="857"/>
        <v>150</v>
      </c>
      <c r="CV272" s="229">
        <f t="shared" si="858"/>
        <v>0</v>
      </c>
      <c r="CW272" s="229">
        <f t="shared" si="859"/>
        <v>0</v>
      </c>
      <c r="CX272" s="229">
        <f t="shared" si="860"/>
        <v>0</v>
      </c>
      <c r="CY272" s="229">
        <f t="shared" si="861"/>
        <v>0</v>
      </c>
      <c r="CZ272" s="229">
        <f t="shared" si="862"/>
        <v>0</v>
      </c>
      <c r="DA272" s="229">
        <f t="shared" si="863"/>
        <v>60</v>
      </c>
      <c r="DB272" s="228">
        <f t="shared" si="792"/>
        <v>284.5</v>
      </c>
      <c r="DC272" s="229"/>
      <c r="DD272" s="229"/>
      <c r="DE272" s="229"/>
      <c r="DF272" s="229"/>
      <c r="DG272" s="229"/>
      <c r="DH272" s="229"/>
      <c r="DI272" s="229"/>
      <c r="DJ272" s="229"/>
      <c r="DK272" s="229"/>
      <c r="DL272" s="229"/>
      <c r="DM272" s="229"/>
      <c r="DN272" s="229"/>
      <c r="DO272" s="228">
        <f t="shared" si="812"/>
        <v>0</v>
      </c>
      <c r="DP272" s="228">
        <f t="shared" si="813"/>
        <v>284.5</v>
      </c>
      <c r="DQ272" s="229">
        <f t="shared" si="864"/>
        <v>168</v>
      </c>
      <c r="DR272" s="229">
        <f t="shared" si="865"/>
        <v>9</v>
      </c>
      <c r="DS272" s="229">
        <f t="shared" si="866"/>
        <v>0</v>
      </c>
      <c r="DT272" s="229">
        <f t="shared" si="867"/>
        <v>3.7</v>
      </c>
      <c r="DU272" s="229">
        <f t="shared" si="868"/>
        <v>0</v>
      </c>
      <c r="DV272" s="229">
        <f t="shared" si="869"/>
        <v>400</v>
      </c>
      <c r="DW272" s="229">
        <f t="shared" si="870"/>
        <v>30</v>
      </c>
      <c r="DX272" s="228">
        <f t="shared" si="793"/>
        <v>610.70000000000005</v>
      </c>
      <c r="DY272" s="229"/>
      <c r="DZ272" s="229"/>
      <c r="EA272" s="229"/>
      <c r="EB272" s="229"/>
      <c r="EC272" s="229"/>
      <c r="ED272" s="229"/>
      <c r="EE272" s="229"/>
      <c r="EF272" s="228">
        <f t="shared" si="847"/>
        <v>0</v>
      </c>
      <c r="EG272" s="228">
        <f t="shared" si="814"/>
        <v>610.70000000000005</v>
      </c>
      <c r="EH272" s="229">
        <f t="shared" si="848"/>
        <v>60.42</v>
      </c>
      <c r="EI272" s="229">
        <v>183.34</v>
      </c>
      <c r="EJ272" s="228">
        <f t="shared" si="772"/>
        <v>243.76</v>
      </c>
      <c r="EK272" s="229"/>
      <c r="EL272" s="229"/>
      <c r="EM272" s="228">
        <f>SUM(EK272:EL272)</f>
        <v>0</v>
      </c>
      <c r="EN272" s="229">
        <f t="shared" si="708"/>
        <v>60.42</v>
      </c>
      <c r="EO272" s="229">
        <f t="shared" si="723"/>
        <v>183.34</v>
      </c>
      <c r="EP272" s="228">
        <f>EM272+EJ272</f>
        <v>243.76</v>
      </c>
      <c r="EQ272" s="173">
        <f t="shared" si="849"/>
        <v>0</v>
      </c>
      <c r="ER272" s="189">
        <v>0</v>
      </c>
      <c r="ES272" s="189">
        <v>14.6</v>
      </c>
      <c r="ET272" s="189">
        <v>5.9</v>
      </c>
      <c r="EU272" s="189">
        <v>54</v>
      </c>
      <c r="EV272" s="189">
        <v>0</v>
      </c>
      <c r="EW272" s="189">
        <v>150</v>
      </c>
      <c r="EX272" s="189">
        <v>0</v>
      </c>
      <c r="EY272" s="189">
        <v>0</v>
      </c>
      <c r="EZ272" s="189">
        <v>0</v>
      </c>
      <c r="FA272" s="189">
        <v>0</v>
      </c>
      <c r="FB272" s="189">
        <v>0</v>
      </c>
      <c r="FC272" s="189">
        <v>60</v>
      </c>
      <c r="FD272" s="189">
        <v>168</v>
      </c>
      <c r="FE272" s="189">
        <v>9</v>
      </c>
      <c r="FF272" s="189">
        <v>0</v>
      </c>
      <c r="FG272" s="189">
        <v>3.7</v>
      </c>
      <c r="FH272" s="189">
        <v>400</v>
      </c>
      <c r="FI272" s="189">
        <v>0</v>
      </c>
      <c r="FJ272" s="189">
        <v>30</v>
      </c>
      <c r="FK272" s="189">
        <v>895.2</v>
      </c>
      <c r="FL272" s="189">
        <v>798</v>
      </c>
      <c r="FN272" s="132">
        <v>60.42</v>
      </c>
    </row>
    <row r="273" spans="1:170" ht="27" customHeight="1">
      <c r="A273" s="88">
        <f>COUNTIF($H$12:H273,H273)</f>
        <v>26</v>
      </c>
      <c r="B273" s="88" t="s">
        <v>929</v>
      </c>
      <c r="C273" s="88" t="s">
        <v>2634</v>
      </c>
      <c r="D273" s="88"/>
      <c r="E273" s="88"/>
      <c r="F273" s="302" t="s">
        <v>1768</v>
      </c>
      <c r="G273" s="89" t="s">
        <v>2206</v>
      </c>
      <c r="H273" s="88">
        <v>5</v>
      </c>
      <c r="I273" s="88">
        <v>5</v>
      </c>
      <c r="J273" s="88">
        <v>5</v>
      </c>
      <c r="K273" s="90" t="s">
        <v>1087</v>
      </c>
      <c r="L273" s="90" t="s">
        <v>1087</v>
      </c>
      <c r="M273" s="214"/>
      <c r="N273" s="88" t="s">
        <v>605</v>
      </c>
      <c r="O273" s="216">
        <f>BO273</f>
        <v>6.92</v>
      </c>
      <c r="P273" s="88" t="str">
        <f t="shared" ref="P273:P323" si="880">IF(BO273&lt;3.33,"B1_3",IF(AND(BO273&gt;=3.33,BO273&lt;4.65),"B1_4",IF(AND(BO273&gt;=4.65,BO273&lt;5.42),"B1_5",IF(AND(BO273&gt;=5.42,BO273&lt;6.44),"B1_6",IF(AND(BO273&gt;=6.44,BO273&lt;=6.92),"B1_7","B1_8")))))</f>
        <v>B1_7</v>
      </c>
      <c r="Q273" s="88">
        <f t="shared" si="733"/>
        <v>270</v>
      </c>
      <c r="R273" s="88">
        <f t="shared" si="734"/>
        <v>200</v>
      </c>
      <c r="S273" s="218"/>
      <c r="T273" s="219" t="s">
        <v>3088</v>
      </c>
      <c r="U273" s="88">
        <f>IF(RIGHT(T273,1)="K",(VLOOKUP(T273,ma_miengiam!$A$3:$B$80,2,0)*100)/2,VLOOKUP(T273,ma_miengiam!$A$3:$B$80,2,0)*100)</f>
        <v>0</v>
      </c>
      <c r="V273" s="88"/>
      <c r="W273" s="220">
        <f>IF(AND(T273="NTS",V273&gt;0),(Q273-(Q273*V273)/12)*VLOOKUP(T273,ma_miengiam!$A$3:$B$80,2,0)+(Q273-(Q273*(12-V273))/12),IF(AND(RIGHT(T273,1)="K",V273&gt;0),(VLOOKUP(T273,ma_miengiam!$A$3:$B$80,2,0)/2)*(Q273*V273)/12,IF(RIGHT(T273,1)="K",(VLOOKUP(T273,ma_miengiam!$A$3:$B$80,2,0)*Q273)/2,IF(V273&gt;0,VLOOKUP(T273,ma_miengiam!$A$3:$B$80,2,0)*Q273*V273/12,VLOOKUP(T273,ma_miengiam!$A$3:$B$80,2,0)*Q273))))</f>
        <v>0</v>
      </c>
      <c r="X273" s="220">
        <f>IF(T273="NTS",VLOOKUP(T273,ma_miengiam!$A$3:$B$80,2,0)*R273*V273,IF(AND(T273="NTS",V273=0),0,IF(AND(LEFT(T273,1)="K",V273=0),VLOOKUP(T273,ma_miengiam!$A$3:$B$80,2,0)*R273,IF(LEFT(T273,1)="K",(VLOOKUP(T273,ma_miengiam!$A$3:$B$80,2,0)*R273/12)*V273,IF(AND(LEFT(T273,1)="S",V273&gt;0),(R273/12)*V273,IF(AND(LEFT(T273,1)="S",V273=0),R273,IF(T273="DH",VLOOKUP(T273,ma_miengiam!$A$3:$B$80,2,0)*R273,0)))))))</f>
        <v>0</v>
      </c>
      <c r="Y273" s="220">
        <f>IF(AND(T273="DH",V273&gt;0),(S273*V273/12),IF(AND(T273&lt;&gt;"NTS",V273&gt;0),(Q273*V273/12)-W273,IF(AND(T273="NTS",V273&gt;0),Q273-W273,Q273-W273)))</f>
        <v>270</v>
      </c>
      <c r="Z273" s="220">
        <f>IF(AND(T273="SĐH",V273&gt;0),(R273/12)*V273-X273,IF(AND(T273="DH",V273&gt;0),(R273*V273/12),IF(AND(T273&lt;&gt;"NTS",V273&gt;0),(R273*V273/12)-X273,IF(AND(T273="NTS",V273&gt;0),R273-X273,R273-X273))))</f>
        <v>200</v>
      </c>
      <c r="AA273" s="220">
        <f t="shared" si="871"/>
        <v>270</v>
      </c>
      <c r="AB273" s="220">
        <f t="shared" si="871"/>
        <v>200</v>
      </c>
      <c r="AC273" s="220">
        <f>W273</f>
        <v>0</v>
      </c>
      <c r="AD273" s="220">
        <f>X273</f>
        <v>0</v>
      </c>
      <c r="AE273" s="220">
        <f>Y273</f>
        <v>270</v>
      </c>
      <c r="AF273" s="220">
        <f>Z273</f>
        <v>200</v>
      </c>
      <c r="AG273" s="220">
        <f>AH273+AI273</f>
        <v>239.71</v>
      </c>
      <c r="AH273" s="220">
        <f>EO273</f>
        <v>130.96</v>
      </c>
      <c r="AI273" s="220">
        <f>EN273</f>
        <v>108.75</v>
      </c>
      <c r="AJ273" s="220">
        <f t="shared" si="879"/>
        <v>0</v>
      </c>
      <c r="AK273" s="216">
        <f t="shared" si="794"/>
        <v>270</v>
      </c>
      <c r="AL273" s="220">
        <f>SUM(CP273:CX273)+SUM(DC273:DK273)</f>
        <v>136</v>
      </c>
      <c r="AM273" s="220">
        <f>SUM(DQ273:DU273)+SUM(DY273:EC273)</f>
        <v>494.40000000000003</v>
      </c>
      <c r="AN273" s="221">
        <f>AM273+AL273</f>
        <v>630.40000000000009</v>
      </c>
      <c r="AO273" s="220">
        <f t="shared" ref="AO273:AQ274" si="881">CY273+DL273</f>
        <v>0</v>
      </c>
      <c r="AP273" s="220">
        <f t="shared" si="881"/>
        <v>0</v>
      </c>
      <c r="AQ273" s="220">
        <f t="shared" si="881"/>
        <v>40</v>
      </c>
      <c r="AR273" s="220">
        <f>DV273+ED273</f>
        <v>480</v>
      </c>
      <c r="AS273" s="220">
        <f>DW273+EE273</f>
        <v>70</v>
      </c>
      <c r="AT273" s="216">
        <f>AN273+SUM(AO273:AS273)</f>
        <v>1220.4000000000001</v>
      </c>
      <c r="AU273" s="222">
        <f>AN273-AK273</f>
        <v>360.40000000000009</v>
      </c>
      <c r="AV273" s="220"/>
      <c r="AW273" s="220">
        <f>IF(AU273&gt;0,AU273,AV273+AU273)</f>
        <v>360.40000000000009</v>
      </c>
      <c r="AX273" s="216">
        <f t="shared" si="820"/>
        <v>0</v>
      </c>
      <c r="AY273" s="220">
        <f>IF(AN273&gt;=AK273,AO273,IF(AN273+AO273-AK273&gt;=0,AN273+AO273-AK273,0))</f>
        <v>0</v>
      </c>
      <c r="AZ273" s="220">
        <f>IF(OR(AN273&gt;=AK273,AN273+AO273&gt;=AK273),AP273,IF(AN273+AO273+AP273&gt;AK273,AN273+AO273+AP273-AK273,0))</f>
        <v>0</v>
      </c>
      <c r="BA273" s="220">
        <f>IF(OR(AN273&gt;=AK273,AN273+AO273&gt;=AK273,AN273+AO273+AP273&gt;=AK273),AQ273,IF(AN273+AO273+AP273+AQ273&gt;=AK273,AN273+AO273+AP273+AQ273-AK273,0))</f>
        <v>40</v>
      </c>
      <c r="BB273" s="220">
        <f>IF(OR(AN273&gt;=AK273,AN273+AO273&gt;=AK273,AN273+AO273+AP273&gt;=AK273,AN273+AO273+AP273+AQ273&gt;=AK273),AR273,IF(AN273+AO273+AP273+AQ273+AR273&gt;=AK273,AN273+AO273+AP273+AQ273+AR273-AK273,0))</f>
        <v>480</v>
      </c>
      <c r="BC273" s="220">
        <f>IF(OR(AN273&gt;=AK273,AN273+AO273&gt;=AK273,AN273+AO273+AP273&gt;=AK273,AN273+AO273+AP273+AQ273&gt;=AK273,AN273+AO273+AP273+AQ273+AR273&gt;=AK273),AS273,IF(AN273+AO273+AP273+AQ273+AR273+AS273&gt;=AK273,AN273+AO273+AP273+AQ273+AR273+AS273-AK273,0))</f>
        <v>70</v>
      </c>
      <c r="BD273" s="216">
        <f t="shared" si="759"/>
        <v>590</v>
      </c>
      <c r="BE273" s="220">
        <f t="shared" ref="BE273:BI274" si="882">AY273-AO273</f>
        <v>0</v>
      </c>
      <c r="BF273" s="220">
        <f t="shared" si="882"/>
        <v>0</v>
      </c>
      <c r="BG273" s="220">
        <f t="shared" si="882"/>
        <v>0</v>
      </c>
      <c r="BH273" s="220">
        <f t="shared" si="882"/>
        <v>0</v>
      </c>
      <c r="BI273" s="220">
        <f t="shared" si="882"/>
        <v>0</v>
      </c>
      <c r="BJ273" s="220" t="s">
        <v>2417</v>
      </c>
      <c r="BK273" s="220"/>
      <c r="BL273" s="223">
        <f t="shared" si="773"/>
        <v>360.40000000000009</v>
      </c>
      <c r="BM273" s="220">
        <v>6.92</v>
      </c>
      <c r="BN273" s="220"/>
      <c r="BO273" s="220">
        <f>ROUND(BM273+(BM273*BN273),2)</f>
        <v>6.92</v>
      </c>
      <c r="BP273" s="220">
        <f>IF(AND(BL273&gt;0,BL273&lt;tiet!$D$1),BL273,IF(BL273&lt;=0,0,IF(BL273&gt;tiet!$C$1,tiet!$C$1)))</f>
        <v>200</v>
      </c>
      <c r="BQ273" s="87">
        <f>VLOOKUP(P273,ma_dinhmuc_moi,4,0)</f>
        <v>80000</v>
      </c>
      <c r="BR273" s="224">
        <f>ROUND(BQ273*BP273,0)</f>
        <v>16000000</v>
      </c>
      <c r="BS273" s="220">
        <f t="shared" si="846"/>
        <v>160.40000000000009</v>
      </c>
      <c r="BT273" s="224">
        <f>VLOOKUP(N273,ma_dinhmuc!$A$1:$J$31,10,0)</f>
        <v>65000</v>
      </c>
      <c r="BU273" s="224">
        <f>ROUND(IF(BS273&gt;0,VLOOKUP(N273,ma_dinhmuc!$A$1:$J$31,10,0)*BS273,0),0)</f>
        <v>10426000</v>
      </c>
      <c r="BV273" s="224">
        <f>ROUND(BU273+BR273,0)</f>
        <v>26426000</v>
      </c>
      <c r="BW273" s="224"/>
      <c r="BX273" s="224">
        <v>0</v>
      </c>
      <c r="BY273" s="224"/>
      <c r="BZ273" s="224"/>
      <c r="CA273" s="224"/>
      <c r="CB273" s="224"/>
      <c r="CC273" s="225">
        <f>ROUND(IF(BV273+BW273&gt;BX273+BY273+BZ273+CA273+CB273,(BW273+BV273)-(BX273+BY273+BZ273+CA273+CB273+CB273),0),0)</f>
        <v>26426000</v>
      </c>
      <c r="CD273" s="224">
        <f>ROUND(IF(BV273+BW273&lt;BX273+BY273+BZ273+CA273-CB273,(BX273+BY273+BZ273+CA273-CB273)-(BW273+BV273),0),0)</f>
        <v>0</v>
      </c>
      <c r="CE273" s="224"/>
      <c r="CF273" s="226"/>
      <c r="CG273" s="87"/>
      <c r="CH273" s="87">
        <f>A273</f>
        <v>26</v>
      </c>
      <c r="CI273" s="227" t="str">
        <f t="shared" ref="CI273:CK274" si="883">F273</f>
        <v>Mai Thanh</v>
      </c>
      <c r="CJ273" s="227" t="str">
        <f t="shared" si="883"/>
        <v>Cúc</v>
      </c>
      <c r="CK273" s="87">
        <f t="shared" si="883"/>
        <v>5</v>
      </c>
      <c r="CL273" s="227" t="str">
        <f>L273</f>
        <v>Phát triển nông thôn</v>
      </c>
      <c r="CM273" s="87" t="str">
        <f>N273</f>
        <v>CS4</v>
      </c>
      <c r="CN273" s="87">
        <f t="shared" si="825"/>
        <v>270</v>
      </c>
      <c r="CO273" s="87">
        <f>R273</f>
        <v>200</v>
      </c>
      <c r="CP273" s="229">
        <f t="shared" si="852"/>
        <v>0</v>
      </c>
      <c r="CQ273" s="229">
        <f t="shared" si="853"/>
        <v>11.4</v>
      </c>
      <c r="CR273" s="229">
        <f t="shared" si="854"/>
        <v>4.5999999999999996</v>
      </c>
      <c r="CS273" s="229">
        <f t="shared" si="855"/>
        <v>0</v>
      </c>
      <c r="CT273" s="229">
        <f t="shared" si="856"/>
        <v>0</v>
      </c>
      <c r="CU273" s="229">
        <f t="shared" si="857"/>
        <v>120</v>
      </c>
      <c r="CV273" s="229">
        <f t="shared" si="858"/>
        <v>0</v>
      </c>
      <c r="CW273" s="229">
        <f t="shared" si="859"/>
        <v>0</v>
      </c>
      <c r="CX273" s="229">
        <f t="shared" si="860"/>
        <v>0</v>
      </c>
      <c r="CY273" s="229">
        <f t="shared" si="861"/>
        <v>0</v>
      </c>
      <c r="CZ273" s="229">
        <f t="shared" si="862"/>
        <v>0</v>
      </c>
      <c r="DA273" s="229">
        <f t="shared" si="863"/>
        <v>40</v>
      </c>
      <c r="DB273" s="228">
        <f>SUM(CP273:DA273)</f>
        <v>176</v>
      </c>
      <c r="DC273" s="229"/>
      <c r="DD273" s="229"/>
      <c r="DE273" s="229"/>
      <c r="DF273" s="229"/>
      <c r="DG273" s="229"/>
      <c r="DH273" s="229"/>
      <c r="DI273" s="229"/>
      <c r="DJ273" s="229"/>
      <c r="DK273" s="229"/>
      <c r="DL273" s="229"/>
      <c r="DM273" s="229"/>
      <c r="DN273" s="229"/>
      <c r="DO273" s="228">
        <f>SUM(DC273:DN273)</f>
        <v>0</v>
      </c>
      <c r="DP273" s="228">
        <f>DO273+DB273</f>
        <v>176</v>
      </c>
      <c r="DQ273" s="229">
        <f t="shared" si="864"/>
        <v>450</v>
      </c>
      <c r="DR273" s="229">
        <f t="shared" si="865"/>
        <v>31.6</v>
      </c>
      <c r="DS273" s="229">
        <f t="shared" si="866"/>
        <v>0</v>
      </c>
      <c r="DT273" s="229">
        <f t="shared" si="867"/>
        <v>12.8</v>
      </c>
      <c r="DU273" s="229">
        <f t="shared" si="868"/>
        <v>0</v>
      </c>
      <c r="DV273" s="229">
        <f t="shared" si="869"/>
        <v>480</v>
      </c>
      <c r="DW273" s="229">
        <f t="shared" si="870"/>
        <v>70</v>
      </c>
      <c r="DX273" s="228">
        <f>SUM(DQ273:DW273)</f>
        <v>1044.4000000000001</v>
      </c>
      <c r="DY273" s="229"/>
      <c r="DZ273" s="229"/>
      <c r="EA273" s="229"/>
      <c r="EB273" s="229"/>
      <c r="EC273" s="229"/>
      <c r="ED273" s="229"/>
      <c r="EE273" s="229"/>
      <c r="EF273" s="228">
        <f t="shared" si="847"/>
        <v>0</v>
      </c>
      <c r="EG273" s="228">
        <f>EF273+DX273</f>
        <v>1044.4000000000001</v>
      </c>
      <c r="EH273" s="229">
        <f t="shared" si="848"/>
        <v>108.75</v>
      </c>
      <c r="EI273" s="229">
        <v>130.96</v>
      </c>
      <c r="EJ273" s="228">
        <f>SUM(EH273:EI273)</f>
        <v>239.71</v>
      </c>
      <c r="EK273" s="229"/>
      <c r="EL273" s="229"/>
      <c r="EM273" s="228">
        <f>SUM(EK273:EL273)</f>
        <v>0</v>
      </c>
      <c r="EN273" s="229">
        <f>EK273+EH273+EL273</f>
        <v>108.75</v>
      </c>
      <c r="EO273" s="229">
        <f>EI273</f>
        <v>130.96</v>
      </c>
      <c r="EP273" s="228">
        <f>EM273+EJ273</f>
        <v>239.71</v>
      </c>
      <c r="EQ273" s="173">
        <f t="shared" si="849"/>
        <v>0</v>
      </c>
      <c r="ER273" s="189">
        <v>0</v>
      </c>
      <c r="ES273" s="189">
        <v>11.4</v>
      </c>
      <c r="ET273" s="189">
        <v>4.5999999999999996</v>
      </c>
      <c r="EU273" s="189">
        <v>0</v>
      </c>
      <c r="EV273" s="189">
        <v>0</v>
      </c>
      <c r="EW273" s="189">
        <v>120</v>
      </c>
      <c r="EX273" s="189">
        <v>0</v>
      </c>
      <c r="EY273" s="189">
        <v>0</v>
      </c>
      <c r="EZ273" s="189">
        <v>0</v>
      </c>
      <c r="FA273" s="189">
        <v>0</v>
      </c>
      <c r="FB273" s="189">
        <v>0</v>
      </c>
      <c r="FC273" s="189">
        <v>40</v>
      </c>
      <c r="FD273" s="189">
        <v>450</v>
      </c>
      <c r="FE273" s="189">
        <v>31.6</v>
      </c>
      <c r="FF273" s="189">
        <v>0</v>
      </c>
      <c r="FG273" s="189">
        <v>12.8</v>
      </c>
      <c r="FH273" s="189">
        <v>480</v>
      </c>
      <c r="FI273" s="189">
        <v>0</v>
      </c>
      <c r="FJ273" s="189">
        <v>70</v>
      </c>
      <c r="FK273" s="189">
        <v>1220.4000000000001</v>
      </c>
      <c r="FL273" s="189">
        <v>972</v>
      </c>
      <c r="FN273" s="132">
        <v>108.75</v>
      </c>
    </row>
    <row r="274" spans="1:170" ht="30" customHeight="1">
      <c r="A274" s="88">
        <f>COUNTIF($H$12:H274,H274)</f>
        <v>27</v>
      </c>
      <c r="B274" s="88" t="s">
        <v>930</v>
      </c>
      <c r="C274" s="88" t="s">
        <v>2635</v>
      </c>
      <c r="D274" s="88"/>
      <c r="E274" s="88"/>
      <c r="F274" s="301" t="s">
        <v>2205</v>
      </c>
      <c r="G274" s="89" t="s">
        <v>544</v>
      </c>
      <c r="H274" s="88">
        <v>5</v>
      </c>
      <c r="I274" s="88">
        <v>5</v>
      </c>
      <c r="J274" s="88">
        <v>5</v>
      </c>
      <c r="K274" s="90" t="s">
        <v>1087</v>
      </c>
      <c r="L274" s="90" t="s">
        <v>1087</v>
      </c>
      <c r="M274" s="214"/>
      <c r="N274" s="88" t="s">
        <v>606</v>
      </c>
      <c r="O274" s="216">
        <f>BO274</f>
        <v>4.4000000000000004</v>
      </c>
      <c r="P274" s="88" t="str">
        <f t="shared" si="880"/>
        <v>B1_4</v>
      </c>
      <c r="Q274" s="88">
        <f t="shared" si="733"/>
        <v>270</v>
      </c>
      <c r="R274" s="88">
        <f t="shared" si="734"/>
        <v>120</v>
      </c>
      <c r="S274" s="230" t="s">
        <v>500</v>
      </c>
      <c r="T274" s="88" t="s">
        <v>3091</v>
      </c>
      <c r="U274" s="88">
        <f>IF(RIGHT(T274,1)="K",(VLOOKUP(T274,ma_miengiam!$A$3:$B$80,2,0)*100)/2,VLOOKUP(T274,ma_miengiam!$A$3:$B$80,2,0)*100)</f>
        <v>20</v>
      </c>
      <c r="V274" s="88"/>
      <c r="W274" s="220">
        <f>IF(AND(T274="NTS",V274&gt;0),(Q274-(Q274*V274)/12)*VLOOKUP(T274,ma_miengiam!$A$3:$B$80,2,0)+(Q274-(Q274*(12-V274))/12),IF(AND(RIGHT(T274,1)="K",V274&gt;0),(VLOOKUP(T274,ma_miengiam!$A$3:$B$80,2,0)/2)*(Q274*V274)/12,IF(RIGHT(T274,1)="K",(VLOOKUP(T274,ma_miengiam!$A$3:$B$80,2,0)*Q274)/2,IF(V274&gt;0,VLOOKUP(T274,ma_miengiam!$A$3:$B$80,2,0)*Q274*V274/12,VLOOKUP(T274,ma_miengiam!$A$3:$B$80,2,0)*Q274))))</f>
        <v>54</v>
      </c>
      <c r="X274" s="220">
        <f>IF(T274="NTS",VLOOKUP(T274,ma_miengiam!$A$3:$B$80,2,0)*R274*V274,IF(AND(T274="NTS",V274=0),0,IF(AND(LEFT(T274,1)="K",V274=0),VLOOKUP(T274,ma_miengiam!$A$3:$B$80,2,0)*R274,IF(LEFT(T274,1)="K",(VLOOKUP(T274,ma_miengiam!$A$3:$B$80,2,0)*R274/12)*V274,IF(AND(LEFT(T274,1)="S",V274&gt;0),(R274/12)*V274,IF(AND(LEFT(T274,1)="S",V274=0),R274,IF(T274="DH",VLOOKUP(T274,ma_miengiam!$A$3:$B$80,2,0)*R274,0)))))))</f>
        <v>0</v>
      </c>
      <c r="Y274" s="220">
        <f>IF(AND(T274="DH",V274&gt;0),(S274*V274/12),IF(AND(T274&lt;&gt;"NTS",V274&gt;0),(Q274*V274/12)-W274,IF(AND(T274="NTS",V274&gt;0),Q274-W274,Q274-W274)))</f>
        <v>216</v>
      </c>
      <c r="Z274" s="220">
        <f>IF(AND(T274="SĐH",V274&gt;0),(R274/12)*V274-X274,IF(AND(T274="DH",V274&gt;0),(R274*V274/12),IF(AND(T274&lt;&gt;"NTS",V274&gt;0),(R274*V274/12)-X274,IF(AND(T274="NTS",V274&gt;0),R274-X274,R274-X274))))</f>
        <v>120</v>
      </c>
      <c r="AA274" s="220">
        <f t="shared" ref="AA274:AB276" si="884">Q274</f>
        <v>270</v>
      </c>
      <c r="AB274" s="220">
        <f t="shared" si="884"/>
        <v>120</v>
      </c>
      <c r="AC274" s="220">
        <f t="shared" ref="AC274:AF276" si="885">W274</f>
        <v>54</v>
      </c>
      <c r="AD274" s="220">
        <f t="shared" si="885"/>
        <v>0</v>
      </c>
      <c r="AE274" s="220">
        <f t="shared" si="885"/>
        <v>216</v>
      </c>
      <c r="AF274" s="220">
        <f t="shared" si="885"/>
        <v>120</v>
      </c>
      <c r="AG274" s="220">
        <f>AH274+AI274</f>
        <v>439.99</v>
      </c>
      <c r="AH274" s="220">
        <f>EO274</f>
        <v>105.41</v>
      </c>
      <c r="AI274" s="220">
        <f>EN274</f>
        <v>334.58</v>
      </c>
      <c r="AJ274" s="220">
        <f t="shared" si="879"/>
        <v>0</v>
      </c>
      <c r="AK274" s="216">
        <f t="shared" si="794"/>
        <v>216</v>
      </c>
      <c r="AL274" s="220">
        <f>SUM(CP274:CX274)+SUM(DC274:DK274)</f>
        <v>272.89999999999998</v>
      </c>
      <c r="AM274" s="220">
        <f>SUM(DQ274:DU274)+SUM(DY274:EC274)</f>
        <v>230.1</v>
      </c>
      <c r="AN274" s="221">
        <f>AM274+AL274</f>
        <v>503</v>
      </c>
      <c r="AO274" s="220">
        <f t="shared" si="881"/>
        <v>0</v>
      </c>
      <c r="AP274" s="220">
        <f t="shared" si="881"/>
        <v>0</v>
      </c>
      <c r="AQ274" s="220">
        <f t="shared" si="881"/>
        <v>40</v>
      </c>
      <c r="AR274" s="220">
        <f>DV274+ED274</f>
        <v>280</v>
      </c>
      <c r="AS274" s="220">
        <f>DW274+EE274</f>
        <v>20</v>
      </c>
      <c r="AT274" s="216">
        <f>AN274+SUM(AO274:AS274)</f>
        <v>843</v>
      </c>
      <c r="AU274" s="222">
        <f>AN274-AK274</f>
        <v>287</v>
      </c>
      <c r="AV274" s="220"/>
      <c r="AW274" s="220">
        <f>IF(AU274&gt;0,AU274,AV274+AU274)</f>
        <v>287</v>
      </c>
      <c r="AX274" s="216">
        <f t="shared" si="820"/>
        <v>0</v>
      </c>
      <c r="AY274" s="220">
        <f>IF(AN274&gt;=AK274,AO274,IF(AN274+AO274-AK274&gt;=0,AN274+AO274-AK274,0))</f>
        <v>0</v>
      </c>
      <c r="AZ274" s="220">
        <f>IF(OR(AN274&gt;=AK274,AN274+AO274&gt;=AK274),AP274,IF(AN274+AO274+AP274&gt;AK274,AN274+AO274+AP274-AK274,0))</f>
        <v>0</v>
      </c>
      <c r="BA274" s="220">
        <f>IF(OR(AN274&gt;=AK274,AN274+AO274&gt;=AK274,AN274+AO274+AP274&gt;=AK274),AQ274,IF(AN274+AO274+AP274+AQ274&gt;=AK274,AN274+AO274+AP274+AQ274-AK274,0))</f>
        <v>40</v>
      </c>
      <c r="BB274" s="220">
        <f>IF(OR(AN274&gt;=AK274,AN274+AO274&gt;=AK274,AN274+AO274+AP274&gt;=AK274,AN274+AO274+AP274+AQ274&gt;=AK274),AR274,IF(AN274+AO274+AP274+AQ274+AR274&gt;=AK274,AN274+AO274+AP274+AQ274+AR274-AK274,0))</f>
        <v>280</v>
      </c>
      <c r="BC274" s="220">
        <f>IF(OR(AN274&gt;=AK274,AN274+AO274&gt;=AK274,AN274+AO274+AP274&gt;=AK274,AN274+AO274+AP274+AQ274&gt;=AK274,AN274+AO274+AP274+AQ274+AR274&gt;=AK274),AS274,IF(AN274+AO274+AP274+AQ274+AR274+AS274&gt;=AK274,AN274+AO274+AP274+AQ274+AR274+AS274-AK274,0))</f>
        <v>20</v>
      </c>
      <c r="BD274" s="216">
        <f t="shared" si="759"/>
        <v>340</v>
      </c>
      <c r="BE274" s="220">
        <f t="shared" si="882"/>
        <v>0</v>
      </c>
      <c r="BF274" s="220">
        <f t="shared" si="882"/>
        <v>0</v>
      </c>
      <c r="BG274" s="220">
        <f t="shared" si="882"/>
        <v>0</v>
      </c>
      <c r="BH274" s="220">
        <f t="shared" si="882"/>
        <v>0</v>
      </c>
      <c r="BI274" s="220">
        <f t="shared" si="882"/>
        <v>0</v>
      </c>
      <c r="BJ274" s="220" t="s">
        <v>2417</v>
      </c>
      <c r="BK274" s="220"/>
      <c r="BL274" s="223">
        <f t="shared" si="773"/>
        <v>287</v>
      </c>
      <c r="BM274" s="220">
        <v>4.4000000000000004</v>
      </c>
      <c r="BN274" s="220"/>
      <c r="BO274" s="220">
        <f>ROUND(BM274+(BM274*BN274),2)</f>
        <v>4.4000000000000004</v>
      </c>
      <c r="BP274" s="220">
        <f>IF(AND(BL274&gt;0,BL274&lt;tiet!$D$1),BL274,IF(BL274&lt;=0,0,IF(BL274&gt;tiet!$C$1,tiet!$C$1)))</f>
        <v>200</v>
      </c>
      <c r="BQ274" s="87">
        <f>VLOOKUP(P274,ma_dinhmuc_moi,4,0)</f>
        <v>65000</v>
      </c>
      <c r="BR274" s="224">
        <f>ROUND(BQ274*BP274,0)</f>
        <v>13000000</v>
      </c>
      <c r="BS274" s="220">
        <f t="shared" si="846"/>
        <v>87</v>
      </c>
      <c r="BT274" s="224">
        <f>VLOOKUP(N274,ma_dinhmuc!$A$1:$J$31,10,0)</f>
        <v>55000</v>
      </c>
      <c r="BU274" s="224">
        <f>ROUND(IF(BS274&gt;0,VLOOKUP(N274,ma_dinhmuc!$A$1:$J$31,10,0)*BS274,0),0)</f>
        <v>4785000</v>
      </c>
      <c r="BV274" s="224">
        <f>ROUND(BU274+BR274,0)</f>
        <v>17785000</v>
      </c>
      <c r="BW274" s="224"/>
      <c r="BX274" s="224">
        <v>0</v>
      </c>
      <c r="BY274" s="224"/>
      <c r="BZ274" s="224"/>
      <c r="CA274" s="224"/>
      <c r="CB274" s="224"/>
      <c r="CC274" s="225">
        <f>ROUND(IF(BV274+BW274&gt;BX274+BY274+BZ274+CA274+CB274,(BW274+BV274)-(BX274+BY274+BZ274+CA274+CB274+CB274),0),0)</f>
        <v>17785000</v>
      </c>
      <c r="CD274" s="224">
        <f>ROUND(IF(BV274+BW274&lt;BX274+BY274+BZ274+CA274-CB274,(BX274+BY274+BZ274+CA274-CB274)-(BW274+BV274),0),0)</f>
        <v>0</v>
      </c>
      <c r="CE274" s="224"/>
      <c r="CF274" s="226"/>
      <c r="CG274" s="87"/>
      <c r="CH274" s="87">
        <f>A274</f>
        <v>27</v>
      </c>
      <c r="CI274" s="227" t="str">
        <f t="shared" si="883"/>
        <v>Quyền Đình</v>
      </c>
      <c r="CJ274" s="227" t="str">
        <f t="shared" si="883"/>
        <v>Hà (B)</v>
      </c>
      <c r="CK274" s="87">
        <f t="shared" si="883"/>
        <v>5</v>
      </c>
      <c r="CL274" s="227" t="str">
        <f>L274</f>
        <v>Phát triển nông thôn</v>
      </c>
      <c r="CM274" s="87" t="str">
        <f>N274</f>
        <v>CS3</v>
      </c>
      <c r="CN274" s="87">
        <f t="shared" si="825"/>
        <v>270</v>
      </c>
      <c r="CO274" s="87">
        <f>R274</f>
        <v>120</v>
      </c>
      <c r="CP274" s="229">
        <f t="shared" si="852"/>
        <v>0</v>
      </c>
      <c r="CQ274" s="229">
        <f t="shared" si="853"/>
        <v>23.5</v>
      </c>
      <c r="CR274" s="229">
        <f t="shared" si="854"/>
        <v>9.4</v>
      </c>
      <c r="CS274" s="229">
        <f t="shared" si="855"/>
        <v>0</v>
      </c>
      <c r="CT274" s="229">
        <f t="shared" si="856"/>
        <v>0</v>
      </c>
      <c r="CU274" s="229">
        <f t="shared" si="857"/>
        <v>240</v>
      </c>
      <c r="CV274" s="229">
        <f t="shared" si="858"/>
        <v>0</v>
      </c>
      <c r="CW274" s="229">
        <f t="shared" si="859"/>
        <v>0</v>
      </c>
      <c r="CX274" s="229">
        <f t="shared" si="860"/>
        <v>0</v>
      </c>
      <c r="CY274" s="229">
        <f t="shared" si="861"/>
        <v>0</v>
      </c>
      <c r="CZ274" s="229">
        <f t="shared" si="862"/>
        <v>0</v>
      </c>
      <c r="DA274" s="229">
        <f t="shared" si="863"/>
        <v>40</v>
      </c>
      <c r="DB274" s="228">
        <f>SUM(CP274:DA274)</f>
        <v>312.89999999999998</v>
      </c>
      <c r="DC274" s="229"/>
      <c r="DD274" s="229"/>
      <c r="DE274" s="229"/>
      <c r="DF274" s="229"/>
      <c r="DG274" s="229"/>
      <c r="DH274" s="229"/>
      <c r="DI274" s="229"/>
      <c r="DJ274" s="229"/>
      <c r="DK274" s="229"/>
      <c r="DL274" s="229"/>
      <c r="DM274" s="229"/>
      <c r="DN274" s="229"/>
      <c r="DO274" s="228">
        <f>SUM(DC274:DN274)</f>
        <v>0</v>
      </c>
      <c r="DP274" s="228">
        <f>DO274+DB274</f>
        <v>312.89999999999998</v>
      </c>
      <c r="DQ274" s="229">
        <f t="shared" si="864"/>
        <v>216</v>
      </c>
      <c r="DR274" s="229">
        <f t="shared" si="865"/>
        <v>10.1</v>
      </c>
      <c r="DS274" s="229">
        <f t="shared" si="866"/>
        <v>0</v>
      </c>
      <c r="DT274" s="229">
        <f t="shared" si="867"/>
        <v>4</v>
      </c>
      <c r="DU274" s="229">
        <f t="shared" si="868"/>
        <v>0</v>
      </c>
      <c r="DV274" s="229">
        <f t="shared" si="869"/>
        <v>280</v>
      </c>
      <c r="DW274" s="229">
        <f t="shared" si="870"/>
        <v>20</v>
      </c>
      <c r="DX274" s="228">
        <f>SUM(DQ274:DW274)</f>
        <v>530.1</v>
      </c>
      <c r="DY274" s="229"/>
      <c r="DZ274" s="229"/>
      <c r="EA274" s="229"/>
      <c r="EB274" s="229"/>
      <c r="EC274" s="229"/>
      <c r="ED274" s="229"/>
      <c r="EE274" s="229"/>
      <c r="EF274" s="228">
        <f t="shared" si="847"/>
        <v>0</v>
      </c>
      <c r="EG274" s="228">
        <f>EF274+DX274</f>
        <v>530.1</v>
      </c>
      <c r="EH274" s="229">
        <f t="shared" si="848"/>
        <v>334.58</v>
      </c>
      <c r="EI274" s="229">
        <v>105.41</v>
      </c>
      <c r="EJ274" s="228">
        <f>SUM(EH274:EI274)</f>
        <v>439.99</v>
      </c>
      <c r="EK274" s="229"/>
      <c r="EL274" s="229"/>
      <c r="EM274" s="228">
        <f>SUM(EK274:EL274)</f>
        <v>0</v>
      </c>
      <c r="EN274" s="229">
        <f>EK274+EH274+EL274</f>
        <v>334.58</v>
      </c>
      <c r="EO274" s="229">
        <f>EI274</f>
        <v>105.41</v>
      </c>
      <c r="EP274" s="228">
        <f>EM274+EJ274</f>
        <v>439.99</v>
      </c>
      <c r="EQ274" s="173">
        <f t="shared" si="849"/>
        <v>214.57999999999998</v>
      </c>
      <c r="ER274" s="189">
        <v>0</v>
      </c>
      <c r="ES274" s="189">
        <v>23.5</v>
      </c>
      <c r="ET274" s="189">
        <v>9.4</v>
      </c>
      <c r="EU274" s="189">
        <v>0</v>
      </c>
      <c r="EV274" s="189">
        <v>0</v>
      </c>
      <c r="EW274" s="189">
        <v>240</v>
      </c>
      <c r="EX274" s="189">
        <v>0</v>
      </c>
      <c r="EY274" s="189">
        <v>0</v>
      </c>
      <c r="EZ274" s="189">
        <v>0</v>
      </c>
      <c r="FA274" s="189">
        <v>0</v>
      </c>
      <c r="FB274" s="189">
        <v>0</v>
      </c>
      <c r="FC274" s="189">
        <v>40</v>
      </c>
      <c r="FD274" s="189">
        <v>216</v>
      </c>
      <c r="FE274" s="189">
        <v>10.1</v>
      </c>
      <c r="FF274" s="189">
        <v>0</v>
      </c>
      <c r="FG274" s="189">
        <v>4</v>
      </c>
      <c r="FH274" s="189">
        <v>280</v>
      </c>
      <c r="FI274" s="189">
        <v>0</v>
      </c>
      <c r="FJ274" s="189">
        <v>20</v>
      </c>
      <c r="FK274" s="189">
        <v>843</v>
      </c>
      <c r="FL274" s="189">
        <v>641</v>
      </c>
      <c r="FN274" s="132">
        <v>334.58</v>
      </c>
    </row>
    <row r="275" spans="1:170" ht="32.25" customHeight="1">
      <c r="A275" s="88">
        <f>COUNTIF($H$12:H283,H275)</f>
        <v>36</v>
      </c>
      <c r="B275" s="88" t="s">
        <v>931</v>
      </c>
      <c r="C275" s="88" t="s">
        <v>2636</v>
      </c>
      <c r="D275" s="88"/>
      <c r="E275" s="88"/>
      <c r="F275" s="302" t="s">
        <v>1819</v>
      </c>
      <c r="G275" s="89" t="s">
        <v>13</v>
      </c>
      <c r="H275" s="88">
        <v>5</v>
      </c>
      <c r="I275" s="88">
        <v>5</v>
      </c>
      <c r="J275" s="88">
        <v>5</v>
      </c>
      <c r="K275" s="90" t="s">
        <v>1087</v>
      </c>
      <c r="L275" s="90" t="s">
        <v>1087</v>
      </c>
      <c r="M275" s="214"/>
      <c r="N275" s="88" t="s">
        <v>606</v>
      </c>
      <c r="O275" s="216">
        <f t="shared" si="774"/>
        <v>4.4000000000000004</v>
      </c>
      <c r="P275" s="88" t="str">
        <f t="shared" si="880"/>
        <v>B1_4</v>
      </c>
      <c r="Q275" s="88">
        <f t="shared" si="733"/>
        <v>270</v>
      </c>
      <c r="R275" s="88">
        <f t="shared" si="734"/>
        <v>120</v>
      </c>
      <c r="S275" s="231"/>
      <c r="T275" s="214" t="s">
        <v>3088</v>
      </c>
      <c r="U275" s="88">
        <f>IF(RIGHT(T275,1)="K",(VLOOKUP(T275,ma_miengiam!$A$3:$B$80,2,0)*100)/2,VLOOKUP(T275,ma_miengiam!$A$3:$B$80,2,0)*100)</f>
        <v>0</v>
      </c>
      <c r="V275" s="88"/>
      <c r="W275" s="220">
        <f>IF(AND(T275="NTS",V275&gt;0),(Q275-(Q275*V275)/12)*VLOOKUP(T275,ma_miengiam!$A$3:$B$80,2,0)+(Q275-(Q275*(12-V275))/12),IF(AND(RIGHT(T275,1)="K",V275&gt;0),(VLOOKUP(T275,ma_miengiam!$A$3:$B$80,2,0)/2)*(Q275*V275)/12,IF(RIGHT(T275,1)="K",(VLOOKUP(T275,ma_miengiam!$A$3:$B$80,2,0)*Q275)/2,IF(V275&gt;0,VLOOKUP(T275,ma_miengiam!$A$3:$B$80,2,0)*Q275*V275/12,VLOOKUP(T275,ma_miengiam!$A$3:$B$80,2,0)*Q275))))</f>
        <v>0</v>
      </c>
      <c r="X275" s="220">
        <f>IF(T275="NTS",VLOOKUP(T275,ma_miengiam!$A$3:$B$80,2,0)*R275*V275,IF(AND(T275="NTS",V275=0),0,IF(AND(LEFT(T275,1)="K",V275=0),VLOOKUP(T275,ma_miengiam!$A$3:$B$80,2,0)*R275,IF(LEFT(T275,1)="K",(VLOOKUP(T275,ma_miengiam!$A$3:$B$80,2,0)*R275/12)*V275,IF(AND(LEFT(T275,1)="S",V275&gt;0),(R275/12)*V275,IF(AND(LEFT(T275,1)="S",V275=0),R275,IF(T275="DH",VLOOKUP(T275,ma_miengiam!$A$3:$B$80,2,0)*R275,0)))))))</f>
        <v>0</v>
      </c>
      <c r="Y275" s="220">
        <f t="shared" si="783"/>
        <v>270</v>
      </c>
      <c r="Z275" s="220">
        <f t="shared" si="878"/>
        <v>120</v>
      </c>
      <c r="AA275" s="220">
        <f t="shared" si="884"/>
        <v>270</v>
      </c>
      <c r="AB275" s="220">
        <f t="shared" si="884"/>
        <v>120</v>
      </c>
      <c r="AC275" s="220">
        <f t="shared" si="885"/>
        <v>0</v>
      </c>
      <c r="AD275" s="220">
        <f t="shared" si="885"/>
        <v>0</v>
      </c>
      <c r="AE275" s="220">
        <f t="shared" si="885"/>
        <v>270</v>
      </c>
      <c r="AF275" s="220">
        <f t="shared" si="885"/>
        <v>120</v>
      </c>
      <c r="AG275" s="220">
        <f>AH275+AI275</f>
        <v>303.44</v>
      </c>
      <c r="AH275" s="220">
        <f>EO275</f>
        <v>78.569999999999993</v>
      </c>
      <c r="AI275" s="220">
        <f>EN275</f>
        <v>224.87</v>
      </c>
      <c r="AJ275" s="220">
        <f t="shared" si="879"/>
        <v>0</v>
      </c>
      <c r="AK275" s="216">
        <f t="shared" si="794"/>
        <v>270</v>
      </c>
      <c r="AL275" s="220">
        <f t="shared" si="795"/>
        <v>514.6</v>
      </c>
      <c r="AM275" s="220">
        <f t="shared" si="796"/>
        <v>542.70000000000005</v>
      </c>
      <c r="AN275" s="221">
        <f t="shared" si="797"/>
        <v>1057.3000000000002</v>
      </c>
      <c r="AO275" s="220">
        <f t="shared" si="798"/>
        <v>0</v>
      </c>
      <c r="AP275" s="220">
        <f t="shared" si="799"/>
        <v>0</v>
      </c>
      <c r="AQ275" s="220">
        <f t="shared" si="800"/>
        <v>40</v>
      </c>
      <c r="AR275" s="220">
        <f t="shared" si="801"/>
        <v>280</v>
      </c>
      <c r="AS275" s="220">
        <f t="shared" si="802"/>
        <v>30</v>
      </c>
      <c r="AT275" s="216">
        <f t="shared" si="803"/>
        <v>1407.3000000000002</v>
      </c>
      <c r="AU275" s="222">
        <f t="shared" si="722"/>
        <v>787.30000000000018</v>
      </c>
      <c r="AV275" s="220"/>
      <c r="AW275" s="220">
        <f t="shared" si="804"/>
        <v>787.30000000000018</v>
      </c>
      <c r="AX275" s="216">
        <f t="shared" si="820"/>
        <v>0</v>
      </c>
      <c r="AY275" s="220">
        <f t="shared" si="815"/>
        <v>0</v>
      </c>
      <c r="AZ275" s="220">
        <f t="shared" si="816"/>
        <v>0</v>
      </c>
      <c r="BA275" s="220">
        <f t="shared" si="817"/>
        <v>40</v>
      </c>
      <c r="BB275" s="220">
        <f t="shared" si="818"/>
        <v>280</v>
      </c>
      <c r="BC275" s="220">
        <f t="shared" si="819"/>
        <v>30</v>
      </c>
      <c r="BD275" s="216">
        <f t="shared" si="759"/>
        <v>350</v>
      </c>
      <c r="BE275" s="220">
        <f t="shared" si="805"/>
        <v>0</v>
      </c>
      <c r="BF275" s="220">
        <f t="shared" si="806"/>
        <v>0</v>
      </c>
      <c r="BG275" s="220">
        <f t="shared" si="807"/>
        <v>0</v>
      </c>
      <c r="BH275" s="220">
        <f t="shared" si="808"/>
        <v>0</v>
      </c>
      <c r="BI275" s="220">
        <f t="shared" si="809"/>
        <v>0</v>
      </c>
      <c r="BJ275" s="220" t="s">
        <v>2417</v>
      </c>
      <c r="BK275" s="220"/>
      <c r="BL275" s="223">
        <f t="shared" si="773"/>
        <v>787.30000000000018</v>
      </c>
      <c r="BM275" s="220">
        <v>4.4000000000000004</v>
      </c>
      <c r="BN275" s="220"/>
      <c r="BO275" s="220">
        <f>ROUND(BM275+(BM275*BN275),2)</f>
        <v>4.4000000000000004</v>
      </c>
      <c r="BP275" s="220">
        <f>IF(AND(BL275&gt;0,BL275&lt;tiet!$D$1),BL275,IF(BL275&lt;=0,0,IF(BL275&gt;tiet!$C$1,tiet!$C$1)))</f>
        <v>200</v>
      </c>
      <c r="BQ275" s="87">
        <f>VLOOKUP(P275,ma_dinhmuc_moi,4,0)</f>
        <v>65000</v>
      </c>
      <c r="BR275" s="224">
        <f>ROUND(BQ275*BP275,0)</f>
        <v>13000000</v>
      </c>
      <c r="BS275" s="220">
        <f t="shared" si="846"/>
        <v>587.30000000000018</v>
      </c>
      <c r="BT275" s="224">
        <f>VLOOKUP(N275,ma_dinhmuc!$A$1:$J$31,10,0)</f>
        <v>55000</v>
      </c>
      <c r="BU275" s="224">
        <f>ROUND(IF(BS275&gt;0,VLOOKUP(N275,ma_dinhmuc!$A$1:$J$31,10,0)*BS275,0),0)</f>
        <v>32301500</v>
      </c>
      <c r="BV275" s="224">
        <f>ROUND(BU275+BR275,0)</f>
        <v>45301500</v>
      </c>
      <c r="BW275" s="224"/>
      <c r="BX275" s="224">
        <v>0</v>
      </c>
      <c r="BY275" s="224"/>
      <c r="BZ275" s="224"/>
      <c r="CA275" s="224"/>
      <c r="CB275" s="224"/>
      <c r="CC275" s="225">
        <f t="shared" ref="CC275:CC331" si="886">ROUND(IF(BV275+BW275&gt;BX275+BY275+BZ275+CA275+CB275,(BW275+BV275)-(BX275+BY275+BZ275+CA275+CB275+CB275),0),0)</f>
        <v>45301500</v>
      </c>
      <c r="CD275" s="224">
        <f t="shared" ref="CD275:CD331" si="887">ROUND(IF(BV275+BW275&lt;BX275+BY275+BZ275+CA275-CB275,(BX275+BY275+BZ275+CA275-CB275)-(BW275+BV275),0),0)</f>
        <v>0</v>
      </c>
      <c r="CE275" s="224"/>
      <c r="CF275" s="226"/>
      <c r="CG275" s="87"/>
      <c r="CH275" s="87">
        <f t="shared" si="873"/>
        <v>36</v>
      </c>
      <c r="CI275" s="227" t="str">
        <f t="shared" si="874"/>
        <v>Mai Lan</v>
      </c>
      <c r="CJ275" s="227" t="str">
        <f>G275</f>
        <v>Phương</v>
      </c>
      <c r="CK275" s="87">
        <f t="shared" si="876"/>
        <v>5</v>
      </c>
      <c r="CL275" s="227" t="str">
        <f t="shared" si="877"/>
        <v>Phát triển nông thôn</v>
      </c>
      <c r="CM275" s="87" t="str">
        <f t="shared" si="810"/>
        <v>CS3</v>
      </c>
      <c r="CN275" s="87">
        <f t="shared" si="825"/>
        <v>270</v>
      </c>
      <c r="CO275" s="87">
        <f t="shared" si="826"/>
        <v>120</v>
      </c>
      <c r="CP275" s="229">
        <f t="shared" si="852"/>
        <v>0</v>
      </c>
      <c r="CQ275" s="229">
        <f t="shared" si="853"/>
        <v>37.1</v>
      </c>
      <c r="CR275" s="229">
        <f t="shared" si="854"/>
        <v>15</v>
      </c>
      <c r="CS275" s="229">
        <f t="shared" si="855"/>
        <v>0</v>
      </c>
      <c r="CT275" s="229">
        <f t="shared" si="856"/>
        <v>0</v>
      </c>
      <c r="CU275" s="229">
        <f t="shared" si="857"/>
        <v>462.5</v>
      </c>
      <c r="CV275" s="229">
        <f t="shared" si="858"/>
        <v>0</v>
      </c>
      <c r="CW275" s="229">
        <f t="shared" si="859"/>
        <v>0</v>
      </c>
      <c r="CX275" s="229">
        <f t="shared" si="860"/>
        <v>0</v>
      </c>
      <c r="CY275" s="229">
        <f t="shared" si="861"/>
        <v>0</v>
      </c>
      <c r="CZ275" s="229">
        <f t="shared" si="862"/>
        <v>0</v>
      </c>
      <c r="DA275" s="229">
        <f t="shared" si="863"/>
        <v>40</v>
      </c>
      <c r="DB275" s="228">
        <f t="shared" si="792"/>
        <v>554.6</v>
      </c>
      <c r="DC275" s="229"/>
      <c r="DD275" s="229"/>
      <c r="DE275" s="229"/>
      <c r="DF275" s="229"/>
      <c r="DG275" s="229"/>
      <c r="DH275" s="229"/>
      <c r="DI275" s="229"/>
      <c r="DJ275" s="229"/>
      <c r="DK275" s="229"/>
      <c r="DL275" s="229"/>
      <c r="DM275" s="229"/>
      <c r="DN275" s="229"/>
      <c r="DO275" s="228">
        <f t="shared" si="812"/>
        <v>0</v>
      </c>
      <c r="DP275" s="228">
        <f t="shared" si="813"/>
        <v>554.6</v>
      </c>
      <c r="DQ275" s="229">
        <f t="shared" si="864"/>
        <v>513</v>
      </c>
      <c r="DR275" s="229">
        <f t="shared" si="865"/>
        <v>21.1</v>
      </c>
      <c r="DS275" s="229">
        <f t="shared" si="866"/>
        <v>0</v>
      </c>
      <c r="DT275" s="229">
        <f t="shared" si="867"/>
        <v>8.6</v>
      </c>
      <c r="DU275" s="229">
        <f t="shared" si="868"/>
        <v>0</v>
      </c>
      <c r="DV275" s="229">
        <f t="shared" si="869"/>
        <v>280</v>
      </c>
      <c r="DW275" s="229">
        <f t="shared" si="870"/>
        <v>30</v>
      </c>
      <c r="DX275" s="228">
        <f t="shared" si="793"/>
        <v>852.7</v>
      </c>
      <c r="DY275" s="229"/>
      <c r="DZ275" s="229"/>
      <c r="EA275" s="229"/>
      <c r="EB275" s="229"/>
      <c r="EC275" s="229"/>
      <c r="ED275" s="229"/>
      <c r="EE275" s="229"/>
      <c r="EF275" s="228">
        <f t="shared" si="847"/>
        <v>0</v>
      </c>
      <c r="EG275" s="228">
        <f t="shared" si="814"/>
        <v>852.7</v>
      </c>
      <c r="EH275" s="229">
        <f t="shared" si="848"/>
        <v>224.87</v>
      </c>
      <c r="EI275" s="229">
        <v>78.569999999999993</v>
      </c>
      <c r="EJ275" s="228">
        <f t="shared" si="772"/>
        <v>303.44</v>
      </c>
      <c r="EK275" s="229"/>
      <c r="EL275" s="229"/>
      <c r="EM275" s="228">
        <f>SUM(EK275:EL275)</f>
        <v>0</v>
      </c>
      <c r="EN275" s="229">
        <f t="shared" si="708"/>
        <v>224.87</v>
      </c>
      <c r="EO275" s="229">
        <f t="shared" si="723"/>
        <v>78.569999999999993</v>
      </c>
      <c r="EP275" s="228">
        <f t="shared" ref="EP275:EP283" si="888">EM275+EJ275</f>
        <v>303.44</v>
      </c>
      <c r="EQ275" s="173">
        <f t="shared" si="849"/>
        <v>104.87</v>
      </c>
      <c r="ER275" s="189">
        <v>0</v>
      </c>
      <c r="ES275" s="189">
        <v>37.1</v>
      </c>
      <c r="ET275" s="189">
        <v>15</v>
      </c>
      <c r="EU275" s="189">
        <v>0</v>
      </c>
      <c r="EV275" s="189">
        <v>0</v>
      </c>
      <c r="EW275" s="189">
        <v>462.5</v>
      </c>
      <c r="EX275" s="189">
        <v>0</v>
      </c>
      <c r="EY275" s="189">
        <v>0</v>
      </c>
      <c r="EZ275" s="189">
        <v>0</v>
      </c>
      <c r="FA275" s="189">
        <v>0</v>
      </c>
      <c r="FB275" s="189">
        <v>0</v>
      </c>
      <c r="FC275" s="189">
        <v>40</v>
      </c>
      <c r="FD275" s="189">
        <v>513</v>
      </c>
      <c r="FE275" s="189">
        <v>21.1</v>
      </c>
      <c r="FF275" s="189">
        <v>0</v>
      </c>
      <c r="FG275" s="189">
        <v>8.6</v>
      </c>
      <c r="FH275" s="189">
        <v>280</v>
      </c>
      <c r="FI275" s="189">
        <v>0</v>
      </c>
      <c r="FJ275" s="189">
        <v>30</v>
      </c>
      <c r="FK275" s="189">
        <v>1407.3</v>
      </c>
      <c r="FL275" s="189">
        <v>999</v>
      </c>
      <c r="FN275" s="132">
        <v>224.87</v>
      </c>
    </row>
    <row r="276" spans="1:170" ht="45">
      <c r="A276" s="88">
        <f>COUNTIF($H$12:H276,H276)</f>
        <v>29</v>
      </c>
      <c r="B276" s="88" t="s">
        <v>932</v>
      </c>
      <c r="C276" s="88" t="s">
        <v>2637</v>
      </c>
      <c r="D276" s="88"/>
      <c r="E276" s="88"/>
      <c r="F276" s="301" t="s">
        <v>2209</v>
      </c>
      <c r="G276" s="89" t="s">
        <v>646</v>
      </c>
      <c r="H276" s="88">
        <v>5</v>
      </c>
      <c r="I276" s="88">
        <v>5</v>
      </c>
      <c r="J276" s="88">
        <v>5</v>
      </c>
      <c r="K276" s="90" t="s">
        <v>1087</v>
      </c>
      <c r="L276" s="90" t="s">
        <v>1087</v>
      </c>
      <c r="M276" s="214"/>
      <c r="N276" s="88" t="s">
        <v>605</v>
      </c>
      <c r="O276" s="216">
        <f t="shared" si="774"/>
        <v>6.56</v>
      </c>
      <c r="P276" s="88" t="str">
        <f t="shared" si="880"/>
        <v>B1_7</v>
      </c>
      <c r="Q276" s="88">
        <f t="shared" si="733"/>
        <v>270</v>
      </c>
      <c r="R276" s="88">
        <f t="shared" si="734"/>
        <v>200</v>
      </c>
      <c r="S276" s="230" t="s">
        <v>3178</v>
      </c>
      <c r="T276" s="88" t="s">
        <v>1769</v>
      </c>
      <c r="U276" s="88">
        <f>IF(RIGHT(T276,1)="K",(VLOOKUP(T276,ma_miengiam!$A$3:$B$80,2,0)*100)/2,VLOOKUP(T276,ma_miengiam!$A$3:$B$80,2,0)*100)</f>
        <v>50</v>
      </c>
      <c r="V276" s="88"/>
      <c r="W276" s="220">
        <f>IF(AND(T276="NTS",V276&gt;0),(Q276-(Q276*V276)/12)*VLOOKUP(T276,ma_miengiam!$A$3:$B$80,2,0)+(Q276-(Q276*(12-V276))/12),IF(AND(RIGHT(T276,1)="K",V276&gt;0),(VLOOKUP(T276,ma_miengiam!$A$3:$B$80,2,0)/2)*(Q276*V276)/12,IF(RIGHT(T276,1)="K",(VLOOKUP(T276,ma_miengiam!$A$3:$B$80,2,0)*Q276)/2,IF(V276&gt;0,VLOOKUP(T276,ma_miengiam!$A$3:$B$80,2,0)*Q276*V276/12,VLOOKUP(T276,ma_miengiam!$A$3:$B$80,2,0)*Q276))))</f>
        <v>135</v>
      </c>
      <c r="X276" s="220">
        <f>IF(T276="NTS",VLOOKUP(T276,ma_miengiam!$A$3:$B$80,2,0)*R276*V276,IF(AND(T276="NTS",V276=0),0,IF(AND(LEFT(T276,1)="K",V276=0),VLOOKUP(T276,ma_miengiam!$A$3:$B$80,2,0)*R276,IF(LEFT(T276,1)="K",(VLOOKUP(T276,ma_miengiam!$A$3:$B$80,2,0)*R276/12)*V276,IF(AND(LEFT(T276,1)="S",V276&gt;0),(R276/12)*V276,IF(AND(LEFT(T276,1)="S",V276=0),R276,IF(T276="DH",VLOOKUP(T276,ma_miengiam!$A$3:$B$80,2,0)*R276,0)))))))</f>
        <v>0</v>
      </c>
      <c r="Y276" s="220">
        <f t="shared" si="783"/>
        <v>135</v>
      </c>
      <c r="Z276" s="220">
        <f t="shared" si="878"/>
        <v>200</v>
      </c>
      <c r="AA276" s="220">
        <f t="shared" si="884"/>
        <v>270</v>
      </c>
      <c r="AB276" s="220">
        <f t="shared" si="884"/>
        <v>200</v>
      </c>
      <c r="AC276" s="220">
        <f t="shared" si="885"/>
        <v>135</v>
      </c>
      <c r="AD276" s="220">
        <f t="shared" si="885"/>
        <v>0</v>
      </c>
      <c r="AE276" s="220">
        <f t="shared" si="885"/>
        <v>135</v>
      </c>
      <c r="AF276" s="220">
        <f t="shared" si="885"/>
        <v>200</v>
      </c>
      <c r="AG276" s="220">
        <f>AH276+AI276</f>
        <v>195.53</v>
      </c>
      <c r="AH276" s="220">
        <f>EO276</f>
        <v>111.31</v>
      </c>
      <c r="AI276" s="220">
        <f>EN276</f>
        <v>84.22</v>
      </c>
      <c r="AJ276" s="220">
        <f t="shared" si="879"/>
        <v>-4.4699999999999989</v>
      </c>
      <c r="AK276" s="216">
        <f t="shared" si="794"/>
        <v>139.47</v>
      </c>
      <c r="AL276" s="220">
        <f t="shared" si="795"/>
        <v>195.8</v>
      </c>
      <c r="AM276" s="220">
        <f t="shared" si="796"/>
        <v>327.20000000000005</v>
      </c>
      <c r="AN276" s="221">
        <f t="shared" si="797"/>
        <v>523</v>
      </c>
      <c r="AO276" s="220">
        <f t="shared" si="798"/>
        <v>0</v>
      </c>
      <c r="AP276" s="220">
        <f t="shared" si="799"/>
        <v>0</v>
      </c>
      <c r="AQ276" s="220">
        <f t="shared" si="800"/>
        <v>60</v>
      </c>
      <c r="AR276" s="220">
        <f t="shared" si="801"/>
        <v>480</v>
      </c>
      <c r="AS276" s="220">
        <f t="shared" si="802"/>
        <v>30</v>
      </c>
      <c r="AT276" s="216">
        <f t="shared" si="803"/>
        <v>1093</v>
      </c>
      <c r="AU276" s="222">
        <f t="shared" si="722"/>
        <v>383.53</v>
      </c>
      <c r="AV276" s="220"/>
      <c r="AW276" s="220">
        <f t="shared" si="804"/>
        <v>383.53</v>
      </c>
      <c r="AX276" s="216">
        <f t="shared" si="820"/>
        <v>0</v>
      </c>
      <c r="AY276" s="220">
        <f t="shared" si="815"/>
        <v>0</v>
      </c>
      <c r="AZ276" s="220">
        <f t="shared" si="816"/>
        <v>0</v>
      </c>
      <c r="BA276" s="220">
        <f t="shared" si="817"/>
        <v>60</v>
      </c>
      <c r="BB276" s="220">
        <f t="shared" si="818"/>
        <v>480</v>
      </c>
      <c r="BC276" s="220">
        <f t="shared" si="819"/>
        <v>30</v>
      </c>
      <c r="BD276" s="216">
        <f t="shared" si="759"/>
        <v>570</v>
      </c>
      <c r="BE276" s="220">
        <f t="shared" si="805"/>
        <v>0</v>
      </c>
      <c r="BF276" s="220">
        <f t="shared" si="806"/>
        <v>0</v>
      </c>
      <c r="BG276" s="220">
        <f t="shared" si="807"/>
        <v>0</v>
      </c>
      <c r="BH276" s="220">
        <f t="shared" si="808"/>
        <v>0</v>
      </c>
      <c r="BI276" s="220">
        <f t="shared" si="809"/>
        <v>0</v>
      </c>
      <c r="BJ276" s="220" t="s">
        <v>2417</v>
      </c>
      <c r="BK276" s="220"/>
      <c r="BL276" s="223">
        <f t="shared" si="773"/>
        <v>383.53</v>
      </c>
      <c r="BM276" s="220">
        <v>6.56</v>
      </c>
      <c r="BN276" s="220"/>
      <c r="BO276" s="220">
        <f>ROUND(BM276+(BM276*BN276),2)</f>
        <v>6.56</v>
      </c>
      <c r="BP276" s="220">
        <f>IF(AND(BL276&gt;0,BL276&lt;tiet!$D$1),BL276,IF(BL276&lt;=0,0,IF(BL276&gt;tiet!$C$1,tiet!$C$1)))</f>
        <v>200</v>
      </c>
      <c r="BQ276" s="87">
        <f>VLOOKUP(P276,ma_dinhmuc_moi,4,0)</f>
        <v>80000</v>
      </c>
      <c r="BR276" s="224">
        <f>ROUND(BQ276*BP276,0)</f>
        <v>16000000</v>
      </c>
      <c r="BS276" s="220">
        <f t="shared" si="846"/>
        <v>183.52999999999997</v>
      </c>
      <c r="BT276" s="224">
        <f>VLOOKUP(N276,ma_dinhmuc!$A$1:$J$31,10,0)</f>
        <v>65000</v>
      </c>
      <c r="BU276" s="224">
        <f>ROUND(IF(BS276&gt;0,VLOOKUP(N276,ma_dinhmuc!$A$1:$J$31,10,0)*BS276,0),0)</f>
        <v>11929450</v>
      </c>
      <c r="BV276" s="224">
        <f>ROUND(BU276+BR276,0)</f>
        <v>27929450</v>
      </c>
      <c r="BW276" s="224"/>
      <c r="BX276" s="224">
        <v>0</v>
      </c>
      <c r="BY276" s="224"/>
      <c r="BZ276" s="224"/>
      <c r="CA276" s="224"/>
      <c r="CB276" s="224"/>
      <c r="CC276" s="225">
        <f t="shared" si="886"/>
        <v>27929450</v>
      </c>
      <c r="CD276" s="224">
        <f t="shared" si="887"/>
        <v>0</v>
      </c>
      <c r="CE276" s="224"/>
      <c r="CF276" s="226"/>
      <c r="CG276" s="87"/>
      <c r="CH276" s="87">
        <f t="shared" si="873"/>
        <v>29</v>
      </c>
      <c r="CI276" s="227" t="str">
        <f t="shared" si="874"/>
        <v>Nguyễn Thị Minh</v>
      </c>
      <c r="CJ276" s="227" t="str">
        <f t="shared" si="875"/>
        <v>Hiền</v>
      </c>
      <c r="CK276" s="87">
        <f t="shared" si="876"/>
        <v>5</v>
      </c>
      <c r="CL276" s="227" t="str">
        <f t="shared" si="877"/>
        <v>Phát triển nông thôn</v>
      </c>
      <c r="CM276" s="87" t="str">
        <f t="shared" si="810"/>
        <v>CS4</v>
      </c>
      <c r="CN276" s="87">
        <f t="shared" si="825"/>
        <v>270</v>
      </c>
      <c r="CO276" s="87">
        <f t="shared" si="826"/>
        <v>200</v>
      </c>
      <c r="CP276" s="229">
        <f t="shared" si="852"/>
        <v>0</v>
      </c>
      <c r="CQ276" s="229">
        <f t="shared" si="853"/>
        <v>11.3</v>
      </c>
      <c r="CR276" s="229">
        <f t="shared" si="854"/>
        <v>4.5</v>
      </c>
      <c r="CS276" s="229">
        <f t="shared" si="855"/>
        <v>0</v>
      </c>
      <c r="CT276" s="229">
        <f t="shared" si="856"/>
        <v>0</v>
      </c>
      <c r="CU276" s="229">
        <f t="shared" si="857"/>
        <v>180</v>
      </c>
      <c r="CV276" s="229">
        <f t="shared" si="858"/>
        <v>0</v>
      </c>
      <c r="CW276" s="229">
        <f t="shared" si="859"/>
        <v>0</v>
      </c>
      <c r="CX276" s="229">
        <f t="shared" si="860"/>
        <v>0</v>
      </c>
      <c r="CY276" s="229">
        <f t="shared" si="861"/>
        <v>0</v>
      </c>
      <c r="CZ276" s="229">
        <f t="shared" si="862"/>
        <v>0</v>
      </c>
      <c r="DA276" s="229">
        <f t="shared" si="863"/>
        <v>60</v>
      </c>
      <c r="DB276" s="228">
        <f t="shared" si="792"/>
        <v>255.8</v>
      </c>
      <c r="DC276" s="229"/>
      <c r="DD276" s="229"/>
      <c r="DE276" s="229"/>
      <c r="DF276" s="229"/>
      <c r="DG276" s="229"/>
      <c r="DH276" s="229"/>
      <c r="DI276" s="229"/>
      <c r="DJ276" s="229"/>
      <c r="DK276" s="229"/>
      <c r="DL276" s="229"/>
      <c r="DM276" s="229"/>
      <c r="DN276" s="229"/>
      <c r="DO276" s="228">
        <f t="shared" si="812"/>
        <v>0</v>
      </c>
      <c r="DP276" s="228">
        <f t="shared" si="813"/>
        <v>255.8</v>
      </c>
      <c r="DQ276" s="229">
        <f t="shared" si="864"/>
        <v>300</v>
      </c>
      <c r="DR276" s="229">
        <f t="shared" si="865"/>
        <v>22.6</v>
      </c>
      <c r="DS276" s="229">
        <f t="shared" si="866"/>
        <v>0</v>
      </c>
      <c r="DT276" s="229">
        <f t="shared" si="867"/>
        <v>4.5999999999999996</v>
      </c>
      <c r="DU276" s="229">
        <f t="shared" si="868"/>
        <v>0</v>
      </c>
      <c r="DV276" s="229">
        <f t="shared" si="869"/>
        <v>480</v>
      </c>
      <c r="DW276" s="229">
        <f t="shared" si="870"/>
        <v>30</v>
      </c>
      <c r="DX276" s="228">
        <f t="shared" si="793"/>
        <v>837.2</v>
      </c>
      <c r="DY276" s="229"/>
      <c r="DZ276" s="229"/>
      <c r="EA276" s="229"/>
      <c r="EB276" s="229"/>
      <c r="EC276" s="229"/>
      <c r="ED276" s="229"/>
      <c r="EE276" s="229"/>
      <c r="EF276" s="228">
        <f t="shared" si="847"/>
        <v>0</v>
      </c>
      <c r="EG276" s="228">
        <f t="shared" si="814"/>
        <v>837.2</v>
      </c>
      <c r="EH276" s="229">
        <f t="shared" si="848"/>
        <v>84.22</v>
      </c>
      <c r="EI276" s="229">
        <v>111.31</v>
      </c>
      <c r="EJ276" s="228">
        <f t="shared" si="772"/>
        <v>195.53</v>
      </c>
      <c r="EK276" s="229"/>
      <c r="EL276" s="229"/>
      <c r="EM276" s="228">
        <f>SUM(EK276:EL276)</f>
        <v>0</v>
      </c>
      <c r="EN276" s="229">
        <f t="shared" si="708"/>
        <v>84.22</v>
      </c>
      <c r="EO276" s="229">
        <f t="shared" si="723"/>
        <v>111.31</v>
      </c>
      <c r="EP276" s="228">
        <f t="shared" si="888"/>
        <v>195.53</v>
      </c>
      <c r="EQ276" s="173">
        <f t="shared" si="849"/>
        <v>0</v>
      </c>
      <c r="ER276" s="189">
        <v>0</v>
      </c>
      <c r="ES276" s="189">
        <v>11.3</v>
      </c>
      <c r="ET276" s="189">
        <v>4.5</v>
      </c>
      <c r="EU276" s="189">
        <v>0</v>
      </c>
      <c r="EV276" s="189">
        <v>0</v>
      </c>
      <c r="EW276" s="189">
        <v>180</v>
      </c>
      <c r="EX276" s="189">
        <v>0</v>
      </c>
      <c r="EY276" s="189">
        <v>0</v>
      </c>
      <c r="EZ276" s="189">
        <v>0</v>
      </c>
      <c r="FA276" s="189">
        <v>0</v>
      </c>
      <c r="FB276" s="189">
        <v>0</v>
      </c>
      <c r="FC276" s="189">
        <v>60</v>
      </c>
      <c r="FD276" s="189">
        <v>300</v>
      </c>
      <c r="FE276" s="189">
        <v>22.6</v>
      </c>
      <c r="FF276" s="189">
        <v>0</v>
      </c>
      <c r="FG276" s="189">
        <v>4.5999999999999996</v>
      </c>
      <c r="FH276" s="189">
        <v>480</v>
      </c>
      <c r="FI276" s="189">
        <v>0</v>
      </c>
      <c r="FJ276" s="189">
        <v>30</v>
      </c>
      <c r="FK276" s="189">
        <v>1093</v>
      </c>
      <c r="FL276" s="189">
        <v>887</v>
      </c>
      <c r="FN276" s="132">
        <v>84.22</v>
      </c>
    </row>
    <row r="277" spans="1:170" ht="30" customHeight="1">
      <c r="A277" s="88">
        <f>COUNTIF($H$12:H277,H277)</f>
        <v>30</v>
      </c>
      <c r="B277" s="88" t="s">
        <v>934</v>
      </c>
      <c r="C277" s="88" t="s">
        <v>2639</v>
      </c>
      <c r="D277" s="88"/>
      <c r="E277" s="88"/>
      <c r="F277" s="301" t="s">
        <v>2912</v>
      </c>
      <c r="G277" s="89" t="s">
        <v>13</v>
      </c>
      <c r="H277" s="88">
        <v>5</v>
      </c>
      <c r="I277" s="88">
        <v>5</v>
      </c>
      <c r="J277" s="88">
        <v>5</v>
      </c>
      <c r="K277" s="90" t="s">
        <v>1087</v>
      </c>
      <c r="L277" s="90" t="s">
        <v>1087</v>
      </c>
      <c r="M277" s="214"/>
      <c r="N277" s="88" t="s">
        <v>1804</v>
      </c>
      <c r="O277" s="216">
        <f t="shared" ref="O277:O283" si="889">BO277</f>
        <v>3.66</v>
      </c>
      <c r="P277" s="88" t="str">
        <f t="shared" si="880"/>
        <v>B1_4</v>
      </c>
      <c r="Q277" s="88">
        <f t="shared" si="733"/>
        <v>270</v>
      </c>
      <c r="R277" s="88">
        <f t="shared" si="734"/>
        <v>120</v>
      </c>
      <c r="S277" s="218"/>
      <c r="T277" s="88" t="s">
        <v>3088</v>
      </c>
      <c r="U277" s="88">
        <f>IF(RIGHT(T277,1)="K",(VLOOKUP(T277,ma_miengiam!$A$3:$B$80,2,0)*100)/2,VLOOKUP(T277,ma_miengiam!$A$3:$B$80,2,0)*100)</f>
        <v>0</v>
      </c>
      <c r="V277" s="88"/>
      <c r="W277" s="220">
        <f>IF(AND(T277="NTS",V277&gt;0),(Q277-(Q277*V277)/12)*VLOOKUP(T277,ma_miengiam!$A$3:$B$80,2,0)+(Q277-(Q277*(12-V277))/12),IF(AND(RIGHT(T277,1)="K",V277&gt;0),(VLOOKUP(T277,ma_miengiam!$A$3:$B$80,2,0)/2)*(Q277*V277)/12,IF(RIGHT(T277,1)="K",(VLOOKUP(T277,ma_miengiam!$A$3:$B$80,2,0)*Q277)/2,IF(V277&gt;0,VLOOKUP(T277,ma_miengiam!$A$3:$B$80,2,0)*Q277*V277/12,VLOOKUP(T277,ma_miengiam!$A$3:$B$80,2,0)*Q277))))</f>
        <v>0</v>
      </c>
      <c r="X277" s="220">
        <f>IF(T277="NTS",VLOOKUP(T277,ma_miengiam!$A$3:$B$80,2,0)*R277*V277,IF(AND(T277="NTS",V277=0),0,IF(AND(LEFT(T277,1)="K",V277=0),VLOOKUP(T277,ma_miengiam!$A$3:$B$80,2,0)*R277,IF(LEFT(T277,1)="K",(VLOOKUP(T277,ma_miengiam!$A$3:$B$80,2,0)*R277/12)*V277,IF(AND(LEFT(T277,1)="S",V277&gt;0),(R277/12)*V277,IF(AND(LEFT(T277,1)="S",V277=0),R277,IF(T277="DH",VLOOKUP(T277,ma_miengiam!$A$3:$B$80,2,0)*R277,0)))))))</f>
        <v>0</v>
      </c>
      <c r="Y277" s="220">
        <f t="shared" si="783"/>
        <v>270</v>
      </c>
      <c r="Z277" s="220">
        <f t="shared" si="878"/>
        <v>120</v>
      </c>
      <c r="AA277" s="220">
        <f t="shared" ref="AA277:AB283" si="890">Q277</f>
        <v>270</v>
      </c>
      <c r="AB277" s="220">
        <f t="shared" si="890"/>
        <v>120</v>
      </c>
      <c r="AC277" s="220">
        <f>W277</f>
        <v>0</v>
      </c>
      <c r="AD277" s="220">
        <f>X277</f>
        <v>0</v>
      </c>
      <c r="AE277" s="220">
        <f>Y277</f>
        <v>270</v>
      </c>
      <c r="AF277" s="220">
        <f>Z277</f>
        <v>120</v>
      </c>
      <c r="AG277" s="220">
        <f t="shared" ref="AG277:AG283" si="891">AH277+AI277</f>
        <v>210.23999999999998</v>
      </c>
      <c r="AH277" s="220">
        <f t="shared" ref="AH277:AH283" si="892">EO277</f>
        <v>78.569999999999993</v>
      </c>
      <c r="AI277" s="220">
        <f t="shared" ref="AI277:AI283" si="893">EN277</f>
        <v>131.66999999999999</v>
      </c>
      <c r="AJ277" s="220">
        <f t="shared" si="879"/>
        <v>0</v>
      </c>
      <c r="AK277" s="216">
        <f t="shared" si="794"/>
        <v>270</v>
      </c>
      <c r="AL277" s="220">
        <f t="shared" si="795"/>
        <v>174.1</v>
      </c>
      <c r="AM277" s="220">
        <f t="shared" si="796"/>
        <v>0</v>
      </c>
      <c r="AN277" s="221">
        <f t="shared" si="797"/>
        <v>174.1</v>
      </c>
      <c r="AO277" s="220">
        <f t="shared" si="798"/>
        <v>20</v>
      </c>
      <c r="AP277" s="220">
        <f t="shared" si="799"/>
        <v>0</v>
      </c>
      <c r="AQ277" s="220">
        <f t="shared" si="800"/>
        <v>60</v>
      </c>
      <c r="AR277" s="220">
        <f t="shared" si="801"/>
        <v>40</v>
      </c>
      <c r="AS277" s="220">
        <f t="shared" si="802"/>
        <v>0</v>
      </c>
      <c r="AT277" s="216">
        <f t="shared" si="803"/>
        <v>294.10000000000002</v>
      </c>
      <c r="AU277" s="222">
        <f t="shared" si="722"/>
        <v>-95.9</v>
      </c>
      <c r="AV277" s="220"/>
      <c r="AW277" s="220">
        <f t="shared" si="804"/>
        <v>-95.9</v>
      </c>
      <c r="AX277" s="216">
        <f t="shared" si="820"/>
        <v>-95.9</v>
      </c>
      <c r="AY277" s="220">
        <f t="shared" si="815"/>
        <v>0</v>
      </c>
      <c r="AZ277" s="220">
        <f t="shared" si="816"/>
        <v>0</v>
      </c>
      <c r="BA277" s="220">
        <f t="shared" si="817"/>
        <v>0</v>
      </c>
      <c r="BB277" s="220">
        <f t="shared" si="818"/>
        <v>24.100000000000023</v>
      </c>
      <c r="BC277" s="220">
        <f t="shared" si="819"/>
        <v>0</v>
      </c>
      <c r="BD277" s="216">
        <f t="shared" si="759"/>
        <v>24.100000000000023</v>
      </c>
      <c r="BE277" s="220">
        <f t="shared" si="805"/>
        <v>-20</v>
      </c>
      <c r="BF277" s="220">
        <f t="shared" si="806"/>
        <v>0</v>
      </c>
      <c r="BG277" s="220">
        <f t="shared" si="807"/>
        <v>-60</v>
      </c>
      <c r="BH277" s="220">
        <f t="shared" si="808"/>
        <v>-15.899999999999977</v>
      </c>
      <c r="BI277" s="220">
        <f t="shared" si="809"/>
        <v>0</v>
      </c>
      <c r="BJ277" s="220" t="s">
        <v>2417</v>
      </c>
      <c r="BK277" s="220"/>
      <c r="BL277" s="223">
        <f t="shared" si="773"/>
        <v>0</v>
      </c>
      <c r="BM277" s="220">
        <v>3.66</v>
      </c>
      <c r="BN277" s="220"/>
      <c r="BO277" s="220">
        <f t="shared" ref="BO277:BO283" si="894">ROUND(BM277+(BM277*BN277),2)</f>
        <v>3.66</v>
      </c>
      <c r="BP277" s="220">
        <f>IF(AND(BL277&gt;0,BL277&lt;tiet!$D$1),BL277,IF(BL277&lt;=0,0,IF(BL277&gt;tiet!$C$1,tiet!$C$1)))</f>
        <v>0</v>
      </c>
      <c r="BQ277" s="87">
        <f t="shared" ref="BQ277:BQ283" si="895">VLOOKUP(P277,ma_dinhmuc_moi,4,0)</f>
        <v>65000</v>
      </c>
      <c r="BR277" s="224">
        <f t="shared" ref="BR277:BR283" si="896">ROUND(BQ277*BP277,0)</f>
        <v>0</v>
      </c>
      <c r="BS277" s="220">
        <f t="shared" si="846"/>
        <v>0</v>
      </c>
      <c r="BT277" s="224">
        <f>VLOOKUP(N277,ma_dinhmuc!$A$1:$J$31,10,0)</f>
        <v>51000</v>
      </c>
      <c r="BU277" s="224">
        <f>ROUND(IF(BS277&gt;0,VLOOKUP(N277,ma_dinhmuc!$A$1:$J$31,10,0)*BS277,0),0)</f>
        <v>0</v>
      </c>
      <c r="BV277" s="224">
        <f t="shared" ref="BV277:BV283" si="897">ROUND(BU277+BR277,0)</f>
        <v>0</v>
      </c>
      <c r="BW277" s="224"/>
      <c r="BX277" s="224">
        <v>0</v>
      </c>
      <c r="BY277" s="224"/>
      <c r="BZ277" s="224"/>
      <c r="CA277" s="224"/>
      <c r="CB277" s="224"/>
      <c r="CC277" s="225">
        <f>ROUND(IF(BV277+BW277&gt;BX277+BY277+BZ277+CA277+CB277,(BW277+BV277)-(BX277+BY277+BZ277+CA277+CB277+CB277),0),0)</f>
        <v>0</v>
      </c>
      <c r="CD277" s="224">
        <f>ROUND(IF(BV277+BW277&lt;BX277+BY277+BZ277+CA277-CB277,(BX277+BY277+BZ277+CA277-CB277)-(BW277+BV277),0),0)</f>
        <v>0</v>
      </c>
      <c r="CE277" s="224"/>
      <c r="CF277" s="226"/>
      <c r="CG277" s="87"/>
      <c r="CH277" s="87">
        <f t="shared" ref="CH277:CH283" si="898">A277</f>
        <v>30</v>
      </c>
      <c r="CI277" s="227" t="str">
        <f t="shared" ref="CI277:CI296" si="899">F277</f>
        <v>Nguyễn Thị Thu</v>
      </c>
      <c r="CJ277" s="227" t="str">
        <f t="shared" ref="CJ277:CJ296" si="900">G277</f>
        <v>Phương</v>
      </c>
      <c r="CK277" s="87">
        <f t="shared" ref="CK277:CK288" si="901">H277</f>
        <v>5</v>
      </c>
      <c r="CL277" s="227" t="str">
        <f t="shared" ref="CL277:CL283" si="902">L277</f>
        <v>Phát triển nông thôn</v>
      </c>
      <c r="CM277" s="87" t="str">
        <f t="shared" si="810"/>
        <v>CS2</v>
      </c>
      <c r="CN277" s="87">
        <f t="shared" si="825"/>
        <v>270</v>
      </c>
      <c r="CO277" s="87">
        <f t="shared" si="826"/>
        <v>120</v>
      </c>
      <c r="CP277" s="229">
        <f t="shared" si="852"/>
        <v>0</v>
      </c>
      <c r="CQ277" s="229">
        <f t="shared" si="853"/>
        <v>17.2</v>
      </c>
      <c r="CR277" s="229">
        <f t="shared" si="854"/>
        <v>6.9</v>
      </c>
      <c r="CS277" s="229">
        <f t="shared" si="855"/>
        <v>0</v>
      </c>
      <c r="CT277" s="229">
        <f t="shared" si="856"/>
        <v>0</v>
      </c>
      <c r="CU277" s="229">
        <f t="shared" si="857"/>
        <v>150</v>
      </c>
      <c r="CV277" s="229">
        <f t="shared" si="858"/>
        <v>0</v>
      </c>
      <c r="CW277" s="229">
        <f t="shared" si="859"/>
        <v>0</v>
      </c>
      <c r="CX277" s="229">
        <f t="shared" si="860"/>
        <v>0</v>
      </c>
      <c r="CY277" s="229">
        <f t="shared" si="861"/>
        <v>20</v>
      </c>
      <c r="CZ277" s="229">
        <f t="shared" si="862"/>
        <v>0</v>
      </c>
      <c r="DA277" s="229">
        <f t="shared" si="863"/>
        <v>60</v>
      </c>
      <c r="DB277" s="228">
        <f t="shared" si="792"/>
        <v>254.1</v>
      </c>
      <c r="DC277" s="229"/>
      <c r="DD277" s="229"/>
      <c r="DE277" s="229"/>
      <c r="DF277" s="229"/>
      <c r="DG277" s="229"/>
      <c r="DH277" s="229"/>
      <c r="DI277" s="229"/>
      <c r="DJ277" s="229"/>
      <c r="DK277" s="229"/>
      <c r="DL277" s="229"/>
      <c r="DM277" s="229"/>
      <c r="DN277" s="229"/>
      <c r="DO277" s="228">
        <f t="shared" si="812"/>
        <v>0</v>
      </c>
      <c r="DP277" s="228">
        <f t="shared" si="813"/>
        <v>254.1</v>
      </c>
      <c r="DQ277" s="229">
        <f t="shared" si="864"/>
        <v>0</v>
      </c>
      <c r="DR277" s="229">
        <f t="shared" si="865"/>
        <v>0</v>
      </c>
      <c r="DS277" s="229">
        <f t="shared" si="866"/>
        <v>0</v>
      </c>
      <c r="DT277" s="229">
        <f t="shared" si="867"/>
        <v>0</v>
      </c>
      <c r="DU277" s="229">
        <f t="shared" si="868"/>
        <v>0</v>
      </c>
      <c r="DV277" s="229">
        <f t="shared" si="869"/>
        <v>40</v>
      </c>
      <c r="DW277" s="229">
        <f t="shared" si="870"/>
        <v>0</v>
      </c>
      <c r="DX277" s="228">
        <f t="shared" si="793"/>
        <v>40</v>
      </c>
      <c r="DY277" s="229"/>
      <c r="DZ277" s="229"/>
      <c r="EA277" s="229"/>
      <c r="EB277" s="229"/>
      <c r="EC277" s="229"/>
      <c r="ED277" s="229"/>
      <c r="EE277" s="229"/>
      <c r="EF277" s="228">
        <f t="shared" si="847"/>
        <v>0</v>
      </c>
      <c r="EG277" s="228">
        <f t="shared" si="814"/>
        <v>40</v>
      </c>
      <c r="EH277" s="229">
        <f t="shared" si="848"/>
        <v>131.66999999999999</v>
      </c>
      <c r="EI277" s="229">
        <v>78.569999999999993</v>
      </c>
      <c r="EJ277" s="228">
        <f t="shared" ref="EJ277:EJ283" si="903">SUM(EH277:EI277)</f>
        <v>210.23999999999998</v>
      </c>
      <c r="EK277" s="229"/>
      <c r="EL277" s="229"/>
      <c r="EM277" s="228">
        <f t="shared" ref="EM277:EM283" si="904">SUM(EK277:EL277)</f>
        <v>0</v>
      </c>
      <c r="EN277" s="229">
        <f t="shared" si="708"/>
        <v>131.66999999999999</v>
      </c>
      <c r="EO277" s="229">
        <f t="shared" si="723"/>
        <v>78.569999999999993</v>
      </c>
      <c r="EP277" s="228">
        <f t="shared" si="888"/>
        <v>210.23999999999998</v>
      </c>
      <c r="EQ277" s="173">
        <f t="shared" si="849"/>
        <v>11.669999999999987</v>
      </c>
      <c r="ER277" s="189">
        <v>0</v>
      </c>
      <c r="ES277" s="189">
        <v>17.2</v>
      </c>
      <c r="ET277" s="189">
        <v>6.9</v>
      </c>
      <c r="EU277" s="189">
        <v>0</v>
      </c>
      <c r="EV277" s="189">
        <v>0</v>
      </c>
      <c r="EW277" s="189">
        <v>150</v>
      </c>
      <c r="EX277" s="189">
        <v>0</v>
      </c>
      <c r="EY277" s="189">
        <v>0</v>
      </c>
      <c r="EZ277" s="189">
        <v>0</v>
      </c>
      <c r="FA277" s="189">
        <v>20</v>
      </c>
      <c r="FB277" s="189">
        <v>0</v>
      </c>
      <c r="FC277" s="189">
        <v>60</v>
      </c>
      <c r="FD277" s="189">
        <v>0</v>
      </c>
      <c r="FE277" s="189">
        <v>0</v>
      </c>
      <c r="FF277" s="189">
        <v>0</v>
      </c>
      <c r="FG277" s="189">
        <v>0</v>
      </c>
      <c r="FH277" s="189">
        <v>40</v>
      </c>
      <c r="FI277" s="189">
        <v>0</v>
      </c>
      <c r="FJ277" s="189">
        <v>0</v>
      </c>
      <c r="FK277" s="189">
        <v>294.10000000000002</v>
      </c>
      <c r="FL277" s="189">
        <v>246</v>
      </c>
      <c r="FN277" s="132">
        <v>131.66999999999999</v>
      </c>
    </row>
    <row r="278" spans="1:170" ht="30.75" customHeight="1">
      <c r="A278" s="88">
        <f>COUNTIF($H$12:H282,H278)</f>
        <v>35</v>
      </c>
      <c r="B278" s="88" t="s">
        <v>935</v>
      </c>
      <c r="C278" s="88" t="s">
        <v>1284</v>
      </c>
      <c r="D278" s="88"/>
      <c r="E278" s="88"/>
      <c r="F278" s="301" t="s">
        <v>1130</v>
      </c>
      <c r="G278" s="89" t="s">
        <v>1573</v>
      </c>
      <c r="H278" s="88">
        <v>5</v>
      </c>
      <c r="I278" s="88">
        <v>5</v>
      </c>
      <c r="J278" s="88">
        <v>5</v>
      </c>
      <c r="K278" s="90" t="s">
        <v>1087</v>
      </c>
      <c r="L278" s="90" t="s">
        <v>1087</v>
      </c>
      <c r="M278" s="214"/>
      <c r="N278" s="88" t="s">
        <v>1804</v>
      </c>
      <c r="O278" s="216">
        <f>BO278</f>
        <v>3.99</v>
      </c>
      <c r="P278" s="88" t="str">
        <f t="shared" si="880"/>
        <v>B1_4</v>
      </c>
      <c r="Q278" s="88">
        <f t="shared" si="733"/>
        <v>270</v>
      </c>
      <c r="R278" s="88">
        <f t="shared" si="734"/>
        <v>120</v>
      </c>
      <c r="S278" s="218" t="s">
        <v>348</v>
      </c>
      <c r="T278" s="88" t="s">
        <v>3090</v>
      </c>
      <c r="U278" s="88">
        <f>IF(RIGHT(T278,1)="K",(VLOOKUP(T278,ma_miengiam!$A$3:$B$80,2,0)*100)/2,VLOOKUP(T278,ma_miengiam!$A$3:$B$80,2,0)*100)</f>
        <v>15</v>
      </c>
      <c r="V278" s="88"/>
      <c r="W278" s="220">
        <f>IF(AND(T278="NTS",V278&gt;0),(Q278-(Q278*V278)/12)*VLOOKUP(T278,ma_miengiam!$A$3:$B$80,2,0)+(Q278-(Q278*(12-V278))/12),IF(AND(RIGHT(T278,1)="K",V278&gt;0),(VLOOKUP(T278,ma_miengiam!$A$3:$B$80,2,0)/2)*(Q278*V278)/12,IF(RIGHT(T278,1)="K",(VLOOKUP(T278,ma_miengiam!$A$3:$B$80,2,0)*Q278)/2,IF(V278&gt;0,VLOOKUP(T278,ma_miengiam!$A$3:$B$80,2,0)*Q278*V278/12,VLOOKUP(T278,ma_miengiam!$A$3:$B$80,2,0)*Q278))))</f>
        <v>40.5</v>
      </c>
      <c r="X278" s="220">
        <f>IF(T278="NTS",VLOOKUP(T278,ma_miengiam!$A$3:$B$80,2,0)*R278*V278,IF(AND(T278="NTS",V278=0),0,IF(AND(LEFT(T278,1)="K",V278=0),VLOOKUP(T278,ma_miengiam!$A$3:$B$80,2,0)*R278,IF(LEFT(T278,1)="K",(VLOOKUP(T278,ma_miengiam!$A$3:$B$80,2,0)*R278/12)*V278,IF(AND(LEFT(T278,1)="S",V278&gt;0),(R278/12)*V278,IF(AND(LEFT(T278,1)="S",V278=0),R278,IF(T278="DH",VLOOKUP(T278,ma_miengiam!$A$3:$B$80,2,0)*R278,0)))))))</f>
        <v>0</v>
      </c>
      <c r="Y278" s="220">
        <f t="shared" si="783"/>
        <v>229.5</v>
      </c>
      <c r="Z278" s="220">
        <f>IF(AND(T278="SĐH",V278&gt;0),(R278/12)*V278-X278,IF(AND(T278="DH",V278&gt;0),(R278*V278/12),IF(AND(T278&lt;&gt;"NTS",V278&gt;0),(R278*V278/12)-X278,IF(AND(T278="NTS",V278&gt;0),R278-X278,R278-X278))))</f>
        <v>120</v>
      </c>
      <c r="AA278" s="220">
        <f>Q278</f>
        <v>270</v>
      </c>
      <c r="AB278" s="220">
        <f>R278</f>
        <v>120</v>
      </c>
      <c r="AC278" s="220">
        <f t="shared" ref="AC278:AF279" si="905">W278</f>
        <v>40.5</v>
      </c>
      <c r="AD278" s="220">
        <f t="shared" si="905"/>
        <v>0</v>
      </c>
      <c r="AE278" s="220">
        <f t="shared" si="905"/>
        <v>229.5</v>
      </c>
      <c r="AF278" s="220">
        <f t="shared" si="905"/>
        <v>120</v>
      </c>
      <c r="AG278" s="220">
        <f>AH278+AI278</f>
        <v>139.44</v>
      </c>
      <c r="AH278" s="220">
        <f>EO278</f>
        <v>64.69</v>
      </c>
      <c r="AI278" s="220">
        <f>EN278</f>
        <v>74.75</v>
      </c>
      <c r="AJ278" s="220">
        <f t="shared" ref="AJ278:AJ283" si="906">IF(AG278-Z278&gt;0,0,AG278-Z278)</f>
        <v>0</v>
      </c>
      <c r="AK278" s="216">
        <f t="shared" si="794"/>
        <v>229.5</v>
      </c>
      <c r="AL278" s="220">
        <f t="shared" si="795"/>
        <v>114.4</v>
      </c>
      <c r="AM278" s="220">
        <f t="shared" si="796"/>
        <v>173.1</v>
      </c>
      <c r="AN278" s="221">
        <f t="shared" si="797"/>
        <v>287.5</v>
      </c>
      <c r="AO278" s="220">
        <f t="shared" si="798"/>
        <v>0</v>
      </c>
      <c r="AP278" s="220">
        <f t="shared" si="799"/>
        <v>0</v>
      </c>
      <c r="AQ278" s="220">
        <f t="shared" si="800"/>
        <v>80</v>
      </c>
      <c r="AR278" s="220">
        <f t="shared" si="801"/>
        <v>0</v>
      </c>
      <c r="AS278" s="220">
        <f t="shared" si="802"/>
        <v>0</v>
      </c>
      <c r="AT278" s="216">
        <f t="shared" si="803"/>
        <v>367.5</v>
      </c>
      <c r="AU278" s="222">
        <f>AN278-AK278</f>
        <v>58</v>
      </c>
      <c r="AV278" s="220"/>
      <c r="AW278" s="220">
        <f t="shared" si="804"/>
        <v>58</v>
      </c>
      <c r="AX278" s="216">
        <f t="shared" si="820"/>
        <v>0</v>
      </c>
      <c r="AY278" s="220">
        <f t="shared" si="815"/>
        <v>0</v>
      </c>
      <c r="AZ278" s="220">
        <f t="shared" si="816"/>
        <v>0</v>
      </c>
      <c r="BA278" s="220">
        <f t="shared" si="817"/>
        <v>80</v>
      </c>
      <c r="BB278" s="220">
        <f t="shared" si="818"/>
        <v>0</v>
      </c>
      <c r="BC278" s="220">
        <f t="shared" si="819"/>
        <v>0</v>
      </c>
      <c r="BD278" s="216">
        <f t="shared" si="759"/>
        <v>80</v>
      </c>
      <c r="BE278" s="220">
        <f t="shared" si="805"/>
        <v>0</v>
      </c>
      <c r="BF278" s="220">
        <f t="shared" si="806"/>
        <v>0</v>
      </c>
      <c r="BG278" s="220">
        <f t="shared" si="807"/>
        <v>0</v>
      </c>
      <c r="BH278" s="220">
        <f t="shared" si="808"/>
        <v>0</v>
      </c>
      <c r="BI278" s="220">
        <f t="shared" si="809"/>
        <v>0</v>
      </c>
      <c r="BJ278" s="220" t="s">
        <v>2417</v>
      </c>
      <c r="BK278" s="220"/>
      <c r="BL278" s="223">
        <f t="shared" si="773"/>
        <v>58</v>
      </c>
      <c r="BM278" s="220">
        <v>3.99</v>
      </c>
      <c r="BN278" s="220"/>
      <c r="BO278" s="220">
        <f>ROUND(BM278+(BM278*BN278),2)</f>
        <v>3.99</v>
      </c>
      <c r="BP278" s="220">
        <f>IF(AND(BL278&gt;0,BL278&lt;tiet!$D$1),BL278,IF(BL278&lt;=0,0,IF(BL278&gt;tiet!$C$1,tiet!$C$1)))</f>
        <v>58</v>
      </c>
      <c r="BQ278" s="87">
        <f>VLOOKUP(P278,ma_dinhmuc_moi,4,0)</f>
        <v>65000</v>
      </c>
      <c r="BR278" s="224">
        <f>ROUND(BQ278*BP278,0)</f>
        <v>3770000</v>
      </c>
      <c r="BS278" s="220">
        <f t="shared" si="846"/>
        <v>0</v>
      </c>
      <c r="BT278" s="224">
        <f>VLOOKUP(N278,ma_dinhmuc!$A$1:$J$31,10,0)</f>
        <v>51000</v>
      </c>
      <c r="BU278" s="224">
        <f>ROUND(IF(BS278&gt;0,VLOOKUP(N278,ma_dinhmuc!$A$1:$J$31,10,0)*BS278,0),0)</f>
        <v>0</v>
      </c>
      <c r="BV278" s="224">
        <f>ROUND(BU278+BR278,0)</f>
        <v>3770000</v>
      </c>
      <c r="BW278" s="224"/>
      <c r="BX278" s="224">
        <v>0</v>
      </c>
      <c r="BY278" s="224"/>
      <c r="BZ278" s="224"/>
      <c r="CA278" s="224"/>
      <c r="CB278" s="224"/>
      <c r="CC278" s="225">
        <f>ROUND(IF(BV278+BW278&gt;BX278+BY278+BZ278+CA278+CB278,(BW278+BV278)-(BX278+BY278+BZ278+CA278+CB278+CB278),0),0)</f>
        <v>3770000</v>
      </c>
      <c r="CD278" s="224">
        <f>ROUND(IF(BV278+BW278&lt;BX278+BY278+BZ278+CA278-CB278,(BX278+BY278+BZ278+CA278-CB278)-(BW278+BV278),0),0)</f>
        <v>0</v>
      </c>
      <c r="CE278" s="224"/>
      <c r="CF278" s="226"/>
      <c r="CG278" s="87"/>
      <c r="CH278" s="87">
        <f>A278</f>
        <v>35</v>
      </c>
      <c r="CI278" s="227" t="str">
        <f t="shared" si="899"/>
        <v>Nguyễn Minh</v>
      </c>
      <c r="CJ278" s="227" t="str">
        <f t="shared" si="900"/>
        <v>Đức</v>
      </c>
      <c r="CK278" s="87">
        <f t="shared" si="901"/>
        <v>5</v>
      </c>
      <c r="CL278" s="227" t="str">
        <f>L278</f>
        <v>Phát triển nông thôn</v>
      </c>
      <c r="CM278" s="87" t="str">
        <f t="shared" si="810"/>
        <v>CS2</v>
      </c>
      <c r="CN278" s="87">
        <f t="shared" si="825"/>
        <v>270</v>
      </c>
      <c r="CO278" s="87">
        <f t="shared" si="826"/>
        <v>120</v>
      </c>
      <c r="CP278" s="229">
        <f t="shared" si="852"/>
        <v>0</v>
      </c>
      <c r="CQ278" s="229">
        <f t="shared" si="853"/>
        <v>17.399999999999999</v>
      </c>
      <c r="CR278" s="229">
        <f t="shared" si="854"/>
        <v>7</v>
      </c>
      <c r="CS278" s="229">
        <f t="shared" si="855"/>
        <v>0</v>
      </c>
      <c r="CT278" s="229">
        <f t="shared" si="856"/>
        <v>0</v>
      </c>
      <c r="CU278" s="229">
        <f t="shared" si="857"/>
        <v>90</v>
      </c>
      <c r="CV278" s="229">
        <f t="shared" si="858"/>
        <v>0</v>
      </c>
      <c r="CW278" s="229">
        <f t="shared" si="859"/>
        <v>0</v>
      </c>
      <c r="CX278" s="229">
        <f t="shared" si="860"/>
        <v>0</v>
      </c>
      <c r="CY278" s="229">
        <f t="shared" si="861"/>
        <v>0</v>
      </c>
      <c r="CZ278" s="229">
        <f t="shared" si="862"/>
        <v>0</v>
      </c>
      <c r="DA278" s="229">
        <f t="shared" si="863"/>
        <v>80</v>
      </c>
      <c r="DB278" s="228">
        <f t="shared" si="792"/>
        <v>194.4</v>
      </c>
      <c r="DC278" s="229"/>
      <c r="DD278" s="229"/>
      <c r="DE278" s="229"/>
      <c r="DF278" s="229"/>
      <c r="DG278" s="229"/>
      <c r="DH278" s="229"/>
      <c r="DI278" s="229"/>
      <c r="DJ278" s="229"/>
      <c r="DK278" s="229"/>
      <c r="DL278" s="229"/>
      <c r="DM278" s="229"/>
      <c r="DN278" s="229"/>
      <c r="DO278" s="228">
        <f t="shared" si="812"/>
        <v>0</v>
      </c>
      <c r="DP278" s="228">
        <f t="shared" si="813"/>
        <v>194.4</v>
      </c>
      <c r="DQ278" s="229">
        <f t="shared" si="864"/>
        <v>162</v>
      </c>
      <c r="DR278" s="229">
        <f t="shared" si="865"/>
        <v>7.9</v>
      </c>
      <c r="DS278" s="229">
        <f t="shared" si="866"/>
        <v>0</v>
      </c>
      <c r="DT278" s="229">
        <f t="shared" si="867"/>
        <v>3.2</v>
      </c>
      <c r="DU278" s="229">
        <f t="shared" si="868"/>
        <v>0</v>
      </c>
      <c r="DV278" s="229">
        <f t="shared" si="869"/>
        <v>0</v>
      </c>
      <c r="DW278" s="229">
        <f t="shared" si="870"/>
        <v>0</v>
      </c>
      <c r="DX278" s="228">
        <f t="shared" si="793"/>
        <v>173.1</v>
      </c>
      <c r="DY278" s="229"/>
      <c r="DZ278" s="229"/>
      <c r="EA278" s="229"/>
      <c r="EB278" s="229"/>
      <c r="EC278" s="229"/>
      <c r="ED278" s="229"/>
      <c r="EE278" s="229"/>
      <c r="EF278" s="228">
        <f t="shared" si="847"/>
        <v>0</v>
      </c>
      <c r="EG278" s="228">
        <f t="shared" si="814"/>
        <v>173.1</v>
      </c>
      <c r="EH278" s="229">
        <f t="shared" si="848"/>
        <v>74.75</v>
      </c>
      <c r="EI278" s="229">
        <v>64.69</v>
      </c>
      <c r="EJ278" s="228">
        <f>SUM(EH278:EI278)</f>
        <v>139.44</v>
      </c>
      <c r="EK278" s="229"/>
      <c r="EL278" s="229"/>
      <c r="EM278" s="228">
        <f>SUM(EK278:EL278)</f>
        <v>0</v>
      </c>
      <c r="EN278" s="229">
        <f t="shared" ref="EN278:EN335" si="907">EK278+EH278+EL278</f>
        <v>74.75</v>
      </c>
      <c r="EO278" s="229">
        <f>EI278</f>
        <v>64.69</v>
      </c>
      <c r="EP278" s="228">
        <f>EM278+EJ278</f>
        <v>139.44</v>
      </c>
      <c r="EQ278" s="173">
        <f t="shared" si="849"/>
        <v>0</v>
      </c>
      <c r="ER278" s="189">
        <v>0</v>
      </c>
      <c r="ES278" s="189">
        <v>17.399999999999999</v>
      </c>
      <c r="ET278" s="189">
        <v>7</v>
      </c>
      <c r="EU278" s="189">
        <v>0</v>
      </c>
      <c r="EV278" s="189">
        <v>0</v>
      </c>
      <c r="EW278" s="189">
        <v>90</v>
      </c>
      <c r="EX278" s="189">
        <v>0</v>
      </c>
      <c r="EY278" s="189">
        <v>0</v>
      </c>
      <c r="EZ278" s="189">
        <v>0</v>
      </c>
      <c r="FA278" s="189">
        <v>0</v>
      </c>
      <c r="FB278" s="189">
        <v>0</v>
      </c>
      <c r="FC278" s="189">
        <v>80</v>
      </c>
      <c r="FD278" s="189">
        <v>162</v>
      </c>
      <c r="FE278" s="189">
        <v>7.9</v>
      </c>
      <c r="FF278" s="189">
        <v>0</v>
      </c>
      <c r="FG278" s="189">
        <v>3.2</v>
      </c>
      <c r="FH278" s="189">
        <v>0</v>
      </c>
      <c r="FI278" s="189">
        <v>0</v>
      </c>
      <c r="FJ278" s="189">
        <v>0</v>
      </c>
      <c r="FK278" s="189">
        <v>367.5</v>
      </c>
      <c r="FL278" s="189">
        <v>272</v>
      </c>
      <c r="FN278" s="132">
        <v>74.75</v>
      </c>
    </row>
    <row r="279" spans="1:170" ht="29.25" customHeight="1">
      <c r="A279" s="88">
        <f>COUNTIF($H$12:H277,H279)</f>
        <v>30</v>
      </c>
      <c r="B279" s="88" t="s">
        <v>936</v>
      </c>
      <c r="C279" s="88" t="s">
        <v>1285</v>
      </c>
      <c r="D279" s="88"/>
      <c r="E279" s="88"/>
      <c r="F279" s="301" t="s">
        <v>2817</v>
      </c>
      <c r="G279" s="89" t="s">
        <v>2207</v>
      </c>
      <c r="H279" s="88">
        <v>5</v>
      </c>
      <c r="I279" s="88">
        <v>5</v>
      </c>
      <c r="J279" s="88">
        <v>5</v>
      </c>
      <c r="K279" s="90" t="s">
        <v>1087</v>
      </c>
      <c r="L279" s="90" t="s">
        <v>1087</v>
      </c>
      <c r="M279" s="214"/>
      <c r="N279" s="88" t="s">
        <v>1804</v>
      </c>
      <c r="O279" s="216">
        <f t="shared" si="889"/>
        <v>3.33</v>
      </c>
      <c r="P279" s="88" t="str">
        <f t="shared" si="880"/>
        <v>B1_4</v>
      </c>
      <c r="Q279" s="88">
        <f t="shared" si="733"/>
        <v>270</v>
      </c>
      <c r="R279" s="88">
        <f t="shared" si="734"/>
        <v>120</v>
      </c>
      <c r="S279" s="230"/>
      <c r="T279" s="88" t="s">
        <v>3088</v>
      </c>
      <c r="U279" s="88">
        <f>IF(RIGHT(T279,1)="K",(VLOOKUP(T279,ma_miengiam!$A$3:$B$80,2,0)*100)/2,VLOOKUP(T279,ma_miengiam!$A$3:$B$80,2,0)*100)</f>
        <v>0</v>
      </c>
      <c r="V279" s="88"/>
      <c r="W279" s="220">
        <f>IF(AND(T279="NTS",V279&gt;0),(Q279-(Q279*V279)/12)*VLOOKUP(T279,ma_miengiam!$A$3:$B$80,2,0)+(Q279-(Q279*(12-V279))/12),IF(AND(RIGHT(T279,1)="K",V279&gt;0),(VLOOKUP(T279,ma_miengiam!$A$3:$B$80,2,0)/2)*(Q279*V279)/12,IF(RIGHT(T279,1)="K",(VLOOKUP(T279,ma_miengiam!$A$3:$B$80,2,0)*Q279)/2,IF(V279&gt;0,VLOOKUP(T279,ma_miengiam!$A$3:$B$80,2,0)*Q279*V279/12,VLOOKUP(T279,ma_miengiam!$A$3:$B$80,2,0)*Q279))))</f>
        <v>0</v>
      </c>
      <c r="X279" s="220">
        <f>IF(T279="NTS",VLOOKUP(T279,ma_miengiam!$A$3:$B$80,2,0)*R279*V279,IF(AND(T279="NTS",V279=0),0,IF(AND(LEFT(T279,1)="K",V279=0),VLOOKUP(T279,ma_miengiam!$A$3:$B$80,2,0)*R279,IF(LEFT(T279,1)="K",(VLOOKUP(T279,ma_miengiam!$A$3:$B$80,2,0)*R279/12)*V279,IF(AND(LEFT(T279,1)="S",V279&gt;0),(R279/12)*V279,IF(AND(LEFT(T279,1)="S",V279=0),R279,IF(T279="DH",VLOOKUP(T279,ma_miengiam!$A$3:$B$80,2,0)*R279,0)))))))</f>
        <v>0</v>
      </c>
      <c r="Y279" s="220">
        <f t="shared" si="783"/>
        <v>270</v>
      </c>
      <c r="Z279" s="220">
        <f t="shared" ref="Z279:Z323" si="908">IF(AND(T279="SĐH",V279&gt;0),(R279/12)*V279-X279,IF(AND(T279="DH",V279&gt;0),(R279*V279/12),IF(AND(T279&lt;&gt;"NTS",V279&gt;0),(R279*V279/12)-X279,IF(AND(T279="NTS",V279&gt;0),R279-X279,R279-X279))))</f>
        <v>120</v>
      </c>
      <c r="AA279" s="220">
        <f t="shared" si="890"/>
        <v>270</v>
      </c>
      <c r="AB279" s="220">
        <f t="shared" si="890"/>
        <v>120</v>
      </c>
      <c r="AC279" s="220">
        <f t="shared" si="905"/>
        <v>0</v>
      </c>
      <c r="AD279" s="220">
        <f t="shared" si="905"/>
        <v>0</v>
      </c>
      <c r="AE279" s="220">
        <f t="shared" si="905"/>
        <v>270</v>
      </c>
      <c r="AF279" s="220">
        <f t="shared" si="905"/>
        <v>120</v>
      </c>
      <c r="AG279" s="220">
        <f t="shared" si="891"/>
        <v>218.81</v>
      </c>
      <c r="AH279" s="220">
        <f t="shared" si="892"/>
        <v>65.48</v>
      </c>
      <c r="AI279" s="220">
        <f t="shared" si="893"/>
        <v>153.33000000000001</v>
      </c>
      <c r="AJ279" s="220">
        <f t="shared" si="906"/>
        <v>0</v>
      </c>
      <c r="AK279" s="216">
        <f t="shared" si="794"/>
        <v>270</v>
      </c>
      <c r="AL279" s="220">
        <f t="shared" si="795"/>
        <v>156.80000000000001</v>
      </c>
      <c r="AM279" s="220">
        <f t="shared" si="796"/>
        <v>0</v>
      </c>
      <c r="AN279" s="221">
        <f t="shared" si="797"/>
        <v>156.80000000000001</v>
      </c>
      <c r="AO279" s="220">
        <f t="shared" si="798"/>
        <v>0</v>
      </c>
      <c r="AP279" s="220">
        <f t="shared" si="799"/>
        <v>0</v>
      </c>
      <c r="AQ279" s="220">
        <f t="shared" si="800"/>
        <v>60</v>
      </c>
      <c r="AR279" s="220">
        <f t="shared" si="801"/>
        <v>0</v>
      </c>
      <c r="AS279" s="220">
        <f t="shared" si="802"/>
        <v>0</v>
      </c>
      <c r="AT279" s="216">
        <f t="shared" si="803"/>
        <v>216.8</v>
      </c>
      <c r="AU279" s="222">
        <f t="shared" si="722"/>
        <v>-113.19999999999999</v>
      </c>
      <c r="AV279" s="220"/>
      <c r="AW279" s="220">
        <f t="shared" si="804"/>
        <v>-113.19999999999999</v>
      </c>
      <c r="AX279" s="216">
        <f t="shared" si="820"/>
        <v>-113.19999999999999</v>
      </c>
      <c r="AY279" s="220">
        <f t="shared" si="815"/>
        <v>0</v>
      </c>
      <c r="AZ279" s="220">
        <f t="shared" si="816"/>
        <v>0</v>
      </c>
      <c r="BA279" s="220">
        <f t="shared" si="817"/>
        <v>0</v>
      </c>
      <c r="BB279" s="220">
        <f t="shared" si="818"/>
        <v>0</v>
      </c>
      <c r="BC279" s="220">
        <f t="shared" si="819"/>
        <v>0</v>
      </c>
      <c r="BD279" s="216">
        <f t="shared" si="759"/>
        <v>0</v>
      </c>
      <c r="BE279" s="220">
        <f t="shared" si="805"/>
        <v>0</v>
      </c>
      <c r="BF279" s="220">
        <f t="shared" si="806"/>
        <v>0</v>
      </c>
      <c r="BG279" s="220">
        <f t="shared" si="807"/>
        <v>-60</v>
      </c>
      <c r="BH279" s="220">
        <f t="shared" si="808"/>
        <v>0</v>
      </c>
      <c r="BI279" s="220">
        <f t="shared" si="809"/>
        <v>0</v>
      </c>
      <c r="BJ279" s="220" t="s">
        <v>2417</v>
      </c>
      <c r="BK279" s="220"/>
      <c r="BL279" s="223">
        <f t="shared" si="773"/>
        <v>0</v>
      </c>
      <c r="BM279" s="220">
        <v>3.33</v>
      </c>
      <c r="BN279" s="220"/>
      <c r="BO279" s="220">
        <f t="shared" si="894"/>
        <v>3.33</v>
      </c>
      <c r="BP279" s="220">
        <f>IF(AND(BL279&gt;0,BL279&lt;tiet!$D$1),BL279,IF(BL279&lt;=0,0,IF(BL279&gt;tiet!$C$1,tiet!$C$1)))</f>
        <v>0</v>
      </c>
      <c r="BQ279" s="87">
        <f t="shared" si="895"/>
        <v>65000</v>
      </c>
      <c r="BR279" s="224">
        <f t="shared" si="896"/>
        <v>0</v>
      </c>
      <c r="BS279" s="220">
        <f t="shared" si="846"/>
        <v>0</v>
      </c>
      <c r="BT279" s="224">
        <f>VLOOKUP(N279,ma_dinhmuc!$A$1:$J$31,10,0)</f>
        <v>51000</v>
      </c>
      <c r="BU279" s="224">
        <f>ROUND(IF(BS279&gt;0,VLOOKUP(N279,ma_dinhmuc!$A$1:$J$31,10,0)*BS279,0),0)</f>
        <v>0</v>
      </c>
      <c r="BV279" s="224">
        <f t="shared" si="897"/>
        <v>0</v>
      </c>
      <c r="BW279" s="224"/>
      <c r="BX279" s="224">
        <v>0</v>
      </c>
      <c r="BY279" s="224"/>
      <c r="BZ279" s="224"/>
      <c r="CA279" s="224"/>
      <c r="CB279" s="224"/>
      <c r="CC279" s="225">
        <f t="shared" si="886"/>
        <v>0</v>
      </c>
      <c r="CD279" s="224">
        <f t="shared" si="887"/>
        <v>0</v>
      </c>
      <c r="CE279" s="224"/>
      <c r="CF279" s="226"/>
      <c r="CG279" s="87"/>
      <c r="CH279" s="87">
        <f t="shared" si="898"/>
        <v>30</v>
      </c>
      <c r="CI279" s="227" t="str">
        <f t="shared" si="899"/>
        <v>Đỗ Thị</v>
      </c>
      <c r="CJ279" s="227" t="str">
        <f t="shared" si="900"/>
        <v>Nhài</v>
      </c>
      <c r="CK279" s="87">
        <f t="shared" si="901"/>
        <v>5</v>
      </c>
      <c r="CL279" s="227" t="str">
        <f t="shared" si="902"/>
        <v>Phát triển nông thôn</v>
      </c>
      <c r="CM279" s="87" t="str">
        <f t="shared" si="810"/>
        <v>CS2</v>
      </c>
      <c r="CN279" s="87">
        <f t="shared" si="825"/>
        <v>270</v>
      </c>
      <c r="CO279" s="87">
        <f t="shared" si="826"/>
        <v>120</v>
      </c>
      <c r="CP279" s="229">
        <f t="shared" si="852"/>
        <v>0</v>
      </c>
      <c r="CQ279" s="229">
        <f t="shared" si="853"/>
        <v>15.5</v>
      </c>
      <c r="CR279" s="229">
        <f t="shared" si="854"/>
        <v>6.3</v>
      </c>
      <c r="CS279" s="229">
        <f t="shared" si="855"/>
        <v>0</v>
      </c>
      <c r="CT279" s="229">
        <f t="shared" si="856"/>
        <v>0</v>
      </c>
      <c r="CU279" s="229">
        <f t="shared" si="857"/>
        <v>135</v>
      </c>
      <c r="CV279" s="229">
        <f t="shared" si="858"/>
        <v>0</v>
      </c>
      <c r="CW279" s="229">
        <f t="shared" si="859"/>
        <v>0</v>
      </c>
      <c r="CX279" s="229">
        <f t="shared" si="860"/>
        <v>0</v>
      </c>
      <c r="CY279" s="229">
        <f t="shared" si="861"/>
        <v>0</v>
      </c>
      <c r="CZ279" s="229">
        <f t="shared" si="862"/>
        <v>0</v>
      </c>
      <c r="DA279" s="229">
        <f t="shared" si="863"/>
        <v>60</v>
      </c>
      <c r="DB279" s="228">
        <f t="shared" si="792"/>
        <v>216.8</v>
      </c>
      <c r="DC279" s="229"/>
      <c r="DD279" s="229"/>
      <c r="DE279" s="229"/>
      <c r="DF279" s="229"/>
      <c r="DG279" s="229"/>
      <c r="DH279" s="229"/>
      <c r="DI279" s="229"/>
      <c r="DJ279" s="229"/>
      <c r="DK279" s="229"/>
      <c r="DL279" s="229"/>
      <c r="DM279" s="229"/>
      <c r="DN279" s="229"/>
      <c r="DO279" s="228">
        <f t="shared" si="812"/>
        <v>0</v>
      </c>
      <c r="DP279" s="228">
        <f t="shared" si="813"/>
        <v>216.8</v>
      </c>
      <c r="DQ279" s="229">
        <f t="shared" si="864"/>
        <v>0</v>
      </c>
      <c r="DR279" s="229">
        <f t="shared" si="865"/>
        <v>0</v>
      </c>
      <c r="DS279" s="229">
        <f t="shared" si="866"/>
        <v>0</v>
      </c>
      <c r="DT279" s="229">
        <f t="shared" si="867"/>
        <v>0</v>
      </c>
      <c r="DU279" s="229">
        <f t="shared" si="868"/>
        <v>0</v>
      </c>
      <c r="DV279" s="229">
        <f t="shared" si="869"/>
        <v>0</v>
      </c>
      <c r="DW279" s="229">
        <f t="shared" si="870"/>
        <v>0</v>
      </c>
      <c r="DX279" s="228">
        <f t="shared" si="793"/>
        <v>0</v>
      </c>
      <c r="DY279" s="229"/>
      <c r="DZ279" s="229"/>
      <c r="EA279" s="229"/>
      <c r="EB279" s="229"/>
      <c r="EC279" s="229"/>
      <c r="ED279" s="229"/>
      <c r="EE279" s="229"/>
      <c r="EF279" s="228">
        <f t="shared" si="847"/>
        <v>0</v>
      </c>
      <c r="EG279" s="228">
        <f t="shared" si="814"/>
        <v>0</v>
      </c>
      <c r="EH279" s="229">
        <f t="shared" si="848"/>
        <v>153.33000000000001</v>
      </c>
      <c r="EI279" s="229">
        <v>65.48</v>
      </c>
      <c r="EJ279" s="228">
        <f t="shared" si="903"/>
        <v>218.81</v>
      </c>
      <c r="EK279" s="229"/>
      <c r="EL279" s="229"/>
      <c r="EM279" s="228">
        <f t="shared" si="904"/>
        <v>0</v>
      </c>
      <c r="EN279" s="229">
        <f t="shared" si="907"/>
        <v>153.33000000000001</v>
      </c>
      <c r="EO279" s="229">
        <f t="shared" si="723"/>
        <v>65.48</v>
      </c>
      <c r="EP279" s="228">
        <f t="shared" si="888"/>
        <v>218.81</v>
      </c>
      <c r="EQ279" s="173">
        <f t="shared" si="849"/>
        <v>33.330000000000013</v>
      </c>
      <c r="ER279" s="189">
        <v>0</v>
      </c>
      <c r="ES279" s="189">
        <v>15.5</v>
      </c>
      <c r="ET279" s="189">
        <v>6.3</v>
      </c>
      <c r="EU279" s="189">
        <v>0</v>
      </c>
      <c r="EV279" s="189">
        <v>0</v>
      </c>
      <c r="EW279" s="189">
        <v>135</v>
      </c>
      <c r="EX279" s="189">
        <v>0</v>
      </c>
      <c r="EY279" s="189">
        <v>0</v>
      </c>
      <c r="EZ279" s="189">
        <v>0</v>
      </c>
      <c r="FA279" s="189">
        <v>0</v>
      </c>
      <c r="FB279" s="189">
        <v>0</v>
      </c>
      <c r="FC279" s="189">
        <v>60</v>
      </c>
      <c r="FD279" s="189">
        <v>0</v>
      </c>
      <c r="FE279" s="189">
        <v>0</v>
      </c>
      <c r="FF279" s="189">
        <v>0</v>
      </c>
      <c r="FG279" s="189">
        <v>0</v>
      </c>
      <c r="FH279" s="189">
        <v>0</v>
      </c>
      <c r="FI279" s="189">
        <v>0</v>
      </c>
      <c r="FJ279" s="189">
        <v>0</v>
      </c>
      <c r="FK279" s="189">
        <v>216.8</v>
      </c>
      <c r="FL279" s="189">
        <v>201</v>
      </c>
      <c r="FN279" s="132">
        <v>153.33000000000001</v>
      </c>
    </row>
    <row r="280" spans="1:170" ht="30" customHeight="1">
      <c r="A280" s="88">
        <f>COUNTIF($H$12:H280,H280)</f>
        <v>33</v>
      </c>
      <c r="B280" s="88" t="s">
        <v>937</v>
      </c>
      <c r="C280" s="88" t="s">
        <v>1286</v>
      </c>
      <c r="D280" s="88"/>
      <c r="E280" s="88"/>
      <c r="F280" s="301" t="s">
        <v>2211</v>
      </c>
      <c r="G280" s="89" t="s">
        <v>2819</v>
      </c>
      <c r="H280" s="88">
        <v>5</v>
      </c>
      <c r="I280" s="88">
        <v>5</v>
      </c>
      <c r="J280" s="88">
        <v>5</v>
      </c>
      <c r="K280" s="90" t="s">
        <v>1087</v>
      </c>
      <c r="L280" s="90" t="s">
        <v>1087</v>
      </c>
      <c r="M280" s="214"/>
      <c r="N280" s="88" t="s">
        <v>1804</v>
      </c>
      <c r="O280" s="216">
        <f t="shared" si="889"/>
        <v>3</v>
      </c>
      <c r="P280" s="88" t="str">
        <f t="shared" si="880"/>
        <v>B1_3</v>
      </c>
      <c r="Q280" s="88">
        <f t="shared" si="733"/>
        <v>270</v>
      </c>
      <c r="R280" s="88">
        <f t="shared" si="734"/>
        <v>100</v>
      </c>
      <c r="S280" s="218" t="s">
        <v>2661</v>
      </c>
      <c r="T280" s="88" t="s">
        <v>3088</v>
      </c>
      <c r="U280" s="88">
        <f>IF(RIGHT(T280,1)="K",(VLOOKUP(T280,ma_miengiam!$A$3:$B$80,2,0)*100)/2,VLOOKUP(T280,ma_miengiam!$A$3:$B$80,2,0)*100)</f>
        <v>0</v>
      </c>
      <c r="V280" s="88">
        <v>2</v>
      </c>
      <c r="W280" s="220">
        <f>IF(AND(T280="NTS",V280&gt;0),(Q280-(Q280*V280)/12)*VLOOKUP(T280,ma_miengiam!$A$3:$B$80,2,0)+(Q280-(Q280*(12-V280))/12),IF(AND(RIGHT(T280,1)="K",V280&gt;0),(VLOOKUP(T280,ma_miengiam!$A$3:$B$80,2,0)/2)*(Q280*V280)/12,IF(RIGHT(T280,1)="K",(VLOOKUP(T280,ma_miengiam!$A$3:$B$80,2,0)*Q280)/2,IF(V280&gt;0,VLOOKUP(T280,ma_miengiam!$A$3:$B$80,2,0)*Q280*V280/12,VLOOKUP(T280,ma_miengiam!$A$3:$B$80,2,0)*Q280))))</f>
        <v>0</v>
      </c>
      <c r="X280" s="220">
        <f>IF(T280="NTS",VLOOKUP(T280,ma_miengiam!$A$3:$B$80,2,0)*R280*V280,IF(AND(T280="NTS",V280=0),0,IF(AND(LEFT(T280,1)="K",V280=0),VLOOKUP(T280,ma_miengiam!$A$3:$B$80,2,0)*R280,IF(LEFT(T280,1)="K",(VLOOKUP(T280,ma_miengiam!$A$3:$B$80,2,0)*R280/12)*V280,IF(AND(LEFT(T280,1)="S",V280&gt;0),(R280/12)*V280,IF(AND(LEFT(T280,1)="S",V280=0),R280,IF(T280="DH",VLOOKUP(T280,ma_miengiam!$A$3:$B$80,2,0)*R280,0)))))))</f>
        <v>0</v>
      </c>
      <c r="Y280" s="220">
        <f t="shared" si="783"/>
        <v>45</v>
      </c>
      <c r="Z280" s="220">
        <f t="shared" si="908"/>
        <v>16.666666666666668</v>
      </c>
      <c r="AA280" s="220">
        <f t="shared" si="890"/>
        <v>270</v>
      </c>
      <c r="AB280" s="220">
        <f t="shared" si="890"/>
        <v>100</v>
      </c>
      <c r="AC280" s="220">
        <f t="shared" ref="AC280:AF281" si="909">W280</f>
        <v>0</v>
      </c>
      <c r="AD280" s="220">
        <f t="shared" si="909"/>
        <v>0</v>
      </c>
      <c r="AE280" s="220">
        <f t="shared" si="909"/>
        <v>45</v>
      </c>
      <c r="AF280" s="220">
        <f t="shared" si="909"/>
        <v>16.666666666666668</v>
      </c>
      <c r="AG280" s="220">
        <f t="shared" si="891"/>
        <v>140.48000000000002</v>
      </c>
      <c r="AH280" s="220">
        <f t="shared" si="892"/>
        <v>65.48</v>
      </c>
      <c r="AI280" s="220">
        <f t="shared" si="893"/>
        <v>75</v>
      </c>
      <c r="AJ280" s="220">
        <f t="shared" si="906"/>
        <v>0</v>
      </c>
      <c r="AK280" s="216">
        <f t="shared" si="794"/>
        <v>45</v>
      </c>
      <c r="AL280" s="220">
        <f t="shared" si="795"/>
        <v>171.9</v>
      </c>
      <c r="AM280" s="220">
        <f t="shared" si="796"/>
        <v>0</v>
      </c>
      <c r="AN280" s="221">
        <f t="shared" si="797"/>
        <v>171.9</v>
      </c>
      <c r="AO280" s="220">
        <f t="shared" si="798"/>
        <v>0</v>
      </c>
      <c r="AP280" s="220">
        <f t="shared" si="799"/>
        <v>0</v>
      </c>
      <c r="AQ280" s="220">
        <f t="shared" si="800"/>
        <v>80</v>
      </c>
      <c r="AR280" s="220">
        <f t="shared" si="801"/>
        <v>0</v>
      </c>
      <c r="AS280" s="220">
        <f t="shared" si="802"/>
        <v>0</v>
      </c>
      <c r="AT280" s="216">
        <f t="shared" si="803"/>
        <v>251.9</v>
      </c>
      <c r="AU280" s="222">
        <f t="shared" si="722"/>
        <v>126.9</v>
      </c>
      <c r="AV280" s="220"/>
      <c r="AW280" s="220">
        <f t="shared" si="804"/>
        <v>126.9</v>
      </c>
      <c r="AX280" s="216">
        <f t="shared" si="820"/>
        <v>0</v>
      </c>
      <c r="AY280" s="220">
        <f t="shared" si="815"/>
        <v>0</v>
      </c>
      <c r="AZ280" s="220">
        <f t="shared" si="816"/>
        <v>0</v>
      </c>
      <c r="BA280" s="220">
        <f t="shared" si="817"/>
        <v>80</v>
      </c>
      <c r="BB280" s="220">
        <f t="shared" si="818"/>
        <v>0</v>
      </c>
      <c r="BC280" s="220">
        <f t="shared" si="819"/>
        <v>0</v>
      </c>
      <c r="BD280" s="216">
        <f t="shared" si="759"/>
        <v>80</v>
      </c>
      <c r="BE280" s="220">
        <f t="shared" si="805"/>
        <v>0</v>
      </c>
      <c r="BF280" s="220">
        <f t="shared" si="806"/>
        <v>0</v>
      </c>
      <c r="BG280" s="220">
        <f t="shared" si="807"/>
        <v>0</v>
      </c>
      <c r="BH280" s="220">
        <f t="shared" si="808"/>
        <v>0</v>
      </c>
      <c r="BI280" s="220">
        <f t="shared" si="809"/>
        <v>0</v>
      </c>
      <c r="BJ280" s="220" t="s">
        <v>2417</v>
      </c>
      <c r="BK280" s="220"/>
      <c r="BL280" s="223">
        <f t="shared" si="773"/>
        <v>126.9</v>
      </c>
      <c r="BM280" s="220">
        <v>3</v>
      </c>
      <c r="BN280" s="220"/>
      <c r="BO280" s="220">
        <f t="shared" si="894"/>
        <v>3</v>
      </c>
      <c r="BP280" s="220">
        <f>IF(AND(BL280&gt;0,BL280&lt;tiet!$D$1),BL280,IF(BL280&lt;=0,0,IF(BL280&gt;tiet!$C$1,tiet!$C$1)))</f>
        <v>126.9</v>
      </c>
      <c r="BQ280" s="87">
        <f t="shared" si="895"/>
        <v>60000</v>
      </c>
      <c r="BR280" s="224">
        <f t="shared" si="896"/>
        <v>7614000</v>
      </c>
      <c r="BS280" s="220">
        <f t="shared" si="846"/>
        <v>0</v>
      </c>
      <c r="BT280" s="224">
        <f>VLOOKUP(N280,ma_dinhmuc!$A$1:$J$31,10,0)</f>
        <v>51000</v>
      </c>
      <c r="BU280" s="224">
        <f>ROUND(IF(BS280&gt;0,VLOOKUP(N280,ma_dinhmuc!$A$1:$J$31,10,0)*BS280,0),0)</f>
        <v>0</v>
      </c>
      <c r="BV280" s="224">
        <f t="shared" si="897"/>
        <v>7614000</v>
      </c>
      <c r="BW280" s="224"/>
      <c r="BX280" s="224">
        <v>0</v>
      </c>
      <c r="BY280" s="224"/>
      <c r="BZ280" s="224"/>
      <c r="CA280" s="224"/>
      <c r="CB280" s="224"/>
      <c r="CC280" s="225">
        <f t="shared" si="886"/>
        <v>7614000</v>
      </c>
      <c r="CD280" s="224">
        <f t="shared" si="887"/>
        <v>0</v>
      </c>
      <c r="CE280" s="224"/>
      <c r="CF280" s="226"/>
      <c r="CG280" s="87"/>
      <c r="CH280" s="87">
        <f t="shared" si="898"/>
        <v>33</v>
      </c>
      <c r="CI280" s="227" t="str">
        <f t="shared" si="899"/>
        <v>Bạch Văn</v>
      </c>
      <c r="CJ280" s="227" t="str">
        <f t="shared" si="900"/>
        <v>Thủy</v>
      </c>
      <c r="CK280" s="87">
        <f t="shared" si="901"/>
        <v>5</v>
      </c>
      <c r="CL280" s="227" t="str">
        <f t="shared" si="902"/>
        <v>Phát triển nông thôn</v>
      </c>
      <c r="CM280" s="87" t="str">
        <f t="shared" si="810"/>
        <v>CS2</v>
      </c>
      <c r="CN280" s="87">
        <f t="shared" ref="CN280:CO283" si="910">Q280</f>
        <v>270</v>
      </c>
      <c r="CO280" s="87">
        <f t="shared" si="910"/>
        <v>100</v>
      </c>
      <c r="CP280" s="229">
        <f t="shared" si="852"/>
        <v>0</v>
      </c>
      <c r="CQ280" s="229">
        <f t="shared" si="853"/>
        <v>24.3</v>
      </c>
      <c r="CR280" s="229">
        <f t="shared" si="854"/>
        <v>9.8000000000000007</v>
      </c>
      <c r="CS280" s="229">
        <f t="shared" si="855"/>
        <v>0</v>
      </c>
      <c r="CT280" s="229">
        <f t="shared" si="856"/>
        <v>0</v>
      </c>
      <c r="CU280" s="229">
        <f t="shared" si="857"/>
        <v>137.80000000000001</v>
      </c>
      <c r="CV280" s="229">
        <f t="shared" si="858"/>
        <v>0</v>
      </c>
      <c r="CW280" s="229">
        <f t="shared" si="859"/>
        <v>0</v>
      </c>
      <c r="CX280" s="229">
        <f t="shared" si="860"/>
        <v>0</v>
      </c>
      <c r="CY280" s="229">
        <f t="shared" si="861"/>
        <v>0</v>
      </c>
      <c r="CZ280" s="229">
        <f t="shared" si="862"/>
        <v>0</v>
      </c>
      <c r="DA280" s="229">
        <f t="shared" si="863"/>
        <v>80</v>
      </c>
      <c r="DB280" s="228">
        <f t="shared" si="792"/>
        <v>251.9</v>
      </c>
      <c r="DC280" s="229"/>
      <c r="DD280" s="229"/>
      <c r="DE280" s="229"/>
      <c r="DF280" s="229"/>
      <c r="DG280" s="229"/>
      <c r="DH280" s="229"/>
      <c r="DI280" s="229"/>
      <c r="DJ280" s="229"/>
      <c r="DK280" s="229"/>
      <c r="DL280" s="229"/>
      <c r="DM280" s="229"/>
      <c r="DN280" s="229"/>
      <c r="DO280" s="228">
        <f t="shared" si="812"/>
        <v>0</v>
      </c>
      <c r="DP280" s="228">
        <f t="shared" si="813"/>
        <v>251.9</v>
      </c>
      <c r="DQ280" s="229">
        <f t="shared" si="864"/>
        <v>0</v>
      </c>
      <c r="DR280" s="229">
        <f t="shared" si="865"/>
        <v>0</v>
      </c>
      <c r="DS280" s="229">
        <f t="shared" si="866"/>
        <v>0</v>
      </c>
      <c r="DT280" s="229">
        <f t="shared" si="867"/>
        <v>0</v>
      </c>
      <c r="DU280" s="229">
        <f t="shared" si="868"/>
        <v>0</v>
      </c>
      <c r="DV280" s="229">
        <f t="shared" si="869"/>
        <v>0</v>
      </c>
      <c r="DW280" s="229">
        <f t="shared" si="870"/>
        <v>0</v>
      </c>
      <c r="DX280" s="228">
        <f t="shared" si="793"/>
        <v>0</v>
      </c>
      <c r="DY280" s="229"/>
      <c r="DZ280" s="229"/>
      <c r="EA280" s="229"/>
      <c r="EB280" s="229"/>
      <c r="EC280" s="229"/>
      <c r="ED280" s="229"/>
      <c r="EE280" s="229"/>
      <c r="EF280" s="228">
        <f t="shared" si="847"/>
        <v>0</v>
      </c>
      <c r="EG280" s="228">
        <f t="shared" si="814"/>
        <v>0</v>
      </c>
      <c r="EH280" s="229">
        <f t="shared" si="848"/>
        <v>75</v>
      </c>
      <c r="EI280" s="229">
        <v>65.48</v>
      </c>
      <c r="EJ280" s="228">
        <f t="shared" si="903"/>
        <v>140.48000000000002</v>
      </c>
      <c r="EK280" s="229"/>
      <c r="EL280" s="229"/>
      <c r="EM280" s="228">
        <f t="shared" si="904"/>
        <v>0</v>
      </c>
      <c r="EN280" s="229">
        <f t="shared" si="907"/>
        <v>75</v>
      </c>
      <c r="EO280" s="229">
        <f t="shared" si="723"/>
        <v>65.48</v>
      </c>
      <c r="EP280" s="228">
        <f t="shared" si="888"/>
        <v>140.48000000000002</v>
      </c>
      <c r="EQ280" s="173">
        <f t="shared" si="849"/>
        <v>58.333333333333329</v>
      </c>
      <c r="ER280" s="189">
        <v>0</v>
      </c>
      <c r="ES280" s="189">
        <v>24.3</v>
      </c>
      <c r="ET280" s="189">
        <v>9.8000000000000007</v>
      </c>
      <c r="EU280" s="189">
        <v>0</v>
      </c>
      <c r="EV280" s="189">
        <v>0</v>
      </c>
      <c r="EW280" s="189">
        <v>137.80000000000001</v>
      </c>
      <c r="EX280" s="189">
        <v>0</v>
      </c>
      <c r="EY280" s="189">
        <v>0</v>
      </c>
      <c r="EZ280" s="189">
        <v>0</v>
      </c>
      <c r="FA280" s="189">
        <v>0</v>
      </c>
      <c r="FB280" s="189">
        <v>0</v>
      </c>
      <c r="FC280" s="189">
        <v>80</v>
      </c>
      <c r="FD280" s="189">
        <v>0</v>
      </c>
      <c r="FE280" s="189">
        <v>0</v>
      </c>
      <c r="FF280" s="189">
        <v>0</v>
      </c>
      <c r="FG280" s="189">
        <v>0</v>
      </c>
      <c r="FH280" s="189">
        <v>0</v>
      </c>
      <c r="FI280" s="189">
        <v>0</v>
      </c>
      <c r="FJ280" s="189">
        <v>0</v>
      </c>
      <c r="FK280" s="189">
        <v>251.9</v>
      </c>
      <c r="FL280" s="189">
        <v>191</v>
      </c>
      <c r="FN280" s="132">
        <v>75</v>
      </c>
    </row>
    <row r="281" spans="1:170" ht="28.5" customHeight="1">
      <c r="A281" s="88">
        <f>COUNTIF($H$12:H283,H281)</f>
        <v>36</v>
      </c>
      <c r="B281" s="88" t="s">
        <v>940</v>
      </c>
      <c r="C281" s="88" t="s">
        <v>1289</v>
      </c>
      <c r="D281" s="88"/>
      <c r="E281" s="88"/>
      <c r="F281" s="301" t="s">
        <v>2208</v>
      </c>
      <c r="G281" s="89" t="s">
        <v>2883</v>
      </c>
      <c r="H281" s="88">
        <v>5</v>
      </c>
      <c r="I281" s="88">
        <v>5</v>
      </c>
      <c r="J281" s="88">
        <v>5</v>
      </c>
      <c r="K281" s="90" t="s">
        <v>1087</v>
      </c>
      <c r="L281" s="90" t="s">
        <v>1087</v>
      </c>
      <c r="M281" s="214"/>
      <c r="N281" s="88" t="s">
        <v>1804</v>
      </c>
      <c r="O281" s="216">
        <f>BO281</f>
        <v>3.66</v>
      </c>
      <c r="P281" s="88" t="str">
        <f t="shared" si="880"/>
        <v>B1_4</v>
      </c>
      <c r="Q281" s="88">
        <f t="shared" si="733"/>
        <v>270</v>
      </c>
      <c r="R281" s="88">
        <f t="shared" si="734"/>
        <v>120</v>
      </c>
      <c r="S281" s="233" t="s">
        <v>3137</v>
      </c>
      <c r="T281" s="88" t="s">
        <v>3088</v>
      </c>
      <c r="U281" s="88">
        <f>IF(RIGHT(T281,1)="K",(VLOOKUP(T281,ma_miengiam!$A$3:$B$80,2,0)*100)/2,VLOOKUP(T281,ma_miengiam!$A$3:$B$80,2,0)*100)</f>
        <v>0</v>
      </c>
      <c r="V281" s="88"/>
      <c r="W281" s="220">
        <f>IF(AND(T281="NTS",V281&gt;0),(Q281-(Q281*V281)/12)*VLOOKUP(T281,ma_miengiam!$A$3:$B$80,2,0)+(Q281-(Q281*(12-V281))/12),IF(AND(RIGHT(T281,1)="K",V281&gt;0),(VLOOKUP(T281,ma_miengiam!$A$3:$B$80,2,0)/2)*(Q281*V281)/12,IF(RIGHT(T281,1)="K",(VLOOKUP(T281,ma_miengiam!$A$3:$B$80,2,0)*Q281)/2,IF(V281&gt;0,VLOOKUP(T281,ma_miengiam!$A$3:$B$80,2,0)*Q281*V281/12,VLOOKUP(T281,ma_miengiam!$A$3:$B$80,2,0)*Q281))))</f>
        <v>0</v>
      </c>
      <c r="X281" s="220">
        <f>IF(T281="NTS",VLOOKUP(T281,ma_miengiam!$A$3:$B$80,2,0)*R281*V281,IF(AND(T281="NTS",V281=0),0,IF(AND(LEFT(T281,1)="K",V281=0),VLOOKUP(T281,ma_miengiam!$A$3:$B$80,2,0)*R281,IF(LEFT(T281,1)="K",(VLOOKUP(T281,ma_miengiam!$A$3:$B$80,2,0)*R281/12)*V281,IF(AND(LEFT(T281,1)="S",V281&gt;0),(R281/12)*V281,IF(AND(LEFT(T281,1)="S",V281=0),R281,IF(T281="DH",VLOOKUP(T281,ma_miengiam!$A$3:$B$80,2,0)*R281,0)))))))</f>
        <v>0</v>
      </c>
      <c r="Y281" s="220">
        <f>IF(AND(T281="DH",V281&gt;0),(S281*V281/12),IF(AND(T281&lt;&gt;"NTS",V281&gt;0),(Q281*V281/12)-W281,IF(AND(T281="NTS",V281&gt;0),Q281-W281,Q281-W281)))</f>
        <v>270</v>
      </c>
      <c r="Z281" s="220">
        <f>IF(AND(T281="SĐH",V281&gt;0),(R281/12)*V281-X281,IF(AND(T281="DH",V281&gt;0),(R281*V281/12),IF(AND(T281&lt;&gt;"NTS",V281&gt;0),(R281*V281/12)-X281,IF(AND(T281="NTS",V281&gt;0),R281-X281,R281-X281))))</f>
        <v>120</v>
      </c>
      <c r="AA281" s="220">
        <f>Q281</f>
        <v>270</v>
      </c>
      <c r="AB281" s="220">
        <f>R281</f>
        <v>120</v>
      </c>
      <c r="AC281" s="220">
        <f t="shared" si="909"/>
        <v>0</v>
      </c>
      <c r="AD281" s="220">
        <f t="shared" si="909"/>
        <v>0</v>
      </c>
      <c r="AE281" s="220">
        <f t="shared" si="909"/>
        <v>270</v>
      </c>
      <c r="AF281" s="220">
        <f t="shared" si="909"/>
        <v>120</v>
      </c>
      <c r="AG281" s="220">
        <f>AH281+AI281</f>
        <v>175</v>
      </c>
      <c r="AH281" s="220">
        <f>EO281</f>
        <v>150</v>
      </c>
      <c r="AI281" s="220">
        <f>EN281</f>
        <v>25</v>
      </c>
      <c r="AJ281" s="220">
        <f>IF(AG281-Z281&gt;0,0,AG281-Z281)</f>
        <v>0</v>
      </c>
      <c r="AK281" s="216">
        <f t="shared" si="794"/>
        <v>270</v>
      </c>
      <c r="AL281" s="220">
        <f>SUM(CP281:CX281)+SUM(DC281:DK281)</f>
        <v>182.8</v>
      </c>
      <c r="AM281" s="220">
        <f>SUM(DQ281:DU281)+SUM(DY281:EC281)</f>
        <v>59.6</v>
      </c>
      <c r="AN281" s="216">
        <f>AM281+AL281</f>
        <v>242.4</v>
      </c>
      <c r="AO281" s="220">
        <f>CY281+DL281</f>
        <v>0</v>
      </c>
      <c r="AP281" s="220">
        <f>CZ281+DM281</f>
        <v>0</v>
      </c>
      <c r="AQ281" s="220">
        <f>DA281+DN281</f>
        <v>100</v>
      </c>
      <c r="AR281" s="220">
        <f>DV281+ED281</f>
        <v>0</v>
      </c>
      <c r="AS281" s="220">
        <f>DW281+EE281</f>
        <v>0</v>
      </c>
      <c r="AT281" s="216">
        <f>AN281+SUM(AO281:AS281)</f>
        <v>342.4</v>
      </c>
      <c r="AU281" s="220">
        <f>AN281-AK281</f>
        <v>-27.599999999999994</v>
      </c>
      <c r="AV281" s="220"/>
      <c r="AW281" s="220">
        <f>IF(AU281&gt;0,AU281,AV281+AU281)</f>
        <v>-27.599999999999994</v>
      </c>
      <c r="AX281" s="216">
        <f t="shared" si="820"/>
        <v>-27.599999999999994</v>
      </c>
      <c r="AY281" s="220">
        <f>IF(AN281&gt;=AK281,AO281,IF(AN281+AO281-AK281&gt;=0,AN281+AO281-AK281,0))</f>
        <v>0</v>
      </c>
      <c r="AZ281" s="220">
        <f>IF(OR(AN281&gt;=AK281,AN281+AO281&gt;=AK281),AP281,IF(AN281+AO281+AP281&gt;AK281,AN281+AO281+AP281-AK281,0))</f>
        <v>0</v>
      </c>
      <c r="BA281" s="220">
        <f>IF(OR(AN281&gt;=AK281,AN281+AO281&gt;=AK281,AN281+AO281+AP281&gt;=AK281),AQ281,IF(AN281+AO281+AP281+AQ281&gt;=AK281,AN281+AO281+AP281+AQ281-AK281,0))</f>
        <v>72.399999999999977</v>
      </c>
      <c r="BB281" s="220">
        <f>IF(OR(AN281&gt;=AK281,AN281+AO281&gt;=AK281,AN281+AO281+AP281&gt;=AK281,AN281+AO281+AP281+AQ281&gt;=AK281),AR281,IF(AN281+AO281+AP281+AQ281+AR281&gt;=AK281,AN281+AO281+AP281+AQ281+AR281-AK281,0))</f>
        <v>0</v>
      </c>
      <c r="BC281" s="220">
        <f>IF(OR(AN281&gt;=AK281,AN281+AO281&gt;=AK281,AN281+AO281+AP281&gt;=AK281,AN281+AO281+AP281+AQ281&gt;=AK281,AN281+AO281+AP281+AQ281+AR281&gt;=AK281),AS281,IF(AN281+AO281+AP281+AQ281+AR281+AS281&gt;=AK281,AN281+AO281+AP281+AQ281+AR281+AS281-AK281,0))</f>
        <v>0</v>
      </c>
      <c r="BD281" s="216">
        <f t="shared" si="759"/>
        <v>72.399999999999977</v>
      </c>
      <c r="BE281" s="220">
        <f>AY281-AO281</f>
        <v>0</v>
      </c>
      <c r="BF281" s="220">
        <f>AZ281-AP281</f>
        <v>0</v>
      </c>
      <c r="BG281" s="220">
        <f>BA281-AQ281</f>
        <v>-27.600000000000023</v>
      </c>
      <c r="BH281" s="220">
        <f>BB281-AR281</f>
        <v>0</v>
      </c>
      <c r="BI281" s="220">
        <f>BC281-AS281</f>
        <v>0</v>
      </c>
      <c r="BJ281" s="220" t="s">
        <v>2417</v>
      </c>
      <c r="BK281" s="220"/>
      <c r="BL281" s="223">
        <f t="shared" si="773"/>
        <v>0</v>
      </c>
      <c r="BM281" s="220">
        <v>3.66</v>
      </c>
      <c r="BN281" s="220"/>
      <c r="BO281" s="220">
        <f>ROUND(BM281+(BM281*BN281),2)</f>
        <v>3.66</v>
      </c>
      <c r="BP281" s="220">
        <f>IF(AND(BL281&gt;0,BL281&lt;tiet!$D$1),BL281,IF(BL281&lt;=0,0,IF(BL281&gt;tiet!$C$1,tiet!$C$1)))</f>
        <v>0</v>
      </c>
      <c r="BQ281" s="87">
        <f>VLOOKUP(P281,ma_dinhmuc_moi,4,0)</f>
        <v>65000</v>
      </c>
      <c r="BR281" s="224">
        <f>ROUND(BQ281*BP281,0)</f>
        <v>0</v>
      </c>
      <c r="BS281" s="220">
        <f t="shared" si="846"/>
        <v>0</v>
      </c>
      <c r="BT281" s="224">
        <f>VLOOKUP(N281,ma_dinhmuc!$A$1:$J$31,10,0)</f>
        <v>51000</v>
      </c>
      <c r="BU281" s="224">
        <f>ROUND(IF(BS281&gt;0,VLOOKUP(N281,ma_dinhmuc!$A$1:$J$31,10,0)*BS281,0),0)</f>
        <v>0</v>
      </c>
      <c r="BV281" s="224">
        <f>ROUND(BU281+BR281,0)</f>
        <v>0</v>
      </c>
      <c r="BW281" s="224"/>
      <c r="BX281" s="224">
        <v>0</v>
      </c>
      <c r="BY281" s="224"/>
      <c r="BZ281" s="224"/>
      <c r="CA281" s="224"/>
      <c r="CB281" s="224"/>
      <c r="CC281" s="225">
        <f>ROUND(IF(BV281+BW281&gt;BX281+BY281+BZ281+CA281+CB281,(BW281+BV281)-(BX281+BY281+BZ281+CA281+CB281+CB281),0),0)</f>
        <v>0</v>
      </c>
      <c r="CD281" s="224">
        <f>ROUND(IF(BV281+BW281&lt;BX281+BY281+BZ281+CA281-CB281,(BX281+BY281+BZ281+CA281-CB281)-(BW281+BV281),0),0)</f>
        <v>0</v>
      </c>
      <c r="CE281" s="224"/>
      <c r="CF281" s="226"/>
      <c r="CG281" s="87"/>
      <c r="CH281" s="87">
        <f>A281</f>
        <v>36</v>
      </c>
      <c r="CI281" s="227" t="str">
        <f t="shared" si="899"/>
        <v>Đỗ Thị Thanh</v>
      </c>
      <c r="CJ281" s="227" t="str">
        <f t="shared" si="900"/>
        <v>Huyền</v>
      </c>
      <c r="CK281" s="87">
        <f t="shared" si="901"/>
        <v>5</v>
      </c>
      <c r="CL281" s="227" t="str">
        <f>L281</f>
        <v>Phát triển nông thôn</v>
      </c>
      <c r="CM281" s="87" t="str">
        <f>N281</f>
        <v>CS2</v>
      </c>
      <c r="CN281" s="87">
        <f>Q281</f>
        <v>270</v>
      </c>
      <c r="CO281" s="87">
        <f>R281</f>
        <v>120</v>
      </c>
      <c r="CP281" s="229">
        <f t="shared" si="852"/>
        <v>0</v>
      </c>
      <c r="CQ281" s="229">
        <f t="shared" si="853"/>
        <v>20.3</v>
      </c>
      <c r="CR281" s="229">
        <f t="shared" si="854"/>
        <v>8.1999999999999993</v>
      </c>
      <c r="CS281" s="229">
        <f t="shared" si="855"/>
        <v>0</v>
      </c>
      <c r="CT281" s="229">
        <f t="shared" si="856"/>
        <v>0</v>
      </c>
      <c r="CU281" s="229">
        <f t="shared" si="857"/>
        <v>154.30000000000001</v>
      </c>
      <c r="CV281" s="229">
        <f t="shared" si="858"/>
        <v>0</v>
      </c>
      <c r="CW281" s="229">
        <f t="shared" si="859"/>
        <v>0</v>
      </c>
      <c r="CX281" s="229">
        <f t="shared" si="860"/>
        <v>0</v>
      </c>
      <c r="CY281" s="229">
        <f t="shared" si="861"/>
        <v>0</v>
      </c>
      <c r="CZ281" s="229">
        <f t="shared" si="862"/>
        <v>0</v>
      </c>
      <c r="DA281" s="229">
        <f t="shared" si="863"/>
        <v>100</v>
      </c>
      <c r="DB281" s="228">
        <f>SUM(CP281:DA281)</f>
        <v>282.8</v>
      </c>
      <c r="DC281" s="229"/>
      <c r="DD281" s="229"/>
      <c r="DE281" s="229"/>
      <c r="DF281" s="229"/>
      <c r="DG281" s="229"/>
      <c r="DH281" s="229"/>
      <c r="DI281" s="229"/>
      <c r="DJ281" s="229"/>
      <c r="DK281" s="229"/>
      <c r="DL281" s="229"/>
      <c r="DM281" s="229"/>
      <c r="DN281" s="229"/>
      <c r="DO281" s="228">
        <f>SUM(DC281:DN281)</f>
        <v>0</v>
      </c>
      <c r="DP281" s="228">
        <f>DO281+DB281</f>
        <v>282.8</v>
      </c>
      <c r="DQ281" s="229">
        <f t="shared" si="864"/>
        <v>54</v>
      </c>
      <c r="DR281" s="229">
        <f t="shared" si="865"/>
        <v>4</v>
      </c>
      <c r="DS281" s="229">
        <f t="shared" si="866"/>
        <v>0</v>
      </c>
      <c r="DT281" s="229">
        <f t="shared" si="867"/>
        <v>1.6</v>
      </c>
      <c r="DU281" s="229">
        <f t="shared" si="868"/>
        <v>0</v>
      </c>
      <c r="DV281" s="229">
        <f t="shared" si="869"/>
        <v>0</v>
      </c>
      <c r="DW281" s="229">
        <f t="shared" si="870"/>
        <v>0</v>
      </c>
      <c r="DX281" s="228">
        <f>SUM(DQ281:DW281)</f>
        <v>59.6</v>
      </c>
      <c r="DY281" s="229"/>
      <c r="DZ281" s="229"/>
      <c r="EA281" s="229"/>
      <c r="EB281" s="229"/>
      <c r="EC281" s="229"/>
      <c r="ED281" s="229"/>
      <c r="EE281" s="229"/>
      <c r="EF281" s="228">
        <f t="shared" si="847"/>
        <v>0</v>
      </c>
      <c r="EG281" s="228">
        <f>EF281+DX281</f>
        <v>59.6</v>
      </c>
      <c r="EH281" s="229">
        <f t="shared" si="848"/>
        <v>25</v>
      </c>
      <c r="EI281" s="229">
        <v>150</v>
      </c>
      <c r="EJ281" s="228">
        <f>SUM(EH281:EI281)</f>
        <v>175</v>
      </c>
      <c r="EK281" s="229"/>
      <c r="EL281" s="229"/>
      <c r="EM281" s="228">
        <f>SUM(EK281:EL281)</f>
        <v>0</v>
      </c>
      <c r="EN281" s="229">
        <f>EK281+EH281+EL281</f>
        <v>25</v>
      </c>
      <c r="EO281" s="229">
        <f>EI281</f>
        <v>150</v>
      </c>
      <c r="EP281" s="228">
        <f>EM281+EJ281</f>
        <v>175</v>
      </c>
      <c r="EQ281" s="173">
        <f t="shared" si="849"/>
        <v>0</v>
      </c>
      <c r="ER281" s="189">
        <v>0</v>
      </c>
      <c r="ES281" s="189">
        <v>20.3</v>
      </c>
      <c r="ET281" s="189">
        <v>8.1999999999999993</v>
      </c>
      <c r="EU281" s="189">
        <v>0</v>
      </c>
      <c r="EV281" s="189">
        <v>0</v>
      </c>
      <c r="EW281" s="189">
        <v>154.30000000000001</v>
      </c>
      <c r="EX281" s="189">
        <v>0</v>
      </c>
      <c r="EY281" s="189">
        <v>0</v>
      </c>
      <c r="EZ281" s="189">
        <v>0</v>
      </c>
      <c r="FA281" s="189">
        <v>0</v>
      </c>
      <c r="FB281" s="189">
        <v>0</v>
      </c>
      <c r="FC281" s="189">
        <v>100</v>
      </c>
      <c r="FD281" s="189">
        <v>54</v>
      </c>
      <c r="FE281" s="189">
        <v>4</v>
      </c>
      <c r="FF281" s="189">
        <v>0</v>
      </c>
      <c r="FG281" s="189">
        <v>1.6</v>
      </c>
      <c r="FH281" s="189">
        <v>0</v>
      </c>
      <c r="FI281" s="189">
        <v>0</v>
      </c>
      <c r="FJ281" s="189">
        <v>0</v>
      </c>
      <c r="FK281" s="189">
        <v>342.4</v>
      </c>
      <c r="FL281" s="189">
        <v>273</v>
      </c>
      <c r="FN281" s="132">
        <v>25</v>
      </c>
    </row>
    <row r="282" spans="1:170" ht="30" customHeight="1">
      <c r="A282" s="88">
        <f>COUNTIF($H$12:H282,H282)</f>
        <v>35</v>
      </c>
      <c r="B282" s="88" t="s">
        <v>938</v>
      </c>
      <c r="C282" s="88" t="s">
        <v>1287</v>
      </c>
      <c r="D282" s="88"/>
      <c r="E282" s="88"/>
      <c r="F282" s="301" t="s">
        <v>1139</v>
      </c>
      <c r="G282" s="89" t="s">
        <v>13</v>
      </c>
      <c r="H282" s="88">
        <v>5</v>
      </c>
      <c r="I282" s="88">
        <v>5</v>
      </c>
      <c r="J282" s="88">
        <v>5</v>
      </c>
      <c r="K282" s="90" t="s">
        <v>1087</v>
      </c>
      <c r="L282" s="90" t="s">
        <v>1087</v>
      </c>
      <c r="M282" s="214"/>
      <c r="N282" s="88" t="s">
        <v>1804</v>
      </c>
      <c r="O282" s="216">
        <f t="shared" si="889"/>
        <v>3</v>
      </c>
      <c r="P282" s="88" t="str">
        <f t="shared" si="880"/>
        <v>B1_3</v>
      </c>
      <c r="Q282" s="88">
        <f t="shared" si="733"/>
        <v>270</v>
      </c>
      <c r="R282" s="88">
        <f t="shared" si="734"/>
        <v>100</v>
      </c>
      <c r="S282" s="233" t="s">
        <v>2643</v>
      </c>
      <c r="T282" s="88" t="s">
        <v>3091</v>
      </c>
      <c r="U282" s="88">
        <f>IF(RIGHT(T282,1)="K",(VLOOKUP(T282,ma_miengiam!$A$3:$B$80,2,0)*100)/2,VLOOKUP(T282,ma_miengiam!$A$3:$B$80,2,0)*100)</f>
        <v>20</v>
      </c>
      <c r="V282" s="88">
        <v>6</v>
      </c>
      <c r="W282" s="220">
        <f>IF(AND(T282="NTS",V282&gt;0),(Q282-(Q282*V282)/12)*VLOOKUP(T282,ma_miengiam!$A$3:$B$80,2,0)+(Q282-(Q282*(12-V282))/12),IF(AND(RIGHT(T282,1)="K",V282&gt;0),(VLOOKUP(T282,ma_miengiam!$A$3:$B$80,2,0)/2)*(Q282*V282)/12,IF(RIGHT(T282,1)="K",(VLOOKUP(T282,ma_miengiam!$A$3:$B$80,2,0)*Q282)/2,IF(V282&gt;0,VLOOKUP(T282,ma_miengiam!$A$3:$B$80,2,0)*Q282*V282/12,VLOOKUP(T282,ma_miengiam!$A$3:$B$80,2,0)*Q282))))</f>
        <v>27</v>
      </c>
      <c r="X282" s="220">
        <f>IF(T282="NTS",VLOOKUP(T282,ma_miengiam!$A$3:$B$80,2,0)*R282*V282,IF(AND(T282="NTS",V282=0),0,IF(AND(LEFT(T282,1)="K",V282=0),VLOOKUP(T282,ma_miengiam!$A$3:$B$80,2,0)*R282,IF(LEFT(T282,1)="K",(VLOOKUP(T282,ma_miengiam!$A$3:$B$80,2,0)*R282/12)*V282,IF(AND(LEFT(T282,1)="S",V282&gt;0),(R282/12)*V282,IF(AND(LEFT(T282,1)="S",V282=0),R282,IF(T282="DH",VLOOKUP(T282,ma_miengiam!$A$3:$B$80,2,0)*R282,0)))))))</f>
        <v>0</v>
      </c>
      <c r="Y282" s="220">
        <f t="shared" si="783"/>
        <v>108</v>
      </c>
      <c r="Z282" s="220">
        <f>IF(AND(T282="SĐH",V282&gt;0),(R282/12)*V282-X282,IF(AND(T282="DH",V282&gt;0),(R282*V282/12),IF(AND(T282&lt;&gt;"NTS",V282&gt;0),(R282*V282/12)-X282,IF(AND(T282="NTS",V282&gt;0),R282-X282,R282-X282))))</f>
        <v>50</v>
      </c>
      <c r="AA282" s="220">
        <f t="shared" si="890"/>
        <v>270</v>
      </c>
      <c r="AB282" s="220">
        <f t="shared" si="890"/>
        <v>100</v>
      </c>
      <c r="AC282" s="220">
        <f t="shared" ref="AC282:AF283" si="911">W282</f>
        <v>27</v>
      </c>
      <c r="AD282" s="220">
        <f t="shared" si="911"/>
        <v>0</v>
      </c>
      <c r="AE282" s="220">
        <f t="shared" si="911"/>
        <v>108</v>
      </c>
      <c r="AF282" s="220">
        <f t="shared" si="911"/>
        <v>50</v>
      </c>
      <c r="AG282" s="220">
        <f t="shared" si="891"/>
        <v>13.333333333333329</v>
      </c>
      <c r="AH282" s="220">
        <f t="shared" si="892"/>
        <v>13.333333333333329</v>
      </c>
      <c r="AI282" s="220">
        <f t="shared" si="893"/>
        <v>0</v>
      </c>
      <c r="AJ282" s="220">
        <f t="shared" si="906"/>
        <v>-36.666666666666671</v>
      </c>
      <c r="AK282" s="216">
        <f t="shared" si="794"/>
        <v>144.66666666666669</v>
      </c>
      <c r="AL282" s="220">
        <f t="shared" si="795"/>
        <v>71.8</v>
      </c>
      <c r="AM282" s="220">
        <f t="shared" si="796"/>
        <v>0</v>
      </c>
      <c r="AN282" s="216">
        <f t="shared" si="797"/>
        <v>71.8</v>
      </c>
      <c r="AO282" s="220">
        <f t="shared" si="798"/>
        <v>0</v>
      </c>
      <c r="AP282" s="220">
        <f t="shared" si="799"/>
        <v>0</v>
      </c>
      <c r="AQ282" s="220">
        <f t="shared" si="800"/>
        <v>100</v>
      </c>
      <c r="AR282" s="220">
        <f t="shared" si="801"/>
        <v>0</v>
      </c>
      <c r="AS282" s="220">
        <f t="shared" si="802"/>
        <v>0</v>
      </c>
      <c r="AT282" s="216">
        <f t="shared" si="803"/>
        <v>171.8</v>
      </c>
      <c r="AU282" s="220">
        <f t="shared" si="722"/>
        <v>-72.866666666666688</v>
      </c>
      <c r="AV282" s="220"/>
      <c r="AW282" s="220">
        <f t="shared" si="804"/>
        <v>-72.866666666666688</v>
      </c>
      <c r="AX282" s="216">
        <f t="shared" si="820"/>
        <v>-72.866666666666688</v>
      </c>
      <c r="AY282" s="220">
        <f t="shared" si="815"/>
        <v>0</v>
      </c>
      <c r="AZ282" s="220">
        <f t="shared" si="816"/>
        <v>0</v>
      </c>
      <c r="BA282" s="220">
        <f t="shared" si="817"/>
        <v>27.133333333333326</v>
      </c>
      <c r="BB282" s="220">
        <f t="shared" si="818"/>
        <v>0</v>
      </c>
      <c r="BC282" s="220">
        <f t="shared" si="819"/>
        <v>0</v>
      </c>
      <c r="BD282" s="216">
        <f t="shared" si="759"/>
        <v>27.133333333333326</v>
      </c>
      <c r="BE282" s="220">
        <f t="shared" si="805"/>
        <v>0</v>
      </c>
      <c r="BF282" s="220">
        <f t="shared" si="806"/>
        <v>0</v>
      </c>
      <c r="BG282" s="220">
        <f t="shared" si="807"/>
        <v>-72.866666666666674</v>
      </c>
      <c r="BH282" s="220">
        <f t="shared" si="808"/>
        <v>0</v>
      </c>
      <c r="BI282" s="220">
        <f t="shared" si="809"/>
        <v>0</v>
      </c>
      <c r="BJ282" s="220" t="s">
        <v>2417</v>
      </c>
      <c r="BK282" s="220"/>
      <c r="BL282" s="223">
        <f t="shared" si="773"/>
        <v>0</v>
      </c>
      <c r="BM282" s="220">
        <v>3</v>
      </c>
      <c r="BN282" s="220"/>
      <c r="BO282" s="220">
        <f t="shared" si="894"/>
        <v>3</v>
      </c>
      <c r="BP282" s="220">
        <f>IF(AND(BL282&gt;0,BL282&lt;tiet!$D$1),BL282,IF(BL282&lt;=0,0,IF(BL282&gt;tiet!$C$1,tiet!$C$1)))</f>
        <v>0</v>
      </c>
      <c r="BQ282" s="87">
        <f t="shared" si="895"/>
        <v>60000</v>
      </c>
      <c r="BR282" s="224">
        <f t="shared" si="896"/>
        <v>0</v>
      </c>
      <c r="BS282" s="220">
        <f t="shared" si="846"/>
        <v>0</v>
      </c>
      <c r="BT282" s="224">
        <f>VLOOKUP(N282,ma_dinhmuc!$A$1:$J$31,10,0)</f>
        <v>51000</v>
      </c>
      <c r="BU282" s="224">
        <f>ROUND(IF(BS282&gt;0,VLOOKUP(N282,ma_dinhmuc!$A$1:$J$31,10,0)*BS282,0),0)</f>
        <v>0</v>
      </c>
      <c r="BV282" s="224">
        <f t="shared" si="897"/>
        <v>0</v>
      </c>
      <c r="BW282" s="224"/>
      <c r="BX282" s="224">
        <v>0</v>
      </c>
      <c r="BY282" s="224"/>
      <c r="BZ282" s="224"/>
      <c r="CA282" s="224"/>
      <c r="CB282" s="224"/>
      <c r="CC282" s="225">
        <f>ROUND(IF(BV282+BW282&gt;BX282+BY282+BZ282+CA282+CB282,(BW282+BV282)-(BX282+BY282+BZ282+CA282+CB282+CB282),0),0)</f>
        <v>0</v>
      </c>
      <c r="CD282" s="224">
        <f>ROUND(IF(BV282+BW282&lt;BX282+BY282+BZ282+CA282-CB282,(BX282+BY282+BZ282+CA282-CB282)-(BW282+BV282),0),0)</f>
        <v>0</v>
      </c>
      <c r="CE282" s="224"/>
      <c r="CF282" s="226"/>
      <c r="CG282" s="87"/>
      <c r="CH282" s="87">
        <f t="shared" si="898"/>
        <v>35</v>
      </c>
      <c r="CI282" s="227" t="str">
        <f t="shared" si="899"/>
        <v>Nguyễn Thị</v>
      </c>
      <c r="CJ282" s="227" t="str">
        <f t="shared" si="900"/>
        <v>Phương</v>
      </c>
      <c r="CK282" s="87">
        <f t="shared" si="901"/>
        <v>5</v>
      </c>
      <c r="CL282" s="227" t="str">
        <f t="shared" si="902"/>
        <v>Phát triển nông thôn</v>
      </c>
      <c r="CM282" s="87" t="str">
        <f t="shared" si="810"/>
        <v>CS2</v>
      </c>
      <c r="CN282" s="87">
        <f t="shared" si="910"/>
        <v>270</v>
      </c>
      <c r="CO282" s="87">
        <f t="shared" si="910"/>
        <v>100</v>
      </c>
      <c r="CP282" s="229">
        <f t="shared" si="852"/>
        <v>0</v>
      </c>
      <c r="CQ282" s="229">
        <f t="shared" si="853"/>
        <v>8.4</v>
      </c>
      <c r="CR282" s="229">
        <f t="shared" si="854"/>
        <v>3.4</v>
      </c>
      <c r="CS282" s="229">
        <f t="shared" si="855"/>
        <v>0</v>
      </c>
      <c r="CT282" s="229">
        <f t="shared" si="856"/>
        <v>0</v>
      </c>
      <c r="CU282" s="229">
        <f t="shared" si="857"/>
        <v>60</v>
      </c>
      <c r="CV282" s="229">
        <f t="shared" si="858"/>
        <v>0</v>
      </c>
      <c r="CW282" s="229">
        <f t="shared" si="859"/>
        <v>0</v>
      </c>
      <c r="CX282" s="229">
        <f t="shared" si="860"/>
        <v>0</v>
      </c>
      <c r="CY282" s="229">
        <f t="shared" si="861"/>
        <v>0</v>
      </c>
      <c r="CZ282" s="229">
        <f t="shared" si="862"/>
        <v>0</v>
      </c>
      <c r="DA282" s="229">
        <f t="shared" si="863"/>
        <v>100</v>
      </c>
      <c r="DB282" s="228">
        <f t="shared" si="792"/>
        <v>171.8</v>
      </c>
      <c r="DC282" s="229"/>
      <c r="DD282" s="229"/>
      <c r="DE282" s="229"/>
      <c r="DF282" s="229"/>
      <c r="DG282" s="229"/>
      <c r="DH282" s="229"/>
      <c r="DI282" s="229"/>
      <c r="DJ282" s="229"/>
      <c r="DK282" s="229"/>
      <c r="DL282" s="229"/>
      <c r="DM282" s="229"/>
      <c r="DN282" s="229"/>
      <c r="DO282" s="228">
        <f t="shared" si="812"/>
        <v>0</v>
      </c>
      <c r="DP282" s="228">
        <f t="shared" si="813"/>
        <v>171.8</v>
      </c>
      <c r="DQ282" s="229">
        <f t="shared" si="864"/>
        <v>0</v>
      </c>
      <c r="DR282" s="229">
        <f t="shared" si="865"/>
        <v>0</v>
      </c>
      <c r="DS282" s="229">
        <f t="shared" si="866"/>
        <v>0</v>
      </c>
      <c r="DT282" s="229">
        <f t="shared" si="867"/>
        <v>0</v>
      </c>
      <c r="DU282" s="229">
        <f t="shared" si="868"/>
        <v>0</v>
      </c>
      <c r="DV282" s="229">
        <f t="shared" si="869"/>
        <v>0</v>
      </c>
      <c r="DW282" s="229">
        <f t="shared" si="870"/>
        <v>0</v>
      </c>
      <c r="DX282" s="228">
        <f t="shared" si="793"/>
        <v>0</v>
      </c>
      <c r="DY282" s="229"/>
      <c r="DZ282" s="229"/>
      <c r="EA282" s="229"/>
      <c r="EB282" s="229"/>
      <c r="EC282" s="229"/>
      <c r="ED282" s="229"/>
      <c r="EE282" s="229"/>
      <c r="EF282" s="228">
        <f t="shared" si="847"/>
        <v>0</v>
      </c>
      <c r="EG282" s="228">
        <f t="shared" si="814"/>
        <v>0</v>
      </c>
      <c r="EH282" s="229">
        <f t="shared" si="848"/>
        <v>0</v>
      </c>
      <c r="EI282" s="229">
        <v>13.333333333333329</v>
      </c>
      <c r="EJ282" s="228">
        <f t="shared" si="903"/>
        <v>13.333333333333329</v>
      </c>
      <c r="EK282" s="229"/>
      <c r="EL282" s="229"/>
      <c r="EM282" s="228">
        <f t="shared" si="904"/>
        <v>0</v>
      </c>
      <c r="EN282" s="229">
        <f t="shared" si="907"/>
        <v>0</v>
      </c>
      <c r="EO282" s="229">
        <f t="shared" si="723"/>
        <v>13.333333333333329</v>
      </c>
      <c r="EP282" s="228">
        <f t="shared" si="888"/>
        <v>13.333333333333329</v>
      </c>
      <c r="EQ282" s="173">
        <f t="shared" si="849"/>
        <v>0</v>
      </c>
      <c r="ER282" s="189">
        <v>0</v>
      </c>
      <c r="ES282" s="189">
        <v>8.4</v>
      </c>
      <c r="ET282" s="189">
        <v>3.4</v>
      </c>
      <c r="EU282" s="189">
        <v>0</v>
      </c>
      <c r="EV282" s="189">
        <v>0</v>
      </c>
      <c r="EW282" s="189">
        <v>60</v>
      </c>
      <c r="EX282" s="189">
        <v>0</v>
      </c>
      <c r="EY282" s="189">
        <v>0</v>
      </c>
      <c r="EZ282" s="189">
        <v>0</v>
      </c>
      <c r="FA282" s="189">
        <v>0</v>
      </c>
      <c r="FB282" s="189">
        <v>0</v>
      </c>
      <c r="FC282" s="189">
        <v>100</v>
      </c>
      <c r="FD282" s="189">
        <v>0</v>
      </c>
      <c r="FE282" s="189">
        <v>0</v>
      </c>
      <c r="FF282" s="189">
        <v>0</v>
      </c>
      <c r="FG282" s="189">
        <v>0</v>
      </c>
      <c r="FH282" s="189">
        <v>0</v>
      </c>
      <c r="FI282" s="189">
        <v>0</v>
      </c>
      <c r="FJ282" s="189">
        <v>0</v>
      </c>
      <c r="FK282" s="189">
        <v>171.8</v>
      </c>
      <c r="FL282" s="189">
        <v>164</v>
      </c>
      <c r="FN282" s="132">
        <v>0</v>
      </c>
    </row>
    <row r="283" spans="1:170" ht="30" customHeight="1">
      <c r="A283" s="88">
        <f>COUNTIF($H$12:H283,H283)</f>
        <v>36</v>
      </c>
      <c r="B283" s="88" t="s">
        <v>939</v>
      </c>
      <c r="C283" s="88" t="s">
        <v>1288</v>
      </c>
      <c r="D283" s="88"/>
      <c r="E283" s="88"/>
      <c r="F283" s="301" t="s">
        <v>2210</v>
      </c>
      <c r="G283" s="89" t="s">
        <v>24</v>
      </c>
      <c r="H283" s="88">
        <v>5</v>
      </c>
      <c r="I283" s="88">
        <v>5</v>
      </c>
      <c r="J283" s="88">
        <v>5</v>
      </c>
      <c r="K283" s="90" t="s">
        <v>1087</v>
      </c>
      <c r="L283" s="90" t="s">
        <v>1087</v>
      </c>
      <c r="M283" s="214"/>
      <c r="N283" s="88" t="s">
        <v>1804</v>
      </c>
      <c r="O283" s="216">
        <f t="shared" si="889"/>
        <v>3.66</v>
      </c>
      <c r="P283" s="88" t="str">
        <f t="shared" si="880"/>
        <v>B1_4</v>
      </c>
      <c r="Q283" s="88">
        <f t="shared" si="733"/>
        <v>270</v>
      </c>
      <c r="R283" s="88">
        <f t="shared" si="734"/>
        <v>120</v>
      </c>
      <c r="S283" s="218" t="s">
        <v>3190</v>
      </c>
      <c r="T283" s="88" t="s">
        <v>2961</v>
      </c>
      <c r="U283" s="88">
        <f>IF(RIGHT(T283,1)="K",(VLOOKUP(T283,ma_miengiam!$A$3:$B$80,2,0)*100)/2,VLOOKUP(T283,ma_miengiam!$A$3:$B$80,2,0)*100)</f>
        <v>100</v>
      </c>
      <c r="V283" s="88"/>
      <c r="W283" s="220">
        <f>IF(AND(T283="NTS",V283&gt;0),(Q283-(Q283*V283)/12)*VLOOKUP(T283,ma_miengiam!$A$3:$B$80,2,0)+(Q283-(Q283*(12-V283))/12),IF(AND(RIGHT(T283,1)="K",V283&gt;0),(VLOOKUP(T283,ma_miengiam!$A$3:$B$80,2,0)/2)*(Q283*V283)/12,IF(RIGHT(T283,1)="K",(VLOOKUP(T283,ma_miengiam!$A$3:$B$80,2,0)*Q283)/2,IF(V283&gt;0,VLOOKUP(T283,ma_miengiam!$A$3:$B$80,2,0)*Q283*V283/12,VLOOKUP(T283,ma_miengiam!$A$3:$B$80,2,0)*Q283))))</f>
        <v>270</v>
      </c>
      <c r="X283" s="220">
        <f>IF(T283="NTS",VLOOKUP(T283,ma_miengiam!$A$3:$B$80,2,0)*R283*V283,IF(AND(T283="NTS",V283=0),0,IF(AND(LEFT(T283,1)="K",V283=0),VLOOKUP(T283,ma_miengiam!$A$3:$B$80,2,0)*R283,IF(LEFT(T283,1)="K",(VLOOKUP(T283,ma_miengiam!$A$3:$B$80,2,0)*R283/12)*V283,IF(AND(LEFT(T283,1)="S",V283&gt;0),(R283/12)*V283,IF(AND(LEFT(T283,1)="S",V283=0),R283,IF(T283="DH",VLOOKUP(T283,ma_miengiam!$A$3:$B$80,2,0)*R283,0)))))))</f>
        <v>120</v>
      </c>
      <c r="Y283" s="220">
        <f t="shared" si="783"/>
        <v>0</v>
      </c>
      <c r="Z283" s="220">
        <f>IF(AND(T283="SĐH",V283&gt;0),(R283/12)*V283-X283,IF(AND(T283="DH",V283&gt;0),(R283*V283/12),IF(AND(T283&lt;&gt;"NTS",V283&gt;0),(R283*V283/12)-X283,IF(AND(T283="NTS",V283&gt;0),R283-X283,R283-X283))))</f>
        <v>0</v>
      </c>
      <c r="AA283" s="220">
        <f t="shared" si="890"/>
        <v>270</v>
      </c>
      <c r="AB283" s="220">
        <f t="shared" si="890"/>
        <v>120</v>
      </c>
      <c r="AC283" s="220">
        <f t="shared" si="911"/>
        <v>270</v>
      </c>
      <c r="AD283" s="220">
        <f t="shared" si="911"/>
        <v>120</v>
      </c>
      <c r="AE283" s="220">
        <f t="shared" si="911"/>
        <v>0</v>
      </c>
      <c r="AF283" s="220">
        <f t="shared" si="911"/>
        <v>0</v>
      </c>
      <c r="AG283" s="220">
        <f t="shared" si="891"/>
        <v>30</v>
      </c>
      <c r="AH283" s="220">
        <f t="shared" si="892"/>
        <v>30</v>
      </c>
      <c r="AI283" s="220">
        <f t="shared" si="893"/>
        <v>0</v>
      </c>
      <c r="AJ283" s="220">
        <f t="shared" si="906"/>
        <v>0</v>
      </c>
      <c r="AK283" s="216">
        <f t="shared" si="794"/>
        <v>0</v>
      </c>
      <c r="AL283" s="220">
        <f t="shared" si="795"/>
        <v>0</v>
      </c>
      <c r="AM283" s="220">
        <f t="shared" si="796"/>
        <v>0</v>
      </c>
      <c r="AN283" s="221">
        <f t="shared" si="797"/>
        <v>0</v>
      </c>
      <c r="AO283" s="220">
        <f t="shared" si="798"/>
        <v>0</v>
      </c>
      <c r="AP283" s="220">
        <f t="shared" si="799"/>
        <v>0</v>
      </c>
      <c r="AQ283" s="220">
        <f t="shared" si="800"/>
        <v>0</v>
      </c>
      <c r="AR283" s="220">
        <f t="shared" si="801"/>
        <v>0</v>
      </c>
      <c r="AS283" s="220">
        <f t="shared" si="802"/>
        <v>0</v>
      </c>
      <c r="AT283" s="216">
        <f t="shared" si="803"/>
        <v>0</v>
      </c>
      <c r="AU283" s="222">
        <f t="shared" si="722"/>
        <v>0</v>
      </c>
      <c r="AV283" s="220"/>
      <c r="AW283" s="220">
        <f t="shared" si="804"/>
        <v>0</v>
      </c>
      <c r="AX283" s="216">
        <f t="shared" si="820"/>
        <v>0</v>
      </c>
      <c r="AY283" s="220">
        <f t="shared" si="815"/>
        <v>0</v>
      </c>
      <c r="AZ283" s="220">
        <f t="shared" si="816"/>
        <v>0</v>
      </c>
      <c r="BA283" s="220">
        <f t="shared" si="817"/>
        <v>0</v>
      </c>
      <c r="BB283" s="220">
        <f t="shared" si="818"/>
        <v>0</v>
      </c>
      <c r="BC283" s="220">
        <f t="shared" si="819"/>
        <v>0</v>
      </c>
      <c r="BD283" s="216">
        <f t="shared" si="759"/>
        <v>0</v>
      </c>
      <c r="BE283" s="220">
        <f t="shared" si="805"/>
        <v>0</v>
      </c>
      <c r="BF283" s="220">
        <f t="shared" si="806"/>
        <v>0</v>
      </c>
      <c r="BG283" s="220">
        <f t="shared" si="807"/>
        <v>0</v>
      </c>
      <c r="BH283" s="220">
        <f t="shared" si="808"/>
        <v>0</v>
      </c>
      <c r="BI283" s="220">
        <f t="shared" si="809"/>
        <v>0</v>
      </c>
      <c r="BJ283" s="220" t="s">
        <v>2417</v>
      </c>
      <c r="BK283" s="220"/>
      <c r="BL283" s="223">
        <f t="shared" si="773"/>
        <v>0</v>
      </c>
      <c r="BM283" s="220">
        <v>3.66</v>
      </c>
      <c r="BN283" s="220"/>
      <c r="BO283" s="220">
        <f t="shared" si="894"/>
        <v>3.66</v>
      </c>
      <c r="BP283" s="220">
        <f>IF(AND(BL283&gt;0,BL283&lt;tiet!$D$1),BL283,IF(BL283&lt;=0,0,IF(BL283&gt;tiet!$C$1,tiet!$C$1)))</f>
        <v>0</v>
      </c>
      <c r="BQ283" s="87">
        <f t="shared" si="895"/>
        <v>65000</v>
      </c>
      <c r="BR283" s="224">
        <f t="shared" si="896"/>
        <v>0</v>
      </c>
      <c r="BS283" s="220">
        <f t="shared" si="846"/>
        <v>0</v>
      </c>
      <c r="BT283" s="224">
        <f>VLOOKUP(N283,ma_dinhmuc!$A$1:$J$31,10,0)</f>
        <v>51000</v>
      </c>
      <c r="BU283" s="224">
        <f>ROUND(IF(BS283&gt;0,VLOOKUP(N283,ma_dinhmuc!$A$1:$J$31,10,0)*BS283,0),0)</f>
        <v>0</v>
      </c>
      <c r="BV283" s="224">
        <f t="shared" si="897"/>
        <v>0</v>
      </c>
      <c r="BW283" s="224"/>
      <c r="BX283" s="224">
        <v>0</v>
      </c>
      <c r="BY283" s="224"/>
      <c r="BZ283" s="224"/>
      <c r="CA283" s="224"/>
      <c r="CB283" s="224"/>
      <c r="CC283" s="225">
        <f>ROUND(IF(BV283+BW283&gt;BX283+BY283+BZ283+CA283+CB283,(BW283+BV283)-(BX283+BY283+BZ283+CA283+CB283+CB283),0),0)</f>
        <v>0</v>
      </c>
      <c r="CD283" s="224">
        <f>ROUND(IF(BV283+BW283&lt;BX283+BY283+BZ283+CA283-CB283,(BX283+BY283+BZ283+CA283-CB283)-(BW283+BV283),0),0)</f>
        <v>0</v>
      </c>
      <c r="CE283" s="224"/>
      <c r="CF283" s="226"/>
      <c r="CG283" s="87"/>
      <c r="CH283" s="87">
        <f t="shared" si="898"/>
        <v>36</v>
      </c>
      <c r="CI283" s="227" t="str">
        <f t="shared" si="899"/>
        <v>Trần Mạnh</v>
      </c>
      <c r="CJ283" s="227" t="str">
        <f t="shared" si="900"/>
        <v>Hải</v>
      </c>
      <c r="CK283" s="87">
        <f t="shared" si="901"/>
        <v>5</v>
      </c>
      <c r="CL283" s="227" t="str">
        <f t="shared" si="902"/>
        <v>Phát triển nông thôn</v>
      </c>
      <c r="CM283" s="87" t="str">
        <f t="shared" si="810"/>
        <v>CS2</v>
      </c>
      <c r="CN283" s="87">
        <f t="shared" si="910"/>
        <v>270</v>
      </c>
      <c r="CO283" s="87">
        <f t="shared" si="910"/>
        <v>120</v>
      </c>
      <c r="CP283" s="229">
        <f t="shared" si="852"/>
        <v>0</v>
      </c>
      <c r="CQ283" s="229">
        <f t="shared" si="853"/>
        <v>0</v>
      </c>
      <c r="CR283" s="229">
        <f t="shared" si="854"/>
        <v>0</v>
      </c>
      <c r="CS283" s="229">
        <f t="shared" si="855"/>
        <v>0</v>
      </c>
      <c r="CT283" s="229">
        <f t="shared" si="856"/>
        <v>0</v>
      </c>
      <c r="CU283" s="229">
        <f t="shared" si="857"/>
        <v>0</v>
      </c>
      <c r="CV283" s="229">
        <f t="shared" si="858"/>
        <v>0</v>
      </c>
      <c r="CW283" s="229">
        <f t="shared" si="859"/>
        <v>0</v>
      </c>
      <c r="CX283" s="229">
        <f t="shared" si="860"/>
        <v>0</v>
      </c>
      <c r="CY283" s="229">
        <f t="shared" si="861"/>
        <v>0</v>
      </c>
      <c r="CZ283" s="229">
        <f t="shared" si="862"/>
        <v>0</v>
      </c>
      <c r="DA283" s="229">
        <f t="shared" si="863"/>
        <v>0</v>
      </c>
      <c r="DB283" s="228">
        <f t="shared" si="792"/>
        <v>0</v>
      </c>
      <c r="DC283" s="229"/>
      <c r="DD283" s="229"/>
      <c r="DE283" s="229"/>
      <c r="DF283" s="229"/>
      <c r="DG283" s="229"/>
      <c r="DH283" s="229"/>
      <c r="DI283" s="229"/>
      <c r="DJ283" s="229"/>
      <c r="DK283" s="229"/>
      <c r="DL283" s="229"/>
      <c r="DM283" s="229"/>
      <c r="DN283" s="229"/>
      <c r="DO283" s="228">
        <f t="shared" si="812"/>
        <v>0</v>
      </c>
      <c r="DP283" s="228">
        <f t="shared" si="813"/>
        <v>0</v>
      </c>
      <c r="DQ283" s="229">
        <f t="shared" si="864"/>
        <v>0</v>
      </c>
      <c r="DR283" s="229">
        <f t="shared" si="865"/>
        <v>0</v>
      </c>
      <c r="DS283" s="229">
        <f t="shared" si="866"/>
        <v>0</v>
      </c>
      <c r="DT283" s="229">
        <f t="shared" si="867"/>
        <v>0</v>
      </c>
      <c r="DU283" s="229">
        <f t="shared" si="868"/>
        <v>0</v>
      </c>
      <c r="DV283" s="229">
        <f t="shared" si="869"/>
        <v>0</v>
      </c>
      <c r="DW283" s="229">
        <f t="shared" si="870"/>
        <v>0</v>
      </c>
      <c r="DX283" s="228">
        <f t="shared" si="793"/>
        <v>0</v>
      </c>
      <c r="DY283" s="229"/>
      <c r="DZ283" s="229"/>
      <c r="EA283" s="229"/>
      <c r="EB283" s="229"/>
      <c r="EC283" s="229"/>
      <c r="ED283" s="229"/>
      <c r="EE283" s="229"/>
      <c r="EF283" s="228">
        <f t="shared" si="847"/>
        <v>0</v>
      </c>
      <c r="EG283" s="228">
        <f t="shared" si="814"/>
        <v>0</v>
      </c>
      <c r="EH283" s="229">
        <f t="shared" si="848"/>
        <v>0</v>
      </c>
      <c r="EI283" s="229">
        <v>30</v>
      </c>
      <c r="EJ283" s="228">
        <f t="shared" si="903"/>
        <v>30</v>
      </c>
      <c r="EK283" s="229"/>
      <c r="EL283" s="229"/>
      <c r="EM283" s="228">
        <f t="shared" si="904"/>
        <v>0</v>
      </c>
      <c r="EN283" s="229">
        <f t="shared" si="907"/>
        <v>0</v>
      </c>
      <c r="EO283" s="229">
        <f t="shared" si="723"/>
        <v>30</v>
      </c>
      <c r="EP283" s="228">
        <f t="shared" si="888"/>
        <v>30</v>
      </c>
      <c r="EQ283" s="173">
        <f t="shared" si="849"/>
        <v>0</v>
      </c>
      <c r="ER283" s="189">
        <v>0</v>
      </c>
      <c r="ES283" s="189">
        <v>0</v>
      </c>
      <c r="ET283" s="189">
        <v>0</v>
      </c>
      <c r="EU283" s="189">
        <v>0</v>
      </c>
      <c r="EV283" s="189">
        <v>0</v>
      </c>
      <c r="EW283" s="189">
        <v>0</v>
      </c>
      <c r="EX283" s="189">
        <v>0</v>
      </c>
      <c r="EY283" s="189">
        <v>0</v>
      </c>
      <c r="EZ283" s="189">
        <v>0</v>
      </c>
      <c r="FA283" s="189">
        <v>0</v>
      </c>
      <c r="FB283" s="189">
        <v>0</v>
      </c>
      <c r="FC283" s="189">
        <v>0</v>
      </c>
      <c r="FD283" s="189">
        <v>0</v>
      </c>
      <c r="FE283" s="189">
        <v>0</v>
      </c>
      <c r="FF283" s="189">
        <v>0</v>
      </c>
      <c r="FG283" s="189">
        <v>0</v>
      </c>
      <c r="FH283" s="189">
        <v>0</v>
      </c>
      <c r="FI283" s="189">
        <v>0</v>
      </c>
      <c r="FJ283" s="189">
        <v>0</v>
      </c>
      <c r="FK283" s="189">
        <v>0</v>
      </c>
      <c r="FL283" s="189">
        <v>0</v>
      </c>
      <c r="FN283" s="132">
        <v>0</v>
      </c>
    </row>
    <row r="284" spans="1:170" ht="30" customHeight="1">
      <c r="A284" s="88">
        <f>COUNTIF($H$12:H284,H284)</f>
        <v>37</v>
      </c>
      <c r="B284" s="88" t="s">
        <v>933</v>
      </c>
      <c r="C284" s="88" t="s">
        <v>2638</v>
      </c>
      <c r="D284" s="88" t="s">
        <v>621</v>
      </c>
      <c r="E284" s="88"/>
      <c r="F284" s="301" t="s">
        <v>184</v>
      </c>
      <c r="G284" s="89" t="s">
        <v>8</v>
      </c>
      <c r="H284" s="88">
        <v>5</v>
      </c>
      <c r="I284" s="88">
        <v>5</v>
      </c>
      <c r="J284" s="88">
        <v>5</v>
      </c>
      <c r="K284" s="90" t="s">
        <v>1087</v>
      </c>
      <c r="L284" s="90" t="s">
        <v>1087</v>
      </c>
      <c r="M284" s="214"/>
      <c r="N284" s="88" t="s">
        <v>1804</v>
      </c>
      <c r="O284" s="216">
        <f>BO284</f>
        <v>2.67</v>
      </c>
      <c r="P284" s="88" t="str">
        <f t="shared" si="880"/>
        <v>B1_3</v>
      </c>
      <c r="Q284" s="88">
        <f t="shared" si="733"/>
        <v>270</v>
      </c>
      <c r="R284" s="88">
        <f t="shared" si="734"/>
        <v>100</v>
      </c>
      <c r="S284" s="218" t="s">
        <v>3133</v>
      </c>
      <c r="T284" s="88" t="s">
        <v>2961</v>
      </c>
      <c r="U284" s="88">
        <f>IF(RIGHT(T284,1)="K",(VLOOKUP(T284,ma_miengiam!$A$3:$B$80,2,0)*100)/2,VLOOKUP(T284,ma_miengiam!$A$3:$B$80,2,0)*100)</f>
        <v>100</v>
      </c>
      <c r="V284" s="88"/>
      <c r="W284" s="220">
        <f>IF(AND(T284="NTS",V284&gt;0),(Q284-(Q284*V284)/12)*VLOOKUP(T284,ma_miengiam!$A$3:$B$80,2,0)+(Q284-(Q284*(12-V284))/12),IF(AND(RIGHT(T284,1)="K",V284&gt;0),(VLOOKUP(T284,ma_miengiam!$A$3:$B$80,2,0)/2)*(Q284*V284)/12,IF(RIGHT(T284,1)="K",(VLOOKUP(T284,ma_miengiam!$A$3:$B$80,2,0)*Q284)/2,IF(V284&gt;0,VLOOKUP(T284,ma_miengiam!$A$3:$B$80,2,0)*Q284*V284/12,VLOOKUP(T284,ma_miengiam!$A$3:$B$80,2,0)*Q284))))</f>
        <v>270</v>
      </c>
      <c r="X284" s="220">
        <f>IF(T284="NTS",VLOOKUP(T284,ma_miengiam!$A$3:$B$80,2,0)*R284*V284,IF(AND(T284="NTS",V284=0),0,IF(AND(LEFT(T284,1)="K",V284=0),VLOOKUP(T284,ma_miengiam!$A$3:$B$80,2,0)*R284,IF(LEFT(T284,1)="K",(VLOOKUP(T284,ma_miengiam!$A$3:$B$80,2,0)*R284/12)*V284,IF(AND(LEFT(T284,1)="S",V284&gt;0),(R284/12)*V284,IF(AND(LEFT(T284,1)="S",V284=0),R284,IF(T284="DH",VLOOKUP(T284,ma_miengiam!$A$3:$B$80,2,0)*R284,0)))))))</f>
        <v>100</v>
      </c>
      <c r="Y284" s="220">
        <f>IF(AND(T284="DH",V284&gt;0),(S284*V284/12),IF(AND(T284&lt;&gt;"NTS",V284&gt;0),(Q284*V284/12)-W284,IF(AND(T284="NTS",V284&gt;0),Q284-W284,Q284-W284)))</f>
        <v>0</v>
      </c>
      <c r="Z284" s="220">
        <f>IF(AND(T284="SĐH",V284&gt;0),(R284/12)*V284-X284,IF(AND(T284="DH",V284&gt;0),(R284*V284/12),IF(AND(T284&lt;&gt;"NTS",V284&gt;0),(R284*V284/12)-X284,IF(AND(T284="NTS",V284&gt;0),R284-X284,R284-X284))))</f>
        <v>0</v>
      </c>
      <c r="AA284" s="220">
        <f>Q284</f>
        <v>270</v>
      </c>
      <c r="AB284" s="220">
        <f>R284</f>
        <v>100</v>
      </c>
      <c r="AC284" s="220">
        <f>W284</f>
        <v>270</v>
      </c>
      <c r="AD284" s="220">
        <f>X284</f>
        <v>100</v>
      </c>
      <c r="AE284" s="220">
        <f>Y284</f>
        <v>0</v>
      </c>
      <c r="AF284" s="220">
        <f>Z284</f>
        <v>0</v>
      </c>
      <c r="AG284" s="220">
        <f>AH284+AI284</f>
        <v>165.48</v>
      </c>
      <c r="AH284" s="220">
        <f>EO284</f>
        <v>165.48</v>
      </c>
      <c r="AI284" s="220">
        <f>EN284</f>
        <v>0</v>
      </c>
      <c r="AJ284" s="220">
        <f>IF(AG284-Z284&gt;0,0,AG284-Z284)</f>
        <v>0</v>
      </c>
      <c r="AK284" s="216">
        <f t="shared" si="794"/>
        <v>0</v>
      </c>
      <c r="AL284" s="220">
        <f>SUM(CP284:CX284)+SUM(DC284:DK284)</f>
        <v>0</v>
      </c>
      <c r="AM284" s="220">
        <f>SUM(DQ284:DU284)+SUM(DY284:EC284)</f>
        <v>0</v>
      </c>
      <c r="AN284" s="216">
        <f>AM284+AL284</f>
        <v>0</v>
      </c>
      <c r="AO284" s="220">
        <f>CY284+DL284</f>
        <v>0</v>
      </c>
      <c r="AP284" s="220">
        <f>CZ284+DM284</f>
        <v>0</v>
      </c>
      <c r="AQ284" s="220">
        <f>DA284+DN284</f>
        <v>0</v>
      </c>
      <c r="AR284" s="220">
        <f>DV284+ED284</f>
        <v>0</v>
      </c>
      <c r="AS284" s="220">
        <f>DW284+EE284</f>
        <v>0</v>
      </c>
      <c r="AT284" s="216">
        <f>AN284+SUM(AO284:AS284)</f>
        <v>0</v>
      </c>
      <c r="AU284" s="220">
        <f>AN284-AK284</f>
        <v>0</v>
      </c>
      <c r="AV284" s="220"/>
      <c r="AW284" s="220">
        <f>IF(AU284&gt;0,AU284,AV284+AU284)</f>
        <v>0</v>
      </c>
      <c r="AX284" s="216">
        <f t="shared" si="820"/>
        <v>0</v>
      </c>
      <c r="AY284" s="220">
        <f>IF(AN284&gt;=AK284,AO284,IF(AN284+AO284-AK284&gt;=0,AN284+AO284-AK284,0))</f>
        <v>0</v>
      </c>
      <c r="AZ284" s="220">
        <f>IF(OR(AN284&gt;=AK284,AN284+AO284&gt;=AK284),AP284,IF(AN284+AO284+AP284&gt;AK284,AN284+AO284+AP284-AK284,0))</f>
        <v>0</v>
      </c>
      <c r="BA284" s="220">
        <f>IF(OR(AN284&gt;=AK284,AN284+AO284&gt;=AK284,AN284+AO284+AP284&gt;=AK284),AQ284,IF(AN284+AO284+AP284+AQ284&gt;=AK284,AN284+AO284+AP284+AQ284-AK284,0))</f>
        <v>0</v>
      </c>
      <c r="BB284" s="220">
        <f>IF(OR(AN284&gt;=AK284,AN284+AO284&gt;=AK284,AN284+AO284+AP284&gt;=AK284,AN284+AO284+AP284+AQ284&gt;=AK284),AR284,IF(AN284+AO284+AP284+AQ284+AR284&gt;=AK284,AN284+AO284+AP284+AQ284+AR284-AK284,0))</f>
        <v>0</v>
      </c>
      <c r="BC284" s="220">
        <f>IF(OR(AN284&gt;=AK284,AN284+AO284&gt;=AK284,AN284+AO284+AP284&gt;=AK284,AN284+AO284+AP284+AQ284&gt;=AK284,AN284+AO284+AP284+AQ284+AR284&gt;=AK284),AS284,IF(AN284+AO284+AP284+AQ284+AR284+AS284&gt;=AK284,AN284+AO284+AP284+AQ284+AR284+AS284-AK284,0))</f>
        <v>0</v>
      </c>
      <c r="BD284" s="216">
        <f t="shared" si="759"/>
        <v>0</v>
      </c>
      <c r="BE284" s="220">
        <f>AY284-AO284</f>
        <v>0</v>
      </c>
      <c r="BF284" s="220">
        <f>AZ284-AP284</f>
        <v>0</v>
      </c>
      <c r="BG284" s="220">
        <f>BA284-AQ284</f>
        <v>0</v>
      </c>
      <c r="BH284" s="220">
        <f>BB284-AR284</f>
        <v>0</v>
      </c>
      <c r="BI284" s="220">
        <f>BC284-AS284</f>
        <v>0</v>
      </c>
      <c r="BJ284" s="220" t="s">
        <v>2417</v>
      </c>
      <c r="BK284" s="220"/>
      <c r="BL284" s="223">
        <f t="shared" si="773"/>
        <v>0</v>
      </c>
      <c r="BM284" s="220">
        <v>2.67</v>
      </c>
      <c r="BN284" s="220"/>
      <c r="BO284" s="220">
        <f>ROUND(BM284+(BM284*BN284),2)</f>
        <v>2.67</v>
      </c>
      <c r="BP284" s="220">
        <f>IF(AND(BL284&gt;0,BL284&lt;tiet!$D$1),BL284,IF(BL284&lt;=0,0,IF(BL284&gt;tiet!$C$1,tiet!$C$1)))</f>
        <v>0</v>
      </c>
      <c r="BQ284" s="87">
        <f t="shared" ref="BQ284:BQ289" si="912">VLOOKUP(P284,ma_dinhmuc_moi,4,0)</f>
        <v>60000</v>
      </c>
      <c r="BR284" s="224">
        <f t="shared" ref="BR284:BR289" si="913">ROUND(BQ284*BP284,0)</f>
        <v>0</v>
      </c>
      <c r="BS284" s="220">
        <f t="shared" si="846"/>
        <v>0</v>
      </c>
      <c r="BT284" s="224">
        <f>VLOOKUP(N284,ma_dinhmuc!$A$1:$J$31,10,0)</f>
        <v>51000</v>
      </c>
      <c r="BU284" s="224">
        <f>ROUND(IF(BS284&gt;0,VLOOKUP(N284,ma_dinhmuc!$A$1:$J$31,10,0)*BS284,0),0)</f>
        <v>0</v>
      </c>
      <c r="BV284" s="224">
        <f t="shared" ref="BV284:BV289" si="914">ROUND(BU284+BR284,0)</f>
        <v>0</v>
      </c>
      <c r="BW284" s="224"/>
      <c r="BX284" s="224">
        <v>0</v>
      </c>
      <c r="BY284" s="224"/>
      <c r="BZ284" s="224"/>
      <c r="CA284" s="224"/>
      <c r="CB284" s="224"/>
      <c r="CC284" s="225">
        <f>ROUND(IF(BV284+BW284&gt;BX284+BY284+BZ284+CA284+CB284,(BW284+BV284)-(BX284+BY284+BZ284+CA284+CB284+CB284),0),0)</f>
        <v>0</v>
      </c>
      <c r="CD284" s="224">
        <f>ROUND(IF(BV284+BW284&lt;BX284+BY284+BZ284+CA284-CB284,(BX284+BY284+BZ284+CA284-CB284)-(BW284+BV284),0),0)</f>
        <v>0</v>
      </c>
      <c r="CE284" s="224"/>
      <c r="CF284" s="226"/>
      <c r="CG284" s="87"/>
      <c r="CH284" s="87">
        <f>A284</f>
        <v>37</v>
      </c>
      <c r="CI284" s="227" t="str">
        <f t="shared" si="899"/>
        <v>Trần Nguyên</v>
      </c>
      <c r="CJ284" s="227" t="str">
        <f t="shared" si="900"/>
        <v>Thành</v>
      </c>
      <c r="CK284" s="87">
        <f t="shared" si="901"/>
        <v>5</v>
      </c>
      <c r="CL284" s="227" t="str">
        <f>L284</f>
        <v>Phát triển nông thôn</v>
      </c>
      <c r="CM284" s="87" t="str">
        <f>N284</f>
        <v>CS2</v>
      </c>
      <c r="CN284" s="87">
        <f>Q284</f>
        <v>270</v>
      </c>
      <c r="CO284" s="87">
        <f>R284</f>
        <v>100</v>
      </c>
      <c r="CP284" s="229">
        <f t="shared" si="852"/>
        <v>0</v>
      </c>
      <c r="CQ284" s="229">
        <f t="shared" si="853"/>
        <v>0</v>
      </c>
      <c r="CR284" s="229">
        <f t="shared" si="854"/>
        <v>0</v>
      </c>
      <c r="CS284" s="229">
        <f t="shared" si="855"/>
        <v>0</v>
      </c>
      <c r="CT284" s="229">
        <f t="shared" si="856"/>
        <v>0</v>
      </c>
      <c r="CU284" s="229">
        <f t="shared" si="857"/>
        <v>0</v>
      </c>
      <c r="CV284" s="229">
        <f t="shared" si="858"/>
        <v>0</v>
      </c>
      <c r="CW284" s="229">
        <f t="shared" si="859"/>
        <v>0</v>
      </c>
      <c r="CX284" s="229">
        <f t="shared" si="860"/>
        <v>0</v>
      </c>
      <c r="CY284" s="229">
        <f t="shared" si="861"/>
        <v>0</v>
      </c>
      <c r="CZ284" s="229">
        <f t="shared" si="862"/>
        <v>0</v>
      </c>
      <c r="DA284" s="229">
        <f t="shared" si="863"/>
        <v>0</v>
      </c>
      <c r="DB284" s="228">
        <f>SUM(CP284:DA284)</f>
        <v>0</v>
      </c>
      <c r="DC284" s="229"/>
      <c r="DD284" s="229"/>
      <c r="DE284" s="229"/>
      <c r="DF284" s="229"/>
      <c r="DG284" s="229"/>
      <c r="DH284" s="229"/>
      <c r="DI284" s="229"/>
      <c r="DJ284" s="229"/>
      <c r="DK284" s="229"/>
      <c r="DL284" s="229"/>
      <c r="DM284" s="229"/>
      <c r="DN284" s="229"/>
      <c r="DO284" s="228">
        <f>SUM(DC284:DN284)</f>
        <v>0</v>
      </c>
      <c r="DP284" s="228">
        <f>DO284+DB284</f>
        <v>0</v>
      </c>
      <c r="DQ284" s="229">
        <f t="shared" si="864"/>
        <v>0</v>
      </c>
      <c r="DR284" s="229">
        <f t="shared" si="865"/>
        <v>0</v>
      </c>
      <c r="DS284" s="229">
        <f t="shared" si="866"/>
        <v>0</v>
      </c>
      <c r="DT284" s="229">
        <f t="shared" si="867"/>
        <v>0</v>
      </c>
      <c r="DU284" s="229">
        <f t="shared" si="868"/>
        <v>0</v>
      </c>
      <c r="DV284" s="229">
        <f t="shared" si="869"/>
        <v>0</v>
      </c>
      <c r="DW284" s="229">
        <f t="shared" si="870"/>
        <v>0</v>
      </c>
      <c r="DX284" s="228">
        <f>SUM(DQ284:DW284)</f>
        <v>0</v>
      </c>
      <c r="DY284" s="229"/>
      <c r="DZ284" s="229"/>
      <c r="EA284" s="229"/>
      <c r="EB284" s="229"/>
      <c r="EC284" s="229"/>
      <c r="ED284" s="229"/>
      <c r="EE284" s="229"/>
      <c r="EF284" s="228">
        <f t="shared" si="847"/>
        <v>0</v>
      </c>
      <c r="EG284" s="228">
        <f>EF284+DX284</f>
        <v>0</v>
      </c>
      <c r="EH284" s="229">
        <f t="shared" si="848"/>
        <v>0</v>
      </c>
      <c r="EI284" s="229">
        <v>165.48</v>
      </c>
      <c r="EJ284" s="228">
        <f>SUM(EH284:EI284)</f>
        <v>165.48</v>
      </c>
      <c r="EK284" s="229"/>
      <c r="EL284" s="229"/>
      <c r="EM284" s="228">
        <f>SUM(EK284:EL284)</f>
        <v>0</v>
      </c>
      <c r="EN284" s="229">
        <f>EK284+EH284+EL284</f>
        <v>0</v>
      </c>
      <c r="EO284" s="229">
        <f>EI284</f>
        <v>165.48</v>
      </c>
      <c r="EP284" s="228">
        <f>EM284+EJ284</f>
        <v>165.48</v>
      </c>
      <c r="EQ284" s="173">
        <f t="shared" si="849"/>
        <v>0</v>
      </c>
      <c r="ER284" s="189">
        <v>0</v>
      </c>
      <c r="ES284" s="189">
        <v>0</v>
      </c>
      <c r="ET284" s="189">
        <v>0</v>
      </c>
      <c r="EU284" s="189">
        <v>0</v>
      </c>
      <c r="EV284" s="189">
        <v>0</v>
      </c>
      <c r="EW284" s="189">
        <v>0</v>
      </c>
      <c r="EX284" s="189">
        <v>0</v>
      </c>
      <c r="EY284" s="189">
        <v>0</v>
      </c>
      <c r="EZ284" s="189">
        <v>0</v>
      </c>
      <c r="FA284" s="189">
        <v>0</v>
      </c>
      <c r="FB284" s="189">
        <v>0</v>
      </c>
      <c r="FC284" s="189">
        <v>0</v>
      </c>
      <c r="FD284" s="189">
        <v>0</v>
      </c>
      <c r="FE284" s="189">
        <v>0</v>
      </c>
      <c r="FF284" s="189">
        <v>0</v>
      </c>
      <c r="FG284" s="189">
        <v>0</v>
      </c>
      <c r="FH284" s="189">
        <v>0</v>
      </c>
      <c r="FI284" s="189">
        <v>0</v>
      </c>
      <c r="FJ284" s="189">
        <v>0</v>
      </c>
      <c r="FK284" s="189">
        <v>0</v>
      </c>
      <c r="FL284" s="189">
        <v>0</v>
      </c>
      <c r="FN284" s="132">
        <v>0</v>
      </c>
    </row>
    <row r="285" spans="1:170" ht="30" customHeight="1">
      <c r="A285" s="88">
        <f>COUNTIF($H$12:H285,H285)</f>
        <v>38</v>
      </c>
      <c r="B285" s="88" t="s">
        <v>941</v>
      </c>
      <c r="C285" s="88" t="s">
        <v>1290</v>
      </c>
      <c r="D285" s="88"/>
      <c r="E285" s="88"/>
      <c r="F285" s="301" t="s">
        <v>2212</v>
      </c>
      <c r="G285" s="303" t="s">
        <v>1726</v>
      </c>
      <c r="H285" s="88">
        <v>5</v>
      </c>
      <c r="I285" s="88">
        <v>5</v>
      </c>
      <c r="J285" s="88">
        <v>5</v>
      </c>
      <c r="K285" s="90" t="s">
        <v>1088</v>
      </c>
      <c r="L285" s="90" t="s">
        <v>1088</v>
      </c>
      <c r="M285" s="214"/>
      <c r="N285" s="88" t="s">
        <v>605</v>
      </c>
      <c r="O285" s="216">
        <f t="shared" ref="O285:O296" si="915">BO285</f>
        <v>7.64</v>
      </c>
      <c r="P285" s="88" t="str">
        <f t="shared" si="880"/>
        <v>B1_8</v>
      </c>
      <c r="Q285" s="88">
        <f t="shared" si="733"/>
        <v>270</v>
      </c>
      <c r="R285" s="88">
        <f t="shared" si="734"/>
        <v>280</v>
      </c>
      <c r="S285" s="230"/>
      <c r="T285" s="88" t="s">
        <v>3088</v>
      </c>
      <c r="U285" s="88">
        <f>IF(RIGHT(T285,1)="K",(VLOOKUP(T285,ma_miengiam!$A$3:$B$80,2,0)*100)/2,VLOOKUP(T285,ma_miengiam!$A$3:$B$80,2,0)*100)</f>
        <v>0</v>
      </c>
      <c r="V285" s="88"/>
      <c r="W285" s="220">
        <f>IF(AND(T285="NTS",V285&gt;0),(Q285-(Q285*V285)/12)*VLOOKUP(T285,ma_miengiam!$A$3:$B$80,2,0)+(Q285-(Q285*(12-V285))/12),IF(AND(RIGHT(T285,1)="K",V285&gt;0),(VLOOKUP(T285,ma_miengiam!$A$3:$B$80,2,0)/2)*(Q285*V285)/12,IF(RIGHT(T285,1)="K",(VLOOKUP(T285,ma_miengiam!$A$3:$B$80,2,0)*Q285)/2,IF(V285&gt;0,VLOOKUP(T285,ma_miengiam!$A$3:$B$80,2,0)*Q285*V285/12,VLOOKUP(T285,ma_miengiam!$A$3:$B$80,2,0)*Q285))))</f>
        <v>0</v>
      </c>
      <c r="X285" s="220">
        <f>IF(T285="NTS",VLOOKUP(T285,ma_miengiam!$A$3:$B$80,2,0)*R285*V285,IF(AND(T285="NTS",V285=0),0,IF(AND(LEFT(T285,1)="K",V285=0),VLOOKUP(T285,ma_miengiam!$A$3:$B$80,2,0)*R285,IF(LEFT(T285,1)="K",(VLOOKUP(T285,ma_miengiam!$A$3:$B$80,2,0)*R285/12)*V285,IF(AND(LEFT(T285,1)="S",V285&gt;0),(R285/12)*V285,IF(AND(LEFT(T285,1)="S",V285=0),R285,IF(T285="DH",VLOOKUP(T285,ma_miengiam!$A$3:$B$80,2,0)*R285,0)))))))</f>
        <v>0</v>
      </c>
      <c r="Y285" s="220">
        <f t="shared" si="783"/>
        <v>270</v>
      </c>
      <c r="Z285" s="220">
        <f>IF(AND(T285="SĐH",V285&gt;0),(R285/12)*V285-X285,IF(AND(T285="DH",V285&gt;0),(R285*V285/12),IF(AND(T285&lt;&gt;"NTS",V285&gt;0),(R285*V285/12)-X285,IF(AND(T285="NTS",V285&gt;0),R285-X285,R285-X285))))</f>
        <v>280</v>
      </c>
      <c r="AA285" s="220">
        <f t="shared" ref="AA285:AB290" si="916">Q285</f>
        <v>270</v>
      </c>
      <c r="AB285" s="220">
        <f t="shared" si="916"/>
        <v>280</v>
      </c>
      <c r="AC285" s="220">
        <f t="shared" ref="AC285:AF286" si="917">W285</f>
        <v>0</v>
      </c>
      <c r="AD285" s="220">
        <f t="shared" si="917"/>
        <v>0</v>
      </c>
      <c r="AE285" s="220">
        <f t="shared" si="917"/>
        <v>270</v>
      </c>
      <c r="AF285" s="220">
        <f t="shared" si="917"/>
        <v>280</v>
      </c>
      <c r="AG285" s="220">
        <f>AH285+AI285</f>
        <v>384.78</v>
      </c>
      <c r="AH285" s="220">
        <f>EO285</f>
        <v>177.64</v>
      </c>
      <c r="AI285" s="220">
        <f>EN285</f>
        <v>207.14</v>
      </c>
      <c r="AJ285" s="220">
        <f t="shared" ref="AJ285:AJ327" si="918">IF(AG285-Z285&gt;0,0,AG285-Z285)</f>
        <v>0</v>
      </c>
      <c r="AK285" s="216">
        <f t="shared" si="794"/>
        <v>270</v>
      </c>
      <c r="AL285" s="220">
        <f t="shared" si="795"/>
        <v>71.599999999999994</v>
      </c>
      <c r="AM285" s="220">
        <f t="shared" si="796"/>
        <v>532.69999999999993</v>
      </c>
      <c r="AN285" s="221">
        <f t="shared" si="797"/>
        <v>604.29999999999995</v>
      </c>
      <c r="AO285" s="220">
        <f t="shared" si="798"/>
        <v>0</v>
      </c>
      <c r="AP285" s="220">
        <f t="shared" si="799"/>
        <v>0</v>
      </c>
      <c r="AQ285" s="220">
        <f t="shared" si="800"/>
        <v>0</v>
      </c>
      <c r="AR285" s="220">
        <f t="shared" si="801"/>
        <v>520</v>
      </c>
      <c r="AS285" s="220">
        <f t="shared" si="802"/>
        <v>50</v>
      </c>
      <c r="AT285" s="216">
        <f t="shared" si="803"/>
        <v>1174.3</v>
      </c>
      <c r="AU285" s="222">
        <f t="shared" ref="AU285:AU342" si="919">AN285-AK285</f>
        <v>334.29999999999995</v>
      </c>
      <c r="AV285" s="220"/>
      <c r="AW285" s="220">
        <f t="shared" si="804"/>
        <v>334.29999999999995</v>
      </c>
      <c r="AX285" s="216">
        <f t="shared" si="820"/>
        <v>0</v>
      </c>
      <c r="AY285" s="220">
        <f t="shared" si="815"/>
        <v>0</v>
      </c>
      <c r="AZ285" s="220">
        <f t="shared" si="816"/>
        <v>0</v>
      </c>
      <c r="BA285" s="220">
        <f t="shared" si="817"/>
        <v>0</v>
      </c>
      <c r="BB285" s="220">
        <f t="shared" si="818"/>
        <v>520</v>
      </c>
      <c r="BC285" s="220">
        <f t="shared" si="819"/>
        <v>50</v>
      </c>
      <c r="BD285" s="216">
        <f t="shared" si="759"/>
        <v>570</v>
      </c>
      <c r="BE285" s="220">
        <f t="shared" si="805"/>
        <v>0</v>
      </c>
      <c r="BF285" s="220">
        <f t="shared" si="806"/>
        <v>0</v>
      </c>
      <c r="BG285" s="220">
        <f t="shared" si="807"/>
        <v>0</v>
      </c>
      <c r="BH285" s="220">
        <f t="shared" si="808"/>
        <v>0</v>
      </c>
      <c r="BI285" s="220">
        <f t="shared" si="809"/>
        <v>0</v>
      </c>
      <c r="BJ285" s="220" t="s">
        <v>2418</v>
      </c>
      <c r="BK285" s="220"/>
      <c r="BL285" s="223">
        <f t="shared" si="773"/>
        <v>334.29999999999995</v>
      </c>
      <c r="BM285" s="220">
        <v>7.64</v>
      </c>
      <c r="BN285" s="220"/>
      <c r="BO285" s="220">
        <f t="shared" ref="BO285:BO296" si="920">ROUND(BM285+(BM285*BN285),2)</f>
        <v>7.64</v>
      </c>
      <c r="BP285" s="220">
        <f>IF(AND(BL285&gt;0,BL285&lt;tiet!$D$1),BL285,IF(BL285&lt;=0,0,IF(BL285&gt;tiet!$C$1,tiet!$C$1)))</f>
        <v>200</v>
      </c>
      <c r="BQ285" s="87">
        <f t="shared" si="912"/>
        <v>85000</v>
      </c>
      <c r="BR285" s="224">
        <f t="shared" si="913"/>
        <v>17000000</v>
      </c>
      <c r="BS285" s="220">
        <f t="shared" si="846"/>
        <v>134.29999999999995</v>
      </c>
      <c r="BT285" s="224">
        <f>VLOOKUP(N285,ma_dinhmuc!$A$1:$J$31,10,0)</f>
        <v>65000</v>
      </c>
      <c r="BU285" s="224">
        <f>ROUND(IF(BS285&gt;0,VLOOKUP(N285,ma_dinhmuc!$A$1:$J$31,10,0)*BS285,0),0)</f>
        <v>8729500</v>
      </c>
      <c r="BV285" s="224">
        <f t="shared" si="914"/>
        <v>25729500</v>
      </c>
      <c r="BW285" s="224"/>
      <c r="BX285" s="224">
        <v>0</v>
      </c>
      <c r="BY285" s="224"/>
      <c r="BZ285" s="224"/>
      <c r="CA285" s="224"/>
      <c r="CB285" s="224"/>
      <c r="CC285" s="225">
        <f>ROUND(IF(BV285+BW285&gt;BX285+BY285+BZ285+CA285+CB285,(BW285+BV285)-(BX285+BY285+BZ285+CA285+CB285+CB285),0),0)</f>
        <v>25729500</v>
      </c>
      <c r="CD285" s="224">
        <f>ROUND(IF(BV285+BW285&lt;BX285+BY285+BZ285+CA285-CB285,(BX285+BY285+BZ285+CA285-CB285)-(BW285+BV285),0),0)</f>
        <v>0</v>
      </c>
      <c r="CE285" s="224"/>
      <c r="CF285" s="226"/>
      <c r="CG285" s="87"/>
      <c r="CH285" s="87">
        <f t="shared" ref="CH285:CH296" si="921">A285</f>
        <v>38</v>
      </c>
      <c r="CI285" s="227" t="str">
        <f t="shared" si="899"/>
        <v>Đỗ Kim</v>
      </c>
      <c r="CJ285" s="227" t="str">
        <f t="shared" si="900"/>
        <v>Chung</v>
      </c>
      <c r="CK285" s="87">
        <f t="shared" si="901"/>
        <v>5</v>
      </c>
      <c r="CL285" s="227" t="str">
        <f t="shared" ref="CL285:CL296" si="922">L285</f>
        <v xml:space="preserve">Kinh tế NN và Chính sách </v>
      </c>
      <c r="CM285" s="87" t="str">
        <f t="shared" si="810"/>
        <v>CS4</v>
      </c>
      <c r="CN285" s="87">
        <f t="shared" ref="CN285:CO290" si="923">Q285</f>
        <v>270</v>
      </c>
      <c r="CO285" s="87">
        <f t="shared" si="923"/>
        <v>280</v>
      </c>
      <c r="CP285" s="229">
        <f t="shared" si="852"/>
        <v>0</v>
      </c>
      <c r="CQ285" s="229">
        <f t="shared" si="853"/>
        <v>8.3000000000000007</v>
      </c>
      <c r="CR285" s="229">
        <f t="shared" si="854"/>
        <v>3.3</v>
      </c>
      <c r="CS285" s="229">
        <f t="shared" si="855"/>
        <v>0</v>
      </c>
      <c r="CT285" s="229">
        <f t="shared" si="856"/>
        <v>0</v>
      </c>
      <c r="CU285" s="229">
        <f t="shared" si="857"/>
        <v>60</v>
      </c>
      <c r="CV285" s="229">
        <f t="shared" si="858"/>
        <v>0</v>
      </c>
      <c r="CW285" s="229">
        <f t="shared" si="859"/>
        <v>0</v>
      </c>
      <c r="CX285" s="229">
        <f t="shared" si="860"/>
        <v>0</v>
      </c>
      <c r="CY285" s="229">
        <f t="shared" si="861"/>
        <v>0</v>
      </c>
      <c r="CZ285" s="229">
        <f t="shared" si="862"/>
        <v>0</v>
      </c>
      <c r="DA285" s="229">
        <f t="shared" si="863"/>
        <v>0</v>
      </c>
      <c r="DB285" s="228">
        <f t="shared" si="792"/>
        <v>71.599999999999994</v>
      </c>
      <c r="DC285" s="229"/>
      <c r="DD285" s="229"/>
      <c r="DE285" s="229"/>
      <c r="DF285" s="229"/>
      <c r="DG285" s="229"/>
      <c r="DH285" s="229"/>
      <c r="DI285" s="229"/>
      <c r="DJ285" s="229"/>
      <c r="DK285" s="229"/>
      <c r="DL285" s="229"/>
      <c r="DM285" s="229"/>
      <c r="DN285" s="229"/>
      <c r="DO285" s="228">
        <f t="shared" si="812"/>
        <v>0</v>
      </c>
      <c r="DP285" s="228">
        <f t="shared" si="813"/>
        <v>71.599999999999994</v>
      </c>
      <c r="DQ285" s="229">
        <f t="shared" si="864"/>
        <v>492</v>
      </c>
      <c r="DR285" s="229">
        <f t="shared" si="865"/>
        <v>28.9</v>
      </c>
      <c r="DS285" s="229">
        <f t="shared" si="866"/>
        <v>0</v>
      </c>
      <c r="DT285" s="229">
        <f t="shared" si="867"/>
        <v>11.8</v>
      </c>
      <c r="DU285" s="229">
        <f t="shared" si="868"/>
        <v>0</v>
      </c>
      <c r="DV285" s="229">
        <f t="shared" si="869"/>
        <v>520</v>
      </c>
      <c r="DW285" s="229">
        <f t="shared" si="870"/>
        <v>50</v>
      </c>
      <c r="DX285" s="228">
        <f t="shared" si="793"/>
        <v>1102.6999999999998</v>
      </c>
      <c r="DY285" s="229"/>
      <c r="DZ285" s="229"/>
      <c r="EA285" s="229"/>
      <c r="EB285" s="229"/>
      <c r="EC285" s="229"/>
      <c r="ED285" s="229"/>
      <c r="EE285" s="229"/>
      <c r="EF285" s="228">
        <f t="shared" si="847"/>
        <v>0</v>
      </c>
      <c r="EG285" s="228">
        <f t="shared" si="814"/>
        <v>1102.6999999999998</v>
      </c>
      <c r="EH285" s="229">
        <f t="shared" si="848"/>
        <v>207.14</v>
      </c>
      <c r="EI285" s="229">
        <v>177.64</v>
      </c>
      <c r="EJ285" s="228">
        <f t="shared" ref="EJ285:EJ301" si="924">SUM(EH285:EI285)</f>
        <v>384.78</v>
      </c>
      <c r="EK285" s="229"/>
      <c r="EL285" s="229"/>
      <c r="EM285" s="228">
        <f t="shared" ref="EM285:EM296" si="925">SUM(EK285:EL285)</f>
        <v>0</v>
      </c>
      <c r="EN285" s="229">
        <f t="shared" si="907"/>
        <v>207.14</v>
      </c>
      <c r="EO285" s="229">
        <f t="shared" ref="EO285:EO342" si="926">EI285</f>
        <v>177.64</v>
      </c>
      <c r="EP285" s="228">
        <f t="shared" ref="EP285:EP296" si="927">EM285+EJ285</f>
        <v>384.78</v>
      </c>
      <c r="EQ285" s="173">
        <f t="shared" si="849"/>
        <v>0</v>
      </c>
      <c r="ER285" s="189">
        <v>0</v>
      </c>
      <c r="ES285" s="189">
        <v>8.3000000000000007</v>
      </c>
      <c r="ET285" s="189">
        <v>3.3</v>
      </c>
      <c r="EU285" s="189">
        <v>0</v>
      </c>
      <c r="EV285" s="189">
        <v>0</v>
      </c>
      <c r="EW285" s="189">
        <v>60</v>
      </c>
      <c r="EX285" s="189">
        <v>0</v>
      </c>
      <c r="EY285" s="189">
        <v>0</v>
      </c>
      <c r="EZ285" s="189">
        <v>0</v>
      </c>
      <c r="FA285" s="189">
        <v>0</v>
      </c>
      <c r="FB285" s="189">
        <v>0</v>
      </c>
      <c r="FC285" s="189">
        <v>0</v>
      </c>
      <c r="FD285" s="189">
        <v>492</v>
      </c>
      <c r="FE285" s="189">
        <v>28.9</v>
      </c>
      <c r="FF285" s="189">
        <v>0</v>
      </c>
      <c r="FG285" s="189">
        <v>11.8</v>
      </c>
      <c r="FH285" s="189">
        <v>520</v>
      </c>
      <c r="FI285" s="189">
        <v>0</v>
      </c>
      <c r="FJ285" s="189">
        <v>50</v>
      </c>
      <c r="FK285" s="189">
        <v>1174.3</v>
      </c>
      <c r="FL285" s="189">
        <v>890</v>
      </c>
      <c r="FN285" s="132">
        <v>207.14</v>
      </c>
    </row>
    <row r="286" spans="1:170" ht="30" customHeight="1">
      <c r="A286" s="88">
        <f>COUNTIF($H$12:H286,H286)</f>
        <v>39</v>
      </c>
      <c r="B286" s="88" t="s">
        <v>942</v>
      </c>
      <c r="C286" s="88" t="s">
        <v>1291</v>
      </c>
      <c r="D286" s="88"/>
      <c r="E286" s="88"/>
      <c r="F286" s="301" t="s">
        <v>1139</v>
      </c>
      <c r="G286" s="89" t="s">
        <v>2858</v>
      </c>
      <c r="H286" s="88">
        <v>5</v>
      </c>
      <c r="I286" s="88">
        <v>5</v>
      </c>
      <c r="J286" s="88">
        <v>5</v>
      </c>
      <c r="K286" s="90" t="s">
        <v>1088</v>
      </c>
      <c r="L286" s="90" t="s">
        <v>1088</v>
      </c>
      <c r="M286" s="214"/>
      <c r="N286" s="88" t="s">
        <v>1804</v>
      </c>
      <c r="O286" s="216">
        <f t="shared" si="915"/>
        <v>3.33</v>
      </c>
      <c r="P286" s="88" t="str">
        <f t="shared" si="880"/>
        <v>B1_4</v>
      </c>
      <c r="Q286" s="88">
        <f t="shared" si="733"/>
        <v>270</v>
      </c>
      <c r="R286" s="88">
        <f t="shared" si="734"/>
        <v>120</v>
      </c>
      <c r="S286" s="230" t="s">
        <v>349</v>
      </c>
      <c r="T286" s="219" t="s">
        <v>1326</v>
      </c>
      <c r="U286" s="88">
        <f>IF(RIGHT(T286,1)="K",(VLOOKUP(T286,ma_miengiam!$A$3:$B$80,2,0)*100)/2,VLOOKUP(T286,ma_miengiam!$A$3:$B$80,2,0)*100)</f>
        <v>65</v>
      </c>
      <c r="V286" s="88"/>
      <c r="W286" s="220">
        <f>IF(AND(T286="NTS",V286&gt;0),(Q286-(Q286*V286)/12)*VLOOKUP(T286,ma_miengiam!$A$3:$B$80,2,0)+(Q286-(Q286*(12-V286))/12),IF(AND(RIGHT(T286,1)="K",V286&gt;0),(VLOOKUP(T286,ma_miengiam!$A$3:$B$80,2,0)/2)*(Q286*V286)/12,IF(RIGHT(T286,1)="K",(VLOOKUP(T286,ma_miengiam!$A$3:$B$80,2,0)*Q286)/2,IF(V286&gt;0,VLOOKUP(T286,ma_miengiam!$A$3:$B$80,2,0)*Q286*V286/12,VLOOKUP(T286,ma_miengiam!$A$3:$B$80,2,0)*Q286))))</f>
        <v>175.5</v>
      </c>
      <c r="X286" s="220">
        <f>IF(T286="NTS",VLOOKUP(T286,ma_miengiam!$A$3:$B$80,2,0)*R286*V286,IF(AND(T286="NTS",V286=0),0,IF(AND(LEFT(T286,1)="K",V286=0),VLOOKUP(T286,ma_miengiam!$A$3:$B$80,2,0)*R286,IF(LEFT(T286,1)="K",(VLOOKUP(T286,ma_miengiam!$A$3:$B$80,2,0)*R286/12)*V286,IF(AND(LEFT(T286,1)="S",V286&gt;0),(R286/12)*V286,IF(AND(LEFT(T286,1)="S",V286=0),R286,IF(T286="DH",VLOOKUP(T286,ma_miengiam!$A$3:$B$80,2,0)*R286,0)))))))</f>
        <v>120</v>
      </c>
      <c r="Y286" s="220">
        <f t="shared" si="783"/>
        <v>94.5</v>
      </c>
      <c r="Z286" s="220">
        <f t="shared" si="908"/>
        <v>0</v>
      </c>
      <c r="AA286" s="220">
        <f t="shared" si="916"/>
        <v>270</v>
      </c>
      <c r="AB286" s="220">
        <f t="shared" si="916"/>
        <v>120</v>
      </c>
      <c r="AC286" s="220">
        <f t="shared" si="917"/>
        <v>175.5</v>
      </c>
      <c r="AD286" s="220">
        <f t="shared" si="917"/>
        <v>120</v>
      </c>
      <c r="AE286" s="220">
        <f t="shared" si="917"/>
        <v>94.5</v>
      </c>
      <c r="AF286" s="220">
        <f t="shared" si="917"/>
        <v>0</v>
      </c>
      <c r="AG286" s="220">
        <f>AH286+AI286</f>
        <v>613.20000000000005</v>
      </c>
      <c r="AH286" s="220">
        <f>EO286</f>
        <v>163.44</v>
      </c>
      <c r="AI286" s="220">
        <f>EN286</f>
        <v>449.76</v>
      </c>
      <c r="AJ286" s="220">
        <f t="shared" si="918"/>
        <v>0</v>
      </c>
      <c r="AK286" s="216">
        <f t="shared" si="794"/>
        <v>94.5</v>
      </c>
      <c r="AL286" s="220">
        <f t="shared" si="795"/>
        <v>273.2</v>
      </c>
      <c r="AM286" s="220">
        <f t="shared" si="796"/>
        <v>0</v>
      </c>
      <c r="AN286" s="221">
        <f t="shared" si="797"/>
        <v>273.2</v>
      </c>
      <c r="AO286" s="220">
        <f t="shared" si="798"/>
        <v>0</v>
      </c>
      <c r="AP286" s="220">
        <f t="shared" si="799"/>
        <v>0</v>
      </c>
      <c r="AQ286" s="220">
        <f t="shared" si="800"/>
        <v>160</v>
      </c>
      <c r="AR286" s="220">
        <f t="shared" si="801"/>
        <v>0</v>
      </c>
      <c r="AS286" s="220">
        <f t="shared" si="802"/>
        <v>0</v>
      </c>
      <c r="AT286" s="216">
        <f t="shared" si="803"/>
        <v>433.2</v>
      </c>
      <c r="AU286" s="222">
        <f t="shared" si="919"/>
        <v>178.7</v>
      </c>
      <c r="AV286" s="220"/>
      <c r="AW286" s="220">
        <f t="shared" si="804"/>
        <v>178.7</v>
      </c>
      <c r="AX286" s="216">
        <f t="shared" si="820"/>
        <v>0</v>
      </c>
      <c r="AY286" s="220">
        <f t="shared" si="815"/>
        <v>0</v>
      </c>
      <c r="AZ286" s="220">
        <f t="shared" si="816"/>
        <v>0</v>
      </c>
      <c r="BA286" s="220">
        <f t="shared" si="817"/>
        <v>160</v>
      </c>
      <c r="BB286" s="220">
        <f t="shared" si="818"/>
        <v>0</v>
      </c>
      <c r="BC286" s="220">
        <f t="shared" si="819"/>
        <v>0</v>
      </c>
      <c r="BD286" s="216">
        <f t="shared" si="759"/>
        <v>160</v>
      </c>
      <c r="BE286" s="220">
        <f t="shared" si="805"/>
        <v>0</v>
      </c>
      <c r="BF286" s="220">
        <f t="shared" si="806"/>
        <v>0</v>
      </c>
      <c r="BG286" s="220">
        <f t="shared" si="807"/>
        <v>0</v>
      </c>
      <c r="BH286" s="220">
        <f t="shared" si="808"/>
        <v>0</v>
      </c>
      <c r="BI286" s="220">
        <f t="shared" si="809"/>
        <v>0</v>
      </c>
      <c r="BJ286" s="220" t="s">
        <v>2418</v>
      </c>
      <c r="BK286" s="220"/>
      <c r="BL286" s="223">
        <f t="shared" si="773"/>
        <v>178.7</v>
      </c>
      <c r="BM286" s="220">
        <v>3.33</v>
      </c>
      <c r="BN286" s="220"/>
      <c r="BO286" s="220">
        <f t="shared" si="920"/>
        <v>3.33</v>
      </c>
      <c r="BP286" s="220">
        <f>IF(AND(BL286&gt;0,BL286&lt;tiet!$D$1),BL286,IF(BL286&lt;=0,0,IF(BL286&gt;tiet!$C$1,tiet!$C$1)))</f>
        <v>178.7</v>
      </c>
      <c r="BQ286" s="87">
        <f t="shared" si="912"/>
        <v>65000</v>
      </c>
      <c r="BR286" s="224">
        <f t="shared" si="913"/>
        <v>11615500</v>
      </c>
      <c r="BS286" s="220">
        <f t="shared" si="846"/>
        <v>0</v>
      </c>
      <c r="BT286" s="224">
        <f>VLOOKUP(N286,ma_dinhmuc!$A$1:$J$31,10,0)</f>
        <v>51000</v>
      </c>
      <c r="BU286" s="224">
        <f>ROUND(IF(BS286&gt;0,VLOOKUP(N286,ma_dinhmuc!$A$1:$J$31,10,0)*BS286,0),0)</f>
        <v>0</v>
      </c>
      <c r="BV286" s="224">
        <f t="shared" si="914"/>
        <v>11615500</v>
      </c>
      <c r="BW286" s="224"/>
      <c r="BX286" s="224">
        <v>0</v>
      </c>
      <c r="BY286" s="224"/>
      <c r="BZ286" s="224"/>
      <c r="CA286" s="224"/>
      <c r="CB286" s="224"/>
      <c r="CC286" s="225">
        <f t="shared" si="886"/>
        <v>11615500</v>
      </c>
      <c r="CD286" s="224">
        <f t="shared" si="887"/>
        <v>0</v>
      </c>
      <c r="CE286" s="224"/>
      <c r="CF286" s="226"/>
      <c r="CG286" s="87"/>
      <c r="CH286" s="87">
        <f t="shared" si="921"/>
        <v>39</v>
      </c>
      <c r="CI286" s="227" t="str">
        <f t="shared" si="899"/>
        <v>Nguyễn Thị</v>
      </c>
      <c r="CJ286" s="227" t="str">
        <f t="shared" si="900"/>
        <v>Thiêm</v>
      </c>
      <c r="CK286" s="87">
        <f t="shared" si="901"/>
        <v>5</v>
      </c>
      <c r="CL286" s="227" t="str">
        <f t="shared" si="922"/>
        <v xml:space="preserve">Kinh tế NN và Chính sách </v>
      </c>
      <c r="CM286" s="87" t="str">
        <f t="shared" si="810"/>
        <v>CS2</v>
      </c>
      <c r="CN286" s="87">
        <f t="shared" si="923"/>
        <v>270</v>
      </c>
      <c r="CO286" s="87">
        <f t="shared" si="923"/>
        <v>120</v>
      </c>
      <c r="CP286" s="229">
        <f t="shared" si="852"/>
        <v>0</v>
      </c>
      <c r="CQ286" s="229">
        <f t="shared" si="853"/>
        <v>23.7</v>
      </c>
      <c r="CR286" s="229">
        <f t="shared" si="854"/>
        <v>9.5</v>
      </c>
      <c r="CS286" s="229">
        <f t="shared" si="855"/>
        <v>0</v>
      </c>
      <c r="CT286" s="229">
        <f t="shared" si="856"/>
        <v>0</v>
      </c>
      <c r="CU286" s="229">
        <f t="shared" si="857"/>
        <v>240</v>
      </c>
      <c r="CV286" s="229">
        <f t="shared" si="858"/>
        <v>0</v>
      </c>
      <c r="CW286" s="229">
        <f t="shared" si="859"/>
        <v>0</v>
      </c>
      <c r="CX286" s="229">
        <f t="shared" si="860"/>
        <v>0</v>
      </c>
      <c r="CY286" s="229">
        <f t="shared" si="861"/>
        <v>0</v>
      </c>
      <c r="CZ286" s="229">
        <f t="shared" si="862"/>
        <v>0</v>
      </c>
      <c r="DA286" s="229">
        <f t="shared" si="863"/>
        <v>160</v>
      </c>
      <c r="DB286" s="228">
        <f t="shared" si="792"/>
        <v>433.2</v>
      </c>
      <c r="DC286" s="229"/>
      <c r="DD286" s="229"/>
      <c r="DE286" s="229"/>
      <c r="DF286" s="229"/>
      <c r="DG286" s="229"/>
      <c r="DH286" s="229"/>
      <c r="DI286" s="229"/>
      <c r="DJ286" s="229"/>
      <c r="DK286" s="229"/>
      <c r="DL286" s="229"/>
      <c r="DM286" s="229"/>
      <c r="DN286" s="229"/>
      <c r="DO286" s="228">
        <f t="shared" si="812"/>
        <v>0</v>
      </c>
      <c r="DP286" s="228">
        <f t="shared" si="813"/>
        <v>433.2</v>
      </c>
      <c r="DQ286" s="229">
        <f t="shared" si="864"/>
        <v>0</v>
      </c>
      <c r="DR286" s="229">
        <f t="shared" si="865"/>
        <v>0</v>
      </c>
      <c r="DS286" s="229">
        <f t="shared" si="866"/>
        <v>0</v>
      </c>
      <c r="DT286" s="229">
        <f t="shared" si="867"/>
        <v>0</v>
      </c>
      <c r="DU286" s="229">
        <f t="shared" si="868"/>
        <v>0</v>
      </c>
      <c r="DV286" s="229">
        <f t="shared" si="869"/>
        <v>0</v>
      </c>
      <c r="DW286" s="229">
        <f t="shared" si="870"/>
        <v>0</v>
      </c>
      <c r="DX286" s="228">
        <f t="shared" si="793"/>
        <v>0</v>
      </c>
      <c r="DY286" s="229"/>
      <c r="DZ286" s="229"/>
      <c r="EA286" s="229"/>
      <c r="EB286" s="229"/>
      <c r="EC286" s="229"/>
      <c r="ED286" s="229"/>
      <c r="EE286" s="229"/>
      <c r="EF286" s="228">
        <f t="shared" si="847"/>
        <v>0</v>
      </c>
      <c r="EG286" s="228">
        <f t="shared" si="814"/>
        <v>0</v>
      </c>
      <c r="EH286" s="229">
        <f t="shared" si="848"/>
        <v>449.76</v>
      </c>
      <c r="EI286" s="229">
        <v>163.44</v>
      </c>
      <c r="EJ286" s="228">
        <f t="shared" si="924"/>
        <v>613.20000000000005</v>
      </c>
      <c r="EK286" s="229"/>
      <c r="EL286" s="229"/>
      <c r="EM286" s="228">
        <f t="shared" si="925"/>
        <v>0</v>
      </c>
      <c r="EN286" s="229">
        <f t="shared" si="907"/>
        <v>449.76</v>
      </c>
      <c r="EO286" s="229">
        <f t="shared" si="926"/>
        <v>163.44</v>
      </c>
      <c r="EP286" s="228">
        <f t="shared" si="927"/>
        <v>613.20000000000005</v>
      </c>
      <c r="EQ286" s="173">
        <f t="shared" si="849"/>
        <v>449.76</v>
      </c>
      <c r="ER286" s="189">
        <v>0</v>
      </c>
      <c r="ES286" s="189">
        <v>23.7</v>
      </c>
      <c r="ET286" s="189">
        <v>9.5</v>
      </c>
      <c r="EU286" s="189">
        <v>0</v>
      </c>
      <c r="EV286" s="189">
        <v>0</v>
      </c>
      <c r="EW286" s="189">
        <v>240</v>
      </c>
      <c r="EX286" s="189">
        <v>0</v>
      </c>
      <c r="EY286" s="189">
        <v>0</v>
      </c>
      <c r="EZ286" s="189">
        <v>0</v>
      </c>
      <c r="FA286" s="189">
        <v>0</v>
      </c>
      <c r="FB286" s="189">
        <v>0</v>
      </c>
      <c r="FC286" s="189">
        <v>160</v>
      </c>
      <c r="FD286" s="189">
        <v>0</v>
      </c>
      <c r="FE286" s="189">
        <v>0</v>
      </c>
      <c r="FF286" s="189">
        <v>0</v>
      </c>
      <c r="FG286" s="189">
        <v>0</v>
      </c>
      <c r="FH286" s="189">
        <v>0</v>
      </c>
      <c r="FI286" s="189">
        <v>0</v>
      </c>
      <c r="FJ286" s="189">
        <v>0</v>
      </c>
      <c r="FK286" s="189">
        <v>433.2</v>
      </c>
      <c r="FL286" s="189">
        <v>365</v>
      </c>
      <c r="FN286" s="132">
        <v>449.76</v>
      </c>
    </row>
    <row r="287" spans="1:170" ht="44.25" customHeight="1">
      <c r="A287" s="88">
        <f>COUNTIF($H$12:H287,H287)</f>
        <v>40</v>
      </c>
      <c r="B287" s="88" t="s">
        <v>943</v>
      </c>
      <c r="C287" s="88" t="s">
        <v>1292</v>
      </c>
      <c r="D287" s="88"/>
      <c r="E287" s="88"/>
      <c r="F287" s="301" t="s">
        <v>173</v>
      </c>
      <c r="G287" s="89" t="s">
        <v>2405</v>
      </c>
      <c r="H287" s="88">
        <v>5</v>
      </c>
      <c r="I287" s="88">
        <v>5</v>
      </c>
      <c r="J287" s="88">
        <v>5</v>
      </c>
      <c r="K287" s="90" t="s">
        <v>1088</v>
      </c>
      <c r="L287" s="90" t="s">
        <v>1088</v>
      </c>
      <c r="M287" s="214"/>
      <c r="N287" s="88" t="s">
        <v>1804</v>
      </c>
      <c r="O287" s="216">
        <f>BO287</f>
        <v>4.6500000000000004</v>
      </c>
      <c r="P287" s="88" t="str">
        <f t="shared" si="880"/>
        <v>B1_5</v>
      </c>
      <c r="Q287" s="88">
        <f t="shared" si="733"/>
        <v>270</v>
      </c>
      <c r="R287" s="88">
        <f t="shared" si="734"/>
        <v>150</v>
      </c>
      <c r="S287" s="231" t="s">
        <v>674</v>
      </c>
      <c r="T287" s="88" t="s">
        <v>1754</v>
      </c>
      <c r="U287" s="88">
        <f>IF(RIGHT(T287,1)="K",(VLOOKUP(T287,ma_miengiam!$A$3:$B$80,2,0)*100)/2,VLOOKUP(T287,ma_miengiam!$A$3:$B$80,2,0)*100)</f>
        <v>75</v>
      </c>
      <c r="V287" s="88"/>
      <c r="W287" s="220">
        <f>IF(AND(T287="NTS",V287&gt;0),(Q287-(Q287*V287)/12)*VLOOKUP(T287,ma_miengiam!$A$3:$B$80,2,0)+(Q287-(Q287*(12-V287))/12),IF(AND(RIGHT(T287,1)="K",V287&gt;0),(VLOOKUP(T287,ma_miengiam!$A$3:$B$80,2,0)/2)*(Q287*V287)/12,IF(RIGHT(T287,1)="K",(VLOOKUP(T287,ma_miengiam!$A$3:$B$80,2,0)*Q287)/2,IF(V287&gt;0,VLOOKUP(T287,ma_miengiam!$A$3:$B$80,2,0)*Q287*V287/12,VLOOKUP(T287,ma_miengiam!$A$3:$B$80,2,0)*Q287))))</f>
        <v>202.5</v>
      </c>
      <c r="X287" s="220">
        <f>IF(T287="NTS",VLOOKUP(T287,ma_miengiam!$A$3:$B$80,2,0)*R287*V287,IF(AND(T287="NTS",V287=0),0,IF(AND(LEFT(T287,1)="K",V287=0),VLOOKUP(T287,ma_miengiam!$A$3:$B$80,2,0)*R287,IF(LEFT(T287,1)="K",(VLOOKUP(T287,ma_miengiam!$A$3:$B$80,2,0)*R287/12)*V287,IF(AND(LEFT(T287,1)="S",V287&gt;0),(R287/12)*V287,IF(AND(LEFT(T287,1)="S",V287=0),R287,IF(T287="DH",VLOOKUP(T287,ma_miengiam!$A$3:$B$80,2,0)*R287,0)))))))</f>
        <v>112.5</v>
      </c>
      <c r="Y287" s="220">
        <f>IF(AND(T287="DH",V287&gt;0),(S287*V287/12),IF(AND(T287&lt;&gt;"NTS",V287&gt;0),(Q287*V287/12)-W287,IF(AND(T287="NTS",V287&gt;0),Q287-W287,Q287-W287)))</f>
        <v>67.5</v>
      </c>
      <c r="Z287" s="220">
        <f>IF(AND(T287="SĐH",V287&gt;0),(R287/12)*V287-X287,IF(AND(T287="DH",V287&gt;0),(R287*V287/12),IF(AND(T287&lt;&gt;"NTS",V287&gt;0),(R287*V287/12)-X287,IF(AND(T287="NTS",V287&gt;0),R287-X287,R287-X287))))</f>
        <v>37.5</v>
      </c>
      <c r="AA287" s="220">
        <f t="shared" si="916"/>
        <v>270</v>
      </c>
      <c r="AB287" s="220">
        <f t="shared" si="916"/>
        <v>150</v>
      </c>
      <c r="AC287" s="220">
        <f>W287</f>
        <v>202.5</v>
      </c>
      <c r="AD287" s="220">
        <f>X287</f>
        <v>112.5</v>
      </c>
      <c r="AE287" s="220">
        <f>Y287</f>
        <v>67.5</v>
      </c>
      <c r="AF287" s="220">
        <f>Z287</f>
        <v>37.5</v>
      </c>
      <c r="AG287" s="220">
        <f>AH287+AI287</f>
        <v>389.1</v>
      </c>
      <c r="AH287" s="220">
        <f>EO287</f>
        <v>207.67</v>
      </c>
      <c r="AI287" s="220">
        <f>EN287</f>
        <v>181.43</v>
      </c>
      <c r="AJ287" s="220">
        <f t="shared" si="918"/>
        <v>0</v>
      </c>
      <c r="AK287" s="216">
        <f t="shared" si="794"/>
        <v>67.5</v>
      </c>
      <c r="AL287" s="220">
        <f t="shared" si="795"/>
        <v>34.9</v>
      </c>
      <c r="AM287" s="220">
        <f t="shared" si="796"/>
        <v>232.29999999999998</v>
      </c>
      <c r="AN287" s="221">
        <f t="shared" si="797"/>
        <v>267.2</v>
      </c>
      <c r="AO287" s="220">
        <f t="shared" si="798"/>
        <v>0</v>
      </c>
      <c r="AP287" s="220">
        <f t="shared" si="799"/>
        <v>0</v>
      </c>
      <c r="AQ287" s="220">
        <f t="shared" si="800"/>
        <v>0</v>
      </c>
      <c r="AR287" s="220">
        <f t="shared" si="801"/>
        <v>280</v>
      </c>
      <c r="AS287" s="220">
        <f t="shared" si="802"/>
        <v>20</v>
      </c>
      <c r="AT287" s="216">
        <f t="shared" si="803"/>
        <v>567.20000000000005</v>
      </c>
      <c r="AU287" s="222">
        <f>AN287-AK287</f>
        <v>199.7</v>
      </c>
      <c r="AV287" s="220"/>
      <c r="AW287" s="220">
        <f>IF(AU287&gt;0,AU287,AV287+AU287)</f>
        <v>199.7</v>
      </c>
      <c r="AX287" s="216">
        <f t="shared" si="820"/>
        <v>0</v>
      </c>
      <c r="AY287" s="220">
        <f>IF(AN287&gt;=AK287,AO287,IF(AN287+AO287-AK287&gt;=0,AN287+AO287-AK287,0))</f>
        <v>0</v>
      </c>
      <c r="AZ287" s="220">
        <f>IF(OR(AN287&gt;=AK287,AN287+AO287&gt;=AK287),AP287,IF(AN287+AO287+AP287&gt;AK287,AN287+AO287+AP287-AK287,0))</f>
        <v>0</v>
      </c>
      <c r="BA287" s="220">
        <f>IF(OR(AN287&gt;=AK287,AN287+AO287&gt;=AK287,AN287+AO287+AP287&gt;=AK287),AQ287,IF(AN287+AO287+AP287+AQ287&gt;=AK287,AN287+AO287+AP287+AQ287-AK287,0))</f>
        <v>0</v>
      </c>
      <c r="BB287" s="220">
        <f>IF(OR(AN287&gt;=AK287,AN287+AO287&gt;=AK287,AN287+AO287+AP287&gt;=AK287,AN287+AO287+AP287+AQ287&gt;=AK287),AR287,IF(AN287+AO287+AP287+AQ287+AR287&gt;=AK287,AN287+AO287+AP287+AQ287+AR287-AK287,0))</f>
        <v>280</v>
      </c>
      <c r="BC287" s="220">
        <f>IF(OR(AN287&gt;=AK287,AN287+AO287&gt;=AK287,AN287+AO287+AP287&gt;=AK287,AN287+AO287+AP287+AQ287&gt;=AK287,AN287+AO287+AP287+AQ287+AR287&gt;=AK287),AS287,IF(AN287+AO287+AP287+AQ287+AR287+AS287&gt;=AK287,AN287+AO287+AP287+AQ287+AR287+AS287-AK287,0))</f>
        <v>20</v>
      </c>
      <c r="BD287" s="216">
        <f t="shared" si="759"/>
        <v>300</v>
      </c>
      <c r="BE287" s="220">
        <f>AY287-AO287</f>
        <v>0</v>
      </c>
      <c r="BF287" s="220">
        <f>AZ287-AP287</f>
        <v>0</v>
      </c>
      <c r="BG287" s="220">
        <f>BA287-AQ287</f>
        <v>0</v>
      </c>
      <c r="BH287" s="220">
        <f>BB287-AR287</f>
        <v>0</v>
      </c>
      <c r="BI287" s="220">
        <f>BC287-AS287</f>
        <v>0</v>
      </c>
      <c r="BJ287" s="220" t="s">
        <v>2418</v>
      </c>
      <c r="BK287" s="220"/>
      <c r="BL287" s="223">
        <f t="shared" si="773"/>
        <v>199.7</v>
      </c>
      <c r="BM287" s="220">
        <v>4.6500000000000004</v>
      </c>
      <c r="BN287" s="220"/>
      <c r="BO287" s="220">
        <f>ROUND(BM287+(BM287*BN287),2)</f>
        <v>4.6500000000000004</v>
      </c>
      <c r="BP287" s="220">
        <f>IF(AND(BL287&gt;0,BL287&lt;tiet!$D$1),BL287,IF(BL287&lt;=0,0,IF(BL287&gt;tiet!$C$1,tiet!$C$1)))</f>
        <v>199.7</v>
      </c>
      <c r="BQ287" s="87">
        <f t="shared" si="912"/>
        <v>70000</v>
      </c>
      <c r="BR287" s="224">
        <f t="shared" si="913"/>
        <v>13979000</v>
      </c>
      <c r="BS287" s="220">
        <f t="shared" si="846"/>
        <v>0</v>
      </c>
      <c r="BT287" s="224">
        <f>VLOOKUP(N287,ma_dinhmuc!$A$1:$J$31,10,0)</f>
        <v>51000</v>
      </c>
      <c r="BU287" s="224">
        <f>ROUND(IF(BS287&gt;0,VLOOKUP(N287,ma_dinhmuc!$A$1:$J$31,10,0)*BS287,0),0)</f>
        <v>0</v>
      </c>
      <c r="BV287" s="224">
        <f t="shared" si="914"/>
        <v>13979000</v>
      </c>
      <c r="BW287" s="224"/>
      <c r="BX287" s="224">
        <v>0</v>
      </c>
      <c r="BY287" s="224"/>
      <c r="BZ287" s="224"/>
      <c r="CA287" s="224"/>
      <c r="CB287" s="224"/>
      <c r="CC287" s="225">
        <f>ROUND(IF(BV287+BW287&gt;BX287+BY287+BZ287+CA287+CB287,(BW287+BV287)-(BX287+BY287+BZ287+CA287+CB287+CB287),0),0)</f>
        <v>13979000</v>
      </c>
      <c r="CD287" s="224">
        <f>ROUND(IF(BV287+BW287&lt;BX287+BY287+BZ287+CA287-CB287,(BX287+BY287+BZ287+CA287-CB287)-(BW287+BV287),0),0)</f>
        <v>0</v>
      </c>
      <c r="CE287" s="224"/>
      <c r="CF287" s="226"/>
      <c r="CG287" s="87"/>
      <c r="CH287" s="87">
        <f t="shared" si="921"/>
        <v>40</v>
      </c>
      <c r="CI287" s="227" t="str">
        <f t="shared" si="899"/>
        <v>Nguyễn Viết</v>
      </c>
      <c r="CJ287" s="227" t="str">
        <f t="shared" si="900"/>
        <v>Đăng</v>
      </c>
      <c r="CK287" s="87">
        <f t="shared" si="901"/>
        <v>5</v>
      </c>
      <c r="CL287" s="227" t="str">
        <f t="shared" si="922"/>
        <v xml:space="preserve">Kinh tế NN và Chính sách </v>
      </c>
      <c r="CM287" s="87" t="str">
        <f>N287</f>
        <v>CS2</v>
      </c>
      <c r="CN287" s="87">
        <f t="shared" si="923"/>
        <v>270</v>
      </c>
      <c r="CO287" s="87">
        <f t="shared" si="923"/>
        <v>150</v>
      </c>
      <c r="CP287" s="229">
        <f t="shared" si="852"/>
        <v>0</v>
      </c>
      <c r="CQ287" s="229">
        <f t="shared" si="853"/>
        <v>3.5</v>
      </c>
      <c r="CR287" s="229">
        <f t="shared" si="854"/>
        <v>1.4</v>
      </c>
      <c r="CS287" s="229">
        <f t="shared" si="855"/>
        <v>0</v>
      </c>
      <c r="CT287" s="229">
        <f t="shared" si="856"/>
        <v>0</v>
      </c>
      <c r="CU287" s="229">
        <f t="shared" si="857"/>
        <v>30</v>
      </c>
      <c r="CV287" s="229">
        <f t="shared" si="858"/>
        <v>0</v>
      </c>
      <c r="CW287" s="229">
        <f t="shared" si="859"/>
        <v>0</v>
      </c>
      <c r="CX287" s="229">
        <f t="shared" si="860"/>
        <v>0</v>
      </c>
      <c r="CY287" s="229">
        <f t="shared" si="861"/>
        <v>0</v>
      </c>
      <c r="CZ287" s="229">
        <f t="shared" si="862"/>
        <v>0</v>
      </c>
      <c r="DA287" s="229">
        <f t="shared" si="863"/>
        <v>0</v>
      </c>
      <c r="DB287" s="228">
        <f t="shared" si="792"/>
        <v>34.9</v>
      </c>
      <c r="DC287" s="229"/>
      <c r="DD287" s="229"/>
      <c r="DE287" s="229"/>
      <c r="DF287" s="229"/>
      <c r="DG287" s="229"/>
      <c r="DH287" s="229"/>
      <c r="DI287" s="229"/>
      <c r="DJ287" s="229"/>
      <c r="DK287" s="229"/>
      <c r="DL287" s="229"/>
      <c r="DM287" s="229"/>
      <c r="DN287" s="229"/>
      <c r="DO287" s="228">
        <f t="shared" si="812"/>
        <v>0</v>
      </c>
      <c r="DP287" s="228">
        <f t="shared" si="813"/>
        <v>34.9</v>
      </c>
      <c r="DQ287" s="229">
        <f t="shared" si="864"/>
        <v>216</v>
      </c>
      <c r="DR287" s="229">
        <f t="shared" si="865"/>
        <v>11.6</v>
      </c>
      <c r="DS287" s="229">
        <f t="shared" si="866"/>
        <v>0</v>
      </c>
      <c r="DT287" s="229">
        <f t="shared" si="867"/>
        <v>4.7</v>
      </c>
      <c r="DU287" s="229">
        <f t="shared" si="868"/>
        <v>0</v>
      </c>
      <c r="DV287" s="229">
        <f t="shared" si="869"/>
        <v>280</v>
      </c>
      <c r="DW287" s="229">
        <f t="shared" si="870"/>
        <v>20</v>
      </c>
      <c r="DX287" s="228">
        <f t="shared" si="793"/>
        <v>532.29999999999995</v>
      </c>
      <c r="DY287" s="229"/>
      <c r="DZ287" s="229"/>
      <c r="EA287" s="229"/>
      <c r="EB287" s="229"/>
      <c r="EC287" s="229"/>
      <c r="ED287" s="229"/>
      <c r="EE287" s="229"/>
      <c r="EF287" s="228">
        <f t="shared" si="847"/>
        <v>0</v>
      </c>
      <c r="EG287" s="228">
        <f t="shared" si="814"/>
        <v>532.29999999999995</v>
      </c>
      <c r="EH287" s="229">
        <f t="shared" si="848"/>
        <v>181.43</v>
      </c>
      <c r="EI287" s="229">
        <v>207.67</v>
      </c>
      <c r="EJ287" s="228">
        <f>SUM(EH287:EI287)</f>
        <v>389.1</v>
      </c>
      <c r="EK287" s="229"/>
      <c r="EL287" s="229"/>
      <c r="EM287" s="228">
        <f>SUM(EK287:EL287)</f>
        <v>0</v>
      </c>
      <c r="EN287" s="229">
        <f>EK287+EH287+EL287</f>
        <v>181.43</v>
      </c>
      <c r="EO287" s="229">
        <f>EI287</f>
        <v>207.67</v>
      </c>
      <c r="EP287" s="228">
        <f t="shared" si="927"/>
        <v>389.1</v>
      </c>
      <c r="EQ287" s="173">
        <f t="shared" si="849"/>
        <v>143.93</v>
      </c>
      <c r="ER287" s="189">
        <v>0</v>
      </c>
      <c r="ES287" s="189">
        <v>3.5</v>
      </c>
      <c r="ET287" s="189">
        <v>1.4</v>
      </c>
      <c r="EU287" s="189">
        <v>0</v>
      </c>
      <c r="EV287" s="189">
        <v>0</v>
      </c>
      <c r="EW287" s="189">
        <v>30</v>
      </c>
      <c r="EX287" s="189">
        <v>0</v>
      </c>
      <c r="EY287" s="189">
        <v>0</v>
      </c>
      <c r="EZ287" s="189">
        <v>0</v>
      </c>
      <c r="FA287" s="189">
        <v>0</v>
      </c>
      <c r="FB287" s="189">
        <v>0</v>
      </c>
      <c r="FC287" s="189">
        <v>0</v>
      </c>
      <c r="FD287" s="189">
        <v>216</v>
      </c>
      <c r="FE287" s="189">
        <v>11.6</v>
      </c>
      <c r="FF287" s="189">
        <v>0</v>
      </c>
      <c r="FG287" s="189">
        <v>4.7</v>
      </c>
      <c r="FH287" s="189">
        <v>280</v>
      </c>
      <c r="FI287" s="189">
        <v>0</v>
      </c>
      <c r="FJ287" s="189">
        <v>20</v>
      </c>
      <c r="FK287" s="189">
        <v>567.20000000000005</v>
      </c>
      <c r="FL287" s="189">
        <v>460</v>
      </c>
      <c r="FN287" s="132">
        <v>181.43</v>
      </c>
    </row>
    <row r="288" spans="1:170" ht="30.75" customHeight="1">
      <c r="A288" s="88">
        <f>COUNTIF($H$12:H288,H288)</f>
        <v>41</v>
      </c>
      <c r="B288" s="88" t="s">
        <v>944</v>
      </c>
      <c r="C288" s="88" t="s">
        <v>1293</v>
      </c>
      <c r="D288" s="88"/>
      <c r="E288" s="88"/>
      <c r="F288" s="301" t="s">
        <v>2214</v>
      </c>
      <c r="G288" s="89" t="s">
        <v>3154</v>
      </c>
      <c r="H288" s="88">
        <v>5</v>
      </c>
      <c r="I288" s="88">
        <v>5</v>
      </c>
      <c r="J288" s="88">
        <v>5</v>
      </c>
      <c r="K288" s="90" t="s">
        <v>1088</v>
      </c>
      <c r="L288" s="90" t="s">
        <v>1088</v>
      </c>
      <c r="M288" s="214"/>
      <c r="N288" s="88" t="s">
        <v>605</v>
      </c>
      <c r="O288" s="216">
        <f t="shared" si="915"/>
        <v>6.56</v>
      </c>
      <c r="P288" s="88" t="str">
        <f t="shared" si="880"/>
        <v>B1_7</v>
      </c>
      <c r="Q288" s="88">
        <f t="shared" si="733"/>
        <v>270</v>
      </c>
      <c r="R288" s="88">
        <f t="shared" si="734"/>
        <v>200</v>
      </c>
      <c r="S288" s="230" t="s">
        <v>2031</v>
      </c>
      <c r="T288" s="88" t="s">
        <v>3091</v>
      </c>
      <c r="U288" s="88">
        <f>IF(RIGHT(T288,1)="K",(VLOOKUP(T288,ma_miengiam!$A$3:$B$80,2,0)*100)/2,VLOOKUP(T288,ma_miengiam!$A$3:$B$80,2,0)*100)</f>
        <v>20</v>
      </c>
      <c r="V288" s="88"/>
      <c r="W288" s="220">
        <f>IF(AND(T288="NTS",V288&gt;0),(Q288-(Q288*V288)/12)*VLOOKUP(T288,ma_miengiam!$A$3:$B$80,2,0)+(Q288-(Q288*(12-V288))/12),IF(AND(RIGHT(T288,1)="K",V288&gt;0),(VLOOKUP(T288,ma_miengiam!$A$3:$B$80,2,0)/2)*(Q288*V288)/12,IF(RIGHT(T288,1)="K",(VLOOKUP(T288,ma_miengiam!$A$3:$B$80,2,0)*Q288)/2,IF(V288&gt;0,VLOOKUP(T288,ma_miengiam!$A$3:$B$80,2,0)*Q288*V288/12,VLOOKUP(T288,ma_miengiam!$A$3:$B$80,2,0)*Q288))))</f>
        <v>54</v>
      </c>
      <c r="X288" s="220">
        <f>IF(T288="NTS",VLOOKUP(T288,ma_miengiam!$A$3:$B$80,2,0)*R288*V288,IF(AND(T288="NTS",V288=0),0,IF(AND(LEFT(T288,1)="K",V288=0),VLOOKUP(T288,ma_miengiam!$A$3:$B$80,2,0)*R288,IF(LEFT(T288,1)="K",(VLOOKUP(T288,ma_miengiam!$A$3:$B$80,2,0)*R288/12)*V288,IF(AND(LEFT(T288,1)="S",V288&gt;0),(R288/12)*V288,IF(AND(LEFT(T288,1)="S",V288=0),R288,IF(T288="DH",VLOOKUP(T288,ma_miengiam!$A$3:$B$80,2,0)*R288,0)))))))</f>
        <v>0</v>
      </c>
      <c r="Y288" s="220">
        <f t="shared" si="783"/>
        <v>216</v>
      </c>
      <c r="Z288" s="220">
        <f>IF(AND(T288="SĐH",V288&gt;0),(R288/12)*V288-X288,IF(AND(T288="DH",V288&gt;0),(R288*V288/12),IF(AND(T288&lt;&gt;"NTS",V288&gt;0),(R288*V288/12)-X288,IF(AND(T288="NTS",V288&gt;0),R288-X288,R288-X288))))</f>
        <v>200</v>
      </c>
      <c r="AA288" s="220">
        <f t="shared" si="916"/>
        <v>270</v>
      </c>
      <c r="AB288" s="220">
        <f t="shared" si="916"/>
        <v>200</v>
      </c>
      <c r="AC288" s="220">
        <f t="shared" ref="AC288:AF289" si="928">W288</f>
        <v>54</v>
      </c>
      <c r="AD288" s="220">
        <f t="shared" si="928"/>
        <v>0</v>
      </c>
      <c r="AE288" s="220">
        <f t="shared" si="928"/>
        <v>216</v>
      </c>
      <c r="AF288" s="220">
        <f t="shared" si="928"/>
        <v>200</v>
      </c>
      <c r="AG288" s="220">
        <f t="shared" ref="AG288:AG302" si="929">AH288+AI288</f>
        <v>670.94</v>
      </c>
      <c r="AH288" s="220">
        <f t="shared" ref="AH288:AH302" si="930">EO288</f>
        <v>107.85</v>
      </c>
      <c r="AI288" s="220">
        <f t="shared" ref="AI288:AI302" si="931">EN288</f>
        <v>563.09</v>
      </c>
      <c r="AJ288" s="220">
        <f t="shared" si="918"/>
        <v>0</v>
      </c>
      <c r="AK288" s="216">
        <f t="shared" si="794"/>
        <v>216</v>
      </c>
      <c r="AL288" s="220">
        <f t="shared" si="795"/>
        <v>249.6</v>
      </c>
      <c r="AM288" s="220">
        <f t="shared" si="796"/>
        <v>465.4</v>
      </c>
      <c r="AN288" s="221">
        <f t="shared" si="797"/>
        <v>715</v>
      </c>
      <c r="AO288" s="220">
        <f t="shared" si="798"/>
        <v>0</v>
      </c>
      <c r="AP288" s="220">
        <f t="shared" si="799"/>
        <v>0</v>
      </c>
      <c r="AQ288" s="220">
        <f t="shared" si="800"/>
        <v>40</v>
      </c>
      <c r="AR288" s="220">
        <f t="shared" si="801"/>
        <v>480</v>
      </c>
      <c r="AS288" s="220">
        <f t="shared" si="802"/>
        <v>60</v>
      </c>
      <c r="AT288" s="216">
        <f t="shared" si="803"/>
        <v>1295</v>
      </c>
      <c r="AU288" s="222">
        <f t="shared" si="919"/>
        <v>499</v>
      </c>
      <c r="AV288" s="220"/>
      <c r="AW288" s="220">
        <f t="shared" si="804"/>
        <v>499</v>
      </c>
      <c r="AX288" s="216">
        <f t="shared" si="820"/>
        <v>0</v>
      </c>
      <c r="AY288" s="220">
        <f t="shared" si="815"/>
        <v>0</v>
      </c>
      <c r="AZ288" s="220">
        <f t="shared" si="816"/>
        <v>0</v>
      </c>
      <c r="BA288" s="220">
        <f t="shared" si="817"/>
        <v>40</v>
      </c>
      <c r="BB288" s="220">
        <f t="shared" si="818"/>
        <v>480</v>
      </c>
      <c r="BC288" s="220">
        <f t="shared" si="819"/>
        <v>60</v>
      </c>
      <c r="BD288" s="216">
        <f t="shared" si="759"/>
        <v>580</v>
      </c>
      <c r="BE288" s="220">
        <f t="shared" si="805"/>
        <v>0</v>
      </c>
      <c r="BF288" s="220">
        <f t="shared" si="806"/>
        <v>0</v>
      </c>
      <c r="BG288" s="220">
        <f t="shared" si="807"/>
        <v>0</v>
      </c>
      <c r="BH288" s="220">
        <f t="shared" si="808"/>
        <v>0</v>
      </c>
      <c r="BI288" s="220">
        <f t="shared" si="809"/>
        <v>0</v>
      </c>
      <c r="BJ288" s="220" t="s">
        <v>2418</v>
      </c>
      <c r="BK288" s="220"/>
      <c r="BL288" s="223">
        <f t="shared" si="773"/>
        <v>499</v>
      </c>
      <c r="BM288" s="220">
        <v>6.56</v>
      </c>
      <c r="BN288" s="220"/>
      <c r="BO288" s="220">
        <f t="shared" si="920"/>
        <v>6.56</v>
      </c>
      <c r="BP288" s="220">
        <f>IF(AND(BL288&gt;0,BL288&lt;tiet!$D$1),BL288,IF(BL288&lt;=0,0,IF(BL288&gt;tiet!$C$1,tiet!$C$1)))</f>
        <v>200</v>
      </c>
      <c r="BQ288" s="87">
        <f t="shared" si="912"/>
        <v>80000</v>
      </c>
      <c r="BR288" s="224">
        <f t="shared" si="913"/>
        <v>16000000</v>
      </c>
      <c r="BS288" s="220">
        <f t="shared" si="846"/>
        <v>299</v>
      </c>
      <c r="BT288" s="224">
        <f>VLOOKUP(N288,ma_dinhmuc!$A$1:$J$31,10,0)</f>
        <v>65000</v>
      </c>
      <c r="BU288" s="224">
        <f>ROUND(IF(BS288&gt;0,VLOOKUP(N288,ma_dinhmuc!$A$1:$J$31,10,0)*BS288,0),0)</f>
        <v>19435000</v>
      </c>
      <c r="BV288" s="224">
        <f t="shared" si="914"/>
        <v>35435000</v>
      </c>
      <c r="BW288" s="224"/>
      <c r="BX288" s="224">
        <v>0</v>
      </c>
      <c r="BY288" s="224"/>
      <c r="BZ288" s="224"/>
      <c r="CA288" s="224"/>
      <c r="CB288" s="224"/>
      <c r="CC288" s="225">
        <f>ROUND(IF(BV288+BW288&gt;BX288+BY288+BZ288+CA288+CB288,(BW288+BV288)-(BX288+BY288+BZ288+CA288+CB288+CB288),0),0)</f>
        <v>35435000</v>
      </c>
      <c r="CD288" s="224">
        <f>ROUND(IF(BV288+BW288&lt;BX288+BY288+BZ288+CA288-CB288,(BX288+BY288+BZ288+CA288-CB288)-(BW288+BV288),0),0)</f>
        <v>0</v>
      </c>
      <c r="CE288" s="224"/>
      <c r="CF288" s="226"/>
      <c r="CG288" s="87"/>
      <c r="CH288" s="87">
        <f t="shared" si="921"/>
        <v>41</v>
      </c>
      <c r="CI288" s="227" t="str">
        <f t="shared" si="899"/>
        <v>Nguyễn Phượng</v>
      </c>
      <c r="CJ288" s="227" t="str">
        <f t="shared" si="900"/>
        <v>Lê</v>
      </c>
      <c r="CK288" s="87">
        <f t="shared" si="901"/>
        <v>5</v>
      </c>
      <c r="CL288" s="227" t="str">
        <f t="shared" si="922"/>
        <v xml:space="preserve">Kinh tế NN và Chính sách </v>
      </c>
      <c r="CM288" s="87" t="str">
        <f t="shared" si="810"/>
        <v>CS4</v>
      </c>
      <c r="CN288" s="87">
        <f t="shared" si="923"/>
        <v>270</v>
      </c>
      <c r="CO288" s="87">
        <f t="shared" si="923"/>
        <v>200</v>
      </c>
      <c r="CP288" s="229">
        <f t="shared" si="852"/>
        <v>0</v>
      </c>
      <c r="CQ288" s="229">
        <f t="shared" si="853"/>
        <v>17.600000000000001</v>
      </c>
      <c r="CR288" s="229">
        <f t="shared" si="854"/>
        <v>7</v>
      </c>
      <c r="CS288" s="229">
        <f t="shared" si="855"/>
        <v>0</v>
      </c>
      <c r="CT288" s="229">
        <f t="shared" si="856"/>
        <v>0</v>
      </c>
      <c r="CU288" s="229">
        <f t="shared" si="857"/>
        <v>225</v>
      </c>
      <c r="CV288" s="229">
        <f t="shared" si="858"/>
        <v>0</v>
      </c>
      <c r="CW288" s="229">
        <f t="shared" si="859"/>
        <v>0</v>
      </c>
      <c r="CX288" s="229">
        <f t="shared" si="860"/>
        <v>0</v>
      </c>
      <c r="CY288" s="229">
        <f t="shared" si="861"/>
        <v>0</v>
      </c>
      <c r="CZ288" s="229">
        <f t="shared" si="862"/>
        <v>0</v>
      </c>
      <c r="DA288" s="229">
        <f t="shared" si="863"/>
        <v>40</v>
      </c>
      <c r="DB288" s="228">
        <f t="shared" si="792"/>
        <v>289.60000000000002</v>
      </c>
      <c r="DC288" s="229"/>
      <c r="DD288" s="229"/>
      <c r="DE288" s="229"/>
      <c r="DF288" s="229"/>
      <c r="DG288" s="229"/>
      <c r="DH288" s="229"/>
      <c r="DI288" s="229"/>
      <c r="DJ288" s="229"/>
      <c r="DK288" s="229"/>
      <c r="DL288" s="229"/>
      <c r="DM288" s="229"/>
      <c r="DN288" s="229"/>
      <c r="DO288" s="228">
        <f t="shared" si="812"/>
        <v>0</v>
      </c>
      <c r="DP288" s="228">
        <f t="shared" si="813"/>
        <v>289.60000000000002</v>
      </c>
      <c r="DQ288" s="229">
        <f t="shared" si="864"/>
        <v>432</v>
      </c>
      <c r="DR288" s="229">
        <f t="shared" si="865"/>
        <v>25.7</v>
      </c>
      <c r="DS288" s="229">
        <f t="shared" si="866"/>
        <v>0</v>
      </c>
      <c r="DT288" s="229">
        <f t="shared" si="867"/>
        <v>7.7</v>
      </c>
      <c r="DU288" s="229">
        <f t="shared" si="868"/>
        <v>0</v>
      </c>
      <c r="DV288" s="229">
        <f t="shared" si="869"/>
        <v>480</v>
      </c>
      <c r="DW288" s="229">
        <f t="shared" si="870"/>
        <v>60</v>
      </c>
      <c r="DX288" s="228">
        <f t="shared" si="793"/>
        <v>1005.4</v>
      </c>
      <c r="DY288" s="229"/>
      <c r="DZ288" s="229"/>
      <c r="EA288" s="229"/>
      <c r="EB288" s="229"/>
      <c r="EC288" s="229"/>
      <c r="ED288" s="229"/>
      <c r="EE288" s="229"/>
      <c r="EF288" s="228">
        <f t="shared" si="847"/>
        <v>0</v>
      </c>
      <c r="EG288" s="228">
        <f t="shared" si="814"/>
        <v>1005.4</v>
      </c>
      <c r="EH288" s="229">
        <f t="shared" si="848"/>
        <v>563.09</v>
      </c>
      <c r="EI288" s="229">
        <v>107.85</v>
      </c>
      <c r="EJ288" s="228">
        <f t="shared" si="924"/>
        <v>670.94</v>
      </c>
      <c r="EK288" s="229"/>
      <c r="EL288" s="229"/>
      <c r="EM288" s="228">
        <f t="shared" si="925"/>
        <v>0</v>
      </c>
      <c r="EN288" s="229">
        <f t="shared" si="907"/>
        <v>563.09</v>
      </c>
      <c r="EO288" s="229">
        <f t="shared" si="926"/>
        <v>107.85</v>
      </c>
      <c r="EP288" s="228">
        <f t="shared" si="927"/>
        <v>670.94</v>
      </c>
      <c r="EQ288" s="173">
        <f t="shared" si="849"/>
        <v>363.09000000000003</v>
      </c>
      <c r="ER288" s="189">
        <v>0</v>
      </c>
      <c r="ES288" s="189">
        <v>17.600000000000001</v>
      </c>
      <c r="ET288" s="189">
        <v>7</v>
      </c>
      <c r="EU288" s="189">
        <v>0</v>
      </c>
      <c r="EV288" s="189">
        <v>0</v>
      </c>
      <c r="EW288" s="189">
        <v>225</v>
      </c>
      <c r="EX288" s="189">
        <v>0</v>
      </c>
      <c r="EY288" s="189">
        <v>0</v>
      </c>
      <c r="EZ288" s="189">
        <v>0</v>
      </c>
      <c r="FA288" s="189">
        <v>0</v>
      </c>
      <c r="FB288" s="189">
        <v>0</v>
      </c>
      <c r="FC288" s="189">
        <v>40</v>
      </c>
      <c r="FD288" s="189">
        <v>432</v>
      </c>
      <c r="FE288" s="189">
        <v>25.7</v>
      </c>
      <c r="FF288" s="189">
        <v>0</v>
      </c>
      <c r="FG288" s="189">
        <v>7.7</v>
      </c>
      <c r="FH288" s="189">
        <v>480</v>
      </c>
      <c r="FI288" s="189">
        <v>0</v>
      </c>
      <c r="FJ288" s="189">
        <v>60</v>
      </c>
      <c r="FK288" s="189">
        <v>1295</v>
      </c>
      <c r="FL288" s="189">
        <v>977</v>
      </c>
      <c r="FN288" s="132">
        <v>563.09</v>
      </c>
    </row>
    <row r="289" spans="1:170" ht="30" customHeight="1">
      <c r="A289" s="88">
        <f>COUNTIF($H$12:H289,H289)</f>
        <v>42</v>
      </c>
      <c r="B289" s="88" t="s">
        <v>1674</v>
      </c>
      <c r="C289" s="88" t="s">
        <v>1295</v>
      </c>
      <c r="D289" s="88"/>
      <c r="E289" s="88"/>
      <c r="F289" s="301" t="s">
        <v>2215</v>
      </c>
      <c r="G289" s="89" t="s">
        <v>1503</v>
      </c>
      <c r="H289" s="88">
        <v>5</v>
      </c>
      <c r="I289" s="88">
        <v>5</v>
      </c>
      <c r="J289" s="88">
        <v>5</v>
      </c>
      <c r="K289" s="90" t="s">
        <v>1088</v>
      </c>
      <c r="L289" s="90" t="s">
        <v>1088</v>
      </c>
      <c r="M289" s="214"/>
      <c r="N289" s="88" t="s">
        <v>1804</v>
      </c>
      <c r="O289" s="216">
        <f t="shared" si="915"/>
        <v>3</v>
      </c>
      <c r="P289" s="88" t="str">
        <f t="shared" si="880"/>
        <v>B1_3</v>
      </c>
      <c r="Q289" s="88">
        <f t="shared" si="733"/>
        <v>270</v>
      </c>
      <c r="R289" s="88">
        <f t="shared" si="734"/>
        <v>100</v>
      </c>
      <c r="S289" s="218" t="s">
        <v>1911</v>
      </c>
      <c r="T289" s="88" t="s">
        <v>1326</v>
      </c>
      <c r="U289" s="88">
        <f>IF(RIGHT(T289,1)="K",(VLOOKUP(T289,ma_miengiam!$A$3:$B$80,2,0)*100)/2,VLOOKUP(T289,ma_miengiam!$A$3:$B$80,2,0)*100)</f>
        <v>65</v>
      </c>
      <c r="V289" s="88"/>
      <c r="W289" s="220">
        <f>IF(AND(T289="NTS",V289&gt;0),(Q289-(Q289*V289)/12)*VLOOKUP(T289,ma_miengiam!$A$3:$B$80,2,0)+(Q289-(Q289*(12-V289))/12),IF(AND(RIGHT(T289,1)="K",V289&gt;0),(VLOOKUP(T289,ma_miengiam!$A$3:$B$80,2,0)/2)*(Q289*V289)/12,IF(RIGHT(T289,1)="K",(VLOOKUP(T289,ma_miengiam!$A$3:$B$80,2,0)*Q289)/2,IF(V289&gt;0,VLOOKUP(T289,ma_miengiam!$A$3:$B$80,2,0)*Q289*V289/12,VLOOKUP(T289,ma_miengiam!$A$3:$B$80,2,0)*Q289))))</f>
        <v>175.5</v>
      </c>
      <c r="X289" s="220">
        <f>IF(T289="NTS",VLOOKUP(T289,ma_miengiam!$A$3:$B$80,2,0)*R289*V289,IF(AND(T289="NTS",V289=0),0,IF(AND(LEFT(T289,1)="K",V289=0),VLOOKUP(T289,ma_miengiam!$A$3:$B$80,2,0)*R289,IF(LEFT(T289,1)="K",(VLOOKUP(T289,ma_miengiam!$A$3:$B$80,2,0)*R289/12)*V289,IF(AND(LEFT(T289,1)="S",V289&gt;0),(R289/12)*V289,IF(AND(LEFT(T289,1)="S",V289=0),R289,IF(T289="DH",VLOOKUP(T289,ma_miengiam!$A$3:$B$80,2,0)*R289,0)))))))</f>
        <v>100</v>
      </c>
      <c r="Y289" s="220">
        <f t="shared" ref="Y289:Y322" si="932">IF(AND(T289="DH",V289&gt;0),(S289*V289/12),IF(AND(T289&lt;&gt;"NTS",V289&gt;0),(Q289*V289/12)-W289,IF(AND(T289="NTS",V289&gt;0),Q289-W289,Q289-W289)))</f>
        <v>94.5</v>
      </c>
      <c r="Z289" s="220">
        <f t="shared" si="908"/>
        <v>0</v>
      </c>
      <c r="AA289" s="220">
        <f t="shared" si="916"/>
        <v>270</v>
      </c>
      <c r="AB289" s="220">
        <f t="shared" si="916"/>
        <v>100</v>
      </c>
      <c r="AC289" s="220">
        <f t="shared" si="928"/>
        <v>175.5</v>
      </c>
      <c r="AD289" s="220">
        <f t="shared" si="928"/>
        <v>100</v>
      </c>
      <c r="AE289" s="220">
        <f t="shared" si="928"/>
        <v>94.5</v>
      </c>
      <c r="AF289" s="220">
        <f t="shared" si="928"/>
        <v>0</v>
      </c>
      <c r="AG289" s="220">
        <f t="shared" si="929"/>
        <v>404.04</v>
      </c>
      <c r="AH289" s="220">
        <f t="shared" si="930"/>
        <v>327.85</v>
      </c>
      <c r="AI289" s="220">
        <f t="shared" si="931"/>
        <v>76.19</v>
      </c>
      <c r="AJ289" s="220">
        <f t="shared" si="918"/>
        <v>0</v>
      </c>
      <c r="AK289" s="216">
        <f t="shared" si="794"/>
        <v>94.5</v>
      </c>
      <c r="AL289" s="220">
        <f t="shared" si="795"/>
        <v>357</v>
      </c>
      <c r="AM289" s="220">
        <f t="shared" si="796"/>
        <v>0</v>
      </c>
      <c r="AN289" s="221">
        <f t="shared" si="797"/>
        <v>357</v>
      </c>
      <c r="AO289" s="220">
        <f t="shared" si="798"/>
        <v>0</v>
      </c>
      <c r="AP289" s="220">
        <f t="shared" si="799"/>
        <v>0</v>
      </c>
      <c r="AQ289" s="220">
        <f t="shared" si="800"/>
        <v>160</v>
      </c>
      <c r="AR289" s="220">
        <f t="shared" si="801"/>
        <v>0</v>
      </c>
      <c r="AS289" s="220">
        <f t="shared" si="802"/>
        <v>0</v>
      </c>
      <c r="AT289" s="216">
        <f t="shared" si="803"/>
        <v>517</v>
      </c>
      <c r="AU289" s="222">
        <f t="shared" si="919"/>
        <v>262.5</v>
      </c>
      <c r="AV289" s="220"/>
      <c r="AW289" s="220">
        <f t="shared" si="804"/>
        <v>262.5</v>
      </c>
      <c r="AX289" s="216">
        <f t="shared" si="820"/>
        <v>0</v>
      </c>
      <c r="AY289" s="220">
        <f t="shared" si="815"/>
        <v>0</v>
      </c>
      <c r="AZ289" s="220">
        <f t="shared" si="816"/>
        <v>0</v>
      </c>
      <c r="BA289" s="220">
        <f t="shared" si="817"/>
        <v>160</v>
      </c>
      <c r="BB289" s="220">
        <f t="shared" si="818"/>
        <v>0</v>
      </c>
      <c r="BC289" s="220">
        <f t="shared" si="819"/>
        <v>0</v>
      </c>
      <c r="BD289" s="216">
        <f t="shared" si="759"/>
        <v>160</v>
      </c>
      <c r="BE289" s="220">
        <f t="shared" si="805"/>
        <v>0</v>
      </c>
      <c r="BF289" s="220">
        <f t="shared" si="806"/>
        <v>0</v>
      </c>
      <c r="BG289" s="220">
        <f t="shared" si="807"/>
        <v>0</v>
      </c>
      <c r="BH289" s="220">
        <f t="shared" si="808"/>
        <v>0</v>
      </c>
      <c r="BI289" s="220">
        <f t="shared" si="809"/>
        <v>0</v>
      </c>
      <c r="BJ289" s="220" t="s">
        <v>2418</v>
      </c>
      <c r="BK289" s="220"/>
      <c r="BL289" s="223">
        <f t="shared" si="773"/>
        <v>262.5</v>
      </c>
      <c r="BM289" s="220">
        <v>3</v>
      </c>
      <c r="BN289" s="220"/>
      <c r="BO289" s="220">
        <f t="shared" si="920"/>
        <v>3</v>
      </c>
      <c r="BP289" s="220">
        <f>IF(AND(BL289&gt;0,BL289&lt;tiet!$D$1),BL289,IF(BL289&lt;=0,0,IF(BL289&gt;tiet!$C$1,tiet!$C$1)))</f>
        <v>200</v>
      </c>
      <c r="BQ289" s="87">
        <f t="shared" si="912"/>
        <v>60000</v>
      </c>
      <c r="BR289" s="224">
        <f t="shared" si="913"/>
        <v>12000000</v>
      </c>
      <c r="BS289" s="220">
        <f t="shared" si="846"/>
        <v>62.5</v>
      </c>
      <c r="BT289" s="224">
        <f>VLOOKUP(N289,ma_dinhmuc!$A$1:$J$31,10,0)</f>
        <v>51000</v>
      </c>
      <c r="BU289" s="224">
        <f>ROUND(IF(BS289&gt;0,VLOOKUP(N289,ma_dinhmuc!$A$1:$J$31,10,0)*BS289,0),0)</f>
        <v>3187500</v>
      </c>
      <c r="BV289" s="224">
        <f t="shared" si="914"/>
        <v>15187500</v>
      </c>
      <c r="BW289" s="224"/>
      <c r="BX289" s="224">
        <v>0</v>
      </c>
      <c r="BY289" s="224"/>
      <c r="BZ289" s="224"/>
      <c r="CA289" s="224"/>
      <c r="CB289" s="224"/>
      <c r="CC289" s="225">
        <f t="shared" si="886"/>
        <v>15187500</v>
      </c>
      <c r="CD289" s="224">
        <f t="shared" si="887"/>
        <v>0</v>
      </c>
      <c r="CE289" s="224"/>
      <c r="CF289" s="226"/>
      <c r="CG289" s="87"/>
      <c r="CH289" s="87">
        <f t="shared" si="921"/>
        <v>42</v>
      </c>
      <c r="CI289" s="227" t="str">
        <f t="shared" si="899"/>
        <v>Phạm Thị Thanh</v>
      </c>
      <c r="CJ289" s="227" t="str">
        <f t="shared" si="900"/>
        <v>Thúy</v>
      </c>
      <c r="CK289" s="87">
        <f t="shared" ref="CK289:CK296" si="933">H289</f>
        <v>5</v>
      </c>
      <c r="CL289" s="227" t="str">
        <f t="shared" si="922"/>
        <v xml:space="preserve">Kinh tế NN và Chính sách </v>
      </c>
      <c r="CM289" s="87" t="str">
        <f t="shared" si="810"/>
        <v>CS2</v>
      </c>
      <c r="CN289" s="87">
        <f t="shared" si="923"/>
        <v>270</v>
      </c>
      <c r="CO289" s="87">
        <f t="shared" si="923"/>
        <v>100</v>
      </c>
      <c r="CP289" s="229">
        <f t="shared" si="852"/>
        <v>0</v>
      </c>
      <c r="CQ289" s="229">
        <f t="shared" si="853"/>
        <v>35.299999999999997</v>
      </c>
      <c r="CR289" s="229">
        <f t="shared" si="854"/>
        <v>14.2</v>
      </c>
      <c r="CS289" s="229">
        <f t="shared" si="855"/>
        <v>0</v>
      </c>
      <c r="CT289" s="229">
        <f t="shared" si="856"/>
        <v>0</v>
      </c>
      <c r="CU289" s="229">
        <f t="shared" si="857"/>
        <v>307.5</v>
      </c>
      <c r="CV289" s="229">
        <f t="shared" si="858"/>
        <v>0</v>
      </c>
      <c r="CW289" s="229">
        <f t="shared" si="859"/>
        <v>0</v>
      </c>
      <c r="CX289" s="229">
        <f t="shared" si="860"/>
        <v>0</v>
      </c>
      <c r="CY289" s="229">
        <f t="shared" si="861"/>
        <v>0</v>
      </c>
      <c r="CZ289" s="229">
        <f t="shared" si="862"/>
        <v>0</v>
      </c>
      <c r="DA289" s="229">
        <f t="shared" si="863"/>
        <v>160</v>
      </c>
      <c r="DB289" s="228">
        <f t="shared" si="792"/>
        <v>517</v>
      </c>
      <c r="DC289" s="229"/>
      <c r="DD289" s="229"/>
      <c r="DE289" s="229"/>
      <c r="DF289" s="229"/>
      <c r="DG289" s="229"/>
      <c r="DH289" s="229"/>
      <c r="DI289" s="229"/>
      <c r="DJ289" s="229"/>
      <c r="DK289" s="229"/>
      <c r="DL289" s="229"/>
      <c r="DM289" s="229"/>
      <c r="DN289" s="229"/>
      <c r="DO289" s="228">
        <f t="shared" si="812"/>
        <v>0</v>
      </c>
      <c r="DP289" s="228">
        <f t="shared" si="813"/>
        <v>517</v>
      </c>
      <c r="DQ289" s="229">
        <f t="shared" si="864"/>
        <v>0</v>
      </c>
      <c r="DR289" s="229">
        <f t="shared" si="865"/>
        <v>0</v>
      </c>
      <c r="DS289" s="229">
        <f t="shared" si="866"/>
        <v>0</v>
      </c>
      <c r="DT289" s="229">
        <f t="shared" si="867"/>
        <v>0</v>
      </c>
      <c r="DU289" s="229">
        <f t="shared" si="868"/>
        <v>0</v>
      </c>
      <c r="DV289" s="229">
        <f t="shared" si="869"/>
        <v>0</v>
      </c>
      <c r="DW289" s="229">
        <f t="shared" si="870"/>
        <v>0</v>
      </c>
      <c r="DX289" s="228">
        <f t="shared" si="793"/>
        <v>0</v>
      </c>
      <c r="DY289" s="229"/>
      <c r="DZ289" s="229"/>
      <c r="EA289" s="229"/>
      <c r="EB289" s="229"/>
      <c r="EC289" s="229"/>
      <c r="ED289" s="229"/>
      <c r="EE289" s="229"/>
      <c r="EF289" s="228">
        <f t="shared" si="847"/>
        <v>0</v>
      </c>
      <c r="EG289" s="228">
        <f t="shared" si="814"/>
        <v>0</v>
      </c>
      <c r="EH289" s="229">
        <f t="shared" si="848"/>
        <v>76.19</v>
      </c>
      <c r="EI289" s="229">
        <v>327.85</v>
      </c>
      <c r="EJ289" s="228">
        <f t="shared" si="924"/>
        <v>404.04</v>
      </c>
      <c r="EK289" s="229"/>
      <c r="EL289" s="229"/>
      <c r="EM289" s="228">
        <f t="shared" si="925"/>
        <v>0</v>
      </c>
      <c r="EN289" s="229">
        <f t="shared" si="907"/>
        <v>76.19</v>
      </c>
      <c r="EO289" s="229">
        <f t="shared" si="926"/>
        <v>327.85</v>
      </c>
      <c r="EP289" s="228">
        <f t="shared" si="927"/>
        <v>404.04</v>
      </c>
      <c r="EQ289" s="173">
        <f t="shared" si="849"/>
        <v>76.19</v>
      </c>
      <c r="ER289" s="189">
        <v>0</v>
      </c>
      <c r="ES289" s="189">
        <v>35.299999999999997</v>
      </c>
      <c r="ET289" s="189">
        <v>14.2</v>
      </c>
      <c r="EU289" s="189">
        <v>0</v>
      </c>
      <c r="EV289" s="189">
        <v>0</v>
      </c>
      <c r="EW289" s="189">
        <v>307.5</v>
      </c>
      <c r="EX289" s="189">
        <v>0</v>
      </c>
      <c r="EY289" s="189">
        <v>0</v>
      </c>
      <c r="EZ289" s="189">
        <v>0</v>
      </c>
      <c r="FA289" s="189">
        <v>0</v>
      </c>
      <c r="FB289" s="189">
        <v>0</v>
      </c>
      <c r="FC289" s="189">
        <v>160</v>
      </c>
      <c r="FD289" s="189">
        <v>0</v>
      </c>
      <c r="FE289" s="189">
        <v>0</v>
      </c>
      <c r="FF289" s="189">
        <v>0</v>
      </c>
      <c r="FG289" s="189">
        <v>0</v>
      </c>
      <c r="FH289" s="189">
        <v>0</v>
      </c>
      <c r="FI289" s="189">
        <v>0</v>
      </c>
      <c r="FJ289" s="189">
        <v>0</v>
      </c>
      <c r="FK289" s="189">
        <v>517</v>
      </c>
      <c r="FL289" s="189">
        <v>459</v>
      </c>
      <c r="FN289" s="132">
        <v>76.19</v>
      </c>
    </row>
    <row r="290" spans="1:170" ht="30" customHeight="1">
      <c r="A290" s="88">
        <f>COUNTIF($H$12:H290,H290)</f>
        <v>43</v>
      </c>
      <c r="B290" s="88" t="s">
        <v>1675</v>
      </c>
      <c r="C290" s="88" t="s">
        <v>1296</v>
      </c>
      <c r="D290" s="88"/>
      <c r="E290" s="88"/>
      <c r="F290" s="301" t="s">
        <v>2216</v>
      </c>
      <c r="G290" s="89" t="s">
        <v>3200</v>
      </c>
      <c r="H290" s="88">
        <v>5</v>
      </c>
      <c r="I290" s="88">
        <v>5</v>
      </c>
      <c r="J290" s="88">
        <v>5</v>
      </c>
      <c r="K290" s="90" t="s">
        <v>1088</v>
      </c>
      <c r="L290" s="90" t="s">
        <v>1088</v>
      </c>
      <c r="M290" s="214"/>
      <c r="N290" s="88" t="s">
        <v>605</v>
      </c>
      <c r="O290" s="216">
        <f>BO290</f>
        <v>6.56</v>
      </c>
      <c r="P290" s="88" t="str">
        <f t="shared" si="880"/>
        <v>B1_7</v>
      </c>
      <c r="Q290" s="88">
        <f t="shared" si="733"/>
        <v>270</v>
      </c>
      <c r="R290" s="88">
        <f t="shared" si="734"/>
        <v>200</v>
      </c>
      <c r="S290" s="218" t="s">
        <v>686</v>
      </c>
      <c r="T290" s="88" t="s">
        <v>3092</v>
      </c>
      <c r="U290" s="88">
        <f>IF(RIGHT(T290,1)="K",(VLOOKUP(T290,ma_miengiam!$A$3:$B$80,2,0)*100)/2,VLOOKUP(T290,ma_miengiam!$A$3:$B$80,2,0)*100)</f>
        <v>25</v>
      </c>
      <c r="V290" s="88"/>
      <c r="W290" s="220">
        <f>IF(AND(T290="NTS",V290&gt;0),(Q290-(Q290*V290)/12)*VLOOKUP(T290,ma_miengiam!$A$3:$B$80,2,0)+(Q290-(Q290*(12-V290))/12),IF(AND(RIGHT(T290,1)="K",V290&gt;0),(VLOOKUP(T290,ma_miengiam!$A$3:$B$80,2,0)/2)*(Q290*V290)/12,IF(RIGHT(T290,1)="K",(VLOOKUP(T290,ma_miengiam!$A$3:$B$80,2,0)*Q290)/2,IF(V290&gt;0,VLOOKUP(T290,ma_miengiam!$A$3:$B$80,2,0)*Q290*V290/12,VLOOKUP(T290,ma_miengiam!$A$3:$B$80,2,0)*Q290))))</f>
        <v>67.5</v>
      </c>
      <c r="X290" s="220">
        <f>IF(T290="NTS",VLOOKUP(T290,ma_miengiam!$A$3:$B$80,2,0)*R290*V290,IF(AND(T290="NTS",V290=0),0,IF(AND(LEFT(T290,1)="K",V290=0),VLOOKUP(T290,ma_miengiam!$A$3:$B$80,2,0)*R290,IF(LEFT(T290,1)="K",(VLOOKUP(T290,ma_miengiam!$A$3:$B$80,2,0)*R290/12)*V290,IF(AND(LEFT(T290,1)="S",V290&gt;0),(R290/12)*V290,IF(AND(LEFT(T290,1)="S",V290=0),R290,IF(T290="DH",VLOOKUP(T290,ma_miengiam!$A$3:$B$80,2,0)*R290,0)))))))</f>
        <v>0</v>
      </c>
      <c r="Y290" s="220">
        <f>IF(AND(T290="DH",V290&gt;0),(S290*V290/12),IF(AND(T290&lt;&gt;"NTS",V290&gt;0),(Q290*V290/12)-W290,IF(AND(T290="NTS",V290&gt;0),Q290-W290,Q290-W290)))</f>
        <v>202.5</v>
      </c>
      <c r="Z290" s="220">
        <f t="shared" ref="Z290:Z296" si="934">IF(AND(T290="SĐH",V290&gt;0),(R290/12)*V290-X290,IF(AND(T290="DH",V290&gt;0),(R290*V290/12),IF(AND(T290&lt;&gt;"NTS",V290&gt;0),(R290*V290/12)-X290,IF(AND(T290="NTS",V290&gt;0),R290-X290,R290-X290))))</f>
        <v>200</v>
      </c>
      <c r="AA290" s="220">
        <f t="shared" si="916"/>
        <v>270</v>
      </c>
      <c r="AB290" s="220">
        <f t="shared" si="916"/>
        <v>200</v>
      </c>
      <c r="AC290" s="220">
        <f>W290</f>
        <v>67.5</v>
      </c>
      <c r="AD290" s="220">
        <f>X290</f>
        <v>0</v>
      </c>
      <c r="AE290" s="220">
        <f>Y290</f>
        <v>202.5</v>
      </c>
      <c r="AF290" s="220">
        <f>Z290</f>
        <v>200</v>
      </c>
      <c r="AG290" s="220">
        <f>AH290+AI290</f>
        <v>352.49</v>
      </c>
      <c r="AH290" s="220">
        <f>EO290</f>
        <v>107.85</v>
      </c>
      <c r="AI290" s="220">
        <f>EN290</f>
        <v>244.64</v>
      </c>
      <c r="AJ290" s="220">
        <f t="shared" si="918"/>
        <v>0</v>
      </c>
      <c r="AK290" s="216">
        <f t="shared" si="794"/>
        <v>202.5</v>
      </c>
      <c r="AL290" s="220">
        <f t="shared" si="795"/>
        <v>98.7</v>
      </c>
      <c r="AM290" s="220">
        <f t="shared" si="796"/>
        <v>417.4</v>
      </c>
      <c r="AN290" s="221">
        <f t="shared" si="797"/>
        <v>516.1</v>
      </c>
      <c r="AO290" s="220">
        <f t="shared" si="798"/>
        <v>0</v>
      </c>
      <c r="AP290" s="220">
        <f t="shared" si="799"/>
        <v>0</v>
      </c>
      <c r="AQ290" s="220">
        <f t="shared" si="800"/>
        <v>0</v>
      </c>
      <c r="AR290" s="220">
        <f t="shared" si="801"/>
        <v>400</v>
      </c>
      <c r="AS290" s="220">
        <f t="shared" si="802"/>
        <v>50</v>
      </c>
      <c r="AT290" s="216">
        <f t="shared" si="803"/>
        <v>966.1</v>
      </c>
      <c r="AU290" s="222">
        <f t="shared" ref="AU290:AU296" si="935">AN290-AK290</f>
        <v>313.60000000000002</v>
      </c>
      <c r="AV290" s="220"/>
      <c r="AW290" s="220">
        <f>IF(AU290&gt;0,AU290,AV290+AU290)</f>
        <v>313.60000000000002</v>
      </c>
      <c r="AX290" s="216">
        <f t="shared" si="820"/>
        <v>0</v>
      </c>
      <c r="AY290" s="220">
        <f>IF(AN290&gt;=AK290,AO290,IF(AN290+AO290-AK290&gt;=0,AN290+AO290-AK290,0))</f>
        <v>0</v>
      </c>
      <c r="AZ290" s="220">
        <f>IF(OR(AN290&gt;=AK290,AN290+AO290&gt;=AK290),AP290,IF(AN290+AO290+AP290&gt;AK290,AN290+AO290+AP290-AK290,0))</f>
        <v>0</v>
      </c>
      <c r="BA290" s="220">
        <f>IF(OR(AN290&gt;=AK290,AN290+AO290&gt;=AK290,AN290+AO290+AP290&gt;=AK290),AQ290,IF(AN290+AO290+AP290+AQ290&gt;=AK290,AN290+AO290+AP290+AQ290-AK290,0))</f>
        <v>0</v>
      </c>
      <c r="BB290" s="220">
        <f>IF(OR(AN290&gt;=AK290,AN290+AO290&gt;=AK290,AN290+AO290+AP290&gt;=AK290,AN290+AO290+AP290+AQ290&gt;=AK290),AR290,IF(AN290+AO290+AP290+AQ290+AR290&gt;=AK290,AN290+AO290+AP290+AQ290+AR290-AK290,0))</f>
        <v>400</v>
      </c>
      <c r="BC290" s="220">
        <f>IF(OR(AN290&gt;=AK290,AN290+AO290&gt;=AK290,AN290+AO290+AP290&gt;=AK290,AN290+AO290+AP290+AQ290&gt;=AK290,AN290+AO290+AP290+AQ290+AR290&gt;=AK290),AS290,IF(AN290+AO290+AP290+AQ290+AR290+AS290&gt;=AK290,AN290+AO290+AP290+AQ290+AR290+AS290-AK290,0))</f>
        <v>50</v>
      </c>
      <c r="BD290" s="216">
        <f t="shared" si="759"/>
        <v>450</v>
      </c>
      <c r="BE290" s="220">
        <f>AY290-AO290</f>
        <v>0</v>
      </c>
      <c r="BF290" s="220">
        <f>AZ290-AP290</f>
        <v>0</v>
      </c>
      <c r="BG290" s="220">
        <f>BA290-AQ290</f>
        <v>0</v>
      </c>
      <c r="BH290" s="220">
        <f>BB290-AR290</f>
        <v>0</v>
      </c>
      <c r="BI290" s="220">
        <f>BC290-AS290</f>
        <v>0</v>
      </c>
      <c r="BJ290" s="220" t="s">
        <v>2418</v>
      </c>
      <c r="BK290" s="220"/>
      <c r="BL290" s="223">
        <f t="shared" si="773"/>
        <v>313.60000000000002</v>
      </c>
      <c r="BM290" s="220">
        <v>6.56</v>
      </c>
      <c r="BN290" s="220"/>
      <c r="BO290" s="220">
        <f>ROUND(BM290+(BM290*BN290),2)</f>
        <v>6.56</v>
      </c>
      <c r="BP290" s="220">
        <f>IF(AND(BL290&gt;0,BL290&lt;tiet!$D$1),BL290,IF(BL290&lt;=0,0,IF(BL290&gt;tiet!$C$1,tiet!$C$1)))</f>
        <v>200</v>
      </c>
      <c r="BQ290" s="87">
        <f t="shared" ref="BQ290:BQ296" si="936">VLOOKUP(P290,ma_dinhmuc_moi,4,0)</f>
        <v>80000</v>
      </c>
      <c r="BR290" s="224">
        <f t="shared" ref="BR290:BR296" si="937">ROUND(BQ290*BP290,0)</f>
        <v>16000000</v>
      </c>
      <c r="BS290" s="220">
        <f t="shared" si="846"/>
        <v>113.60000000000002</v>
      </c>
      <c r="BT290" s="224">
        <f>VLOOKUP(N290,ma_dinhmuc!$A$1:$J$31,10,0)</f>
        <v>65000</v>
      </c>
      <c r="BU290" s="224">
        <f>ROUND(IF(BS290&gt;0,VLOOKUP(N290,ma_dinhmuc!$A$1:$J$31,10,0)*BS290,0),0)</f>
        <v>7384000</v>
      </c>
      <c r="BV290" s="224">
        <f t="shared" ref="BV290:BV296" si="938">ROUND(BU290+BR290,0)</f>
        <v>23384000</v>
      </c>
      <c r="BW290" s="224"/>
      <c r="BX290" s="224">
        <v>0</v>
      </c>
      <c r="BY290" s="224"/>
      <c r="BZ290" s="224"/>
      <c r="CA290" s="224"/>
      <c r="CB290" s="224"/>
      <c r="CC290" s="225">
        <f t="shared" ref="CC290:CC296" si="939">ROUND(IF(BV290+BW290&gt;BX290+BY290+BZ290+CA290+CB290,(BW290+BV290)-(BX290+BY290+BZ290+CA290+CB290+CB290),0),0)</f>
        <v>23384000</v>
      </c>
      <c r="CD290" s="224">
        <f t="shared" ref="CD290:CD296" si="940">ROUND(IF(BV290+BW290&lt;BX290+BY290+BZ290+CA290-CB290,(BX290+BY290+BZ290+CA290-CB290)-(BW290+BV290),0),0)</f>
        <v>0</v>
      </c>
      <c r="CE290" s="224"/>
      <c r="CF290" s="226"/>
      <c r="CG290" s="87"/>
      <c r="CH290" s="87">
        <f t="shared" si="921"/>
        <v>43</v>
      </c>
      <c r="CI290" s="227" t="str">
        <f t="shared" si="899"/>
        <v>Phạm Bảo</v>
      </c>
      <c r="CJ290" s="227" t="str">
        <f t="shared" si="900"/>
        <v>Dương</v>
      </c>
      <c r="CK290" s="87">
        <f>H290</f>
        <v>5</v>
      </c>
      <c r="CL290" s="227" t="str">
        <f t="shared" si="922"/>
        <v xml:space="preserve">Kinh tế NN và Chính sách </v>
      </c>
      <c r="CM290" s="87" t="str">
        <f>N290</f>
        <v>CS4</v>
      </c>
      <c r="CN290" s="87">
        <f t="shared" si="923"/>
        <v>270</v>
      </c>
      <c r="CO290" s="87">
        <f t="shared" si="923"/>
        <v>200</v>
      </c>
      <c r="CP290" s="229">
        <f t="shared" si="852"/>
        <v>0</v>
      </c>
      <c r="CQ290" s="229">
        <f t="shared" si="853"/>
        <v>6.2</v>
      </c>
      <c r="CR290" s="229">
        <f t="shared" si="854"/>
        <v>2.5</v>
      </c>
      <c r="CS290" s="229">
        <f t="shared" si="855"/>
        <v>0</v>
      </c>
      <c r="CT290" s="229">
        <f t="shared" si="856"/>
        <v>0</v>
      </c>
      <c r="CU290" s="229">
        <f t="shared" si="857"/>
        <v>90</v>
      </c>
      <c r="CV290" s="229">
        <f t="shared" si="858"/>
        <v>0</v>
      </c>
      <c r="CW290" s="229">
        <f t="shared" si="859"/>
        <v>0</v>
      </c>
      <c r="CX290" s="229">
        <f t="shared" si="860"/>
        <v>0</v>
      </c>
      <c r="CY290" s="229">
        <f t="shared" si="861"/>
        <v>0</v>
      </c>
      <c r="CZ290" s="229">
        <f t="shared" si="862"/>
        <v>0</v>
      </c>
      <c r="DA290" s="229">
        <f t="shared" si="863"/>
        <v>0</v>
      </c>
      <c r="DB290" s="228">
        <f t="shared" si="792"/>
        <v>98.7</v>
      </c>
      <c r="DC290" s="229"/>
      <c r="DD290" s="229"/>
      <c r="DE290" s="229"/>
      <c r="DF290" s="229"/>
      <c r="DG290" s="229"/>
      <c r="DH290" s="229"/>
      <c r="DI290" s="229"/>
      <c r="DJ290" s="229"/>
      <c r="DK290" s="229"/>
      <c r="DL290" s="229"/>
      <c r="DM290" s="229"/>
      <c r="DN290" s="229"/>
      <c r="DO290" s="228">
        <f t="shared" si="812"/>
        <v>0</v>
      </c>
      <c r="DP290" s="228">
        <f t="shared" si="813"/>
        <v>98.7</v>
      </c>
      <c r="DQ290" s="229">
        <f t="shared" si="864"/>
        <v>385.5</v>
      </c>
      <c r="DR290" s="229">
        <f t="shared" si="865"/>
        <v>23.4</v>
      </c>
      <c r="DS290" s="229">
        <f t="shared" si="866"/>
        <v>0</v>
      </c>
      <c r="DT290" s="229">
        <f t="shared" si="867"/>
        <v>8.5</v>
      </c>
      <c r="DU290" s="229">
        <f t="shared" si="868"/>
        <v>0</v>
      </c>
      <c r="DV290" s="229">
        <f t="shared" si="869"/>
        <v>400</v>
      </c>
      <c r="DW290" s="229">
        <f t="shared" si="870"/>
        <v>50</v>
      </c>
      <c r="DX290" s="228">
        <f t="shared" si="793"/>
        <v>867.4</v>
      </c>
      <c r="DY290" s="229"/>
      <c r="DZ290" s="229"/>
      <c r="EA290" s="229"/>
      <c r="EB290" s="229"/>
      <c r="EC290" s="229"/>
      <c r="ED290" s="229"/>
      <c r="EE290" s="229"/>
      <c r="EF290" s="228">
        <f t="shared" si="847"/>
        <v>0</v>
      </c>
      <c r="EG290" s="228">
        <f t="shared" si="814"/>
        <v>867.4</v>
      </c>
      <c r="EH290" s="229">
        <f t="shared" si="848"/>
        <v>244.64</v>
      </c>
      <c r="EI290" s="229">
        <v>107.85</v>
      </c>
      <c r="EJ290" s="228">
        <f>SUM(EH290:EI290)</f>
        <v>352.49</v>
      </c>
      <c r="EK290" s="229"/>
      <c r="EL290" s="229"/>
      <c r="EM290" s="228">
        <f>SUM(EK290:EL290)</f>
        <v>0</v>
      </c>
      <c r="EN290" s="229">
        <f>EK290+EH290+EL290</f>
        <v>244.64</v>
      </c>
      <c r="EO290" s="229">
        <f t="shared" ref="EO290:EO296" si="941">EI290</f>
        <v>107.85</v>
      </c>
      <c r="EP290" s="228">
        <f t="shared" si="927"/>
        <v>352.49</v>
      </c>
      <c r="EQ290" s="173">
        <f t="shared" si="849"/>
        <v>44.639999999999986</v>
      </c>
      <c r="ER290" s="189">
        <v>0</v>
      </c>
      <c r="ES290" s="189">
        <v>6.2</v>
      </c>
      <c r="ET290" s="189">
        <v>2.5</v>
      </c>
      <c r="EU290" s="189">
        <v>0</v>
      </c>
      <c r="EV290" s="189">
        <v>0</v>
      </c>
      <c r="EW290" s="189">
        <v>90</v>
      </c>
      <c r="EX290" s="189">
        <v>0</v>
      </c>
      <c r="EY290" s="189">
        <v>0</v>
      </c>
      <c r="EZ290" s="189">
        <v>0</v>
      </c>
      <c r="FA290" s="189">
        <v>0</v>
      </c>
      <c r="FB290" s="189">
        <v>0</v>
      </c>
      <c r="FC290" s="189">
        <v>0</v>
      </c>
      <c r="FD290" s="189">
        <v>385.5</v>
      </c>
      <c r="FE290" s="189">
        <v>23.4</v>
      </c>
      <c r="FF290" s="189">
        <v>0</v>
      </c>
      <c r="FG290" s="189">
        <v>8.5</v>
      </c>
      <c r="FH290" s="189">
        <v>400</v>
      </c>
      <c r="FI290" s="189">
        <v>0</v>
      </c>
      <c r="FJ290" s="189">
        <v>50</v>
      </c>
      <c r="FK290" s="189">
        <v>966.1</v>
      </c>
      <c r="FL290" s="189">
        <v>767</v>
      </c>
      <c r="FN290" s="132">
        <v>244.64</v>
      </c>
    </row>
    <row r="291" spans="1:170" ht="45">
      <c r="A291" s="88">
        <f>COUNTIF($H$12:H296,H291)</f>
        <v>49</v>
      </c>
      <c r="B291" s="88" t="s">
        <v>1677</v>
      </c>
      <c r="C291" s="88" t="s">
        <v>1298</v>
      </c>
      <c r="D291" s="88"/>
      <c r="E291" s="88"/>
      <c r="F291" s="301" t="s">
        <v>2081</v>
      </c>
      <c r="G291" s="303" t="s">
        <v>2681</v>
      </c>
      <c r="H291" s="88">
        <v>5</v>
      </c>
      <c r="I291" s="88">
        <v>5</v>
      </c>
      <c r="J291" s="88">
        <v>5</v>
      </c>
      <c r="K291" s="90" t="s">
        <v>1088</v>
      </c>
      <c r="L291" s="90" t="s">
        <v>1088</v>
      </c>
      <c r="M291" s="214"/>
      <c r="N291" s="88" t="s">
        <v>1804</v>
      </c>
      <c r="O291" s="216">
        <f t="shared" si="915"/>
        <v>3</v>
      </c>
      <c r="P291" s="88" t="str">
        <f t="shared" si="880"/>
        <v>B1_3</v>
      </c>
      <c r="Q291" s="88">
        <f t="shared" si="733"/>
        <v>270</v>
      </c>
      <c r="R291" s="88">
        <f t="shared" si="734"/>
        <v>100</v>
      </c>
      <c r="S291" s="218" t="s">
        <v>1422</v>
      </c>
      <c r="T291" s="88" t="s">
        <v>1326</v>
      </c>
      <c r="U291" s="88">
        <f>IF(RIGHT(T291,1)="K",(VLOOKUP(T291,ma_miengiam!$A$3:$B$80,2,0)*100)/2,VLOOKUP(T291,ma_miengiam!$A$3:$B$80,2,0)*100)</f>
        <v>65</v>
      </c>
      <c r="V291" s="88"/>
      <c r="W291" s="220">
        <f>IF(AND(T291="NTS",V291&gt;0),(Q291-(Q291*V291)/12)*VLOOKUP(T291,ma_miengiam!$A$3:$B$80,2,0)+(Q291-(Q291*(12-V291))/12),IF(AND(RIGHT(T291,1)="K",V291&gt;0),(VLOOKUP(T291,ma_miengiam!$A$3:$B$80,2,0)/2)*(Q291*V291)/12,IF(RIGHT(T291,1)="K",(VLOOKUP(T291,ma_miengiam!$A$3:$B$80,2,0)*Q291)/2,IF(V291&gt;0,VLOOKUP(T291,ma_miengiam!$A$3:$B$80,2,0)*Q291*V291/12,VLOOKUP(T291,ma_miengiam!$A$3:$B$80,2,0)*Q291))))</f>
        <v>175.5</v>
      </c>
      <c r="X291" s="220">
        <f>IF(T291="NTS",VLOOKUP(T291,ma_miengiam!$A$3:$B$80,2,0)*R291*V291,IF(AND(T291="NTS",V291=0),0,IF(AND(LEFT(T291,1)="K",V291=0),VLOOKUP(T291,ma_miengiam!$A$3:$B$80,2,0)*R291,IF(LEFT(T291,1)="K",(VLOOKUP(T291,ma_miengiam!$A$3:$B$80,2,0)*R291/12)*V291,IF(AND(LEFT(T291,1)="S",V291&gt;0),(R291/12)*V291,IF(AND(LEFT(T291,1)="S",V291=0),R291,IF(T291="DH",VLOOKUP(T291,ma_miengiam!$A$3:$B$80,2,0)*R291,0)))))))</f>
        <v>100</v>
      </c>
      <c r="Y291" s="220">
        <f t="shared" si="932"/>
        <v>94.5</v>
      </c>
      <c r="Z291" s="220">
        <f t="shared" si="934"/>
        <v>0</v>
      </c>
      <c r="AA291" s="220">
        <f t="shared" ref="AA291:AB296" si="942">Q291</f>
        <v>270</v>
      </c>
      <c r="AB291" s="220">
        <f t="shared" si="942"/>
        <v>100</v>
      </c>
      <c r="AC291" s="220">
        <f t="shared" ref="AC291:AF296" si="943">W291</f>
        <v>175.5</v>
      </c>
      <c r="AD291" s="220">
        <f t="shared" si="943"/>
        <v>100</v>
      </c>
      <c r="AE291" s="220">
        <f t="shared" si="943"/>
        <v>94.5</v>
      </c>
      <c r="AF291" s="220">
        <f t="shared" si="943"/>
        <v>0</v>
      </c>
      <c r="AG291" s="220">
        <f t="shared" si="929"/>
        <v>379.51</v>
      </c>
      <c r="AH291" s="220">
        <f t="shared" si="930"/>
        <v>163.44</v>
      </c>
      <c r="AI291" s="220">
        <f t="shared" si="931"/>
        <v>216.07</v>
      </c>
      <c r="AJ291" s="220">
        <f t="shared" si="918"/>
        <v>0</v>
      </c>
      <c r="AK291" s="216">
        <f t="shared" si="794"/>
        <v>94.5</v>
      </c>
      <c r="AL291" s="220">
        <f t="shared" si="795"/>
        <v>374.8</v>
      </c>
      <c r="AM291" s="220">
        <f t="shared" si="796"/>
        <v>0</v>
      </c>
      <c r="AN291" s="221">
        <f t="shared" si="797"/>
        <v>374.8</v>
      </c>
      <c r="AO291" s="220">
        <f t="shared" si="798"/>
        <v>0</v>
      </c>
      <c r="AP291" s="220">
        <f t="shared" si="799"/>
        <v>0</v>
      </c>
      <c r="AQ291" s="220">
        <f t="shared" si="800"/>
        <v>160</v>
      </c>
      <c r="AR291" s="220">
        <f t="shared" si="801"/>
        <v>0</v>
      </c>
      <c r="AS291" s="220">
        <f t="shared" si="802"/>
        <v>0</v>
      </c>
      <c r="AT291" s="216">
        <f t="shared" si="803"/>
        <v>534.79999999999995</v>
      </c>
      <c r="AU291" s="222">
        <f t="shared" si="935"/>
        <v>280.3</v>
      </c>
      <c r="AV291" s="220"/>
      <c r="AW291" s="220">
        <f t="shared" si="804"/>
        <v>280.3</v>
      </c>
      <c r="AX291" s="216">
        <f t="shared" si="820"/>
        <v>0</v>
      </c>
      <c r="AY291" s="220">
        <f t="shared" si="815"/>
        <v>0</v>
      </c>
      <c r="AZ291" s="220">
        <f t="shared" si="816"/>
        <v>0</v>
      </c>
      <c r="BA291" s="220">
        <f t="shared" si="817"/>
        <v>160</v>
      </c>
      <c r="BB291" s="220">
        <f t="shared" si="818"/>
        <v>0</v>
      </c>
      <c r="BC291" s="220">
        <f t="shared" si="819"/>
        <v>0</v>
      </c>
      <c r="BD291" s="216">
        <f t="shared" si="759"/>
        <v>160</v>
      </c>
      <c r="BE291" s="220">
        <f t="shared" si="805"/>
        <v>0</v>
      </c>
      <c r="BF291" s="220">
        <f t="shared" si="806"/>
        <v>0</v>
      </c>
      <c r="BG291" s="220">
        <f t="shared" si="807"/>
        <v>0</v>
      </c>
      <c r="BH291" s="220">
        <f t="shared" si="808"/>
        <v>0</v>
      </c>
      <c r="BI291" s="220">
        <f t="shared" si="809"/>
        <v>0</v>
      </c>
      <c r="BJ291" s="220" t="s">
        <v>2418</v>
      </c>
      <c r="BK291" s="220"/>
      <c r="BL291" s="223">
        <f t="shared" si="773"/>
        <v>280.3</v>
      </c>
      <c r="BM291" s="220">
        <v>3</v>
      </c>
      <c r="BN291" s="220"/>
      <c r="BO291" s="220">
        <f t="shared" si="920"/>
        <v>3</v>
      </c>
      <c r="BP291" s="220">
        <f>IF(AND(BL291&gt;0,BL291&lt;tiet!$D$1),BL291,IF(BL291&lt;=0,0,IF(BL291&gt;tiet!$C$1,tiet!$C$1)))</f>
        <v>200</v>
      </c>
      <c r="BQ291" s="87">
        <f t="shared" si="936"/>
        <v>60000</v>
      </c>
      <c r="BR291" s="224">
        <f t="shared" si="937"/>
        <v>12000000</v>
      </c>
      <c r="BS291" s="220">
        <f t="shared" si="846"/>
        <v>80.300000000000011</v>
      </c>
      <c r="BT291" s="224">
        <f>VLOOKUP(N291,ma_dinhmuc!$A$1:$J$31,10,0)</f>
        <v>51000</v>
      </c>
      <c r="BU291" s="224">
        <f>ROUND(IF(BS291&gt;0,VLOOKUP(N291,ma_dinhmuc!$A$1:$J$31,10,0)*BS291,0),0)</f>
        <v>4095300</v>
      </c>
      <c r="BV291" s="224">
        <f t="shared" si="938"/>
        <v>16095300</v>
      </c>
      <c r="BW291" s="224"/>
      <c r="BX291" s="224">
        <v>0</v>
      </c>
      <c r="BY291" s="224"/>
      <c r="BZ291" s="224"/>
      <c r="CA291" s="224"/>
      <c r="CB291" s="224"/>
      <c r="CC291" s="225">
        <f t="shared" si="939"/>
        <v>16095300</v>
      </c>
      <c r="CD291" s="224">
        <f t="shared" si="940"/>
        <v>0</v>
      </c>
      <c r="CE291" s="224"/>
      <c r="CF291" s="226"/>
      <c r="CG291" s="87"/>
      <c r="CH291" s="87">
        <f t="shared" si="921"/>
        <v>49</v>
      </c>
      <c r="CI291" s="227" t="str">
        <f t="shared" si="899"/>
        <v>Nguyễn Thanh</v>
      </c>
      <c r="CJ291" s="227" t="str">
        <f t="shared" si="900"/>
        <v>Phong</v>
      </c>
      <c r="CK291" s="87">
        <f t="shared" si="933"/>
        <v>5</v>
      </c>
      <c r="CL291" s="227" t="str">
        <f t="shared" si="922"/>
        <v xml:space="preserve">Kinh tế NN và Chính sách </v>
      </c>
      <c r="CM291" s="87" t="str">
        <f t="shared" si="810"/>
        <v>CS2</v>
      </c>
      <c r="CN291" s="87">
        <f t="shared" ref="CN291:CO296" si="944">Q291</f>
        <v>270</v>
      </c>
      <c r="CO291" s="87">
        <f t="shared" si="944"/>
        <v>100</v>
      </c>
      <c r="CP291" s="229">
        <f t="shared" si="852"/>
        <v>0</v>
      </c>
      <c r="CQ291" s="229">
        <f t="shared" si="853"/>
        <v>28.3</v>
      </c>
      <c r="CR291" s="229">
        <f t="shared" si="854"/>
        <v>11.5</v>
      </c>
      <c r="CS291" s="229">
        <f t="shared" si="855"/>
        <v>0</v>
      </c>
      <c r="CT291" s="229">
        <f t="shared" si="856"/>
        <v>0</v>
      </c>
      <c r="CU291" s="229">
        <f t="shared" si="857"/>
        <v>335</v>
      </c>
      <c r="CV291" s="229">
        <f t="shared" si="858"/>
        <v>0</v>
      </c>
      <c r="CW291" s="229">
        <f t="shared" si="859"/>
        <v>0</v>
      </c>
      <c r="CX291" s="229">
        <f t="shared" si="860"/>
        <v>0</v>
      </c>
      <c r="CY291" s="229">
        <f t="shared" si="861"/>
        <v>0</v>
      </c>
      <c r="CZ291" s="229">
        <f t="shared" si="862"/>
        <v>0</v>
      </c>
      <c r="DA291" s="229">
        <f t="shared" si="863"/>
        <v>160</v>
      </c>
      <c r="DB291" s="228">
        <f t="shared" si="792"/>
        <v>534.79999999999995</v>
      </c>
      <c r="DC291" s="229"/>
      <c r="DD291" s="229"/>
      <c r="DE291" s="229"/>
      <c r="DF291" s="229"/>
      <c r="DG291" s="229"/>
      <c r="DH291" s="229"/>
      <c r="DI291" s="229"/>
      <c r="DJ291" s="229"/>
      <c r="DK291" s="229"/>
      <c r="DL291" s="229"/>
      <c r="DM291" s="229"/>
      <c r="DN291" s="229"/>
      <c r="DO291" s="228">
        <f t="shared" si="812"/>
        <v>0</v>
      </c>
      <c r="DP291" s="228">
        <f t="shared" si="813"/>
        <v>534.79999999999995</v>
      </c>
      <c r="DQ291" s="229">
        <f t="shared" si="864"/>
        <v>0</v>
      </c>
      <c r="DR291" s="229">
        <f t="shared" si="865"/>
        <v>0</v>
      </c>
      <c r="DS291" s="229">
        <f t="shared" si="866"/>
        <v>0</v>
      </c>
      <c r="DT291" s="229">
        <f t="shared" si="867"/>
        <v>0</v>
      </c>
      <c r="DU291" s="229">
        <f t="shared" si="868"/>
        <v>0</v>
      </c>
      <c r="DV291" s="229">
        <f t="shared" si="869"/>
        <v>0</v>
      </c>
      <c r="DW291" s="229">
        <f t="shared" si="870"/>
        <v>0</v>
      </c>
      <c r="DX291" s="228">
        <f t="shared" si="793"/>
        <v>0</v>
      </c>
      <c r="DY291" s="229"/>
      <c r="DZ291" s="229"/>
      <c r="EA291" s="229"/>
      <c r="EB291" s="229"/>
      <c r="EC291" s="229"/>
      <c r="ED291" s="229"/>
      <c r="EE291" s="229"/>
      <c r="EF291" s="228">
        <f t="shared" si="847"/>
        <v>0</v>
      </c>
      <c r="EG291" s="228">
        <f t="shared" si="814"/>
        <v>0</v>
      </c>
      <c r="EH291" s="229">
        <f t="shared" si="848"/>
        <v>216.07</v>
      </c>
      <c r="EI291" s="229">
        <v>163.44</v>
      </c>
      <c r="EJ291" s="228">
        <f t="shared" si="924"/>
        <v>379.51</v>
      </c>
      <c r="EK291" s="229"/>
      <c r="EL291" s="229"/>
      <c r="EM291" s="228">
        <f t="shared" si="925"/>
        <v>0</v>
      </c>
      <c r="EN291" s="229">
        <f t="shared" si="907"/>
        <v>216.07</v>
      </c>
      <c r="EO291" s="229">
        <f t="shared" si="941"/>
        <v>163.44</v>
      </c>
      <c r="EP291" s="228">
        <f t="shared" si="927"/>
        <v>379.51</v>
      </c>
      <c r="EQ291" s="173">
        <f t="shared" si="849"/>
        <v>216.07</v>
      </c>
      <c r="ER291" s="189">
        <v>0</v>
      </c>
      <c r="ES291" s="189">
        <v>28.3</v>
      </c>
      <c r="ET291" s="189">
        <v>11.5</v>
      </c>
      <c r="EU291" s="189">
        <v>0</v>
      </c>
      <c r="EV291" s="189">
        <v>0</v>
      </c>
      <c r="EW291" s="189">
        <v>335</v>
      </c>
      <c r="EX291" s="189">
        <v>0</v>
      </c>
      <c r="EY291" s="189">
        <v>0</v>
      </c>
      <c r="EZ291" s="189">
        <v>0</v>
      </c>
      <c r="FA291" s="189">
        <v>0</v>
      </c>
      <c r="FB291" s="189">
        <v>0</v>
      </c>
      <c r="FC291" s="189">
        <v>160</v>
      </c>
      <c r="FD291" s="189">
        <v>0</v>
      </c>
      <c r="FE291" s="189">
        <v>0</v>
      </c>
      <c r="FF291" s="189">
        <v>0</v>
      </c>
      <c r="FG291" s="189">
        <v>0</v>
      </c>
      <c r="FH291" s="189">
        <v>0</v>
      </c>
      <c r="FI291" s="189">
        <v>0</v>
      </c>
      <c r="FJ291" s="189">
        <v>0</v>
      </c>
      <c r="FK291" s="189">
        <v>534.79999999999995</v>
      </c>
      <c r="FL291" s="189">
        <v>459</v>
      </c>
      <c r="FN291" s="132">
        <v>216.07</v>
      </c>
    </row>
    <row r="292" spans="1:170" ht="25.5" customHeight="1">
      <c r="A292" s="88">
        <f>COUNTIF($H$12:H292,H292)</f>
        <v>45</v>
      </c>
      <c r="B292" s="88" t="s">
        <v>1678</v>
      </c>
      <c r="C292" s="88" t="s">
        <v>1299</v>
      </c>
      <c r="D292" s="88"/>
      <c r="E292" s="88"/>
      <c r="F292" s="301" t="s">
        <v>2213</v>
      </c>
      <c r="G292" s="303" t="s">
        <v>1888</v>
      </c>
      <c r="H292" s="88">
        <v>5</v>
      </c>
      <c r="I292" s="88">
        <v>5</v>
      </c>
      <c r="J292" s="88">
        <v>5</v>
      </c>
      <c r="K292" s="90" t="s">
        <v>1088</v>
      </c>
      <c r="L292" s="90" t="s">
        <v>1088</v>
      </c>
      <c r="M292" s="214"/>
      <c r="N292" s="88" t="s">
        <v>1804</v>
      </c>
      <c r="O292" s="216">
        <f t="shared" si="915"/>
        <v>3.66</v>
      </c>
      <c r="P292" s="88" t="str">
        <f t="shared" si="880"/>
        <v>B1_4</v>
      </c>
      <c r="Q292" s="88">
        <f t="shared" si="733"/>
        <v>270</v>
      </c>
      <c r="R292" s="88">
        <f t="shared" si="734"/>
        <v>120</v>
      </c>
      <c r="S292" s="218" t="s">
        <v>501</v>
      </c>
      <c r="T292" s="88" t="s">
        <v>3091</v>
      </c>
      <c r="U292" s="88">
        <f>IF(RIGHT(T292,1)="K",(VLOOKUP(T292,ma_miengiam!$A$3:$B$80,2,0)*100)/2,VLOOKUP(T292,ma_miengiam!$A$3:$B$80,2,0)*100)</f>
        <v>20</v>
      </c>
      <c r="V292" s="88"/>
      <c r="W292" s="220">
        <f>IF(AND(T292="NTS",V292&gt;0),(Q292-(Q292*V292)/12)*VLOOKUP(T292,ma_miengiam!$A$3:$B$80,2,0)+(Q292-(Q292*(12-V292))/12),IF(AND(RIGHT(T292,1)="K",V292&gt;0),(VLOOKUP(T292,ma_miengiam!$A$3:$B$80,2,0)/2)*(Q292*V292)/12,IF(RIGHT(T292,1)="K",(VLOOKUP(T292,ma_miengiam!$A$3:$B$80,2,0)*Q292)/2,IF(V292&gt;0,VLOOKUP(T292,ma_miengiam!$A$3:$B$80,2,0)*Q292*V292/12,VLOOKUP(T292,ma_miengiam!$A$3:$B$80,2,0)*Q292))))</f>
        <v>54</v>
      </c>
      <c r="X292" s="220">
        <f>IF(T292="NTS",VLOOKUP(T292,ma_miengiam!$A$3:$B$80,2,0)*R292*V292,IF(AND(T292="NTS",V292=0),0,IF(AND(LEFT(T292,1)="K",V292=0),VLOOKUP(T292,ma_miengiam!$A$3:$B$80,2,0)*R292,IF(LEFT(T292,1)="K",(VLOOKUP(T292,ma_miengiam!$A$3:$B$80,2,0)*R292/12)*V292,IF(AND(LEFT(T292,1)="S",V292&gt;0),(R292/12)*V292,IF(AND(LEFT(T292,1)="S",V292=0),R292,IF(T292="DH",VLOOKUP(T292,ma_miengiam!$A$3:$B$80,2,0)*R292,0)))))))</f>
        <v>0</v>
      </c>
      <c r="Y292" s="220">
        <f t="shared" si="932"/>
        <v>216</v>
      </c>
      <c r="Z292" s="220">
        <f t="shared" si="934"/>
        <v>120</v>
      </c>
      <c r="AA292" s="220">
        <f t="shared" si="942"/>
        <v>270</v>
      </c>
      <c r="AB292" s="220">
        <f t="shared" si="942"/>
        <v>120</v>
      </c>
      <c r="AC292" s="220">
        <f t="shared" si="943"/>
        <v>54</v>
      </c>
      <c r="AD292" s="220">
        <f t="shared" si="943"/>
        <v>0</v>
      </c>
      <c r="AE292" s="220">
        <f t="shared" si="943"/>
        <v>216</v>
      </c>
      <c r="AF292" s="220">
        <f t="shared" si="943"/>
        <v>120</v>
      </c>
      <c r="AG292" s="220">
        <f t="shared" si="929"/>
        <v>311.60000000000002</v>
      </c>
      <c r="AH292" s="220">
        <f t="shared" si="930"/>
        <v>136.13</v>
      </c>
      <c r="AI292" s="220">
        <f t="shared" si="931"/>
        <v>175.47</v>
      </c>
      <c r="AJ292" s="220">
        <f t="shared" si="918"/>
        <v>0</v>
      </c>
      <c r="AK292" s="216">
        <f t="shared" si="794"/>
        <v>216</v>
      </c>
      <c r="AL292" s="220">
        <f t="shared" si="795"/>
        <v>238.9</v>
      </c>
      <c r="AM292" s="220">
        <f t="shared" si="796"/>
        <v>59.6</v>
      </c>
      <c r="AN292" s="221">
        <f t="shared" si="797"/>
        <v>298.5</v>
      </c>
      <c r="AO292" s="220">
        <f t="shared" si="798"/>
        <v>0</v>
      </c>
      <c r="AP292" s="220">
        <f t="shared" si="799"/>
        <v>0</v>
      </c>
      <c r="AQ292" s="220">
        <f t="shared" si="800"/>
        <v>60</v>
      </c>
      <c r="AR292" s="220">
        <f t="shared" si="801"/>
        <v>0</v>
      </c>
      <c r="AS292" s="220">
        <f t="shared" si="802"/>
        <v>0</v>
      </c>
      <c r="AT292" s="216">
        <f t="shared" si="803"/>
        <v>358.5</v>
      </c>
      <c r="AU292" s="220">
        <f t="shared" si="935"/>
        <v>82.5</v>
      </c>
      <c r="AV292" s="220"/>
      <c r="AW292" s="220">
        <f t="shared" si="804"/>
        <v>82.5</v>
      </c>
      <c r="AX292" s="216">
        <f t="shared" si="820"/>
        <v>0</v>
      </c>
      <c r="AY292" s="220">
        <f t="shared" si="815"/>
        <v>0</v>
      </c>
      <c r="AZ292" s="220">
        <f t="shared" si="816"/>
        <v>0</v>
      </c>
      <c r="BA292" s="220">
        <f t="shared" si="817"/>
        <v>60</v>
      </c>
      <c r="BB292" s="220">
        <f t="shared" si="818"/>
        <v>0</v>
      </c>
      <c r="BC292" s="220">
        <f t="shared" si="819"/>
        <v>0</v>
      </c>
      <c r="BD292" s="216">
        <f t="shared" si="759"/>
        <v>60</v>
      </c>
      <c r="BE292" s="220">
        <f t="shared" si="805"/>
        <v>0</v>
      </c>
      <c r="BF292" s="220">
        <f t="shared" si="806"/>
        <v>0</v>
      </c>
      <c r="BG292" s="220">
        <f t="shared" si="807"/>
        <v>0</v>
      </c>
      <c r="BH292" s="220">
        <f t="shared" si="808"/>
        <v>0</v>
      </c>
      <c r="BI292" s="220">
        <f t="shared" si="809"/>
        <v>0</v>
      </c>
      <c r="BJ292" s="220" t="s">
        <v>2418</v>
      </c>
      <c r="BK292" s="220"/>
      <c r="BL292" s="223">
        <f t="shared" si="773"/>
        <v>82.5</v>
      </c>
      <c r="BM292" s="220">
        <v>3.66</v>
      </c>
      <c r="BN292" s="220"/>
      <c r="BO292" s="220">
        <f t="shared" si="920"/>
        <v>3.66</v>
      </c>
      <c r="BP292" s="220">
        <f>IF(AND(BL292&gt;0,BL292&lt;tiet!$D$1),BL292,IF(BL292&lt;=0,0,IF(BL292&gt;tiet!$C$1,tiet!$C$1)))</f>
        <v>82.5</v>
      </c>
      <c r="BQ292" s="87">
        <f t="shared" si="936"/>
        <v>65000</v>
      </c>
      <c r="BR292" s="224">
        <f t="shared" si="937"/>
        <v>5362500</v>
      </c>
      <c r="BS292" s="220">
        <f t="shared" si="846"/>
        <v>0</v>
      </c>
      <c r="BT292" s="224">
        <f>VLOOKUP(N292,ma_dinhmuc!$A$1:$J$31,10,0)</f>
        <v>51000</v>
      </c>
      <c r="BU292" s="224">
        <f>ROUND(IF(BS292&gt;0,VLOOKUP(N292,ma_dinhmuc!$A$1:$J$31,10,0)*BS292,0),0)</f>
        <v>0</v>
      </c>
      <c r="BV292" s="224">
        <f t="shared" si="938"/>
        <v>5362500</v>
      </c>
      <c r="BW292" s="224"/>
      <c r="BX292" s="224">
        <v>0</v>
      </c>
      <c r="BY292" s="224"/>
      <c r="BZ292" s="224"/>
      <c r="CA292" s="224"/>
      <c r="CB292" s="224"/>
      <c r="CC292" s="225">
        <f t="shared" si="939"/>
        <v>5362500</v>
      </c>
      <c r="CD292" s="224">
        <f t="shared" si="940"/>
        <v>0</v>
      </c>
      <c r="CE292" s="224"/>
      <c r="CF292" s="226"/>
      <c r="CG292" s="87"/>
      <c r="CH292" s="87">
        <f t="shared" si="921"/>
        <v>45</v>
      </c>
      <c r="CI292" s="227" t="str">
        <f t="shared" si="899"/>
        <v>Lê Thị Thanh</v>
      </c>
      <c r="CJ292" s="227" t="str">
        <f t="shared" si="900"/>
        <v>Loan</v>
      </c>
      <c r="CK292" s="87">
        <f t="shared" si="933"/>
        <v>5</v>
      </c>
      <c r="CL292" s="227" t="str">
        <f t="shared" si="922"/>
        <v xml:space="preserve">Kinh tế NN và Chính sách </v>
      </c>
      <c r="CM292" s="87" t="str">
        <f t="shared" si="810"/>
        <v>CS2</v>
      </c>
      <c r="CN292" s="87">
        <f t="shared" si="944"/>
        <v>270</v>
      </c>
      <c r="CO292" s="87">
        <f t="shared" si="944"/>
        <v>120</v>
      </c>
      <c r="CP292" s="229">
        <f t="shared" si="852"/>
        <v>0</v>
      </c>
      <c r="CQ292" s="229">
        <f t="shared" si="853"/>
        <v>20.7</v>
      </c>
      <c r="CR292" s="229">
        <f t="shared" si="854"/>
        <v>8.1999999999999993</v>
      </c>
      <c r="CS292" s="229">
        <f t="shared" si="855"/>
        <v>0</v>
      </c>
      <c r="CT292" s="229">
        <f t="shared" si="856"/>
        <v>0</v>
      </c>
      <c r="CU292" s="229">
        <f t="shared" si="857"/>
        <v>210</v>
      </c>
      <c r="CV292" s="229">
        <f t="shared" si="858"/>
        <v>0</v>
      </c>
      <c r="CW292" s="229">
        <f t="shared" si="859"/>
        <v>0</v>
      </c>
      <c r="CX292" s="229">
        <f t="shared" si="860"/>
        <v>0</v>
      </c>
      <c r="CY292" s="229">
        <f t="shared" si="861"/>
        <v>0</v>
      </c>
      <c r="CZ292" s="229">
        <f t="shared" si="862"/>
        <v>0</v>
      </c>
      <c r="DA292" s="229">
        <f t="shared" si="863"/>
        <v>60</v>
      </c>
      <c r="DB292" s="228">
        <f t="shared" si="792"/>
        <v>298.89999999999998</v>
      </c>
      <c r="DC292" s="229"/>
      <c r="DD292" s="229"/>
      <c r="DE292" s="229"/>
      <c r="DF292" s="229"/>
      <c r="DG292" s="229"/>
      <c r="DH292" s="229"/>
      <c r="DI292" s="229"/>
      <c r="DJ292" s="229"/>
      <c r="DK292" s="229"/>
      <c r="DL292" s="229"/>
      <c r="DM292" s="229"/>
      <c r="DN292" s="229"/>
      <c r="DO292" s="228">
        <f t="shared" si="812"/>
        <v>0</v>
      </c>
      <c r="DP292" s="228">
        <f t="shared" si="813"/>
        <v>298.89999999999998</v>
      </c>
      <c r="DQ292" s="229">
        <f t="shared" si="864"/>
        <v>54</v>
      </c>
      <c r="DR292" s="229">
        <f t="shared" si="865"/>
        <v>4</v>
      </c>
      <c r="DS292" s="229">
        <f t="shared" si="866"/>
        <v>0</v>
      </c>
      <c r="DT292" s="229">
        <f t="shared" si="867"/>
        <v>1.6</v>
      </c>
      <c r="DU292" s="229">
        <f t="shared" si="868"/>
        <v>0</v>
      </c>
      <c r="DV292" s="229">
        <f t="shared" si="869"/>
        <v>0</v>
      </c>
      <c r="DW292" s="229">
        <f t="shared" si="870"/>
        <v>0</v>
      </c>
      <c r="DX292" s="228">
        <f t="shared" si="793"/>
        <v>59.6</v>
      </c>
      <c r="DY292" s="229"/>
      <c r="DZ292" s="229"/>
      <c r="EA292" s="229"/>
      <c r="EB292" s="229"/>
      <c r="EC292" s="229"/>
      <c r="ED292" s="229"/>
      <c r="EE292" s="229"/>
      <c r="EF292" s="228">
        <f t="shared" si="847"/>
        <v>0</v>
      </c>
      <c r="EG292" s="228">
        <f t="shared" si="814"/>
        <v>59.6</v>
      </c>
      <c r="EH292" s="229">
        <f t="shared" si="848"/>
        <v>175.47</v>
      </c>
      <c r="EI292" s="229">
        <v>136.13</v>
      </c>
      <c r="EJ292" s="228">
        <f t="shared" si="924"/>
        <v>311.60000000000002</v>
      </c>
      <c r="EK292" s="229"/>
      <c r="EL292" s="229"/>
      <c r="EM292" s="228">
        <f t="shared" si="925"/>
        <v>0</v>
      </c>
      <c r="EN292" s="229">
        <f t="shared" si="907"/>
        <v>175.47</v>
      </c>
      <c r="EO292" s="229">
        <f t="shared" si="941"/>
        <v>136.13</v>
      </c>
      <c r="EP292" s="228">
        <f t="shared" si="927"/>
        <v>311.60000000000002</v>
      </c>
      <c r="EQ292" s="173">
        <f t="shared" si="849"/>
        <v>55.47</v>
      </c>
      <c r="ER292" s="189">
        <v>0</v>
      </c>
      <c r="ES292" s="189">
        <v>20.7</v>
      </c>
      <c r="ET292" s="189">
        <v>8.1999999999999993</v>
      </c>
      <c r="EU292" s="189">
        <v>0</v>
      </c>
      <c r="EV292" s="189">
        <v>0</v>
      </c>
      <c r="EW292" s="189">
        <v>210</v>
      </c>
      <c r="EX292" s="189">
        <v>0</v>
      </c>
      <c r="EY292" s="189">
        <v>0</v>
      </c>
      <c r="EZ292" s="189">
        <v>0</v>
      </c>
      <c r="FA292" s="189">
        <v>0</v>
      </c>
      <c r="FB292" s="189">
        <v>0</v>
      </c>
      <c r="FC292" s="189">
        <v>60</v>
      </c>
      <c r="FD292" s="189">
        <v>54</v>
      </c>
      <c r="FE292" s="189">
        <v>4</v>
      </c>
      <c r="FF292" s="189">
        <v>0</v>
      </c>
      <c r="FG292" s="189">
        <v>1.6</v>
      </c>
      <c r="FH292" s="189">
        <v>0</v>
      </c>
      <c r="FI292" s="189">
        <v>0</v>
      </c>
      <c r="FJ292" s="189">
        <v>0</v>
      </c>
      <c r="FK292" s="189">
        <v>358.5</v>
      </c>
      <c r="FL292" s="189">
        <v>265</v>
      </c>
      <c r="FN292" s="132">
        <v>175.47</v>
      </c>
    </row>
    <row r="293" spans="1:170" ht="30" customHeight="1">
      <c r="A293" s="88">
        <f>COUNTIF($H$12:H296,H293)</f>
        <v>49</v>
      </c>
      <c r="B293" s="88" t="s">
        <v>1680</v>
      </c>
      <c r="C293" s="88" t="s">
        <v>1301</v>
      </c>
      <c r="D293" s="88"/>
      <c r="E293" s="88"/>
      <c r="F293" s="301" t="s">
        <v>193</v>
      </c>
      <c r="G293" s="303" t="s">
        <v>2361</v>
      </c>
      <c r="H293" s="88">
        <v>5</v>
      </c>
      <c r="I293" s="88">
        <v>5</v>
      </c>
      <c r="J293" s="88">
        <v>5</v>
      </c>
      <c r="K293" s="90" t="s">
        <v>1088</v>
      </c>
      <c r="L293" s="90" t="s">
        <v>1088</v>
      </c>
      <c r="M293" s="214"/>
      <c r="N293" s="88" t="s">
        <v>1804</v>
      </c>
      <c r="O293" s="216">
        <f>BO293</f>
        <v>3</v>
      </c>
      <c r="P293" s="88" t="str">
        <f t="shared" si="880"/>
        <v>B1_3</v>
      </c>
      <c r="Q293" s="88">
        <f t="shared" si="733"/>
        <v>270</v>
      </c>
      <c r="R293" s="88">
        <f t="shared" si="734"/>
        <v>100</v>
      </c>
      <c r="S293" s="218" t="s">
        <v>3137</v>
      </c>
      <c r="T293" s="88" t="s">
        <v>3088</v>
      </c>
      <c r="U293" s="88">
        <f>IF(RIGHT(T293,1)="K",(VLOOKUP(T293,ma_miengiam!$A$3:$B$80,2,0)*100)/2,VLOOKUP(T293,ma_miengiam!$A$3:$B$80,2,0)*100)</f>
        <v>0</v>
      </c>
      <c r="V293" s="88"/>
      <c r="W293" s="220">
        <f>IF(AND(T293="NTS",V293&gt;0),(Q293-(Q293*V293)/12)*VLOOKUP(T293,ma_miengiam!$A$3:$B$80,2,0)+(Q293-(Q293*(12-V293))/12),IF(AND(RIGHT(T293,1)="K",V293&gt;0),(VLOOKUP(T293,ma_miengiam!$A$3:$B$80,2,0)/2)*(Q293*V293)/12,IF(RIGHT(T293,1)="K",(VLOOKUP(T293,ma_miengiam!$A$3:$B$80,2,0)*Q293)/2,IF(V293&gt;0,VLOOKUP(T293,ma_miengiam!$A$3:$B$80,2,0)*Q293*V293/12,VLOOKUP(T293,ma_miengiam!$A$3:$B$80,2,0)*Q293))))</f>
        <v>0</v>
      </c>
      <c r="X293" s="220">
        <f>IF(T293="NTS",VLOOKUP(T293,ma_miengiam!$A$3:$B$80,2,0)*R293*V293,IF(AND(T293="NTS",V293=0),0,IF(AND(LEFT(T293,1)="K",V293=0),VLOOKUP(T293,ma_miengiam!$A$3:$B$80,2,0)*R293,IF(LEFT(T293,1)="K",(VLOOKUP(T293,ma_miengiam!$A$3:$B$80,2,0)*R293/12)*V293,IF(AND(LEFT(T293,1)="S",V293&gt;0),(R293/12)*V293,IF(AND(LEFT(T293,1)="S",V293=0),R293,IF(T293="DH",VLOOKUP(T293,ma_miengiam!$A$3:$B$80,2,0)*R293,0)))))))</f>
        <v>0</v>
      </c>
      <c r="Y293" s="220">
        <f>IF(AND(T293="DH",V293&gt;0),(S293*V293/12),IF(AND(T293&lt;&gt;"NTS",V293&gt;0),(Q293*V293/12)-W293,IF(AND(T293="NTS",V293&gt;0),Q293-W293,Q293-W293)))</f>
        <v>270</v>
      </c>
      <c r="Z293" s="220">
        <f t="shared" si="934"/>
        <v>100</v>
      </c>
      <c r="AA293" s="220">
        <f t="shared" ref="AA293:AB295" si="945">Q293</f>
        <v>270</v>
      </c>
      <c r="AB293" s="220">
        <f t="shared" si="945"/>
        <v>100</v>
      </c>
      <c r="AC293" s="220">
        <f t="shared" ref="AC293:AF295" si="946">W293</f>
        <v>0</v>
      </c>
      <c r="AD293" s="220">
        <f t="shared" si="946"/>
        <v>0</v>
      </c>
      <c r="AE293" s="220">
        <f t="shared" si="946"/>
        <v>270</v>
      </c>
      <c r="AF293" s="220">
        <f t="shared" si="946"/>
        <v>100</v>
      </c>
      <c r="AG293" s="220">
        <f>AH293+AI293</f>
        <v>259.76333333333332</v>
      </c>
      <c r="AH293" s="220">
        <f>EO293</f>
        <v>133.33333333333331</v>
      </c>
      <c r="AI293" s="220">
        <f>EN293</f>
        <v>126.43</v>
      </c>
      <c r="AJ293" s="220">
        <f t="shared" si="918"/>
        <v>0</v>
      </c>
      <c r="AK293" s="216">
        <f t="shared" si="794"/>
        <v>270</v>
      </c>
      <c r="AL293" s="220">
        <f>SUM(CP293:CX293)+SUM(DC293:DK293)</f>
        <v>411</v>
      </c>
      <c r="AM293" s="220">
        <f>SUM(DQ293:DU293)+SUM(DY293:EC293)</f>
        <v>0</v>
      </c>
      <c r="AN293" s="216">
        <f>AM293+AL293</f>
        <v>411</v>
      </c>
      <c r="AO293" s="220">
        <f t="shared" ref="AO293:AQ295" si="947">CY293+DL293</f>
        <v>0</v>
      </c>
      <c r="AP293" s="220">
        <f t="shared" si="947"/>
        <v>0</v>
      </c>
      <c r="AQ293" s="220">
        <f t="shared" si="947"/>
        <v>140</v>
      </c>
      <c r="AR293" s="220">
        <f t="shared" ref="AR293:AS295" si="948">DV293+ED293</f>
        <v>0</v>
      </c>
      <c r="AS293" s="220">
        <f t="shared" si="948"/>
        <v>0</v>
      </c>
      <c r="AT293" s="216">
        <f>AN293+SUM(AO293:AS293)</f>
        <v>551</v>
      </c>
      <c r="AU293" s="220">
        <f t="shared" si="935"/>
        <v>141</v>
      </c>
      <c r="AV293" s="220"/>
      <c r="AW293" s="220">
        <f>IF(AU293&gt;0,AU293,AV293+AU293)</f>
        <v>141</v>
      </c>
      <c r="AX293" s="216">
        <f t="shared" si="820"/>
        <v>0</v>
      </c>
      <c r="AY293" s="220">
        <f>IF(AN293&gt;=AK293,AO293,IF(AN293+AO293-AK293&gt;=0,AN293+AO293-AK293,0))</f>
        <v>0</v>
      </c>
      <c r="AZ293" s="220">
        <f>IF(OR(AN293&gt;=AK293,AN293+AO293&gt;=AK293),AP293,IF(AN293+AO293+AP293&gt;AK293,AN293+AO293+AP293-AK293,0))</f>
        <v>0</v>
      </c>
      <c r="BA293" s="220">
        <f>IF(OR(AN293&gt;=AK293,AN293+AO293&gt;=AK293,AN293+AO293+AP293&gt;=AK293),AQ293,IF(AN293+AO293+AP293+AQ293&gt;=AK293,AN293+AO293+AP293+AQ293-AK293,0))</f>
        <v>140</v>
      </c>
      <c r="BB293" s="220">
        <f>IF(OR(AN293&gt;=AK293,AN293+AO293&gt;=AK293,AN293+AO293+AP293&gt;=AK293,AN293+AO293+AP293+AQ293&gt;=AK293),AR293,IF(AN293+AO293+AP293+AQ293+AR293&gt;=AK293,AN293+AO293+AP293+AQ293+AR293-AK293,0))</f>
        <v>0</v>
      </c>
      <c r="BC293" s="220">
        <f>IF(OR(AN293&gt;=AK293,AN293+AO293&gt;=AK293,AN293+AO293+AP293&gt;=AK293,AN293+AO293+AP293+AQ293&gt;=AK293,AN293+AO293+AP293+AQ293+AR293&gt;=AK293),AS293,IF(AN293+AO293+AP293+AQ293+AR293+AS293&gt;=AK293,AN293+AO293+AP293+AQ293+AR293+AS293-AK293,0))</f>
        <v>0</v>
      </c>
      <c r="BD293" s="216">
        <f t="shared" si="759"/>
        <v>140</v>
      </c>
      <c r="BE293" s="220">
        <f t="shared" ref="BE293:BI295" si="949">AY293-AO293</f>
        <v>0</v>
      </c>
      <c r="BF293" s="220">
        <f t="shared" si="949"/>
        <v>0</v>
      </c>
      <c r="BG293" s="220">
        <f t="shared" si="949"/>
        <v>0</v>
      </c>
      <c r="BH293" s="220">
        <f t="shared" si="949"/>
        <v>0</v>
      </c>
      <c r="BI293" s="220">
        <f t="shared" si="949"/>
        <v>0</v>
      </c>
      <c r="BJ293" s="220" t="s">
        <v>2418</v>
      </c>
      <c r="BK293" s="220"/>
      <c r="BL293" s="223">
        <f t="shared" si="773"/>
        <v>141</v>
      </c>
      <c r="BM293" s="220">
        <v>3</v>
      </c>
      <c r="BN293" s="220"/>
      <c r="BO293" s="220">
        <f>ROUND(BM293+(BM293*BN293),2)</f>
        <v>3</v>
      </c>
      <c r="BP293" s="220">
        <f>IF(AND(BL293&gt;0,BL293&lt;tiet!$D$1),BL293,IF(BL293&lt;=0,0,IF(BL293&gt;tiet!$C$1,tiet!$C$1)))</f>
        <v>141</v>
      </c>
      <c r="BQ293" s="87">
        <f t="shared" si="936"/>
        <v>60000</v>
      </c>
      <c r="BR293" s="224">
        <f t="shared" si="937"/>
        <v>8460000</v>
      </c>
      <c r="BS293" s="220">
        <f t="shared" si="846"/>
        <v>0</v>
      </c>
      <c r="BT293" s="224">
        <f>VLOOKUP(N293,ma_dinhmuc!$A$1:$J$31,10,0)</f>
        <v>51000</v>
      </c>
      <c r="BU293" s="224">
        <f>ROUND(IF(BS293&gt;0,VLOOKUP(N293,ma_dinhmuc!$A$1:$J$31,10,0)*BS293,0),0)</f>
        <v>0</v>
      </c>
      <c r="BV293" s="224">
        <f t="shared" si="938"/>
        <v>8460000</v>
      </c>
      <c r="BW293" s="224"/>
      <c r="BX293" s="224">
        <v>0</v>
      </c>
      <c r="BY293" s="224"/>
      <c r="BZ293" s="224"/>
      <c r="CA293" s="224"/>
      <c r="CB293" s="224"/>
      <c r="CC293" s="225">
        <f t="shared" si="939"/>
        <v>8460000</v>
      </c>
      <c r="CD293" s="224">
        <f t="shared" si="940"/>
        <v>0</v>
      </c>
      <c r="CE293" s="224"/>
      <c r="CF293" s="226"/>
      <c r="CG293" s="87"/>
      <c r="CH293" s="87">
        <f t="shared" si="921"/>
        <v>49</v>
      </c>
      <c r="CI293" s="227" t="str">
        <f t="shared" si="899"/>
        <v>Đặng Xuân</v>
      </c>
      <c r="CJ293" s="227" t="str">
        <f t="shared" si="900"/>
        <v>Phi</v>
      </c>
      <c r="CK293" s="87">
        <f>H293</f>
        <v>5</v>
      </c>
      <c r="CL293" s="227" t="str">
        <f t="shared" si="922"/>
        <v xml:space="preserve">Kinh tế NN và Chính sách </v>
      </c>
      <c r="CM293" s="87" t="str">
        <f>N293</f>
        <v>CS2</v>
      </c>
      <c r="CN293" s="87">
        <f t="shared" ref="CN293:CO295" si="950">Q293</f>
        <v>270</v>
      </c>
      <c r="CO293" s="87">
        <f t="shared" si="950"/>
        <v>100</v>
      </c>
      <c r="CP293" s="229">
        <f t="shared" si="852"/>
        <v>0</v>
      </c>
      <c r="CQ293" s="229">
        <f t="shared" si="853"/>
        <v>47.6</v>
      </c>
      <c r="CR293" s="229">
        <f t="shared" si="854"/>
        <v>19.100000000000001</v>
      </c>
      <c r="CS293" s="229">
        <f t="shared" si="855"/>
        <v>84</v>
      </c>
      <c r="CT293" s="229">
        <f t="shared" si="856"/>
        <v>0</v>
      </c>
      <c r="CU293" s="229">
        <f t="shared" si="857"/>
        <v>260.3</v>
      </c>
      <c r="CV293" s="229">
        <f t="shared" si="858"/>
        <v>0</v>
      </c>
      <c r="CW293" s="229">
        <f t="shared" si="859"/>
        <v>0</v>
      </c>
      <c r="CX293" s="229">
        <f t="shared" si="860"/>
        <v>0</v>
      </c>
      <c r="CY293" s="229">
        <f t="shared" si="861"/>
        <v>0</v>
      </c>
      <c r="CZ293" s="229">
        <f t="shared" si="862"/>
        <v>0</v>
      </c>
      <c r="DA293" s="229">
        <f t="shared" si="863"/>
        <v>140</v>
      </c>
      <c r="DB293" s="228">
        <f>SUM(CP293:DA293)</f>
        <v>551</v>
      </c>
      <c r="DC293" s="229"/>
      <c r="DD293" s="229"/>
      <c r="DE293" s="229"/>
      <c r="DF293" s="229"/>
      <c r="DG293" s="229"/>
      <c r="DH293" s="229"/>
      <c r="DI293" s="229"/>
      <c r="DJ293" s="229"/>
      <c r="DK293" s="229"/>
      <c r="DL293" s="229"/>
      <c r="DM293" s="229"/>
      <c r="DN293" s="229"/>
      <c r="DO293" s="228">
        <f>SUM(DC293:DN293)</f>
        <v>0</v>
      </c>
      <c r="DP293" s="228">
        <f>DO293+DB293</f>
        <v>551</v>
      </c>
      <c r="DQ293" s="229">
        <f t="shared" si="864"/>
        <v>0</v>
      </c>
      <c r="DR293" s="229">
        <f t="shared" si="865"/>
        <v>0</v>
      </c>
      <c r="DS293" s="229">
        <f t="shared" si="866"/>
        <v>0</v>
      </c>
      <c r="DT293" s="229">
        <f t="shared" si="867"/>
        <v>0</v>
      </c>
      <c r="DU293" s="229">
        <f t="shared" si="868"/>
        <v>0</v>
      </c>
      <c r="DV293" s="229">
        <f t="shared" si="869"/>
        <v>0</v>
      </c>
      <c r="DW293" s="229">
        <f t="shared" si="870"/>
        <v>0</v>
      </c>
      <c r="DX293" s="228">
        <f>SUM(DQ293:DW293)</f>
        <v>0</v>
      </c>
      <c r="DY293" s="229"/>
      <c r="DZ293" s="229"/>
      <c r="EA293" s="229"/>
      <c r="EB293" s="229"/>
      <c r="EC293" s="229"/>
      <c r="ED293" s="229"/>
      <c r="EE293" s="229"/>
      <c r="EF293" s="228">
        <f t="shared" si="847"/>
        <v>0</v>
      </c>
      <c r="EG293" s="228">
        <f>EF293+DX293</f>
        <v>0</v>
      </c>
      <c r="EH293" s="229">
        <f t="shared" si="848"/>
        <v>126.43</v>
      </c>
      <c r="EI293" s="229">
        <v>133.33333333333331</v>
      </c>
      <c r="EJ293" s="228">
        <f>SUM(EH293:EI293)</f>
        <v>259.76333333333332</v>
      </c>
      <c r="EK293" s="229"/>
      <c r="EL293" s="229"/>
      <c r="EM293" s="228">
        <f>SUM(EK293:EL293)</f>
        <v>0</v>
      </c>
      <c r="EN293" s="229">
        <f>EK293+EH293+EL293</f>
        <v>126.43</v>
      </c>
      <c r="EO293" s="229">
        <f t="shared" si="941"/>
        <v>133.33333333333331</v>
      </c>
      <c r="EP293" s="228">
        <f t="shared" si="927"/>
        <v>259.76333333333332</v>
      </c>
      <c r="EQ293" s="173">
        <f t="shared" si="849"/>
        <v>26.430000000000007</v>
      </c>
      <c r="ER293" s="189">
        <v>0</v>
      </c>
      <c r="ES293" s="189">
        <v>47.6</v>
      </c>
      <c r="ET293" s="189">
        <v>19.100000000000001</v>
      </c>
      <c r="EU293" s="189">
        <v>84</v>
      </c>
      <c r="EV293" s="189">
        <v>0</v>
      </c>
      <c r="EW293" s="189">
        <v>260.3</v>
      </c>
      <c r="EX293" s="189">
        <v>0</v>
      </c>
      <c r="EY293" s="189">
        <v>0</v>
      </c>
      <c r="EZ293" s="189">
        <v>0</v>
      </c>
      <c r="FA293" s="189">
        <v>0</v>
      </c>
      <c r="FB293" s="189">
        <v>0</v>
      </c>
      <c r="FC293" s="189">
        <v>140</v>
      </c>
      <c r="FD293" s="189">
        <v>0</v>
      </c>
      <c r="FE293" s="189">
        <v>0</v>
      </c>
      <c r="FF293" s="189">
        <v>0</v>
      </c>
      <c r="FG293" s="189">
        <v>0</v>
      </c>
      <c r="FH293" s="189">
        <v>0</v>
      </c>
      <c r="FI293" s="189">
        <v>0</v>
      </c>
      <c r="FJ293" s="189">
        <v>0</v>
      </c>
      <c r="FK293" s="189">
        <v>551</v>
      </c>
      <c r="FL293" s="189">
        <v>480</v>
      </c>
      <c r="FN293" s="132">
        <v>126.43</v>
      </c>
    </row>
    <row r="294" spans="1:170" ht="30" customHeight="1">
      <c r="A294" s="88">
        <f>COUNTIF($H$12:H294,H294)</f>
        <v>47</v>
      </c>
      <c r="B294" s="88" t="s">
        <v>945</v>
      </c>
      <c r="C294" s="88" t="s">
        <v>1294</v>
      </c>
      <c r="D294" s="88"/>
      <c r="E294" s="88"/>
      <c r="F294" s="301" t="s">
        <v>174</v>
      </c>
      <c r="G294" s="303" t="s">
        <v>3053</v>
      </c>
      <c r="H294" s="88">
        <v>5</v>
      </c>
      <c r="I294" s="88">
        <v>5</v>
      </c>
      <c r="J294" s="88">
        <v>5</v>
      </c>
      <c r="K294" s="90" t="s">
        <v>1088</v>
      </c>
      <c r="L294" s="90" t="s">
        <v>1088</v>
      </c>
      <c r="M294" s="214"/>
      <c r="N294" s="88" t="s">
        <v>1804</v>
      </c>
      <c r="O294" s="216">
        <f>BO294</f>
        <v>3</v>
      </c>
      <c r="P294" s="88" t="str">
        <f t="shared" si="880"/>
        <v>B1_3</v>
      </c>
      <c r="Q294" s="88">
        <f t="shared" si="733"/>
        <v>270</v>
      </c>
      <c r="R294" s="88">
        <f t="shared" si="734"/>
        <v>100</v>
      </c>
      <c r="S294" s="218" t="s">
        <v>659</v>
      </c>
      <c r="T294" s="88" t="s">
        <v>2961</v>
      </c>
      <c r="U294" s="88">
        <f>IF(RIGHT(T294,1)="K",(VLOOKUP(T294,ma_miengiam!$A$3:$B$80,2,0)*100)/2,VLOOKUP(T294,ma_miengiam!$A$3:$B$80,2,0)*100)</f>
        <v>100</v>
      </c>
      <c r="V294" s="88"/>
      <c r="W294" s="220">
        <f>IF(AND(T294="NTS",V294&gt;0),(Q294-(Q294*V294)/12)*VLOOKUP(T294,ma_miengiam!$A$3:$B$80,2,0)+(Q294-(Q294*(12-V294))/12),IF(AND(RIGHT(T294,1)="K",V294&gt;0),(VLOOKUP(T294,ma_miengiam!$A$3:$B$80,2,0)/2)*(Q294*V294)/12,IF(RIGHT(T294,1)="K",(VLOOKUP(T294,ma_miengiam!$A$3:$B$80,2,0)*Q294)/2,IF(V294&gt;0,VLOOKUP(T294,ma_miengiam!$A$3:$B$80,2,0)*Q294*V294/12,VLOOKUP(T294,ma_miengiam!$A$3:$B$80,2,0)*Q294))))</f>
        <v>270</v>
      </c>
      <c r="X294" s="220">
        <f>IF(T294="NTS",VLOOKUP(T294,ma_miengiam!$A$3:$B$80,2,0)*R294*V294,IF(AND(T294="NTS",V294=0),0,IF(AND(LEFT(T294,1)="K",V294=0),VLOOKUP(T294,ma_miengiam!$A$3:$B$80,2,0)*R294,IF(LEFT(T294,1)="K",(VLOOKUP(T294,ma_miengiam!$A$3:$B$80,2,0)*R294/12)*V294,IF(AND(LEFT(T294,1)="S",V294&gt;0),(R294/12)*V294,IF(AND(LEFT(T294,1)="S",V294=0),R294,IF(T294="DH",VLOOKUP(T294,ma_miengiam!$A$3:$B$80,2,0)*R294,0)))))))</f>
        <v>100</v>
      </c>
      <c r="Y294" s="220">
        <f>IF(AND(T294="DH",V294&gt;0),(S294*V294/12),IF(AND(T294&lt;&gt;"NTS",V294&gt;0),(Q294*V294/12)-W294,IF(AND(T294="NTS",V294&gt;0),Q294-W294,Q294-W294)))</f>
        <v>0</v>
      </c>
      <c r="Z294" s="220">
        <f t="shared" si="934"/>
        <v>0</v>
      </c>
      <c r="AA294" s="220">
        <f t="shared" si="945"/>
        <v>270</v>
      </c>
      <c r="AB294" s="220">
        <f t="shared" si="945"/>
        <v>100</v>
      </c>
      <c r="AC294" s="220">
        <f t="shared" si="946"/>
        <v>270</v>
      </c>
      <c r="AD294" s="220">
        <f t="shared" si="946"/>
        <v>100</v>
      </c>
      <c r="AE294" s="220">
        <f t="shared" si="946"/>
        <v>0</v>
      </c>
      <c r="AF294" s="220">
        <f t="shared" si="946"/>
        <v>0</v>
      </c>
      <c r="AG294" s="220">
        <f>AH294+AI294</f>
        <v>51.43</v>
      </c>
      <c r="AH294" s="220">
        <f>EO294</f>
        <v>51.43</v>
      </c>
      <c r="AI294" s="220">
        <f>EN294</f>
        <v>0</v>
      </c>
      <c r="AJ294" s="220">
        <f t="shared" si="918"/>
        <v>0</v>
      </c>
      <c r="AK294" s="216">
        <f t="shared" si="794"/>
        <v>0</v>
      </c>
      <c r="AL294" s="220">
        <f>SUM(CP294:CX294)+SUM(DC294:DK294)</f>
        <v>0</v>
      </c>
      <c r="AM294" s="220">
        <f>SUM(DQ294:DU294)+SUM(DY294:EC294)</f>
        <v>0</v>
      </c>
      <c r="AN294" s="216">
        <f>AM294+AL294</f>
        <v>0</v>
      </c>
      <c r="AO294" s="220">
        <f t="shared" si="947"/>
        <v>0</v>
      </c>
      <c r="AP294" s="220">
        <f t="shared" si="947"/>
        <v>0</v>
      </c>
      <c r="AQ294" s="220">
        <f t="shared" si="947"/>
        <v>0</v>
      </c>
      <c r="AR294" s="220">
        <f t="shared" si="948"/>
        <v>0</v>
      </c>
      <c r="AS294" s="220">
        <f t="shared" si="948"/>
        <v>0</v>
      </c>
      <c r="AT294" s="216">
        <f>AN294+SUM(AO294:AS294)</f>
        <v>0</v>
      </c>
      <c r="AU294" s="220">
        <f t="shared" si="935"/>
        <v>0</v>
      </c>
      <c r="AV294" s="220"/>
      <c r="AW294" s="220">
        <f>IF(AU294&gt;0,AU294,AV294+AU294)</f>
        <v>0</v>
      </c>
      <c r="AX294" s="216">
        <f t="shared" si="820"/>
        <v>0</v>
      </c>
      <c r="AY294" s="220">
        <f>IF(AN294&gt;=AK294,AO294,IF(AN294+AO294-AK294&gt;=0,AN294+AO294-AK294,0))</f>
        <v>0</v>
      </c>
      <c r="AZ294" s="220">
        <f>IF(OR(AN294&gt;=AK294,AN294+AO294&gt;=AK294),AP294,IF(AN294+AO294+AP294&gt;AK294,AN294+AO294+AP294-AK294,0))</f>
        <v>0</v>
      </c>
      <c r="BA294" s="220">
        <f>IF(OR(AN294&gt;=AK294,AN294+AO294&gt;=AK294,AN294+AO294+AP294&gt;=AK294),AQ294,IF(AN294+AO294+AP294+AQ294&gt;=AK294,AN294+AO294+AP294+AQ294-AK294,0))</f>
        <v>0</v>
      </c>
      <c r="BB294" s="220">
        <f>IF(OR(AN294&gt;=AK294,AN294+AO294&gt;=AK294,AN294+AO294+AP294&gt;=AK294,AN294+AO294+AP294+AQ294&gt;=AK294),AR294,IF(AN294+AO294+AP294+AQ294+AR294&gt;=AK294,AN294+AO294+AP294+AQ294+AR294-AK294,0))</f>
        <v>0</v>
      </c>
      <c r="BC294" s="220">
        <f>IF(OR(AN294&gt;=AK294,AN294+AO294&gt;=AK294,AN294+AO294+AP294&gt;=AK294,AN294+AO294+AP294+AQ294&gt;=AK294,AN294+AO294+AP294+AQ294+AR294&gt;=AK294),AS294,IF(AN294+AO294+AP294+AQ294+AR294+AS294&gt;=AK294,AN294+AO294+AP294+AQ294+AR294+AS294-AK294,0))</f>
        <v>0</v>
      </c>
      <c r="BD294" s="216">
        <f t="shared" si="759"/>
        <v>0</v>
      </c>
      <c r="BE294" s="220">
        <f t="shared" si="949"/>
        <v>0</v>
      </c>
      <c r="BF294" s="220">
        <f t="shared" si="949"/>
        <v>0</v>
      </c>
      <c r="BG294" s="220">
        <f t="shared" si="949"/>
        <v>0</v>
      </c>
      <c r="BH294" s="220">
        <f t="shared" si="949"/>
        <v>0</v>
      </c>
      <c r="BI294" s="220">
        <f t="shared" si="949"/>
        <v>0</v>
      </c>
      <c r="BJ294" s="220" t="s">
        <v>2418</v>
      </c>
      <c r="BK294" s="220"/>
      <c r="BL294" s="223">
        <f t="shared" si="773"/>
        <v>0</v>
      </c>
      <c r="BM294" s="220">
        <v>3</v>
      </c>
      <c r="BN294" s="220"/>
      <c r="BO294" s="220">
        <f>ROUND(BM294+(BM294*BN294),2)</f>
        <v>3</v>
      </c>
      <c r="BP294" s="220">
        <f>IF(AND(BL294&gt;0,BL294&lt;tiet!$D$1),BL294,IF(BL294&lt;=0,0,IF(BL294&gt;tiet!$C$1,tiet!$C$1)))</f>
        <v>0</v>
      </c>
      <c r="BQ294" s="87">
        <f t="shared" si="936"/>
        <v>60000</v>
      </c>
      <c r="BR294" s="224">
        <f t="shared" si="937"/>
        <v>0</v>
      </c>
      <c r="BS294" s="220">
        <f t="shared" si="846"/>
        <v>0</v>
      </c>
      <c r="BT294" s="224">
        <f>VLOOKUP(N294,ma_dinhmuc!$A$1:$J$31,10,0)</f>
        <v>51000</v>
      </c>
      <c r="BU294" s="224">
        <f>ROUND(IF(BS294&gt;0,VLOOKUP(N294,ma_dinhmuc!$A$1:$J$31,10,0)*BS294,0),0)</f>
        <v>0</v>
      </c>
      <c r="BV294" s="224">
        <f t="shared" si="938"/>
        <v>0</v>
      </c>
      <c r="BW294" s="224"/>
      <c r="BX294" s="224">
        <v>0</v>
      </c>
      <c r="BY294" s="224"/>
      <c r="BZ294" s="224"/>
      <c r="CA294" s="224"/>
      <c r="CB294" s="224"/>
      <c r="CC294" s="225">
        <f t="shared" si="939"/>
        <v>0</v>
      </c>
      <c r="CD294" s="224">
        <f t="shared" si="940"/>
        <v>0</v>
      </c>
      <c r="CE294" s="224"/>
      <c r="CF294" s="226"/>
      <c r="CG294" s="87"/>
      <c r="CH294" s="87">
        <f t="shared" si="921"/>
        <v>47</v>
      </c>
      <c r="CI294" s="227" t="str">
        <f t="shared" si="899"/>
        <v>Lưu Văn</v>
      </c>
      <c r="CJ294" s="227" t="str">
        <f t="shared" si="900"/>
        <v>Duy</v>
      </c>
      <c r="CK294" s="87">
        <f>H294</f>
        <v>5</v>
      </c>
      <c r="CL294" s="227" t="str">
        <f t="shared" si="922"/>
        <v xml:space="preserve">Kinh tế NN và Chính sách </v>
      </c>
      <c r="CM294" s="87" t="str">
        <f>N294</f>
        <v>CS2</v>
      </c>
      <c r="CN294" s="87">
        <f t="shared" si="950"/>
        <v>270</v>
      </c>
      <c r="CO294" s="87">
        <f t="shared" si="950"/>
        <v>100</v>
      </c>
      <c r="CP294" s="229">
        <f t="shared" si="852"/>
        <v>0</v>
      </c>
      <c r="CQ294" s="229">
        <f t="shared" si="853"/>
        <v>0</v>
      </c>
      <c r="CR294" s="229">
        <f t="shared" si="854"/>
        <v>0</v>
      </c>
      <c r="CS294" s="229">
        <f t="shared" si="855"/>
        <v>0</v>
      </c>
      <c r="CT294" s="229">
        <f t="shared" si="856"/>
        <v>0</v>
      </c>
      <c r="CU294" s="229">
        <f t="shared" si="857"/>
        <v>0</v>
      </c>
      <c r="CV294" s="229">
        <f t="shared" si="858"/>
        <v>0</v>
      </c>
      <c r="CW294" s="229">
        <f t="shared" si="859"/>
        <v>0</v>
      </c>
      <c r="CX294" s="229">
        <f t="shared" si="860"/>
        <v>0</v>
      </c>
      <c r="CY294" s="229">
        <f t="shared" si="861"/>
        <v>0</v>
      </c>
      <c r="CZ294" s="229">
        <f t="shared" si="862"/>
        <v>0</v>
      </c>
      <c r="DA294" s="229">
        <f t="shared" si="863"/>
        <v>0</v>
      </c>
      <c r="DB294" s="228">
        <f>SUM(CP294:DA294)</f>
        <v>0</v>
      </c>
      <c r="DC294" s="229"/>
      <c r="DD294" s="229"/>
      <c r="DE294" s="229"/>
      <c r="DF294" s="229"/>
      <c r="DG294" s="229"/>
      <c r="DH294" s="229"/>
      <c r="DI294" s="229"/>
      <c r="DJ294" s="229"/>
      <c r="DK294" s="229"/>
      <c r="DL294" s="229"/>
      <c r="DM294" s="229"/>
      <c r="DN294" s="229"/>
      <c r="DO294" s="228">
        <f>SUM(DC294:DN294)</f>
        <v>0</v>
      </c>
      <c r="DP294" s="228">
        <f>DO294+DB294</f>
        <v>0</v>
      </c>
      <c r="DQ294" s="229">
        <f t="shared" si="864"/>
        <v>0</v>
      </c>
      <c r="DR294" s="229">
        <f t="shared" si="865"/>
        <v>0</v>
      </c>
      <c r="DS294" s="229">
        <f t="shared" si="866"/>
        <v>0</v>
      </c>
      <c r="DT294" s="229">
        <f t="shared" si="867"/>
        <v>0</v>
      </c>
      <c r="DU294" s="229">
        <f t="shared" si="868"/>
        <v>0</v>
      </c>
      <c r="DV294" s="229">
        <f t="shared" si="869"/>
        <v>0</v>
      </c>
      <c r="DW294" s="229">
        <f t="shared" si="870"/>
        <v>0</v>
      </c>
      <c r="DX294" s="228">
        <f>SUM(DQ294:DW294)</f>
        <v>0</v>
      </c>
      <c r="DY294" s="229"/>
      <c r="DZ294" s="229"/>
      <c r="EA294" s="229"/>
      <c r="EB294" s="229"/>
      <c r="EC294" s="229"/>
      <c r="ED294" s="229"/>
      <c r="EE294" s="229"/>
      <c r="EF294" s="228">
        <f t="shared" si="847"/>
        <v>0</v>
      </c>
      <c r="EG294" s="228">
        <f>EF294+DX294</f>
        <v>0</v>
      </c>
      <c r="EH294" s="229">
        <f t="shared" si="848"/>
        <v>0</v>
      </c>
      <c r="EI294" s="229">
        <v>51.43</v>
      </c>
      <c r="EJ294" s="228">
        <f>SUM(EH294:EI294)</f>
        <v>51.43</v>
      </c>
      <c r="EK294" s="229"/>
      <c r="EL294" s="229"/>
      <c r="EM294" s="228">
        <f>SUM(EK294:EL294)</f>
        <v>0</v>
      </c>
      <c r="EN294" s="229">
        <f>EK294+EH294+EL294</f>
        <v>0</v>
      </c>
      <c r="EO294" s="229">
        <f t="shared" si="941"/>
        <v>51.43</v>
      </c>
      <c r="EP294" s="228">
        <f t="shared" si="927"/>
        <v>51.43</v>
      </c>
      <c r="EQ294" s="173">
        <f t="shared" si="849"/>
        <v>0</v>
      </c>
      <c r="ER294" s="189">
        <v>0</v>
      </c>
      <c r="ES294" s="189">
        <v>0</v>
      </c>
      <c r="ET294" s="189">
        <v>0</v>
      </c>
      <c r="EU294" s="189">
        <v>0</v>
      </c>
      <c r="EV294" s="189">
        <v>0</v>
      </c>
      <c r="EW294" s="189">
        <v>0</v>
      </c>
      <c r="EX294" s="189">
        <v>0</v>
      </c>
      <c r="EY294" s="189">
        <v>0</v>
      </c>
      <c r="EZ294" s="189">
        <v>0</v>
      </c>
      <c r="FA294" s="189">
        <v>0</v>
      </c>
      <c r="FB294" s="189">
        <v>0</v>
      </c>
      <c r="FC294" s="189">
        <v>0</v>
      </c>
      <c r="FD294" s="189">
        <v>0</v>
      </c>
      <c r="FE294" s="189">
        <v>0</v>
      </c>
      <c r="FF294" s="189">
        <v>0</v>
      </c>
      <c r="FG294" s="189">
        <v>0</v>
      </c>
      <c r="FH294" s="189">
        <v>0</v>
      </c>
      <c r="FI294" s="189">
        <v>0</v>
      </c>
      <c r="FJ294" s="189">
        <v>0</v>
      </c>
      <c r="FK294" s="189">
        <v>0</v>
      </c>
      <c r="FL294" s="189">
        <v>0</v>
      </c>
      <c r="FN294" s="132">
        <v>0</v>
      </c>
    </row>
    <row r="295" spans="1:170" ht="30" customHeight="1">
      <c r="A295" s="88">
        <f>COUNTIF($H$12:H295,H295)</f>
        <v>48</v>
      </c>
      <c r="B295" s="88" t="s">
        <v>1676</v>
      </c>
      <c r="C295" s="88" t="s">
        <v>1297</v>
      </c>
      <c r="D295" s="88"/>
      <c r="E295" s="88"/>
      <c r="F295" s="301" t="s">
        <v>192</v>
      </c>
      <c r="G295" s="89" t="s">
        <v>2814</v>
      </c>
      <c r="H295" s="88">
        <v>5</v>
      </c>
      <c r="I295" s="88">
        <v>5</v>
      </c>
      <c r="J295" s="88">
        <v>5</v>
      </c>
      <c r="K295" s="90" t="s">
        <v>1088</v>
      </c>
      <c r="L295" s="90" t="s">
        <v>1088</v>
      </c>
      <c r="M295" s="214"/>
      <c r="N295" s="88" t="s">
        <v>1804</v>
      </c>
      <c r="O295" s="216">
        <f>BO295</f>
        <v>3</v>
      </c>
      <c r="P295" s="88" t="str">
        <f t="shared" si="880"/>
        <v>B1_3</v>
      </c>
      <c r="Q295" s="88">
        <f t="shared" ref="Q295:Q360" si="951">IF(M295&gt;0,VLOOKUP(P295,ma_dinhmuc_moi,2,0)/2,VLOOKUP(P295,ma_dinhmuc_moi,2,0))</f>
        <v>270</v>
      </c>
      <c r="R295" s="88">
        <f t="shared" ref="R295:R360" si="952">IF(M295&gt;0,VLOOKUP(P295,ma_dinhmuc_moi,3,0)/2,VLOOKUP(P295,ma_dinhmuc_moi,3,0))</f>
        <v>100</v>
      </c>
      <c r="S295" s="218" t="s">
        <v>2644</v>
      </c>
      <c r="T295" s="88" t="s">
        <v>2961</v>
      </c>
      <c r="U295" s="88">
        <f>IF(RIGHT(T295,1)="K",(VLOOKUP(T295,ma_miengiam!$A$3:$B$80,2,0)*100)/2,VLOOKUP(T295,ma_miengiam!$A$3:$B$80,2,0)*100)</f>
        <v>100</v>
      </c>
      <c r="V295" s="88"/>
      <c r="W295" s="220">
        <f>IF(AND(T295="NTS",V295&gt;0),(Q295-(Q295*V295)/12)*VLOOKUP(T295,ma_miengiam!$A$3:$B$80,2,0)+(Q295-(Q295*(12-V295))/12),IF(AND(RIGHT(T295,1)="K",V295&gt;0),(VLOOKUP(T295,ma_miengiam!$A$3:$B$80,2,0)/2)*(Q295*V295)/12,IF(RIGHT(T295,1)="K",(VLOOKUP(T295,ma_miengiam!$A$3:$B$80,2,0)*Q295)/2,IF(V295&gt;0,VLOOKUP(T295,ma_miengiam!$A$3:$B$80,2,0)*Q295*V295/12,VLOOKUP(T295,ma_miengiam!$A$3:$B$80,2,0)*Q295))))</f>
        <v>270</v>
      </c>
      <c r="X295" s="220">
        <f>IF(T295="NTS",VLOOKUP(T295,ma_miengiam!$A$3:$B$80,2,0)*R295*V295,IF(AND(T295="NTS",V295=0),0,IF(AND(LEFT(T295,1)="K",V295=0),VLOOKUP(T295,ma_miengiam!$A$3:$B$80,2,0)*R295,IF(LEFT(T295,1)="K",(VLOOKUP(T295,ma_miengiam!$A$3:$B$80,2,0)*R295/12)*V295,IF(AND(LEFT(T295,1)="S",V295&gt;0),(R295/12)*V295,IF(AND(LEFT(T295,1)="S",V295=0),R295,IF(T295="DH",VLOOKUP(T295,ma_miengiam!$A$3:$B$80,2,0)*R295,0)))))))</f>
        <v>100</v>
      </c>
      <c r="Y295" s="220">
        <f>IF(AND(T295="DH",V295&gt;0),(S295*V295/12),IF(AND(T295&lt;&gt;"NTS",V295&gt;0),(Q295*V295/12)-W295,IF(AND(T295="NTS",V295&gt;0),Q295-W295,Q295-W295)))</f>
        <v>0</v>
      </c>
      <c r="Z295" s="220">
        <f t="shared" si="934"/>
        <v>0</v>
      </c>
      <c r="AA295" s="220">
        <f t="shared" si="945"/>
        <v>270</v>
      </c>
      <c r="AB295" s="220">
        <f t="shared" si="945"/>
        <v>100</v>
      </c>
      <c r="AC295" s="220">
        <f t="shared" si="946"/>
        <v>270</v>
      </c>
      <c r="AD295" s="220">
        <f t="shared" si="946"/>
        <v>100</v>
      </c>
      <c r="AE295" s="220">
        <f t="shared" si="946"/>
        <v>0</v>
      </c>
      <c r="AF295" s="220">
        <f t="shared" si="946"/>
        <v>0</v>
      </c>
      <c r="AG295" s="220">
        <f>AH295+AI295</f>
        <v>196.76999999999998</v>
      </c>
      <c r="AH295" s="220">
        <f>EO295</f>
        <v>163.44</v>
      </c>
      <c r="AI295" s="220">
        <f>EN295</f>
        <v>33.33</v>
      </c>
      <c r="AJ295" s="220">
        <f t="shared" si="918"/>
        <v>0</v>
      </c>
      <c r="AK295" s="216">
        <f t="shared" si="794"/>
        <v>0</v>
      </c>
      <c r="AL295" s="220">
        <f>SUM(CP295:CX295)+SUM(DC295:DK295)</f>
        <v>0</v>
      </c>
      <c r="AM295" s="220">
        <f>SUM(DQ295:DU295)+SUM(DY295:EC295)</f>
        <v>0</v>
      </c>
      <c r="AN295" s="216">
        <f>AM295+AL295</f>
        <v>0</v>
      </c>
      <c r="AO295" s="220">
        <f t="shared" si="947"/>
        <v>0</v>
      </c>
      <c r="AP295" s="220">
        <f t="shared" si="947"/>
        <v>0</v>
      </c>
      <c r="AQ295" s="220">
        <f t="shared" si="947"/>
        <v>0</v>
      </c>
      <c r="AR295" s="220">
        <f t="shared" si="948"/>
        <v>0</v>
      </c>
      <c r="AS295" s="220">
        <f t="shared" si="948"/>
        <v>0</v>
      </c>
      <c r="AT295" s="216">
        <f>AN295+SUM(AO295:AS295)</f>
        <v>0</v>
      </c>
      <c r="AU295" s="220">
        <f t="shared" si="935"/>
        <v>0</v>
      </c>
      <c r="AV295" s="220"/>
      <c r="AW295" s="220">
        <f>IF(AU295&gt;0,AU295,AV295+AU295)</f>
        <v>0</v>
      </c>
      <c r="AX295" s="216">
        <f t="shared" si="820"/>
        <v>0</v>
      </c>
      <c r="AY295" s="220">
        <f>IF(AN295&gt;=AK295,AO295,IF(AN295+AO295-AK295&gt;=0,AN295+AO295-AK295,0))</f>
        <v>0</v>
      </c>
      <c r="AZ295" s="220">
        <f>IF(OR(AN295&gt;=AK295,AN295+AO295&gt;=AK295),AP295,IF(AN295+AO295+AP295&gt;AK295,AN295+AO295+AP295-AK295,0))</f>
        <v>0</v>
      </c>
      <c r="BA295" s="220">
        <f>IF(OR(AN295&gt;=AK295,AN295+AO295&gt;=AK295,AN295+AO295+AP295&gt;=AK295),AQ295,IF(AN295+AO295+AP295+AQ295&gt;=AK295,AN295+AO295+AP295+AQ295-AK295,0))</f>
        <v>0</v>
      </c>
      <c r="BB295" s="220">
        <f>IF(OR(AN295&gt;=AK295,AN295+AO295&gt;=AK295,AN295+AO295+AP295&gt;=AK295,AN295+AO295+AP295+AQ295&gt;=AK295),AR295,IF(AN295+AO295+AP295+AQ295+AR295&gt;=AK295,AN295+AO295+AP295+AQ295+AR295-AK295,0))</f>
        <v>0</v>
      </c>
      <c r="BC295" s="220">
        <f>IF(OR(AN295&gt;=AK295,AN295+AO295&gt;=AK295,AN295+AO295+AP295&gt;=AK295,AN295+AO295+AP295+AQ295&gt;=AK295,AN295+AO295+AP295+AQ295+AR295&gt;=AK295),AS295,IF(AN295+AO295+AP295+AQ295+AR295+AS295&gt;=AK295,AN295+AO295+AP295+AQ295+AR295+AS295-AK295,0))</f>
        <v>0</v>
      </c>
      <c r="BD295" s="216">
        <f t="shared" si="759"/>
        <v>0</v>
      </c>
      <c r="BE295" s="220">
        <f t="shared" si="949"/>
        <v>0</v>
      </c>
      <c r="BF295" s="220">
        <f t="shared" si="949"/>
        <v>0</v>
      </c>
      <c r="BG295" s="220">
        <f t="shared" si="949"/>
        <v>0</v>
      </c>
      <c r="BH295" s="220">
        <f t="shared" si="949"/>
        <v>0</v>
      </c>
      <c r="BI295" s="220">
        <f t="shared" si="949"/>
        <v>0</v>
      </c>
      <c r="BJ295" s="220" t="s">
        <v>2418</v>
      </c>
      <c r="BK295" s="220"/>
      <c r="BL295" s="223">
        <f t="shared" si="773"/>
        <v>0</v>
      </c>
      <c r="BM295" s="220">
        <v>3</v>
      </c>
      <c r="BN295" s="220"/>
      <c r="BO295" s="220">
        <f>ROUND(BM295+(BM295*BN295),2)</f>
        <v>3</v>
      </c>
      <c r="BP295" s="220">
        <f>IF(AND(BL295&gt;0,BL295&lt;tiet!$D$1),BL295,IF(BL295&lt;=0,0,IF(BL295&gt;tiet!$C$1,tiet!$C$1)))</f>
        <v>0</v>
      </c>
      <c r="BQ295" s="87">
        <f t="shared" si="936"/>
        <v>60000</v>
      </c>
      <c r="BR295" s="224">
        <f t="shared" si="937"/>
        <v>0</v>
      </c>
      <c r="BS295" s="220">
        <f t="shared" si="846"/>
        <v>0</v>
      </c>
      <c r="BT295" s="224">
        <f>VLOOKUP(N295,ma_dinhmuc!$A$1:$J$31,10,0)</f>
        <v>51000</v>
      </c>
      <c r="BU295" s="224">
        <f>ROUND(IF(BS295&gt;0,VLOOKUP(N295,ma_dinhmuc!$A$1:$J$31,10,0)*BS295,0),0)</f>
        <v>0</v>
      </c>
      <c r="BV295" s="224">
        <f t="shared" si="938"/>
        <v>0</v>
      </c>
      <c r="BW295" s="224"/>
      <c r="BX295" s="224">
        <v>0</v>
      </c>
      <c r="BY295" s="224"/>
      <c r="BZ295" s="224"/>
      <c r="CA295" s="224"/>
      <c r="CB295" s="224"/>
      <c r="CC295" s="225">
        <f t="shared" si="939"/>
        <v>0</v>
      </c>
      <c r="CD295" s="224">
        <f t="shared" si="940"/>
        <v>0</v>
      </c>
      <c r="CE295" s="224"/>
      <c r="CF295" s="226"/>
      <c r="CG295" s="87"/>
      <c r="CH295" s="87">
        <f t="shared" si="921"/>
        <v>48</v>
      </c>
      <c r="CI295" s="227" t="str">
        <f t="shared" si="899"/>
        <v>Trần Thị Như</v>
      </c>
      <c r="CJ295" s="227" t="str">
        <f t="shared" si="900"/>
        <v>Ngọc</v>
      </c>
      <c r="CK295" s="87">
        <f>H295</f>
        <v>5</v>
      </c>
      <c r="CL295" s="227" t="str">
        <f t="shared" si="922"/>
        <v xml:space="preserve">Kinh tế NN và Chính sách </v>
      </c>
      <c r="CM295" s="87" t="str">
        <f>N295</f>
        <v>CS2</v>
      </c>
      <c r="CN295" s="87">
        <f t="shared" si="950"/>
        <v>270</v>
      </c>
      <c r="CO295" s="87">
        <f t="shared" si="950"/>
        <v>100</v>
      </c>
      <c r="CP295" s="229">
        <f t="shared" si="852"/>
        <v>0</v>
      </c>
      <c r="CQ295" s="229">
        <f t="shared" si="853"/>
        <v>0</v>
      </c>
      <c r="CR295" s="229">
        <f t="shared" si="854"/>
        <v>0</v>
      </c>
      <c r="CS295" s="229">
        <f t="shared" si="855"/>
        <v>0</v>
      </c>
      <c r="CT295" s="229">
        <f t="shared" si="856"/>
        <v>0</v>
      </c>
      <c r="CU295" s="229">
        <f t="shared" si="857"/>
        <v>0</v>
      </c>
      <c r="CV295" s="229">
        <f t="shared" si="858"/>
        <v>0</v>
      </c>
      <c r="CW295" s="229">
        <f t="shared" si="859"/>
        <v>0</v>
      </c>
      <c r="CX295" s="229">
        <f t="shared" si="860"/>
        <v>0</v>
      </c>
      <c r="CY295" s="229">
        <f t="shared" si="861"/>
        <v>0</v>
      </c>
      <c r="CZ295" s="229">
        <f t="shared" si="862"/>
        <v>0</v>
      </c>
      <c r="DA295" s="229">
        <f t="shared" si="863"/>
        <v>0</v>
      </c>
      <c r="DB295" s="228">
        <f>SUM(CP295:DA295)</f>
        <v>0</v>
      </c>
      <c r="DC295" s="229"/>
      <c r="DD295" s="229"/>
      <c r="DE295" s="229"/>
      <c r="DF295" s="229"/>
      <c r="DG295" s="229"/>
      <c r="DH295" s="229"/>
      <c r="DI295" s="229"/>
      <c r="DJ295" s="229"/>
      <c r="DK295" s="229"/>
      <c r="DL295" s="229"/>
      <c r="DM295" s="229"/>
      <c r="DN295" s="229"/>
      <c r="DO295" s="228">
        <f>SUM(DC295:DN295)</f>
        <v>0</v>
      </c>
      <c r="DP295" s="228">
        <f>DO295+DB295</f>
        <v>0</v>
      </c>
      <c r="DQ295" s="229">
        <f t="shared" si="864"/>
        <v>0</v>
      </c>
      <c r="DR295" s="229">
        <f t="shared" si="865"/>
        <v>0</v>
      </c>
      <c r="DS295" s="229">
        <f t="shared" si="866"/>
        <v>0</v>
      </c>
      <c r="DT295" s="229">
        <f t="shared" si="867"/>
        <v>0</v>
      </c>
      <c r="DU295" s="229">
        <f t="shared" si="868"/>
        <v>0</v>
      </c>
      <c r="DV295" s="229">
        <f t="shared" si="869"/>
        <v>0</v>
      </c>
      <c r="DW295" s="229">
        <f t="shared" si="870"/>
        <v>0</v>
      </c>
      <c r="DX295" s="228">
        <f>SUM(DQ295:DW295)</f>
        <v>0</v>
      </c>
      <c r="DY295" s="229"/>
      <c r="DZ295" s="229"/>
      <c r="EA295" s="229"/>
      <c r="EB295" s="229"/>
      <c r="EC295" s="229"/>
      <c r="ED295" s="229"/>
      <c r="EE295" s="229"/>
      <c r="EF295" s="228">
        <f t="shared" si="847"/>
        <v>0</v>
      </c>
      <c r="EG295" s="228">
        <f>EF295+DX295</f>
        <v>0</v>
      </c>
      <c r="EH295" s="229">
        <f t="shared" si="848"/>
        <v>33.33</v>
      </c>
      <c r="EI295" s="229">
        <v>163.44</v>
      </c>
      <c r="EJ295" s="228">
        <f>SUM(EH295:EI295)</f>
        <v>196.76999999999998</v>
      </c>
      <c r="EK295" s="229"/>
      <c r="EL295" s="229"/>
      <c r="EM295" s="228">
        <f>SUM(EK295:EL295)</f>
        <v>0</v>
      </c>
      <c r="EN295" s="229">
        <f>EK295+EH295+EL295</f>
        <v>33.33</v>
      </c>
      <c r="EO295" s="229">
        <f t="shared" si="941"/>
        <v>163.44</v>
      </c>
      <c r="EP295" s="228">
        <f t="shared" si="927"/>
        <v>196.76999999999998</v>
      </c>
      <c r="EQ295" s="173">
        <f t="shared" si="849"/>
        <v>33.33</v>
      </c>
      <c r="ER295" s="189">
        <v>0</v>
      </c>
      <c r="ES295" s="189">
        <v>0</v>
      </c>
      <c r="ET295" s="189">
        <v>0</v>
      </c>
      <c r="EU295" s="189">
        <v>0</v>
      </c>
      <c r="EV295" s="189">
        <v>0</v>
      </c>
      <c r="EW295" s="189">
        <v>0</v>
      </c>
      <c r="EX295" s="189">
        <v>0</v>
      </c>
      <c r="EY295" s="189">
        <v>0</v>
      </c>
      <c r="EZ295" s="189">
        <v>0</v>
      </c>
      <c r="FA295" s="189">
        <v>0</v>
      </c>
      <c r="FB295" s="189">
        <v>0</v>
      </c>
      <c r="FC295" s="189">
        <v>0</v>
      </c>
      <c r="FD295" s="189">
        <v>0</v>
      </c>
      <c r="FE295" s="189">
        <v>0</v>
      </c>
      <c r="FF295" s="189">
        <v>0</v>
      </c>
      <c r="FG295" s="189">
        <v>0</v>
      </c>
      <c r="FH295" s="189">
        <v>0</v>
      </c>
      <c r="FI295" s="189">
        <v>0</v>
      </c>
      <c r="FJ295" s="189">
        <v>0</v>
      </c>
      <c r="FK295" s="189">
        <v>0</v>
      </c>
      <c r="FL295" s="189">
        <v>0</v>
      </c>
      <c r="FN295" s="132">
        <v>33.33</v>
      </c>
    </row>
    <row r="296" spans="1:170" ht="30" customHeight="1">
      <c r="A296" s="88">
        <f>COUNTIF($H$12:H296,H296)</f>
        <v>49</v>
      </c>
      <c r="B296" s="88" t="s">
        <v>1679</v>
      </c>
      <c r="C296" s="88" t="s">
        <v>1300</v>
      </c>
      <c r="D296" s="88"/>
      <c r="E296" s="88"/>
      <c r="F296" s="301" t="s">
        <v>2851</v>
      </c>
      <c r="G296" s="303" t="s">
        <v>3086</v>
      </c>
      <c r="H296" s="88">
        <v>5</v>
      </c>
      <c r="I296" s="88">
        <v>5</v>
      </c>
      <c r="J296" s="88">
        <v>5</v>
      </c>
      <c r="K296" s="90" t="s">
        <v>1088</v>
      </c>
      <c r="L296" s="90" t="s">
        <v>1088</v>
      </c>
      <c r="M296" s="214"/>
      <c r="N296" s="88" t="s">
        <v>1804</v>
      </c>
      <c r="O296" s="216">
        <f t="shared" si="915"/>
        <v>3</v>
      </c>
      <c r="P296" s="88" t="str">
        <f t="shared" si="880"/>
        <v>B1_3</v>
      </c>
      <c r="Q296" s="88">
        <f t="shared" si="951"/>
        <v>270</v>
      </c>
      <c r="R296" s="88">
        <f t="shared" si="952"/>
        <v>100</v>
      </c>
      <c r="S296" s="218" t="s">
        <v>2989</v>
      </c>
      <c r="T296" s="88" t="s">
        <v>2961</v>
      </c>
      <c r="U296" s="88">
        <f>IF(RIGHT(T296,1)="K",(VLOOKUP(T296,ma_miengiam!$A$3:$B$80,2,0)*100)/2,VLOOKUP(T296,ma_miengiam!$A$3:$B$80,2,0)*100)</f>
        <v>100</v>
      </c>
      <c r="V296" s="88"/>
      <c r="W296" s="220">
        <f>IF(AND(T296="NTS",V296&gt;0),(Q296-(Q296*V296)/12)*VLOOKUP(T296,ma_miengiam!$A$3:$B$80,2,0)+(Q296-(Q296*(12-V296))/12),IF(AND(RIGHT(T296,1)="K",V296&gt;0),(VLOOKUP(T296,ma_miengiam!$A$3:$B$80,2,0)/2)*(Q296*V296)/12,IF(RIGHT(T296,1)="K",(VLOOKUP(T296,ma_miengiam!$A$3:$B$80,2,0)*Q296)/2,IF(V296&gt;0,VLOOKUP(T296,ma_miengiam!$A$3:$B$80,2,0)*Q296*V296/12,VLOOKUP(T296,ma_miengiam!$A$3:$B$80,2,0)*Q296))))</f>
        <v>270</v>
      </c>
      <c r="X296" s="220">
        <f>IF(T296="NTS",VLOOKUP(T296,ma_miengiam!$A$3:$B$80,2,0)*R296*V296,IF(AND(T296="NTS",V296=0),0,IF(AND(LEFT(T296,1)="K",V296=0),VLOOKUP(T296,ma_miengiam!$A$3:$B$80,2,0)*R296,IF(LEFT(T296,1)="K",(VLOOKUP(T296,ma_miengiam!$A$3:$B$80,2,0)*R296/12)*V296,IF(AND(LEFT(T296,1)="S",V296&gt;0),(R296/12)*V296,IF(AND(LEFT(T296,1)="S",V296=0),R296,IF(T296="DH",VLOOKUP(T296,ma_miengiam!$A$3:$B$80,2,0)*R296,0)))))))</f>
        <v>100</v>
      </c>
      <c r="Y296" s="220">
        <f t="shared" si="932"/>
        <v>0</v>
      </c>
      <c r="Z296" s="220">
        <f t="shared" si="934"/>
        <v>0</v>
      </c>
      <c r="AA296" s="220">
        <f t="shared" si="942"/>
        <v>270</v>
      </c>
      <c r="AB296" s="220">
        <f t="shared" si="942"/>
        <v>100</v>
      </c>
      <c r="AC296" s="220">
        <f t="shared" si="943"/>
        <v>270</v>
      </c>
      <c r="AD296" s="220">
        <f t="shared" si="943"/>
        <v>100</v>
      </c>
      <c r="AE296" s="220">
        <f t="shared" si="943"/>
        <v>0</v>
      </c>
      <c r="AF296" s="220">
        <f t="shared" si="943"/>
        <v>0</v>
      </c>
      <c r="AG296" s="220">
        <f t="shared" si="929"/>
        <v>100</v>
      </c>
      <c r="AH296" s="220">
        <f t="shared" si="930"/>
        <v>0</v>
      </c>
      <c r="AI296" s="220">
        <f t="shared" si="931"/>
        <v>100</v>
      </c>
      <c r="AJ296" s="220">
        <f t="shared" si="918"/>
        <v>0</v>
      </c>
      <c r="AK296" s="216">
        <f t="shared" si="794"/>
        <v>0</v>
      </c>
      <c r="AL296" s="220">
        <f t="shared" si="795"/>
        <v>0</v>
      </c>
      <c r="AM296" s="220">
        <f t="shared" si="796"/>
        <v>0</v>
      </c>
      <c r="AN296" s="221">
        <f t="shared" si="797"/>
        <v>0</v>
      </c>
      <c r="AO296" s="220">
        <f t="shared" si="798"/>
        <v>0</v>
      </c>
      <c r="AP296" s="220">
        <f t="shared" si="799"/>
        <v>0</v>
      </c>
      <c r="AQ296" s="220">
        <f t="shared" si="800"/>
        <v>0</v>
      </c>
      <c r="AR296" s="220">
        <f t="shared" si="801"/>
        <v>0</v>
      </c>
      <c r="AS296" s="220">
        <f t="shared" si="802"/>
        <v>0</v>
      </c>
      <c r="AT296" s="216">
        <f t="shared" si="803"/>
        <v>0</v>
      </c>
      <c r="AU296" s="222">
        <f t="shared" si="935"/>
        <v>0</v>
      </c>
      <c r="AV296" s="220"/>
      <c r="AW296" s="220">
        <f t="shared" si="804"/>
        <v>0</v>
      </c>
      <c r="AX296" s="216">
        <f t="shared" si="820"/>
        <v>0</v>
      </c>
      <c r="AY296" s="220">
        <f t="shared" si="815"/>
        <v>0</v>
      </c>
      <c r="AZ296" s="220">
        <f t="shared" si="816"/>
        <v>0</v>
      </c>
      <c r="BA296" s="220">
        <f t="shared" si="817"/>
        <v>0</v>
      </c>
      <c r="BB296" s="220">
        <f t="shared" si="818"/>
        <v>0</v>
      </c>
      <c r="BC296" s="220">
        <f t="shared" si="819"/>
        <v>0</v>
      </c>
      <c r="BD296" s="216">
        <f t="shared" si="759"/>
        <v>0</v>
      </c>
      <c r="BE296" s="220">
        <f t="shared" si="805"/>
        <v>0</v>
      </c>
      <c r="BF296" s="220">
        <f t="shared" si="806"/>
        <v>0</v>
      </c>
      <c r="BG296" s="220">
        <f t="shared" si="807"/>
        <v>0</v>
      </c>
      <c r="BH296" s="220">
        <f t="shared" si="808"/>
        <v>0</v>
      </c>
      <c r="BI296" s="220">
        <f t="shared" si="809"/>
        <v>0</v>
      </c>
      <c r="BJ296" s="220" t="s">
        <v>2418</v>
      </c>
      <c r="BK296" s="220"/>
      <c r="BL296" s="223">
        <f t="shared" si="773"/>
        <v>0</v>
      </c>
      <c r="BM296" s="220">
        <v>3</v>
      </c>
      <c r="BN296" s="220"/>
      <c r="BO296" s="220">
        <f t="shared" si="920"/>
        <v>3</v>
      </c>
      <c r="BP296" s="220">
        <f>IF(AND(BL296&gt;0,BL296&lt;tiet!$D$1),BL296,IF(BL296&lt;=0,0,IF(BL296&gt;tiet!$C$1,tiet!$C$1)))</f>
        <v>0</v>
      </c>
      <c r="BQ296" s="87">
        <f t="shared" si="936"/>
        <v>60000</v>
      </c>
      <c r="BR296" s="224">
        <f t="shared" si="937"/>
        <v>0</v>
      </c>
      <c r="BS296" s="220">
        <f t="shared" si="846"/>
        <v>0</v>
      </c>
      <c r="BT296" s="224">
        <f>VLOOKUP(N296,ma_dinhmuc!$A$1:$J$31,10,0)</f>
        <v>51000</v>
      </c>
      <c r="BU296" s="224">
        <f>ROUND(IF(BS296&gt;0,VLOOKUP(N296,ma_dinhmuc!$A$1:$J$31,10,0)*BS296,0),0)</f>
        <v>0</v>
      </c>
      <c r="BV296" s="224">
        <f t="shared" si="938"/>
        <v>0</v>
      </c>
      <c r="BW296" s="224"/>
      <c r="BX296" s="224">
        <v>0</v>
      </c>
      <c r="BY296" s="224"/>
      <c r="BZ296" s="224"/>
      <c r="CA296" s="224"/>
      <c r="CB296" s="224"/>
      <c r="CC296" s="225">
        <f t="shared" si="939"/>
        <v>0</v>
      </c>
      <c r="CD296" s="224">
        <f t="shared" si="940"/>
        <v>0</v>
      </c>
      <c r="CE296" s="224"/>
      <c r="CF296" s="226"/>
      <c r="CG296" s="87"/>
      <c r="CH296" s="87">
        <f t="shared" si="921"/>
        <v>49</v>
      </c>
      <c r="CI296" s="227" t="str">
        <f t="shared" si="899"/>
        <v>Hà Thị Thanh</v>
      </c>
      <c r="CJ296" s="227" t="str">
        <f t="shared" si="900"/>
        <v>Mai</v>
      </c>
      <c r="CK296" s="87">
        <f t="shared" si="933"/>
        <v>5</v>
      </c>
      <c r="CL296" s="227" t="str">
        <f t="shared" si="922"/>
        <v xml:space="preserve">Kinh tế NN và Chính sách </v>
      </c>
      <c r="CM296" s="87" t="str">
        <f t="shared" si="810"/>
        <v>CS2</v>
      </c>
      <c r="CN296" s="87">
        <f t="shared" si="944"/>
        <v>270</v>
      </c>
      <c r="CO296" s="87">
        <f t="shared" si="944"/>
        <v>100</v>
      </c>
      <c r="CP296" s="229">
        <f t="shared" si="852"/>
        <v>0</v>
      </c>
      <c r="CQ296" s="229">
        <f t="shared" si="853"/>
        <v>0</v>
      </c>
      <c r="CR296" s="229">
        <f t="shared" si="854"/>
        <v>0</v>
      </c>
      <c r="CS296" s="229">
        <f t="shared" si="855"/>
        <v>0</v>
      </c>
      <c r="CT296" s="229">
        <f t="shared" si="856"/>
        <v>0</v>
      </c>
      <c r="CU296" s="229">
        <f t="shared" si="857"/>
        <v>0</v>
      </c>
      <c r="CV296" s="229">
        <f t="shared" si="858"/>
        <v>0</v>
      </c>
      <c r="CW296" s="229">
        <f t="shared" si="859"/>
        <v>0</v>
      </c>
      <c r="CX296" s="229">
        <f t="shared" si="860"/>
        <v>0</v>
      </c>
      <c r="CY296" s="229">
        <f t="shared" si="861"/>
        <v>0</v>
      </c>
      <c r="CZ296" s="229">
        <f t="shared" si="862"/>
        <v>0</v>
      </c>
      <c r="DA296" s="229">
        <f t="shared" si="863"/>
        <v>0</v>
      </c>
      <c r="DB296" s="228">
        <f t="shared" si="792"/>
        <v>0</v>
      </c>
      <c r="DC296" s="229"/>
      <c r="DD296" s="229"/>
      <c r="DE296" s="229"/>
      <c r="DF296" s="229"/>
      <c r="DG296" s="229"/>
      <c r="DH296" s="229"/>
      <c r="DI296" s="229"/>
      <c r="DJ296" s="229"/>
      <c r="DK296" s="229"/>
      <c r="DL296" s="229"/>
      <c r="DM296" s="229"/>
      <c r="DN296" s="229"/>
      <c r="DO296" s="228">
        <f t="shared" si="812"/>
        <v>0</v>
      </c>
      <c r="DP296" s="228">
        <f t="shared" si="813"/>
        <v>0</v>
      </c>
      <c r="DQ296" s="229">
        <f t="shared" si="864"/>
        <v>0</v>
      </c>
      <c r="DR296" s="229">
        <f t="shared" si="865"/>
        <v>0</v>
      </c>
      <c r="DS296" s="229">
        <f t="shared" si="866"/>
        <v>0</v>
      </c>
      <c r="DT296" s="229">
        <f t="shared" si="867"/>
        <v>0</v>
      </c>
      <c r="DU296" s="229">
        <f t="shared" si="868"/>
        <v>0</v>
      </c>
      <c r="DV296" s="229">
        <f t="shared" si="869"/>
        <v>0</v>
      </c>
      <c r="DW296" s="229">
        <f t="shared" si="870"/>
        <v>0</v>
      </c>
      <c r="DX296" s="228">
        <f t="shared" si="793"/>
        <v>0</v>
      </c>
      <c r="DY296" s="229"/>
      <c r="DZ296" s="229"/>
      <c r="EA296" s="229"/>
      <c r="EB296" s="229"/>
      <c r="EC296" s="229"/>
      <c r="ED296" s="229"/>
      <c r="EE296" s="229"/>
      <c r="EF296" s="228">
        <f t="shared" si="847"/>
        <v>0</v>
      </c>
      <c r="EG296" s="228">
        <f t="shared" si="814"/>
        <v>0</v>
      </c>
      <c r="EH296" s="229">
        <f t="shared" si="848"/>
        <v>100</v>
      </c>
      <c r="EI296" s="229">
        <v>0</v>
      </c>
      <c r="EJ296" s="228">
        <f t="shared" si="924"/>
        <v>100</v>
      </c>
      <c r="EK296" s="229"/>
      <c r="EL296" s="229"/>
      <c r="EM296" s="228">
        <f t="shared" si="925"/>
        <v>0</v>
      </c>
      <c r="EN296" s="229">
        <f t="shared" si="907"/>
        <v>100</v>
      </c>
      <c r="EO296" s="229">
        <f t="shared" si="941"/>
        <v>0</v>
      </c>
      <c r="EP296" s="228">
        <f t="shared" si="927"/>
        <v>100</v>
      </c>
      <c r="EQ296" s="173">
        <f t="shared" si="849"/>
        <v>100</v>
      </c>
      <c r="ER296" s="189">
        <v>0</v>
      </c>
      <c r="ES296" s="189">
        <v>0</v>
      </c>
      <c r="ET296" s="189">
        <v>0</v>
      </c>
      <c r="EU296" s="189">
        <v>0</v>
      </c>
      <c r="EV296" s="189">
        <v>0</v>
      </c>
      <c r="EW296" s="189">
        <v>0</v>
      </c>
      <c r="EX296" s="189">
        <v>0</v>
      </c>
      <c r="EY296" s="189">
        <v>0</v>
      </c>
      <c r="EZ296" s="189">
        <v>0</v>
      </c>
      <c r="FA296" s="189">
        <v>0</v>
      </c>
      <c r="FB296" s="189">
        <v>0</v>
      </c>
      <c r="FC296" s="189">
        <v>0</v>
      </c>
      <c r="FD296" s="189">
        <v>0</v>
      </c>
      <c r="FE296" s="189">
        <v>0</v>
      </c>
      <c r="FF296" s="189">
        <v>0</v>
      </c>
      <c r="FG296" s="189">
        <v>0</v>
      </c>
      <c r="FH296" s="189">
        <v>0</v>
      </c>
      <c r="FI296" s="189">
        <v>0</v>
      </c>
      <c r="FJ296" s="189">
        <v>0</v>
      </c>
      <c r="FK296" s="189">
        <v>0</v>
      </c>
      <c r="FL296" s="189">
        <v>0</v>
      </c>
      <c r="FN296" s="132">
        <v>100</v>
      </c>
    </row>
    <row r="297" spans="1:170" ht="30" customHeight="1">
      <c r="A297" s="88">
        <f>COUNTIF($H$12:H297,H297)</f>
        <v>50</v>
      </c>
      <c r="B297" s="88" t="s">
        <v>1681</v>
      </c>
      <c r="C297" s="88" t="s">
        <v>1302</v>
      </c>
      <c r="D297" s="88"/>
      <c r="E297" s="88"/>
      <c r="F297" s="301" t="s">
        <v>1601</v>
      </c>
      <c r="G297" s="89" t="s">
        <v>32</v>
      </c>
      <c r="H297" s="88">
        <v>5</v>
      </c>
      <c r="I297" s="88">
        <v>5</v>
      </c>
      <c r="J297" s="88">
        <v>5</v>
      </c>
      <c r="K297" s="90" t="s">
        <v>1089</v>
      </c>
      <c r="L297" s="90" t="s">
        <v>1089</v>
      </c>
      <c r="M297" s="214"/>
      <c r="N297" s="88" t="s">
        <v>605</v>
      </c>
      <c r="O297" s="216">
        <f t="shared" ref="O297:O307" si="953">BO297</f>
        <v>6.56</v>
      </c>
      <c r="P297" s="88" t="str">
        <f t="shared" si="880"/>
        <v>B1_7</v>
      </c>
      <c r="Q297" s="88">
        <f t="shared" si="951"/>
        <v>270</v>
      </c>
      <c r="R297" s="88">
        <f t="shared" si="952"/>
        <v>200</v>
      </c>
      <c r="S297" s="230" t="s">
        <v>674</v>
      </c>
      <c r="T297" s="88" t="s">
        <v>1754</v>
      </c>
      <c r="U297" s="88">
        <f>IF(RIGHT(T297,1)="K",(VLOOKUP(T297,ma_miengiam!$A$3:$B$80,2,0)*100)/2,VLOOKUP(T297,ma_miengiam!$A$3:$B$80,2,0)*100)</f>
        <v>75</v>
      </c>
      <c r="V297" s="88"/>
      <c r="W297" s="220">
        <f>IF(AND(T297="NTS",V297&gt;0),(Q297-(Q297*V297)/12)*VLOOKUP(T297,ma_miengiam!$A$3:$B$80,2,0)+(Q297-(Q297*(12-V297))/12),IF(AND(RIGHT(T297,1)="K",V297&gt;0),(VLOOKUP(T297,ma_miengiam!$A$3:$B$80,2,0)/2)*(Q297*V297)/12,IF(RIGHT(T297,1)="K",(VLOOKUP(T297,ma_miengiam!$A$3:$B$80,2,0)*Q297)/2,IF(V297&gt;0,VLOOKUP(T297,ma_miengiam!$A$3:$B$80,2,0)*Q297*V297/12,VLOOKUP(T297,ma_miengiam!$A$3:$B$80,2,0)*Q297))))</f>
        <v>202.5</v>
      </c>
      <c r="X297" s="220">
        <f>IF(T297="NTS",VLOOKUP(T297,ma_miengiam!$A$3:$B$80,2,0)*R297*V297,IF(AND(T297="NTS",V297=0),0,IF(AND(LEFT(T297,1)="K",V297=0),VLOOKUP(T297,ma_miengiam!$A$3:$B$80,2,0)*R297,IF(LEFT(T297,1)="K",(VLOOKUP(T297,ma_miengiam!$A$3:$B$80,2,0)*R297/12)*V297,IF(AND(LEFT(T297,1)="S",V297&gt;0),(R297/12)*V297,IF(AND(LEFT(T297,1)="S",V297=0),R297,IF(T297="DH",VLOOKUP(T297,ma_miengiam!$A$3:$B$80,2,0)*R297,0)))))))</f>
        <v>150</v>
      </c>
      <c r="Y297" s="220">
        <f t="shared" si="932"/>
        <v>67.5</v>
      </c>
      <c r="Z297" s="220">
        <f t="shared" si="908"/>
        <v>50</v>
      </c>
      <c r="AA297" s="220">
        <f t="shared" ref="AA297:AB302" si="954">Q297</f>
        <v>270</v>
      </c>
      <c r="AB297" s="220">
        <f t="shared" si="954"/>
        <v>200</v>
      </c>
      <c r="AC297" s="220">
        <f t="shared" ref="AC297:AF302" si="955">W297</f>
        <v>202.5</v>
      </c>
      <c r="AD297" s="220">
        <f t="shared" si="955"/>
        <v>150</v>
      </c>
      <c r="AE297" s="220">
        <f t="shared" si="955"/>
        <v>67.5</v>
      </c>
      <c r="AF297" s="220">
        <f t="shared" si="955"/>
        <v>50</v>
      </c>
      <c r="AG297" s="220">
        <f t="shared" si="929"/>
        <v>436.46999999999997</v>
      </c>
      <c r="AH297" s="220">
        <f t="shared" si="930"/>
        <v>294.58999999999997</v>
      </c>
      <c r="AI297" s="220">
        <f t="shared" si="931"/>
        <v>141.88</v>
      </c>
      <c r="AJ297" s="220">
        <f t="shared" si="918"/>
        <v>0</v>
      </c>
      <c r="AK297" s="216">
        <f t="shared" si="794"/>
        <v>67.5</v>
      </c>
      <c r="AL297" s="220">
        <f t="shared" si="795"/>
        <v>77.2</v>
      </c>
      <c r="AM297" s="220">
        <f t="shared" si="796"/>
        <v>117</v>
      </c>
      <c r="AN297" s="221">
        <f t="shared" si="797"/>
        <v>194.2</v>
      </c>
      <c r="AO297" s="220">
        <f t="shared" si="798"/>
        <v>0</v>
      </c>
      <c r="AP297" s="220">
        <f t="shared" si="799"/>
        <v>0</v>
      </c>
      <c r="AQ297" s="220">
        <f t="shared" si="800"/>
        <v>20</v>
      </c>
      <c r="AR297" s="220">
        <f t="shared" si="801"/>
        <v>320</v>
      </c>
      <c r="AS297" s="220">
        <f t="shared" si="802"/>
        <v>80</v>
      </c>
      <c r="AT297" s="216">
        <f t="shared" si="803"/>
        <v>614.20000000000005</v>
      </c>
      <c r="AU297" s="222">
        <f t="shared" si="919"/>
        <v>126.69999999999999</v>
      </c>
      <c r="AV297" s="220"/>
      <c r="AW297" s="220">
        <f t="shared" si="804"/>
        <v>126.69999999999999</v>
      </c>
      <c r="AX297" s="216">
        <f t="shared" si="820"/>
        <v>0</v>
      </c>
      <c r="AY297" s="220">
        <f t="shared" si="815"/>
        <v>0</v>
      </c>
      <c r="AZ297" s="220">
        <f t="shared" si="816"/>
        <v>0</v>
      </c>
      <c r="BA297" s="220">
        <f t="shared" si="817"/>
        <v>20</v>
      </c>
      <c r="BB297" s="220">
        <f t="shared" si="818"/>
        <v>320</v>
      </c>
      <c r="BC297" s="220">
        <f t="shared" si="819"/>
        <v>80</v>
      </c>
      <c r="BD297" s="216">
        <f t="shared" si="759"/>
        <v>420</v>
      </c>
      <c r="BE297" s="220">
        <f t="shared" si="805"/>
        <v>0</v>
      </c>
      <c r="BF297" s="220">
        <f t="shared" si="806"/>
        <v>0</v>
      </c>
      <c r="BG297" s="220">
        <f t="shared" si="807"/>
        <v>0</v>
      </c>
      <c r="BH297" s="220">
        <f t="shared" si="808"/>
        <v>0</v>
      </c>
      <c r="BI297" s="220">
        <f t="shared" si="809"/>
        <v>0</v>
      </c>
      <c r="BJ297" s="220" t="s">
        <v>2419</v>
      </c>
      <c r="BK297" s="220"/>
      <c r="BL297" s="223">
        <f t="shared" si="773"/>
        <v>126.69999999999999</v>
      </c>
      <c r="BM297" s="220">
        <v>6.56</v>
      </c>
      <c r="BN297" s="220"/>
      <c r="BO297" s="220">
        <f t="shared" ref="BO297:BO309" si="956">ROUND(BM297+(BM297*BN297),2)</f>
        <v>6.56</v>
      </c>
      <c r="BP297" s="220">
        <f>IF(AND(BL297&gt;0,BL297&lt;tiet!$D$1),BL297,IF(BL297&lt;=0,0,IF(BL297&gt;tiet!$C$1,tiet!$C$1)))</f>
        <v>126.69999999999999</v>
      </c>
      <c r="BQ297" s="87">
        <f t="shared" ref="BQ297:BQ326" si="957">VLOOKUP(P297,ma_dinhmuc_moi,4,0)</f>
        <v>80000</v>
      </c>
      <c r="BR297" s="224">
        <f t="shared" ref="BR297:BR326" si="958">ROUND(BQ297*BP297,0)</f>
        <v>10136000</v>
      </c>
      <c r="BS297" s="220">
        <f t="shared" si="846"/>
        <v>0</v>
      </c>
      <c r="BT297" s="224">
        <f>VLOOKUP(N297,ma_dinhmuc!$A$1:$J$31,10,0)</f>
        <v>65000</v>
      </c>
      <c r="BU297" s="224">
        <f>ROUND(IF(BS297&gt;0,VLOOKUP(N297,ma_dinhmuc!$A$1:$J$31,10,0)*BS297,0),0)</f>
        <v>0</v>
      </c>
      <c r="BV297" s="224">
        <f t="shared" ref="BV297:BV326" si="959">ROUND(BU297+BR297,0)</f>
        <v>10136000</v>
      </c>
      <c r="BW297" s="224"/>
      <c r="BX297" s="224">
        <v>0</v>
      </c>
      <c r="BY297" s="224"/>
      <c r="BZ297" s="224"/>
      <c r="CA297" s="224"/>
      <c r="CB297" s="224"/>
      <c r="CC297" s="225">
        <f t="shared" si="886"/>
        <v>10136000</v>
      </c>
      <c r="CD297" s="224">
        <f t="shared" si="887"/>
        <v>0</v>
      </c>
      <c r="CE297" s="224"/>
      <c r="CF297" s="226"/>
      <c r="CG297" s="87"/>
      <c r="CH297" s="87">
        <f t="shared" ref="CH297:CH307" si="960">A297</f>
        <v>50</v>
      </c>
      <c r="CI297" s="227" t="str">
        <f t="shared" ref="CI297:CI309" si="961">F297</f>
        <v>Phạm Văn</v>
      </c>
      <c r="CJ297" s="227" t="str">
        <f t="shared" ref="CJ297:CJ309" si="962">G297</f>
        <v>Hùng</v>
      </c>
      <c r="CK297" s="87">
        <f t="shared" ref="CK297:CK309" si="963">H297</f>
        <v>5</v>
      </c>
      <c r="CL297" s="227" t="str">
        <f t="shared" ref="CL297:CL307" si="964">L297</f>
        <v>Phân tích định lượng</v>
      </c>
      <c r="CM297" s="87" t="str">
        <f t="shared" si="810"/>
        <v>CS4</v>
      </c>
      <c r="CN297" s="87">
        <f t="shared" ref="CN297:CN309" si="965">Q297</f>
        <v>270</v>
      </c>
      <c r="CO297" s="87">
        <f t="shared" ref="CO297:CO309" si="966">R297</f>
        <v>200</v>
      </c>
      <c r="CP297" s="229">
        <f t="shared" si="852"/>
        <v>0</v>
      </c>
      <c r="CQ297" s="229">
        <f t="shared" si="853"/>
        <v>12.3</v>
      </c>
      <c r="CR297" s="229">
        <f t="shared" si="854"/>
        <v>4.9000000000000004</v>
      </c>
      <c r="CS297" s="229">
        <f t="shared" si="855"/>
        <v>0</v>
      </c>
      <c r="CT297" s="229">
        <f t="shared" si="856"/>
        <v>0</v>
      </c>
      <c r="CU297" s="229">
        <f t="shared" si="857"/>
        <v>60</v>
      </c>
      <c r="CV297" s="229">
        <f t="shared" si="858"/>
        <v>0</v>
      </c>
      <c r="CW297" s="229">
        <f t="shared" si="859"/>
        <v>0</v>
      </c>
      <c r="CX297" s="229">
        <f t="shared" si="860"/>
        <v>0</v>
      </c>
      <c r="CY297" s="229">
        <f t="shared" si="861"/>
        <v>0</v>
      </c>
      <c r="CZ297" s="229">
        <f t="shared" si="862"/>
        <v>0</v>
      </c>
      <c r="DA297" s="229">
        <f t="shared" si="863"/>
        <v>20</v>
      </c>
      <c r="DB297" s="228">
        <f t="shared" si="792"/>
        <v>97.2</v>
      </c>
      <c r="DC297" s="229"/>
      <c r="DD297" s="229"/>
      <c r="DE297" s="229"/>
      <c r="DF297" s="229"/>
      <c r="DG297" s="229"/>
      <c r="DH297" s="229"/>
      <c r="DI297" s="229"/>
      <c r="DJ297" s="229"/>
      <c r="DK297" s="229"/>
      <c r="DL297" s="229"/>
      <c r="DM297" s="229"/>
      <c r="DN297" s="229"/>
      <c r="DO297" s="228">
        <f t="shared" si="812"/>
        <v>0</v>
      </c>
      <c r="DP297" s="228">
        <f t="shared" si="813"/>
        <v>97.2</v>
      </c>
      <c r="DQ297" s="229">
        <f t="shared" si="864"/>
        <v>108</v>
      </c>
      <c r="DR297" s="229">
        <f t="shared" si="865"/>
        <v>6.4</v>
      </c>
      <c r="DS297" s="229">
        <f t="shared" si="866"/>
        <v>0</v>
      </c>
      <c r="DT297" s="229">
        <f t="shared" si="867"/>
        <v>2.6</v>
      </c>
      <c r="DU297" s="229">
        <f t="shared" si="868"/>
        <v>0</v>
      </c>
      <c r="DV297" s="229">
        <f t="shared" si="869"/>
        <v>320</v>
      </c>
      <c r="DW297" s="229">
        <f t="shared" si="870"/>
        <v>80</v>
      </c>
      <c r="DX297" s="228">
        <f t="shared" si="793"/>
        <v>517</v>
      </c>
      <c r="DY297" s="229"/>
      <c r="DZ297" s="229"/>
      <c r="EA297" s="229"/>
      <c r="EB297" s="229"/>
      <c r="EC297" s="229"/>
      <c r="ED297" s="229"/>
      <c r="EE297" s="229"/>
      <c r="EF297" s="228">
        <f t="shared" si="847"/>
        <v>0</v>
      </c>
      <c r="EG297" s="228">
        <f t="shared" si="814"/>
        <v>517</v>
      </c>
      <c r="EH297" s="229">
        <f t="shared" si="848"/>
        <v>141.88</v>
      </c>
      <c r="EI297" s="229">
        <v>294.58999999999997</v>
      </c>
      <c r="EJ297" s="228">
        <f t="shared" si="924"/>
        <v>436.46999999999997</v>
      </c>
      <c r="EK297" s="229"/>
      <c r="EL297" s="229"/>
      <c r="EM297" s="228">
        <f t="shared" ref="EM297:EM320" si="967">SUM(EK297:EL297)</f>
        <v>0</v>
      </c>
      <c r="EN297" s="229">
        <f t="shared" si="907"/>
        <v>141.88</v>
      </c>
      <c r="EO297" s="229">
        <f t="shared" si="926"/>
        <v>294.58999999999997</v>
      </c>
      <c r="EP297" s="228">
        <f t="shared" ref="EP297:EP309" si="968">EM297+EJ297</f>
        <v>436.46999999999997</v>
      </c>
      <c r="EQ297" s="173">
        <f t="shared" si="849"/>
        <v>91.88</v>
      </c>
      <c r="ER297" s="189">
        <v>0</v>
      </c>
      <c r="ES297" s="189">
        <v>12.3</v>
      </c>
      <c r="ET297" s="189">
        <v>4.9000000000000004</v>
      </c>
      <c r="EU297" s="189">
        <v>0</v>
      </c>
      <c r="EV297" s="189">
        <v>0</v>
      </c>
      <c r="EW297" s="189">
        <v>60</v>
      </c>
      <c r="EX297" s="189">
        <v>0</v>
      </c>
      <c r="EY297" s="189">
        <v>0</v>
      </c>
      <c r="EZ297" s="189">
        <v>0</v>
      </c>
      <c r="FA297" s="189">
        <v>0</v>
      </c>
      <c r="FB297" s="189">
        <v>0</v>
      </c>
      <c r="FC297" s="189">
        <v>20</v>
      </c>
      <c r="FD297" s="189">
        <v>108</v>
      </c>
      <c r="FE297" s="189">
        <v>6.4</v>
      </c>
      <c r="FF297" s="189">
        <v>0</v>
      </c>
      <c r="FG297" s="189">
        <v>2.6</v>
      </c>
      <c r="FH297" s="189">
        <v>320</v>
      </c>
      <c r="FI297" s="189">
        <v>0</v>
      </c>
      <c r="FJ297" s="189">
        <v>80</v>
      </c>
      <c r="FK297" s="189">
        <v>614.20000000000005</v>
      </c>
      <c r="FL297" s="189">
        <v>548</v>
      </c>
      <c r="FN297" s="132">
        <v>141.88</v>
      </c>
    </row>
    <row r="298" spans="1:170" ht="30" customHeight="1">
      <c r="A298" s="88">
        <f>COUNTIF($H$12:H298,H298)</f>
        <v>51</v>
      </c>
      <c r="B298" s="88" t="s">
        <v>1682</v>
      </c>
      <c r="C298" s="88" t="s">
        <v>1303</v>
      </c>
      <c r="D298" s="88"/>
      <c r="E298" s="88"/>
      <c r="F298" s="301" t="s">
        <v>1584</v>
      </c>
      <c r="G298" s="89" t="s">
        <v>194</v>
      </c>
      <c r="H298" s="88">
        <v>5</v>
      </c>
      <c r="I298" s="88"/>
      <c r="J298" s="88">
        <v>5</v>
      </c>
      <c r="K298" s="90"/>
      <c r="L298" s="90" t="s">
        <v>1089</v>
      </c>
      <c r="M298" s="214"/>
      <c r="N298" s="88" t="s">
        <v>1804</v>
      </c>
      <c r="O298" s="216">
        <f t="shared" si="953"/>
        <v>3.66</v>
      </c>
      <c r="P298" s="88" t="str">
        <f t="shared" si="880"/>
        <v>B1_4</v>
      </c>
      <c r="Q298" s="88">
        <f t="shared" si="951"/>
        <v>270</v>
      </c>
      <c r="R298" s="88">
        <f t="shared" si="952"/>
        <v>120</v>
      </c>
      <c r="S298" s="230" t="s">
        <v>3179</v>
      </c>
      <c r="T298" s="88" t="s">
        <v>3090</v>
      </c>
      <c r="U298" s="88">
        <f>IF(RIGHT(T298,1)="K",(VLOOKUP(T298,ma_miengiam!$A$3:$B$80,2,0)*100)/2,VLOOKUP(T298,ma_miengiam!$A$3:$B$80,2,0)*100)</f>
        <v>15</v>
      </c>
      <c r="V298" s="88">
        <v>5</v>
      </c>
      <c r="W298" s="220">
        <f>IF(AND(T298="NTS",V298&gt;0),(Q298-(Q298*V298)/12)*VLOOKUP(T298,ma_miengiam!$A$3:$B$80,2,0)+(Q298-(Q298*(12-V298))/12),IF(AND(RIGHT(T298,1)="K",V298&gt;0),(VLOOKUP(T298,ma_miengiam!$A$3:$B$80,2,0)/2)*(Q298*V298)/12,IF(RIGHT(T298,1)="K",(VLOOKUP(T298,ma_miengiam!$A$3:$B$80,2,0)*Q298)/2,IF(V298&gt;0,VLOOKUP(T298,ma_miengiam!$A$3:$B$80,2,0)*Q298*V298/12,VLOOKUP(T298,ma_miengiam!$A$3:$B$80,2,0)*Q298))))</f>
        <v>16.875</v>
      </c>
      <c r="X298" s="220">
        <f>IF(T298="NTS",VLOOKUP(T298,ma_miengiam!$A$3:$B$80,2,0)*R298*V298,IF(AND(T298="NTS",V298=0),0,IF(AND(LEFT(T298,1)="K",V298=0),VLOOKUP(T298,ma_miengiam!$A$3:$B$80,2,0)*R298,IF(LEFT(T298,1)="K",(VLOOKUP(T298,ma_miengiam!$A$3:$B$80,2,0)*R298/12)*V298,IF(AND(LEFT(T298,1)="S",V298&gt;0),(R298/12)*V298,IF(AND(LEFT(T298,1)="S",V298=0),R298,IF(T298="DH",VLOOKUP(T298,ma_miengiam!$A$3:$B$80,2,0)*R298,0)))))))</f>
        <v>0</v>
      </c>
      <c r="Y298" s="220">
        <f t="shared" si="932"/>
        <v>95.625</v>
      </c>
      <c r="Z298" s="220">
        <f t="shared" si="908"/>
        <v>50</v>
      </c>
      <c r="AA298" s="220"/>
      <c r="AB298" s="220"/>
      <c r="AC298" s="220"/>
      <c r="AD298" s="220"/>
      <c r="AE298" s="220"/>
      <c r="AF298" s="220"/>
      <c r="AG298" s="220"/>
      <c r="AH298" s="220"/>
      <c r="AI298" s="220"/>
      <c r="AJ298" s="220"/>
      <c r="AK298" s="216"/>
      <c r="AL298" s="220"/>
      <c r="AM298" s="220"/>
      <c r="AN298" s="221"/>
      <c r="AO298" s="220"/>
      <c r="AP298" s="220"/>
      <c r="AQ298" s="220"/>
      <c r="AR298" s="220"/>
      <c r="AS298" s="220"/>
      <c r="AT298" s="216"/>
      <c r="AU298" s="222"/>
      <c r="AV298" s="220"/>
      <c r="AW298" s="220"/>
      <c r="AX298" s="216"/>
      <c r="AY298" s="220"/>
      <c r="AZ298" s="220"/>
      <c r="BA298" s="220"/>
      <c r="BB298" s="220"/>
      <c r="BC298" s="220"/>
      <c r="BD298" s="216"/>
      <c r="BE298" s="220"/>
      <c r="BF298" s="220"/>
      <c r="BG298" s="220"/>
      <c r="BH298" s="220"/>
      <c r="BI298" s="220"/>
      <c r="BJ298" s="220" t="s">
        <v>2419</v>
      </c>
      <c r="BK298" s="220"/>
      <c r="BL298" s="223">
        <f t="shared" si="773"/>
        <v>0</v>
      </c>
      <c r="BM298" s="220">
        <v>3.66</v>
      </c>
      <c r="BN298" s="220"/>
      <c r="BO298" s="220">
        <f t="shared" si="956"/>
        <v>3.66</v>
      </c>
      <c r="BP298" s="220">
        <f>IF(AND(BL298&gt;0,BL298&lt;tiet!$D$1),BL298,IF(BL298&lt;=0,0,IF(BL298&gt;tiet!$C$1,tiet!$C$1)))</f>
        <v>0</v>
      </c>
      <c r="BQ298" s="87">
        <f t="shared" si="957"/>
        <v>65000</v>
      </c>
      <c r="BR298" s="224">
        <f t="shared" si="958"/>
        <v>0</v>
      </c>
      <c r="BS298" s="220">
        <f t="shared" si="846"/>
        <v>0</v>
      </c>
      <c r="BT298" s="224">
        <f>VLOOKUP(N298,ma_dinhmuc!$A$1:$J$31,10,0)</f>
        <v>51000</v>
      </c>
      <c r="BU298" s="224">
        <f>ROUND(IF(BS298&gt;0,VLOOKUP(N298,ma_dinhmuc!$A$1:$J$31,10,0)*BS298,0),0)</f>
        <v>0</v>
      </c>
      <c r="BV298" s="224">
        <f t="shared" si="959"/>
        <v>0</v>
      </c>
      <c r="BW298" s="224"/>
      <c r="BX298" s="224">
        <v>0</v>
      </c>
      <c r="BY298" s="224"/>
      <c r="BZ298" s="224"/>
      <c r="CA298" s="224"/>
      <c r="CB298" s="224"/>
      <c r="CC298" s="225">
        <f t="shared" si="886"/>
        <v>0</v>
      </c>
      <c r="CD298" s="224">
        <f t="shared" si="887"/>
        <v>0</v>
      </c>
      <c r="CE298" s="224"/>
      <c r="CF298" s="226"/>
      <c r="CG298" s="87"/>
      <c r="CH298" s="87">
        <f t="shared" si="960"/>
        <v>51</v>
      </c>
      <c r="CI298" s="227" t="str">
        <f t="shared" si="961"/>
        <v>Nguyễn Hữu</v>
      </c>
      <c r="CJ298" s="227" t="str">
        <f t="shared" si="962"/>
        <v>Nhuần</v>
      </c>
      <c r="CK298" s="87">
        <f t="shared" si="963"/>
        <v>5</v>
      </c>
      <c r="CL298" s="227" t="str">
        <f t="shared" si="964"/>
        <v>Phân tích định lượng</v>
      </c>
      <c r="CM298" s="87" t="str">
        <f t="shared" si="810"/>
        <v>CS2</v>
      </c>
      <c r="CN298" s="87">
        <f t="shared" si="965"/>
        <v>270</v>
      </c>
      <c r="CO298" s="87">
        <f t="shared" si="966"/>
        <v>120</v>
      </c>
      <c r="CP298" s="229">
        <f t="shared" si="852"/>
        <v>0</v>
      </c>
      <c r="CQ298" s="229">
        <f t="shared" si="853"/>
        <v>0</v>
      </c>
      <c r="CR298" s="229">
        <f t="shared" si="854"/>
        <v>0</v>
      </c>
      <c r="CS298" s="229">
        <f t="shared" si="855"/>
        <v>0</v>
      </c>
      <c r="CT298" s="229">
        <f t="shared" si="856"/>
        <v>0</v>
      </c>
      <c r="CU298" s="229">
        <f t="shared" si="857"/>
        <v>0</v>
      </c>
      <c r="CV298" s="229">
        <f t="shared" si="858"/>
        <v>0</v>
      </c>
      <c r="CW298" s="229">
        <f t="shared" si="859"/>
        <v>0</v>
      </c>
      <c r="CX298" s="229">
        <f t="shared" si="860"/>
        <v>0</v>
      </c>
      <c r="CY298" s="229">
        <f t="shared" si="861"/>
        <v>0</v>
      </c>
      <c r="CZ298" s="229">
        <f t="shared" si="862"/>
        <v>0</v>
      </c>
      <c r="DA298" s="229">
        <f t="shared" si="863"/>
        <v>0</v>
      </c>
      <c r="DB298" s="228">
        <f t="shared" si="792"/>
        <v>0</v>
      </c>
      <c r="DC298" s="229"/>
      <c r="DD298" s="229"/>
      <c r="DE298" s="229"/>
      <c r="DF298" s="229"/>
      <c r="DG298" s="229"/>
      <c r="DH298" s="229"/>
      <c r="DI298" s="229"/>
      <c r="DJ298" s="229"/>
      <c r="DK298" s="229"/>
      <c r="DL298" s="229"/>
      <c r="DM298" s="229"/>
      <c r="DN298" s="229"/>
      <c r="DO298" s="228">
        <f t="shared" si="812"/>
        <v>0</v>
      </c>
      <c r="DP298" s="228">
        <f t="shared" si="813"/>
        <v>0</v>
      </c>
      <c r="DQ298" s="229">
        <f t="shared" si="864"/>
        <v>0</v>
      </c>
      <c r="DR298" s="229">
        <f t="shared" si="865"/>
        <v>0</v>
      </c>
      <c r="DS298" s="229">
        <f t="shared" si="866"/>
        <v>0</v>
      </c>
      <c r="DT298" s="229">
        <f t="shared" si="867"/>
        <v>0</v>
      </c>
      <c r="DU298" s="229">
        <f t="shared" si="868"/>
        <v>0</v>
      </c>
      <c r="DV298" s="229">
        <f t="shared" si="869"/>
        <v>0</v>
      </c>
      <c r="DW298" s="229">
        <f t="shared" si="870"/>
        <v>0</v>
      </c>
      <c r="DX298" s="228">
        <f t="shared" si="793"/>
        <v>0</v>
      </c>
      <c r="DY298" s="229"/>
      <c r="DZ298" s="229"/>
      <c r="EA298" s="229"/>
      <c r="EB298" s="229"/>
      <c r="EC298" s="229"/>
      <c r="ED298" s="229"/>
      <c r="EE298" s="229"/>
      <c r="EF298" s="228">
        <f t="shared" si="847"/>
        <v>0</v>
      </c>
      <c r="EG298" s="228">
        <f t="shared" si="814"/>
        <v>0</v>
      </c>
      <c r="EH298" s="229">
        <f t="shared" si="848"/>
        <v>0</v>
      </c>
      <c r="EI298" s="229">
        <v>86.76</v>
      </c>
      <c r="EJ298" s="228">
        <f t="shared" si="924"/>
        <v>86.76</v>
      </c>
      <c r="EK298" s="229"/>
      <c r="EL298" s="229"/>
      <c r="EM298" s="228">
        <f t="shared" si="967"/>
        <v>0</v>
      </c>
      <c r="EN298" s="229">
        <f t="shared" si="907"/>
        <v>0</v>
      </c>
      <c r="EO298" s="229">
        <f t="shared" si="926"/>
        <v>86.76</v>
      </c>
      <c r="EP298" s="228">
        <f t="shared" si="968"/>
        <v>86.76</v>
      </c>
      <c r="EQ298" s="173">
        <f t="shared" si="849"/>
        <v>0</v>
      </c>
      <c r="ER298" s="189">
        <v>0</v>
      </c>
      <c r="ES298" s="189">
        <v>0</v>
      </c>
      <c r="ET298" s="189">
        <v>0</v>
      </c>
      <c r="EU298" s="189">
        <v>0</v>
      </c>
      <c r="EV298" s="189">
        <v>0</v>
      </c>
      <c r="EW298" s="189">
        <v>0</v>
      </c>
      <c r="EX298" s="189">
        <v>0</v>
      </c>
      <c r="EY298" s="189">
        <v>0</v>
      </c>
      <c r="EZ298" s="189">
        <v>0</v>
      </c>
      <c r="FA298" s="189">
        <v>0</v>
      </c>
      <c r="FB298" s="189">
        <v>0</v>
      </c>
      <c r="FC298" s="189">
        <v>0</v>
      </c>
      <c r="FD298" s="189">
        <v>0</v>
      </c>
      <c r="FE298" s="189">
        <v>0</v>
      </c>
      <c r="FF298" s="189">
        <v>0</v>
      </c>
      <c r="FG298" s="189">
        <v>0</v>
      </c>
      <c r="FH298" s="189">
        <v>0</v>
      </c>
      <c r="FI298" s="189">
        <v>0</v>
      </c>
      <c r="FJ298" s="189">
        <v>0</v>
      </c>
      <c r="FK298" s="189">
        <v>0</v>
      </c>
      <c r="FL298" s="189">
        <v>0</v>
      </c>
      <c r="FN298" s="132">
        <v>0</v>
      </c>
    </row>
    <row r="299" spans="1:170" ht="30" customHeight="1">
      <c r="A299" s="88">
        <f>COUNTIF($H$12:H299,H299)</f>
        <v>52</v>
      </c>
      <c r="B299" s="88" t="s">
        <v>1682</v>
      </c>
      <c r="C299" s="88" t="s">
        <v>1303</v>
      </c>
      <c r="D299" s="88"/>
      <c r="E299" s="88"/>
      <c r="F299" s="301" t="s">
        <v>1584</v>
      </c>
      <c r="G299" s="89" t="s">
        <v>194</v>
      </c>
      <c r="H299" s="88">
        <v>5</v>
      </c>
      <c r="I299" s="88"/>
      <c r="J299" s="88">
        <v>5</v>
      </c>
      <c r="K299" s="90"/>
      <c r="L299" s="90" t="s">
        <v>1089</v>
      </c>
      <c r="M299" s="214"/>
      <c r="N299" s="88" t="s">
        <v>1804</v>
      </c>
      <c r="O299" s="216">
        <f>BO299</f>
        <v>3.66</v>
      </c>
      <c r="P299" s="88" t="str">
        <f>IF(BO299&lt;3.33,"B1_3",IF(AND(BO299&gt;=3.33,BO299&lt;4.65),"B1_4",IF(AND(BO299&gt;=4.65,BO299&lt;5.42),"B1_5",IF(AND(BO299&gt;=5.42,BO299&lt;6.44),"B1_6",IF(AND(BO299&gt;=6.44,BO299&lt;=6.92),"B1_7","B1_8")))))</f>
        <v>B1_4</v>
      </c>
      <c r="Q299" s="88">
        <f>IF(M299&gt;0,VLOOKUP(P299,ma_dinhmuc_moi,2,0)/2,VLOOKUP(P299,ma_dinhmuc_moi,2,0))</f>
        <v>270</v>
      </c>
      <c r="R299" s="88">
        <f>IF(M299&gt;0,VLOOKUP(P299,ma_dinhmuc_moi,3,0)/2,VLOOKUP(P299,ma_dinhmuc_moi,3,0))</f>
        <v>120</v>
      </c>
      <c r="S299" s="230" t="s">
        <v>3180</v>
      </c>
      <c r="T299" s="88" t="s">
        <v>3091</v>
      </c>
      <c r="U299" s="88">
        <f>IF(RIGHT(T299,1)="K",(VLOOKUP(T299,ma_miengiam!$A$3:$B$80,2,0)*100)/2,VLOOKUP(T299,ma_miengiam!$A$3:$B$80,2,0)*100)</f>
        <v>20</v>
      </c>
      <c r="V299" s="88">
        <v>7</v>
      </c>
      <c r="W299" s="220">
        <f>IF(AND(T299="NTS",V299&gt;0),(Q299-(Q299*V299)/12)*VLOOKUP(T299,ma_miengiam!$A$3:$B$80,2,0)+(Q299-(Q299*(12-V299))/12),IF(AND(RIGHT(T299,1)="K",V299&gt;0),(VLOOKUP(T299,ma_miengiam!$A$3:$B$80,2,0)/2)*(Q299*V299)/12,IF(RIGHT(T299,1)="K",(VLOOKUP(T299,ma_miengiam!$A$3:$B$80,2,0)*Q299)/2,IF(V299&gt;0,VLOOKUP(T299,ma_miengiam!$A$3:$B$80,2,0)*Q299*V299/12,VLOOKUP(T299,ma_miengiam!$A$3:$B$80,2,0)*Q299))))</f>
        <v>31.5</v>
      </c>
      <c r="X299" s="220">
        <f>IF(T299="NTS",VLOOKUP(T299,ma_miengiam!$A$3:$B$80,2,0)*R299*V299,IF(AND(T299="NTS",V299=0),0,IF(AND(LEFT(T299,1)="K",V299=0),VLOOKUP(T299,ma_miengiam!$A$3:$B$80,2,0)*R299,IF(LEFT(T299,1)="K",(VLOOKUP(T299,ma_miengiam!$A$3:$B$80,2,0)*R299/12)*V299,IF(AND(LEFT(T299,1)="S",V299&gt;0),(R299/12)*V299,IF(AND(LEFT(T299,1)="S",V299=0),R299,IF(T299="DH",VLOOKUP(T299,ma_miengiam!$A$3:$B$80,2,0)*R299,0)))))))</f>
        <v>0</v>
      </c>
      <c r="Y299" s="220">
        <f>IF(AND(T299="DH",V299&gt;0),(S299*V299/12),IF(AND(T299&lt;&gt;"NTS",V299&gt;0),(Q299*V299/12)-W299,IF(AND(T299="NTS",V299&gt;0),Q299-W299,Q299-W299)))</f>
        <v>126</v>
      </c>
      <c r="Z299" s="220">
        <f>IF(AND(T299="SĐH",V299&gt;0),(R299/12)*V299-X299,IF(AND(T299="DH",V299&gt;0),(R299*V299/12),IF(AND(T299&lt;&gt;"NTS",V299&gt;0),(R299*V299/12)-X299,IF(AND(T299="NTS",V299&gt;0),R299-X299,R299-X299))))</f>
        <v>70</v>
      </c>
      <c r="AA299" s="220"/>
      <c r="AB299" s="220"/>
      <c r="AC299" s="220"/>
      <c r="AD299" s="220"/>
      <c r="AE299" s="220"/>
      <c r="AF299" s="220"/>
      <c r="AG299" s="220"/>
      <c r="AH299" s="220"/>
      <c r="AI299" s="220"/>
      <c r="AJ299" s="220"/>
      <c r="AK299" s="216"/>
      <c r="AL299" s="220"/>
      <c r="AM299" s="220"/>
      <c r="AN299" s="221"/>
      <c r="AO299" s="220"/>
      <c r="AP299" s="220"/>
      <c r="AQ299" s="220"/>
      <c r="AR299" s="220"/>
      <c r="AS299" s="220"/>
      <c r="AT299" s="216"/>
      <c r="AU299" s="222"/>
      <c r="AV299" s="220"/>
      <c r="AW299" s="220"/>
      <c r="AX299" s="216"/>
      <c r="AY299" s="220"/>
      <c r="AZ299" s="220"/>
      <c r="BA299" s="220"/>
      <c r="BB299" s="220"/>
      <c r="BC299" s="220"/>
      <c r="BD299" s="216"/>
      <c r="BE299" s="220"/>
      <c r="BF299" s="220"/>
      <c r="BG299" s="220"/>
      <c r="BH299" s="220"/>
      <c r="BI299" s="220"/>
      <c r="BJ299" s="220" t="s">
        <v>2419</v>
      </c>
      <c r="BK299" s="220"/>
      <c r="BL299" s="223">
        <f>IF(AW299&lt;BK299,0,IF(AND(BK299=0,AW299&gt;0),AW299,IF(AW299&lt;0,0,IF(BK299&gt;0,AW299-BK299,IF(BK299&lt;0,0,AW299)))))</f>
        <v>0</v>
      </c>
      <c r="BM299" s="220">
        <v>3.66</v>
      </c>
      <c r="BN299" s="220"/>
      <c r="BO299" s="220">
        <f>ROUND(BM299+(BM299*BN299),2)</f>
        <v>3.66</v>
      </c>
      <c r="BP299" s="220">
        <f>IF(AND(BL299&gt;0,BL299&lt;tiet!$D$1),BL299,IF(BL299&lt;=0,0,IF(BL299&gt;tiet!$C$1,tiet!$C$1)))</f>
        <v>0</v>
      </c>
      <c r="BQ299" s="87">
        <f>VLOOKUP(P299,ma_dinhmuc_moi,4,0)</f>
        <v>65000</v>
      </c>
      <c r="BR299" s="224">
        <f>ROUND(BQ299*BP299,0)</f>
        <v>0</v>
      </c>
      <c r="BS299" s="220">
        <f t="shared" si="846"/>
        <v>0</v>
      </c>
      <c r="BT299" s="224">
        <f>VLOOKUP(N299,ma_dinhmuc!$A$1:$J$31,10,0)</f>
        <v>51000</v>
      </c>
      <c r="BU299" s="224">
        <f>ROUND(IF(BS299&gt;0,VLOOKUP(N299,ma_dinhmuc!$A$1:$J$31,10,0)*BS299,0),0)</f>
        <v>0</v>
      </c>
      <c r="BV299" s="224">
        <f>ROUND(BU299+BR299,0)</f>
        <v>0</v>
      </c>
      <c r="BW299" s="224"/>
      <c r="BX299" s="224">
        <v>0</v>
      </c>
      <c r="BY299" s="224"/>
      <c r="BZ299" s="224"/>
      <c r="CA299" s="224"/>
      <c r="CB299" s="224"/>
      <c r="CC299" s="225">
        <f>ROUND(IF(BV299+BW299&gt;BX299+BY299+BZ299+CA299+CB299,(BW299+BV299)-(BX299+BY299+BZ299+CA299+CB299+CB299),0),0)</f>
        <v>0</v>
      </c>
      <c r="CD299" s="224">
        <f>ROUND(IF(BV299+BW299&lt;BX299+BY299+BZ299+CA299-CB299,(BX299+BY299+BZ299+CA299-CB299)-(BW299+BV299),0),0)</f>
        <v>0</v>
      </c>
      <c r="CE299" s="224"/>
      <c r="CF299" s="226"/>
      <c r="CG299" s="87"/>
      <c r="CH299" s="87">
        <f>A299</f>
        <v>52</v>
      </c>
      <c r="CI299" s="227" t="str">
        <f t="shared" ref="CI299:CK300" si="969">F299</f>
        <v>Nguyễn Hữu</v>
      </c>
      <c r="CJ299" s="227" t="str">
        <f t="shared" si="969"/>
        <v>Nhuần</v>
      </c>
      <c r="CK299" s="87">
        <f t="shared" si="969"/>
        <v>5</v>
      </c>
      <c r="CL299" s="227" t="str">
        <f>L299</f>
        <v>Phân tích định lượng</v>
      </c>
      <c r="CM299" s="87" t="str">
        <f>N299</f>
        <v>CS2</v>
      </c>
      <c r="CN299" s="87">
        <f>Q299</f>
        <v>270</v>
      </c>
      <c r="CO299" s="87">
        <f>R299</f>
        <v>120</v>
      </c>
      <c r="CP299" s="229">
        <f t="shared" si="852"/>
        <v>0</v>
      </c>
      <c r="CQ299" s="229">
        <f t="shared" si="853"/>
        <v>0</v>
      </c>
      <c r="CR299" s="229">
        <f t="shared" si="854"/>
        <v>0</v>
      </c>
      <c r="CS299" s="229">
        <f t="shared" si="855"/>
        <v>0</v>
      </c>
      <c r="CT299" s="229">
        <f t="shared" si="856"/>
        <v>0</v>
      </c>
      <c r="CU299" s="229">
        <f t="shared" si="857"/>
        <v>0</v>
      </c>
      <c r="CV299" s="229">
        <f t="shared" si="858"/>
        <v>0</v>
      </c>
      <c r="CW299" s="229">
        <f t="shared" si="859"/>
        <v>0</v>
      </c>
      <c r="CX299" s="229">
        <f t="shared" si="860"/>
        <v>0</v>
      </c>
      <c r="CY299" s="229">
        <f t="shared" si="861"/>
        <v>0</v>
      </c>
      <c r="CZ299" s="229">
        <f t="shared" si="862"/>
        <v>0</v>
      </c>
      <c r="DA299" s="229">
        <f t="shared" si="863"/>
        <v>0</v>
      </c>
      <c r="DB299" s="228">
        <f>SUM(CP299:DA299)</f>
        <v>0</v>
      </c>
      <c r="DC299" s="229"/>
      <c r="DD299" s="229"/>
      <c r="DE299" s="229"/>
      <c r="DF299" s="229"/>
      <c r="DG299" s="229"/>
      <c r="DH299" s="229"/>
      <c r="DI299" s="229"/>
      <c r="DJ299" s="229"/>
      <c r="DK299" s="229"/>
      <c r="DL299" s="229"/>
      <c r="DM299" s="229"/>
      <c r="DN299" s="229"/>
      <c r="DO299" s="228">
        <f>SUM(DC299:DN299)</f>
        <v>0</v>
      </c>
      <c r="DP299" s="228">
        <f>DO299+DB299</f>
        <v>0</v>
      </c>
      <c r="DQ299" s="229">
        <f t="shared" si="864"/>
        <v>0</v>
      </c>
      <c r="DR299" s="229">
        <f t="shared" si="865"/>
        <v>0</v>
      </c>
      <c r="DS299" s="229">
        <f t="shared" si="866"/>
        <v>0</v>
      </c>
      <c r="DT299" s="229">
        <f t="shared" si="867"/>
        <v>0</v>
      </c>
      <c r="DU299" s="229">
        <f t="shared" si="868"/>
        <v>0</v>
      </c>
      <c r="DV299" s="229">
        <f t="shared" si="869"/>
        <v>0</v>
      </c>
      <c r="DW299" s="229">
        <f t="shared" si="870"/>
        <v>0</v>
      </c>
      <c r="DX299" s="228">
        <f>SUM(DQ299:DW299)</f>
        <v>0</v>
      </c>
      <c r="DY299" s="229"/>
      <c r="DZ299" s="229"/>
      <c r="EA299" s="229"/>
      <c r="EB299" s="229"/>
      <c r="EC299" s="229"/>
      <c r="ED299" s="229"/>
      <c r="EE299" s="229"/>
      <c r="EF299" s="228">
        <f t="shared" si="847"/>
        <v>0</v>
      </c>
      <c r="EG299" s="228">
        <f>EF299+DX299</f>
        <v>0</v>
      </c>
      <c r="EH299" s="229">
        <f t="shared" si="848"/>
        <v>0</v>
      </c>
      <c r="EI299" s="229">
        <v>86.76</v>
      </c>
      <c r="EJ299" s="228">
        <f>SUM(EH299:EI299)</f>
        <v>86.76</v>
      </c>
      <c r="EK299" s="229"/>
      <c r="EL299" s="229"/>
      <c r="EM299" s="228">
        <f>SUM(EK299:EL299)</f>
        <v>0</v>
      </c>
      <c r="EN299" s="229">
        <f>EK299+EH299+EL299</f>
        <v>0</v>
      </c>
      <c r="EO299" s="229">
        <f>EI299</f>
        <v>86.76</v>
      </c>
      <c r="EP299" s="228">
        <f>EM299+EJ299</f>
        <v>86.76</v>
      </c>
      <c r="EQ299" s="173">
        <f t="shared" si="849"/>
        <v>0</v>
      </c>
      <c r="ER299" s="189">
        <v>0</v>
      </c>
      <c r="ES299" s="189">
        <v>0</v>
      </c>
      <c r="ET299" s="189">
        <v>0</v>
      </c>
      <c r="EU299" s="189">
        <v>0</v>
      </c>
      <c r="EV299" s="189">
        <v>0</v>
      </c>
      <c r="EW299" s="189">
        <v>0</v>
      </c>
      <c r="EX299" s="189">
        <v>0</v>
      </c>
      <c r="EY299" s="189">
        <v>0</v>
      </c>
      <c r="EZ299" s="189">
        <v>0</v>
      </c>
      <c r="FA299" s="189">
        <v>0</v>
      </c>
      <c r="FB299" s="189">
        <v>0</v>
      </c>
      <c r="FC299" s="189">
        <v>0</v>
      </c>
      <c r="FD299" s="189">
        <v>0</v>
      </c>
      <c r="FE299" s="189">
        <v>0</v>
      </c>
      <c r="FF299" s="189">
        <v>0</v>
      </c>
      <c r="FG299" s="189">
        <v>0</v>
      </c>
      <c r="FH299" s="189">
        <v>0</v>
      </c>
      <c r="FI299" s="189">
        <v>0</v>
      </c>
      <c r="FJ299" s="189">
        <v>0</v>
      </c>
      <c r="FK299" s="189">
        <v>0</v>
      </c>
      <c r="FL299" s="189">
        <v>0</v>
      </c>
      <c r="FN299" s="132">
        <v>0</v>
      </c>
    </row>
    <row r="300" spans="1:170" ht="30" customHeight="1">
      <c r="A300" s="88">
        <f>COUNTIF($H$12:H300,H300)</f>
        <v>53</v>
      </c>
      <c r="B300" s="88" t="s">
        <v>1682</v>
      </c>
      <c r="C300" s="88" t="s">
        <v>1303</v>
      </c>
      <c r="D300" s="88"/>
      <c r="E300" s="88"/>
      <c r="F300" s="301" t="s">
        <v>1584</v>
      </c>
      <c r="G300" s="89" t="s">
        <v>194</v>
      </c>
      <c r="H300" s="88">
        <v>5</v>
      </c>
      <c r="I300" s="88">
        <v>5</v>
      </c>
      <c r="J300" s="88">
        <v>5</v>
      </c>
      <c r="K300" s="90" t="s">
        <v>1089</v>
      </c>
      <c r="L300" s="90" t="s">
        <v>1089</v>
      </c>
      <c r="M300" s="214"/>
      <c r="N300" s="88" t="s">
        <v>1804</v>
      </c>
      <c r="O300" s="216">
        <f>BO300</f>
        <v>3.66</v>
      </c>
      <c r="P300" s="88" t="str">
        <f>IF(BO300&lt;3.33,"B1_3",IF(AND(BO300&gt;=3.33,BO300&lt;4.65),"B1_4",IF(AND(BO300&gt;=4.65,BO300&lt;5.42),"B1_5",IF(AND(BO300&gt;=5.42,BO300&lt;6.44),"B1_6",IF(AND(BO300&gt;=6.44,BO300&lt;=6.92),"B1_7","B1_8")))))</f>
        <v>B1_4</v>
      </c>
      <c r="Q300" s="88">
        <f>IF(M300&gt;0,VLOOKUP(P300,ma_dinhmuc_moi,2,0)/2,VLOOKUP(P300,ma_dinhmuc_moi,2,0))</f>
        <v>270</v>
      </c>
      <c r="R300" s="88">
        <f>IF(M300&gt;0,VLOOKUP(P300,ma_dinhmuc_moi,3,0)/2,VLOOKUP(P300,ma_dinhmuc_moi,3,0))</f>
        <v>120</v>
      </c>
      <c r="S300" s="230" t="s">
        <v>3180</v>
      </c>
      <c r="T300" s="88" t="s">
        <v>3091</v>
      </c>
      <c r="U300" s="88">
        <f>IF(RIGHT(T300,1)="K",(VLOOKUP(T300,ma_miengiam!$A$3:$B$80,2,0)*100)/2,VLOOKUP(T300,ma_miengiam!$A$3:$B$80,2,0)*100)</f>
        <v>20</v>
      </c>
      <c r="V300" s="88"/>
      <c r="W300" s="220">
        <f>W299+W298</f>
        <v>48.375</v>
      </c>
      <c r="X300" s="220">
        <f>X299+X298</f>
        <v>0</v>
      </c>
      <c r="Y300" s="220">
        <f>Y299+Y298</f>
        <v>221.625</v>
      </c>
      <c r="Z300" s="220">
        <f>Z299+Z298</f>
        <v>120</v>
      </c>
      <c r="AA300" s="220">
        <f>Q300</f>
        <v>270</v>
      </c>
      <c r="AB300" s="220">
        <f>R300</f>
        <v>120</v>
      </c>
      <c r="AC300" s="220">
        <f>W300</f>
        <v>48.375</v>
      </c>
      <c r="AD300" s="220">
        <f>X300</f>
        <v>0</v>
      </c>
      <c r="AE300" s="220">
        <f>Y300</f>
        <v>221.625</v>
      </c>
      <c r="AF300" s="220">
        <f>Z300</f>
        <v>120</v>
      </c>
      <c r="AG300" s="220">
        <f>AH300+AI300</f>
        <v>381.49</v>
      </c>
      <c r="AH300" s="220">
        <f>EO300</f>
        <v>86.76</v>
      </c>
      <c r="AI300" s="220">
        <f>EN300</f>
        <v>294.73</v>
      </c>
      <c r="AJ300" s="220">
        <f>IF(AG300-Z300&gt;0,0,AG300-Z300)</f>
        <v>0</v>
      </c>
      <c r="AK300" s="216">
        <f>IF(AJ300&gt;=0,Y300,Y300-AJ300)</f>
        <v>221.625</v>
      </c>
      <c r="AL300" s="220">
        <f>SUM(CP300:CX300)+SUM(DC300:DK300)</f>
        <v>169.7</v>
      </c>
      <c r="AM300" s="220">
        <f>SUM(DQ300:DU300)+SUM(DY300:EC300)</f>
        <v>230.4</v>
      </c>
      <c r="AN300" s="221">
        <f>AM300+AL300</f>
        <v>400.1</v>
      </c>
      <c r="AO300" s="220">
        <f>CY300+DL300</f>
        <v>0</v>
      </c>
      <c r="AP300" s="220">
        <f>CZ300+DM300</f>
        <v>0</v>
      </c>
      <c r="AQ300" s="220">
        <f>DA300+DN300</f>
        <v>40</v>
      </c>
      <c r="AR300" s="220">
        <f>DV300+ED300</f>
        <v>40</v>
      </c>
      <c r="AS300" s="220">
        <f>DW300+EE300</f>
        <v>0</v>
      </c>
      <c r="AT300" s="216">
        <f>AN300+SUM(AO300:AS300)</f>
        <v>480.1</v>
      </c>
      <c r="AU300" s="222">
        <f>AN300-AK300</f>
        <v>178.47500000000002</v>
      </c>
      <c r="AV300" s="220"/>
      <c r="AW300" s="220">
        <f>IF(AU300&gt;0,AU300,AV300+AU300)</f>
        <v>178.47500000000002</v>
      </c>
      <c r="AX300" s="216">
        <f>IF(AN300&gt;AK300,0,IF(AW300&lt;0,AN300-AK300+AV300,IF(AW300&gt;=0,0)))</f>
        <v>0</v>
      </c>
      <c r="AY300" s="220">
        <f>IF(AN300&gt;=AK300,AO300,IF(AN300+AO300-AK300&gt;=0,AN300+AO300-AK300,0))</f>
        <v>0</v>
      </c>
      <c r="AZ300" s="220">
        <f>IF(OR(AN300&gt;=AK300,AN300+AO300&gt;=AK300),AP300,IF(AN300+AO300+AP300&gt;AK300,AN300+AO300+AP300-AK300,0))</f>
        <v>0</v>
      </c>
      <c r="BA300" s="220">
        <f>IF(OR(AN300&gt;=AK300,AN300+AO300&gt;=AK300,AN300+AO300+AP300&gt;=AK300),AQ300,IF(AN300+AO300+AP300+AQ300&gt;=AK300,AN300+AO300+AP300+AQ300-AK300,0))</f>
        <v>40</v>
      </c>
      <c r="BB300" s="220">
        <f>IF(OR(AN300&gt;=AK300,AN300+AO300&gt;=AK300,AN300+AO300+AP300&gt;=AK300,AN300+AO300+AP300+AQ300&gt;=AK300),AR300,IF(AN300+AO300+AP300+AQ300+AR300&gt;=AK300,AN300+AO300+AP300+AQ300+AR300-AK300,0))</f>
        <v>40</v>
      </c>
      <c r="BC300" s="220">
        <f>IF(OR(AN300&gt;=AK300,AN300+AO300&gt;=AK300,AN300+AO300+AP300&gt;=AK300,AN300+AO300+AP300+AQ300&gt;=AK300,AN300+AO300+AP300+AQ300+AR300&gt;=AK300),AS300,IF(AN300+AO300+AP300+AQ300+AR300+AS300&gt;=AK300,AN300+AO300+AP300+AQ300+AR300+AS300-AK300,0))</f>
        <v>0</v>
      </c>
      <c r="BD300" s="216">
        <f>SUM(AY300:BC300)</f>
        <v>80</v>
      </c>
      <c r="BE300" s="220">
        <f>AY300-AO300</f>
        <v>0</v>
      </c>
      <c r="BF300" s="220">
        <f>AZ300-AP300</f>
        <v>0</v>
      </c>
      <c r="BG300" s="220">
        <f>BA300-AQ300</f>
        <v>0</v>
      </c>
      <c r="BH300" s="220">
        <f>BB300-AR300</f>
        <v>0</v>
      </c>
      <c r="BI300" s="220">
        <f>BC300-AS300</f>
        <v>0</v>
      </c>
      <c r="BJ300" s="220" t="s">
        <v>2419</v>
      </c>
      <c r="BK300" s="220"/>
      <c r="BL300" s="223">
        <f>IF(AW300&lt;BK300,0,IF(AND(BK300=0,AW300&gt;0),AW300,IF(AW300&lt;0,0,IF(BK300&gt;0,AW300-BK300,IF(BK300&lt;0,0,AW300)))))</f>
        <v>178.47500000000002</v>
      </c>
      <c r="BM300" s="220">
        <v>3.66</v>
      </c>
      <c r="BN300" s="220"/>
      <c r="BO300" s="220">
        <f>ROUND(BM300+(BM300*BN300),2)</f>
        <v>3.66</v>
      </c>
      <c r="BP300" s="220">
        <f>IF(AND(BL300&gt;0,BL300&lt;tiet!$D$1),BL300,IF(BL300&lt;=0,0,IF(BL300&gt;tiet!$C$1,tiet!$C$1)))</f>
        <v>178.47500000000002</v>
      </c>
      <c r="BQ300" s="87">
        <f>VLOOKUP(P300,ma_dinhmuc_moi,4,0)</f>
        <v>65000</v>
      </c>
      <c r="BR300" s="224">
        <f>ROUND(BQ300*BP300,0)</f>
        <v>11600875</v>
      </c>
      <c r="BS300" s="220">
        <f t="shared" si="846"/>
        <v>0</v>
      </c>
      <c r="BT300" s="224">
        <f>VLOOKUP(N300,ma_dinhmuc!$A$1:$J$31,10,0)</f>
        <v>51000</v>
      </c>
      <c r="BU300" s="224">
        <f>ROUND(IF(BS300&gt;0,VLOOKUP(N300,ma_dinhmuc!$A$1:$J$31,10,0)*BS300,0),0)</f>
        <v>0</v>
      </c>
      <c r="BV300" s="224">
        <f>ROUND(BU300+BR300,0)</f>
        <v>11600875</v>
      </c>
      <c r="BW300" s="224"/>
      <c r="BX300" s="224">
        <v>0</v>
      </c>
      <c r="BY300" s="224"/>
      <c r="BZ300" s="224"/>
      <c r="CA300" s="224"/>
      <c r="CB300" s="224"/>
      <c r="CC300" s="225">
        <f>ROUND(IF(BV300+BW300&gt;BX300+BY300+BZ300+CA300+CB300,(BW300+BV300)-(BX300+BY300+BZ300+CA300+CB300+CB300),0),0)</f>
        <v>11600875</v>
      </c>
      <c r="CD300" s="224">
        <f>ROUND(IF(BV300+BW300&lt;BX300+BY300+BZ300+CA300-CB300,(BX300+BY300+BZ300+CA300-CB300)-(BW300+BV300),0),0)</f>
        <v>0</v>
      </c>
      <c r="CE300" s="224"/>
      <c r="CF300" s="226"/>
      <c r="CG300" s="87"/>
      <c r="CH300" s="87">
        <f>A300</f>
        <v>53</v>
      </c>
      <c r="CI300" s="227" t="str">
        <f t="shared" si="969"/>
        <v>Nguyễn Hữu</v>
      </c>
      <c r="CJ300" s="227" t="str">
        <f t="shared" si="969"/>
        <v>Nhuần</v>
      </c>
      <c r="CK300" s="87">
        <f t="shared" si="969"/>
        <v>5</v>
      </c>
      <c r="CL300" s="227" t="str">
        <f>L300</f>
        <v>Phân tích định lượng</v>
      </c>
      <c r="CM300" s="87" t="str">
        <f>N300</f>
        <v>CS2</v>
      </c>
      <c r="CN300" s="87">
        <f>Q300</f>
        <v>270</v>
      </c>
      <c r="CO300" s="87">
        <f>R300</f>
        <v>120</v>
      </c>
      <c r="CP300" s="229">
        <f t="shared" si="852"/>
        <v>0</v>
      </c>
      <c r="CQ300" s="229">
        <f t="shared" si="853"/>
        <v>14.1</v>
      </c>
      <c r="CR300" s="229">
        <f t="shared" si="854"/>
        <v>5.6</v>
      </c>
      <c r="CS300" s="229">
        <f t="shared" si="855"/>
        <v>0</v>
      </c>
      <c r="CT300" s="229">
        <f t="shared" si="856"/>
        <v>0</v>
      </c>
      <c r="CU300" s="229">
        <f t="shared" si="857"/>
        <v>150</v>
      </c>
      <c r="CV300" s="229">
        <f t="shared" si="858"/>
        <v>0</v>
      </c>
      <c r="CW300" s="229">
        <f t="shared" si="859"/>
        <v>0</v>
      </c>
      <c r="CX300" s="229">
        <f t="shared" si="860"/>
        <v>0</v>
      </c>
      <c r="CY300" s="229">
        <f t="shared" si="861"/>
        <v>0</v>
      </c>
      <c r="CZ300" s="229">
        <f t="shared" si="862"/>
        <v>0</v>
      </c>
      <c r="DA300" s="229">
        <f t="shared" si="863"/>
        <v>40</v>
      </c>
      <c r="DB300" s="228">
        <f>SUM(CP300:DA300)</f>
        <v>209.7</v>
      </c>
      <c r="DC300" s="229"/>
      <c r="DD300" s="229"/>
      <c r="DE300" s="229"/>
      <c r="DF300" s="229"/>
      <c r="DG300" s="229"/>
      <c r="DH300" s="229"/>
      <c r="DI300" s="229"/>
      <c r="DJ300" s="229"/>
      <c r="DK300" s="229"/>
      <c r="DL300" s="229"/>
      <c r="DM300" s="229"/>
      <c r="DN300" s="229"/>
      <c r="DO300" s="228">
        <f>SUM(DC300:DN300)</f>
        <v>0</v>
      </c>
      <c r="DP300" s="228">
        <f>DO300+DB300</f>
        <v>209.7</v>
      </c>
      <c r="DQ300" s="229">
        <f t="shared" si="864"/>
        <v>216</v>
      </c>
      <c r="DR300" s="229">
        <f t="shared" si="865"/>
        <v>10.3</v>
      </c>
      <c r="DS300" s="229">
        <f t="shared" si="866"/>
        <v>0</v>
      </c>
      <c r="DT300" s="229">
        <f t="shared" si="867"/>
        <v>4.0999999999999996</v>
      </c>
      <c r="DU300" s="229">
        <f t="shared" si="868"/>
        <v>0</v>
      </c>
      <c r="DV300" s="229">
        <f t="shared" si="869"/>
        <v>40</v>
      </c>
      <c r="DW300" s="229">
        <f t="shared" si="870"/>
        <v>0</v>
      </c>
      <c r="DX300" s="228">
        <f>SUM(DQ300:DW300)</f>
        <v>270.39999999999998</v>
      </c>
      <c r="DY300" s="229"/>
      <c r="DZ300" s="229"/>
      <c r="EA300" s="229"/>
      <c r="EB300" s="229"/>
      <c r="EC300" s="229"/>
      <c r="ED300" s="229"/>
      <c r="EE300" s="229"/>
      <c r="EF300" s="228">
        <f t="shared" si="847"/>
        <v>0</v>
      </c>
      <c r="EG300" s="228">
        <f>EF300+DX300</f>
        <v>270.39999999999998</v>
      </c>
      <c r="EH300" s="229">
        <f t="shared" si="848"/>
        <v>294.73</v>
      </c>
      <c r="EI300" s="229">
        <v>86.76</v>
      </c>
      <c r="EJ300" s="228">
        <f>SUM(EH300:EI300)</f>
        <v>381.49</v>
      </c>
      <c r="EK300" s="229"/>
      <c r="EL300" s="229"/>
      <c r="EM300" s="228">
        <f>SUM(EK300:EL300)</f>
        <v>0</v>
      </c>
      <c r="EN300" s="229">
        <f>EK300+EH300+EL300</f>
        <v>294.73</v>
      </c>
      <c r="EO300" s="229">
        <f>EI300</f>
        <v>86.76</v>
      </c>
      <c r="EP300" s="228">
        <f>EM300+EJ300</f>
        <v>381.49</v>
      </c>
      <c r="EQ300" s="173">
        <f t="shared" si="849"/>
        <v>174.73000000000002</v>
      </c>
      <c r="ER300" s="189">
        <v>0</v>
      </c>
      <c r="ES300" s="189">
        <v>14.1</v>
      </c>
      <c r="ET300" s="189">
        <v>5.6</v>
      </c>
      <c r="EU300" s="189">
        <v>0</v>
      </c>
      <c r="EV300" s="189">
        <v>0</v>
      </c>
      <c r="EW300" s="189">
        <v>150</v>
      </c>
      <c r="EX300" s="189">
        <v>0</v>
      </c>
      <c r="EY300" s="189">
        <v>0</v>
      </c>
      <c r="EZ300" s="189">
        <v>0</v>
      </c>
      <c r="FA300" s="189">
        <v>0</v>
      </c>
      <c r="FB300" s="189">
        <v>0</v>
      </c>
      <c r="FC300" s="189">
        <v>40</v>
      </c>
      <c r="FD300" s="189">
        <v>216</v>
      </c>
      <c r="FE300" s="189">
        <v>10.3</v>
      </c>
      <c r="FF300" s="189">
        <v>0</v>
      </c>
      <c r="FG300" s="189">
        <v>4.0999999999999996</v>
      </c>
      <c r="FH300" s="189">
        <v>40</v>
      </c>
      <c r="FI300" s="189">
        <v>0</v>
      </c>
      <c r="FJ300" s="189">
        <v>0</v>
      </c>
      <c r="FK300" s="189">
        <v>480.1</v>
      </c>
      <c r="FL300" s="189">
        <v>304</v>
      </c>
      <c r="FN300" s="132">
        <v>294.73</v>
      </c>
    </row>
    <row r="301" spans="1:170" ht="27" customHeight="1">
      <c r="A301" s="88">
        <f>COUNTIF($H$12:H301,H301)</f>
        <v>54</v>
      </c>
      <c r="B301" s="88" t="s">
        <v>1683</v>
      </c>
      <c r="C301" s="88" t="s">
        <v>1304</v>
      </c>
      <c r="D301" s="88"/>
      <c r="E301" s="88"/>
      <c r="F301" s="301" t="s">
        <v>2912</v>
      </c>
      <c r="G301" s="89" t="s">
        <v>2883</v>
      </c>
      <c r="H301" s="88">
        <v>5</v>
      </c>
      <c r="I301" s="88">
        <v>5</v>
      </c>
      <c r="J301" s="88">
        <v>5</v>
      </c>
      <c r="K301" s="90" t="s">
        <v>1089</v>
      </c>
      <c r="L301" s="90" t="s">
        <v>1089</v>
      </c>
      <c r="M301" s="214"/>
      <c r="N301" s="88" t="s">
        <v>606</v>
      </c>
      <c r="O301" s="216">
        <f t="shared" si="953"/>
        <v>4.4000000000000004</v>
      </c>
      <c r="P301" s="88" t="str">
        <f t="shared" si="880"/>
        <v>B1_4</v>
      </c>
      <c r="Q301" s="88">
        <f t="shared" si="951"/>
        <v>270</v>
      </c>
      <c r="R301" s="88">
        <f t="shared" si="952"/>
        <v>120</v>
      </c>
      <c r="S301" s="218"/>
      <c r="T301" s="214" t="s">
        <v>3088</v>
      </c>
      <c r="U301" s="88">
        <f>IF(RIGHT(T301,1)="K",(VLOOKUP(T301,ma_miengiam!$A$3:$B$80,2,0)*100)/2,VLOOKUP(T301,ma_miengiam!$A$3:$B$80,2,0)*100)</f>
        <v>0</v>
      </c>
      <c r="V301" s="88"/>
      <c r="W301" s="220">
        <f>IF(AND(T301="NTS",V301&gt;0),(Q301-(Q301*V301)/12)*VLOOKUP(T301,ma_miengiam!$A$3:$B$80,2,0)+(Q301-(Q301*(12-V301))/12),IF(AND(RIGHT(T301,1)="K",V301&gt;0),(VLOOKUP(T301,ma_miengiam!$A$3:$B$80,2,0)/2)*(Q301*V301)/12,IF(RIGHT(T301,1)="K",(VLOOKUP(T301,ma_miengiam!$A$3:$B$80,2,0)*Q301)/2,IF(V301&gt;0,VLOOKUP(T301,ma_miengiam!$A$3:$B$80,2,0)*Q301*V301/12,VLOOKUP(T301,ma_miengiam!$A$3:$B$80,2,0)*Q301))))</f>
        <v>0</v>
      </c>
      <c r="X301" s="220">
        <f>IF(T301="NTS",VLOOKUP(T301,ma_miengiam!$A$3:$B$80,2,0)*R301*V301,IF(AND(T301="NTS",V301=0),0,IF(AND(LEFT(T301,1)="K",V301=0),VLOOKUP(T301,ma_miengiam!$A$3:$B$80,2,0)*R301,IF(LEFT(T301,1)="K",(VLOOKUP(T301,ma_miengiam!$A$3:$B$80,2,0)*R301/12)*V301,IF(AND(LEFT(T301,1)="S",V301&gt;0),(R301/12)*V301,IF(AND(LEFT(T301,1)="S",V301=0),R301,IF(T301="DH",VLOOKUP(T301,ma_miengiam!$A$3:$B$80,2,0)*R301,0)))))))</f>
        <v>0</v>
      </c>
      <c r="Y301" s="220">
        <f t="shared" si="932"/>
        <v>270</v>
      </c>
      <c r="Z301" s="220">
        <f t="shared" si="908"/>
        <v>120</v>
      </c>
      <c r="AA301" s="220">
        <f t="shared" si="954"/>
        <v>270</v>
      </c>
      <c r="AB301" s="220">
        <f t="shared" si="954"/>
        <v>120</v>
      </c>
      <c r="AC301" s="220">
        <f t="shared" si="955"/>
        <v>0</v>
      </c>
      <c r="AD301" s="220">
        <f t="shared" si="955"/>
        <v>0</v>
      </c>
      <c r="AE301" s="220">
        <f t="shared" si="955"/>
        <v>270</v>
      </c>
      <c r="AF301" s="220">
        <f t="shared" si="955"/>
        <v>120</v>
      </c>
      <c r="AG301" s="220">
        <f t="shared" si="929"/>
        <v>231.97000000000003</v>
      </c>
      <c r="AH301" s="220">
        <f t="shared" si="930"/>
        <v>86.76</v>
      </c>
      <c r="AI301" s="220">
        <f t="shared" si="931"/>
        <v>145.21</v>
      </c>
      <c r="AJ301" s="220">
        <f t="shared" si="918"/>
        <v>0</v>
      </c>
      <c r="AK301" s="216">
        <f t="shared" si="794"/>
        <v>270</v>
      </c>
      <c r="AL301" s="220">
        <f t="shared" si="795"/>
        <v>320.60000000000002</v>
      </c>
      <c r="AM301" s="220">
        <f t="shared" si="796"/>
        <v>294.2</v>
      </c>
      <c r="AN301" s="221">
        <f t="shared" si="797"/>
        <v>614.79999999999995</v>
      </c>
      <c r="AO301" s="220">
        <f t="shared" si="798"/>
        <v>0</v>
      </c>
      <c r="AP301" s="220">
        <f t="shared" si="799"/>
        <v>0</v>
      </c>
      <c r="AQ301" s="220">
        <f t="shared" si="800"/>
        <v>100</v>
      </c>
      <c r="AR301" s="220">
        <f t="shared" si="801"/>
        <v>0</v>
      </c>
      <c r="AS301" s="220">
        <f t="shared" si="802"/>
        <v>0</v>
      </c>
      <c r="AT301" s="216">
        <f t="shared" si="803"/>
        <v>714.8</v>
      </c>
      <c r="AU301" s="222">
        <f t="shared" si="919"/>
        <v>344.79999999999995</v>
      </c>
      <c r="AV301" s="220"/>
      <c r="AW301" s="220">
        <f t="shared" si="804"/>
        <v>344.79999999999995</v>
      </c>
      <c r="AX301" s="216">
        <f t="shared" si="820"/>
        <v>0</v>
      </c>
      <c r="AY301" s="220">
        <f t="shared" si="815"/>
        <v>0</v>
      </c>
      <c r="AZ301" s="220">
        <f t="shared" si="816"/>
        <v>0</v>
      </c>
      <c r="BA301" s="220">
        <f t="shared" si="817"/>
        <v>100</v>
      </c>
      <c r="BB301" s="220">
        <f t="shared" si="818"/>
        <v>0</v>
      </c>
      <c r="BC301" s="220">
        <f t="shared" si="819"/>
        <v>0</v>
      </c>
      <c r="BD301" s="216">
        <f t="shared" si="759"/>
        <v>100</v>
      </c>
      <c r="BE301" s="220">
        <f t="shared" si="805"/>
        <v>0</v>
      </c>
      <c r="BF301" s="220">
        <f t="shared" si="806"/>
        <v>0</v>
      </c>
      <c r="BG301" s="220">
        <f t="shared" si="807"/>
        <v>0</v>
      </c>
      <c r="BH301" s="220">
        <f t="shared" si="808"/>
        <v>0</v>
      </c>
      <c r="BI301" s="220">
        <f t="shared" si="809"/>
        <v>0</v>
      </c>
      <c r="BJ301" s="220" t="s">
        <v>2419</v>
      </c>
      <c r="BK301" s="220"/>
      <c r="BL301" s="223">
        <f t="shared" si="773"/>
        <v>344.79999999999995</v>
      </c>
      <c r="BM301" s="220">
        <v>4.4000000000000004</v>
      </c>
      <c r="BN301" s="220"/>
      <c r="BO301" s="220">
        <f t="shared" si="956"/>
        <v>4.4000000000000004</v>
      </c>
      <c r="BP301" s="220">
        <f>IF(AND(BL301&gt;0,BL301&lt;tiet!$D$1),BL301,IF(BL301&lt;=0,0,IF(BL301&gt;tiet!$C$1,tiet!$C$1)))</f>
        <v>200</v>
      </c>
      <c r="BQ301" s="87">
        <f t="shared" si="957"/>
        <v>65000</v>
      </c>
      <c r="BR301" s="224">
        <f t="shared" si="958"/>
        <v>13000000</v>
      </c>
      <c r="BS301" s="220">
        <f t="shared" si="846"/>
        <v>144.79999999999995</v>
      </c>
      <c r="BT301" s="224">
        <f>VLOOKUP(N301,ma_dinhmuc!$A$1:$J$31,10,0)</f>
        <v>55000</v>
      </c>
      <c r="BU301" s="224">
        <f>ROUND(IF(BS301&gt;0,VLOOKUP(N301,ma_dinhmuc!$A$1:$J$31,10,0)*BS301,0),0)</f>
        <v>7964000</v>
      </c>
      <c r="BV301" s="224">
        <f t="shared" si="959"/>
        <v>20964000</v>
      </c>
      <c r="BW301" s="224"/>
      <c r="BX301" s="224">
        <v>0</v>
      </c>
      <c r="BY301" s="224"/>
      <c r="BZ301" s="224"/>
      <c r="CA301" s="224"/>
      <c r="CB301" s="224"/>
      <c r="CC301" s="225">
        <f t="shared" si="886"/>
        <v>20964000</v>
      </c>
      <c r="CD301" s="224">
        <f t="shared" si="887"/>
        <v>0</v>
      </c>
      <c r="CE301" s="224"/>
      <c r="CF301" s="226"/>
      <c r="CG301" s="87"/>
      <c r="CH301" s="87">
        <f t="shared" si="960"/>
        <v>54</v>
      </c>
      <c r="CI301" s="227" t="str">
        <f t="shared" si="961"/>
        <v>Nguyễn Thị Thu</v>
      </c>
      <c r="CJ301" s="227" t="str">
        <f t="shared" si="962"/>
        <v>Huyền</v>
      </c>
      <c r="CK301" s="87">
        <f t="shared" si="963"/>
        <v>5</v>
      </c>
      <c r="CL301" s="227" t="str">
        <f t="shared" si="964"/>
        <v>Phân tích định lượng</v>
      </c>
      <c r="CM301" s="87" t="str">
        <f t="shared" si="810"/>
        <v>CS3</v>
      </c>
      <c r="CN301" s="87">
        <f t="shared" si="965"/>
        <v>270</v>
      </c>
      <c r="CO301" s="87">
        <f t="shared" si="966"/>
        <v>120</v>
      </c>
      <c r="CP301" s="229">
        <f t="shared" si="852"/>
        <v>0</v>
      </c>
      <c r="CQ301" s="229">
        <f t="shared" si="853"/>
        <v>38.4</v>
      </c>
      <c r="CR301" s="229">
        <f t="shared" si="854"/>
        <v>15.4</v>
      </c>
      <c r="CS301" s="229">
        <f t="shared" si="855"/>
        <v>0</v>
      </c>
      <c r="CT301" s="229">
        <f t="shared" si="856"/>
        <v>0</v>
      </c>
      <c r="CU301" s="229">
        <f t="shared" si="857"/>
        <v>266.8</v>
      </c>
      <c r="CV301" s="229">
        <f t="shared" si="858"/>
        <v>0</v>
      </c>
      <c r="CW301" s="229">
        <f t="shared" si="859"/>
        <v>0</v>
      </c>
      <c r="CX301" s="229">
        <f t="shared" si="860"/>
        <v>0</v>
      </c>
      <c r="CY301" s="229">
        <f t="shared" si="861"/>
        <v>0</v>
      </c>
      <c r="CZ301" s="229">
        <f t="shared" si="862"/>
        <v>0</v>
      </c>
      <c r="DA301" s="229">
        <f t="shared" si="863"/>
        <v>100</v>
      </c>
      <c r="DB301" s="228">
        <f t="shared" si="792"/>
        <v>420.6</v>
      </c>
      <c r="DC301" s="229"/>
      <c r="DD301" s="229"/>
      <c r="DE301" s="229"/>
      <c r="DF301" s="229"/>
      <c r="DG301" s="229"/>
      <c r="DH301" s="229"/>
      <c r="DI301" s="229"/>
      <c r="DJ301" s="229"/>
      <c r="DK301" s="229"/>
      <c r="DL301" s="229"/>
      <c r="DM301" s="229"/>
      <c r="DN301" s="229"/>
      <c r="DO301" s="228">
        <f t="shared" si="812"/>
        <v>0</v>
      </c>
      <c r="DP301" s="228">
        <f t="shared" si="813"/>
        <v>420.6</v>
      </c>
      <c r="DQ301" s="229">
        <f t="shared" si="864"/>
        <v>270</v>
      </c>
      <c r="DR301" s="229">
        <f t="shared" si="865"/>
        <v>17.2</v>
      </c>
      <c r="DS301" s="229">
        <f t="shared" si="866"/>
        <v>0</v>
      </c>
      <c r="DT301" s="229">
        <f t="shared" si="867"/>
        <v>7</v>
      </c>
      <c r="DU301" s="229">
        <f t="shared" si="868"/>
        <v>0</v>
      </c>
      <c r="DV301" s="229">
        <f t="shared" si="869"/>
        <v>0</v>
      </c>
      <c r="DW301" s="229">
        <f t="shared" si="870"/>
        <v>0</v>
      </c>
      <c r="DX301" s="228">
        <f t="shared" si="793"/>
        <v>294.2</v>
      </c>
      <c r="DY301" s="229"/>
      <c r="DZ301" s="229"/>
      <c r="EA301" s="229"/>
      <c r="EB301" s="229"/>
      <c r="EC301" s="229"/>
      <c r="ED301" s="229"/>
      <c r="EE301" s="229"/>
      <c r="EF301" s="228">
        <f t="shared" si="847"/>
        <v>0</v>
      </c>
      <c r="EG301" s="228">
        <f t="shared" si="814"/>
        <v>294.2</v>
      </c>
      <c r="EH301" s="229">
        <f t="shared" si="848"/>
        <v>145.21</v>
      </c>
      <c r="EI301" s="229">
        <v>86.76</v>
      </c>
      <c r="EJ301" s="228">
        <f t="shared" si="924"/>
        <v>231.97000000000003</v>
      </c>
      <c r="EK301" s="229"/>
      <c r="EL301" s="229"/>
      <c r="EM301" s="228">
        <f t="shared" si="967"/>
        <v>0</v>
      </c>
      <c r="EN301" s="229">
        <f t="shared" si="907"/>
        <v>145.21</v>
      </c>
      <c r="EO301" s="229">
        <f t="shared" si="926"/>
        <v>86.76</v>
      </c>
      <c r="EP301" s="228">
        <f t="shared" si="968"/>
        <v>231.97000000000003</v>
      </c>
      <c r="EQ301" s="173">
        <f t="shared" si="849"/>
        <v>25.210000000000008</v>
      </c>
      <c r="ER301" s="189">
        <v>0</v>
      </c>
      <c r="ES301" s="189">
        <v>38.4</v>
      </c>
      <c r="ET301" s="189">
        <v>15.4</v>
      </c>
      <c r="EU301" s="189">
        <v>0</v>
      </c>
      <c r="EV301" s="189">
        <v>0</v>
      </c>
      <c r="EW301" s="189">
        <v>266.8</v>
      </c>
      <c r="EX301" s="189">
        <v>0</v>
      </c>
      <c r="EY301" s="189">
        <v>0</v>
      </c>
      <c r="EZ301" s="189">
        <v>0</v>
      </c>
      <c r="FA301" s="189">
        <v>0</v>
      </c>
      <c r="FB301" s="189">
        <v>0</v>
      </c>
      <c r="FC301" s="189">
        <v>100</v>
      </c>
      <c r="FD301" s="189">
        <v>270</v>
      </c>
      <c r="FE301" s="189">
        <v>17.2</v>
      </c>
      <c r="FF301" s="189">
        <v>0</v>
      </c>
      <c r="FG301" s="189">
        <v>7</v>
      </c>
      <c r="FH301" s="189">
        <v>0</v>
      </c>
      <c r="FI301" s="189">
        <v>0</v>
      </c>
      <c r="FJ301" s="189">
        <v>0</v>
      </c>
      <c r="FK301" s="189">
        <v>714.8</v>
      </c>
      <c r="FL301" s="189">
        <v>448</v>
      </c>
      <c r="FN301" s="132">
        <v>145.21</v>
      </c>
    </row>
    <row r="302" spans="1:170" ht="30" customHeight="1">
      <c r="A302" s="88">
        <f>COUNTIF($H$12:H302,H302)</f>
        <v>55</v>
      </c>
      <c r="B302" s="88" t="s">
        <v>1684</v>
      </c>
      <c r="C302" s="88" t="s">
        <v>1305</v>
      </c>
      <c r="D302" s="88"/>
      <c r="E302" s="88"/>
      <c r="F302" s="301" t="s">
        <v>1607</v>
      </c>
      <c r="G302" s="89" t="s">
        <v>1608</v>
      </c>
      <c r="H302" s="88">
        <v>5</v>
      </c>
      <c r="I302" s="88">
        <v>5</v>
      </c>
      <c r="J302" s="88">
        <v>5</v>
      </c>
      <c r="K302" s="90" t="s">
        <v>1089</v>
      </c>
      <c r="L302" s="90" t="s">
        <v>1089</v>
      </c>
      <c r="M302" s="214"/>
      <c r="N302" s="88" t="s">
        <v>606</v>
      </c>
      <c r="O302" s="216">
        <f t="shared" si="953"/>
        <v>4.4000000000000004</v>
      </c>
      <c r="P302" s="88" t="str">
        <f t="shared" si="880"/>
        <v>B1_4</v>
      </c>
      <c r="Q302" s="88">
        <f t="shared" si="951"/>
        <v>270</v>
      </c>
      <c r="R302" s="88">
        <f t="shared" si="952"/>
        <v>120</v>
      </c>
      <c r="S302" s="218"/>
      <c r="T302" s="214" t="s">
        <v>3088</v>
      </c>
      <c r="U302" s="88">
        <f>IF(RIGHT(T302,1)="K",(VLOOKUP(T302,ma_miengiam!$A$3:$B$80,2,0)*100)/2,VLOOKUP(T302,ma_miengiam!$A$3:$B$80,2,0)*100)</f>
        <v>0</v>
      </c>
      <c r="V302" s="88"/>
      <c r="W302" s="220">
        <f>IF(AND(T302="NTS",V302&gt;0),(Q302-(Q302*V302)/12)*VLOOKUP(T302,ma_miengiam!$A$3:$B$80,2,0)+(Q302-(Q302*(12-V302))/12),IF(AND(RIGHT(T302,1)="K",V302&gt;0),(VLOOKUP(T302,ma_miengiam!$A$3:$B$80,2,0)/2)*(Q302*V302)/12,IF(RIGHT(T302,1)="K",(VLOOKUP(T302,ma_miengiam!$A$3:$B$80,2,0)*Q302)/2,IF(V302&gt;0,VLOOKUP(T302,ma_miengiam!$A$3:$B$80,2,0)*Q302*V302/12,VLOOKUP(T302,ma_miengiam!$A$3:$B$80,2,0)*Q302))))</f>
        <v>0</v>
      </c>
      <c r="X302" s="220">
        <f>IF(T302="NTS",VLOOKUP(T302,ma_miengiam!$A$3:$B$80,2,0)*R302*V302,IF(AND(T302="NTS",V302=0),0,IF(AND(LEFT(T302,1)="K",V302=0),VLOOKUP(T302,ma_miengiam!$A$3:$B$80,2,0)*R302,IF(LEFT(T302,1)="K",(VLOOKUP(T302,ma_miengiam!$A$3:$B$80,2,0)*R302/12)*V302,IF(AND(LEFT(T302,1)="S",V302&gt;0),(R302/12)*V302,IF(AND(LEFT(T302,1)="S",V302=0),R302,IF(T302="DH",VLOOKUP(T302,ma_miengiam!$A$3:$B$80,2,0)*R302,0)))))))</f>
        <v>0</v>
      </c>
      <c r="Y302" s="220">
        <f t="shared" si="932"/>
        <v>270</v>
      </c>
      <c r="Z302" s="220">
        <f t="shared" si="908"/>
        <v>120</v>
      </c>
      <c r="AA302" s="220">
        <f t="shared" si="954"/>
        <v>270</v>
      </c>
      <c r="AB302" s="220">
        <f t="shared" si="954"/>
        <v>120</v>
      </c>
      <c r="AC302" s="220">
        <f t="shared" si="955"/>
        <v>0</v>
      </c>
      <c r="AD302" s="220">
        <f t="shared" si="955"/>
        <v>0</v>
      </c>
      <c r="AE302" s="220">
        <f t="shared" si="955"/>
        <v>270</v>
      </c>
      <c r="AF302" s="220">
        <f t="shared" si="955"/>
        <v>120</v>
      </c>
      <c r="AG302" s="220">
        <f t="shared" si="929"/>
        <v>230.93</v>
      </c>
      <c r="AH302" s="220">
        <f t="shared" si="930"/>
        <v>86.76</v>
      </c>
      <c r="AI302" s="220">
        <f t="shared" si="931"/>
        <v>144.16999999999999</v>
      </c>
      <c r="AJ302" s="220">
        <f t="shared" si="918"/>
        <v>0</v>
      </c>
      <c r="AK302" s="216">
        <f t="shared" si="794"/>
        <v>270</v>
      </c>
      <c r="AL302" s="220">
        <f t="shared" si="795"/>
        <v>161.69999999999999</v>
      </c>
      <c r="AM302" s="220">
        <f t="shared" si="796"/>
        <v>365.2</v>
      </c>
      <c r="AN302" s="221">
        <f t="shared" si="797"/>
        <v>526.9</v>
      </c>
      <c r="AO302" s="220">
        <f t="shared" si="798"/>
        <v>0</v>
      </c>
      <c r="AP302" s="220">
        <f t="shared" si="799"/>
        <v>0</v>
      </c>
      <c r="AQ302" s="220">
        <f t="shared" si="800"/>
        <v>20</v>
      </c>
      <c r="AR302" s="220">
        <f t="shared" si="801"/>
        <v>240</v>
      </c>
      <c r="AS302" s="220">
        <f t="shared" si="802"/>
        <v>0</v>
      </c>
      <c r="AT302" s="216">
        <f t="shared" si="803"/>
        <v>786.9</v>
      </c>
      <c r="AU302" s="222">
        <f t="shared" si="919"/>
        <v>256.89999999999998</v>
      </c>
      <c r="AV302" s="220"/>
      <c r="AW302" s="220">
        <f t="shared" si="804"/>
        <v>256.89999999999998</v>
      </c>
      <c r="AX302" s="216">
        <f t="shared" si="820"/>
        <v>0</v>
      </c>
      <c r="AY302" s="220">
        <f t="shared" si="815"/>
        <v>0</v>
      </c>
      <c r="AZ302" s="220">
        <f t="shared" si="816"/>
        <v>0</v>
      </c>
      <c r="BA302" s="220">
        <f t="shared" si="817"/>
        <v>20</v>
      </c>
      <c r="BB302" s="220">
        <f t="shared" si="818"/>
        <v>240</v>
      </c>
      <c r="BC302" s="220">
        <f t="shared" si="819"/>
        <v>0</v>
      </c>
      <c r="BD302" s="216">
        <f t="shared" si="759"/>
        <v>260</v>
      </c>
      <c r="BE302" s="220">
        <f t="shared" si="805"/>
        <v>0</v>
      </c>
      <c r="BF302" s="220">
        <f t="shared" si="806"/>
        <v>0</v>
      </c>
      <c r="BG302" s="220">
        <f t="shared" si="807"/>
        <v>0</v>
      </c>
      <c r="BH302" s="220">
        <f t="shared" si="808"/>
        <v>0</v>
      </c>
      <c r="BI302" s="220">
        <f t="shared" si="809"/>
        <v>0</v>
      </c>
      <c r="BJ302" s="220" t="s">
        <v>2419</v>
      </c>
      <c r="BK302" s="220"/>
      <c r="BL302" s="223">
        <f t="shared" si="773"/>
        <v>256.89999999999998</v>
      </c>
      <c r="BM302" s="220">
        <v>4.4000000000000004</v>
      </c>
      <c r="BN302" s="220"/>
      <c r="BO302" s="220">
        <f t="shared" si="956"/>
        <v>4.4000000000000004</v>
      </c>
      <c r="BP302" s="220">
        <f>IF(AND(BL302&gt;0,BL302&lt;tiet!$D$1),BL302,IF(BL302&lt;=0,0,IF(BL302&gt;tiet!$C$1,tiet!$C$1)))</f>
        <v>200</v>
      </c>
      <c r="BQ302" s="87">
        <f t="shared" si="957"/>
        <v>65000</v>
      </c>
      <c r="BR302" s="224">
        <f t="shared" si="958"/>
        <v>13000000</v>
      </c>
      <c r="BS302" s="220">
        <f t="shared" si="846"/>
        <v>56.899999999999977</v>
      </c>
      <c r="BT302" s="224">
        <f>VLOOKUP(N302,ma_dinhmuc!$A$1:$J$31,10,0)</f>
        <v>55000</v>
      </c>
      <c r="BU302" s="224">
        <f>ROUND(IF(BS302&gt;0,VLOOKUP(N302,ma_dinhmuc!$A$1:$J$31,10,0)*BS302,0),0)</f>
        <v>3129500</v>
      </c>
      <c r="BV302" s="224">
        <f t="shared" si="959"/>
        <v>16129500</v>
      </c>
      <c r="BW302" s="224"/>
      <c r="BX302" s="224">
        <v>0</v>
      </c>
      <c r="BY302" s="224"/>
      <c r="BZ302" s="224"/>
      <c r="CA302" s="224"/>
      <c r="CB302" s="224"/>
      <c r="CC302" s="225">
        <f t="shared" si="886"/>
        <v>16129500</v>
      </c>
      <c r="CD302" s="224">
        <f t="shared" si="887"/>
        <v>0</v>
      </c>
      <c r="CE302" s="224"/>
      <c r="CF302" s="226"/>
      <c r="CG302" s="87"/>
      <c r="CH302" s="87">
        <f t="shared" si="960"/>
        <v>55</v>
      </c>
      <c r="CI302" s="227" t="str">
        <f t="shared" si="961"/>
        <v>Lê Thị Long</v>
      </c>
      <c r="CJ302" s="227" t="str">
        <f t="shared" si="962"/>
        <v>Vỹ</v>
      </c>
      <c r="CK302" s="87">
        <f t="shared" si="963"/>
        <v>5</v>
      </c>
      <c r="CL302" s="227" t="str">
        <f t="shared" si="964"/>
        <v>Phân tích định lượng</v>
      </c>
      <c r="CM302" s="87" t="str">
        <f t="shared" si="810"/>
        <v>CS3</v>
      </c>
      <c r="CN302" s="87">
        <f t="shared" si="965"/>
        <v>270</v>
      </c>
      <c r="CO302" s="87">
        <f t="shared" si="966"/>
        <v>120</v>
      </c>
      <c r="CP302" s="229">
        <f t="shared" si="852"/>
        <v>0</v>
      </c>
      <c r="CQ302" s="229">
        <f t="shared" si="853"/>
        <v>18.600000000000001</v>
      </c>
      <c r="CR302" s="229">
        <f t="shared" si="854"/>
        <v>7.5</v>
      </c>
      <c r="CS302" s="229">
        <f t="shared" si="855"/>
        <v>0</v>
      </c>
      <c r="CT302" s="229">
        <f t="shared" si="856"/>
        <v>0</v>
      </c>
      <c r="CU302" s="229">
        <f t="shared" si="857"/>
        <v>135.6</v>
      </c>
      <c r="CV302" s="229">
        <f t="shared" si="858"/>
        <v>0</v>
      </c>
      <c r="CW302" s="229">
        <f t="shared" si="859"/>
        <v>0</v>
      </c>
      <c r="CX302" s="229">
        <f t="shared" si="860"/>
        <v>0</v>
      </c>
      <c r="CY302" s="229">
        <f t="shared" si="861"/>
        <v>0</v>
      </c>
      <c r="CZ302" s="229">
        <f t="shared" si="862"/>
        <v>0</v>
      </c>
      <c r="DA302" s="229">
        <f t="shared" si="863"/>
        <v>20</v>
      </c>
      <c r="DB302" s="228">
        <f t="shared" si="792"/>
        <v>181.7</v>
      </c>
      <c r="DC302" s="229"/>
      <c r="DD302" s="229"/>
      <c r="DE302" s="229"/>
      <c r="DF302" s="229"/>
      <c r="DG302" s="229"/>
      <c r="DH302" s="229"/>
      <c r="DI302" s="229"/>
      <c r="DJ302" s="229"/>
      <c r="DK302" s="229"/>
      <c r="DL302" s="229"/>
      <c r="DM302" s="229"/>
      <c r="DN302" s="229"/>
      <c r="DO302" s="228">
        <f t="shared" si="812"/>
        <v>0</v>
      </c>
      <c r="DP302" s="228">
        <f t="shared" si="813"/>
        <v>181.7</v>
      </c>
      <c r="DQ302" s="229">
        <f t="shared" si="864"/>
        <v>336</v>
      </c>
      <c r="DR302" s="229">
        <f t="shared" si="865"/>
        <v>20.7</v>
      </c>
      <c r="DS302" s="229">
        <f t="shared" si="866"/>
        <v>0</v>
      </c>
      <c r="DT302" s="229">
        <f t="shared" si="867"/>
        <v>8.5</v>
      </c>
      <c r="DU302" s="229">
        <f t="shared" si="868"/>
        <v>0</v>
      </c>
      <c r="DV302" s="229">
        <f t="shared" si="869"/>
        <v>240</v>
      </c>
      <c r="DW302" s="229">
        <f t="shared" si="870"/>
        <v>0</v>
      </c>
      <c r="DX302" s="228">
        <f t="shared" si="793"/>
        <v>605.20000000000005</v>
      </c>
      <c r="DY302" s="229"/>
      <c r="DZ302" s="229"/>
      <c r="EA302" s="229"/>
      <c r="EB302" s="229"/>
      <c r="EC302" s="229"/>
      <c r="ED302" s="229"/>
      <c r="EE302" s="229"/>
      <c r="EF302" s="228">
        <f t="shared" si="847"/>
        <v>0</v>
      </c>
      <c r="EG302" s="228">
        <f t="shared" si="814"/>
        <v>605.20000000000005</v>
      </c>
      <c r="EH302" s="229">
        <f t="shared" si="848"/>
        <v>144.16999999999999</v>
      </c>
      <c r="EI302" s="229">
        <v>86.76</v>
      </c>
      <c r="EJ302" s="228">
        <f t="shared" ref="EJ302:EJ314" si="970">SUM(EH302:EI302)</f>
        <v>230.93</v>
      </c>
      <c r="EK302" s="229"/>
      <c r="EL302" s="229"/>
      <c r="EM302" s="228">
        <f t="shared" si="967"/>
        <v>0</v>
      </c>
      <c r="EN302" s="229">
        <f t="shared" si="907"/>
        <v>144.16999999999999</v>
      </c>
      <c r="EO302" s="229">
        <f t="shared" si="926"/>
        <v>86.76</v>
      </c>
      <c r="EP302" s="228">
        <f t="shared" si="968"/>
        <v>230.93</v>
      </c>
      <c r="EQ302" s="173">
        <f t="shared" si="849"/>
        <v>24.169999999999987</v>
      </c>
      <c r="ER302" s="189">
        <v>0</v>
      </c>
      <c r="ES302" s="189">
        <v>18.600000000000001</v>
      </c>
      <c r="ET302" s="189">
        <v>7.5</v>
      </c>
      <c r="EU302" s="189">
        <v>0</v>
      </c>
      <c r="EV302" s="189">
        <v>0</v>
      </c>
      <c r="EW302" s="189">
        <v>135.6</v>
      </c>
      <c r="EX302" s="189">
        <v>0</v>
      </c>
      <c r="EY302" s="189">
        <v>0</v>
      </c>
      <c r="EZ302" s="189">
        <v>0</v>
      </c>
      <c r="FA302" s="189">
        <v>0</v>
      </c>
      <c r="FB302" s="189">
        <v>0</v>
      </c>
      <c r="FC302" s="189">
        <v>20</v>
      </c>
      <c r="FD302" s="189">
        <v>336</v>
      </c>
      <c r="FE302" s="189">
        <v>20.7</v>
      </c>
      <c r="FF302" s="189">
        <v>0</v>
      </c>
      <c r="FG302" s="189">
        <v>8.5</v>
      </c>
      <c r="FH302" s="189">
        <v>240</v>
      </c>
      <c r="FI302" s="189">
        <v>0</v>
      </c>
      <c r="FJ302" s="189">
        <v>0</v>
      </c>
      <c r="FK302" s="189">
        <v>786.9</v>
      </c>
      <c r="FL302" s="189">
        <v>593</v>
      </c>
      <c r="FN302" s="132">
        <v>144.16999999999999</v>
      </c>
    </row>
    <row r="303" spans="1:170" ht="30">
      <c r="A303" s="88">
        <f>COUNTIF($H$12:H303,H303)</f>
        <v>56</v>
      </c>
      <c r="B303" s="88" t="s">
        <v>1685</v>
      </c>
      <c r="C303" s="88" t="s">
        <v>1306</v>
      </c>
      <c r="D303" s="88"/>
      <c r="E303" s="88"/>
      <c r="F303" s="301" t="s">
        <v>2882</v>
      </c>
      <c r="G303" s="303" t="s">
        <v>1177</v>
      </c>
      <c r="H303" s="88">
        <v>5</v>
      </c>
      <c r="I303" s="88"/>
      <c r="J303" s="88">
        <v>5</v>
      </c>
      <c r="K303" s="90"/>
      <c r="L303" s="90" t="s">
        <v>1089</v>
      </c>
      <c r="M303" s="214"/>
      <c r="N303" s="88" t="s">
        <v>605</v>
      </c>
      <c r="O303" s="216">
        <f t="shared" si="953"/>
        <v>6.2</v>
      </c>
      <c r="P303" s="88" t="str">
        <f t="shared" si="880"/>
        <v>B1_6</v>
      </c>
      <c r="Q303" s="88">
        <f t="shared" si="951"/>
        <v>270</v>
      </c>
      <c r="R303" s="88">
        <f t="shared" si="952"/>
        <v>170</v>
      </c>
      <c r="S303" s="230" t="s">
        <v>3181</v>
      </c>
      <c r="T303" s="88" t="s">
        <v>3091</v>
      </c>
      <c r="U303" s="88">
        <f>IF(RIGHT(T303,1)="K",(VLOOKUP(T303,ma_miengiam!$A$3:$B$80,2,0)*100)/2,VLOOKUP(T303,ma_miengiam!$A$3:$B$80,2,0)*100)</f>
        <v>20</v>
      </c>
      <c r="V303" s="88">
        <v>6</v>
      </c>
      <c r="W303" s="220">
        <f>IF(AND(T303="NTS",V303&gt;0),(Q303-(Q303*V303)/12)*VLOOKUP(T303,ma_miengiam!$A$3:$B$80,2,0)+(Q303-(Q303*(12-V303))/12),IF(AND(RIGHT(T303,1)="K",V303&gt;0),(VLOOKUP(T303,ma_miengiam!$A$3:$B$80,2,0)/2)*(Q303*V303)/12,IF(RIGHT(T303,1)="K",(VLOOKUP(T303,ma_miengiam!$A$3:$B$80,2,0)*Q303)/2,IF(V303&gt;0,VLOOKUP(T303,ma_miengiam!$A$3:$B$80,2,0)*Q303*V303/12,VLOOKUP(T303,ma_miengiam!$A$3:$B$80,2,0)*Q303))))</f>
        <v>27</v>
      </c>
      <c r="X303" s="220">
        <f>IF(T303="NTS",VLOOKUP(T303,ma_miengiam!$A$3:$B$80,2,0)*R303*V303,IF(AND(T303="NTS",V303=0),0,IF(AND(LEFT(T303,1)="K",V303=0),VLOOKUP(T303,ma_miengiam!$A$3:$B$80,2,0)*R303,IF(LEFT(T303,1)="K",(VLOOKUP(T303,ma_miengiam!$A$3:$B$80,2,0)*R303/12)*V303,IF(AND(LEFT(T303,1)="S",V303&gt;0),(R303/12)*V303,IF(AND(LEFT(T303,1)="S",V303=0),R303,IF(T303="DH",VLOOKUP(T303,ma_miengiam!$A$3:$B$80,2,0)*R303,0)))))))</f>
        <v>0</v>
      </c>
      <c r="Y303" s="220">
        <f t="shared" si="932"/>
        <v>108</v>
      </c>
      <c r="Z303" s="220">
        <f t="shared" si="908"/>
        <v>85</v>
      </c>
      <c r="AA303" s="220"/>
      <c r="AB303" s="220"/>
      <c r="AC303" s="220"/>
      <c r="AD303" s="220"/>
      <c r="AE303" s="220"/>
      <c r="AF303" s="220"/>
      <c r="AG303" s="220"/>
      <c r="AH303" s="220"/>
      <c r="AI303" s="220"/>
      <c r="AJ303" s="220"/>
      <c r="AK303" s="216"/>
      <c r="AL303" s="220"/>
      <c r="AM303" s="220"/>
      <c r="AN303" s="221"/>
      <c r="AO303" s="220"/>
      <c r="AP303" s="220"/>
      <c r="AQ303" s="220"/>
      <c r="AR303" s="220"/>
      <c r="AS303" s="220"/>
      <c r="AT303" s="216"/>
      <c r="AU303" s="222"/>
      <c r="AV303" s="220"/>
      <c r="AW303" s="220"/>
      <c r="AX303" s="216"/>
      <c r="AY303" s="220"/>
      <c r="AZ303" s="220"/>
      <c r="BA303" s="220"/>
      <c r="BB303" s="220"/>
      <c r="BC303" s="220"/>
      <c r="BD303" s="216"/>
      <c r="BE303" s="220"/>
      <c r="BF303" s="220"/>
      <c r="BG303" s="220"/>
      <c r="BH303" s="220"/>
      <c r="BI303" s="220"/>
      <c r="BJ303" s="220" t="s">
        <v>2419</v>
      </c>
      <c r="BK303" s="220"/>
      <c r="BL303" s="223">
        <f t="shared" si="773"/>
        <v>0</v>
      </c>
      <c r="BM303" s="220">
        <v>6.2</v>
      </c>
      <c r="BN303" s="220"/>
      <c r="BO303" s="220">
        <f t="shared" si="956"/>
        <v>6.2</v>
      </c>
      <c r="BP303" s="220">
        <f>IF(AND(BL303&gt;0,BL303&lt;tiet!$D$1),BL303,IF(BL303&lt;=0,0,IF(BL303&gt;tiet!$C$1,tiet!$C$1)))</f>
        <v>0</v>
      </c>
      <c r="BQ303" s="87">
        <f t="shared" si="957"/>
        <v>75000</v>
      </c>
      <c r="BR303" s="224">
        <f t="shared" si="958"/>
        <v>0</v>
      </c>
      <c r="BS303" s="220">
        <f t="shared" si="846"/>
        <v>0</v>
      </c>
      <c r="BT303" s="224">
        <f>VLOOKUP(N303,ma_dinhmuc!$A$1:$J$31,10,0)</f>
        <v>65000</v>
      </c>
      <c r="BU303" s="224">
        <f>ROUND(IF(BS303&gt;0,VLOOKUP(N303,ma_dinhmuc!$A$1:$J$31,10,0)*BS303,0),0)</f>
        <v>0</v>
      </c>
      <c r="BV303" s="224">
        <f t="shared" si="959"/>
        <v>0</v>
      </c>
      <c r="BW303" s="224"/>
      <c r="BX303" s="224">
        <v>0</v>
      </c>
      <c r="BY303" s="224"/>
      <c r="BZ303" s="224"/>
      <c r="CA303" s="224"/>
      <c r="CB303" s="224"/>
      <c r="CC303" s="225">
        <f t="shared" si="886"/>
        <v>0</v>
      </c>
      <c r="CD303" s="224">
        <f t="shared" si="887"/>
        <v>0</v>
      </c>
      <c r="CE303" s="224"/>
      <c r="CF303" s="226"/>
      <c r="CG303" s="87"/>
      <c r="CH303" s="87">
        <f t="shared" si="960"/>
        <v>56</v>
      </c>
      <c r="CI303" s="227" t="str">
        <f t="shared" si="961"/>
        <v>Nguyễn Thị Dương</v>
      </c>
      <c r="CJ303" s="227" t="str">
        <f t="shared" si="962"/>
        <v>Nga</v>
      </c>
      <c r="CK303" s="87">
        <f t="shared" si="963"/>
        <v>5</v>
      </c>
      <c r="CL303" s="227" t="str">
        <f t="shared" si="964"/>
        <v>Phân tích định lượng</v>
      </c>
      <c r="CM303" s="87" t="str">
        <f t="shared" si="810"/>
        <v>CS4</v>
      </c>
      <c r="CN303" s="87">
        <f t="shared" si="965"/>
        <v>270</v>
      </c>
      <c r="CO303" s="87">
        <f t="shared" si="966"/>
        <v>170</v>
      </c>
      <c r="CP303" s="229">
        <f t="shared" si="852"/>
        <v>0</v>
      </c>
      <c r="CQ303" s="229">
        <f t="shared" si="853"/>
        <v>0</v>
      </c>
      <c r="CR303" s="229">
        <f t="shared" si="854"/>
        <v>0</v>
      </c>
      <c r="CS303" s="229">
        <f t="shared" si="855"/>
        <v>0</v>
      </c>
      <c r="CT303" s="229">
        <f t="shared" si="856"/>
        <v>0</v>
      </c>
      <c r="CU303" s="229">
        <f t="shared" si="857"/>
        <v>0</v>
      </c>
      <c r="CV303" s="229">
        <f t="shared" si="858"/>
        <v>0</v>
      </c>
      <c r="CW303" s="229">
        <f t="shared" si="859"/>
        <v>0</v>
      </c>
      <c r="CX303" s="229">
        <f t="shared" si="860"/>
        <v>0</v>
      </c>
      <c r="CY303" s="229">
        <f t="shared" si="861"/>
        <v>0</v>
      </c>
      <c r="CZ303" s="229">
        <f t="shared" si="862"/>
        <v>0</v>
      </c>
      <c r="DA303" s="229">
        <f t="shared" si="863"/>
        <v>0</v>
      </c>
      <c r="DB303" s="228">
        <f t="shared" si="792"/>
        <v>0</v>
      </c>
      <c r="DC303" s="229"/>
      <c r="DD303" s="229"/>
      <c r="DE303" s="229"/>
      <c r="DF303" s="229"/>
      <c r="DG303" s="229"/>
      <c r="DH303" s="229"/>
      <c r="DI303" s="229"/>
      <c r="DJ303" s="229"/>
      <c r="DK303" s="229"/>
      <c r="DL303" s="229"/>
      <c r="DM303" s="229"/>
      <c r="DN303" s="229"/>
      <c r="DO303" s="228">
        <f t="shared" si="812"/>
        <v>0</v>
      </c>
      <c r="DP303" s="228">
        <f t="shared" si="813"/>
        <v>0</v>
      </c>
      <c r="DQ303" s="229">
        <f t="shared" si="864"/>
        <v>0</v>
      </c>
      <c r="DR303" s="229">
        <f t="shared" si="865"/>
        <v>0</v>
      </c>
      <c r="DS303" s="229">
        <f t="shared" si="866"/>
        <v>0</v>
      </c>
      <c r="DT303" s="229">
        <f t="shared" si="867"/>
        <v>0</v>
      </c>
      <c r="DU303" s="229">
        <f t="shared" si="868"/>
        <v>0</v>
      </c>
      <c r="DV303" s="229">
        <f t="shared" si="869"/>
        <v>0</v>
      </c>
      <c r="DW303" s="229">
        <f t="shared" si="870"/>
        <v>0</v>
      </c>
      <c r="DX303" s="228">
        <f t="shared" si="793"/>
        <v>0</v>
      </c>
      <c r="DY303" s="229"/>
      <c r="DZ303" s="229"/>
      <c r="EA303" s="229"/>
      <c r="EB303" s="229"/>
      <c r="EC303" s="229"/>
      <c r="ED303" s="229"/>
      <c r="EE303" s="229"/>
      <c r="EF303" s="228">
        <f t="shared" si="847"/>
        <v>0</v>
      </c>
      <c r="EG303" s="228">
        <f t="shared" si="814"/>
        <v>0</v>
      </c>
      <c r="EH303" s="229">
        <f t="shared" si="848"/>
        <v>0</v>
      </c>
      <c r="EI303" s="229">
        <v>122.9</v>
      </c>
      <c r="EJ303" s="228">
        <f t="shared" si="970"/>
        <v>122.9</v>
      </c>
      <c r="EK303" s="229"/>
      <c r="EL303" s="229"/>
      <c r="EM303" s="228">
        <f t="shared" si="967"/>
        <v>0</v>
      </c>
      <c r="EN303" s="229">
        <f t="shared" si="907"/>
        <v>0</v>
      </c>
      <c r="EO303" s="229">
        <f t="shared" si="926"/>
        <v>122.9</v>
      </c>
      <c r="EP303" s="228">
        <f t="shared" si="968"/>
        <v>122.9</v>
      </c>
      <c r="EQ303" s="173">
        <f t="shared" si="849"/>
        <v>0</v>
      </c>
      <c r="ER303" s="189">
        <v>0</v>
      </c>
      <c r="ES303" s="189">
        <v>0</v>
      </c>
      <c r="ET303" s="189">
        <v>0</v>
      </c>
      <c r="EU303" s="189">
        <v>0</v>
      </c>
      <c r="EV303" s="189">
        <v>0</v>
      </c>
      <c r="EW303" s="189">
        <v>0</v>
      </c>
      <c r="EX303" s="189">
        <v>0</v>
      </c>
      <c r="EY303" s="189">
        <v>0</v>
      </c>
      <c r="EZ303" s="189">
        <v>0</v>
      </c>
      <c r="FA303" s="189">
        <v>0</v>
      </c>
      <c r="FB303" s="189">
        <v>0</v>
      </c>
      <c r="FC303" s="189">
        <v>0</v>
      </c>
      <c r="FD303" s="189">
        <v>0</v>
      </c>
      <c r="FE303" s="189">
        <v>0</v>
      </c>
      <c r="FF303" s="189">
        <v>0</v>
      </c>
      <c r="FG303" s="189">
        <v>0</v>
      </c>
      <c r="FH303" s="189">
        <v>0</v>
      </c>
      <c r="FI303" s="189">
        <v>0</v>
      </c>
      <c r="FJ303" s="189">
        <v>0</v>
      </c>
      <c r="FK303" s="189">
        <v>0</v>
      </c>
      <c r="FL303" s="189">
        <v>0</v>
      </c>
      <c r="FN303" s="132">
        <v>0</v>
      </c>
    </row>
    <row r="304" spans="1:170" ht="36" customHeight="1">
      <c r="A304" s="88">
        <f>COUNTIF($H$12:H304,H304)</f>
        <v>57</v>
      </c>
      <c r="B304" s="88" t="s">
        <v>1685</v>
      </c>
      <c r="C304" s="88" t="s">
        <v>1306</v>
      </c>
      <c r="D304" s="88"/>
      <c r="E304" s="88"/>
      <c r="F304" s="301" t="s">
        <v>2882</v>
      </c>
      <c r="G304" s="303" t="s">
        <v>1177</v>
      </c>
      <c r="H304" s="88">
        <v>5</v>
      </c>
      <c r="I304" s="88"/>
      <c r="J304" s="88">
        <v>5</v>
      </c>
      <c r="K304" s="90"/>
      <c r="L304" s="90" t="s">
        <v>1089</v>
      </c>
      <c r="M304" s="214"/>
      <c r="N304" s="88" t="s">
        <v>605</v>
      </c>
      <c r="O304" s="216">
        <f>BO304</f>
        <v>6.2</v>
      </c>
      <c r="P304" s="88" t="str">
        <f>IF(BO304&lt;3.33,"B1_3",IF(AND(BO304&gt;=3.33,BO304&lt;4.65),"B1_4",IF(AND(BO304&gt;=4.65,BO304&lt;5.42),"B1_5",IF(AND(BO304&gt;=5.42,BO304&lt;6.44),"B1_6",IF(AND(BO304&gt;=6.44,BO304&lt;=6.92),"B1_7","B1_8")))))</f>
        <v>B1_6</v>
      </c>
      <c r="Q304" s="88">
        <f>IF(M304&gt;0,VLOOKUP(P304,ma_dinhmuc_moi,2,0)/2,VLOOKUP(P304,ma_dinhmuc_moi,2,0))</f>
        <v>270</v>
      </c>
      <c r="R304" s="88">
        <f>IF(M304&gt;0,VLOOKUP(P304,ma_dinhmuc_moi,3,0)/2,VLOOKUP(P304,ma_dinhmuc_moi,3,0))</f>
        <v>170</v>
      </c>
      <c r="S304" s="230"/>
      <c r="T304" s="88" t="s">
        <v>3088</v>
      </c>
      <c r="U304" s="88">
        <f>IF(RIGHT(T304,1)="K",(VLOOKUP(T304,ma_miengiam!$A$3:$B$80,2,0)*100)/2,VLOOKUP(T304,ma_miengiam!$A$3:$B$80,2,0)*100)</f>
        <v>0</v>
      </c>
      <c r="V304" s="88">
        <v>6</v>
      </c>
      <c r="W304" s="220">
        <f>IF(AND(T304="NTS",V304&gt;0),(Q304-(Q304*V304)/12)*VLOOKUP(T304,ma_miengiam!$A$3:$B$80,2,0)+(Q304-(Q304*(12-V304))/12),IF(AND(RIGHT(T304,1)="K",V304&gt;0),(VLOOKUP(T304,ma_miengiam!$A$3:$B$80,2,0)/2)*(Q304*V304)/12,IF(RIGHT(T304,1)="K",(VLOOKUP(T304,ma_miengiam!$A$3:$B$80,2,0)*Q304)/2,IF(V304&gt;0,VLOOKUP(T304,ma_miengiam!$A$3:$B$80,2,0)*Q304*V304/12,VLOOKUP(T304,ma_miengiam!$A$3:$B$80,2,0)*Q304))))</f>
        <v>0</v>
      </c>
      <c r="X304" s="220">
        <f>IF(T304="NTS",VLOOKUP(T304,ma_miengiam!$A$3:$B$80,2,0)*R304*V304,IF(AND(T304="NTS",V304=0),0,IF(AND(LEFT(T304,1)="K",V304=0),VLOOKUP(T304,ma_miengiam!$A$3:$B$80,2,0)*R304,IF(LEFT(T304,1)="K",(VLOOKUP(T304,ma_miengiam!$A$3:$B$80,2,0)*R304/12)*V304,IF(AND(LEFT(T304,1)="S",V304&gt;0),(R304/12)*V304,IF(AND(LEFT(T304,1)="S",V304=0),R304,IF(T304="DH",VLOOKUP(T304,ma_miengiam!$A$3:$B$80,2,0)*R304,0)))))))</f>
        <v>0</v>
      </c>
      <c r="Y304" s="220">
        <f>IF(AND(T304="DH",V304&gt;0),(S304*V304/12),IF(AND(T304&lt;&gt;"NTS",V304&gt;0),(Q304*V304/12)-W304,IF(AND(T304="NTS",V304&gt;0),Q304-W304,Q304-W304)))</f>
        <v>135</v>
      </c>
      <c r="Z304" s="220">
        <f>IF(AND(T304="SĐH",V304&gt;0),(R304/12)*V304-X304,IF(AND(T304="DH",V304&gt;0),(R304*V304/12),IF(AND(T304&lt;&gt;"NTS",V304&gt;0),(R304*V304/12)-X304,IF(AND(T304="NTS",V304&gt;0),R304-X304,R304-X304))))</f>
        <v>85</v>
      </c>
      <c r="AA304" s="220"/>
      <c r="AB304" s="220"/>
      <c r="AC304" s="220"/>
      <c r="AD304" s="220"/>
      <c r="AE304" s="220"/>
      <c r="AF304" s="220"/>
      <c r="AG304" s="220"/>
      <c r="AH304" s="220"/>
      <c r="AI304" s="220"/>
      <c r="AJ304" s="220"/>
      <c r="AK304" s="216"/>
      <c r="AL304" s="220"/>
      <c r="AM304" s="220"/>
      <c r="AN304" s="221"/>
      <c r="AO304" s="220"/>
      <c r="AP304" s="220"/>
      <c r="AQ304" s="220"/>
      <c r="AR304" s="220"/>
      <c r="AS304" s="220"/>
      <c r="AT304" s="216"/>
      <c r="AU304" s="222"/>
      <c r="AV304" s="220"/>
      <c r="AW304" s="220"/>
      <c r="AX304" s="216"/>
      <c r="AY304" s="220"/>
      <c r="AZ304" s="220"/>
      <c r="BA304" s="220"/>
      <c r="BB304" s="220"/>
      <c r="BC304" s="220"/>
      <c r="BD304" s="216"/>
      <c r="BE304" s="220"/>
      <c r="BF304" s="220"/>
      <c r="BG304" s="220"/>
      <c r="BH304" s="220"/>
      <c r="BI304" s="220"/>
      <c r="BJ304" s="220" t="s">
        <v>2419</v>
      </c>
      <c r="BK304" s="220"/>
      <c r="BL304" s="223">
        <f>IF(AW304&lt;BK304,0,IF(AND(BK304=0,AW304&gt;0),AW304,IF(AW304&lt;0,0,IF(BK304&gt;0,AW304-BK304,IF(BK304&lt;0,0,AW304)))))</f>
        <v>0</v>
      </c>
      <c r="BM304" s="220">
        <v>6.2</v>
      </c>
      <c r="BN304" s="220"/>
      <c r="BO304" s="220">
        <f>ROUND(BM304+(BM304*BN304),2)</f>
        <v>6.2</v>
      </c>
      <c r="BP304" s="220">
        <f>IF(AND(BL304&gt;0,BL304&lt;tiet!$D$1),BL304,IF(BL304&lt;=0,0,IF(BL304&gt;tiet!$C$1,tiet!$C$1)))</f>
        <v>0</v>
      </c>
      <c r="BQ304" s="87">
        <f>VLOOKUP(P304,ma_dinhmuc_moi,4,0)</f>
        <v>75000</v>
      </c>
      <c r="BR304" s="224">
        <f>ROUND(BQ304*BP304,0)</f>
        <v>0</v>
      </c>
      <c r="BS304" s="220">
        <f t="shared" si="846"/>
        <v>0</v>
      </c>
      <c r="BT304" s="224">
        <f>VLOOKUP(N304,ma_dinhmuc!$A$1:$J$31,10,0)</f>
        <v>65000</v>
      </c>
      <c r="BU304" s="224">
        <f>ROUND(IF(BS304&gt;0,VLOOKUP(N304,ma_dinhmuc!$A$1:$J$31,10,0)*BS304,0),0)</f>
        <v>0</v>
      </c>
      <c r="BV304" s="224">
        <f>ROUND(BU304+BR304,0)</f>
        <v>0</v>
      </c>
      <c r="BW304" s="224"/>
      <c r="BX304" s="224">
        <v>0</v>
      </c>
      <c r="BY304" s="224"/>
      <c r="BZ304" s="224"/>
      <c r="CA304" s="224"/>
      <c r="CB304" s="224"/>
      <c r="CC304" s="225">
        <f>ROUND(IF(BV304+BW304&gt;BX304+BY304+BZ304+CA304+CB304,(BW304+BV304)-(BX304+BY304+BZ304+CA304+CB304+CB304),0),0)</f>
        <v>0</v>
      </c>
      <c r="CD304" s="224">
        <f>ROUND(IF(BV304+BW304&lt;BX304+BY304+BZ304+CA304-CB304,(BX304+BY304+BZ304+CA304-CB304)-(BW304+BV304),0),0)</f>
        <v>0</v>
      </c>
      <c r="CE304" s="224"/>
      <c r="CF304" s="226"/>
      <c r="CG304" s="87"/>
      <c r="CH304" s="87">
        <f>A304</f>
        <v>57</v>
      </c>
      <c r="CI304" s="227" t="str">
        <f t="shared" ref="CI304:CK305" si="971">F304</f>
        <v>Nguyễn Thị Dương</v>
      </c>
      <c r="CJ304" s="227" t="str">
        <f t="shared" si="971"/>
        <v>Nga</v>
      </c>
      <c r="CK304" s="87">
        <f t="shared" si="971"/>
        <v>5</v>
      </c>
      <c r="CL304" s="227" t="str">
        <f>L304</f>
        <v>Phân tích định lượng</v>
      </c>
      <c r="CM304" s="87" t="str">
        <f>N304</f>
        <v>CS4</v>
      </c>
      <c r="CN304" s="87">
        <f>Q304</f>
        <v>270</v>
      </c>
      <c r="CO304" s="87">
        <f>R304</f>
        <v>170</v>
      </c>
      <c r="CP304" s="229">
        <f t="shared" si="852"/>
        <v>0</v>
      </c>
      <c r="CQ304" s="229">
        <f t="shared" si="853"/>
        <v>0</v>
      </c>
      <c r="CR304" s="229">
        <f t="shared" si="854"/>
        <v>0</v>
      </c>
      <c r="CS304" s="229">
        <f t="shared" si="855"/>
        <v>0</v>
      </c>
      <c r="CT304" s="229">
        <f t="shared" si="856"/>
        <v>0</v>
      </c>
      <c r="CU304" s="229">
        <f t="shared" si="857"/>
        <v>0</v>
      </c>
      <c r="CV304" s="229">
        <f t="shared" si="858"/>
        <v>0</v>
      </c>
      <c r="CW304" s="229">
        <f t="shared" si="859"/>
        <v>0</v>
      </c>
      <c r="CX304" s="229">
        <f t="shared" si="860"/>
        <v>0</v>
      </c>
      <c r="CY304" s="229">
        <f t="shared" si="861"/>
        <v>0</v>
      </c>
      <c r="CZ304" s="229">
        <f t="shared" si="862"/>
        <v>0</v>
      </c>
      <c r="DA304" s="229">
        <f t="shared" si="863"/>
        <v>0</v>
      </c>
      <c r="DB304" s="228">
        <f>SUM(CP304:DA304)</f>
        <v>0</v>
      </c>
      <c r="DC304" s="229"/>
      <c r="DD304" s="229"/>
      <c r="DE304" s="229"/>
      <c r="DF304" s="229"/>
      <c r="DG304" s="229"/>
      <c r="DH304" s="229"/>
      <c r="DI304" s="229"/>
      <c r="DJ304" s="229"/>
      <c r="DK304" s="229"/>
      <c r="DL304" s="229"/>
      <c r="DM304" s="229"/>
      <c r="DN304" s="229"/>
      <c r="DO304" s="228">
        <f>SUM(DC304:DN304)</f>
        <v>0</v>
      </c>
      <c r="DP304" s="228">
        <f>DO304+DB304</f>
        <v>0</v>
      </c>
      <c r="DQ304" s="229">
        <f t="shared" si="864"/>
        <v>0</v>
      </c>
      <c r="DR304" s="229">
        <f t="shared" si="865"/>
        <v>0</v>
      </c>
      <c r="DS304" s="229">
        <f t="shared" si="866"/>
        <v>0</v>
      </c>
      <c r="DT304" s="229">
        <f t="shared" si="867"/>
        <v>0</v>
      </c>
      <c r="DU304" s="229">
        <f t="shared" si="868"/>
        <v>0</v>
      </c>
      <c r="DV304" s="229">
        <f t="shared" si="869"/>
        <v>0</v>
      </c>
      <c r="DW304" s="229">
        <f t="shared" si="870"/>
        <v>0</v>
      </c>
      <c r="DX304" s="228">
        <f>SUM(DQ304:DW304)</f>
        <v>0</v>
      </c>
      <c r="DY304" s="229"/>
      <c r="DZ304" s="229"/>
      <c r="EA304" s="229"/>
      <c r="EB304" s="229"/>
      <c r="EC304" s="229"/>
      <c r="ED304" s="229"/>
      <c r="EE304" s="229"/>
      <c r="EF304" s="228">
        <f t="shared" si="847"/>
        <v>0</v>
      </c>
      <c r="EG304" s="228">
        <f>EF304+DX304</f>
        <v>0</v>
      </c>
      <c r="EH304" s="229">
        <f t="shared" si="848"/>
        <v>0</v>
      </c>
      <c r="EI304" s="229">
        <v>122.9</v>
      </c>
      <c r="EJ304" s="228">
        <f>SUM(EH304:EI304)</f>
        <v>122.9</v>
      </c>
      <c r="EK304" s="229"/>
      <c r="EL304" s="229"/>
      <c r="EM304" s="228">
        <f>SUM(EK304:EL304)</f>
        <v>0</v>
      </c>
      <c r="EN304" s="229">
        <f>EK304+EH304+EL304</f>
        <v>0</v>
      </c>
      <c r="EO304" s="229">
        <f>EI304</f>
        <v>122.9</v>
      </c>
      <c r="EP304" s="228">
        <f>EM304+EJ304</f>
        <v>122.9</v>
      </c>
      <c r="EQ304" s="173">
        <f t="shared" si="849"/>
        <v>0</v>
      </c>
      <c r="ER304" s="189">
        <v>0</v>
      </c>
      <c r="ES304" s="189">
        <v>0</v>
      </c>
      <c r="ET304" s="189">
        <v>0</v>
      </c>
      <c r="EU304" s="189">
        <v>0</v>
      </c>
      <c r="EV304" s="189">
        <v>0</v>
      </c>
      <c r="EW304" s="189">
        <v>0</v>
      </c>
      <c r="EX304" s="189">
        <v>0</v>
      </c>
      <c r="EY304" s="189">
        <v>0</v>
      </c>
      <c r="EZ304" s="189">
        <v>0</v>
      </c>
      <c r="FA304" s="189">
        <v>0</v>
      </c>
      <c r="FB304" s="189">
        <v>0</v>
      </c>
      <c r="FC304" s="189">
        <v>0</v>
      </c>
      <c r="FD304" s="189">
        <v>0</v>
      </c>
      <c r="FE304" s="189">
        <v>0</v>
      </c>
      <c r="FF304" s="189">
        <v>0</v>
      </c>
      <c r="FG304" s="189">
        <v>0</v>
      </c>
      <c r="FH304" s="189">
        <v>0</v>
      </c>
      <c r="FI304" s="189">
        <v>0</v>
      </c>
      <c r="FJ304" s="189">
        <v>0</v>
      </c>
      <c r="FK304" s="189">
        <v>0</v>
      </c>
      <c r="FL304" s="189">
        <v>0</v>
      </c>
      <c r="FN304" s="132">
        <v>0</v>
      </c>
    </row>
    <row r="305" spans="1:170" ht="36" customHeight="1">
      <c r="A305" s="88">
        <f>COUNTIF($H$12:H305,H305)</f>
        <v>58</v>
      </c>
      <c r="B305" s="88" t="s">
        <v>1685</v>
      </c>
      <c r="C305" s="88" t="s">
        <v>1306</v>
      </c>
      <c r="D305" s="88"/>
      <c r="E305" s="88"/>
      <c r="F305" s="301" t="s">
        <v>2882</v>
      </c>
      <c r="G305" s="303" t="s">
        <v>1177</v>
      </c>
      <c r="H305" s="88">
        <v>5</v>
      </c>
      <c r="I305" s="88">
        <v>5</v>
      </c>
      <c r="J305" s="88">
        <v>5</v>
      </c>
      <c r="K305" s="90" t="s">
        <v>1089</v>
      </c>
      <c r="L305" s="90" t="s">
        <v>1089</v>
      </c>
      <c r="M305" s="214"/>
      <c r="N305" s="88" t="s">
        <v>605</v>
      </c>
      <c r="O305" s="216">
        <f>BO305</f>
        <v>6.2</v>
      </c>
      <c r="P305" s="88" t="str">
        <f>IF(BO305&lt;3.33,"B1_3",IF(AND(BO305&gt;=3.33,BO305&lt;4.65),"B1_4",IF(AND(BO305&gt;=4.65,BO305&lt;5.42),"B1_5",IF(AND(BO305&gt;=5.42,BO305&lt;6.44),"B1_6",IF(AND(BO305&gt;=6.44,BO305&lt;=6.92),"B1_7","B1_8")))))</f>
        <v>B1_6</v>
      </c>
      <c r="Q305" s="88">
        <f>IF(M305&gt;0,VLOOKUP(P305,ma_dinhmuc_moi,2,0)/2,VLOOKUP(P305,ma_dinhmuc_moi,2,0))</f>
        <v>270</v>
      </c>
      <c r="R305" s="88">
        <f>IF(M305&gt;0,VLOOKUP(P305,ma_dinhmuc_moi,3,0)/2,VLOOKUP(P305,ma_dinhmuc_moi,3,0))</f>
        <v>170</v>
      </c>
      <c r="S305" s="230"/>
      <c r="T305" s="88" t="s">
        <v>3088</v>
      </c>
      <c r="U305" s="88">
        <f>IF(RIGHT(T305,1)="K",(VLOOKUP(T305,ma_miengiam!$A$3:$B$80,2,0)*100)/2,VLOOKUP(T305,ma_miengiam!$A$3:$B$80,2,0)*100)</f>
        <v>0</v>
      </c>
      <c r="V305" s="88"/>
      <c r="W305" s="220">
        <f>W304+W303</f>
        <v>27</v>
      </c>
      <c r="X305" s="220">
        <f>X304+X303</f>
        <v>0</v>
      </c>
      <c r="Y305" s="220">
        <f>Y304+Y303</f>
        <v>243</v>
      </c>
      <c r="Z305" s="220">
        <f>Z304+Z303</f>
        <v>170</v>
      </c>
      <c r="AA305" s="220">
        <f>Q305</f>
        <v>270</v>
      </c>
      <c r="AB305" s="220">
        <f>R305</f>
        <v>170</v>
      </c>
      <c r="AC305" s="220">
        <f t="shared" ref="AC305:AF307" si="972">W305</f>
        <v>27</v>
      </c>
      <c r="AD305" s="220">
        <f t="shared" si="972"/>
        <v>0</v>
      </c>
      <c r="AE305" s="220">
        <f t="shared" si="972"/>
        <v>243</v>
      </c>
      <c r="AF305" s="220">
        <f t="shared" si="972"/>
        <v>170</v>
      </c>
      <c r="AG305" s="220">
        <f>AH305+AI305</f>
        <v>342.9</v>
      </c>
      <c r="AH305" s="220">
        <f>EO305</f>
        <v>122.9</v>
      </c>
      <c r="AI305" s="220">
        <f>EN305</f>
        <v>220</v>
      </c>
      <c r="AJ305" s="220">
        <f>IF(AG305-Z305&gt;0,0,AG305-Z305)</f>
        <v>0</v>
      </c>
      <c r="AK305" s="216">
        <f>IF(AJ305&gt;=0,Y305,Y305-AJ305)</f>
        <v>243</v>
      </c>
      <c r="AL305" s="220">
        <f>SUM(CP305:CX305)+SUM(DC305:DK305)</f>
        <v>36.700000000000003</v>
      </c>
      <c r="AM305" s="220">
        <f>SUM(DQ305:DU305)+SUM(DY305:EC305)</f>
        <v>487.2</v>
      </c>
      <c r="AN305" s="221">
        <f>AM305+AL305</f>
        <v>523.9</v>
      </c>
      <c r="AO305" s="220">
        <f>CY305+DL305</f>
        <v>0</v>
      </c>
      <c r="AP305" s="220">
        <f>CZ305+DM305</f>
        <v>0</v>
      </c>
      <c r="AQ305" s="220">
        <f>DA305+DN305</f>
        <v>20</v>
      </c>
      <c r="AR305" s="220">
        <f>DV305+ED305</f>
        <v>320</v>
      </c>
      <c r="AS305" s="220">
        <f>DW305+EE305</f>
        <v>60</v>
      </c>
      <c r="AT305" s="216">
        <f>AN305+SUM(AO305:AS305)</f>
        <v>923.9</v>
      </c>
      <c r="AU305" s="222">
        <f>AN305-AK305</f>
        <v>280.89999999999998</v>
      </c>
      <c r="AV305" s="220"/>
      <c r="AW305" s="220">
        <f>IF(AU305&gt;0,AU305,AV305+AU305)</f>
        <v>280.89999999999998</v>
      </c>
      <c r="AX305" s="216">
        <f>IF(AN305&gt;AK305,0,IF(AW305&lt;0,AN305-AK305+AV305,IF(AW305&gt;=0,0)))</f>
        <v>0</v>
      </c>
      <c r="AY305" s="220">
        <f>IF(AN305&gt;=AK305,AO305,IF(AN305+AO305-AK305&gt;=0,AN305+AO305-AK305,0))</f>
        <v>0</v>
      </c>
      <c r="AZ305" s="220">
        <f>IF(OR(AN305&gt;=AK305,AN305+AO305&gt;=AK305),AP305,IF(AN305+AO305+AP305&gt;AK305,AN305+AO305+AP305-AK305,0))</f>
        <v>0</v>
      </c>
      <c r="BA305" s="220">
        <f>IF(OR(AN305&gt;=AK305,AN305+AO305&gt;=AK305,AN305+AO305+AP305&gt;=AK305),AQ305,IF(AN305+AO305+AP305+AQ305&gt;=AK305,AN305+AO305+AP305+AQ305-AK305,0))</f>
        <v>20</v>
      </c>
      <c r="BB305" s="220">
        <f>IF(OR(AN305&gt;=AK305,AN305+AO305&gt;=AK305,AN305+AO305+AP305&gt;=AK305,AN305+AO305+AP305+AQ305&gt;=AK305),AR305,IF(AN305+AO305+AP305+AQ305+AR305&gt;=AK305,AN305+AO305+AP305+AQ305+AR305-AK305,0))</f>
        <v>320</v>
      </c>
      <c r="BC305" s="220">
        <f>IF(OR(AN305&gt;=AK305,AN305+AO305&gt;=AK305,AN305+AO305+AP305&gt;=AK305,AN305+AO305+AP305+AQ305&gt;=AK305,AN305+AO305+AP305+AQ305+AR305&gt;=AK305),AS305,IF(AN305+AO305+AP305+AQ305+AR305+AS305&gt;=AK305,AN305+AO305+AP305+AQ305+AR305+AS305-AK305,0))</f>
        <v>60</v>
      </c>
      <c r="BD305" s="216">
        <f>SUM(AY305:BC305)</f>
        <v>400</v>
      </c>
      <c r="BE305" s="220">
        <f>AY305-AO305</f>
        <v>0</v>
      </c>
      <c r="BF305" s="220">
        <f>AZ305-AP305</f>
        <v>0</v>
      </c>
      <c r="BG305" s="220">
        <f>BA305-AQ305</f>
        <v>0</v>
      </c>
      <c r="BH305" s="220">
        <f>BB305-AR305</f>
        <v>0</v>
      </c>
      <c r="BI305" s="220">
        <f>BC305-AS305</f>
        <v>0</v>
      </c>
      <c r="BJ305" s="220" t="s">
        <v>2419</v>
      </c>
      <c r="BK305" s="220"/>
      <c r="BL305" s="223">
        <f>IF(AW305&lt;BK305,0,IF(AND(BK305=0,AW305&gt;0),AW305,IF(AW305&lt;0,0,IF(BK305&gt;0,AW305-BK305,IF(BK305&lt;0,0,AW305)))))</f>
        <v>280.89999999999998</v>
      </c>
      <c r="BM305" s="220">
        <v>6.2</v>
      </c>
      <c r="BN305" s="220"/>
      <c r="BO305" s="220">
        <f>ROUND(BM305+(BM305*BN305),2)</f>
        <v>6.2</v>
      </c>
      <c r="BP305" s="220">
        <f>IF(AND(BL305&gt;0,BL305&lt;tiet!$D$1),BL305,IF(BL305&lt;=0,0,IF(BL305&gt;tiet!$C$1,tiet!$C$1)))</f>
        <v>200</v>
      </c>
      <c r="BQ305" s="87">
        <f>VLOOKUP(P305,ma_dinhmuc_moi,4,0)</f>
        <v>75000</v>
      </c>
      <c r="BR305" s="224">
        <f>ROUND(BQ305*BP305,0)</f>
        <v>15000000</v>
      </c>
      <c r="BS305" s="220">
        <f t="shared" si="846"/>
        <v>80.899999999999977</v>
      </c>
      <c r="BT305" s="224">
        <f>VLOOKUP(N305,ma_dinhmuc!$A$1:$J$31,10,0)</f>
        <v>65000</v>
      </c>
      <c r="BU305" s="224">
        <f>ROUND(IF(BS305&gt;0,VLOOKUP(N305,ma_dinhmuc!$A$1:$J$31,10,0)*BS305,0),0)</f>
        <v>5258500</v>
      </c>
      <c r="BV305" s="224">
        <f>ROUND(BU305+BR305,0)</f>
        <v>20258500</v>
      </c>
      <c r="BW305" s="224"/>
      <c r="BX305" s="224">
        <v>0</v>
      </c>
      <c r="BY305" s="224"/>
      <c r="BZ305" s="224"/>
      <c r="CA305" s="224"/>
      <c r="CB305" s="224"/>
      <c r="CC305" s="225">
        <f>ROUND(IF(BV305+BW305&gt;BX305+BY305+BZ305+CA305+CB305,(BW305+BV305)-(BX305+BY305+BZ305+CA305+CB305+CB305),0),0)</f>
        <v>20258500</v>
      </c>
      <c r="CD305" s="224">
        <f>ROUND(IF(BV305+BW305&lt;BX305+BY305+BZ305+CA305-CB305,(BX305+BY305+BZ305+CA305-CB305)-(BW305+BV305),0),0)</f>
        <v>0</v>
      </c>
      <c r="CE305" s="224"/>
      <c r="CF305" s="226"/>
      <c r="CG305" s="87"/>
      <c r="CH305" s="87">
        <f>A305</f>
        <v>58</v>
      </c>
      <c r="CI305" s="227" t="str">
        <f t="shared" si="971"/>
        <v>Nguyễn Thị Dương</v>
      </c>
      <c r="CJ305" s="227" t="str">
        <f t="shared" si="971"/>
        <v>Nga</v>
      </c>
      <c r="CK305" s="87">
        <f t="shared" si="971"/>
        <v>5</v>
      </c>
      <c r="CL305" s="227" t="str">
        <f>L305</f>
        <v>Phân tích định lượng</v>
      </c>
      <c r="CM305" s="87" t="str">
        <f>N305</f>
        <v>CS4</v>
      </c>
      <c r="CN305" s="87">
        <f>Q305</f>
        <v>270</v>
      </c>
      <c r="CO305" s="87">
        <f>R305</f>
        <v>170</v>
      </c>
      <c r="CP305" s="229">
        <f t="shared" si="852"/>
        <v>0</v>
      </c>
      <c r="CQ305" s="229">
        <f t="shared" si="853"/>
        <v>4.8</v>
      </c>
      <c r="CR305" s="229">
        <f t="shared" si="854"/>
        <v>1.9</v>
      </c>
      <c r="CS305" s="229">
        <f t="shared" si="855"/>
        <v>0</v>
      </c>
      <c r="CT305" s="229">
        <f t="shared" si="856"/>
        <v>0</v>
      </c>
      <c r="CU305" s="229">
        <f t="shared" si="857"/>
        <v>30</v>
      </c>
      <c r="CV305" s="229">
        <f t="shared" si="858"/>
        <v>0</v>
      </c>
      <c r="CW305" s="229">
        <f t="shared" si="859"/>
        <v>0</v>
      </c>
      <c r="CX305" s="229">
        <f t="shared" si="860"/>
        <v>0</v>
      </c>
      <c r="CY305" s="229">
        <f t="shared" si="861"/>
        <v>0</v>
      </c>
      <c r="CZ305" s="229">
        <f t="shared" si="862"/>
        <v>0</v>
      </c>
      <c r="DA305" s="229">
        <f t="shared" si="863"/>
        <v>20</v>
      </c>
      <c r="DB305" s="228">
        <f>SUM(CP305:DA305)</f>
        <v>56.7</v>
      </c>
      <c r="DC305" s="229"/>
      <c r="DD305" s="229"/>
      <c r="DE305" s="229"/>
      <c r="DF305" s="229"/>
      <c r="DG305" s="229"/>
      <c r="DH305" s="229"/>
      <c r="DI305" s="229"/>
      <c r="DJ305" s="229"/>
      <c r="DK305" s="229"/>
      <c r="DL305" s="229"/>
      <c r="DM305" s="229"/>
      <c r="DN305" s="229"/>
      <c r="DO305" s="228">
        <f>SUM(DC305:DN305)</f>
        <v>0</v>
      </c>
      <c r="DP305" s="228">
        <f>DO305+DB305</f>
        <v>56.7</v>
      </c>
      <c r="DQ305" s="229">
        <f t="shared" si="864"/>
        <v>432</v>
      </c>
      <c r="DR305" s="229">
        <f t="shared" si="865"/>
        <v>40.9</v>
      </c>
      <c r="DS305" s="229">
        <f t="shared" si="866"/>
        <v>0</v>
      </c>
      <c r="DT305" s="229">
        <f t="shared" si="867"/>
        <v>14.3</v>
      </c>
      <c r="DU305" s="229">
        <f t="shared" si="868"/>
        <v>0</v>
      </c>
      <c r="DV305" s="229">
        <f t="shared" si="869"/>
        <v>320</v>
      </c>
      <c r="DW305" s="229">
        <f t="shared" si="870"/>
        <v>60</v>
      </c>
      <c r="DX305" s="228">
        <f>SUM(DQ305:DW305)</f>
        <v>867.2</v>
      </c>
      <c r="DY305" s="229"/>
      <c r="DZ305" s="229"/>
      <c r="EA305" s="229"/>
      <c r="EB305" s="229"/>
      <c r="EC305" s="229"/>
      <c r="ED305" s="229"/>
      <c r="EE305" s="229"/>
      <c r="EF305" s="228">
        <f t="shared" si="847"/>
        <v>0</v>
      </c>
      <c r="EG305" s="228">
        <f>EF305+DX305</f>
        <v>867.2</v>
      </c>
      <c r="EH305" s="229">
        <f t="shared" si="848"/>
        <v>220</v>
      </c>
      <c r="EI305" s="229">
        <v>122.9</v>
      </c>
      <c r="EJ305" s="228">
        <f>SUM(EH305:EI305)</f>
        <v>342.9</v>
      </c>
      <c r="EK305" s="229"/>
      <c r="EL305" s="229"/>
      <c r="EM305" s="228">
        <f>SUM(EK305:EL305)</f>
        <v>0</v>
      </c>
      <c r="EN305" s="229">
        <f>EK305+EH305+EL305</f>
        <v>220</v>
      </c>
      <c r="EO305" s="229">
        <f>EI305</f>
        <v>122.9</v>
      </c>
      <c r="EP305" s="228">
        <f>EM305+EJ305</f>
        <v>342.9</v>
      </c>
      <c r="EQ305" s="173">
        <f t="shared" si="849"/>
        <v>50</v>
      </c>
      <c r="ER305" s="189">
        <v>0</v>
      </c>
      <c r="ES305" s="189">
        <v>4.8</v>
      </c>
      <c r="ET305" s="189">
        <v>1.9</v>
      </c>
      <c r="EU305" s="189">
        <v>0</v>
      </c>
      <c r="EV305" s="189">
        <v>0</v>
      </c>
      <c r="EW305" s="189">
        <v>30</v>
      </c>
      <c r="EX305" s="189">
        <v>0</v>
      </c>
      <c r="EY305" s="189">
        <v>0</v>
      </c>
      <c r="EZ305" s="189">
        <v>0</v>
      </c>
      <c r="FA305" s="189">
        <v>0</v>
      </c>
      <c r="FB305" s="189">
        <v>0</v>
      </c>
      <c r="FC305" s="189">
        <v>20</v>
      </c>
      <c r="FD305" s="189">
        <v>432</v>
      </c>
      <c r="FE305" s="189">
        <v>40.9</v>
      </c>
      <c r="FF305" s="189">
        <v>0</v>
      </c>
      <c r="FG305" s="189">
        <v>14.3</v>
      </c>
      <c r="FH305" s="189">
        <v>320</v>
      </c>
      <c r="FI305" s="189">
        <v>0</v>
      </c>
      <c r="FJ305" s="189">
        <v>60</v>
      </c>
      <c r="FK305" s="189">
        <v>923.9</v>
      </c>
      <c r="FL305" s="189">
        <v>672</v>
      </c>
      <c r="FN305" s="132">
        <v>220</v>
      </c>
    </row>
    <row r="306" spans="1:170" ht="30" customHeight="1">
      <c r="A306" s="88">
        <f>COUNTIF($H$12:H306,H306)</f>
        <v>59</v>
      </c>
      <c r="B306" s="88" t="s">
        <v>1686</v>
      </c>
      <c r="C306" s="88" t="s">
        <v>1307</v>
      </c>
      <c r="D306" s="88"/>
      <c r="E306" s="88"/>
      <c r="F306" s="301" t="s">
        <v>1609</v>
      </c>
      <c r="G306" s="89" t="s">
        <v>723</v>
      </c>
      <c r="H306" s="88">
        <v>5</v>
      </c>
      <c r="I306" s="88">
        <v>5</v>
      </c>
      <c r="J306" s="88">
        <v>5</v>
      </c>
      <c r="K306" s="90" t="s">
        <v>1089</v>
      </c>
      <c r="L306" s="90" t="s">
        <v>1089</v>
      </c>
      <c r="M306" s="214"/>
      <c r="N306" s="88" t="s">
        <v>606</v>
      </c>
      <c r="O306" s="216">
        <f t="shared" si="953"/>
        <v>5.08</v>
      </c>
      <c r="P306" s="88" t="str">
        <f t="shared" si="880"/>
        <v>B1_5</v>
      </c>
      <c r="Q306" s="88">
        <f t="shared" si="951"/>
        <v>270</v>
      </c>
      <c r="R306" s="88">
        <f t="shared" si="952"/>
        <v>150</v>
      </c>
      <c r="S306" s="233"/>
      <c r="T306" s="88" t="s">
        <v>3088</v>
      </c>
      <c r="U306" s="88">
        <f>IF(RIGHT(T306,1)="K",(VLOOKUP(T306,ma_miengiam!$A$3:$B$80,2,0)*100)/2,VLOOKUP(T306,ma_miengiam!$A$3:$B$80,2,0)*100)</f>
        <v>0</v>
      </c>
      <c r="V306" s="88"/>
      <c r="W306" s="220">
        <f>IF(AND(T306="NTS",V306&gt;0),(Q306-(Q306*V306)/12)*VLOOKUP(T306,ma_miengiam!$A$3:$B$80,2,0)+(Q306-(Q306*(12-V306))/12),IF(AND(RIGHT(T306,1)="K",V306&gt;0),(VLOOKUP(T306,ma_miengiam!$A$3:$B$80,2,0)/2)*(Q306*V306)/12,IF(RIGHT(T306,1)="K",(VLOOKUP(T306,ma_miengiam!$A$3:$B$80,2,0)*Q306)/2,IF(V306&gt;0,VLOOKUP(T306,ma_miengiam!$A$3:$B$80,2,0)*Q306*V306/12,VLOOKUP(T306,ma_miengiam!$A$3:$B$80,2,0)*Q306))))</f>
        <v>0</v>
      </c>
      <c r="X306" s="220">
        <f>IF(T306="NTS",VLOOKUP(T306,ma_miengiam!$A$3:$B$80,2,0)*R306*V306,IF(AND(T306="NTS",V306=0),0,IF(AND(LEFT(T306,1)="K",V306=0),VLOOKUP(T306,ma_miengiam!$A$3:$B$80,2,0)*R306,IF(LEFT(T306,1)="K",(VLOOKUP(T306,ma_miengiam!$A$3:$B$80,2,0)*R306/12)*V306,IF(AND(LEFT(T306,1)="S",V306&gt;0),(R306/12)*V306,IF(AND(LEFT(T306,1)="S",V306=0),R306,IF(T306="DH",VLOOKUP(T306,ma_miengiam!$A$3:$B$80,2,0)*R306,0)))))))</f>
        <v>0</v>
      </c>
      <c r="Y306" s="220">
        <f t="shared" si="932"/>
        <v>270</v>
      </c>
      <c r="Z306" s="220">
        <f t="shared" si="908"/>
        <v>150</v>
      </c>
      <c r="AA306" s="220">
        <f t="shared" ref="AA306:AB309" si="973">Q306</f>
        <v>270</v>
      </c>
      <c r="AB306" s="220">
        <f t="shared" si="973"/>
        <v>150</v>
      </c>
      <c r="AC306" s="220">
        <f t="shared" si="972"/>
        <v>0</v>
      </c>
      <c r="AD306" s="220">
        <f t="shared" si="972"/>
        <v>0</v>
      </c>
      <c r="AE306" s="220">
        <f t="shared" si="972"/>
        <v>270</v>
      </c>
      <c r="AF306" s="220">
        <f t="shared" si="972"/>
        <v>150</v>
      </c>
      <c r="AG306" s="220">
        <f t="shared" ref="AG306:AG314" si="974">AH306+AI306</f>
        <v>141.78</v>
      </c>
      <c r="AH306" s="220">
        <f t="shared" ref="AH306:AH314" si="975">EO306</f>
        <v>108.44</v>
      </c>
      <c r="AI306" s="220">
        <f t="shared" ref="AI306:AI314" si="976">EN306</f>
        <v>33.340000000000003</v>
      </c>
      <c r="AJ306" s="220">
        <f t="shared" si="918"/>
        <v>-8.2199999999999989</v>
      </c>
      <c r="AK306" s="216">
        <f t="shared" si="794"/>
        <v>278.22000000000003</v>
      </c>
      <c r="AL306" s="220">
        <f t="shared" si="795"/>
        <v>388.40000000000003</v>
      </c>
      <c r="AM306" s="220">
        <f t="shared" si="796"/>
        <v>0</v>
      </c>
      <c r="AN306" s="221">
        <f t="shared" si="797"/>
        <v>388.40000000000003</v>
      </c>
      <c r="AO306" s="220">
        <f t="shared" si="798"/>
        <v>0</v>
      </c>
      <c r="AP306" s="220">
        <f t="shared" si="799"/>
        <v>0</v>
      </c>
      <c r="AQ306" s="220">
        <f t="shared" si="800"/>
        <v>100</v>
      </c>
      <c r="AR306" s="220">
        <f t="shared" si="801"/>
        <v>0</v>
      </c>
      <c r="AS306" s="220">
        <f t="shared" si="802"/>
        <v>0</v>
      </c>
      <c r="AT306" s="216">
        <f t="shared" si="803"/>
        <v>488.40000000000003</v>
      </c>
      <c r="AU306" s="222">
        <f t="shared" si="919"/>
        <v>110.18</v>
      </c>
      <c r="AV306" s="220"/>
      <c r="AW306" s="220">
        <f t="shared" si="804"/>
        <v>110.18</v>
      </c>
      <c r="AX306" s="216">
        <f t="shared" si="820"/>
        <v>0</v>
      </c>
      <c r="AY306" s="220">
        <f t="shared" si="815"/>
        <v>0</v>
      </c>
      <c r="AZ306" s="220">
        <f t="shared" si="816"/>
        <v>0</v>
      </c>
      <c r="BA306" s="220">
        <f t="shared" si="817"/>
        <v>100</v>
      </c>
      <c r="BB306" s="220">
        <f t="shared" si="818"/>
        <v>0</v>
      </c>
      <c r="BC306" s="220">
        <f t="shared" si="819"/>
        <v>0</v>
      </c>
      <c r="BD306" s="216">
        <f t="shared" si="759"/>
        <v>100</v>
      </c>
      <c r="BE306" s="220">
        <f t="shared" si="805"/>
        <v>0</v>
      </c>
      <c r="BF306" s="220">
        <f t="shared" si="806"/>
        <v>0</v>
      </c>
      <c r="BG306" s="220">
        <f t="shared" si="807"/>
        <v>0</v>
      </c>
      <c r="BH306" s="220">
        <f t="shared" si="808"/>
        <v>0</v>
      </c>
      <c r="BI306" s="220">
        <f t="shared" si="809"/>
        <v>0</v>
      </c>
      <c r="BJ306" s="220" t="s">
        <v>2419</v>
      </c>
      <c r="BK306" s="220"/>
      <c r="BL306" s="223">
        <f t="shared" si="773"/>
        <v>110.18</v>
      </c>
      <c r="BM306" s="220">
        <v>5.08</v>
      </c>
      <c r="BN306" s="220"/>
      <c r="BO306" s="220">
        <f t="shared" si="956"/>
        <v>5.08</v>
      </c>
      <c r="BP306" s="220">
        <f>IF(AND(BL306&gt;0,BL306&lt;tiet!$D$1),BL306,IF(BL306&lt;=0,0,IF(BL306&gt;tiet!$C$1,tiet!$C$1)))</f>
        <v>110.18</v>
      </c>
      <c r="BQ306" s="87">
        <f t="shared" si="957"/>
        <v>70000</v>
      </c>
      <c r="BR306" s="224">
        <f t="shared" si="958"/>
        <v>7712600</v>
      </c>
      <c r="BS306" s="220">
        <f t="shared" si="846"/>
        <v>0</v>
      </c>
      <c r="BT306" s="224">
        <f>VLOOKUP(N306,ma_dinhmuc!$A$1:$J$31,10,0)</f>
        <v>55000</v>
      </c>
      <c r="BU306" s="224">
        <f>ROUND(IF(BS306&gt;0,VLOOKUP(N306,ma_dinhmuc!$A$1:$J$31,10,0)*BS306,0),0)</f>
        <v>0</v>
      </c>
      <c r="BV306" s="224">
        <f t="shared" si="959"/>
        <v>7712600</v>
      </c>
      <c r="BW306" s="224"/>
      <c r="BX306" s="224">
        <v>0</v>
      </c>
      <c r="BY306" s="224"/>
      <c r="BZ306" s="224"/>
      <c r="CA306" s="224"/>
      <c r="CB306" s="224"/>
      <c r="CC306" s="225">
        <f t="shared" si="886"/>
        <v>7712600</v>
      </c>
      <c r="CD306" s="224">
        <f t="shared" si="887"/>
        <v>0</v>
      </c>
      <c r="CE306" s="224"/>
      <c r="CF306" s="226"/>
      <c r="CG306" s="87"/>
      <c r="CH306" s="87">
        <f t="shared" si="960"/>
        <v>59</v>
      </c>
      <c r="CI306" s="227" t="str">
        <f t="shared" si="961"/>
        <v>Lê Khắc</v>
      </c>
      <c r="CJ306" s="227" t="str">
        <f t="shared" si="962"/>
        <v>Bộ</v>
      </c>
      <c r="CK306" s="87">
        <f t="shared" si="963"/>
        <v>5</v>
      </c>
      <c r="CL306" s="227" t="str">
        <f t="shared" si="964"/>
        <v>Phân tích định lượng</v>
      </c>
      <c r="CM306" s="87" t="str">
        <f t="shared" si="810"/>
        <v>CS3</v>
      </c>
      <c r="CN306" s="87">
        <f t="shared" si="965"/>
        <v>270</v>
      </c>
      <c r="CO306" s="87">
        <f t="shared" si="966"/>
        <v>150</v>
      </c>
      <c r="CP306" s="229">
        <f t="shared" si="852"/>
        <v>0</v>
      </c>
      <c r="CQ306" s="229">
        <f t="shared" si="853"/>
        <v>41.4</v>
      </c>
      <c r="CR306" s="229">
        <f t="shared" si="854"/>
        <v>16.8</v>
      </c>
      <c r="CS306" s="229">
        <f t="shared" si="855"/>
        <v>72.599999999999994</v>
      </c>
      <c r="CT306" s="229">
        <f t="shared" si="856"/>
        <v>0</v>
      </c>
      <c r="CU306" s="229">
        <f t="shared" si="857"/>
        <v>257.60000000000002</v>
      </c>
      <c r="CV306" s="229">
        <f t="shared" si="858"/>
        <v>0</v>
      </c>
      <c r="CW306" s="229">
        <f t="shared" si="859"/>
        <v>0</v>
      </c>
      <c r="CX306" s="229">
        <f t="shared" si="860"/>
        <v>0</v>
      </c>
      <c r="CY306" s="229">
        <f t="shared" si="861"/>
        <v>0</v>
      </c>
      <c r="CZ306" s="229">
        <f t="shared" si="862"/>
        <v>0</v>
      </c>
      <c r="DA306" s="229">
        <f t="shared" si="863"/>
        <v>100</v>
      </c>
      <c r="DB306" s="228">
        <f t="shared" si="792"/>
        <v>488.40000000000003</v>
      </c>
      <c r="DC306" s="229"/>
      <c r="DD306" s="229"/>
      <c r="DE306" s="229"/>
      <c r="DF306" s="229"/>
      <c r="DG306" s="229"/>
      <c r="DH306" s="229"/>
      <c r="DI306" s="229"/>
      <c r="DJ306" s="229"/>
      <c r="DK306" s="229"/>
      <c r="DL306" s="229"/>
      <c r="DM306" s="229"/>
      <c r="DN306" s="229"/>
      <c r="DO306" s="228">
        <f t="shared" si="812"/>
        <v>0</v>
      </c>
      <c r="DP306" s="228">
        <f t="shared" si="813"/>
        <v>488.40000000000003</v>
      </c>
      <c r="DQ306" s="229">
        <f t="shared" si="864"/>
        <v>0</v>
      </c>
      <c r="DR306" s="229">
        <f t="shared" si="865"/>
        <v>0</v>
      </c>
      <c r="DS306" s="229">
        <f t="shared" si="866"/>
        <v>0</v>
      </c>
      <c r="DT306" s="229">
        <f t="shared" si="867"/>
        <v>0</v>
      </c>
      <c r="DU306" s="229">
        <f t="shared" si="868"/>
        <v>0</v>
      </c>
      <c r="DV306" s="229">
        <f t="shared" si="869"/>
        <v>0</v>
      </c>
      <c r="DW306" s="229">
        <f t="shared" si="870"/>
        <v>0</v>
      </c>
      <c r="DX306" s="228">
        <f t="shared" si="793"/>
        <v>0</v>
      </c>
      <c r="DY306" s="229"/>
      <c r="DZ306" s="229"/>
      <c r="EA306" s="229"/>
      <c r="EB306" s="229"/>
      <c r="EC306" s="229"/>
      <c r="ED306" s="229"/>
      <c r="EE306" s="229"/>
      <c r="EF306" s="228">
        <f t="shared" si="847"/>
        <v>0</v>
      </c>
      <c r="EG306" s="228">
        <f t="shared" si="814"/>
        <v>0</v>
      </c>
      <c r="EH306" s="229">
        <f t="shared" si="848"/>
        <v>33.340000000000003</v>
      </c>
      <c r="EI306" s="229">
        <v>108.44</v>
      </c>
      <c r="EJ306" s="228">
        <f t="shared" si="970"/>
        <v>141.78</v>
      </c>
      <c r="EK306" s="229"/>
      <c r="EL306" s="229"/>
      <c r="EM306" s="228">
        <f t="shared" si="967"/>
        <v>0</v>
      </c>
      <c r="EN306" s="229">
        <f t="shared" si="907"/>
        <v>33.340000000000003</v>
      </c>
      <c r="EO306" s="229">
        <f t="shared" si="926"/>
        <v>108.44</v>
      </c>
      <c r="EP306" s="228">
        <f t="shared" si="968"/>
        <v>141.78</v>
      </c>
      <c r="EQ306" s="173">
        <f t="shared" si="849"/>
        <v>0</v>
      </c>
      <c r="ER306" s="189">
        <v>0</v>
      </c>
      <c r="ES306" s="189">
        <v>41.4</v>
      </c>
      <c r="ET306" s="189">
        <v>16.8</v>
      </c>
      <c r="EU306" s="189">
        <v>72.599999999999994</v>
      </c>
      <c r="EV306" s="189">
        <v>0</v>
      </c>
      <c r="EW306" s="189">
        <v>257.60000000000002</v>
      </c>
      <c r="EX306" s="189">
        <v>0</v>
      </c>
      <c r="EY306" s="189">
        <v>0</v>
      </c>
      <c r="EZ306" s="189">
        <v>0</v>
      </c>
      <c r="FA306" s="189">
        <v>0</v>
      </c>
      <c r="FB306" s="189">
        <v>0</v>
      </c>
      <c r="FC306" s="189">
        <v>100</v>
      </c>
      <c r="FD306" s="189">
        <v>0</v>
      </c>
      <c r="FE306" s="189">
        <v>0</v>
      </c>
      <c r="FF306" s="189">
        <v>0</v>
      </c>
      <c r="FG306" s="189">
        <v>0</v>
      </c>
      <c r="FH306" s="189">
        <v>0</v>
      </c>
      <c r="FI306" s="189">
        <v>0</v>
      </c>
      <c r="FJ306" s="189">
        <v>0</v>
      </c>
      <c r="FK306" s="189">
        <v>488.4</v>
      </c>
      <c r="FL306" s="189">
        <v>394.6</v>
      </c>
      <c r="FN306" s="132">
        <v>33.340000000000003</v>
      </c>
    </row>
    <row r="307" spans="1:170" ht="30" customHeight="1">
      <c r="A307" s="88">
        <f>COUNTIF($H$12:H307,H307)</f>
        <v>60</v>
      </c>
      <c r="B307" s="88" t="s">
        <v>1687</v>
      </c>
      <c r="C307" s="88" t="s">
        <v>1308</v>
      </c>
      <c r="D307" s="88"/>
      <c r="E307" s="88"/>
      <c r="F307" s="301" t="s">
        <v>2810</v>
      </c>
      <c r="G307" s="89" t="s">
        <v>911</v>
      </c>
      <c r="H307" s="88">
        <v>5</v>
      </c>
      <c r="I307" s="88">
        <v>5</v>
      </c>
      <c r="J307" s="88">
        <v>5</v>
      </c>
      <c r="K307" s="90" t="s">
        <v>1089</v>
      </c>
      <c r="L307" s="90" t="s">
        <v>1089</v>
      </c>
      <c r="M307" s="214"/>
      <c r="N307" s="88" t="s">
        <v>606</v>
      </c>
      <c r="O307" s="216">
        <f t="shared" si="953"/>
        <v>5.08</v>
      </c>
      <c r="P307" s="88" t="str">
        <f t="shared" si="880"/>
        <v>B1_5</v>
      </c>
      <c r="Q307" s="88">
        <f t="shared" si="951"/>
        <v>270</v>
      </c>
      <c r="R307" s="88">
        <f t="shared" si="952"/>
        <v>150</v>
      </c>
      <c r="S307" s="218" t="s">
        <v>2530</v>
      </c>
      <c r="T307" s="235" t="s">
        <v>3090</v>
      </c>
      <c r="U307" s="88">
        <f>IF(RIGHT(T307,1)="K",(VLOOKUP(T307,ma_miengiam!$A$3:$B$80,2,0)*100)/2,VLOOKUP(T307,ma_miengiam!$A$3:$B$80,2,0)*100)</f>
        <v>15</v>
      </c>
      <c r="V307" s="88"/>
      <c r="W307" s="220">
        <f>IF(AND(T307="NTS",V307&gt;0),(Q307-(Q307*V307)/12)*VLOOKUP(T307,ma_miengiam!$A$3:$B$80,2,0)+(Q307-(Q307*(12-V307))/12),IF(AND(RIGHT(T307,1)="K",V307&gt;0),(VLOOKUP(T307,ma_miengiam!$A$3:$B$80,2,0)/2)*(Q307*V307)/12,IF(RIGHT(T307,1)="K",(VLOOKUP(T307,ma_miengiam!$A$3:$B$80,2,0)*Q307)/2,IF(V307&gt;0,VLOOKUP(T307,ma_miengiam!$A$3:$B$80,2,0)*Q307*V307/12,VLOOKUP(T307,ma_miengiam!$A$3:$B$80,2,0)*Q307))))</f>
        <v>40.5</v>
      </c>
      <c r="X307" s="220">
        <f>IF(T307="NTS",VLOOKUP(T307,ma_miengiam!$A$3:$B$80,2,0)*R307*V307,IF(AND(T307="NTS",V307=0),0,IF(AND(LEFT(T307,1)="K",V307=0),VLOOKUP(T307,ma_miengiam!$A$3:$B$80,2,0)*R307,IF(LEFT(T307,1)="K",(VLOOKUP(T307,ma_miengiam!$A$3:$B$80,2,0)*R307/12)*V307,IF(AND(LEFT(T307,1)="S",V307&gt;0),(R307/12)*V307,IF(AND(LEFT(T307,1)="S",V307=0),R307,IF(T307="DH",VLOOKUP(T307,ma_miengiam!$A$3:$B$80,2,0)*R307,0)))))))</f>
        <v>0</v>
      </c>
      <c r="Y307" s="220">
        <f t="shared" si="932"/>
        <v>229.5</v>
      </c>
      <c r="Z307" s="220">
        <f t="shared" si="908"/>
        <v>150</v>
      </c>
      <c r="AA307" s="220">
        <f t="shared" si="973"/>
        <v>270</v>
      </c>
      <c r="AB307" s="220">
        <f t="shared" si="973"/>
        <v>150</v>
      </c>
      <c r="AC307" s="220">
        <f t="shared" si="972"/>
        <v>40.5</v>
      </c>
      <c r="AD307" s="220">
        <f t="shared" si="972"/>
        <v>0</v>
      </c>
      <c r="AE307" s="220">
        <f t="shared" si="972"/>
        <v>229.5</v>
      </c>
      <c r="AF307" s="220">
        <f t="shared" si="972"/>
        <v>150</v>
      </c>
      <c r="AG307" s="220">
        <f t="shared" si="974"/>
        <v>326.14999999999998</v>
      </c>
      <c r="AH307" s="220">
        <f t="shared" si="975"/>
        <v>108.44</v>
      </c>
      <c r="AI307" s="220">
        <f t="shared" si="976"/>
        <v>217.71</v>
      </c>
      <c r="AJ307" s="220">
        <f t="shared" si="918"/>
        <v>0</v>
      </c>
      <c r="AK307" s="216">
        <f t="shared" si="794"/>
        <v>229.5</v>
      </c>
      <c r="AL307" s="220">
        <f t="shared" si="795"/>
        <v>107.4</v>
      </c>
      <c r="AM307" s="220">
        <f t="shared" si="796"/>
        <v>369.5</v>
      </c>
      <c r="AN307" s="221">
        <f t="shared" si="797"/>
        <v>476.9</v>
      </c>
      <c r="AO307" s="220">
        <f t="shared" si="798"/>
        <v>0</v>
      </c>
      <c r="AP307" s="220">
        <f t="shared" si="799"/>
        <v>0</v>
      </c>
      <c r="AQ307" s="220">
        <f t="shared" si="800"/>
        <v>20</v>
      </c>
      <c r="AR307" s="220">
        <f t="shared" si="801"/>
        <v>240</v>
      </c>
      <c r="AS307" s="220">
        <f t="shared" si="802"/>
        <v>20</v>
      </c>
      <c r="AT307" s="216">
        <f t="shared" si="803"/>
        <v>756.9</v>
      </c>
      <c r="AU307" s="222">
        <f t="shared" si="919"/>
        <v>247.39999999999998</v>
      </c>
      <c r="AV307" s="220"/>
      <c r="AW307" s="220">
        <f t="shared" si="804"/>
        <v>247.39999999999998</v>
      </c>
      <c r="AX307" s="216">
        <f t="shared" si="820"/>
        <v>0</v>
      </c>
      <c r="AY307" s="220">
        <f t="shared" si="815"/>
        <v>0</v>
      </c>
      <c r="AZ307" s="220">
        <f t="shared" si="816"/>
        <v>0</v>
      </c>
      <c r="BA307" s="220">
        <f t="shared" si="817"/>
        <v>20</v>
      </c>
      <c r="BB307" s="220">
        <f t="shared" si="818"/>
        <v>240</v>
      </c>
      <c r="BC307" s="220">
        <f t="shared" si="819"/>
        <v>20</v>
      </c>
      <c r="BD307" s="216">
        <f t="shared" si="759"/>
        <v>280</v>
      </c>
      <c r="BE307" s="220">
        <f t="shared" si="805"/>
        <v>0</v>
      </c>
      <c r="BF307" s="220">
        <f t="shared" si="806"/>
        <v>0</v>
      </c>
      <c r="BG307" s="220">
        <f t="shared" si="807"/>
        <v>0</v>
      </c>
      <c r="BH307" s="220">
        <f t="shared" si="808"/>
        <v>0</v>
      </c>
      <c r="BI307" s="220">
        <f t="shared" si="809"/>
        <v>0</v>
      </c>
      <c r="BJ307" s="220" t="s">
        <v>2419</v>
      </c>
      <c r="BK307" s="220"/>
      <c r="BL307" s="223">
        <f t="shared" si="773"/>
        <v>247.39999999999998</v>
      </c>
      <c r="BM307" s="220">
        <v>5.08</v>
      </c>
      <c r="BN307" s="220"/>
      <c r="BO307" s="220">
        <f t="shared" si="956"/>
        <v>5.08</v>
      </c>
      <c r="BP307" s="220">
        <f>IF(AND(BL307&gt;0,BL307&lt;tiet!$D$1),BL307,IF(BL307&lt;=0,0,IF(BL307&gt;tiet!$C$1,tiet!$C$1)))</f>
        <v>200</v>
      </c>
      <c r="BQ307" s="87">
        <f t="shared" si="957"/>
        <v>70000</v>
      </c>
      <c r="BR307" s="224">
        <f t="shared" si="958"/>
        <v>14000000</v>
      </c>
      <c r="BS307" s="220">
        <f t="shared" si="846"/>
        <v>47.399999999999977</v>
      </c>
      <c r="BT307" s="224">
        <f>VLOOKUP(N307,ma_dinhmuc!$A$1:$J$31,10,0)</f>
        <v>55000</v>
      </c>
      <c r="BU307" s="224">
        <f>ROUND(IF(BS307&gt;0,VLOOKUP(N307,ma_dinhmuc!$A$1:$J$31,10,0)*BS307,0),0)</f>
        <v>2607000</v>
      </c>
      <c r="BV307" s="224">
        <f t="shared" si="959"/>
        <v>16607000</v>
      </c>
      <c r="BW307" s="224"/>
      <c r="BX307" s="224">
        <v>0</v>
      </c>
      <c r="BY307" s="224"/>
      <c r="BZ307" s="224"/>
      <c r="CA307" s="224"/>
      <c r="CB307" s="224"/>
      <c r="CC307" s="225">
        <f t="shared" si="886"/>
        <v>16607000</v>
      </c>
      <c r="CD307" s="224">
        <f t="shared" si="887"/>
        <v>0</v>
      </c>
      <c r="CE307" s="224"/>
      <c r="CF307" s="226"/>
      <c r="CG307" s="87"/>
      <c r="CH307" s="87">
        <f t="shared" si="960"/>
        <v>60</v>
      </c>
      <c r="CI307" s="227" t="str">
        <f t="shared" si="961"/>
        <v>Lê Ngọc</v>
      </c>
      <c r="CJ307" s="227" t="str">
        <f t="shared" si="962"/>
        <v>Hướng</v>
      </c>
      <c r="CK307" s="87">
        <f t="shared" si="963"/>
        <v>5</v>
      </c>
      <c r="CL307" s="227" t="str">
        <f t="shared" si="964"/>
        <v>Phân tích định lượng</v>
      </c>
      <c r="CM307" s="87" t="str">
        <f t="shared" si="810"/>
        <v>CS3</v>
      </c>
      <c r="CN307" s="87">
        <f t="shared" si="965"/>
        <v>270</v>
      </c>
      <c r="CO307" s="87">
        <f t="shared" si="966"/>
        <v>150</v>
      </c>
      <c r="CP307" s="229">
        <f t="shared" si="852"/>
        <v>0</v>
      </c>
      <c r="CQ307" s="229">
        <f t="shared" si="853"/>
        <v>12.4</v>
      </c>
      <c r="CR307" s="229">
        <f t="shared" si="854"/>
        <v>5</v>
      </c>
      <c r="CS307" s="229">
        <f t="shared" si="855"/>
        <v>0</v>
      </c>
      <c r="CT307" s="229">
        <f t="shared" si="856"/>
        <v>0</v>
      </c>
      <c r="CU307" s="229">
        <f t="shared" si="857"/>
        <v>90</v>
      </c>
      <c r="CV307" s="229">
        <f t="shared" si="858"/>
        <v>0</v>
      </c>
      <c r="CW307" s="229">
        <f t="shared" si="859"/>
        <v>0</v>
      </c>
      <c r="CX307" s="229">
        <f t="shared" si="860"/>
        <v>0</v>
      </c>
      <c r="CY307" s="229">
        <f t="shared" si="861"/>
        <v>0</v>
      </c>
      <c r="CZ307" s="229">
        <f t="shared" si="862"/>
        <v>0</v>
      </c>
      <c r="DA307" s="229">
        <f t="shared" si="863"/>
        <v>20</v>
      </c>
      <c r="DB307" s="228">
        <f t="shared" si="792"/>
        <v>127.4</v>
      </c>
      <c r="DC307" s="229"/>
      <c r="DD307" s="229"/>
      <c r="DE307" s="229"/>
      <c r="DF307" s="229"/>
      <c r="DG307" s="229"/>
      <c r="DH307" s="229"/>
      <c r="DI307" s="229"/>
      <c r="DJ307" s="229"/>
      <c r="DK307" s="229"/>
      <c r="DL307" s="229"/>
      <c r="DM307" s="229"/>
      <c r="DN307" s="229"/>
      <c r="DO307" s="228">
        <f t="shared" si="812"/>
        <v>0</v>
      </c>
      <c r="DP307" s="228">
        <f t="shared" si="813"/>
        <v>127.4</v>
      </c>
      <c r="DQ307" s="229">
        <f t="shared" si="864"/>
        <v>336</v>
      </c>
      <c r="DR307" s="229">
        <f t="shared" si="865"/>
        <v>23.9</v>
      </c>
      <c r="DS307" s="229">
        <f t="shared" si="866"/>
        <v>0</v>
      </c>
      <c r="DT307" s="229">
        <f t="shared" si="867"/>
        <v>9.6</v>
      </c>
      <c r="DU307" s="229">
        <f t="shared" si="868"/>
        <v>0</v>
      </c>
      <c r="DV307" s="229">
        <f t="shared" si="869"/>
        <v>240</v>
      </c>
      <c r="DW307" s="229">
        <f t="shared" si="870"/>
        <v>20</v>
      </c>
      <c r="DX307" s="228">
        <f t="shared" si="793"/>
        <v>629.5</v>
      </c>
      <c r="DY307" s="229"/>
      <c r="DZ307" s="229"/>
      <c r="EA307" s="229"/>
      <c r="EB307" s="229"/>
      <c r="EC307" s="229"/>
      <c r="ED307" s="229"/>
      <c r="EE307" s="229"/>
      <c r="EF307" s="228">
        <f t="shared" si="847"/>
        <v>0</v>
      </c>
      <c r="EG307" s="228">
        <f t="shared" si="814"/>
        <v>629.5</v>
      </c>
      <c r="EH307" s="229">
        <f t="shared" si="848"/>
        <v>217.71</v>
      </c>
      <c r="EI307" s="229">
        <v>108.44</v>
      </c>
      <c r="EJ307" s="228">
        <f t="shared" si="970"/>
        <v>326.14999999999998</v>
      </c>
      <c r="EK307" s="229"/>
      <c r="EL307" s="229"/>
      <c r="EM307" s="228">
        <f t="shared" si="967"/>
        <v>0</v>
      </c>
      <c r="EN307" s="229">
        <f t="shared" si="907"/>
        <v>217.71</v>
      </c>
      <c r="EO307" s="229">
        <f t="shared" si="926"/>
        <v>108.44</v>
      </c>
      <c r="EP307" s="228">
        <f t="shared" si="968"/>
        <v>326.14999999999998</v>
      </c>
      <c r="EQ307" s="173">
        <f t="shared" si="849"/>
        <v>67.710000000000008</v>
      </c>
      <c r="ER307" s="189">
        <v>0</v>
      </c>
      <c r="ES307" s="189">
        <v>12.4</v>
      </c>
      <c r="ET307" s="189">
        <v>5</v>
      </c>
      <c r="EU307" s="189">
        <v>0</v>
      </c>
      <c r="EV307" s="189">
        <v>0</v>
      </c>
      <c r="EW307" s="189">
        <v>90</v>
      </c>
      <c r="EX307" s="189">
        <v>0</v>
      </c>
      <c r="EY307" s="189">
        <v>0</v>
      </c>
      <c r="EZ307" s="189">
        <v>0</v>
      </c>
      <c r="FA307" s="189">
        <v>0</v>
      </c>
      <c r="FB307" s="189">
        <v>0</v>
      </c>
      <c r="FC307" s="189">
        <v>20</v>
      </c>
      <c r="FD307" s="189">
        <v>336</v>
      </c>
      <c r="FE307" s="189">
        <v>23.9</v>
      </c>
      <c r="FF307" s="189">
        <v>0</v>
      </c>
      <c r="FG307" s="189">
        <v>9.6</v>
      </c>
      <c r="FH307" s="189">
        <v>240</v>
      </c>
      <c r="FI307" s="189">
        <v>0</v>
      </c>
      <c r="FJ307" s="189">
        <v>20</v>
      </c>
      <c r="FK307" s="189">
        <v>756.9</v>
      </c>
      <c r="FL307" s="189">
        <v>568</v>
      </c>
      <c r="FN307" s="132">
        <v>217.71</v>
      </c>
    </row>
    <row r="308" spans="1:170" ht="30" customHeight="1">
      <c r="A308" s="88">
        <f>COUNTIF($H$12:H308,H308)</f>
        <v>61</v>
      </c>
      <c r="B308" s="88" t="s">
        <v>1688</v>
      </c>
      <c r="C308" s="88" t="s">
        <v>1309</v>
      </c>
      <c r="D308" s="88"/>
      <c r="E308" s="88"/>
      <c r="F308" s="302" t="s">
        <v>2088</v>
      </c>
      <c r="G308" s="89" t="s">
        <v>963</v>
      </c>
      <c r="H308" s="88">
        <v>5</v>
      </c>
      <c r="I308" s="88">
        <v>5</v>
      </c>
      <c r="J308" s="88">
        <v>5</v>
      </c>
      <c r="K308" s="90" t="s">
        <v>1089</v>
      </c>
      <c r="L308" s="90" t="s">
        <v>1089</v>
      </c>
      <c r="M308" s="214"/>
      <c r="N308" s="88" t="s">
        <v>1804</v>
      </c>
      <c r="O308" s="216">
        <f t="shared" ref="O308:O314" si="977">BO308</f>
        <v>3.33</v>
      </c>
      <c r="P308" s="88" t="str">
        <f t="shared" si="880"/>
        <v>B1_4</v>
      </c>
      <c r="Q308" s="88">
        <f t="shared" si="951"/>
        <v>270</v>
      </c>
      <c r="R308" s="88">
        <f t="shared" si="952"/>
        <v>120</v>
      </c>
      <c r="S308" s="218" t="s">
        <v>2349</v>
      </c>
      <c r="T308" s="88" t="s">
        <v>1326</v>
      </c>
      <c r="U308" s="88">
        <f>IF(RIGHT(T308,1)="K",(VLOOKUP(T308,ma_miengiam!$A$3:$B$80,2,0)*100)/2,VLOOKUP(T308,ma_miengiam!$A$3:$B$80,2,0)*100)</f>
        <v>65</v>
      </c>
      <c r="V308" s="88"/>
      <c r="W308" s="220">
        <f>IF(AND(T308="NTS",V308&gt;0),(Q308-(Q308*V308)/12)*VLOOKUP(T308,ma_miengiam!$A$3:$B$80,2,0)+(Q308-(Q308*(12-V308))/12),IF(AND(RIGHT(T308,1)="K",V308&gt;0),(VLOOKUP(T308,ma_miengiam!$A$3:$B$80,2,0)/2)*(Q308*V308)/12,IF(RIGHT(T308,1)="K",(VLOOKUP(T308,ma_miengiam!$A$3:$B$80,2,0)*Q308)/2,IF(V308&gt;0,VLOOKUP(T308,ma_miengiam!$A$3:$B$80,2,0)*Q308*V308/12,VLOOKUP(T308,ma_miengiam!$A$3:$B$80,2,0)*Q308))))</f>
        <v>175.5</v>
      </c>
      <c r="X308" s="220">
        <f>IF(T308="NTS",VLOOKUP(T308,ma_miengiam!$A$3:$B$80,2,0)*R308*V308,IF(AND(T308="NTS",V308=0),0,IF(AND(LEFT(T308,1)="K",V308=0),VLOOKUP(T308,ma_miengiam!$A$3:$B$80,2,0)*R308,IF(LEFT(T308,1)="K",(VLOOKUP(T308,ma_miengiam!$A$3:$B$80,2,0)*R308/12)*V308,IF(AND(LEFT(T308,1)="S",V308&gt;0),(R308/12)*V308,IF(AND(LEFT(T308,1)="S",V308=0),R308,IF(T308="DH",VLOOKUP(T308,ma_miengiam!$A$3:$B$80,2,0)*R308,0)))))))</f>
        <v>120</v>
      </c>
      <c r="Y308" s="220">
        <f t="shared" si="932"/>
        <v>94.5</v>
      </c>
      <c r="Z308" s="220">
        <f t="shared" si="908"/>
        <v>0</v>
      </c>
      <c r="AA308" s="220">
        <f t="shared" si="973"/>
        <v>270</v>
      </c>
      <c r="AB308" s="220">
        <f t="shared" si="973"/>
        <v>120</v>
      </c>
      <c r="AC308" s="220">
        <f t="shared" ref="AC308:AF309" si="978">W308</f>
        <v>175.5</v>
      </c>
      <c r="AD308" s="220">
        <f t="shared" si="978"/>
        <v>120</v>
      </c>
      <c r="AE308" s="220">
        <f t="shared" si="978"/>
        <v>94.5</v>
      </c>
      <c r="AF308" s="220">
        <f t="shared" si="978"/>
        <v>0</v>
      </c>
      <c r="AG308" s="220">
        <f t="shared" si="974"/>
        <v>273.43</v>
      </c>
      <c r="AH308" s="220">
        <f t="shared" si="975"/>
        <v>206.76</v>
      </c>
      <c r="AI308" s="220">
        <f t="shared" si="976"/>
        <v>66.67</v>
      </c>
      <c r="AJ308" s="220">
        <f t="shared" si="918"/>
        <v>0</v>
      </c>
      <c r="AK308" s="216">
        <f t="shared" si="794"/>
        <v>94.5</v>
      </c>
      <c r="AL308" s="220">
        <f t="shared" si="795"/>
        <v>149</v>
      </c>
      <c r="AM308" s="220">
        <f t="shared" si="796"/>
        <v>0</v>
      </c>
      <c r="AN308" s="221">
        <f t="shared" si="797"/>
        <v>149</v>
      </c>
      <c r="AO308" s="220">
        <f t="shared" si="798"/>
        <v>0</v>
      </c>
      <c r="AP308" s="220">
        <f t="shared" si="799"/>
        <v>0</v>
      </c>
      <c r="AQ308" s="220">
        <f t="shared" si="800"/>
        <v>100</v>
      </c>
      <c r="AR308" s="220">
        <f t="shared" si="801"/>
        <v>0</v>
      </c>
      <c r="AS308" s="220">
        <f t="shared" si="802"/>
        <v>0</v>
      </c>
      <c r="AT308" s="216">
        <f t="shared" si="803"/>
        <v>249</v>
      </c>
      <c r="AU308" s="222">
        <f t="shared" si="919"/>
        <v>54.5</v>
      </c>
      <c r="AV308" s="220"/>
      <c r="AW308" s="220">
        <f t="shared" si="804"/>
        <v>54.5</v>
      </c>
      <c r="AX308" s="216">
        <f t="shared" si="820"/>
        <v>0</v>
      </c>
      <c r="AY308" s="220">
        <f t="shared" si="815"/>
        <v>0</v>
      </c>
      <c r="AZ308" s="220">
        <f t="shared" si="816"/>
        <v>0</v>
      </c>
      <c r="BA308" s="220">
        <f t="shared" si="817"/>
        <v>100</v>
      </c>
      <c r="BB308" s="220">
        <f t="shared" si="818"/>
        <v>0</v>
      </c>
      <c r="BC308" s="220">
        <f t="shared" si="819"/>
        <v>0</v>
      </c>
      <c r="BD308" s="216">
        <f t="shared" si="759"/>
        <v>100</v>
      </c>
      <c r="BE308" s="220">
        <f t="shared" si="805"/>
        <v>0</v>
      </c>
      <c r="BF308" s="220">
        <f t="shared" si="806"/>
        <v>0</v>
      </c>
      <c r="BG308" s="220">
        <f t="shared" si="807"/>
        <v>0</v>
      </c>
      <c r="BH308" s="220">
        <f t="shared" si="808"/>
        <v>0</v>
      </c>
      <c r="BI308" s="220">
        <f t="shared" si="809"/>
        <v>0</v>
      </c>
      <c r="BJ308" s="220" t="s">
        <v>2419</v>
      </c>
      <c r="BK308" s="220"/>
      <c r="BL308" s="223">
        <f t="shared" si="773"/>
        <v>54.5</v>
      </c>
      <c r="BM308" s="220">
        <v>3.33</v>
      </c>
      <c r="BN308" s="220"/>
      <c r="BO308" s="220">
        <f t="shared" si="956"/>
        <v>3.33</v>
      </c>
      <c r="BP308" s="220">
        <f>IF(AND(BL308&gt;0,BL308&lt;tiet!$D$1),BL308,IF(BL308&lt;=0,0,IF(BL308&gt;tiet!$C$1,tiet!$C$1)))</f>
        <v>54.5</v>
      </c>
      <c r="BQ308" s="87">
        <f t="shared" si="957"/>
        <v>65000</v>
      </c>
      <c r="BR308" s="224">
        <f t="shared" si="958"/>
        <v>3542500</v>
      </c>
      <c r="BS308" s="220">
        <f t="shared" si="846"/>
        <v>0</v>
      </c>
      <c r="BT308" s="224">
        <f>VLOOKUP(N308,ma_dinhmuc!$A$1:$J$31,10,0)</f>
        <v>51000</v>
      </c>
      <c r="BU308" s="224">
        <f>ROUND(IF(BS308&gt;0,VLOOKUP(N308,ma_dinhmuc!$A$1:$J$31,10,0)*BS308,0),0)</f>
        <v>0</v>
      </c>
      <c r="BV308" s="224">
        <f t="shared" si="959"/>
        <v>3542500</v>
      </c>
      <c r="BW308" s="224"/>
      <c r="BX308" s="224">
        <v>0</v>
      </c>
      <c r="BY308" s="224"/>
      <c r="BZ308" s="224"/>
      <c r="CA308" s="224"/>
      <c r="CB308" s="224"/>
      <c r="CC308" s="225">
        <f t="shared" si="886"/>
        <v>3542500</v>
      </c>
      <c r="CD308" s="224">
        <f t="shared" si="887"/>
        <v>0</v>
      </c>
      <c r="CE308" s="224"/>
      <c r="CF308" s="226"/>
      <c r="CG308" s="87"/>
      <c r="CH308" s="87">
        <f t="shared" ref="CH308:CH327" si="979">A308</f>
        <v>61</v>
      </c>
      <c r="CI308" s="227" t="str">
        <f t="shared" si="961"/>
        <v>Giang</v>
      </c>
      <c r="CJ308" s="227" t="str">
        <f t="shared" si="962"/>
        <v>Hương</v>
      </c>
      <c r="CK308" s="87">
        <f t="shared" si="963"/>
        <v>5</v>
      </c>
      <c r="CL308" s="227" t="str">
        <f t="shared" ref="CL308:CL327" si="980">L308</f>
        <v>Phân tích định lượng</v>
      </c>
      <c r="CM308" s="87" t="str">
        <f t="shared" si="810"/>
        <v>CS2</v>
      </c>
      <c r="CN308" s="87">
        <f t="shared" si="965"/>
        <v>270</v>
      </c>
      <c r="CO308" s="87">
        <f t="shared" si="966"/>
        <v>120</v>
      </c>
      <c r="CP308" s="229">
        <f t="shared" si="852"/>
        <v>0</v>
      </c>
      <c r="CQ308" s="229">
        <f t="shared" si="853"/>
        <v>22.8</v>
      </c>
      <c r="CR308" s="229">
        <f t="shared" si="854"/>
        <v>9.1999999999999993</v>
      </c>
      <c r="CS308" s="229">
        <f t="shared" si="855"/>
        <v>0</v>
      </c>
      <c r="CT308" s="229">
        <f t="shared" si="856"/>
        <v>0</v>
      </c>
      <c r="CU308" s="229">
        <f t="shared" si="857"/>
        <v>117</v>
      </c>
      <c r="CV308" s="229">
        <f t="shared" si="858"/>
        <v>0</v>
      </c>
      <c r="CW308" s="229">
        <f t="shared" si="859"/>
        <v>0</v>
      </c>
      <c r="CX308" s="229">
        <f t="shared" si="860"/>
        <v>0</v>
      </c>
      <c r="CY308" s="229">
        <f t="shared" si="861"/>
        <v>0</v>
      </c>
      <c r="CZ308" s="229">
        <f t="shared" si="862"/>
        <v>0</v>
      </c>
      <c r="DA308" s="229">
        <f t="shared" si="863"/>
        <v>100</v>
      </c>
      <c r="DB308" s="228">
        <f t="shared" si="792"/>
        <v>249</v>
      </c>
      <c r="DC308" s="229"/>
      <c r="DD308" s="229"/>
      <c r="DE308" s="229"/>
      <c r="DF308" s="229"/>
      <c r="DG308" s="229"/>
      <c r="DH308" s="229"/>
      <c r="DI308" s="229"/>
      <c r="DJ308" s="229"/>
      <c r="DK308" s="229"/>
      <c r="DL308" s="229"/>
      <c r="DM308" s="229"/>
      <c r="DN308" s="229"/>
      <c r="DO308" s="228">
        <f t="shared" si="812"/>
        <v>0</v>
      </c>
      <c r="DP308" s="228">
        <f t="shared" si="813"/>
        <v>249</v>
      </c>
      <c r="DQ308" s="229">
        <f t="shared" si="864"/>
        <v>0</v>
      </c>
      <c r="DR308" s="229">
        <f t="shared" si="865"/>
        <v>0</v>
      </c>
      <c r="DS308" s="229">
        <f t="shared" si="866"/>
        <v>0</v>
      </c>
      <c r="DT308" s="229">
        <f t="shared" si="867"/>
        <v>0</v>
      </c>
      <c r="DU308" s="229">
        <f t="shared" si="868"/>
        <v>0</v>
      </c>
      <c r="DV308" s="229">
        <f t="shared" si="869"/>
        <v>0</v>
      </c>
      <c r="DW308" s="229">
        <f t="shared" si="870"/>
        <v>0</v>
      </c>
      <c r="DX308" s="228">
        <f t="shared" si="793"/>
        <v>0</v>
      </c>
      <c r="DY308" s="229"/>
      <c r="DZ308" s="229"/>
      <c r="EA308" s="229"/>
      <c r="EB308" s="229"/>
      <c r="EC308" s="229"/>
      <c r="ED308" s="229"/>
      <c r="EE308" s="229"/>
      <c r="EF308" s="228">
        <f t="shared" si="847"/>
        <v>0</v>
      </c>
      <c r="EG308" s="228">
        <f t="shared" si="814"/>
        <v>0</v>
      </c>
      <c r="EH308" s="229">
        <f t="shared" si="848"/>
        <v>66.67</v>
      </c>
      <c r="EI308" s="229">
        <v>206.76</v>
      </c>
      <c r="EJ308" s="228">
        <f t="shared" si="970"/>
        <v>273.43</v>
      </c>
      <c r="EK308" s="229"/>
      <c r="EL308" s="229"/>
      <c r="EM308" s="228">
        <f t="shared" si="967"/>
        <v>0</v>
      </c>
      <c r="EN308" s="229">
        <f t="shared" si="907"/>
        <v>66.67</v>
      </c>
      <c r="EO308" s="229">
        <f t="shared" si="926"/>
        <v>206.76</v>
      </c>
      <c r="EP308" s="228">
        <f t="shared" si="968"/>
        <v>273.43</v>
      </c>
      <c r="EQ308" s="173">
        <f t="shared" si="849"/>
        <v>66.67</v>
      </c>
      <c r="ER308" s="189">
        <v>0</v>
      </c>
      <c r="ES308" s="189">
        <v>22.8</v>
      </c>
      <c r="ET308" s="189">
        <v>9.1999999999999993</v>
      </c>
      <c r="EU308" s="189">
        <v>0</v>
      </c>
      <c r="EV308" s="189">
        <v>0</v>
      </c>
      <c r="EW308" s="189">
        <v>117</v>
      </c>
      <c r="EX308" s="189">
        <v>0</v>
      </c>
      <c r="EY308" s="189">
        <v>0</v>
      </c>
      <c r="EZ308" s="189">
        <v>0</v>
      </c>
      <c r="FA308" s="189">
        <v>0</v>
      </c>
      <c r="FB308" s="189">
        <v>0</v>
      </c>
      <c r="FC308" s="189">
        <v>100</v>
      </c>
      <c r="FD308" s="189">
        <v>0</v>
      </c>
      <c r="FE308" s="189">
        <v>0</v>
      </c>
      <c r="FF308" s="189">
        <v>0</v>
      </c>
      <c r="FG308" s="189">
        <v>0</v>
      </c>
      <c r="FH308" s="189">
        <v>0</v>
      </c>
      <c r="FI308" s="189">
        <v>0</v>
      </c>
      <c r="FJ308" s="189">
        <v>0</v>
      </c>
      <c r="FK308" s="189">
        <v>249</v>
      </c>
      <c r="FL308" s="189">
        <v>194</v>
      </c>
      <c r="FN308" s="132">
        <v>66.67</v>
      </c>
    </row>
    <row r="309" spans="1:170" ht="30" customHeight="1">
      <c r="A309" s="88">
        <f>COUNTIF($H$12:H309,H309)</f>
        <v>62</v>
      </c>
      <c r="B309" s="88" t="s">
        <v>1689</v>
      </c>
      <c r="C309" s="88" t="s">
        <v>1310</v>
      </c>
      <c r="D309" s="88"/>
      <c r="E309" s="88"/>
      <c r="F309" s="301" t="s">
        <v>912</v>
      </c>
      <c r="G309" s="89" t="s">
        <v>19</v>
      </c>
      <c r="H309" s="88">
        <v>5</v>
      </c>
      <c r="I309" s="88">
        <v>5</v>
      </c>
      <c r="J309" s="88">
        <v>5</v>
      </c>
      <c r="K309" s="90" t="s">
        <v>1089</v>
      </c>
      <c r="L309" s="90" t="s">
        <v>1089</v>
      </c>
      <c r="M309" s="214"/>
      <c r="N309" s="88" t="s">
        <v>1804</v>
      </c>
      <c r="O309" s="216">
        <f t="shared" si="977"/>
        <v>3</v>
      </c>
      <c r="P309" s="88" t="str">
        <f t="shared" si="880"/>
        <v>B1_3</v>
      </c>
      <c r="Q309" s="88">
        <f t="shared" si="951"/>
        <v>270</v>
      </c>
      <c r="R309" s="88">
        <f t="shared" si="952"/>
        <v>100</v>
      </c>
      <c r="S309" s="233"/>
      <c r="T309" s="88" t="s">
        <v>3088</v>
      </c>
      <c r="U309" s="88">
        <f>IF(RIGHT(T309,1)="K",(VLOOKUP(T309,ma_miengiam!$A$3:$B$80,2,0)*100)/2,VLOOKUP(T309,ma_miengiam!$A$3:$B$80,2,0)*100)</f>
        <v>0</v>
      </c>
      <c r="V309" s="88"/>
      <c r="W309" s="220">
        <f>IF(AND(T309="NTS",V309&gt;0),(Q309-(Q309*V309)/12)*VLOOKUP(T309,ma_miengiam!$A$3:$B$80,2,0)+(Q309-(Q309*(12-V309))/12),IF(AND(RIGHT(T309,1)="K",V309&gt;0),(VLOOKUP(T309,ma_miengiam!$A$3:$B$80,2,0)/2)*(Q309*V309)/12,IF(RIGHT(T309,1)="K",(VLOOKUP(T309,ma_miengiam!$A$3:$B$80,2,0)*Q309)/2,IF(V309&gt;0,VLOOKUP(T309,ma_miengiam!$A$3:$B$80,2,0)*Q309*V309/12,VLOOKUP(T309,ma_miengiam!$A$3:$B$80,2,0)*Q309))))</f>
        <v>0</v>
      </c>
      <c r="X309" s="220">
        <f>IF(T309="NTS",VLOOKUP(T309,ma_miengiam!$A$3:$B$80,2,0)*R309*V309,IF(AND(T309="NTS",V309=0),0,IF(AND(LEFT(T309,1)="K",V309=0),VLOOKUP(T309,ma_miengiam!$A$3:$B$80,2,0)*R309,IF(LEFT(T309,1)="K",(VLOOKUP(T309,ma_miengiam!$A$3:$B$80,2,0)*R309/12)*V309,IF(AND(LEFT(T309,1)="S",V309&gt;0),(R309/12)*V309,IF(AND(LEFT(T309,1)="S",V309=0),R309,IF(T309="DH",VLOOKUP(T309,ma_miengiam!$A$3:$B$80,2,0)*R309,0)))))))</f>
        <v>0</v>
      </c>
      <c r="Y309" s="220">
        <f t="shared" si="932"/>
        <v>270</v>
      </c>
      <c r="Z309" s="220">
        <f t="shared" si="908"/>
        <v>100</v>
      </c>
      <c r="AA309" s="220">
        <f t="shared" si="973"/>
        <v>270</v>
      </c>
      <c r="AB309" s="220">
        <f t="shared" si="973"/>
        <v>100</v>
      </c>
      <c r="AC309" s="220">
        <f t="shared" si="978"/>
        <v>0</v>
      </c>
      <c r="AD309" s="220">
        <f t="shared" si="978"/>
        <v>0</v>
      </c>
      <c r="AE309" s="220">
        <f t="shared" si="978"/>
        <v>270</v>
      </c>
      <c r="AF309" s="220">
        <f t="shared" si="978"/>
        <v>100</v>
      </c>
      <c r="AG309" s="220">
        <f t="shared" si="974"/>
        <v>307.3</v>
      </c>
      <c r="AH309" s="220">
        <f t="shared" si="975"/>
        <v>72.3</v>
      </c>
      <c r="AI309" s="220">
        <f t="shared" si="976"/>
        <v>235</v>
      </c>
      <c r="AJ309" s="220">
        <f t="shared" si="918"/>
        <v>0</v>
      </c>
      <c r="AK309" s="216">
        <f t="shared" si="794"/>
        <v>270</v>
      </c>
      <c r="AL309" s="220">
        <f t="shared" si="795"/>
        <v>316.60000000000002</v>
      </c>
      <c r="AM309" s="220">
        <f t="shared" si="796"/>
        <v>0</v>
      </c>
      <c r="AN309" s="221">
        <f t="shared" si="797"/>
        <v>316.60000000000002</v>
      </c>
      <c r="AO309" s="220">
        <f t="shared" si="798"/>
        <v>0</v>
      </c>
      <c r="AP309" s="220">
        <f t="shared" si="799"/>
        <v>0</v>
      </c>
      <c r="AQ309" s="220">
        <f t="shared" si="800"/>
        <v>140</v>
      </c>
      <c r="AR309" s="220">
        <f t="shared" si="801"/>
        <v>0</v>
      </c>
      <c r="AS309" s="220">
        <f t="shared" si="802"/>
        <v>0</v>
      </c>
      <c r="AT309" s="216">
        <f t="shared" si="803"/>
        <v>456.6</v>
      </c>
      <c r="AU309" s="222">
        <f t="shared" si="919"/>
        <v>46.600000000000023</v>
      </c>
      <c r="AV309" s="220"/>
      <c r="AW309" s="220">
        <f t="shared" si="804"/>
        <v>46.600000000000023</v>
      </c>
      <c r="AX309" s="216">
        <f t="shared" si="820"/>
        <v>0</v>
      </c>
      <c r="AY309" s="220">
        <f t="shared" si="815"/>
        <v>0</v>
      </c>
      <c r="AZ309" s="220">
        <f t="shared" si="816"/>
        <v>0</v>
      </c>
      <c r="BA309" s="220">
        <f t="shared" si="817"/>
        <v>140</v>
      </c>
      <c r="BB309" s="220">
        <f t="shared" si="818"/>
        <v>0</v>
      </c>
      <c r="BC309" s="220">
        <f t="shared" si="819"/>
        <v>0</v>
      </c>
      <c r="BD309" s="216">
        <f t="shared" si="759"/>
        <v>140</v>
      </c>
      <c r="BE309" s="220">
        <f t="shared" si="805"/>
        <v>0</v>
      </c>
      <c r="BF309" s="220">
        <f t="shared" si="806"/>
        <v>0</v>
      </c>
      <c r="BG309" s="220">
        <f t="shared" si="807"/>
        <v>0</v>
      </c>
      <c r="BH309" s="220">
        <f t="shared" si="808"/>
        <v>0</v>
      </c>
      <c r="BI309" s="220">
        <f t="shared" si="809"/>
        <v>0</v>
      </c>
      <c r="BJ309" s="220" t="s">
        <v>2419</v>
      </c>
      <c r="BK309" s="220"/>
      <c r="BL309" s="223">
        <f t="shared" si="773"/>
        <v>46.600000000000023</v>
      </c>
      <c r="BM309" s="220">
        <v>3</v>
      </c>
      <c r="BN309" s="220"/>
      <c r="BO309" s="220">
        <f t="shared" si="956"/>
        <v>3</v>
      </c>
      <c r="BP309" s="220">
        <f>IF(AND(BL309&gt;0,BL309&lt;tiet!$D$1),BL309,IF(BL309&lt;=0,0,IF(BL309&gt;tiet!$C$1,tiet!$C$1)))</f>
        <v>46.600000000000023</v>
      </c>
      <c r="BQ309" s="87">
        <f t="shared" si="957"/>
        <v>60000</v>
      </c>
      <c r="BR309" s="224">
        <f t="shared" si="958"/>
        <v>2796000</v>
      </c>
      <c r="BS309" s="220">
        <f t="shared" si="846"/>
        <v>0</v>
      </c>
      <c r="BT309" s="224">
        <f>VLOOKUP(N309,ma_dinhmuc!$A$1:$J$31,10,0)</f>
        <v>51000</v>
      </c>
      <c r="BU309" s="224">
        <f>ROUND(IF(BS309&gt;0,VLOOKUP(N309,ma_dinhmuc!$A$1:$J$31,10,0)*BS309,0),0)</f>
        <v>0</v>
      </c>
      <c r="BV309" s="224">
        <f t="shared" si="959"/>
        <v>2796000</v>
      </c>
      <c r="BW309" s="224"/>
      <c r="BX309" s="224">
        <v>0</v>
      </c>
      <c r="BY309" s="224"/>
      <c r="BZ309" s="224"/>
      <c r="CA309" s="224"/>
      <c r="CB309" s="224"/>
      <c r="CC309" s="225">
        <f t="shared" si="886"/>
        <v>2796000</v>
      </c>
      <c r="CD309" s="224">
        <f t="shared" si="887"/>
        <v>0</v>
      </c>
      <c r="CE309" s="224"/>
      <c r="CF309" s="226"/>
      <c r="CG309" s="87"/>
      <c r="CH309" s="87">
        <f t="shared" si="979"/>
        <v>62</v>
      </c>
      <c r="CI309" s="227" t="str">
        <f t="shared" si="961"/>
        <v>Trần Thế</v>
      </c>
      <c r="CJ309" s="227" t="str">
        <f t="shared" si="962"/>
        <v>Cường</v>
      </c>
      <c r="CK309" s="87">
        <f t="shared" si="963"/>
        <v>5</v>
      </c>
      <c r="CL309" s="227" t="str">
        <f t="shared" si="980"/>
        <v>Phân tích định lượng</v>
      </c>
      <c r="CM309" s="87" t="str">
        <f t="shared" si="810"/>
        <v>CS2</v>
      </c>
      <c r="CN309" s="87">
        <f t="shared" si="965"/>
        <v>270</v>
      </c>
      <c r="CO309" s="87">
        <f t="shared" si="966"/>
        <v>100</v>
      </c>
      <c r="CP309" s="229">
        <f t="shared" si="852"/>
        <v>0</v>
      </c>
      <c r="CQ309" s="229">
        <f t="shared" si="853"/>
        <v>39.700000000000003</v>
      </c>
      <c r="CR309" s="229">
        <f t="shared" si="854"/>
        <v>15.9</v>
      </c>
      <c r="CS309" s="229">
        <f t="shared" si="855"/>
        <v>0</v>
      </c>
      <c r="CT309" s="229">
        <f t="shared" si="856"/>
        <v>0</v>
      </c>
      <c r="CU309" s="229">
        <f t="shared" si="857"/>
        <v>261</v>
      </c>
      <c r="CV309" s="229">
        <f t="shared" si="858"/>
        <v>0</v>
      </c>
      <c r="CW309" s="229">
        <f t="shared" si="859"/>
        <v>0</v>
      </c>
      <c r="CX309" s="229">
        <f t="shared" si="860"/>
        <v>0</v>
      </c>
      <c r="CY309" s="229">
        <f t="shared" si="861"/>
        <v>0</v>
      </c>
      <c r="CZ309" s="229">
        <f t="shared" si="862"/>
        <v>0</v>
      </c>
      <c r="DA309" s="229">
        <f t="shared" si="863"/>
        <v>140</v>
      </c>
      <c r="DB309" s="228">
        <f t="shared" si="792"/>
        <v>456.6</v>
      </c>
      <c r="DC309" s="229"/>
      <c r="DD309" s="229"/>
      <c r="DE309" s="229"/>
      <c r="DF309" s="229"/>
      <c r="DG309" s="229"/>
      <c r="DH309" s="229"/>
      <c r="DI309" s="229"/>
      <c r="DJ309" s="229"/>
      <c r="DK309" s="229"/>
      <c r="DL309" s="229"/>
      <c r="DM309" s="229"/>
      <c r="DN309" s="229"/>
      <c r="DO309" s="228">
        <f t="shared" si="812"/>
        <v>0</v>
      </c>
      <c r="DP309" s="228">
        <f t="shared" si="813"/>
        <v>456.6</v>
      </c>
      <c r="DQ309" s="229">
        <f t="shared" si="864"/>
        <v>0</v>
      </c>
      <c r="DR309" s="229">
        <f t="shared" si="865"/>
        <v>0</v>
      </c>
      <c r="DS309" s="229">
        <f t="shared" si="866"/>
        <v>0</v>
      </c>
      <c r="DT309" s="229">
        <f t="shared" si="867"/>
        <v>0</v>
      </c>
      <c r="DU309" s="229">
        <f t="shared" si="868"/>
        <v>0</v>
      </c>
      <c r="DV309" s="229">
        <f t="shared" si="869"/>
        <v>0</v>
      </c>
      <c r="DW309" s="229">
        <f t="shared" si="870"/>
        <v>0</v>
      </c>
      <c r="DX309" s="228">
        <f t="shared" si="793"/>
        <v>0</v>
      </c>
      <c r="DY309" s="229"/>
      <c r="DZ309" s="229"/>
      <c r="EA309" s="229"/>
      <c r="EB309" s="229"/>
      <c r="EC309" s="229"/>
      <c r="ED309" s="229"/>
      <c r="EE309" s="229"/>
      <c r="EF309" s="228">
        <f t="shared" si="847"/>
        <v>0</v>
      </c>
      <c r="EG309" s="228">
        <f t="shared" si="814"/>
        <v>0</v>
      </c>
      <c r="EH309" s="229">
        <f t="shared" si="848"/>
        <v>235</v>
      </c>
      <c r="EI309" s="229">
        <v>72.3</v>
      </c>
      <c r="EJ309" s="228">
        <f t="shared" si="970"/>
        <v>307.3</v>
      </c>
      <c r="EK309" s="229"/>
      <c r="EL309" s="229"/>
      <c r="EM309" s="228">
        <f t="shared" si="967"/>
        <v>0</v>
      </c>
      <c r="EN309" s="229">
        <f t="shared" si="907"/>
        <v>235</v>
      </c>
      <c r="EO309" s="229">
        <f t="shared" si="926"/>
        <v>72.3</v>
      </c>
      <c r="EP309" s="228">
        <f t="shared" si="968"/>
        <v>307.3</v>
      </c>
      <c r="EQ309" s="173">
        <f t="shared" si="849"/>
        <v>135</v>
      </c>
      <c r="ER309" s="189">
        <v>0</v>
      </c>
      <c r="ES309" s="189">
        <v>39.700000000000003</v>
      </c>
      <c r="ET309" s="189">
        <v>15.9</v>
      </c>
      <c r="EU309" s="189">
        <v>0</v>
      </c>
      <c r="EV309" s="189">
        <v>0</v>
      </c>
      <c r="EW309" s="189">
        <v>261</v>
      </c>
      <c r="EX309" s="189">
        <v>0</v>
      </c>
      <c r="EY309" s="189">
        <v>0</v>
      </c>
      <c r="EZ309" s="189">
        <v>0</v>
      </c>
      <c r="FA309" s="189">
        <v>0</v>
      </c>
      <c r="FB309" s="189">
        <v>0</v>
      </c>
      <c r="FC309" s="189">
        <v>140</v>
      </c>
      <c r="FD309" s="189">
        <v>0</v>
      </c>
      <c r="FE309" s="189">
        <v>0</v>
      </c>
      <c r="FF309" s="189">
        <v>0</v>
      </c>
      <c r="FG309" s="189">
        <v>0</v>
      </c>
      <c r="FH309" s="189">
        <v>0</v>
      </c>
      <c r="FI309" s="189">
        <v>0</v>
      </c>
      <c r="FJ309" s="189">
        <v>0</v>
      </c>
      <c r="FK309" s="189">
        <v>456.6</v>
      </c>
      <c r="FL309" s="189">
        <v>315</v>
      </c>
      <c r="FN309" s="132">
        <v>235</v>
      </c>
    </row>
    <row r="310" spans="1:170" ht="30" customHeight="1">
      <c r="A310" s="88">
        <f>COUNTIF($H$12:H313,H310)</f>
        <v>66</v>
      </c>
      <c r="B310" s="88" t="s">
        <v>1692</v>
      </c>
      <c r="C310" s="88" t="s">
        <v>203</v>
      </c>
      <c r="D310" s="88"/>
      <c r="E310" s="88"/>
      <c r="F310" s="301" t="s">
        <v>1432</v>
      </c>
      <c r="G310" s="303" t="s">
        <v>1648</v>
      </c>
      <c r="H310" s="88">
        <v>5</v>
      </c>
      <c r="I310" s="88">
        <v>5</v>
      </c>
      <c r="J310" s="88">
        <v>5</v>
      </c>
      <c r="K310" s="90" t="s">
        <v>1089</v>
      </c>
      <c r="L310" s="90" t="s">
        <v>1089</v>
      </c>
      <c r="M310" s="214"/>
      <c r="N310" s="88" t="s">
        <v>1804</v>
      </c>
      <c r="O310" s="216">
        <f>BO310</f>
        <v>3</v>
      </c>
      <c r="P310" s="88" t="str">
        <f t="shared" si="880"/>
        <v>B1_3</v>
      </c>
      <c r="Q310" s="88">
        <f t="shared" si="951"/>
        <v>270</v>
      </c>
      <c r="R310" s="88">
        <f t="shared" si="952"/>
        <v>100</v>
      </c>
      <c r="S310" s="218" t="s">
        <v>2349</v>
      </c>
      <c r="T310" s="88" t="s">
        <v>1326</v>
      </c>
      <c r="U310" s="88">
        <f>IF(RIGHT(T310,1)="K",(VLOOKUP(T310,ma_miengiam!$A$3:$B$80,2,0)*100)/2,VLOOKUP(T310,ma_miengiam!$A$3:$B$80,2,0)*100)</f>
        <v>65</v>
      </c>
      <c r="V310" s="88"/>
      <c r="W310" s="220">
        <f>IF(AND(T310="NTS",V310&gt;0),(Q310-(Q310*V310)/12)*VLOOKUP(T310,ma_miengiam!$A$3:$B$80,2,0)+(Q310-(Q310*(12-V310))/12),IF(AND(RIGHT(T310,1)="K",V310&gt;0),(VLOOKUP(T310,ma_miengiam!$A$3:$B$80,2,0)/2)*(Q310*V310)/12,IF(RIGHT(T310,1)="K",(VLOOKUP(T310,ma_miengiam!$A$3:$B$80,2,0)*Q310)/2,IF(V310&gt;0,VLOOKUP(T310,ma_miengiam!$A$3:$B$80,2,0)*Q310*V310/12,VLOOKUP(T310,ma_miengiam!$A$3:$B$80,2,0)*Q310))))</f>
        <v>175.5</v>
      </c>
      <c r="X310" s="220">
        <f>IF(T310="NTS",VLOOKUP(T310,ma_miengiam!$A$3:$B$80,2,0)*R310*V310,IF(AND(T310="NTS",V310=0),0,IF(AND(LEFT(T310,1)="K",V310=0),VLOOKUP(T310,ma_miengiam!$A$3:$B$80,2,0)*R310,IF(LEFT(T310,1)="K",(VLOOKUP(T310,ma_miengiam!$A$3:$B$80,2,0)*R310/12)*V310,IF(AND(LEFT(T310,1)="S",V310&gt;0),(R310/12)*V310,IF(AND(LEFT(T310,1)="S",V310=0),R310,IF(T310="DH",VLOOKUP(T310,ma_miengiam!$A$3:$B$80,2,0)*R310,0)))))))</f>
        <v>100</v>
      </c>
      <c r="Y310" s="220">
        <f t="shared" si="932"/>
        <v>94.5</v>
      </c>
      <c r="Z310" s="220">
        <f>IF(AND(T310="SĐH",V310&gt;0),(R310/12)*V310-X310,IF(AND(T310="DH",V310&gt;0),(R310*V310/12),IF(AND(T310&lt;&gt;"NTS",V310&gt;0),(R310*V310/12)-X310,IF(AND(T310="NTS",V310&gt;0),R310-X310,R310-X310))))</f>
        <v>0</v>
      </c>
      <c r="AA310" s="220">
        <f t="shared" ref="AA310:AB314" si="981">Q310</f>
        <v>270</v>
      </c>
      <c r="AB310" s="220">
        <f t="shared" si="981"/>
        <v>100</v>
      </c>
      <c r="AC310" s="220">
        <f t="shared" ref="AC310:AF314" si="982">W310</f>
        <v>175.5</v>
      </c>
      <c r="AD310" s="220">
        <f t="shared" si="982"/>
        <v>100</v>
      </c>
      <c r="AE310" s="220">
        <f t="shared" si="982"/>
        <v>94.5</v>
      </c>
      <c r="AF310" s="220">
        <f t="shared" si="982"/>
        <v>0</v>
      </c>
      <c r="AG310" s="220">
        <f t="shared" si="974"/>
        <v>332.3</v>
      </c>
      <c r="AH310" s="220">
        <f t="shared" si="975"/>
        <v>172.3</v>
      </c>
      <c r="AI310" s="220">
        <f t="shared" si="976"/>
        <v>160</v>
      </c>
      <c r="AJ310" s="220">
        <f t="shared" si="918"/>
        <v>0</v>
      </c>
      <c r="AK310" s="216">
        <f t="shared" si="794"/>
        <v>94.5</v>
      </c>
      <c r="AL310" s="220">
        <f t="shared" si="795"/>
        <v>167.3</v>
      </c>
      <c r="AM310" s="220">
        <f t="shared" si="796"/>
        <v>0</v>
      </c>
      <c r="AN310" s="216">
        <f t="shared" si="797"/>
        <v>167.3</v>
      </c>
      <c r="AO310" s="220">
        <f t="shared" si="798"/>
        <v>0</v>
      </c>
      <c r="AP310" s="220">
        <f t="shared" si="799"/>
        <v>0</v>
      </c>
      <c r="AQ310" s="220">
        <f t="shared" si="800"/>
        <v>80</v>
      </c>
      <c r="AR310" s="220">
        <f t="shared" si="801"/>
        <v>0</v>
      </c>
      <c r="AS310" s="220">
        <f t="shared" si="802"/>
        <v>0</v>
      </c>
      <c r="AT310" s="216">
        <f t="shared" si="803"/>
        <v>247.3</v>
      </c>
      <c r="AU310" s="220">
        <f>AN310-AK310</f>
        <v>72.800000000000011</v>
      </c>
      <c r="AV310" s="220"/>
      <c r="AW310" s="220">
        <f>IF(AU310&gt;0,AU310,AV310+AU310)</f>
        <v>72.800000000000011</v>
      </c>
      <c r="AX310" s="216">
        <f t="shared" si="820"/>
        <v>0</v>
      </c>
      <c r="AY310" s="220">
        <f>IF(AN310&gt;=AK310,AO310,IF(AN310+AO310-AK310&gt;=0,AN310+AO310-AK310,0))</f>
        <v>0</v>
      </c>
      <c r="AZ310" s="220">
        <f>IF(OR(AN310&gt;=AK310,AN310+AO310&gt;=AK310),AP310,IF(AN310+AO310+AP310&gt;AK310,AN310+AO310+AP310-AK310,0))</f>
        <v>0</v>
      </c>
      <c r="BA310" s="220">
        <f>IF(OR(AN310&gt;=AK310,AN310+AO310&gt;=AK310,AN310+AO310+AP310&gt;=AK310),AQ310,IF(AN310+AO310+AP310+AQ310&gt;=AK310,AN310+AO310+AP310+AQ310-AK310,0))</f>
        <v>80</v>
      </c>
      <c r="BB310" s="220">
        <f>IF(OR(AN310&gt;=AK310,AN310+AO310&gt;=AK310,AN310+AO310+AP310&gt;=AK310,AN310+AO310+AP310+AQ310&gt;=AK310),AR310,IF(AN310+AO310+AP310+AQ310+AR310&gt;=AK310,AN310+AO310+AP310+AQ310+AR310-AK310,0))</f>
        <v>0</v>
      </c>
      <c r="BC310" s="220">
        <f>IF(OR(AN310&gt;=AK310,AN310+AO310&gt;=AK310,AN310+AO310+AP310&gt;=AK310,AN310+AO310+AP310+AQ310&gt;=AK310,AN310+AO310+AP310+AQ310+AR310&gt;=AK310),AS310,IF(AN310+AO310+AP310+AQ310+AR310+AS310&gt;=AK310,AN310+AO310+AP310+AQ310+AR310+AS310-AK310,0))</f>
        <v>0</v>
      </c>
      <c r="BD310" s="216">
        <f t="shared" si="759"/>
        <v>80</v>
      </c>
      <c r="BE310" s="220">
        <f t="shared" ref="BE310:BI311" si="983">AY310-AO310</f>
        <v>0</v>
      </c>
      <c r="BF310" s="220">
        <f t="shared" si="983"/>
        <v>0</v>
      </c>
      <c r="BG310" s="220">
        <f t="shared" si="983"/>
        <v>0</v>
      </c>
      <c r="BH310" s="220">
        <f t="shared" si="983"/>
        <v>0</v>
      </c>
      <c r="BI310" s="220">
        <f t="shared" si="983"/>
        <v>0</v>
      </c>
      <c r="BJ310" s="220" t="s">
        <v>2419</v>
      </c>
      <c r="BK310" s="220"/>
      <c r="BL310" s="223">
        <f t="shared" si="773"/>
        <v>72.800000000000011</v>
      </c>
      <c r="BM310" s="220">
        <v>3</v>
      </c>
      <c r="BN310" s="220"/>
      <c r="BO310" s="220">
        <f>ROUND(BM310+(BM310*BN310),2)</f>
        <v>3</v>
      </c>
      <c r="BP310" s="220">
        <f>IF(AND(BL310&gt;0,BL310&lt;tiet!$D$1),BL310,IF(BL310&lt;=0,0,IF(BL310&gt;tiet!$C$1,tiet!$C$1)))</f>
        <v>72.800000000000011</v>
      </c>
      <c r="BQ310" s="87">
        <f t="shared" si="957"/>
        <v>60000</v>
      </c>
      <c r="BR310" s="224">
        <f t="shared" si="958"/>
        <v>4368000</v>
      </c>
      <c r="BS310" s="220">
        <f t="shared" si="846"/>
        <v>0</v>
      </c>
      <c r="BT310" s="224">
        <f>VLOOKUP(N310,ma_dinhmuc!$A$1:$J$31,10,0)</f>
        <v>51000</v>
      </c>
      <c r="BU310" s="224">
        <f>ROUND(IF(BS310&gt;0,VLOOKUP(N310,ma_dinhmuc!$A$1:$J$31,10,0)*BS310,0),0)</f>
        <v>0</v>
      </c>
      <c r="BV310" s="224">
        <f t="shared" si="959"/>
        <v>4368000</v>
      </c>
      <c r="BW310" s="224"/>
      <c r="BX310" s="224">
        <v>0</v>
      </c>
      <c r="BY310" s="224"/>
      <c r="BZ310" s="224"/>
      <c r="CA310" s="224"/>
      <c r="CB310" s="224"/>
      <c r="CC310" s="225">
        <f>ROUND(IF(BV310+BW310&gt;BX310+BY310+BZ310+CA310+CB310,(BW310+BV310)-(BX310+BY310+BZ310+CA310+CB310+CB310),0),0)</f>
        <v>4368000</v>
      </c>
      <c r="CD310" s="224">
        <f>ROUND(IF(BV310+BW310&lt;BX310+BY310+BZ310+CA310-CB310,(BX310+BY310+BZ310+CA310-CB310)-(BW310+BV310),0),0)</f>
        <v>0</v>
      </c>
      <c r="CE310" s="224"/>
      <c r="CF310" s="226"/>
      <c r="CG310" s="87"/>
      <c r="CH310" s="87">
        <f>A310</f>
        <v>66</v>
      </c>
      <c r="CI310" s="227" t="str">
        <f t="shared" ref="CI310:CJ314" si="984">F310</f>
        <v>Nguyễn Thị Huyền</v>
      </c>
      <c r="CJ310" s="227" t="str">
        <f t="shared" si="984"/>
        <v>Trang</v>
      </c>
      <c r="CK310" s="87">
        <f>H310</f>
        <v>5</v>
      </c>
      <c r="CL310" s="227" t="str">
        <f>L310</f>
        <v>Phân tích định lượng</v>
      </c>
      <c r="CM310" s="87" t="str">
        <f>N310</f>
        <v>CS2</v>
      </c>
      <c r="CN310" s="87">
        <f t="shared" ref="CN310:CO313" si="985">Q310</f>
        <v>270</v>
      </c>
      <c r="CO310" s="87">
        <f t="shared" si="985"/>
        <v>100</v>
      </c>
      <c r="CP310" s="229">
        <f t="shared" si="852"/>
        <v>0</v>
      </c>
      <c r="CQ310" s="229">
        <f t="shared" si="853"/>
        <v>21.3</v>
      </c>
      <c r="CR310" s="229">
        <f t="shared" si="854"/>
        <v>8.6</v>
      </c>
      <c r="CS310" s="229">
        <f t="shared" si="855"/>
        <v>0</v>
      </c>
      <c r="CT310" s="229">
        <f t="shared" si="856"/>
        <v>0</v>
      </c>
      <c r="CU310" s="229">
        <f t="shared" si="857"/>
        <v>137.4</v>
      </c>
      <c r="CV310" s="229">
        <f t="shared" si="858"/>
        <v>0</v>
      </c>
      <c r="CW310" s="229">
        <f t="shared" si="859"/>
        <v>0</v>
      </c>
      <c r="CX310" s="229">
        <f t="shared" si="860"/>
        <v>0</v>
      </c>
      <c r="CY310" s="229">
        <f t="shared" si="861"/>
        <v>0</v>
      </c>
      <c r="CZ310" s="229">
        <f t="shared" si="862"/>
        <v>0</v>
      </c>
      <c r="DA310" s="229">
        <f t="shared" si="863"/>
        <v>80</v>
      </c>
      <c r="DB310" s="228">
        <f t="shared" si="792"/>
        <v>247.3</v>
      </c>
      <c r="DC310" s="229"/>
      <c r="DD310" s="229"/>
      <c r="DE310" s="229"/>
      <c r="DF310" s="229"/>
      <c r="DG310" s="229"/>
      <c r="DH310" s="229"/>
      <c r="DI310" s="229"/>
      <c r="DJ310" s="229"/>
      <c r="DK310" s="229"/>
      <c r="DL310" s="229"/>
      <c r="DM310" s="229"/>
      <c r="DN310" s="229"/>
      <c r="DO310" s="228">
        <f t="shared" si="812"/>
        <v>0</v>
      </c>
      <c r="DP310" s="228">
        <f t="shared" si="813"/>
        <v>247.3</v>
      </c>
      <c r="DQ310" s="229">
        <f t="shared" si="864"/>
        <v>0</v>
      </c>
      <c r="DR310" s="229">
        <f t="shared" si="865"/>
        <v>0</v>
      </c>
      <c r="DS310" s="229">
        <f t="shared" si="866"/>
        <v>0</v>
      </c>
      <c r="DT310" s="229">
        <f t="shared" si="867"/>
        <v>0</v>
      </c>
      <c r="DU310" s="229">
        <f t="shared" si="868"/>
        <v>0</v>
      </c>
      <c r="DV310" s="229">
        <f t="shared" si="869"/>
        <v>0</v>
      </c>
      <c r="DW310" s="229">
        <f t="shared" si="870"/>
        <v>0</v>
      </c>
      <c r="DX310" s="228">
        <f t="shared" si="793"/>
        <v>0</v>
      </c>
      <c r="DY310" s="229"/>
      <c r="DZ310" s="229"/>
      <c r="EA310" s="229"/>
      <c r="EB310" s="229"/>
      <c r="EC310" s="229"/>
      <c r="ED310" s="229"/>
      <c r="EE310" s="229"/>
      <c r="EF310" s="228">
        <f t="shared" si="847"/>
        <v>0</v>
      </c>
      <c r="EG310" s="228">
        <f t="shared" si="814"/>
        <v>0</v>
      </c>
      <c r="EH310" s="229">
        <f t="shared" si="848"/>
        <v>160</v>
      </c>
      <c r="EI310" s="229">
        <v>172.3</v>
      </c>
      <c r="EJ310" s="228">
        <f>SUM(EH310:EI310)</f>
        <v>332.3</v>
      </c>
      <c r="EK310" s="229"/>
      <c r="EL310" s="229"/>
      <c r="EM310" s="228">
        <f>SUM(EK310:EL310)</f>
        <v>0</v>
      </c>
      <c r="EN310" s="229">
        <f>EK310+EH310+EL310</f>
        <v>160</v>
      </c>
      <c r="EO310" s="229">
        <f>EI310</f>
        <v>172.3</v>
      </c>
      <c r="EP310" s="228">
        <f>EM310+EJ310</f>
        <v>332.3</v>
      </c>
      <c r="EQ310" s="173">
        <f t="shared" si="849"/>
        <v>160</v>
      </c>
      <c r="ER310" s="189">
        <v>0</v>
      </c>
      <c r="ES310" s="189">
        <v>21.3</v>
      </c>
      <c r="ET310" s="189">
        <v>8.6</v>
      </c>
      <c r="EU310" s="189">
        <v>0</v>
      </c>
      <c r="EV310" s="189">
        <v>0</v>
      </c>
      <c r="EW310" s="189">
        <v>137.4</v>
      </c>
      <c r="EX310" s="189">
        <v>0</v>
      </c>
      <c r="EY310" s="189">
        <v>0</v>
      </c>
      <c r="EZ310" s="189">
        <v>0</v>
      </c>
      <c r="FA310" s="189">
        <v>0</v>
      </c>
      <c r="FB310" s="189">
        <v>0</v>
      </c>
      <c r="FC310" s="189">
        <v>80</v>
      </c>
      <c r="FD310" s="189">
        <v>0</v>
      </c>
      <c r="FE310" s="189">
        <v>0</v>
      </c>
      <c r="FF310" s="189">
        <v>0</v>
      </c>
      <c r="FG310" s="189">
        <v>0</v>
      </c>
      <c r="FH310" s="189">
        <v>0</v>
      </c>
      <c r="FI310" s="189">
        <v>0</v>
      </c>
      <c r="FJ310" s="189">
        <v>0</v>
      </c>
      <c r="FK310" s="189">
        <v>247.3</v>
      </c>
      <c r="FL310" s="189">
        <v>206</v>
      </c>
      <c r="FN310" s="132">
        <v>160</v>
      </c>
    </row>
    <row r="311" spans="1:170" ht="30" customHeight="1">
      <c r="A311" s="88">
        <f>COUNTIF($H$12:H313,H311)</f>
        <v>66</v>
      </c>
      <c r="B311" s="88" t="s">
        <v>1693</v>
      </c>
      <c r="C311" s="88" t="s">
        <v>204</v>
      </c>
      <c r="D311" s="88"/>
      <c r="E311" s="88"/>
      <c r="F311" s="301" t="s">
        <v>1141</v>
      </c>
      <c r="G311" s="303" t="s">
        <v>955</v>
      </c>
      <c r="H311" s="88">
        <v>5</v>
      </c>
      <c r="I311" s="88">
        <v>5</v>
      </c>
      <c r="J311" s="88">
        <v>5</v>
      </c>
      <c r="K311" s="90" t="s">
        <v>1089</v>
      </c>
      <c r="L311" s="90" t="s">
        <v>1089</v>
      </c>
      <c r="M311" s="214"/>
      <c r="N311" s="88" t="s">
        <v>1804</v>
      </c>
      <c r="O311" s="216">
        <f>BO311</f>
        <v>3</v>
      </c>
      <c r="P311" s="88" t="str">
        <f t="shared" si="880"/>
        <v>B1_3</v>
      </c>
      <c r="Q311" s="88">
        <f t="shared" si="951"/>
        <v>270</v>
      </c>
      <c r="R311" s="88">
        <f t="shared" si="952"/>
        <v>100</v>
      </c>
      <c r="S311" s="218" t="s">
        <v>2349</v>
      </c>
      <c r="T311" s="88" t="s">
        <v>1326</v>
      </c>
      <c r="U311" s="88">
        <f>IF(RIGHT(T311,1)="K",(VLOOKUP(T311,ma_miengiam!$A$3:$B$80,2,0)*100)/2,VLOOKUP(T311,ma_miengiam!$A$3:$B$80,2,0)*100)</f>
        <v>65</v>
      </c>
      <c r="V311" s="88"/>
      <c r="W311" s="220">
        <f>IF(AND(T311="NTS",V311&gt;0),(Q311-(Q311*V311)/12)*VLOOKUP(T311,ma_miengiam!$A$3:$B$80,2,0)+(Q311-(Q311*(12-V311))/12),IF(AND(RIGHT(T311,1)="K",V311&gt;0),(VLOOKUP(T311,ma_miengiam!$A$3:$B$80,2,0)/2)*(Q311*V311)/12,IF(RIGHT(T311,1)="K",(VLOOKUP(T311,ma_miengiam!$A$3:$B$80,2,0)*Q311)/2,IF(V311&gt;0,VLOOKUP(T311,ma_miengiam!$A$3:$B$80,2,0)*Q311*V311/12,VLOOKUP(T311,ma_miengiam!$A$3:$B$80,2,0)*Q311))))</f>
        <v>175.5</v>
      </c>
      <c r="X311" s="220">
        <f>IF(T311="NTS",VLOOKUP(T311,ma_miengiam!$A$3:$B$80,2,0)*R311*V311,IF(AND(T311="NTS",V311=0),0,IF(AND(LEFT(T311,1)="K",V311=0),VLOOKUP(T311,ma_miengiam!$A$3:$B$80,2,0)*R311,IF(LEFT(T311,1)="K",(VLOOKUP(T311,ma_miengiam!$A$3:$B$80,2,0)*R311/12)*V311,IF(AND(LEFT(T311,1)="S",V311&gt;0),(R311/12)*V311,IF(AND(LEFT(T311,1)="S",V311=0),R311,IF(T311="DH",VLOOKUP(T311,ma_miengiam!$A$3:$B$80,2,0)*R311,0)))))))</f>
        <v>100</v>
      </c>
      <c r="Y311" s="220">
        <f t="shared" si="932"/>
        <v>94.5</v>
      </c>
      <c r="Z311" s="220">
        <f>IF(AND(T311="SĐH",V311&gt;0),(R311/12)*V311-X311,IF(AND(T311="DH",V311&gt;0),(R311*V311/12),IF(AND(T311&lt;&gt;"NTS",V311&gt;0),(R311*V311/12)-X311,IF(AND(T311="NTS",V311&gt;0),R311-X311,R311-X311))))</f>
        <v>0</v>
      </c>
      <c r="AA311" s="220">
        <f t="shared" si="981"/>
        <v>270</v>
      </c>
      <c r="AB311" s="220">
        <f t="shared" si="981"/>
        <v>100</v>
      </c>
      <c r="AC311" s="220">
        <f t="shared" si="982"/>
        <v>175.5</v>
      </c>
      <c r="AD311" s="220">
        <f t="shared" si="982"/>
        <v>100</v>
      </c>
      <c r="AE311" s="220">
        <f t="shared" si="982"/>
        <v>94.5</v>
      </c>
      <c r="AF311" s="220">
        <f t="shared" si="982"/>
        <v>0</v>
      </c>
      <c r="AG311" s="220">
        <f t="shared" si="974"/>
        <v>338.97</v>
      </c>
      <c r="AH311" s="220">
        <f t="shared" si="975"/>
        <v>172.3</v>
      </c>
      <c r="AI311" s="220">
        <f t="shared" si="976"/>
        <v>166.67</v>
      </c>
      <c r="AJ311" s="220">
        <f t="shared" si="918"/>
        <v>0</v>
      </c>
      <c r="AK311" s="216">
        <f t="shared" si="794"/>
        <v>94.5</v>
      </c>
      <c r="AL311" s="220">
        <f t="shared" si="795"/>
        <v>171.7</v>
      </c>
      <c r="AM311" s="220">
        <f t="shared" si="796"/>
        <v>0</v>
      </c>
      <c r="AN311" s="216">
        <f t="shared" si="797"/>
        <v>171.7</v>
      </c>
      <c r="AO311" s="220">
        <f t="shared" si="798"/>
        <v>0</v>
      </c>
      <c r="AP311" s="220">
        <f t="shared" si="799"/>
        <v>0</v>
      </c>
      <c r="AQ311" s="220">
        <f t="shared" si="800"/>
        <v>100</v>
      </c>
      <c r="AR311" s="220">
        <f t="shared" si="801"/>
        <v>0</v>
      </c>
      <c r="AS311" s="220">
        <f t="shared" si="802"/>
        <v>0</v>
      </c>
      <c r="AT311" s="216">
        <f t="shared" si="803"/>
        <v>271.7</v>
      </c>
      <c r="AU311" s="220">
        <f>AN311-AK311</f>
        <v>77.199999999999989</v>
      </c>
      <c r="AV311" s="220"/>
      <c r="AW311" s="220">
        <f>IF(AU311&gt;0,AU311,AV311+AU311)</f>
        <v>77.199999999999989</v>
      </c>
      <c r="AX311" s="216">
        <f t="shared" si="820"/>
        <v>0</v>
      </c>
      <c r="AY311" s="220">
        <f>IF(AN311&gt;=AK311,AO311,IF(AN311+AO311-AK311&gt;=0,AN311+AO311-AK311,0))</f>
        <v>0</v>
      </c>
      <c r="AZ311" s="220">
        <f>IF(OR(AN311&gt;=AK311,AN311+AO311&gt;=AK311),AP311,IF(AN311+AO311+AP311&gt;AK311,AN311+AO311+AP311-AK311,0))</f>
        <v>0</v>
      </c>
      <c r="BA311" s="220">
        <f>IF(OR(AN311&gt;=AK311,AN311+AO311&gt;=AK311,AN311+AO311+AP311&gt;=AK311),AQ311,IF(AN311+AO311+AP311+AQ311&gt;=AK311,AN311+AO311+AP311+AQ311-AK311,0))</f>
        <v>100</v>
      </c>
      <c r="BB311" s="220">
        <f>IF(OR(AN311&gt;=AK311,AN311+AO311&gt;=AK311,AN311+AO311+AP311&gt;=AK311,AN311+AO311+AP311+AQ311&gt;=AK311),AR311,IF(AN311+AO311+AP311+AQ311+AR311&gt;=AK311,AN311+AO311+AP311+AQ311+AR311-AK311,0))</f>
        <v>0</v>
      </c>
      <c r="BC311" s="220">
        <f>IF(OR(AN311&gt;=AK311,AN311+AO311&gt;=AK311,AN311+AO311+AP311&gt;=AK311,AN311+AO311+AP311+AQ311&gt;=AK311,AN311+AO311+AP311+AQ311+AR311&gt;=AK311),AS311,IF(AN311+AO311+AP311+AQ311+AR311+AS311&gt;=AK311,AN311+AO311+AP311+AQ311+AR311+AS311-AK311,0))</f>
        <v>0</v>
      </c>
      <c r="BD311" s="216">
        <f t="shared" si="759"/>
        <v>100</v>
      </c>
      <c r="BE311" s="220">
        <f t="shared" si="983"/>
        <v>0</v>
      </c>
      <c r="BF311" s="220">
        <f t="shared" si="983"/>
        <v>0</v>
      </c>
      <c r="BG311" s="220">
        <f t="shared" si="983"/>
        <v>0</v>
      </c>
      <c r="BH311" s="220">
        <f t="shared" si="983"/>
        <v>0</v>
      </c>
      <c r="BI311" s="220">
        <f t="shared" si="983"/>
        <v>0</v>
      </c>
      <c r="BJ311" s="220" t="s">
        <v>2419</v>
      </c>
      <c r="BK311" s="220"/>
      <c r="BL311" s="223">
        <f t="shared" si="773"/>
        <v>77.199999999999989</v>
      </c>
      <c r="BM311" s="220">
        <v>3</v>
      </c>
      <c r="BN311" s="220"/>
      <c r="BO311" s="220">
        <f>ROUND(BM311+(BM311*BN311),2)</f>
        <v>3</v>
      </c>
      <c r="BP311" s="220">
        <f>IF(AND(BL311&gt;0,BL311&lt;tiet!$D$1),BL311,IF(BL311&lt;=0,0,IF(BL311&gt;tiet!$C$1,tiet!$C$1)))</f>
        <v>77.199999999999989</v>
      </c>
      <c r="BQ311" s="87">
        <f t="shared" si="957"/>
        <v>60000</v>
      </c>
      <c r="BR311" s="224">
        <f t="shared" si="958"/>
        <v>4632000</v>
      </c>
      <c r="BS311" s="220">
        <f t="shared" si="846"/>
        <v>0</v>
      </c>
      <c r="BT311" s="224">
        <f>VLOOKUP(N311,ma_dinhmuc!$A$1:$J$31,10,0)</f>
        <v>51000</v>
      </c>
      <c r="BU311" s="224">
        <f>ROUND(IF(BS311&gt;0,VLOOKUP(N311,ma_dinhmuc!$A$1:$J$31,10,0)*BS311,0),0)</f>
        <v>0</v>
      </c>
      <c r="BV311" s="224">
        <f t="shared" si="959"/>
        <v>4632000</v>
      </c>
      <c r="BW311" s="224"/>
      <c r="BX311" s="224">
        <v>0</v>
      </c>
      <c r="BY311" s="224"/>
      <c r="BZ311" s="224"/>
      <c r="CA311" s="224"/>
      <c r="CB311" s="224"/>
      <c r="CC311" s="225">
        <f>ROUND(IF(BV311+BW311&gt;BX311+BY311+BZ311+CA311+CB311,(BW311+BV311)-(BX311+BY311+BZ311+CA311+CB311+CB311),0),0)</f>
        <v>4632000</v>
      </c>
      <c r="CD311" s="224">
        <f>ROUND(IF(BV311+BW311&lt;BX311+BY311+BZ311+CA311-CB311,(BX311+BY311+BZ311+CA311-CB311)-(BW311+BV311),0),0)</f>
        <v>0</v>
      </c>
      <c r="CE311" s="224"/>
      <c r="CF311" s="226"/>
      <c r="CG311" s="87"/>
      <c r="CH311" s="87">
        <f>A311</f>
        <v>66</v>
      </c>
      <c r="CI311" s="227" t="str">
        <f t="shared" si="984"/>
        <v>Bùi Văn</v>
      </c>
      <c r="CJ311" s="227" t="str">
        <f t="shared" si="984"/>
        <v>Quang</v>
      </c>
      <c r="CK311" s="87">
        <f>H311</f>
        <v>5</v>
      </c>
      <c r="CL311" s="227" t="str">
        <f>L311</f>
        <v>Phân tích định lượng</v>
      </c>
      <c r="CM311" s="87" t="str">
        <f>N311</f>
        <v>CS2</v>
      </c>
      <c r="CN311" s="87">
        <f t="shared" si="985"/>
        <v>270</v>
      </c>
      <c r="CO311" s="87">
        <f t="shared" si="985"/>
        <v>100</v>
      </c>
      <c r="CP311" s="229">
        <f t="shared" si="852"/>
        <v>0</v>
      </c>
      <c r="CQ311" s="229">
        <f t="shared" si="853"/>
        <v>17.2</v>
      </c>
      <c r="CR311" s="229">
        <f t="shared" si="854"/>
        <v>7</v>
      </c>
      <c r="CS311" s="229">
        <f t="shared" si="855"/>
        <v>0</v>
      </c>
      <c r="CT311" s="229">
        <f t="shared" si="856"/>
        <v>0</v>
      </c>
      <c r="CU311" s="229">
        <f t="shared" si="857"/>
        <v>147.5</v>
      </c>
      <c r="CV311" s="229">
        <f t="shared" si="858"/>
        <v>0</v>
      </c>
      <c r="CW311" s="229">
        <f t="shared" si="859"/>
        <v>0</v>
      </c>
      <c r="CX311" s="229">
        <f t="shared" si="860"/>
        <v>0</v>
      </c>
      <c r="CY311" s="229">
        <f t="shared" si="861"/>
        <v>0</v>
      </c>
      <c r="CZ311" s="229">
        <f t="shared" si="862"/>
        <v>0</v>
      </c>
      <c r="DA311" s="229">
        <f t="shared" si="863"/>
        <v>100</v>
      </c>
      <c r="DB311" s="228">
        <f t="shared" si="792"/>
        <v>271.7</v>
      </c>
      <c r="DC311" s="229"/>
      <c r="DD311" s="229"/>
      <c r="DE311" s="229"/>
      <c r="DF311" s="229"/>
      <c r="DG311" s="229"/>
      <c r="DH311" s="229"/>
      <c r="DI311" s="229"/>
      <c r="DJ311" s="229"/>
      <c r="DK311" s="229"/>
      <c r="DL311" s="229"/>
      <c r="DM311" s="229"/>
      <c r="DN311" s="229"/>
      <c r="DO311" s="228">
        <f t="shared" si="812"/>
        <v>0</v>
      </c>
      <c r="DP311" s="228">
        <f t="shared" si="813"/>
        <v>271.7</v>
      </c>
      <c r="DQ311" s="229">
        <f t="shared" si="864"/>
        <v>0</v>
      </c>
      <c r="DR311" s="229">
        <f t="shared" si="865"/>
        <v>0</v>
      </c>
      <c r="DS311" s="229">
        <f t="shared" si="866"/>
        <v>0</v>
      </c>
      <c r="DT311" s="229">
        <f t="shared" si="867"/>
        <v>0</v>
      </c>
      <c r="DU311" s="229">
        <f t="shared" si="868"/>
        <v>0</v>
      </c>
      <c r="DV311" s="229">
        <f t="shared" si="869"/>
        <v>0</v>
      </c>
      <c r="DW311" s="229">
        <f t="shared" si="870"/>
        <v>0</v>
      </c>
      <c r="DX311" s="228">
        <f t="shared" si="793"/>
        <v>0</v>
      </c>
      <c r="DY311" s="229"/>
      <c r="DZ311" s="229"/>
      <c r="EA311" s="229"/>
      <c r="EB311" s="229"/>
      <c r="EC311" s="229"/>
      <c r="ED311" s="229"/>
      <c r="EE311" s="229"/>
      <c r="EF311" s="228">
        <f t="shared" si="847"/>
        <v>0</v>
      </c>
      <c r="EG311" s="228">
        <f t="shared" si="814"/>
        <v>0</v>
      </c>
      <c r="EH311" s="229">
        <f t="shared" si="848"/>
        <v>166.67</v>
      </c>
      <c r="EI311" s="229">
        <v>172.3</v>
      </c>
      <c r="EJ311" s="228">
        <f>SUM(EH311:EI311)</f>
        <v>338.97</v>
      </c>
      <c r="EK311" s="229"/>
      <c r="EL311" s="229"/>
      <c r="EM311" s="228">
        <f>SUM(EK311:EL311)</f>
        <v>0</v>
      </c>
      <c r="EN311" s="229">
        <f>EK311+EH311+EL311</f>
        <v>166.67</v>
      </c>
      <c r="EO311" s="229">
        <f>EI311</f>
        <v>172.3</v>
      </c>
      <c r="EP311" s="228">
        <f>EM311+EJ311</f>
        <v>338.97</v>
      </c>
      <c r="EQ311" s="173">
        <f t="shared" si="849"/>
        <v>166.67</v>
      </c>
      <c r="ER311" s="189">
        <v>0</v>
      </c>
      <c r="ES311" s="189">
        <v>17.2</v>
      </c>
      <c r="ET311" s="189">
        <v>7</v>
      </c>
      <c r="EU311" s="189">
        <v>0</v>
      </c>
      <c r="EV311" s="189">
        <v>0</v>
      </c>
      <c r="EW311" s="189">
        <v>147.5</v>
      </c>
      <c r="EX311" s="189">
        <v>0</v>
      </c>
      <c r="EY311" s="189">
        <v>0</v>
      </c>
      <c r="EZ311" s="189">
        <v>0</v>
      </c>
      <c r="FA311" s="189">
        <v>0</v>
      </c>
      <c r="FB311" s="189">
        <v>0</v>
      </c>
      <c r="FC311" s="189">
        <v>100</v>
      </c>
      <c r="FD311" s="189">
        <v>0</v>
      </c>
      <c r="FE311" s="189">
        <v>0</v>
      </c>
      <c r="FF311" s="189">
        <v>0</v>
      </c>
      <c r="FG311" s="189">
        <v>0</v>
      </c>
      <c r="FH311" s="189">
        <v>0</v>
      </c>
      <c r="FI311" s="189">
        <v>0</v>
      </c>
      <c r="FJ311" s="189">
        <v>0</v>
      </c>
      <c r="FK311" s="189">
        <v>271.7</v>
      </c>
      <c r="FL311" s="189">
        <v>226</v>
      </c>
      <c r="FN311" s="132">
        <v>166.67</v>
      </c>
    </row>
    <row r="312" spans="1:170" ht="33" customHeight="1">
      <c r="A312" s="88">
        <f>COUNTIF($H$12:H313,H312)</f>
        <v>66</v>
      </c>
      <c r="B312" s="88" t="s">
        <v>1691</v>
      </c>
      <c r="C312" s="88" t="s">
        <v>205</v>
      </c>
      <c r="D312" s="88"/>
      <c r="E312" s="88"/>
      <c r="F312" s="301" t="s">
        <v>1603</v>
      </c>
      <c r="G312" s="89" t="s">
        <v>17</v>
      </c>
      <c r="H312" s="88">
        <v>5</v>
      </c>
      <c r="I312" s="88">
        <v>5</v>
      </c>
      <c r="J312" s="88">
        <v>5</v>
      </c>
      <c r="K312" s="90" t="s">
        <v>1089</v>
      </c>
      <c r="L312" s="90" t="s">
        <v>1089</v>
      </c>
      <c r="M312" s="214"/>
      <c r="N312" s="88" t="s">
        <v>1804</v>
      </c>
      <c r="O312" s="216">
        <f>BO312</f>
        <v>3.33</v>
      </c>
      <c r="P312" s="88" t="str">
        <f>IF(BO312&lt;3.33,"B1_3",IF(AND(BO312&gt;=3.33,BO312&lt;4.65),"B1_4",IF(AND(BO312&gt;=4.65,BO312&lt;5.42),"B1_5",IF(AND(BO312&gt;=5.42,BO312&lt;6.44),"B1_6",IF(AND(BO312&gt;=6.44,BO312&lt;=6.92),"B1_7","B1_8")))))</f>
        <v>B1_4</v>
      </c>
      <c r="Q312" s="88">
        <f>IF(M312&gt;0,VLOOKUP(P312,ma_dinhmuc_moi,2,0)/2,VLOOKUP(P312,ma_dinhmuc_moi,2,0))</f>
        <v>270</v>
      </c>
      <c r="R312" s="88">
        <f>IF(M312&gt;0,VLOOKUP(P312,ma_dinhmuc_moi,3,0)/2,VLOOKUP(P312,ma_dinhmuc_moi,3,0))</f>
        <v>120</v>
      </c>
      <c r="S312" s="218" t="s">
        <v>2652</v>
      </c>
      <c r="T312" s="88" t="s">
        <v>3088</v>
      </c>
      <c r="U312" s="88">
        <f>IF(RIGHT(T312,1)="K",(VLOOKUP(T312,ma_miengiam!$A$3:$B$80,2,0)*100)/2,VLOOKUP(T312,ma_miengiam!$A$3:$B$80,2,0)*100)</f>
        <v>0</v>
      </c>
      <c r="V312" s="88">
        <v>7</v>
      </c>
      <c r="W312" s="220">
        <f>IF(AND(T312="NTS",V312&gt;0),(Q312-(Q312*V312)/12)*VLOOKUP(T312,ma_miengiam!$A$3:$B$80,2,0)+(Q312-(Q312*(12-V312))/12),IF(AND(RIGHT(T312,1)="K",V312&gt;0),(VLOOKUP(T312,ma_miengiam!$A$3:$B$80,2,0)/2)*(Q312*V312)/12,IF(RIGHT(T312,1)="K",(VLOOKUP(T312,ma_miengiam!$A$3:$B$80,2,0)*Q312)/2,IF(V312&gt;0,VLOOKUP(T312,ma_miengiam!$A$3:$B$80,2,0)*Q312*V312/12,VLOOKUP(T312,ma_miengiam!$A$3:$B$80,2,0)*Q312))))</f>
        <v>0</v>
      </c>
      <c r="X312" s="220">
        <f>IF(T312="NTS",VLOOKUP(T312,ma_miengiam!$A$3:$B$80,2,0)*R312*V312,IF(AND(T312="NTS",V312=0),0,IF(AND(LEFT(T312,1)="K",V312=0),VLOOKUP(T312,ma_miengiam!$A$3:$B$80,2,0)*R312,IF(LEFT(T312,1)="K",(VLOOKUP(T312,ma_miengiam!$A$3:$B$80,2,0)*R312/12)*V312,IF(AND(LEFT(T312,1)="S",V312&gt;0),(R312/12)*V312,IF(AND(LEFT(T312,1)="S",V312=0),R312,IF(T312="DH",VLOOKUP(T312,ma_miengiam!$A$3:$B$80,2,0)*R312,0)))))))</f>
        <v>0</v>
      </c>
      <c r="Y312" s="220">
        <f>IF(AND(T312="DH",V312&gt;0),(S312*V312/12),IF(AND(T312&lt;&gt;"NTS",V312&gt;0),(Q312*V312/12)-W312,IF(AND(T312="NTS",V312&gt;0),Q312-W312,Q312-W312)))</f>
        <v>157.5</v>
      </c>
      <c r="Z312" s="220">
        <f>IF(AND(T312="SĐH",V312&gt;0),(R312/12)*V312-X312,IF(AND(T312="DH",V312&gt;0),(R312*V312/12),IF(AND(T312&lt;&gt;"NTS",V312&gt;0),(R312*V312/12)-X312,IF(AND(T312="NTS",V312&gt;0),R312-X312,R312-X312))))</f>
        <v>70</v>
      </c>
      <c r="AA312" s="220">
        <f>Q312</f>
        <v>270</v>
      </c>
      <c r="AB312" s="220">
        <f>R312</f>
        <v>120</v>
      </c>
      <c r="AC312" s="220">
        <f t="shared" ref="AC312:AF313" si="986">W312</f>
        <v>0</v>
      </c>
      <c r="AD312" s="220">
        <f t="shared" si="986"/>
        <v>0</v>
      </c>
      <c r="AE312" s="220">
        <f t="shared" si="986"/>
        <v>157.5</v>
      </c>
      <c r="AF312" s="220">
        <f t="shared" si="986"/>
        <v>70</v>
      </c>
      <c r="AG312" s="220">
        <f>AH312+AI312</f>
        <v>37.5</v>
      </c>
      <c r="AH312" s="220">
        <f>EO312</f>
        <v>37.5</v>
      </c>
      <c r="AI312" s="220">
        <f>EN312</f>
        <v>0</v>
      </c>
      <c r="AJ312" s="220">
        <f>IF(AG312-Z312&gt;0,0,AG312-Z312)</f>
        <v>-32.5</v>
      </c>
      <c r="AK312" s="216">
        <f>IF(AJ312&gt;=0,Y312,Y312-AJ312)</f>
        <v>190</v>
      </c>
      <c r="AL312" s="220">
        <f>SUM(CP312:CX312)+SUM(DC312:DK312)</f>
        <v>0</v>
      </c>
      <c r="AM312" s="220">
        <f>SUM(DQ312:DU312)+SUM(DY312:EC312)</f>
        <v>0</v>
      </c>
      <c r="AN312" s="216">
        <f>AM312+AL312</f>
        <v>0</v>
      </c>
      <c r="AO312" s="220">
        <f>CY312+DL312</f>
        <v>0</v>
      </c>
      <c r="AP312" s="220">
        <f>CZ312+DM312</f>
        <v>0</v>
      </c>
      <c r="AQ312" s="220">
        <f>DA312+DN312</f>
        <v>0</v>
      </c>
      <c r="AR312" s="220">
        <f>DV312+ED312</f>
        <v>0</v>
      </c>
      <c r="AS312" s="220">
        <f>DW312+EE312</f>
        <v>0</v>
      </c>
      <c r="AT312" s="216">
        <f>AN312+SUM(AO312:AS312)</f>
        <v>0</v>
      </c>
      <c r="AU312" s="220">
        <f>AN312-AK312</f>
        <v>-190</v>
      </c>
      <c r="AV312" s="220"/>
      <c r="AW312" s="220">
        <f>IF(AU312&gt;0,AU312,AV312+AU312)</f>
        <v>-190</v>
      </c>
      <c r="AX312" s="216">
        <f>IF(AN312&gt;AK312,0,IF(AW312&lt;0,AN312-AK312+AV312,IF(AW312&gt;=0,0)))</f>
        <v>-190</v>
      </c>
      <c r="AY312" s="220">
        <f>IF(AN312&gt;=AK312,AO312,IF(AN312+AO312-AK312&gt;=0,AN312+AO312-AK312,0))</f>
        <v>0</v>
      </c>
      <c r="AZ312" s="220">
        <f>IF(OR(AN312&gt;=AK312,AN312+AO312&gt;=AK312),AP312,IF(AN312+AO312+AP312&gt;AK312,AN312+AO312+AP312-AK312,0))</f>
        <v>0</v>
      </c>
      <c r="BA312" s="220">
        <f>IF(OR(AN312&gt;=AK312,AN312+AO312&gt;=AK312,AN312+AO312+AP312&gt;=AK312),AQ312,IF(AN312+AO312+AP312+AQ312&gt;=AK312,AN312+AO312+AP312+AQ312-AK312,0))</f>
        <v>0</v>
      </c>
      <c r="BB312" s="220">
        <f>IF(OR(AN312&gt;=AK312,AN312+AO312&gt;=AK312,AN312+AO312+AP312&gt;=AK312,AN312+AO312+AP312+AQ312&gt;=AK312),AR312,IF(AN312+AO312+AP312+AQ312+AR312&gt;=AK312,AN312+AO312+AP312+AQ312+AR312-AK312,0))</f>
        <v>0</v>
      </c>
      <c r="BC312" s="220">
        <f>IF(OR(AN312&gt;=AK312,AN312+AO312&gt;=AK312,AN312+AO312+AP312&gt;=AK312,AN312+AO312+AP312+AQ312&gt;=AK312,AN312+AO312+AP312+AQ312+AR312&gt;=AK312),AS312,IF(AN312+AO312+AP312+AQ312+AR312+AS312&gt;=AK312,AN312+AO312+AP312+AQ312+AR312+AS312-AK312,0))</f>
        <v>0</v>
      </c>
      <c r="BD312" s="216">
        <f>SUM(AY312:BC312)</f>
        <v>0</v>
      </c>
      <c r="BE312" s="220">
        <f t="shared" ref="BE312:BI313" si="987">AY312-AO312</f>
        <v>0</v>
      </c>
      <c r="BF312" s="220">
        <f t="shared" si="987"/>
        <v>0</v>
      </c>
      <c r="BG312" s="220">
        <f t="shared" si="987"/>
        <v>0</v>
      </c>
      <c r="BH312" s="220">
        <f t="shared" si="987"/>
        <v>0</v>
      </c>
      <c r="BI312" s="220">
        <f t="shared" si="987"/>
        <v>0</v>
      </c>
      <c r="BJ312" s="220" t="s">
        <v>2419</v>
      </c>
      <c r="BK312" s="220"/>
      <c r="BL312" s="223">
        <f>IF(AW312&lt;BK312,0,IF(AND(BK312=0,AW312&gt;0),AW312,IF(AW312&lt;0,0,IF(BK312&gt;0,AW312-BK312,IF(BK312&lt;0,0,AW312)))))</f>
        <v>0</v>
      </c>
      <c r="BM312" s="220">
        <v>3.33</v>
      </c>
      <c r="BN312" s="220"/>
      <c r="BO312" s="220">
        <f>ROUND(BM312+(BM312*BN312),2)</f>
        <v>3.33</v>
      </c>
      <c r="BP312" s="220">
        <f>IF(AND(BL312&gt;0,BL312&lt;tiet!$D$1),BL312,IF(BL312&lt;=0,0,IF(BL312&gt;tiet!$C$1,tiet!$C$1)))</f>
        <v>0</v>
      </c>
      <c r="BQ312" s="87">
        <f>VLOOKUP(P312,ma_dinhmuc_moi,4,0)</f>
        <v>65000</v>
      </c>
      <c r="BR312" s="224">
        <f>ROUND(BQ312*BP312,0)</f>
        <v>0</v>
      </c>
      <c r="BS312" s="220">
        <f t="shared" si="846"/>
        <v>0</v>
      </c>
      <c r="BT312" s="224">
        <f>VLOOKUP(N312,ma_dinhmuc!$A$1:$J$31,10,0)</f>
        <v>51000</v>
      </c>
      <c r="BU312" s="224">
        <f>ROUND(IF(BS312&gt;0,VLOOKUP(N312,ma_dinhmuc!$A$1:$J$31,10,0)*BS312,0),0)</f>
        <v>0</v>
      </c>
      <c r="BV312" s="224">
        <f>ROUND(BU312+BR312,0)</f>
        <v>0</v>
      </c>
      <c r="BW312" s="224"/>
      <c r="BX312" s="224">
        <v>0</v>
      </c>
      <c r="BY312" s="224"/>
      <c r="BZ312" s="224"/>
      <c r="CA312" s="224"/>
      <c r="CB312" s="224"/>
      <c r="CC312" s="225">
        <f>ROUND(IF(BV312+BW312&gt;BX312+BY312+BZ312+CA312+CB312,(BW312+BV312)-(BX312+BY312+BZ312+CA312+CB312+CB312),0),0)</f>
        <v>0</v>
      </c>
      <c r="CD312" s="224">
        <f>ROUND(IF(BV312+BW312&lt;BX312+BY312+BZ312+CA312-CB312,(BX312+BY312+BZ312+CA312-CB312)-(BW312+BV312),0),0)</f>
        <v>0</v>
      </c>
      <c r="CE312" s="224"/>
      <c r="CF312" s="226"/>
      <c r="CG312" s="87"/>
      <c r="CH312" s="87">
        <f>A312</f>
        <v>66</v>
      </c>
      <c r="CI312" s="227" t="str">
        <f t="shared" si="984"/>
        <v>Dương Nam</v>
      </c>
      <c r="CJ312" s="227" t="str">
        <f t="shared" si="984"/>
        <v>Hà</v>
      </c>
      <c r="CK312" s="87">
        <f>H312</f>
        <v>5</v>
      </c>
      <c r="CL312" s="227" t="str">
        <f>L312</f>
        <v>Phân tích định lượng</v>
      </c>
      <c r="CM312" s="87" t="str">
        <f>N312</f>
        <v>CS2</v>
      </c>
      <c r="CN312" s="87">
        <f t="shared" si="985"/>
        <v>270</v>
      </c>
      <c r="CO312" s="87">
        <f t="shared" si="985"/>
        <v>120</v>
      </c>
      <c r="CP312" s="229">
        <f t="shared" si="852"/>
        <v>0</v>
      </c>
      <c r="CQ312" s="229">
        <f t="shared" si="853"/>
        <v>0</v>
      </c>
      <c r="CR312" s="229">
        <f t="shared" si="854"/>
        <v>0</v>
      </c>
      <c r="CS312" s="229">
        <f t="shared" si="855"/>
        <v>0</v>
      </c>
      <c r="CT312" s="229">
        <f t="shared" si="856"/>
        <v>0</v>
      </c>
      <c r="CU312" s="229">
        <f t="shared" si="857"/>
        <v>0</v>
      </c>
      <c r="CV312" s="229">
        <f t="shared" si="858"/>
        <v>0</v>
      </c>
      <c r="CW312" s="229">
        <f t="shared" si="859"/>
        <v>0</v>
      </c>
      <c r="CX312" s="229">
        <f t="shared" si="860"/>
        <v>0</v>
      </c>
      <c r="CY312" s="229">
        <f t="shared" si="861"/>
        <v>0</v>
      </c>
      <c r="CZ312" s="229">
        <f t="shared" si="862"/>
        <v>0</v>
      </c>
      <c r="DA312" s="229">
        <f t="shared" si="863"/>
        <v>0</v>
      </c>
      <c r="DB312" s="228">
        <f>SUM(CP312:DA312)</f>
        <v>0</v>
      </c>
      <c r="DC312" s="229"/>
      <c r="DD312" s="229"/>
      <c r="DE312" s="229"/>
      <c r="DF312" s="229"/>
      <c r="DG312" s="229"/>
      <c r="DH312" s="229"/>
      <c r="DI312" s="229"/>
      <c r="DJ312" s="229"/>
      <c r="DK312" s="229"/>
      <c r="DL312" s="229"/>
      <c r="DM312" s="229"/>
      <c r="DN312" s="229"/>
      <c r="DO312" s="228">
        <f>SUM(DC312:DN312)</f>
        <v>0</v>
      </c>
      <c r="DP312" s="228">
        <f>DO312+DB312</f>
        <v>0</v>
      </c>
      <c r="DQ312" s="229">
        <f t="shared" si="864"/>
        <v>0</v>
      </c>
      <c r="DR312" s="229">
        <f t="shared" si="865"/>
        <v>0</v>
      </c>
      <c r="DS312" s="229">
        <f t="shared" si="866"/>
        <v>0</v>
      </c>
      <c r="DT312" s="229">
        <f t="shared" si="867"/>
        <v>0</v>
      </c>
      <c r="DU312" s="229">
        <f t="shared" si="868"/>
        <v>0</v>
      </c>
      <c r="DV312" s="229">
        <f t="shared" si="869"/>
        <v>0</v>
      </c>
      <c r="DW312" s="229">
        <f t="shared" si="870"/>
        <v>0</v>
      </c>
      <c r="DX312" s="228">
        <f>SUM(DQ312:DW312)</f>
        <v>0</v>
      </c>
      <c r="DY312" s="229"/>
      <c r="DZ312" s="229"/>
      <c r="EA312" s="229"/>
      <c r="EB312" s="229"/>
      <c r="EC312" s="229"/>
      <c r="ED312" s="229"/>
      <c r="EE312" s="229"/>
      <c r="EF312" s="228">
        <f t="shared" si="847"/>
        <v>0</v>
      </c>
      <c r="EG312" s="228">
        <f>EF312+DX312</f>
        <v>0</v>
      </c>
      <c r="EH312" s="229">
        <f t="shared" si="848"/>
        <v>0</v>
      </c>
      <c r="EI312" s="229">
        <v>37.5</v>
      </c>
      <c r="EJ312" s="228">
        <f>SUM(EH312:EI312)</f>
        <v>37.5</v>
      </c>
      <c r="EK312" s="229"/>
      <c r="EL312" s="229"/>
      <c r="EM312" s="228">
        <f>SUM(EK312:EL312)</f>
        <v>0</v>
      </c>
      <c r="EN312" s="229">
        <f>EK312+EH312+EL312</f>
        <v>0</v>
      </c>
      <c r="EO312" s="229">
        <f>EI312</f>
        <v>37.5</v>
      </c>
      <c r="EP312" s="228">
        <f>EM312+EJ312</f>
        <v>37.5</v>
      </c>
      <c r="EQ312" s="173">
        <f t="shared" si="849"/>
        <v>0</v>
      </c>
      <c r="ER312" s="189">
        <v>0</v>
      </c>
      <c r="ES312" s="189">
        <v>0</v>
      </c>
      <c r="ET312" s="189">
        <v>0</v>
      </c>
      <c r="EU312" s="189">
        <v>0</v>
      </c>
      <c r="EV312" s="189">
        <v>0</v>
      </c>
      <c r="EW312" s="189">
        <v>0</v>
      </c>
      <c r="EX312" s="189">
        <v>0</v>
      </c>
      <c r="EY312" s="189">
        <v>0</v>
      </c>
      <c r="EZ312" s="189">
        <v>0</v>
      </c>
      <c r="FA312" s="189">
        <v>0</v>
      </c>
      <c r="FB312" s="189">
        <v>0</v>
      </c>
      <c r="FC312" s="189">
        <v>0</v>
      </c>
      <c r="FD312" s="189">
        <v>0</v>
      </c>
      <c r="FE312" s="189">
        <v>0</v>
      </c>
      <c r="FF312" s="189">
        <v>0</v>
      </c>
      <c r="FG312" s="189">
        <v>0</v>
      </c>
      <c r="FH312" s="189">
        <v>0</v>
      </c>
      <c r="FI312" s="189">
        <v>0</v>
      </c>
      <c r="FJ312" s="189">
        <v>0</v>
      </c>
      <c r="FK312" s="189">
        <v>0</v>
      </c>
      <c r="FL312" s="189">
        <v>0</v>
      </c>
      <c r="FN312" s="132">
        <v>0</v>
      </c>
    </row>
    <row r="313" spans="1:170" ht="30" customHeight="1">
      <c r="A313" s="88">
        <f>COUNTIF($H$12:H313,H313)</f>
        <v>66</v>
      </c>
      <c r="B313" s="88" t="s">
        <v>1690</v>
      </c>
      <c r="C313" s="88" t="s">
        <v>1311</v>
      </c>
      <c r="D313" s="88"/>
      <c r="E313" s="88"/>
      <c r="F313" s="301" t="s">
        <v>1139</v>
      </c>
      <c r="G313" s="89" t="s">
        <v>3065</v>
      </c>
      <c r="H313" s="88">
        <v>5</v>
      </c>
      <c r="I313" s="88">
        <v>5</v>
      </c>
      <c r="J313" s="88">
        <v>5</v>
      </c>
      <c r="K313" s="90" t="s">
        <v>1089</v>
      </c>
      <c r="L313" s="90" t="s">
        <v>1089</v>
      </c>
      <c r="M313" s="214"/>
      <c r="N313" s="88" t="s">
        <v>1804</v>
      </c>
      <c r="O313" s="216">
        <f>BO313</f>
        <v>3</v>
      </c>
      <c r="P313" s="88" t="str">
        <f t="shared" si="880"/>
        <v>B1_3</v>
      </c>
      <c r="Q313" s="88">
        <f t="shared" si="951"/>
        <v>270</v>
      </c>
      <c r="R313" s="88">
        <f t="shared" si="952"/>
        <v>100</v>
      </c>
      <c r="S313" s="218" t="s">
        <v>3182</v>
      </c>
      <c r="T313" s="88" t="s">
        <v>2961</v>
      </c>
      <c r="U313" s="88">
        <f>IF(RIGHT(T313,1)="K",(VLOOKUP(T313,ma_miengiam!$A$3:$B$80,2,0)*100)/2,VLOOKUP(T313,ma_miengiam!$A$3:$B$80,2,0)*100)</f>
        <v>100</v>
      </c>
      <c r="V313" s="88"/>
      <c r="W313" s="220">
        <f>IF(AND(T313="NTS",V313&gt;0),(Q313-(Q313*V313)/12)*VLOOKUP(T313,ma_miengiam!$A$3:$B$80,2,0)+(Q313-(Q313*(12-V313))/12),IF(AND(RIGHT(T313,1)="K",V313&gt;0),(VLOOKUP(T313,ma_miengiam!$A$3:$B$80,2,0)/2)*(Q313*V313)/12,IF(RIGHT(T313,1)="K",(VLOOKUP(T313,ma_miengiam!$A$3:$B$80,2,0)*Q313)/2,IF(V313&gt;0,VLOOKUP(T313,ma_miengiam!$A$3:$B$80,2,0)*Q313*V313/12,VLOOKUP(T313,ma_miengiam!$A$3:$B$80,2,0)*Q313))))</f>
        <v>270</v>
      </c>
      <c r="X313" s="220">
        <f>IF(T313="NTS",VLOOKUP(T313,ma_miengiam!$A$3:$B$80,2,0)*R313*V313,IF(AND(T313="NTS",V313=0),0,IF(AND(LEFT(T313,1)="K",V313=0),VLOOKUP(T313,ma_miengiam!$A$3:$B$80,2,0)*R313,IF(LEFT(T313,1)="K",(VLOOKUP(T313,ma_miengiam!$A$3:$B$80,2,0)*R313/12)*V313,IF(AND(LEFT(T313,1)="S",V313&gt;0),(R313/12)*V313,IF(AND(LEFT(T313,1)="S",V313=0),R313,IF(T313="DH",VLOOKUP(T313,ma_miengiam!$A$3:$B$80,2,0)*R313,0)))))))</f>
        <v>100</v>
      </c>
      <c r="Y313" s="220">
        <f>IF(AND(T313="DH",V313&gt;0),(S313*V313/12),IF(AND(T313&lt;&gt;"NTS",V313&gt;0),(Q313*V313/12)-W313,IF(AND(T313="NTS",V313&gt;0),Q313-W313,Q313-W313)))</f>
        <v>0</v>
      </c>
      <c r="Z313" s="220">
        <f>IF(AND(T313="SĐH",V313&gt;0),(R313/12)*V313-X313,IF(AND(T313="DH",V313&gt;0),(R313*V313/12),IF(AND(T313&lt;&gt;"NTS",V313&gt;0),(R313*V313/12)-X313,IF(AND(T313="NTS",V313&gt;0),R313-X313,R313-X313))))</f>
        <v>0</v>
      </c>
      <c r="AA313" s="220">
        <f>Q313</f>
        <v>270</v>
      </c>
      <c r="AB313" s="220">
        <f>R313</f>
        <v>100</v>
      </c>
      <c r="AC313" s="220">
        <f t="shared" si="986"/>
        <v>270</v>
      </c>
      <c r="AD313" s="220">
        <f t="shared" si="986"/>
        <v>100</v>
      </c>
      <c r="AE313" s="220">
        <f t="shared" si="986"/>
        <v>0</v>
      </c>
      <c r="AF313" s="220">
        <f t="shared" si="986"/>
        <v>0</v>
      </c>
      <c r="AG313" s="220">
        <f t="shared" si="974"/>
        <v>0</v>
      </c>
      <c r="AH313" s="220">
        <f t="shared" si="975"/>
        <v>0</v>
      </c>
      <c r="AI313" s="220">
        <f t="shared" si="976"/>
        <v>0</v>
      </c>
      <c r="AJ313" s="220">
        <f t="shared" si="918"/>
        <v>0</v>
      </c>
      <c r="AK313" s="216">
        <f t="shared" si="794"/>
        <v>0</v>
      </c>
      <c r="AL313" s="220">
        <f t="shared" si="795"/>
        <v>0</v>
      </c>
      <c r="AM313" s="220">
        <f t="shared" si="796"/>
        <v>0</v>
      </c>
      <c r="AN313" s="221">
        <f t="shared" si="797"/>
        <v>0</v>
      </c>
      <c r="AO313" s="220">
        <f t="shared" si="798"/>
        <v>0</v>
      </c>
      <c r="AP313" s="220">
        <f t="shared" si="799"/>
        <v>0</v>
      </c>
      <c r="AQ313" s="220">
        <f t="shared" si="800"/>
        <v>0</v>
      </c>
      <c r="AR313" s="220">
        <f t="shared" si="801"/>
        <v>0</v>
      </c>
      <c r="AS313" s="220">
        <f t="shared" si="802"/>
        <v>0</v>
      </c>
      <c r="AT313" s="216">
        <f t="shared" si="803"/>
        <v>0</v>
      </c>
      <c r="AU313" s="220">
        <f>AN313-AK313</f>
        <v>0</v>
      </c>
      <c r="AV313" s="220"/>
      <c r="AW313" s="220">
        <f>IF(AU313&gt;0,AU313,AV313+AU313)</f>
        <v>0</v>
      </c>
      <c r="AX313" s="216">
        <f t="shared" si="820"/>
        <v>0</v>
      </c>
      <c r="AY313" s="220">
        <f>IF(AN313&gt;=AK313,AO313,IF(AN313+AO313-AK313&gt;=0,AN313+AO313-AK313,0))</f>
        <v>0</v>
      </c>
      <c r="AZ313" s="220">
        <f>IF(OR(AN313&gt;=AK313,AN313+AO313&gt;=AK313),AP313,IF(AN313+AO313+AP313&gt;AK313,AN313+AO313+AP313-AK313,0))</f>
        <v>0</v>
      </c>
      <c r="BA313" s="220">
        <f>IF(OR(AN313&gt;=AK313,AN313+AO313&gt;=AK313,AN313+AO313+AP313&gt;=AK313),AQ313,IF(AN313+AO313+AP313+AQ313&gt;=AK313,AN313+AO313+AP313+AQ313-AK313,0))</f>
        <v>0</v>
      </c>
      <c r="BB313" s="220">
        <f>IF(OR(AN313&gt;=AK313,AN313+AO313&gt;=AK313,AN313+AO313+AP313&gt;=AK313,AN313+AO313+AP313+AQ313&gt;=AK313),AR313,IF(AN313+AO313+AP313+AQ313+AR313&gt;=AK313,AN313+AO313+AP313+AQ313+AR313-AK313,0))</f>
        <v>0</v>
      </c>
      <c r="BC313" s="220">
        <f>IF(OR(AN313&gt;=AK313,AN313+AO313&gt;=AK313,AN313+AO313+AP313&gt;=AK313,AN313+AO313+AP313+AQ313&gt;=AK313,AN313+AO313+AP313+AQ313+AR313&gt;=AK313),AS313,IF(AN313+AO313+AP313+AQ313+AR313+AS313&gt;=AK313,AN313+AO313+AP313+AQ313+AR313+AS313-AK313,0))</f>
        <v>0</v>
      </c>
      <c r="BD313" s="216">
        <f t="shared" ref="BD313:BD371" si="988">SUM(AY313:BC313)</f>
        <v>0</v>
      </c>
      <c r="BE313" s="220">
        <f t="shared" si="987"/>
        <v>0</v>
      </c>
      <c r="BF313" s="220">
        <f t="shared" si="987"/>
        <v>0</v>
      </c>
      <c r="BG313" s="220">
        <f t="shared" si="987"/>
        <v>0</v>
      </c>
      <c r="BH313" s="220">
        <f t="shared" si="987"/>
        <v>0</v>
      </c>
      <c r="BI313" s="220">
        <f t="shared" si="987"/>
        <v>0</v>
      </c>
      <c r="BJ313" s="220" t="s">
        <v>2419</v>
      </c>
      <c r="BK313" s="220"/>
      <c r="BL313" s="223">
        <f t="shared" si="773"/>
        <v>0</v>
      </c>
      <c r="BM313" s="220">
        <v>3</v>
      </c>
      <c r="BN313" s="220"/>
      <c r="BO313" s="220">
        <f>ROUND(BM313+(BM313*BN313),2)</f>
        <v>3</v>
      </c>
      <c r="BP313" s="220">
        <f>IF(AND(BL313&gt;0,BL313&lt;tiet!$D$1),BL313,IF(BL313&lt;=0,0,IF(BL313&gt;tiet!$C$1,tiet!$C$1)))</f>
        <v>0</v>
      </c>
      <c r="BQ313" s="87">
        <f t="shared" si="957"/>
        <v>60000</v>
      </c>
      <c r="BR313" s="224">
        <f t="shared" si="958"/>
        <v>0</v>
      </c>
      <c r="BS313" s="220">
        <f t="shared" si="846"/>
        <v>0</v>
      </c>
      <c r="BT313" s="224">
        <f>VLOOKUP(N313,ma_dinhmuc!$A$1:$J$31,10,0)</f>
        <v>51000</v>
      </c>
      <c r="BU313" s="224">
        <f>ROUND(IF(BS313&gt;0,VLOOKUP(N313,ma_dinhmuc!$A$1:$J$31,10,0)*BS313,0),0)</f>
        <v>0</v>
      </c>
      <c r="BV313" s="224">
        <f t="shared" si="959"/>
        <v>0</v>
      </c>
      <c r="BW313" s="224"/>
      <c r="BX313" s="224">
        <v>0</v>
      </c>
      <c r="BY313" s="224"/>
      <c r="BZ313" s="224"/>
      <c r="CA313" s="224"/>
      <c r="CB313" s="224"/>
      <c r="CC313" s="225">
        <f>ROUND(IF(BV313+BW313&gt;BX313+BY313+BZ313+CA313+CB313,(BW313+BV313)-(BX313+BY313+BZ313+CA313+CB313+CB313),0),0)</f>
        <v>0</v>
      </c>
      <c r="CD313" s="224">
        <f>ROUND(IF(BV313+BW313&lt;BX313+BY313+BZ313+CA313-CB313,(BX313+BY313+BZ313+CA313-CB313)-(BW313+BV313),0),0)</f>
        <v>0</v>
      </c>
      <c r="CE313" s="224"/>
      <c r="CF313" s="226"/>
      <c r="CG313" s="87"/>
      <c r="CH313" s="87">
        <f>A313</f>
        <v>66</v>
      </c>
      <c r="CI313" s="227" t="str">
        <f t="shared" si="984"/>
        <v>Nguyễn Thị</v>
      </c>
      <c r="CJ313" s="227" t="str">
        <f t="shared" si="984"/>
        <v>Lý</v>
      </c>
      <c r="CK313" s="87">
        <f>H313</f>
        <v>5</v>
      </c>
      <c r="CL313" s="227" t="str">
        <f>L313</f>
        <v>Phân tích định lượng</v>
      </c>
      <c r="CM313" s="87" t="str">
        <f>N313</f>
        <v>CS2</v>
      </c>
      <c r="CN313" s="87">
        <f t="shared" si="985"/>
        <v>270</v>
      </c>
      <c r="CO313" s="87">
        <f t="shared" si="985"/>
        <v>100</v>
      </c>
      <c r="CP313" s="229">
        <f t="shared" si="852"/>
        <v>0</v>
      </c>
      <c r="CQ313" s="229">
        <f t="shared" si="853"/>
        <v>0</v>
      </c>
      <c r="CR313" s="229">
        <f t="shared" si="854"/>
        <v>0</v>
      </c>
      <c r="CS313" s="229">
        <f t="shared" si="855"/>
        <v>0</v>
      </c>
      <c r="CT313" s="229">
        <f t="shared" si="856"/>
        <v>0</v>
      </c>
      <c r="CU313" s="229">
        <f t="shared" si="857"/>
        <v>0</v>
      </c>
      <c r="CV313" s="229">
        <f t="shared" si="858"/>
        <v>0</v>
      </c>
      <c r="CW313" s="229">
        <f t="shared" si="859"/>
        <v>0</v>
      </c>
      <c r="CX313" s="229">
        <f t="shared" si="860"/>
        <v>0</v>
      </c>
      <c r="CY313" s="229">
        <f t="shared" si="861"/>
        <v>0</v>
      </c>
      <c r="CZ313" s="229">
        <f t="shared" si="862"/>
        <v>0</v>
      </c>
      <c r="DA313" s="229">
        <f t="shared" si="863"/>
        <v>0</v>
      </c>
      <c r="DB313" s="228">
        <f t="shared" si="792"/>
        <v>0</v>
      </c>
      <c r="DC313" s="229"/>
      <c r="DD313" s="229"/>
      <c r="DE313" s="229"/>
      <c r="DF313" s="229"/>
      <c r="DG313" s="229"/>
      <c r="DH313" s="229"/>
      <c r="DI313" s="229"/>
      <c r="DJ313" s="229"/>
      <c r="DK313" s="229"/>
      <c r="DL313" s="229"/>
      <c r="DM313" s="229"/>
      <c r="DN313" s="229"/>
      <c r="DO313" s="228">
        <f t="shared" si="812"/>
        <v>0</v>
      </c>
      <c r="DP313" s="228">
        <f t="shared" si="813"/>
        <v>0</v>
      </c>
      <c r="DQ313" s="229">
        <f t="shared" si="864"/>
        <v>0</v>
      </c>
      <c r="DR313" s="229">
        <f t="shared" si="865"/>
        <v>0</v>
      </c>
      <c r="DS313" s="229">
        <f t="shared" si="866"/>
        <v>0</v>
      </c>
      <c r="DT313" s="229">
        <f t="shared" si="867"/>
        <v>0</v>
      </c>
      <c r="DU313" s="229">
        <f t="shared" si="868"/>
        <v>0</v>
      </c>
      <c r="DV313" s="229">
        <f t="shared" si="869"/>
        <v>0</v>
      </c>
      <c r="DW313" s="229">
        <f t="shared" si="870"/>
        <v>0</v>
      </c>
      <c r="DX313" s="228">
        <f t="shared" si="793"/>
        <v>0</v>
      </c>
      <c r="DY313" s="229"/>
      <c r="DZ313" s="229"/>
      <c r="EA313" s="229"/>
      <c r="EB313" s="229"/>
      <c r="EC313" s="229"/>
      <c r="ED313" s="229"/>
      <c r="EE313" s="229"/>
      <c r="EF313" s="228">
        <f t="shared" si="847"/>
        <v>0</v>
      </c>
      <c r="EG313" s="228">
        <f t="shared" si="814"/>
        <v>0</v>
      </c>
      <c r="EH313" s="229">
        <f t="shared" si="848"/>
        <v>0</v>
      </c>
      <c r="EI313" s="229">
        <v>0</v>
      </c>
      <c r="EJ313" s="228">
        <f>SUM(EH313:EI313)</f>
        <v>0</v>
      </c>
      <c r="EK313" s="229"/>
      <c r="EL313" s="229"/>
      <c r="EM313" s="228">
        <f>SUM(EK313:EL313)</f>
        <v>0</v>
      </c>
      <c r="EN313" s="229">
        <f>EK313+EH313+EL313</f>
        <v>0</v>
      </c>
      <c r="EO313" s="229">
        <f>EI313</f>
        <v>0</v>
      </c>
      <c r="EP313" s="228">
        <f>EM313+EJ313</f>
        <v>0</v>
      </c>
      <c r="EQ313" s="173">
        <f t="shared" si="849"/>
        <v>0</v>
      </c>
      <c r="ER313" s="189">
        <v>0</v>
      </c>
      <c r="ES313" s="189">
        <v>0</v>
      </c>
      <c r="ET313" s="189">
        <v>0</v>
      </c>
      <c r="EU313" s="189">
        <v>0</v>
      </c>
      <c r="EV313" s="189">
        <v>0</v>
      </c>
      <c r="EW313" s="189">
        <v>0</v>
      </c>
      <c r="EX313" s="189">
        <v>0</v>
      </c>
      <c r="EY313" s="189">
        <v>0</v>
      </c>
      <c r="EZ313" s="189">
        <v>0</v>
      </c>
      <c r="FA313" s="189">
        <v>0</v>
      </c>
      <c r="FB313" s="189">
        <v>0</v>
      </c>
      <c r="FC313" s="189">
        <v>0</v>
      </c>
      <c r="FD313" s="189">
        <v>0</v>
      </c>
      <c r="FE313" s="189">
        <v>0</v>
      </c>
      <c r="FF313" s="189">
        <v>0</v>
      </c>
      <c r="FG313" s="189">
        <v>0</v>
      </c>
      <c r="FH313" s="189">
        <v>0</v>
      </c>
      <c r="FI313" s="189">
        <v>0</v>
      </c>
      <c r="FJ313" s="189">
        <v>0</v>
      </c>
      <c r="FK313" s="189">
        <v>0</v>
      </c>
      <c r="FL313" s="189">
        <v>0</v>
      </c>
      <c r="FN313" s="132">
        <v>0</v>
      </c>
    </row>
    <row r="314" spans="1:170" ht="30" customHeight="1">
      <c r="A314" s="88">
        <f>COUNTIF($H$12:H314,H314)</f>
        <v>67</v>
      </c>
      <c r="B314" s="88" t="s">
        <v>1694</v>
      </c>
      <c r="C314" s="88" t="s">
        <v>875</v>
      </c>
      <c r="D314" s="88"/>
      <c r="E314" s="88"/>
      <c r="F314" s="301" t="s">
        <v>1572</v>
      </c>
      <c r="G314" s="89" t="s">
        <v>1573</v>
      </c>
      <c r="H314" s="88">
        <v>5</v>
      </c>
      <c r="I314" s="88">
        <v>5</v>
      </c>
      <c r="J314" s="88">
        <v>5</v>
      </c>
      <c r="K314" s="90" t="s">
        <v>1089</v>
      </c>
      <c r="L314" s="90" t="s">
        <v>1089</v>
      </c>
      <c r="M314" s="214"/>
      <c r="N314" s="88" t="s">
        <v>1804</v>
      </c>
      <c r="O314" s="216">
        <f t="shared" si="977"/>
        <v>2.67</v>
      </c>
      <c r="P314" s="88" t="str">
        <f t="shared" si="880"/>
        <v>B1_3</v>
      </c>
      <c r="Q314" s="88">
        <f t="shared" si="951"/>
        <v>270</v>
      </c>
      <c r="R314" s="88">
        <f t="shared" si="952"/>
        <v>100</v>
      </c>
      <c r="S314" s="218" t="s">
        <v>2839</v>
      </c>
      <c r="T314" s="88" t="s">
        <v>2961</v>
      </c>
      <c r="U314" s="88">
        <f>IF(RIGHT(T314,1)="K",(VLOOKUP(T314,ma_miengiam!$A$3:$B$80,2,0)*100)/2,VLOOKUP(T314,ma_miengiam!$A$3:$B$80,2,0)*100)</f>
        <v>100</v>
      </c>
      <c r="V314" s="88"/>
      <c r="W314" s="220">
        <f>IF(AND(T314="NTS",V314&gt;0),(Q314-(Q314*V314)/12)*VLOOKUP(T314,ma_miengiam!$A$3:$B$80,2,0)+(Q314-(Q314*(12-V314))/12),IF(AND(RIGHT(T314,1)="K",V314&gt;0),(VLOOKUP(T314,ma_miengiam!$A$3:$B$80,2,0)/2)*(Q314*V314)/12,IF(RIGHT(T314,1)="K",(VLOOKUP(T314,ma_miengiam!$A$3:$B$80,2,0)*Q314)/2,IF(V314&gt;0,VLOOKUP(T314,ma_miengiam!$A$3:$B$80,2,0)*Q314*V314/12,VLOOKUP(T314,ma_miengiam!$A$3:$B$80,2,0)*Q314))))</f>
        <v>270</v>
      </c>
      <c r="X314" s="220">
        <f>IF(T314="NTS",VLOOKUP(T314,ma_miengiam!$A$3:$B$80,2,0)*R314*V314,IF(AND(T314="NTS",V314=0),0,IF(AND(LEFT(T314,1)="K",V314=0),VLOOKUP(T314,ma_miengiam!$A$3:$B$80,2,0)*R314,IF(LEFT(T314,1)="K",(VLOOKUP(T314,ma_miengiam!$A$3:$B$80,2,0)*R314/12)*V314,IF(AND(LEFT(T314,1)="S",V314&gt;0),(R314/12)*V314,IF(AND(LEFT(T314,1)="S",V314=0),R314,IF(T314="DH",VLOOKUP(T314,ma_miengiam!$A$3:$B$80,2,0)*R314,0)))))))</f>
        <v>100</v>
      </c>
      <c r="Y314" s="220">
        <f t="shared" si="932"/>
        <v>0</v>
      </c>
      <c r="Z314" s="220">
        <f t="shared" si="908"/>
        <v>0</v>
      </c>
      <c r="AA314" s="220">
        <f t="shared" si="981"/>
        <v>270</v>
      </c>
      <c r="AB314" s="220">
        <f t="shared" si="981"/>
        <v>100</v>
      </c>
      <c r="AC314" s="220">
        <f t="shared" si="982"/>
        <v>270</v>
      </c>
      <c r="AD314" s="220">
        <f t="shared" si="982"/>
        <v>100</v>
      </c>
      <c r="AE314" s="220">
        <f t="shared" si="982"/>
        <v>0</v>
      </c>
      <c r="AF314" s="220">
        <f t="shared" si="982"/>
        <v>0</v>
      </c>
      <c r="AG314" s="220">
        <f t="shared" si="974"/>
        <v>70</v>
      </c>
      <c r="AH314" s="220">
        <f t="shared" si="975"/>
        <v>30</v>
      </c>
      <c r="AI314" s="220">
        <f t="shared" si="976"/>
        <v>40</v>
      </c>
      <c r="AJ314" s="220">
        <f t="shared" si="918"/>
        <v>0</v>
      </c>
      <c r="AK314" s="216">
        <f t="shared" si="794"/>
        <v>0</v>
      </c>
      <c r="AL314" s="220">
        <f t="shared" si="795"/>
        <v>0</v>
      </c>
      <c r="AM314" s="220">
        <f t="shared" si="796"/>
        <v>0</v>
      </c>
      <c r="AN314" s="221">
        <f t="shared" si="797"/>
        <v>0</v>
      </c>
      <c r="AO314" s="220">
        <f t="shared" si="798"/>
        <v>0</v>
      </c>
      <c r="AP314" s="220">
        <f t="shared" si="799"/>
        <v>0</v>
      </c>
      <c r="AQ314" s="220">
        <f t="shared" si="800"/>
        <v>0</v>
      </c>
      <c r="AR314" s="220">
        <f t="shared" si="801"/>
        <v>0</v>
      </c>
      <c r="AS314" s="220">
        <f t="shared" si="802"/>
        <v>0</v>
      </c>
      <c r="AT314" s="216">
        <f t="shared" si="803"/>
        <v>0</v>
      </c>
      <c r="AU314" s="222">
        <f t="shared" si="919"/>
        <v>0</v>
      </c>
      <c r="AV314" s="220"/>
      <c r="AW314" s="220">
        <f t="shared" si="804"/>
        <v>0</v>
      </c>
      <c r="AX314" s="216">
        <f t="shared" si="820"/>
        <v>0</v>
      </c>
      <c r="AY314" s="220">
        <f t="shared" si="815"/>
        <v>0</v>
      </c>
      <c r="AZ314" s="220">
        <f t="shared" si="816"/>
        <v>0</v>
      </c>
      <c r="BA314" s="220">
        <f t="shared" si="817"/>
        <v>0</v>
      </c>
      <c r="BB314" s="220">
        <f t="shared" si="818"/>
        <v>0</v>
      </c>
      <c r="BC314" s="220">
        <f t="shared" si="819"/>
        <v>0</v>
      </c>
      <c r="BD314" s="216">
        <f t="shared" si="988"/>
        <v>0</v>
      </c>
      <c r="BE314" s="220">
        <f t="shared" si="805"/>
        <v>0</v>
      </c>
      <c r="BF314" s="220">
        <f t="shared" si="806"/>
        <v>0</v>
      </c>
      <c r="BG314" s="220">
        <f t="shared" si="807"/>
        <v>0</v>
      </c>
      <c r="BH314" s="220">
        <f t="shared" si="808"/>
        <v>0</v>
      </c>
      <c r="BI314" s="220">
        <f t="shared" si="809"/>
        <v>0</v>
      </c>
      <c r="BJ314" s="220" t="s">
        <v>2419</v>
      </c>
      <c r="BK314" s="220"/>
      <c r="BL314" s="223">
        <f t="shared" si="773"/>
        <v>0</v>
      </c>
      <c r="BM314" s="220">
        <v>2.67</v>
      </c>
      <c r="BN314" s="220"/>
      <c r="BO314" s="220">
        <f t="shared" ref="BO314:BO320" si="989">ROUND(BM314+(BM314*BN314),2)</f>
        <v>2.67</v>
      </c>
      <c r="BP314" s="220">
        <f>IF(AND(BL314&gt;0,BL314&lt;tiet!$D$1),BL314,IF(BL314&lt;=0,0,IF(BL314&gt;tiet!$C$1,tiet!$C$1)))</f>
        <v>0</v>
      </c>
      <c r="BQ314" s="87">
        <f t="shared" si="957"/>
        <v>60000</v>
      </c>
      <c r="BR314" s="224">
        <f t="shared" si="958"/>
        <v>0</v>
      </c>
      <c r="BS314" s="220">
        <f t="shared" si="846"/>
        <v>0</v>
      </c>
      <c r="BT314" s="224">
        <f>VLOOKUP(N314,ma_dinhmuc!$A$1:$J$31,10,0)</f>
        <v>51000</v>
      </c>
      <c r="BU314" s="224">
        <f>ROUND(IF(BS314&gt;0,VLOOKUP(N314,ma_dinhmuc!$A$1:$J$31,10,0)*BS314,0),0)</f>
        <v>0</v>
      </c>
      <c r="BV314" s="224">
        <f t="shared" si="959"/>
        <v>0</v>
      </c>
      <c r="BW314" s="224"/>
      <c r="BX314" s="224">
        <v>0</v>
      </c>
      <c r="BY314" s="224"/>
      <c r="BZ314" s="224"/>
      <c r="CA314" s="224"/>
      <c r="CB314" s="224"/>
      <c r="CC314" s="225">
        <f t="shared" si="886"/>
        <v>0</v>
      </c>
      <c r="CD314" s="224">
        <f t="shared" si="887"/>
        <v>0</v>
      </c>
      <c r="CE314" s="224"/>
      <c r="CF314" s="226"/>
      <c r="CG314" s="87"/>
      <c r="CH314" s="87">
        <f t="shared" si="979"/>
        <v>67</v>
      </c>
      <c r="CI314" s="227" t="str">
        <f t="shared" si="984"/>
        <v>Nguyễn Anh</v>
      </c>
      <c r="CJ314" s="227" t="str">
        <f t="shared" si="984"/>
        <v>Đức</v>
      </c>
      <c r="CK314" s="87">
        <f>H314</f>
        <v>5</v>
      </c>
      <c r="CL314" s="227" t="str">
        <f t="shared" si="980"/>
        <v>Phân tích định lượng</v>
      </c>
      <c r="CM314" s="87" t="str">
        <f t="shared" si="810"/>
        <v>CS2</v>
      </c>
      <c r="CN314" s="87">
        <f t="shared" ref="CN314:CN320" si="990">Q314</f>
        <v>270</v>
      </c>
      <c r="CO314" s="87">
        <f t="shared" ref="CO314:CO320" si="991">R314</f>
        <v>100</v>
      </c>
      <c r="CP314" s="229">
        <f t="shared" si="852"/>
        <v>0</v>
      </c>
      <c r="CQ314" s="229">
        <f t="shared" si="853"/>
        <v>0</v>
      </c>
      <c r="CR314" s="229">
        <f t="shared" si="854"/>
        <v>0</v>
      </c>
      <c r="CS314" s="229">
        <f t="shared" si="855"/>
        <v>0</v>
      </c>
      <c r="CT314" s="229">
        <f t="shared" si="856"/>
        <v>0</v>
      </c>
      <c r="CU314" s="229">
        <f t="shared" si="857"/>
        <v>0</v>
      </c>
      <c r="CV314" s="229">
        <f t="shared" si="858"/>
        <v>0</v>
      </c>
      <c r="CW314" s="229">
        <f t="shared" si="859"/>
        <v>0</v>
      </c>
      <c r="CX314" s="229">
        <f t="shared" si="860"/>
        <v>0</v>
      </c>
      <c r="CY314" s="229">
        <f t="shared" si="861"/>
        <v>0</v>
      </c>
      <c r="CZ314" s="229">
        <f t="shared" si="862"/>
        <v>0</v>
      </c>
      <c r="DA314" s="229">
        <f t="shared" si="863"/>
        <v>0</v>
      </c>
      <c r="DB314" s="228">
        <f t="shared" si="792"/>
        <v>0</v>
      </c>
      <c r="DC314" s="229"/>
      <c r="DD314" s="229"/>
      <c r="DE314" s="229"/>
      <c r="DF314" s="229"/>
      <c r="DG314" s="229"/>
      <c r="DH314" s="229"/>
      <c r="DI314" s="229"/>
      <c r="DJ314" s="229"/>
      <c r="DK314" s="229"/>
      <c r="DL314" s="229"/>
      <c r="DM314" s="229"/>
      <c r="DN314" s="229"/>
      <c r="DO314" s="228">
        <f t="shared" si="812"/>
        <v>0</v>
      </c>
      <c r="DP314" s="228">
        <f t="shared" si="813"/>
        <v>0</v>
      </c>
      <c r="DQ314" s="229">
        <f t="shared" si="864"/>
        <v>0</v>
      </c>
      <c r="DR314" s="229">
        <f t="shared" si="865"/>
        <v>0</v>
      </c>
      <c r="DS314" s="229">
        <f t="shared" si="866"/>
        <v>0</v>
      </c>
      <c r="DT314" s="229">
        <f t="shared" si="867"/>
        <v>0</v>
      </c>
      <c r="DU314" s="229">
        <f t="shared" si="868"/>
        <v>0</v>
      </c>
      <c r="DV314" s="229">
        <f t="shared" si="869"/>
        <v>0</v>
      </c>
      <c r="DW314" s="229">
        <f t="shared" si="870"/>
        <v>0</v>
      </c>
      <c r="DX314" s="228">
        <f t="shared" si="793"/>
        <v>0</v>
      </c>
      <c r="DY314" s="229"/>
      <c r="DZ314" s="229"/>
      <c r="EA314" s="229"/>
      <c r="EB314" s="229"/>
      <c r="EC314" s="229"/>
      <c r="ED314" s="229"/>
      <c r="EE314" s="229"/>
      <c r="EF314" s="228">
        <f t="shared" si="847"/>
        <v>0</v>
      </c>
      <c r="EG314" s="228">
        <f t="shared" si="814"/>
        <v>0</v>
      </c>
      <c r="EH314" s="229">
        <f t="shared" si="848"/>
        <v>40</v>
      </c>
      <c r="EI314" s="229">
        <v>30</v>
      </c>
      <c r="EJ314" s="228">
        <f t="shared" si="970"/>
        <v>70</v>
      </c>
      <c r="EK314" s="229"/>
      <c r="EL314" s="229"/>
      <c r="EM314" s="228">
        <f t="shared" si="967"/>
        <v>0</v>
      </c>
      <c r="EN314" s="229">
        <f t="shared" si="907"/>
        <v>40</v>
      </c>
      <c r="EO314" s="229">
        <f t="shared" si="926"/>
        <v>30</v>
      </c>
      <c r="EP314" s="228">
        <f t="shared" ref="EP314:EP327" si="992">EM314+EJ314</f>
        <v>70</v>
      </c>
      <c r="EQ314" s="173">
        <f t="shared" si="849"/>
        <v>40</v>
      </c>
      <c r="ER314" s="189">
        <v>0</v>
      </c>
      <c r="ES314" s="189">
        <v>0</v>
      </c>
      <c r="ET314" s="189">
        <v>0</v>
      </c>
      <c r="EU314" s="189">
        <v>0</v>
      </c>
      <c r="EV314" s="189">
        <v>0</v>
      </c>
      <c r="EW314" s="189">
        <v>0</v>
      </c>
      <c r="EX314" s="189">
        <v>0</v>
      </c>
      <c r="EY314" s="189">
        <v>0</v>
      </c>
      <c r="EZ314" s="189">
        <v>0</v>
      </c>
      <c r="FA314" s="189">
        <v>0</v>
      </c>
      <c r="FB314" s="189">
        <v>0</v>
      </c>
      <c r="FC314" s="189">
        <v>0</v>
      </c>
      <c r="FD314" s="189">
        <v>0</v>
      </c>
      <c r="FE314" s="189">
        <v>0</v>
      </c>
      <c r="FF314" s="189">
        <v>0</v>
      </c>
      <c r="FG314" s="189">
        <v>0</v>
      </c>
      <c r="FH314" s="189">
        <v>0</v>
      </c>
      <c r="FI314" s="189">
        <v>0</v>
      </c>
      <c r="FJ314" s="189">
        <v>0</v>
      </c>
      <c r="FK314" s="189">
        <v>0</v>
      </c>
      <c r="FL314" s="189">
        <v>0</v>
      </c>
      <c r="FN314" s="132">
        <v>40</v>
      </c>
    </row>
    <row r="315" spans="1:170" ht="30" customHeight="1">
      <c r="A315" s="88">
        <f>COUNTIF($H$12:H315,H315)</f>
        <v>68</v>
      </c>
      <c r="B315" s="88" t="s">
        <v>1695</v>
      </c>
      <c r="C315" s="88" t="s">
        <v>876</v>
      </c>
      <c r="D315" s="88"/>
      <c r="E315" s="88"/>
      <c r="F315" s="301" t="s">
        <v>1154</v>
      </c>
      <c r="G315" s="89" t="s">
        <v>1876</v>
      </c>
      <c r="H315" s="88">
        <v>5</v>
      </c>
      <c r="I315" s="88">
        <v>5</v>
      </c>
      <c r="J315" s="88">
        <v>5</v>
      </c>
      <c r="K315" s="90" t="s">
        <v>1089</v>
      </c>
      <c r="L315" s="90" t="s">
        <v>1089</v>
      </c>
      <c r="M315" s="214"/>
      <c r="N315" s="88" t="s">
        <v>1804</v>
      </c>
      <c r="O315" s="216">
        <f t="shared" ref="O315:O320" si="993">BO315</f>
        <v>2.67</v>
      </c>
      <c r="P315" s="88" t="str">
        <f t="shared" si="880"/>
        <v>B1_3</v>
      </c>
      <c r="Q315" s="88">
        <f t="shared" si="951"/>
        <v>270</v>
      </c>
      <c r="R315" s="88">
        <f t="shared" si="952"/>
        <v>100</v>
      </c>
      <c r="S315" s="218" t="s">
        <v>2460</v>
      </c>
      <c r="T315" s="88" t="s">
        <v>2961</v>
      </c>
      <c r="U315" s="88">
        <f>IF(RIGHT(T315,1)="K",(VLOOKUP(T315,ma_miengiam!$A$3:$B$80,2,0)*100)/2,VLOOKUP(T315,ma_miengiam!$A$3:$B$80,2,0)*100)</f>
        <v>100</v>
      </c>
      <c r="V315" s="88"/>
      <c r="W315" s="220">
        <f>IF(AND(T315="NTS",V315&gt;0),(Q315-(Q315*V315)/12)*VLOOKUP(T315,ma_miengiam!$A$3:$B$80,2,0)+(Q315-(Q315*(12-V315))/12),IF(AND(RIGHT(T315,1)="K",V315&gt;0),(VLOOKUP(T315,ma_miengiam!$A$3:$B$80,2,0)/2)*(Q315*V315)/12,IF(RIGHT(T315,1)="K",(VLOOKUP(T315,ma_miengiam!$A$3:$B$80,2,0)*Q315)/2,IF(V315&gt;0,VLOOKUP(T315,ma_miengiam!$A$3:$B$80,2,0)*Q315*V315/12,VLOOKUP(T315,ma_miengiam!$A$3:$B$80,2,0)*Q315))))</f>
        <v>270</v>
      </c>
      <c r="X315" s="220">
        <f>IF(T315="NTS",VLOOKUP(T315,ma_miengiam!$A$3:$B$80,2,0)*R315*V315,IF(AND(T315="NTS",V315=0),0,IF(AND(LEFT(T315,1)="K",V315=0),VLOOKUP(T315,ma_miengiam!$A$3:$B$80,2,0)*R315,IF(LEFT(T315,1)="K",(VLOOKUP(T315,ma_miengiam!$A$3:$B$80,2,0)*R315/12)*V315,IF(AND(LEFT(T315,1)="S",V315&gt;0),(R315/12)*V315,IF(AND(LEFT(T315,1)="S",V315=0),R315,IF(T315="DH",VLOOKUP(T315,ma_miengiam!$A$3:$B$80,2,0)*R315,0)))))))</f>
        <v>100</v>
      </c>
      <c r="Y315" s="220">
        <f t="shared" si="932"/>
        <v>0</v>
      </c>
      <c r="Z315" s="220">
        <f t="shared" si="908"/>
        <v>0</v>
      </c>
      <c r="AA315" s="220">
        <f t="shared" ref="AA315:AA320" si="994">Q315</f>
        <v>270</v>
      </c>
      <c r="AB315" s="220">
        <f t="shared" ref="AB315:AB320" si="995">R315</f>
        <v>100</v>
      </c>
      <c r="AC315" s="220">
        <f t="shared" ref="AC315:AF316" si="996">W315</f>
        <v>270</v>
      </c>
      <c r="AD315" s="220">
        <f t="shared" si="996"/>
        <v>100</v>
      </c>
      <c r="AE315" s="220">
        <f t="shared" si="996"/>
        <v>0</v>
      </c>
      <c r="AF315" s="220">
        <f t="shared" si="996"/>
        <v>0</v>
      </c>
      <c r="AG315" s="220">
        <f t="shared" ref="AG315:AG327" si="997">AH315+AI315</f>
        <v>0</v>
      </c>
      <c r="AH315" s="220">
        <f t="shared" ref="AH315:AH327" si="998">EO315</f>
        <v>0</v>
      </c>
      <c r="AI315" s="220">
        <f t="shared" ref="AI315:AI327" si="999">EN315</f>
        <v>0</v>
      </c>
      <c r="AJ315" s="220">
        <f t="shared" si="918"/>
        <v>0</v>
      </c>
      <c r="AK315" s="216">
        <f t="shared" si="794"/>
        <v>0</v>
      </c>
      <c r="AL315" s="220">
        <f t="shared" si="795"/>
        <v>0</v>
      </c>
      <c r="AM315" s="220">
        <f t="shared" si="796"/>
        <v>0</v>
      </c>
      <c r="AN315" s="221">
        <f t="shared" si="797"/>
        <v>0</v>
      </c>
      <c r="AO315" s="220">
        <f t="shared" si="798"/>
        <v>0</v>
      </c>
      <c r="AP315" s="220">
        <f t="shared" si="799"/>
        <v>0</v>
      </c>
      <c r="AQ315" s="220">
        <f t="shared" si="800"/>
        <v>0</v>
      </c>
      <c r="AR315" s="220">
        <f t="shared" si="801"/>
        <v>0</v>
      </c>
      <c r="AS315" s="220">
        <f t="shared" si="802"/>
        <v>0</v>
      </c>
      <c r="AT315" s="216">
        <f t="shared" si="803"/>
        <v>0</v>
      </c>
      <c r="AU315" s="222">
        <f t="shared" si="919"/>
        <v>0</v>
      </c>
      <c r="AV315" s="220"/>
      <c r="AW315" s="220">
        <f t="shared" si="804"/>
        <v>0</v>
      </c>
      <c r="AX315" s="216">
        <f t="shared" si="820"/>
        <v>0</v>
      </c>
      <c r="AY315" s="220">
        <f t="shared" si="815"/>
        <v>0</v>
      </c>
      <c r="AZ315" s="220">
        <f t="shared" si="816"/>
        <v>0</v>
      </c>
      <c r="BA315" s="220">
        <f t="shared" si="817"/>
        <v>0</v>
      </c>
      <c r="BB315" s="220">
        <f t="shared" si="818"/>
        <v>0</v>
      </c>
      <c r="BC315" s="220">
        <f t="shared" si="819"/>
        <v>0</v>
      </c>
      <c r="BD315" s="216">
        <f t="shared" si="988"/>
        <v>0</v>
      </c>
      <c r="BE315" s="220">
        <f t="shared" si="805"/>
        <v>0</v>
      </c>
      <c r="BF315" s="220">
        <f t="shared" si="806"/>
        <v>0</v>
      </c>
      <c r="BG315" s="220">
        <f t="shared" si="807"/>
        <v>0</v>
      </c>
      <c r="BH315" s="220">
        <f t="shared" si="808"/>
        <v>0</v>
      </c>
      <c r="BI315" s="220">
        <f t="shared" si="809"/>
        <v>0</v>
      </c>
      <c r="BJ315" s="220" t="s">
        <v>2419</v>
      </c>
      <c r="BK315" s="220"/>
      <c r="BL315" s="223">
        <f t="shared" si="773"/>
        <v>0</v>
      </c>
      <c r="BM315" s="220">
        <v>2.67</v>
      </c>
      <c r="BN315" s="220"/>
      <c r="BO315" s="220">
        <f t="shared" si="989"/>
        <v>2.67</v>
      </c>
      <c r="BP315" s="220">
        <f>IF(AND(BL315&gt;0,BL315&lt;tiet!$D$1),BL315,IF(BL315&lt;=0,0,IF(BL315&gt;tiet!$C$1,tiet!$C$1)))</f>
        <v>0</v>
      </c>
      <c r="BQ315" s="87">
        <f t="shared" si="957"/>
        <v>60000</v>
      </c>
      <c r="BR315" s="224">
        <f t="shared" si="958"/>
        <v>0</v>
      </c>
      <c r="BS315" s="220">
        <f t="shared" si="846"/>
        <v>0</v>
      </c>
      <c r="BT315" s="224">
        <f>VLOOKUP(N315,ma_dinhmuc!$A$1:$J$31,10,0)</f>
        <v>51000</v>
      </c>
      <c r="BU315" s="224">
        <f>ROUND(IF(BS315&gt;0,VLOOKUP(N315,ma_dinhmuc!$A$1:$J$31,10,0)*BS315,0),0)</f>
        <v>0</v>
      </c>
      <c r="BV315" s="224">
        <f t="shared" si="959"/>
        <v>0</v>
      </c>
      <c r="BW315" s="224"/>
      <c r="BX315" s="224">
        <v>0</v>
      </c>
      <c r="BY315" s="224"/>
      <c r="BZ315" s="224"/>
      <c r="CA315" s="224"/>
      <c r="CB315" s="224"/>
      <c r="CC315" s="225">
        <f t="shared" si="886"/>
        <v>0</v>
      </c>
      <c r="CD315" s="224">
        <f t="shared" si="887"/>
        <v>0</v>
      </c>
      <c r="CE315" s="224"/>
      <c r="CF315" s="226"/>
      <c r="CG315" s="87"/>
      <c r="CH315" s="87">
        <f t="shared" si="979"/>
        <v>68</v>
      </c>
      <c r="CI315" s="227" t="str">
        <f t="shared" ref="CI315:CI327" si="1000">F315</f>
        <v>Vũ Khắc</v>
      </c>
      <c r="CJ315" s="227" t="str">
        <f t="shared" ref="CJ315:CJ327" si="1001">G315</f>
        <v>Xuân</v>
      </c>
      <c r="CK315" s="87">
        <f t="shared" ref="CK315:CK327" si="1002">H315</f>
        <v>5</v>
      </c>
      <c r="CL315" s="227" t="str">
        <f t="shared" si="980"/>
        <v>Phân tích định lượng</v>
      </c>
      <c r="CM315" s="87" t="str">
        <f t="shared" si="810"/>
        <v>CS2</v>
      </c>
      <c r="CN315" s="87">
        <f t="shared" si="990"/>
        <v>270</v>
      </c>
      <c r="CO315" s="87">
        <f t="shared" si="991"/>
        <v>100</v>
      </c>
      <c r="CP315" s="229">
        <f t="shared" si="852"/>
        <v>0</v>
      </c>
      <c r="CQ315" s="229">
        <f t="shared" si="853"/>
        <v>0</v>
      </c>
      <c r="CR315" s="229">
        <f t="shared" si="854"/>
        <v>0</v>
      </c>
      <c r="CS315" s="229">
        <f t="shared" si="855"/>
        <v>0</v>
      </c>
      <c r="CT315" s="229">
        <f t="shared" si="856"/>
        <v>0</v>
      </c>
      <c r="CU315" s="229">
        <f t="shared" si="857"/>
        <v>0</v>
      </c>
      <c r="CV315" s="229">
        <f t="shared" si="858"/>
        <v>0</v>
      </c>
      <c r="CW315" s="229">
        <f t="shared" si="859"/>
        <v>0</v>
      </c>
      <c r="CX315" s="229">
        <f t="shared" si="860"/>
        <v>0</v>
      </c>
      <c r="CY315" s="229">
        <f t="shared" si="861"/>
        <v>0</v>
      </c>
      <c r="CZ315" s="229">
        <f t="shared" si="862"/>
        <v>0</v>
      </c>
      <c r="DA315" s="229">
        <f t="shared" si="863"/>
        <v>0</v>
      </c>
      <c r="DB315" s="228">
        <f t="shared" si="792"/>
        <v>0</v>
      </c>
      <c r="DC315" s="229"/>
      <c r="DD315" s="229"/>
      <c r="DE315" s="229"/>
      <c r="DF315" s="229"/>
      <c r="DG315" s="229"/>
      <c r="DH315" s="229"/>
      <c r="DI315" s="229"/>
      <c r="DJ315" s="229"/>
      <c r="DK315" s="229"/>
      <c r="DL315" s="229"/>
      <c r="DM315" s="229"/>
      <c r="DN315" s="229"/>
      <c r="DO315" s="228">
        <f t="shared" si="812"/>
        <v>0</v>
      </c>
      <c r="DP315" s="228">
        <f t="shared" si="813"/>
        <v>0</v>
      </c>
      <c r="DQ315" s="229">
        <f t="shared" si="864"/>
        <v>0</v>
      </c>
      <c r="DR315" s="229">
        <f t="shared" si="865"/>
        <v>0</v>
      </c>
      <c r="DS315" s="229">
        <f t="shared" si="866"/>
        <v>0</v>
      </c>
      <c r="DT315" s="229">
        <f t="shared" si="867"/>
        <v>0</v>
      </c>
      <c r="DU315" s="229">
        <f t="shared" si="868"/>
        <v>0</v>
      </c>
      <c r="DV315" s="229">
        <f t="shared" si="869"/>
        <v>0</v>
      </c>
      <c r="DW315" s="229">
        <f t="shared" si="870"/>
        <v>0</v>
      </c>
      <c r="DX315" s="228">
        <f t="shared" si="793"/>
        <v>0</v>
      </c>
      <c r="DY315" s="229"/>
      <c r="DZ315" s="229"/>
      <c r="EA315" s="229"/>
      <c r="EB315" s="229"/>
      <c r="EC315" s="229"/>
      <c r="ED315" s="229"/>
      <c r="EE315" s="229"/>
      <c r="EF315" s="228">
        <f t="shared" si="847"/>
        <v>0</v>
      </c>
      <c r="EG315" s="228">
        <f t="shared" si="814"/>
        <v>0</v>
      </c>
      <c r="EH315" s="229">
        <f t="shared" si="848"/>
        <v>0</v>
      </c>
      <c r="EI315" s="229">
        <v>0</v>
      </c>
      <c r="EJ315" s="228">
        <f t="shared" ref="EJ315:EJ320" si="1003">SUM(EH315:EI315)</f>
        <v>0</v>
      </c>
      <c r="EK315" s="229"/>
      <c r="EL315" s="229"/>
      <c r="EM315" s="228">
        <f t="shared" si="967"/>
        <v>0</v>
      </c>
      <c r="EN315" s="229">
        <f t="shared" si="907"/>
        <v>0</v>
      </c>
      <c r="EO315" s="229">
        <f t="shared" si="926"/>
        <v>0</v>
      </c>
      <c r="EP315" s="228">
        <f t="shared" si="992"/>
        <v>0</v>
      </c>
      <c r="EQ315" s="173">
        <f t="shared" si="849"/>
        <v>0</v>
      </c>
      <c r="ER315" s="189">
        <v>0</v>
      </c>
      <c r="ES315" s="189">
        <v>0</v>
      </c>
      <c r="ET315" s="189">
        <v>0</v>
      </c>
      <c r="EU315" s="189">
        <v>0</v>
      </c>
      <c r="EV315" s="189">
        <v>0</v>
      </c>
      <c r="EW315" s="189">
        <v>0</v>
      </c>
      <c r="EX315" s="189">
        <v>0</v>
      </c>
      <c r="EY315" s="189">
        <v>0</v>
      </c>
      <c r="EZ315" s="189">
        <v>0</v>
      </c>
      <c r="FA315" s="189">
        <v>0</v>
      </c>
      <c r="FB315" s="189">
        <v>0</v>
      </c>
      <c r="FC315" s="189">
        <v>0</v>
      </c>
      <c r="FD315" s="189">
        <v>0</v>
      </c>
      <c r="FE315" s="189">
        <v>0</v>
      </c>
      <c r="FF315" s="189">
        <v>0</v>
      </c>
      <c r="FG315" s="189">
        <v>0</v>
      </c>
      <c r="FH315" s="189">
        <v>0</v>
      </c>
      <c r="FI315" s="189">
        <v>0</v>
      </c>
      <c r="FJ315" s="189">
        <v>0</v>
      </c>
      <c r="FK315" s="189">
        <v>0</v>
      </c>
      <c r="FL315" s="189">
        <v>0</v>
      </c>
      <c r="FN315" s="132">
        <v>0</v>
      </c>
    </row>
    <row r="316" spans="1:170" ht="24" customHeight="1">
      <c r="A316" s="88">
        <f>COUNTIF($H$12:H316,H316)</f>
        <v>69</v>
      </c>
      <c r="B316" s="88" t="s">
        <v>1696</v>
      </c>
      <c r="C316" s="88" t="s">
        <v>877</v>
      </c>
      <c r="D316" s="88"/>
      <c r="E316" s="88"/>
      <c r="F316" s="301" t="s">
        <v>2209</v>
      </c>
      <c r="G316" s="303" t="s">
        <v>1649</v>
      </c>
      <c r="H316" s="88">
        <v>5</v>
      </c>
      <c r="I316" s="88">
        <v>5</v>
      </c>
      <c r="J316" s="88">
        <v>5</v>
      </c>
      <c r="K316" s="90" t="s">
        <v>2222</v>
      </c>
      <c r="L316" s="90" t="s">
        <v>2222</v>
      </c>
      <c r="M316" s="214"/>
      <c r="N316" s="88" t="s">
        <v>606</v>
      </c>
      <c r="O316" s="216">
        <f t="shared" si="993"/>
        <v>4.4000000000000004</v>
      </c>
      <c r="P316" s="88" t="str">
        <f t="shared" si="880"/>
        <v>B1_4</v>
      </c>
      <c r="Q316" s="88">
        <f t="shared" si="951"/>
        <v>270</v>
      </c>
      <c r="R316" s="88">
        <f t="shared" si="952"/>
        <v>120</v>
      </c>
      <c r="S316" s="230" t="s">
        <v>689</v>
      </c>
      <c r="T316" s="88" t="s">
        <v>3090</v>
      </c>
      <c r="U316" s="88">
        <f>IF(RIGHT(T316,1)="K",(VLOOKUP(T316,ma_miengiam!$A$3:$B$80,2,0)*100)/2,VLOOKUP(T316,ma_miengiam!$A$3:$B$80,2,0)*100)</f>
        <v>15</v>
      </c>
      <c r="V316" s="88"/>
      <c r="W316" s="220">
        <f>IF(AND(T316="NTS",V316&gt;0),(Q316-(Q316*V316)/12)*VLOOKUP(T316,ma_miengiam!$A$3:$B$80,2,0)+(Q316-(Q316*(12-V316))/12),IF(AND(RIGHT(T316,1)="K",V316&gt;0),(VLOOKUP(T316,ma_miengiam!$A$3:$B$80,2,0)/2)*(Q316*V316)/12,IF(RIGHT(T316,1)="K",(VLOOKUP(T316,ma_miengiam!$A$3:$B$80,2,0)*Q316)/2,IF(V316&gt;0,VLOOKUP(T316,ma_miengiam!$A$3:$B$80,2,0)*Q316*V316/12,VLOOKUP(T316,ma_miengiam!$A$3:$B$80,2,0)*Q316))))</f>
        <v>40.5</v>
      </c>
      <c r="X316" s="220">
        <f>IF(T316="NTS",VLOOKUP(T316,ma_miengiam!$A$3:$B$80,2,0)*R316*V316,IF(AND(T316="NTS",V316=0),0,IF(AND(LEFT(T316,1)="K",V316=0),VLOOKUP(T316,ma_miengiam!$A$3:$B$80,2,0)*R316,IF(LEFT(T316,1)="K",(VLOOKUP(T316,ma_miengiam!$A$3:$B$80,2,0)*R316/12)*V316,IF(AND(LEFT(T316,1)="S",V316&gt;0),(R316/12)*V316,IF(AND(LEFT(T316,1)="S",V316=0),R316,IF(T316="DH",VLOOKUP(T316,ma_miengiam!$A$3:$B$80,2,0)*R316,0)))))))</f>
        <v>0</v>
      </c>
      <c r="Y316" s="220">
        <f t="shared" si="932"/>
        <v>229.5</v>
      </c>
      <c r="Z316" s="220">
        <f t="shared" si="908"/>
        <v>120</v>
      </c>
      <c r="AA316" s="220">
        <f t="shared" si="994"/>
        <v>270</v>
      </c>
      <c r="AB316" s="220">
        <f t="shared" si="995"/>
        <v>120</v>
      </c>
      <c r="AC316" s="220">
        <f t="shared" si="996"/>
        <v>40.5</v>
      </c>
      <c r="AD316" s="220">
        <f t="shared" si="996"/>
        <v>0</v>
      </c>
      <c r="AE316" s="220">
        <f t="shared" si="996"/>
        <v>229.5</v>
      </c>
      <c r="AF316" s="220">
        <f t="shared" si="996"/>
        <v>120</v>
      </c>
      <c r="AG316" s="220">
        <f t="shared" si="997"/>
        <v>334.7</v>
      </c>
      <c r="AH316" s="220">
        <f t="shared" si="998"/>
        <v>196.13</v>
      </c>
      <c r="AI316" s="220">
        <f t="shared" si="999"/>
        <v>138.57</v>
      </c>
      <c r="AJ316" s="220">
        <f t="shared" si="918"/>
        <v>0</v>
      </c>
      <c r="AK316" s="216">
        <f t="shared" si="794"/>
        <v>229.5</v>
      </c>
      <c r="AL316" s="220">
        <f t="shared" si="795"/>
        <v>178.2</v>
      </c>
      <c r="AM316" s="220">
        <f t="shared" si="796"/>
        <v>0</v>
      </c>
      <c r="AN316" s="221">
        <f t="shared" si="797"/>
        <v>178.2</v>
      </c>
      <c r="AO316" s="220">
        <f t="shared" si="798"/>
        <v>20</v>
      </c>
      <c r="AP316" s="220">
        <f t="shared" si="799"/>
        <v>0</v>
      </c>
      <c r="AQ316" s="220">
        <f t="shared" si="800"/>
        <v>100</v>
      </c>
      <c r="AR316" s="220">
        <f t="shared" si="801"/>
        <v>0</v>
      </c>
      <c r="AS316" s="220">
        <f t="shared" si="802"/>
        <v>0</v>
      </c>
      <c r="AT316" s="216">
        <f t="shared" si="803"/>
        <v>298.2</v>
      </c>
      <c r="AU316" s="222">
        <f t="shared" si="919"/>
        <v>-51.300000000000011</v>
      </c>
      <c r="AV316" s="220"/>
      <c r="AW316" s="220">
        <f t="shared" si="804"/>
        <v>-51.300000000000011</v>
      </c>
      <c r="AX316" s="216">
        <f t="shared" si="820"/>
        <v>-51.300000000000011</v>
      </c>
      <c r="AY316" s="220">
        <f t="shared" si="815"/>
        <v>0</v>
      </c>
      <c r="AZ316" s="220">
        <f t="shared" si="816"/>
        <v>0</v>
      </c>
      <c r="BA316" s="220">
        <f t="shared" si="817"/>
        <v>68.699999999999989</v>
      </c>
      <c r="BB316" s="220">
        <f t="shared" si="818"/>
        <v>0</v>
      </c>
      <c r="BC316" s="220">
        <f t="shared" si="819"/>
        <v>0</v>
      </c>
      <c r="BD316" s="216">
        <f t="shared" si="988"/>
        <v>68.699999999999989</v>
      </c>
      <c r="BE316" s="220">
        <f t="shared" si="805"/>
        <v>-20</v>
      </c>
      <c r="BF316" s="220">
        <f t="shared" si="806"/>
        <v>0</v>
      </c>
      <c r="BG316" s="220">
        <f t="shared" si="807"/>
        <v>-31.300000000000011</v>
      </c>
      <c r="BH316" s="220">
        <f t="shared" si="808"/>
        <v>0</v>
      </c>
      <c r="BI316" s="220">
        <f t="shared" si="809"/>
        <v>0</v>
      </c>
      <c r="BJ316" s="220" t="s">
        <v>1405</v>
      </c>
      <c r="BK316" s="220"/>
      <c r="BL316" s="223">
        <f t="shared" ref="BL316:BL374" si="1004">IF(AW316&lt;BK316,0,IF(AND(BK316=0,AW316&gt;0),AW316,IF(AW316&lt;0,0,IF(BK316&gt;0,AW316-BK316,IF(BK316&lt;0,0,AW316)))))</f>
        <v>0</v>
      </c>
      <c r="BM316" s="220">
        <v>4.4000000000000004</v>
      </c>
      <c r="BN316" s="220"/>
      <c r="BO316" s="220">
        <f t="shared" si="989"/>
        <v>4.4000000000000004</v>
      </c>
      <c r="BP316" s="220">
        <f>IF(AND(BL316&gt;0,BL316&lt;tiet!$D$1),BL316,IF(BL316&lt;=0,0,IF(BL316&gt;tiet!$C$1,tiet!$C$1)))</f>
        <v>0</v>
      </c>
      <c r="BQ316" s="87">
        <f t="shared" si="957"/>
        <v>65000</v>
      </c>
      <c r="BR316" s="224">
        <f t="shared" si="958"/>
        <v>0</v>
      </c>
      <c r="BS316" s="220">
        <f t="shared" si="846"/>
        <v>0</v>
      </c>
      <c r="BT316" s="224">
        <f>VLOOKUP(N316,ma_dinhmuc!$A$1:$J$31,10,0)</f>
        <v>55000</v>
      </c>
      <c r="BU316" s="224">
        <f>ROUND(IF(BS316&gt;0,VLOOKUP(N316,ma_dinhmuc!$A$1:$J$31,10,0)*BS316,0),0)</f>
        <v>0</v>
      </c>
      <c r="BV316" s="224">
        <f t="shared" si="959"/>
        <v>0</v>
      </c>
      <c r="BW316" s="224"/>
      <c r="BX316" s="224">
        <v>0</v>
      </c>
      <c r="BY316" s="224"/>
      <c r="BZ316" s="224"/>
      <c r="CA316" s="224"/>
      <c r="CB316" s="224"/>
      <c r="CC316" s="225">
        <f t="shared" si="886"/>
        <v>0</v>
      </c>
      <c r="CD316" s="224">
        <f t="shared" si="887"/>
        <v>0</v>
      </c>
      <c r="CE316" s="224"/>
      <c r="CF316" s="226"/>
      <c r="CG316" s="87"/>
      <c r="CH316" s="87">
        <f t="shared" si="979"/>
        <v>69</v>
      </c>
      <c r="CI316" s="227" t="str">
        <f t="shared" si="1000"/>
        <v>Nguyễn Thị Minh</v>
      </c>
      <c r="CJ316" s="227" t="str">
        <f t="shared" si="1001"/>
        <v>Thu</v>
      </c>
      <c r="CK316" s="87">
        <f t="shared" si="1002"/>
        <v>5</v>
      </c>
      <c r="CL316" s="227" t="str">
        <f t="shared" si="980"/>
        <v>Kế hoạch và Đầu tư</v>
      </c>
      <c r="CM316" s="87" t="str">
        <f t="shared" si="810"/>
        <v>CS3</v>
      </c>
      <c r="CN316" s="87">
        <f t="shared" si="990"/>
        <v>270</v>
      </c>
      <c r="CO316" s="87">
        <f t="shared" si="991"/>
        <v>120</v>
      </c>
      <c r="CP316" s="229">
        <f t="shared" si="852"/>
        <v>0</v>
      </c>
      <c r="CQ316" s="229">
        <f t="shared" si="853"/>
        <v>28</v>
      </c>
      <c r="CR316" s="229">
        <f t="shared" si="854"/>
        <v>11.3</v>
      </c>
      <c r="CS316" s="229">
        <f t="shared" si="855"/>
        <v>0</v>
      </c>
      <c r="CT316" s="229">
        <f t="shared" si="856"/>
        <v>0</v>
      </c>
      <c r="CU316" s="229">
        <f t="shared" si="857"/>
        <v>138.9</v>
      </c>
      <c r="CV316" s="229">
        <f t="shared" si="858"/>
        <v>0</v>
      </c>
      <c r="CW316" s="229">
        <f t="shared" si="859"/>
        <v>0</v>
      </c>
      <c r="CX316" s="229">
        <f t="shared" si="860"/>
        <v>0</v>
      </c>
      <c r="CY316" s="229">
        <f t="shared" si="861"/>
        <v>20</v>
      </c>
      <c r="CZ316" s="229">
        <f t="shared" si="862"/>
        <v>0</v>
      </c>
      <c r="DA316" s="229">
        <f t="shared" si="863"/>
        <v>100</v>
      </c>
      <c r="DB316" s="228">
        <f t="shared" si="792"/>
        <v>298.2</v>
      </c>
      <c r="DC316" s="229"/>
      <c r="DD316" s="229"/>
      <c r="DE316" s="229"/>
      <c r="DF316" s="229"/>
      <c r="DG316" s="229"/>
      <c r="DH316" s="229"/>
      <c r="DI316" s="229"/>
      <c r="DJ316" s="229"/>
      <c r="DK316" s="229"/>
      <c r="DL316" s="229"/>
      <c r="DM316" s="229"/>
      <c r="DN316" s="229"/>
      <c r="DO316" s="228">
        <f t="shared" si="812"/>
        <v>0</v>
      </c>
      <c r="DP316" s="228">
        <f t="shared" si="813"/>
        <v>298.2</v>
      </c>
      <c r="DQ316" s="229">
        <f t="shared" si="864"/>
        <v>0</v>
      </c>
      <c r="DR316" s="229">
        <f t="shared" si="865"/>
        <v>0</v>
      </c>
      <c r="DS316" s="229">
        <f t="shared" si="866"/>
        <v>0</v>
      </c>
      <c r="DT316" s="229">
        <f t="shared" si="867"/>
        <v>0</v>
      </c>
      <c r="DU316" s="229">
        <f t="shared" si="868"/>
        <v>0</v>
      </c>
      <c r="DV316" s="229">
        <f t="shared" si="869"/>
        <v>0</v>
      </c>
      <c r="DW316" s="229">
        <f t="shared" si="870"/>
        <v>0</v>
      </c>
      <c r="DX316" s="228">
        <f t="shared" si="793"/>
        <v>0</v>
      </c>
      <c r="DY316" s="229"/>
      <c r="DZ316" s="229"/>
      <c r="EA316" s="229"/>
      <c r="EB316" s="229"/>
      <c r="EC316" s="229"/>
      <c r="ED316" s="229"/>
      <c r="EE316" s="229"/>
      <c r="EF316" s="228">
        <f t="shared" si="847"/>
        <v>0</v>
      </c>
      <c r="EG316" s="228">
        <f t="shared" si="814"/>
        <v>0</v>
      </c>
      <c r="EH316" s="229">
        <f t="shared" si="848"/>
        <v>138.57</v>
      </c>
      <c r="EI316" s="229">
        <v>196.13</v>
      </c>
      <c r="EJ316" s="228">
        <f t="shared" si="1003"/>
        <v>334.7</v>
      </c>
      <c r="EK316" s="229"/>
      <c r="EL316" s="229"/>
      <c r="EM316" s="228">
        <f t="shared" si="967"/>
        <v>0</v>
      </c>
      <c r="EN316" s="229">
        <f t="shared" si="907"/>
        <v>138.57</v>
      </c>
      <c r="EO316" s="229">
        <f t="shared" si="926"/>
        <v>196.13</v>
      </c>
      <c r="EP316" s="228">
        <f t="shared" si="992"/>
        <v>334.7</v>
      </c>
      <c r="EQ316" s="173">
        <f t="shared" si="849"/>
        <v>18.569999999999993</v>
      </c>
      <c r="ER316" s="189">
        <v>0</v>
      </c>
      <c r="ES316" s="189">
        <v>28</v>
      </c>
      <c r="ET316" s="189">
        <v>11.3</v>
      </c>
      <c r="EU316" s="189">
        <v>0</v>
      </c>
      <c r="EV316" s="189">
        <v>0</v>
      </c>
      <c r="EW316" s="189">
        <v>138.9</v>
      </c>
      <c r="EX316" s="189">
        <v>0</v>
      </c>
      <c r="EY316" s="189">
        <v>0</v>
      </c>
      <c r="EZ316" s="189">
        <v>0</v>
      </c>
      <c r="FA316" s="189">
        <v>20</v>
      </c>
      <c r="FB316" s="189">
        <v>0</v>
      </c>
      <c r="FC316" s="189">
        <v>100</v>
      </c>
      <c r="FD316" s="189">
        <v>0</v>
      </c>
      <c r="FE316" s="189">
        <v>0</v>
      </c>
      <c r="FF316" s="189">
        <v>0</v>
      </c>
      <c r="FG316" s="189">
        <v>0</v>
      </c>
      <c r="FH316" s="189">
        <v>0</v>
      </c>
      <c r="FI316" s="189">
        <v>0</v>
      </c>
      <c r="FJ316" s="189">
        <v>0</v>
      </c>
      <c r="FK316" s="189">
        <v>298.2</v>
      </c>
      <c r="FL316" s="189">
        <v>263</v>
      </c>
      <c r="FN316" s="132">
        <v>138.57</v>
      </c>
    </row>
    <row r="317" spans="1:170" ht="29.25" customHeight="1">
      <c r="A317" s="88">
        <f>COUNTIF($H$12:H317,H317)</f>
        <v>70</v>
      </c>
      <c r="B317" s="88" t="s">
        <v>1697</v>
      </c>
      <c r="C317" s="88" t="s">
        <v>878</v>
      </c>
      <c r="D317" s="88"/>
      <c r="E317" s="88"/>
      <c r="F317" s="301" t="s">
        <v>1128</v>
      </c>
      <c r="G317" s="303" t="s">
        <v>2484</v>
      </c>
      <c r="H317" s="88">
        <v>5</v>
      </c>
      <c r="I317" s="88">
        <v>5</v>
      </c>
      <c r="J317" s="88">
        <v>5</v>
      </c>
      <c r="K317" s="90" t="s">
        <v>2222</v>
      </c>
      <c r="L317" s="90" t="s">
        <v>2222</v>
      </c>
      <c r="M317" s="214"/>
      <c r="N317" s="88" t="s">
        <v>605</v>
      </c>
      <c r="O317" s="216">
        <f t="shared" si="993"/>
        <v>6.92</v>
      </c>
      <c r="P317" s="88" t="str">
        <f t="shared" si="880"/>
        <v>B1_7</v>
      </c>
      <c r="Q317" s="88">
        <f t="shared" si="951"/>
        <v>270</v>
      </c>
      <c r="R317" s="88">
        <f t="shared" si="952"/>
        <v>200</v>
      </c>
      <c r="S317" s="230" t="s">
        <v>2531</v>
      </c>
      <c r="T317" s="88" t="s">
        <v>3091</v>
      </c>
      <c r="U317" s="88">
        <f>IF(RIGHT(T317,1)="K",(VLOOKUP(T317,ma_miengiam!$A$3:$B$80,2,0)*100)/2,VLOOKUP(T317,ma_miengiam!$A$3:$B$80,2,0)*100)</f>
        <v>20</v>
      </c>
      <c r="V317" s="88"/>
      <c r="W317" s="220">
        <f>IF(AND(T317="NTS",V317&gt;0),(Q317-(Q317*V317)/12)*VLOOKUP(T317,ma_miengiam!$A$3:$B$80,2,0)+(Q317-(Q317*(12-V317))/12),IF(AND(RIGHT(T317,1)="K",V317&gt;0),(VLOOKUP(T317,ma_miengiam!$A$3:$B$80,2,0)/2)*(Q317*V317)/12,IF(RIGHT(T317,1)="K",(VLOOKUP(T317,ma_miengiam!$A$3:$B$80,2,0)*Q317)/2,IF(V317&gt;0,VLOOKUP(T317,ma_miengiam!$A$3:$B$80,2,0)*Q317*V317/12,VLOOKUP(T317,ma_miengiam!$A$3:$B$80,2,0)*Q317))))</f>
        <v>54</v>
      </c>
      <c r="X317" s="220">
        <f>IF(T317="NTS",VLOOKUP(T317,ma_miengiam!$A$3:$B$80,2,0)*R317*V317,IF(AND(T317="NTS",V317=0),0,IF(AND(LEFT(T317,1)="K",V317=0),VLOOKUP(T317,ma_miengiam!$A$3:$B$80,2,0)*R317,IF(LEFT(T317,1)="K",(VLOOKUP(T317,ma_miengiam!$A$3:$B$80,2,0)*R317/12)*V317,IF(AND(LEFT(T317,1)="S",V317&gt;0),(R317/12)*V317,IF(AND(LEFT(T317,1)="S",V317=0),R317,IF(T317="DH",VLOOKUP(T317,ma_miengiam!$A$3:$B$80,2,0)*R317,0)))))))</f>
        <v>0</v>
      </c>
      <c r="Y317" s="220">
        <f t="shared" si="932"/>
        <v>216</v>
      </c>
      <c r="Z317" s="220">
        <f t="shared" si="908"/>
        <v>200</v>
      </c>
      <c r="AA317" s="220">
        <f t="shared" si="994"/>
        <v>270</v>
      </c>
      <c r="AB317" s="220">
        <f t="shared" si="995"/>
        <v>200</v>
      </c>
      <c r="AC317" s="220">
        <f>W317</f>
        <v>54</v>
      </c>
      <c r="AD317" s="220">
        <f>X317</f>
        <v>0</v>
      </c>
      <c r="AE317" s="220">
        <f>Y317</f>
        <v>216</v>
      </c>
      <c r="AF317" s="220">
        <f>Z317</f>
        <v>200</v>
      </c>
      <c r="AG317" s="220">
        <f t="shared" si="997"/>
        <v>317.09000000000003</v>
      </c>
      <c r="AH317" s="220">
        <f t="shared" si="998"/>
        <v>144.59</v>
      </c>
      <c r="AI317" s="220">
        <f t="shared" si="999"/>
        <v>172.5</v>
      </c>
      <c r="AJ317" s="220">
        <f t="shared" si="918"/>
        <v>0</v>
      </c>
      <c r="AK317" s="216">
        <f t="shared" si="794"/>
        <v>216</v>
      </c>
      <c r="AL317" s="220">
        <f t="shared" si="795"/>
        <v>54</v>
      </c>
      <c r="AM317" s="220">
        <f t="shared" si="796"/>
        <v>565.90000000000009</v>
      </c>
      <c r="AN317" s="221">
        <f t="shared" si="797"/>
        <v>619.90000000000009</v>
      </c>
      <c r="AO317" s="220">
        <f t="shared" si="798"/>
        <v>0</v>
      </c>
      <c r="AP317" s="220">
        <f t="shared" si="799"/>
        <v>0</v>
      </c>
      <c r="AQ317" s="220">
        <f t="shared" si="800"/>
        <v>0</v>
      </c>
      <c r="AR317" s="220">
        <f t="shared" si="801"/>
        <v>400</v>
      </c>
      <c r="AS317" s="220">
        <f t="shared" si="802"/>
        <v>20</v>
      </c>
      <c r="AT317" s="216">
        <f t="shared" si="803"/>
        <v>1039.9000000000001</v>
      </c>
      <c r="AU317" s="222">
        <f t="shared" si="919"/>
        <v>403.90000000000009</v>
      </c>
      <c r="AV317" s="220"/>
      <c r="AW317" s="220">
        <f t="shared" si="804"/>
        <v>403.90000000000009</v>
      </c>
      <c r="AX317" s="216">
        <f t="shared" si="820"/>
        <v>0</v>
      </c>
      <c r="AY317" s="220">
        <f t="shared" si="815"/>
        <v>0</v>
      </c>
      <c r="AZ317" s="220">
        <f t="shared" si="816"/>
        <v>0</v>
      </c>
      <c r="BA317" s="220">
        <f t="shared" si="817"/>
        <v>0</v>
      </c>
      <c r="BB317" s="220">
        <f t="shared" si="818"/>
        <v>400</v>
      </c>
      <c r="BC317" s="220">
        <f t="shared" si="819"/>
        <v>20</v>
      </c>
      <c r="BD317" s="216">
        <f t="shared" si="988"/>
        <v>420</v>
      </c>
      <c r="BE317" s="220">
        <f t="shared" si="805"/>
        <v>0</v>
      </c>
      <c r="BF317" s="220">
        <f t="shared" si="806"/>
        <v>0</v>
      </c>
      <c r="BG317" s="220">
        <f t="shared" si="807"/>
        <v>0</v>
      </c>
      <c r="BH317" s="220">
        <f t="shared" si="808"/>
        <v>0</v>
      </c>
      <c r="BI317" s="220">
        <f t="shared" si="809"/>
        <v>0</v>
      </c>
      <c r="BJ317" s="220" t="s">
        <v>1405</v>
      </c>
      <c r="BK317" s="220"/>
      <c r="BL317" s="223">
        <f t="shared" si="1004"/>
        <v>403.90000000000009</v>
      </c>
      <c r="BM317" s="220">
        <v>6.92</v>
      </c>
      <c r="BN317" s="220"/>
      <c r="BO317" s="220">
        <f t="shared" si="989"/>
        <v>6.92</v>
      </c>
      <c r="BP317" s="220">
        <f>IF(AND(BL317&gt;0,BL317&lt;tiet!$D$1),BL317,IF(BL317&lt;=0,0,IF(BL317&gt;tiet!$C$1,tiet!$C$1)))</f>
        <v>200</v>
      </c>
      <c r="BQ317" s="87">
        <f t="shared" si="957"/>
        <v>80000</v>
      </c>
      <c r="BR317" s="224">
        <f t="shared" si="958"/>
        <v>16000000</v>
      </c>
      <c r="BS317" s="220">
        <f t="shared" si="846"/>
        <v>203.90000000000009</v>
      </c>
      <c r="BT317" s="224">
        <f>VLOOKUP(N317,ma_dinhmuc!$A$1:$J$31,10,0)</f>
        <v>65000</v>
      </c>
      <c r="BU317" s="224">
        <f>ROUND(IF(BS317&gt;0,VLOOKUP(N317,ma_dinhmuc!$A$1:$J$31,10,0)*BS317,0),0)</f>
        <v>13253500</v>
      </c>
      <c r="BV317" s="224">
        <f t="shared" si="959"/>
        <v>29253500</v>
      </c>
      <c r="BW317" s="224"/>
      <c r="BX317" s="224">
        <v>0</v>
      </c>
      <c r="BY317" s="224"/>
      <c r="BZ317" s="224"/>
      <c r="CA317" s="224"/>
      <c r="CB317" s="224"/>
      <c r="CC317" s="225">
        <f t="shared" si="886"/>
        <v>29253500</v>
      </c>
      <c r="CD317" s="224">
        <f t="shared" si="887"/>
        <v>0</v>
      </c>
      <c r="CE317" s="224"/>
      <c r="CF317" s="226"/>
      <c r="CG317" s="87"/>
      <c r="CH317" s="87">
        <f t="shared" si="979"/>
        <v>70</v>
      </c>
      <c r="CI317" s="227" t="str">
        <f t="shared" si="1000"/>
        <v>Trần Đình</v>
      </c>
      <c r="CJ317" s="227" t="str">
        <f t="shared" si="1001"/>
        <v>Thao</v>
      </c>
      <c r="CK317" s="87">
        <f t="shared" si="1002"/>
        <v>5</v>
      </c>
      <c r="CL317" s="227" t="str">
        <f t="shared" si="980"/>
        <v>Kế hoạch và Đầu tư</v>
      </c>
      <c r="CM317" s="87" t="str">
        <f t="shared" si="810"/>
        <v>CS4</v>
      </c>
      <c r="CN317" s="87">
        <f t="shared" si="990"/>
        <v>270</v>
      </c>
      <c r="CO317" s="87">
        <f t="shared" si="991"/>
        <v>200</v>
      </c>
      <c r="CP317" s="229">
        <f t="shared" si="852"/>
        <v>0</v>
      </c>
      <c r="CQ317" s="229">
        <f t="shared" si="853"/>
        <v>0</v>
      </c>
      <c r="CR317" s="229">
        <f t="shared" si="854"/>
        <v>0</v>
      </c>
      <c r="CS317" s="229">
        <f t="shared" si="855"/>
        <v>54</v>
      </c>
      <c r="CT317" s="229">
        <f t="shared" si="856"/>
        <v>0</v>
      </c>
      <c r="CU317" s="229">
        <f t="shared" si="857"/>
        <v>0</v>
      </c>
      <c r="CV317" s="229">
        <f t="shared" si="858"/>
        <v>0</v>
      </c>
      <c r="CW317" s="229">
        <f t="shared" si="859"/>
        <v>0</v>
      </c>
      <c r="CX317" s="229">
        <f t="shared" si="860"/>
        <v>0</v>
      </c>
      <c r="CY317" s="229">
        <f t="shared" si="861"/>
        <v>0</v>
      </c>
      <c r="CZ317" s="229">
        <f t="shared" si="862"/>
        <v>0</v>
      </c>
      <c r="DA317" s="229">
        <f t="shared" si="863"/>
        <v>0</v>
      </c>
      <c r="DB317" s="228">
        <f t="shared" si="792"/>
        <v>54</v>
      </c>
      <c r="DC317" s="229"/>
      <c r="DD317" s="229"/>
      <c r="DE317" s="229"/>
      <c r="DF317" s="229"/>
      <c r="DG317" s="229"/>
      <c r="DH317" s="229"/>
      <c r="DI317" s="229"/>
      <c r="DJ317" s="229"/>
      <c r="DK317" s="229"/>
      <c r="DL317" s="229"/>
      <c r="DM317" s="229"/>
      <c r="DN317" s="229"/>
      <c r="DO317" s="228">
        <f t="shared" si="812"/>
        <v>0</v>
      </c>
      <c r="DP317" s="228">
        <f t="shared" si="813"/>
        <v>54</v>
      </c>
      <c r="DQ317" s="229">
        <f t="shared" si="864"/>
        <v>519</v>
      </c>
      <c r="DR317" s="229">
        <f t="shared" si="865"/>
        <v>36.700000000000003</v>
      </c>
      <c r="DS317" s="229">
        <f t="shared" si="866"/>
        <v>0</v>
      </c>
      <c r="DT317" s="229">
        <f t="shared" si="867"/>
        <v>10.199999999999999</v>
      </c>
      <c r="DU317" s="229">
        <f t="shared" si="868"/>
        <v>0</v>
      </c>
      <c r="DV317" s="229">
        <f t="shared" si="869"/>
        <v>400</v>
      </c>
      <c r="DW317" s="229">
        <f t="shared" si="870"/>
        <v>20</v>
      </c>
      <c r="DX317" s="228">
        <f t="shared" si="793"/>
        <v>985.90000000000009</v>
      </c>
      <c r="DY317" s="229"/>
      <c r="DZ317" s="229"/>
      <c r="EA317" s="229"/>
      <c r="EB317" s="229"/>
      <c r="EC317" s="229"/>
      <c r="ED317" s="229"/>
      <c r="EE317" s="229"/>
      <c r="EF317" s="228">
        <f t="shared" si="847"/>
        <v>0</v>
      </c>
      <c r="EG317" s="228">
        <f t="shared" si="814"/>
        <v>985.90000000000009</v>
      </c>
      <c r="EH317" s="229">
        <f t="shared" si="848"/>
        <v>172.5</v>
      </c>
      <c r="EI317" s="229">
        <v>144.59</v>
      </c>
      <c r="EJ317" s="228">
        <f t="shared" si="1003"/>
        <v>317.09000000000003</v>
      </c>
      <c r="EK317" s="229"/>
      <c r="EL317" s="229"/>
      <c r="EM317" s="228">
        <f t="shared" si="967"/>
        <v>0</v>
      </c>
      <c r="EN317" s="229">
        <f t="shared" si="907"/>
        <v>172.5</v>
      </c>
      <c r="EO317" s="229">
        <f t="shared" si="926"/>
        <v>144.59</v>
      </c>
      <c r="EP317" s="228">
        <f t="shared" si="992"/>
        <v>317.09000000000003</v>
      </c>
      <c r="EQ317" s="173">
        <f t="shared" si="849"/>
        <v>0</v>
      </c>
      <c r="ER317" s="189">
        <v>0</v>
      </c>
      <c r="ES317" s="189">
        <v>0</v>
      </c>
      <c r="ET317" s="189">
        <v>0</v>
      </c>
      <c r="EU317" s="189">
        <v>54</v>
      </c>
      <c r="EV317" s="189">
        <v>0</v>
      </c>
      <c r="EW317" s="189">
        <v>0</v>
      </c>
      <c r="EX317" s="189">
        <v>0</v>
      </c>
      <c r="EY317" s="189">
        <v>0</v>
      </c>
      <c r="EZ317" s="189">
        <v>0</v>
      </c>
      <c r="FA317" s="189">
        <v>0</v>
      </c>
      <c r="FB317" s="189">
        <v>0</v>
      </c>
      <c r="FC317" s="189">
        <v>0</v>
      </c>
      <c r="FD317" s="189">
        <v>519</v>
      </c>
      <c r="FE317" s="189">
        <v>36.700000000000003</v>
      </c>
      <c r="FF317" s="189">
        <v>0</v>
      </c>
      <c r="FG317" s="189">
        <v>10.199999999999999</v>
      </c>
      <c r="FH317" s="189">
        <v>400</v>
      </c>
      <c r="FI317" s="189">
        <v>0</v>
      </c>
      <c r="FJ317" s="189">
        <v>20</v>
      </c>
      <c r="FK317" s="189">
        <v>1039.9000000000001</v>
      </c>
      <c r="FL317" s="189">
        <v>778</v>
      </c>
      <c r="FN317" s="132">
        <v>172.5</v>
      </c>
    </row>
    <row r="318" spans="1:170" ht="30" customHeight="1">
      <c r="A318" s="88">
        <f>COUNTIF($H$12:H318,H318)</f>
        <v>71</v>
      </c>
      <c r="B318" s="88" t="s">
        <v>1698</v>
      </c>
      <c r="C318" s="88" t="s">
        <v>879</v>
      </c>
      <c r="D318" s="88"/>
      <c r="E318" s="88"/>
      <c r="F318" s="301" t="s">
        <v>2822</v>
      </c>
      <c r="G318" s="89" t="s">
        <v>14</v>
      </c>
      <c r="H318" s="88">
        <v>5</v>
      </c>
      <c r="I318" s="88">
        <v>5</v>
      </c>
      <c r="J318" s="88">
        <v>5</v>
      </c>
      <c r="K318" s="90" t="s">
        <v>2222</v>
      </c>
      <c r="L318" s="90" t="s">
        <v>2222</v>
      </c>
      <c r="M318" s="214"/>
      <c r="N318" s="88" t="s">
        <v>605</v>
      </c>
      <c r="O318" s="216">
        <f>BO318</f>
        <v>6.56</v>
      </c>
      <c r="P318" s="88" t="str">
        <f t="shared" si="880"/>
        <v>B1_7</v>
      </c>
      <c r="Q318" s="88">
        <f t="shared" si="951"/>
        <v>270</v>
      </c>
      <c r="R318" s="88">
        <f t="shared" si="952"/>
        <v>200</v>
      </c>
      <c r="S318" s="230" t="s">
        <v>2031</v>
      </c>
      <c r="T318" s="88" t="s">
        <v>3091</v>
      </c>
      <c r="U318" s="88">
        <f>IF(RIGHT(T318,1)="K",(VLOOKUP(T318,ma_miengiam!$A$3:$B$80,2,0)*100)/2,VLOOKUP(T318,ma_miengiam!$A$3:$B$80,2,0)*100)</f>
        <v>20</v>
      </c>
      <c r="V318" s="88"/>
      <c r="W318" s="220">
        <f>IF(AND(T318="NTS",V318&gt;0),(Q318-(Q318*V318)/12)*VLOOKUP(T318,ma_miengiam!$A$3:$B$80,2,0)+(Q318-(Q318*(12-V318))/12),IF(AND(RIGHT(T318,1)="K",V318&gt;0),(VLOOKUP(T318,ma_miengiam!$A$3:$B$80,2,0)/2)*(Q318*V318)/12,IF(RIGHT(T318,1)="K",(VLOOKUP(T318,ma_miengiam!$A$3:$B$80,2,0)*Q318)/2,IF(V318&gt;0,VLOOKUP(T318,ma_miengiam!$A$3:$B$80,2,0)*Q318*V318/12,VLOOKUP(T318,ma_miengiam!$A$3:$B$80,2,0)*Q318))))</f>
        <v>54</v>
      </c>
      <c r="X318" s="220">
        <f>IF(T318="NTS",VLOOKUP(T318,ma_miengiam!$A$3:$B$80,2,0)*R318*V318,IF(AND(T318="NTS",V318=0),0,IF(AND(LEFT(T318,1)="K",V318=0),VLOOKUP(T318,ma_miengiam!$A$3:$B$80,2,0)*R318,IF(LEFT(T318,1)="K",(VLOOKUP(T318,ma_miengiam!$A$3:$B$80,2,0)*R318/12)*V318,IF(AND(LEFT(T318,1)="S",V318&gt;0),(R318/12)*V318,IF(AND(LEFT(T318,1)="S",V318=0),R318,IF(T318="DH",VLOOKUP(T318,ma_miengiam!$A$3:$B$80,2,0)*R318,0)))))))</f>
        <v>0</v>
      </c>
      <c r="Y318" s="220">
        <f t="shared" si="932"/>
        <v>216</v>
      </c>
      <c r="Z318" s="220">
        <f t="shared" si="908"/>
        <v>200</v>
      </c>
      <c r="AA318" s="220">
        <f>Q318</f>
        <v>270</v>
      </c>
      <c r="AB318" s="220">
        <f>R318</f>
        <v>200</v>
      </c>
      <c r="AC318" s="220">
        <f t="shared" ref="AC318:AF320" si="1005">W318</f>
        <v>54</v>
      </c>
      <c r="AD318" s="220">
        <f t="shared" si="1005"/>
        <v>0</v>
      </c>
      <c r="AE318" s="220">
        <f t="shared" si="1005"/>
        <v>216</v>
      </c>
      <c r="AF318" s="220">
        <f t="shared" si="1005"/>
        <v>200</v>
      </c>
      <c r="AG318" s="220">
        <f>AH318+AI318</f>
        <v>250.66</v>
      </c>
      <c r="AH318" s="220">
        <f>EO318</f>
        <v>144.59</v>
      </c>
      <c r="AI318" s="220">
        <f>EN318</f>
        <v>106.07</v>
      </c>
      <c r="AJ318" s="220">
        <f t="shared" si="918"/>
        <v>0</v>
      </c>
      <c r="AK318" s="216">
        <f t="shared" si="794"/>
        <v>216</v>
      </c>
      <c r="AL318" s="220">
        <f t="shared" si="795"/>
        <v>144.5</v>
      </c>
      <c r="AM318" s="220">
        <f t="shared" si="796"/>
        <v>533.59999999999991</v>
      </c>
      <c r="AN318" s="221">
        <f t="shared" si="797"/>
        <v>678.09999999999991</v>
      </c>
      <c r="AO318" s="220">
        <f t="shared" si="798"/>
        <v>0</v>
      </c>
      <c r="AP318" s="220">
        <f t="shared" si="799"/>
        <v>0</v>
      </c>
      <c r="AQ318" s="220">
        <f t="shared" si="800"/>
        <v>0</v>
      </c>
      <c r="AR318" s="220">
        <f t="shared" si="801"/>
        <v>440</v>
      </c>
      <c r="AS318" s="220">
        <f t="shared" si="802"/>
        <v>0</v>
      </c>
      <c r="AT318" s="216">
        <f t="shared" si="803"/>
        <v>1118.0999999999999</v>
      </c>
      <c r="AU318" s="222">
        <f t="shared" si="919"/>
        <v>462.09999999999991</v>
      </c>
      <c r="AV318" s="220"/>
      <c r="AW318" s="220">
        <f t="shared" ref="AW318:AW366" si="1006">IF(AU318&gt;0,AU318,AV318+AU318)</f>
        <v>462.09999999999991</v>
      </c>
      <c r="AX318" s="216">
        <f t="shared" si="820"/>
        <v>0</v>
      </c>
      <c r="AY318" s="220">
        <f t="shared" si="815"/>
        <v>0</v>
      </c>
      <c r="AZ318" s="220">
        <f t="shared" si="816"/>
        <v>0</v>
      </c>
      <c r="BA318" s="220">
        <f t="shared" si="817"/>
        <v>0</v>
      </c>
      <c r="BB318" s="220">
        <f t="shared" si="818"/>
        <v>440</v>
      </c>
      <c r="BC318" s="220">
        <f t="shared" si="819"/>
        <v>0</v>
      </c>
      <c r="BD318" s="216">
        <f t="shared" si="988"/>
        <v>440</v>
      </c>
      <c r="BE318" s="220">
        <f t="shared" ref="BE318:BE366" si="1007">AY318-AO318</f>
        <v>0</v>
      </c>
      <c r="BF318" s="220">
        <f t="shared" ref="BF318:BF366" si="1008">AZ318-AP318</f>
        <v>0</v>
      </c>
      <c r="BG318" s="220">
        <f t="shared" ref="BG318:BG366" si="1009">BA318-AQ318</f>
        <v>0</v>
      </c>
      <c r="BH318" s="220">
        <f t="shared" ref="BH318:BH366" si="1010">BB318-AR318</f>
        <v>0</v>
      </c>
      <c r="BI318" s="220">
        <f t="shared" ref="BI318:BI366" si="1011">BC318-AS318</f>
        <v>0</v>
      </c>
      <c r="BJ318" s="220" t="s">
        <v>1405</v>
      </c>
      <c r="BK318" s="220"/>
      <c r="BL318" s="223">
        <f t="shared" si="1004"/>
        <v>462.09999999999991</v>
      </c>
      <c r="BM318" s="220">
        <v>6.56</v>
      </c>
      <c r="BN318" s="220"/>
      <c r="BO318" s="220">
        <f>ROUND(BM318+(BM318*BN318),2)</f>
        <v>6.56</v>
      </c>
      <c r="BP318" s="220">
        <f>IF(AND(BL318&gt;0,BL318&lt;tiet!$D$1),BL318,IF(BL318&lt;=0,0,IF(BL318&gt;tiet!$C$1,tiet!$C$1)))</f>
        <v>200</v>
      </c>
      <c r="BQ318" s="87">
        <f t="shared" si="957"/>
        <v>80000</v>
      </c>
      <c r="BR318" s="224">
        <f t="shared" si="958"/>
        <v>16000000</v>
      </c>
      <c r="BS318" s="220">
        <f t="shared" si="846"/>
        <v>262.09999999999991</v>
      </c>
      <c r="BT318" s="224">
        <f>VLOOKUP(N318,ma_dinhmuc!$A$1:$J$31,10,0)</f>
        <v>65000</v>
      </c>
      <c r="BU318" s="224">
        <f>ROUND(IF(BS318&gt;0,VLOOKUP(N318,ma_dinhmuc!$A$1:$J$31,10,0)*BS318,0),0)</f>
        <v>17036500</v>
      </c>
      <c r="BV318" s="224">
        <f t="shared" si="959"/>
        <v>33036500</v>
      </c>
      <c r="BW318" s="224"/>
      <c r="BX318" s="224">
        <v>0</v>
      </c>
      <c r="BY318" s="224"/>
      <c r="BZ318" s="224"/>
      <c r="CA318" s="224"/>
      <c r="CB318" s="224"/>
      <c r="CC318" s="225">
        <f t="shared" si="886"/>
        <v>33036500</v>
      </c>
      <c r="CD318" s="224">
        <f t="shared" si="887"/>
        <v>0</v>
      </c>
      <c r="CE318" s="224"/>
      <c r="CF318" s="226"/>
      <c r="CG318" s="87"/>
      <c r="CH318" s="87">
        <f>A318</f>
        <v>71</v>
      </c>
      <c r="CI318" s="227" t="str">
        <f>F318</f>
        <v>Nguyễn Tuấn</v>
      </c>
      <c r="CJ318" s="227" t="str">
        <f>G318</f>
        <v>Sơn</v>
      </c>
      <c r="CK318" s="87">
        <f>H318</f>
        <v>5</v>
      </c>
      <c r="CL318" s="227" t="str">
        <f>L318</f>
        <v>Kế hoạch và Đầu tư</v>
      </c>
      <c r="CM318" s="87" t="str">
        <f t="shared" ref="CM318:CM366" si="1012">N318</f>
        <v>CS4</v>
      </c>
      <c r="CN318" s="87">
        <f>Q318</f>
        <v>270</v>
      </c>
      <c r="CO318" s="87">
        <f>R318</f>
        <v>200</v>
      </c>
      <c r="CP318" s="229">
        <f t="shared" si="852"/>
        <v>0</v>
      </c>
      <c r="CQ318" s="229">
        <f t="shared" si="853"/>
        <v>17.5</v>
      </c>
      <c r="CR318" s="229">
        <f t="shared" si="854"/>
        <v>7</v>
      </c>
      <c r="CS318" s="229">
        <f t="shared" si="855"/>
        <v>0</v>
      </c>
      <c r="CT318" s="229">
        <f t="shared" si="856"/>
        <v>0</v>
      </c>
      <c r="CU318" s="229">
        <f t="shared" si="857"/>
        <v>120</v>
      </c>
      <c r="CV318" s="229">
        <f t="shared" si="858"/>
        <v>0</v>
      </c>
      <c r="CW318" s="229">
        <f t="shared" si="859"/>
        <v>0</v>
      </c>
      <c r="CX318" s="229">
        <f t="shared" si="860"/>
        <v>0</v>
      </c>
      <c r="CY318" s="229">
        <f t="shared" si="861"/>
        <v>0</v>
      </c>
      <c r="CZ318" s="229">
        <f t="shared" si="862"/>
        <v>0</v>
      </c>
      <c r="DA318" s="229">
        <f t="shared" si="863"/>
        <v>0</v>
      </c>
      <c r="DB318" s="228">
        <f t="shared" si="792"/>
        <v>144.5</v>
      </c>
      <c r="DC318" s="229"/>
      <c r="DD318" s="229"/>
      <c r="DE318" s="229"/>
      <c r="DF318" s="229"/>
      <c r="DG318" s="229"/>
      <c r="DH318" s="229"/>
      <c r="DI318" s="229"/>
      <c r="DJ318" s="229"/>
      <c r="DK318" s="229"/>
      <c r="DL318" s="229"/>
      <c r="DM318" s="229"/>
      <c r="DN318" s="229"/>
      <c r="DO318" s="228">
        <f t="shared" si="812"/>
        <v>0</v>
      </c>
      <c r="DP318" s="228">
        <f t="shared" si="813"/>
        <v>144.5</v>
      </c>
      <c r="DQ318" s="229">
        <f t="shared" si="864"/>
        <v>495</v>
      </c>
      <c r="DR318" s="229">
        <f t="shared" si="865"/>
        <v>28.8</v>
      </c>
      <c r="DS318" s="229">
        <f t="shared" si="866"/>
        <v>0</v>
      </c>
      <c r="DT318" s="229">
        <f t="shared" si="867"/>
        <v>9.8000000000000007</v>
      </c>
      <c r="DU318" s="229">
        <f t="shared" si="868"/>
        <v>0</v>
      </c>
      <c r="DV318" s="229">
        <f t="shared" si="869"/>
        <v>440</v>
      </c>
      <c r="DW318" s="229">
        <f t="shared" si="870"/>
        <v>0</v>
      </c>
      <c r="DX318" s="228">
        <f t="shared" si="793"/>
        <v>973.59999999999991</v>
      </c>
      <c r="DY318" s="229"/>
      <c r="DZ318" s="229"/>
      <c r="EA318" s="229"/>
      <c r="EB318" s="229"/>
      <c r="EC318" s="229"/>
      <c r="ED318" s="229"/>
      <c r="EE318" s="229"/>
      <c r="EF318" s="228">
        <f t="shared" si="847"/>
        <v>0</v>
      </c>
      <c r="EG318" s="228">
        <f t="shared" si="814"/>
        <v>973.59999999999991</v>
      </c>
      <c r="EH318" s="229">
        <f t="shared" si="848"/>
        <v>106.07</v>
      </c>
      <c r="EI318" s="229">
        <v>144.59</v>
      </c>
      <c r="EJ318" s="228">
        <f>SUM(EH318:EI318)</f>
        <v>250.66</v>
      </c>
      <c r="EK318" s="229"/>
      <c r="EL318" s="229"/>
      <c r="EM318" s="228">
        <f>SUM(EK318:EL318)</f>
        <v>0</v>
      </c>
      <c r="EN318" s="229">
        <f t="shared" si="907"/>
        <v>106.07</v>
      </c>
      <c r="EO318" s="229">
        <f t="shared" si="926"/>
        <v>144.59</v>
      </c>
      <c r="EP318" s="228">
        <f>EM318+EJ318</f>
        <v>250.66</v>
      </c>
      <c r="EQ318" s="173">
        <f t="shared" si="849"/>
        <v>0</v>
      </c>
      <c r="ER318" s="189">
        <v>0</v>
      </c>
      <c r="ES318" s="189">
        <v>17.5</v>
      </c>
      <c r="ET318" s="189">
        <v>7</v>
      </c>
      <c r="EU318" s="189">
        <v>0</v>
      </c>
      <c r="EV318" s="189">
        <v>0</v>
      </c>
      <c r="EW318" s="189">
        <v>120</v>
      </c>
      <c r="EX318" s="189">
        <v>0</v>
      </c>
      <c r="EY318" s="189">
        <v>0</v>
      </c>
      <c r="EZ318" s="189">
        <v>0</v>
      </c>
      <c r="FA318" s="189">
        <v>0</v>
      </c>
      <c r="FB318" s="189">
        <v>0</v>
      </c>
      <c r="FC318" s="189">
        <v>0</v>
      </c>
      <c r="FD318" s="189">
        <v>495</v>
      </c>
      <c r="FE318" s="189">
        <v>28.8</v>
      </c>
      <c r="FF318" s="189">
        <v>0</v>
      </c>
      <c r="FG318" s="189">
        <v>9.8000000000000007</v>
      </c>
      <c r="FH318" s="189">
        <v>440</v>
      </c>
      <c r="FI318" s="189">
        <v>0</v>
      </c>
      <c r="FJ318" s="189">
        <v>0</v>
      </c>
      <c r="FK318" s="189">
        <v>1118.0999999999999</v>
      </c>
      <c r="FL318" s="189">
        <v>789</v>
      </c>
      <c r="FN318" s="132">
        <v>106.07</v>
      </c>
    </row>
    <row r="319" spans="1:170" ht="30" customHeight="1">
      <c r="A319" s="88">
        <f>COUNTIF($H$12:H319,H319)</f>
        <v>72</v>
      </c>
      <c r="B319" s="88" t="s">
        <v>1699</v>
      </c>
      <c r="C319" s="88" t="s">
        <v>880</v>
      </c>
      <c r="D319" s="88"/>
      <c r="E319" s="88"/>
      <c r="F319" s="301" t="s">
        <v>1604</v>
      </c>
      <c r="G319" s="303" t="s">
        <v>3080</v>
      </c>
      <c r="H319" s="88">
        <v>5</v>
      </c>
      <c r="I319" s="88">
        <v>5</v>
      </c>
      <c r="J319" s="88">
        <v>5</v>
      </c>
      <c r="K319" s="90" t="s">
        <v>2222</v>
      </c>
      <c r="L319" s="90" t="s">
        <v>2222</v>
      </c>
      <c r="M319" s="214"/>
      <c r="N319" s="88" t="s">
        <v>606</v>
      </c>
      <c r="O319" s="216">
        <f t="shared" si="993"/>
        <v>4.4000000000000004</v>
      </c>
      <c r="P319" s="88" t="str">
        <f t="shared" si="880"/>
        <v>B1_4</v>
      </c>
      <c r="Q319" s="88">
        <f t="shared" si="951"/>
        <v>270</v>
      </c>
      <c r="R319" s="88">
        <f t="shared" si="952"/>
        <v>120</v>
      </c>
      <c r="S319" s="230"/>
      <c r="T319" s="219" t="s">
        <v>3088</v>
      </c>
      <c r="U319" s="88">
        <f>IF(RIGHT(T319,1)="K",(VLOOKUP(T319,ma_miengiam!$A$3:$B$80,2,0)*100)/2,VLOOKUP(T319,ma_miengiam!$A$3:$B$80,2,0)*100)</f>
        <v>0</v>
      </c>
      <c r="V319" s="88"/>
      <c r="W319" s="220">
        <f>IF(AND(T319="NTS",V319&gt;0),(Q319-(Q319*V319)/12)*VLOOKUP(T319,ma_miengiam!$A$3:$B$80,2,0)+(Q319-(Q319*(12-V319))/12),IF(AND(RIGHT(T319,1)="K",V319&gt;0),(VLOOKUP(T319,ma_miengiam!$A$3:$B$80,2,0)/2)*(Q319*V319)/12,IF(RIGHT(T319,1)="K",(VLOOKUP(T319,ma_miengiam!$A$3:$B$80,2,0)*Q319)/2,IF(V319&gt;0,VLOOKUP(T319,ma_miengiam!$A$3:$B$80,2,0)*Q319*V319/12,VLOOKUP(T319,ma_miengiam!$A$3:$B$80,2,0)*Q319))))</f>
        <v>0</v>
      </c>
      <c r="X319" s="220">
        <f>IF(T319="NTS",VLOOKUP(T319,ma_miengiam!$A$3:$B$80,2,0)*R319*V319,IF(AND(T319="NTS",V319=0),0,IF(AND(LEFT(T319,1)="K",V319=0),VLOOKUP(T319,ma_miengiam!$A$3:$B$80,2,0)*R319,IF(LEFT(T319,1)="K",(VLOOKUP(T319,ma_miengiam!$A$3:$B$80,2,0)*R319/12)*V319,IF(AND(LEFT(T319,1)="S",V319&gt;0),(R319/12)*V319,IF(AND(LEFT(T319,1)="S",V319=0),R319,IF(T319="DH",VLOOKUP(T319,ma_miengiam!$A$3:$B$80,2,0)*R319,0)))))))</f>
        <v>0</v>
      </c>
      <c r="Y319" s="220">
        <f t="shared" si="932"/>
        <v>270</v>
      </c>
      <c r="Z319" s="220">
        <f t="shared" si="908"/>
        <v>120</v>
      </c>
      <c r="AA319" s="220">
        <f t="shared" si="994"/>
        <v>270</v>
      </c>
      <c r="AB319" s="220">
        <f t="shared" si="995"/>
        <v>120</v>
      </c>
      <c r="AC319" s="220">
        <f t="shared" si="1005"/>
        <v>0</v>
      </c>
      <c r="AD319" s="220">
        <f t="shared" si="1005"/>
        <v>0</v>
      </c>
      <c r="AE319" s="220">
        <f t="shared" si="1005"/>
        <v>270</v>
      </c>
      <c r="AF319" s="220">
        <f t="shared" si="1005"/>
        <v>120</v>
      </c>
      <c r="AG319" s="220">
        <f t="shared" si="997"/>
        <v>291.76</v>
      </c>
      <c r="AH319" s="220">
        <f t="shared" si="998"/>
        <v>86.76</v>
      </c>
      <c r="AI319" s="220">
        <f t="shared" si="999"/>
        <v>205</v>
      </c>
      <c r="AJ319" s="220">
        <f t="shared" si="918"/>
        <v>0</v>
      </c>
      <c r="AK319" s="216">
        <f t="shared" si="794"/>
        <v>270</v>
      </c>
      <c r="AL319" s="220">
        <f t="shared" si="795"/>
        <v>175.6</v>
      </c>
      <c r="AM319" s="220">
        <f t="shared" si="796"/>
        <v>243.2</v>
      </c>
      <c r="AN319" s="221">
        <f t="shared" si="797"/>
        <v>418.79999999999995</v>
      </c>
      <c r="AO319" s="220">
        <f t="shared" si="798"/>
        <v>0</v>
      </c>
      <c r="AP319" s="220">
        <f t="shared" si="799"/>
        <v>0</v>
      </c>
      <c r="AQ319" s="220">
        <f t="shared" si="800"/>
        <v>20</v>
      </c>
      <c r="AR319" s="220">
        <f t="shared" si="801"/>
        <v>320</v>
      </c>
      <c r="AS319" s="220">
        <f t="shared" si="802"/>
        <v>40</v>
      </c>
      <c r="AT319" s="216">
        <f t="shared" si="803"/>
        <v>798.8</v>
      </c>
      <c r="AU319" s="222">
        <f t="shared" si="919"/>
        <v>148.79999999999995</v>
      </c>
      <c r="AV319" s="220"/>
      <c r="AW319" s="220">
        <f t="shared" si="1006"/>
        <v>148.79999999999995</v>
      </c>
      <c r="AX319" s="216">
        <f t="shared" si="820"/>
        <v>0</v>
      </c>
      <c r="AY319" s="220">
        <f t="shared" ref="AY319:AY367" si="1013">IF(AN319&gt;=AK319,AO319,IF(AN319+AO319-AK319&gt;=0,AN319+AO319-AK319,0))</f>
        <v>0</v>
      </c>
      <c r="AZ319" s="220">
        <f t="shared" ref="AZ319:AZ367" si="1014">IF(OR(AN319&gt;=AK319,AN319+AO319&gt;=AK319),AP319,IF(AN319+AO319+AP319&gt;AK319,AN319+AO319+AP319-AK319,0))</f>
        <v>0</v>
      </c>
      <c r="BA319" s="220">
        <f t="shared" ref="BA319:BA367" si="1015">IF(OR(AN319&gt;=AK319,AN319+AO319&gt;=AK319,AN319+AO319+AP319&gt;=AK319),AQ319,IF(AN319+AO319+AP319+AQ319&gt;=AK319,AN319+AO319+AP319+AQ319-AK319,0))</f>
        <v>20</v>
      </c>
      <c r="BB319" s="220">
        <f t="shared" ref="BB319:BB367" si="1016">IF(OR(AN319&gt;=AK319,AN319+AO319&gt;=AK319,AN319+AO319+AP319&gt;=AK319,AN319+AO319+AP319+AQ319&gt;=AK319),AR319,IF(AN319+AO319+AP319+AQ319+AR319&gt;=AK319,AN319+AO319+AP319+AQ319+AR319-AK319,0))</f>
        <v>320</v>
      </c>
      <c r="BC319" s="220">
        <f t="shared" ref="BC319:BC367" si="1017">IF(OR(AN319&gt;=AK319,AN319+AO319&gt;=AK319,AN319+AO319+AP319&gt;=AK319,AN319+AO319+AP319+AQ319&gt;=AK319,AN319+AO319+AP319+AQ319+AR319&gt;=AK319),AS319,IF(AN319+AO319+AP319+AQ319+AR319+AS319&gt;=AK319,AN319+AO319+AP319+AQ319+AR319+AS319-AK319,0))</f>
        <v>40</v>
      </c>
      <c r="BD319" s="216">
        <f t="shared" si="988"/>
        <v>380</v>
      </c>
      <c r="BE319" s="220">
        <f t="shared" si="1007"/>
        <v>0</v>
      </c>
      <c r="BF319" s="220">
        <f t="shared" si="1008"/>
        <v>0</v>
      </c>
      <c r="BG319" s="220">
        <f t="shared" si="1009"/>
        <v>0</v>
      </c>
      <c r="BH319" s="220">
        <f t="shared" si="1010"/>
        <v>0</v>
      </c>
      <c r="BI319" s="220">
        <f t="shared" si="1011"/>
        <v>0</v>
      </c>
      <c r="BJ319" s="220" t="s">
        <v>1405</v>
      </c>
      <c r="BK319" s="220"/>
      <c r="BL319" s="223">
        <f t="shared" si="1004"/>
        <v>148.79999999999995</v>
      </c>
      <c r="BM319" s="220">
        <v>4.4000000000000004</v>
      </c>
      <c r="BN319" s="220"/>
      <c r="BO319" s="220">
        <f t="shared" si="989"/>
        <v>4.4000000000000004</v>
      </c>
      <c r="BP319" s="220">
        <f>IF(AND(BL319&gt;0,BL319&lt;tiet!$D$1),BL319,IF(BL319&lt;=0,0,IF(BL319&gt;tiet!$C$1,tiet!$C$1)))</f>
        <v>148.79999999999995</v>
      </c>
      <c r="BQ319" s="87">
        <f t="shared" si="957"/>
        <v>65000</v>
      </c>
      <c r="BR319" s="224">
        <f t="shared" si="958"/>
        <v>9672000</v>
      </c>
      <c r="BS319" s="220">
        <f t="shared" si="846"/>
        <v>0</v>
      </c>
      <c r="BT319" s="224">
        <f>VLOOKUP(N319,ma_dinhmuc!$A$1:$J$31,10,0)</f>
        <v>55000</v>
      </c>
      <c r="BU319" s="224">
        <f>ROUND(IF(BS319&gt;0,VLOOKUP(N319,ma_dinhmuc!$A$1:$J$31,10,0)*BS319,0),0)</f>
        <v>0</v>
      </c>
      <c r="BV319" s="224">
        <f t="shared" si="959"/>
        <v>9672000</v>
      </c>
      <c r="BW319" s="224"/>
      <c r="BX319" s="224">
        <v>0</v>
      </c>
      <c r="BY319" s="224"/>
      <c r="BZ319" s="224"/>
      <c r="CA319" s="224"/>
      <c r="CB319" s="224"/>
      <c r="CC319" s="225">
        <f t="shared" si="886"/>
        <v>9672000</v>
      </c>
      <c r="CD319" s="224">
        <f t="shared" si="887"/>
        <v>0</v>
      </c>
      <c r="CE319" s="224"/>
      <c r="CF319" s="226"/>
      <c r="CG319" s="87"/>
      <c r="CH319" s="87">
        <f t="shared" si="979"/>
        <v>72</v>
      </c>
      <c r="CI319" s="227" t="str">
        <f t="shared" si="1000"/>
        <v>Hồ Ngọc</v>
      </c>
      <c r="CJ319" s="227" t="str">
        <f t="shared" si="1001"/>
        <v>Ninh</v>
      </c>
      <c r="CK319" s="87">
        <f t="shared" si="1002"/>
        <v>5</v>
      </c>
      <c r="CL319" s="227" t="str">
        <f t="shared" si="980"/>
        <v>Kế hoạch và Đầu tư</v>
      </c>
      <c r="CM319" s="87" t="str">
        <f t="shared" si="1012"/>
        <v>CS3</v>
      </c>
      <c r="CN319" s="87">
        <f t="shared" si="990"/>
        <v>270</v>
      </c>
      <c r="CO319" s="87">
        <f t="shared" si="991"/>
        <v>120</v>
      </c>
      <c r="CP319" s="229">
        <f t="shared" si="852"/>
        <v>0</v>
      </c>
      <c r="CQ319" s="229">
        <f t="shared" si="853"/>
        <v>23.2</v>
      </c>
      <c r="CR319" s="229">
        <f t="shared" si="854"/>
        <v>9.4</v>
      </c>
      <c r="CS319" s="229">
        <f t="shared" si="855"/>
        <v>0</v>
      </c>
      <c r="CT319" s="229">
        <f t="shared" si="856"/>
        <v>0</v>
      </c>
      <c r="CU319" s="229">
        <f t="shared" si="857"/>
        <v>143</v>
      </c>
      <c r="CV319" s="229">
        <f t="shared" si="858"/>
        <v>0</v>
      </c>
      <c r="CW319" s="229">
        <f t="shared" si="859"/>
        <v>0</v>
      </c>
      <c r="CX319" s="229">
        <f t="shared" si="860"/>
        <v>0</v>
      </c>
      <c r="CY319" s="229">
        <f t="shared" si="861"/>
        <v>0</v>
      </c>
      <c r="CZ319" s="229">
        <f t="shared" si="862"/>
        <v>0</v>
      </c>
      <c r="DA319" s="229">
        <f t="shared" si="863"/>
        <v>20</v>
      </c>
      <c r="DB319" s="228">
        <f t="shared" ref="DB319:DB375" si="1018">SUM(CP319:DA319)</f>
        <v>195.6</v>
      </c>
      <c r="DC319" s="229"/>
      <c r="DD319" s="229"/>
      <c r="DE319" s="229"/>
      <c r="DF319" s="229"/>
      <c r="DG319" s="229"/>
      <c r="DH319" s="229"/>
      <c r="DI319" s="229"/>
      <c r="DJ319" s="229"/>
      <c r="DK319" s="229"/>
      <c r="DL319" s="229"/>
      <c r="DM319" s="229"/>
      <c r="DN319" s="229"/>
      <c r="DO319" s="228">
        <f t="shared" si="812"/>
        <v>0</v>
      </c>
      <c r="DP319" s="228">
        <f t="shared" si="813"/>
        <v>195.6</v>
      </c>
      <c r="DQ319" s="229">
        <f t="shared" si="864"/>
        <v>222</v>
      </c>
      <c r="DR319" s="229">
        <f t="shared" si="865"/>
        <v>15.1</v>
      </c>
      <c r="DS319" s="229">
        <f t="shared" si="866"/>
        <v>0</v>
      </c>
      <c r="DT319" s="229">
        <f t="shared" si="867"/>
        <v>6.1</v>
      </c>
      <c r="DU319" s="229">
        <f t="shared" si="868"/>
        <v>0</v>
      </c>
      <c r="DV319" s="229">
        <f t="shared" si="869"/>
        <v>320</v>
      </c>
      <c r="DW319" s="229">
        <f t="shared" si="870"/>
        <v>40</v>
      </c>
      <c r="DX319" s="228">
        <f t="shared" ref="DX319:DX375" si="1019">SUM(DQ319:DW319)</f>
        <v>603.20000000000005</v>
      </c>
      <c r="DY319" s="229"/>
      <c r="DZ319" s="229"/>
      <c r="EA319" s="229"/>
      <c r="EB319" s="229"/>
      <c r="EC319" s="229"/>
      <c r="ED319" s="229"/>
      <c r="EE319" s="229"/>
      <c r="EF319" s="228">
        <f t="shared" si="847"/>
        <v>0</v>
      </c>
      <c r="EG319" s="228">
        <f t="shared" si="814"/>
        <v>603.20000000000005</v>
      </c>
      <c r="EH319" s="229">
        <f t="shared" si="848"/>
        <v>205</v>
      </c>
      <c r="EI319" s="229">
        <v>86.76</v>
      </c>
      <c r="EJ319" s="228">
        <f t="shared" si="1003"/>
        <v>291.76</v>
      </c>
      <c r="EK319" s="229"/>
      <c r="EL319" s="229"/>
      <c r="EM319" s="228">
        <f t="shared" si="967"/>
        <v>0</v>
      </c>
      <c r="EN319" s="229">
        <f t="shared" si="907"/>
        <v>205</v>
      </c>
      <c r="EO319" s="229">
        <f t="shared" si="926"/>
        <v>86.76</v>
      </c>
      <c r="EP319" s="228">
        <f t="shared" si="992"/>
        <v>291.76</v>
      </c>
      <c r="EQ319" s="173">
        <f t="shared" si="849"/>
        <v>85</v>
      </c>
      <c r="ER319" s="189">
        <v>0</v>
      </c>
      <c r="ES319" s="189">
        <v>23.2</v>
      </c>
      <c r="ET319" s="189">
        <v>9.4</v>
      </c>
      <c r="EU319" s="189">
        <v>0</v>
      </c>
      <c r="EV319" s="189">
        <v>0</v>
      </c>
      <c r="EW319" s="189">
        <v>143</v>
      </c>
      <c r="EX319" s="189">
        <v>0</v>
      </c>
      <c r="EY319" s="189">
        <v>0</v>
      </c>
      <c r="EZ319" s="189">
        <v>0</v>
      </c>
      <c r="FA319" s="189">
        <v>0</v>
      </c>
      <c r="FB319" s="189">
        <v>0</v>
      </c>
      <c r="FC319" s="189">
        <v>20</v>
      </c>
      <c r="FD319" s="189">
        <v>222</v>
      </c>
      <c r="FE319" s="189">
        <v>15.1</v>
      </c>
      <c r="FF319" s="189">
        <v>0</v>
      </c>
      <c r="FG319" s="189">
        <v>6.1</v>
      </c>
      <c r="FH319" s="189">
        <v>320</v>
      </c>
      <c r="FI319" s="189">
        <v>0</v>
      </c>
      <c r="FJ319" s="189">
        <v>40</v>
      </c>
      <c r="FK319" s="189">
        <v>798.8</v>
      </c>
      <c r="FL319" s="189">
        <v>636</v>
      </c>
      <c r="FN319" s="132">
        <v>205</v>
      </c>
    </row>
    <row r="320" spans="1:170" ht="30" customHeight="1">
      <c r="A320" s="88">
        <f>COUNTIF($H$12:H320,H320)</f>
        <v>73</v>
      </c>
      <c r="B320" s="88" t="s">
        <v>1700</v>
      </c>
      <c r="C320" s="88" t="s">
        <v>881</v>
      </c>
      <c r="D320" s="88"/>
      <c r="E320" s="88"/>
      <c r="F320" s="301" t="s">
        <v>1606</v>
      </c>
      <c r="G320" s="89" t="s">
        <v>1051</v>
      </c>
      <c r="H320" s="88">
        <v>5</v>
      </c>
      <c r="I320" s="88">
        <v>5</v>
      </c>
      <c r="J320" s="88">
        <v>5</v>
      </c>
      <c r="K320" s="90" t="s">
        <v>2222</v>
      </c>
      <c r="L320" s="90" t="s">
        <v>2222</v>
      </c>
      <c r="M320" s="214"/>
      <c r="N320" s="88" t="s">
        <v>1804</v>
      </c>
      <c r="O320" s="216">
        <f t="shared" si="993"/>
        <v>4.32</v>
      </c>
      <c r="P320" s="88" t="str">
        <f t="shared" si="880"/>
        <v>B1_4</v>
      </c>
      <c r="Q320" s="88">
        <f t="shared" si="951"/>
        <v>270</v>
      </c>
      <c r="R320" s="88">
        <f t="shared" si="952"/>
        <v>120</v>
      </c>
      <c r="S320" s="218" t="s">
        <v>2004</v>
      </c>
      <c r="T320" s="219" t="s">
        <v>3090</v>
      </c>
      <c r="U320" s="88">
        <f>IF(RIGHT(T320,1)="K",(VLOOKUP(T320,ma_miengiam!$A$3:$B$80,2,0)*100)/2,VLOOKUP(T320,ma_miengiam!$A$3:$B$80,2,0)*100)</f>
        <v>15</v>
      </c>
      <c r="V320" s="88"/>
      <c r="W320" s="220">
        <f>IF(AND(T320="NTS",V320&gt;0),(Q320-(Q320*V320)/12)*VLOOKUP(T320,ma_miengiam!$A$3:$B$80,2,0)+(Q320-(Q320*(12-V320))/12),IF(AND(RIGHT(T320,1)="K",V320&gt;0),(VLOOKUP(T320,ma_miengiam!$A$3:$B$80,2,0)/2)*(Q320*V320)/12,IF(RIGHT(T320,1)="K",(VLOOKUP(T320,ma_miengiam!$A$3:$B$80,2,0)*Q320)/2,IF(V320&gt;0,VLOOKUP(T320,ma_miengiam!$A$3:$B$80,2,0)*Q320*V320/12,VLOOKUP(T320,ma_miengiam!$A$3:$B$80,2,0)*Q320))))</f>
        <v>40.5</v>
      </c>
      <c r="X320" s="220">
        <f>IF(T320="NTS",VLOOKUP(T320,ma_miengiam!$A$3:$B$80,2,0)*R320*V320,IF(AND(T320="NTS",V320=0),0,IF(AND(LEFT(T320,1)="K",V320=0),VLOOKUP(T320,ma_miengiam!$A$3:$B$80,2,0)*R320,IF(LEFT(T320,1)="K",(VLOOKUP(T320,ma_miengiam!$A$3:$B$80,2,0)*R320/12)*V320,IF(AND(LEFT(T320,1)="S",V320&gt;0),(R320/12)*V320,IF(AND(LEFT(T320,1)="S",V320=0),R320,IF(T320="DH",VLOOKUP(T320,ma_miengiam!$A$3:$B$80,2,0)*R320,0)))))))</f>
        <v>0</v>
      </c>
      <c r="Y320" s="220">
        <f t="shared" si="932"/>
        <v>229.5</v>
      </c>
      <c r="Z320" s="220">
        <f t="shared" si="908"/>
        <v>120</v>
      </c>
      <c r="AA320" s="220">
        <f t="shared" si="994"/>
        <v>270</v>
      </c>
      <c r="AB320" s="220">
        <f t="shared" si="995"/>
        <v>120</v>
      </c>
      <c r="AC320" s="220">
        <f t="shared" si="1005"/>
        <v>40.5</v>
      </c>
      <c r="AD320" s="220">
        <f t="shared" si="1005"/>
        <v>0</v>
      </c>
      <c r="AE320" s="220">
        <f t="shared" si="1005"/>
        <v>229.5</v>
      </c>
      <c r="AF320" s="220">
        <f t="shared" si="1005"/>
        <v>120</v>
      </c>
      <c r="AG320" s="220">
        <f t="shared" si="997"/>
        <v>390.76</v>
      </c>
      <c r="AH320" s="220">
        <f t="shared" si="998"/>
        <v>64.69</v>
      </c>
      <c r="AI320" s="220">
        <f t="shared" si="999"/>
        <v>326.07</v>
      </c>
      <c r="AJ320" s="220">
        <f t="shared" si="918"/>
        <v>0</v>
      </c>
      <c r="AK320" s="216">
        <f t="shared" si="794"/>
        <v>229.5</v>
      </c>
      <c r="AL320" s="220">
        <f t="shared" ref="AL320:AL375" si="1020">SUM(CP320:CX320)+SUM(DC320:DK320)</f>
        <v>33.700000000000003</v>
      </c>
      <c r="AM320" s="220">
        <f t="shared" ref="AM320:AM375" si="1021">SUM(DQ320:DU320)+SUM(DY320:EC320)</f>
        <v>347.1</v>
      </c>
      <c r="AN320" s="221">
        <f t="shared" ref="AN320:AN375" si="1022">AM320+AL320</f>
        <v>380.8</v>
      </c>
      <c r="AO320" s="220">
        <f t="shared" ref="AO320:AO375" si="1023">CY320+DL320</f>
        <v>0</v>
      </c>
      <c r="AP320" s="220">
        <f t="shared" ref="AP320:AP375" si="1024">CZ320+DM320</f>
        <v>0</v>
      </c>
      <c r="AQ320" s="220">
        <f t="shared" ref="AQ320:AQ375" si="1025">DA320+DN320</f>
        <v>20</v>
      </c>
      <c r="AR320" s="220">
        <f t="shared" ref="AR320:AR375" si="1026">DV320+ED320</f>
        <v>200</v>
      </c>
      <c r="AS320" s="220">
        <f t="shared" ref="AS320:AS375" si="1027">DW320+EE320</f>
        <v>20</v>
      </c>
      <c r="AT320" s="216">
        <f t="shared" ref="AT320:AT375" si="1028">AN320+SUM(AO320:AS320)</f>
        <v>620.79999999999995</v>
      </c>
      <c r="AU320" s="222">
        <f t="shared" si="919"/>
        <v>151.30000000000001</v>
      </c>
      <c r="AV320" s="220"/>
      <c r="AW320" s="220">
        <f t="shared" si="1006"/>
        <v>151.30000000000001</v>
      </c>
      <c r="AX320" s="216">
        <f t="shared" si="820"/>
        <v>0</v>
      </c>
      <c r="AY320" s="220">
        <f t="shared" si="1013"/>
        <v>0</v>
      </c>
      <c r="AZ320" s="220">
        <f t="shared" si="1014"/>
        <v>0</v>
      </c>
      <c r="BA320" s="220">
        <f t="shared" si="1015"/>
        <v>20</v>
      </c>
      <c r="BB320" s="220">
        <f t="shared" si="1016"/>
        <v>200</v>
      </c>
      <c r="BC320" s="220">
        <f t="shared" si="1017"/>
        <v>20</v>
      </c>
      <c r="BD320" s="216">
        <f t="shared" si="988"/>
        <v>240</v>
      </c>
      <c r="BE320" s="220">
        <f t="shared" si="1007"/>
        <v>0</v>
      </c>
      <c r="BF320" s="220">
        <f t="shared" si="1008"/>
        <v>0</v>
      </c>
      <c r="BG320" s="220">
        <f t="shared" si="1009"/>
        <v>0</v>
      </c>
      <c r="BH320" s="220">
        <f t="shared" si="1010"/>
        <v>0</v>
      </c>
      <c r="BI320" s="220">
        <f t="shared" si="1011"/>
        <v>0</v>
      </c>
      <c r="BJ320" s="220" t="s">
        <v>1405</v>
      </c>
      <c r="BK320" s="220"/>
      <c r="BL320" s="223">
        <f t="shared" si="1004"/>
        <v>151.30000000000001</v>
      </c>
      <c r="BM320" s="220">
        <v>4.32</v>
      </c>
      <c r="BN320" s="220"/>
      <c r="BO320" s="220">
        <f t="shared" si="989"/>
        <v>4.32</v>
      </c>
      <c r="BP320" s="220">
        <f>IF(AND(BL320&gt;0,BL320&lt;tiet!$D$1),BL320,IF(BL320&lt;=0,0,IF(BL320&gt;tiet!$C$1,tiet!$C$1)))</f>
        <v>151.30000000000001</v>
      </c>
      <c r="BQ320" s="87">
        <f t="shared" si="957"/>
        <v>65000</v>
      </c>
      <c r="BR320" s="224">
        <f t="shared" si="958"/>
        <v>9834500</v>
      </c>
      <c r="BS320" s="220">
        <f t="shared" si="846"/>
        <v>0</v>
      </c>
      <c r="BT320" s="224">
        <f>VLOOKUP(N320,ma_dinhmuc!$A$1:$J$31,10,0)</f>
        <v>51000</v>
      </c>
      <c r="BU320" s="224">
        <f>ROUND(IF(BS320&gt;0,VLOOKUP(N320,ma_dinhmuc!$A$1:$J$31,10,0)*BS320,0),0)</f>
        <v>0</v>
      </c>
      <c r="BV320" s="224">
        <f t="shared" si="959"/>
        <v>9834500</v>
      </c>
      <c r="BW320" s="224"/>
      <c r="BX320" s="224">
        <v>0</v>
      </c>
      <c r="BY320" s="224"/>
      <c r="BZ320" s="224"/>
      <c r="CA320" s="224"/>
      <c r="CB320" s="224"/>
      <c r="CC320" s="225">
        <f t="shared" si="886"/>
        <v>9834500</v>
      </c>
      <c r="CD320" s="224">
        <f t="shared" si="887"/>
        <v>0</v>
      </c>
      <c r="CE320" s="224"/>
      <c r="CF320" s="226"/>
      <c r="CG320" s="87"/>
      <c r="CH320" s="87">
        <f t="shared" si="979"/>
        <v>73</v>
      </c>
      <c r="CI320" s="227" t="str">
        <f t="shared" si="1000"/>
        <v>Tô Thế</v>
      </c>
      <c r="CJ320" s="227" t="str">
        <f t="shared" si="1001"/>
        <v>Nguyên</v>
      </c>
      <c r="CK320" s="87">
        <f t="shared" si="1002"/>
        <v>5</v>
      </c>
      <c r="CL320" s="227" t="str">
        <f t="shared" si="980"/>
        <v>Kế hoạch và Đầu tư</v>
      </c>
      <c r="CM320" s="87" t="str">
        <f t="shared" si="1012"/>
        <v>CS2</v>
      </c>
      <c r="CN320" s="87">
        <f t="shared" si="990"/>
        <v>270</v>
      </c>
      <c r="CO320" s="87">
        <f t="shared" si="991"/>
        <v>120</v>
      </c>
      <c r="CP320" s="229">
        <f t="shared" si="852"/>
        <v>0</v>
      </c>
      <c r="CQ320" s="229">
        <f t="shared" si="853"/>
        <v>2.6</v>
      </c>
      <c r="CR320" s="229">
        <f t="shared" si="854"/>
        <v>1.1000000000000001</v>
      </c>
      <c r="CS320" s="229">
        <f t="shared" si="855"/>
        <v>0</v>
      </c>
      <c r="CT320" s="229">
        <f t="shared" si="856"/>
        <v>0</v>
      </c>
      <c r="CU320" s="229">
        <f t="shared" si="857"/>
        <v>30</v>
      </c>
      <c r="CV320" s="229">
        <f t="shared" si="858"/>
        <v>0</v>
      </c>
      <c r="CW320" s="229">
        <f t="shared" si="859"/>
        <v>0</v>
      </c>
      <c r="CX320" s="229">
        <f t="shared" si="860"/>
        <v>0</v>
      </c>
      <c r="CY320" s="229">
        <f t="shared" si="861"/>
        <v>0</v>
      </c>
      <c r="CZ320" s="229">
        <f t="shared" si="862"/>
        <v>0</v>
      </c>
      <c r="DA320" s="229">
        <f t="shared" si="863"/>
        <v>20</v>
      </c>
      <c r="DB320" s="228">
        <f t="shared" si="1018"/>
        <v>53.7</v>
      </c>
      <c r="DC320" s="229"/>
      <c r="DD320" s="229"/>
      <c r="DE320" s="229"/>
      <c r="DF320" s="229"/>
      <c r="DG320" s="229"/>
      <c r="DH320" s="229"/>
      <c r="DI320" s="229"/>
      <c r="DJ320" s="229"/>
      <c r="DK320" s="229"/>
      <c r="DL320" s="229"/>
      <c r="DM320" s="229"/>
      <c r="DN320" s="229"/>
      <c r="DO320" s="228">
        <f t="shared" ref="DO320:DO375" si="1029">SUM(DC320:DN320)</f>
        <v>0</v>
      </c>
      <c r="DP320" s="228">
        <f t="shared" ref="DP320:DP375" si="1030">DO320+DB320</f>
        <v>53.7</v>
      </c>
      <c r="DQ320" s="229">
        <f t="shared" si="864"/>
        <v>324</v>
      </c>
      <c r="DR320" s="229">
        <f t="shared" si="865"/>
        <v>16.5</v>
      </c>
      <c r="DS320" s="229">
        <f t="shared" si="866"/>
        <v>0</v>
      </c>
      <c r="DT320" s="229">
        <f t="shared" si="867"/>
        <v>6.6</v>
      </c>
      <c r="DU320" s="229">
        <f t="shared" si="868"/>
        <v>0</v>
      </c>
      <c r="DV320" s="229">
        <f t="shared" si="869"/>
        <v>200</v>
      </c>
      <c r="DW320" s="229">
        <f t="shared" si="870"/>
        <v>20</v>
      </c>
      <c r="DX320" s="228">
        <f t="shared" si="1019"/>
        <v>567.1</v>
      </c>
      <c r="DY320" s="229"/>
      <c r="DZ320" s="229"/>
      <c r="EA320" s="229"/>
      <c r="EB320" s="229"/>
      <c r="EC320" s="229"/>
      <c r="ED320" s="229"/>
      <c r="EE320" s="229"/>
      <c r="EF320" s="228">
        <f t="shared" si="847"/>
        <v>0</v>
      </c>
      <c r="EG320" s="228">
        <f t="shared" ref="EG320:EG375" si="1031">EF320+DX320</f>
        <v>567.1</v>
      </c>
      <c r="EH320" s="229">
        <f t="shared" si="848"/>
        <v>326.07</v>
      </c>
      <c r="EI320" s="229">
        <v>64.69</v>
      </c>
      <c r="EJ320" s="228">
        <f t="shared" si="1003"/>
        <v>390.76</v>
      </c>
      <c r="EK320" s="229"/>
      <c r="EL320" s="229"/>
      <c r="EM320" s="228">
        <f t="shared" si="967"/>
        <v>0</v>
      </c>
      <c r="EN320" s="229">
        <f t="shared" si="907"/>
        <v>326.07</v>
      </c>
      <c r="EO320" s="229">
        <f t="shared" si="926"/>
        <v>64.69</v>
      </c>
      <c r="EP320" s="228">
        <f t="shared" si="992"/>
        <v>390.76</v>
      </c>
      <c r="EQ320" s="173">
        <f t="shared" si="849"/>
        <v>206.07</v>
      </c>
      <c r="ER320" s="189">
        <v>0</v>
      </c>
      <c r="ES320" s="189">
        <v>2.6</v>
      </c>
      <c r="ET320" s="189">
        <v>1.1000000000000001</v>
      </c>
      <c r="EU320" s="189">
        <v>0</v>
      </c>
      <c r="EV320" s="189">
        <v>0</v>
      </c>
      <c r="EW320" s="189">
        <v>30</v>
      </c>
      <c r="EX320" s="189">
        <v>0</v>
      </c>
      <c r="EY320" s="189">
        <v>0</v>
      </c>
      <c r="EZ320" s="189">
        <v>0</v>
      </c>
      <c r="FA320" s="189">
        <v>0</v>
      </c>
      <c r="FB320" s="189">
        <v>0</v>
      </c>
      <c r="FC320" s="189">
        <v>20</v>
      </c>
      <c r="FD320" s="189">
        <v>324</v>
      </c>
      <c r="FE320" s="189">
        <v>16.5</v>
      </c>
      <c r="FF320" s="189">
        <v>0</v>
      </c>
      <c r="FG320" s="189">
        <v>6.6</v>
      </c>
      <c r="FH320" s="189">
        <v>200</v>
      </c>
      <c r="FI320" s="189">
        <v>0</v>
      </c>
      <c r="FJ320" s="189">
        <v>20</v>
      </c>
      <c r="FK320" s="189">
        <v>620.79999999999995</v>
      </c>
      <c r="FL320" s="189">
        <v>464</v>
      </c>
      <c r="FN320" s="132">
        <v>326.07</v>
      </c>
    </row>
    <row r="321" spans="1:170" ht="30" customHeight="1">
      <c r="A321" s="88">
        <f>COUNTIF($H$12:H323,H321)</f>
        <v>76</v>
      </c>
      <c r="B321" s="88" t="s">
        <v>1701</v>
      </c>
      <c r="C321" s="88" t="s">
        <v>882</v>
      </c>
      <c r="D321" s="88"/>
      <c r="E321" s="88"/>
      <c r="F321" s="301" t="s">
        <v>1605</v>
      </c>
      <c r="G321" s="89" t="s">
        <v>520</v>
      </c>
      <c r="H321" s="88">
        <v>5</v>
      </c>
      <c r="I321" s="88">
        <v>5</v>
      </c>
      <c r="J321" s="88">
        <v>5</v>
      </c>
      <c r="K321" s="90" t="s">
        <v>2222</v>
      </c>
      <c r="L321" s="90" t="s">
        <v>2222</v>
      </c>
      <c r="M321" s="214"/>
      <c r="N321" s="88" t="s">
        <v>1804</v>
      </c>
      <c r="O321" s="216">
        <f>BO321</f>
        <v>3.99</v>
      </c>
      <c r="P321" s="88" t="str">
        <f t="shared" si="880"/>
        <v>B1_4</v>
      </c>
      <c r="Q321" s="88">
        <f t="shared" si="951"/>
        <v>270</v>
      </c>
      <c r="R321" s="88">
        <f t="shared" si="952"/>
        <v>120</v>
      </c>
      <c r="S321" s="231" t="s">
        <v>3136</v>
      </c>
      <c r="T321" s="214" t="s">
        <v>3088</v>
      </c>
      <c r="U321" s="88">
        <f>IF(RIGHT(T321,1)="K",(VLOOKUP(T321,ma_miengiam!$A$3:$B$80,2,0)*100)/2,VLOOKUP(T321,ma_miengiam!$A$3:$B$80,2,0)*100)</f>
        <v>0</v>
      </c>
      <c r="V321" s="88"/>
      <c r="W321" s="220">
        <f>IF(AND(T321="NTS",V321&gt;0),(Q321-(Q321*V321)/12)*VLOOKUP(T321,ma_miengiam!$A$3:$B$80,2,0)+(Q321-(Q321*(12-V321))/12),IF(AND(RIGHT(T321,1)="K",V321&gt;0),(VLOOKUP(T321,ma_miengiam!$A$3:$B$80,2,0)/2)*(Q321*V321)/12,IF(RIGHT(T321,1)="K",(VLOOKUP(T321,ma_miengiam!$A$3:$B$80,2,0)*Q321)/2,IF(V321&gt;0,VLOOKUP(T321,ma_miengiam!$A$3:$B$80,2,0)*Q321*V321/12,VLOOKUP(T321,ma_miengiam!$A$3:$B$80,2,0)*Q321))))</f>
        <v>0</v>
      </c>
      <c r="X321" s="220">
        <f>IF(T321="NTS",VLOOKUP(T321,ma_miengiam!$A$3:$B$80,2,0)*R321*V321,IF(AND(T321="NTS",V321=0),0,IF(AND(LEFT(T321,1)="K",V321=0),VLOOKUP(T321,ma_miengiam!$A$3:$B$80,2,0)*R321,IF(LEFT(T321,1)="K",(VLOOKUP(T321,ma_miengiam!$A$3:$B$80,2,0)*R321/12)*V321,IF(AND(LEFT(T321,1)="S",V321&gt;0),(R321/12)*V321,IF(AND(LEFT(T321,1)="S",V321=0),R321,IF(T321="DH",VLOOKUP(T321,ma_miengiam!$A$3:$B$80,2,0)*R321,0)))))))</f>
        <v>0</v>
      </c>
      <c r="Y321" s="220">
        <f>IF(AND(T321="DH",V321&gt;0),(S321*V321/12),IF(AND(T321&lt;&gt;"NTS",V321&gt;0),(Q321*V321/12)-W321,IF(AND(T321="NTS",V321&gt;0),Q321-W321,Q321-W321)))</f>
        <v>270</v>
      </c>
      <c r="Z321" s="220">
        <f>IF(AND(T321="SĐH",V321&gt;0),(R321/12)*V321-X321,IF(AND(T321="DH",V321&gt;0),(R321*V321/12),IF(AND(T321&lt;&gt;"NTS",V321&gt;0),(R321*V321/12)-X321,IF(AND(T321="NTS",V321&gt;0),R321-X321,R321-X321))))</f>
        <v>120</v>
      </c>
      <c r="AA321" s="220">
        <f t="shared" ref="AA321:AB323" si="1032">Q321</f>
        <v>270</v>
      </c>
      <c r="AB321" s="220">
        <f t="shared" si="1032"/>
        <v>120</v>
      </c>
      <c r="AC321" s="220">
        <f>W321</f>
        <v>0</v>
      </c>
      <c r="AD321" s="220">
        <f>X321</f>
        <v>0</v>
      </c>
      <c r="AE321" s="220">
        <f>Y321</f>
        <v>270</v>
      </c>
      <c r="AF321" s="220">
        <f>Z321</f>
        <v>120</v>
      </c>
      <c r="AG321" s="220">
        <f>AH321+AI321</f>
        <v>295.70999999999998</v>
      </c>
      <c r="AH321" s="220">
        <f>EO321</f>
        <v>179.64</v>
      </c>
      <c r="AI321" s="220">
        <f>EN321</f>
        <v>116.07</v>
      </c>
      <c r="AJ321" s="220">
        <f>IF(AG321-Z321&gt;0,0,AG321-Z321)</f>
        <v>0</v>
      </c>
      <c r="AK321" s="216">
        <f t="shared" si="794"/>
        <v>270</v>
      </c>
      <c r="AL321" s="220">
        <f>SUM(CP321:CX321)+SUM(DC321:DK321)</f>
        <v>179.4</v>
      </c>
      <c r="AM321" s="220">
        <f>SUM(DQ321:DU321)+SUM(DY321:EC321)</f>
        <v>414</v>
      </c>
      <c r="AN321" s="216">
        <f>AM321+AL321</f>
        <v>593.4</v>
      </c>
      <c r="AO321" s="220">
        <f>CY321+DL321</f>
        <v>0</v>
      </c>
      <c r="AP321" s="220">
        <f>CZ321+DM321</f>
        <v>0</v>
      </c>
      <c r="AQ321" s="220">
        <f>DA321+DN321</f>
        <v>180</v>
      </c>
      <c r="AR321" s="220">
        <f>DV321+ED321</f>
        <v>0</v>
      </c>
      <c r="AS321" s="220">
        <f>DW321+EE321</f>
        <v>0</v>
      </c>
      <c r="AT321" s="216">
        <f>AN321+SUM(AO321:AS321)</f>
        <v>773.4</v>
      </c>
      <c r="AU321" s="220">
        <f>AN321-AK321</f>
        <v>323.39999999999998</v>
      </c>
      <c r="AV321" s="220"/>
      <c r="AW321" s="220">
        <f>IF(AU321&gt;0,AU321,AV321+AU321)</f>
        <v>323.39999999999998</v>
      </c>
      <c r="AX321" s="216">
        <f t="shared" si="820"/>
        <v>0</v>
      </c>
      <c r="AY321" s="220">
        <f>IF(AN321&gt;=AK321,AO321,IF(AN321+AO321-AK321&gt;=0,AN321+AO321-AK321,0))</f>
        <v>0</v>
      </c>
      <c r="AZ321" s="220">
        <f>IF(OR(AN321&gt;=AK321,AN321+AO321&gt;=AK321),AP321,IF(AN321+AO321+AP321&gt;AK321,AN321+AO321+AP321-AK321,0))</f>
        <v>0</v>
      </c>
      <c r="BA321" s="220">
        <f>IF(OR(AN321&gt;=AK321,AN321+AO321&gt;=AK321,AN321+AO321+AP321&gt;=AK321),AQ321,IF(AN321+AO321+AP321+AQ321&gt;=AK321,AN321+AO321+AP321+AQ321-AK321,0))</f>
        <v>180</v>
      </c>
      <c r="BB321" s="220">
        <f>IF(OR(AN321&gt;=AK321,AN321+AO321&gt;=AK321,AN321+AO321+AP321&gt;=AK321,AN321+AO321+AP321+AQ321&gt;=AK321),AR321,IF(AN321+AO321+AP321+AQ321+AR321&gt;=AK321,AN321+AO321+AP321+AQ321+AR321-AK321,0))</f>
        <v>0</v>
      </c>
      <c r="BC321" s="220">
        <f>IF(OR(AN321&gt;=AK321,AN321+AO321&gt;=AK321,AN321+AO321+AP321&gt;=AK321,AN321+AO321+AP321+AQ321&gt;=AK321,AN321+AO321+AP321+AQ321+AR321&gt;=AK321),AS321,IF(AN321+AO321+AP321+AQ321+AR321+AS321&gt;=AK321,AN321+AO321+AP321+AQ321+AR321+AS321-AK321,0))</f>
        <v>0</v>
      </c>
      <c r="BD321" s="216">
        <f t="shared" si="988"/>
        <v>180</v>
      </c>
      <c r="BE321" s="220">
        <f>AY321-AO321</f>
        <v>0</v>
      </c>
      <c r="BF321" s="220">
        <f>AZ321-AP321</f>
        <v>0</v>
      </c>
      <c r="BG321" s="220">
        <f>BA321-AQ321</f>
        <v>0</v>
      </c>
      <c r="BH321" s="220">
        <f>BB321-AR321</f>
        <v>0</v>
      </c>
      <c r="BI321" s="220">
        <f>BC321-AS321</f>
        <v>0</v>
      </c>
      <c r="BJ321" s="220" t="s">
        <v>1405</v>
      </c>
      <c r="BK321" s="220"/>
      <c r="BL321" s="223">
        <f t="shared" si="1004"/>
        <v>323.39999999999998</v>
      </c>
      <c r="BM321" s="220">
        <v>3.99</v>
      </c>
      <c r="BN321" s="220"/>
      <c r="BO321" s="220">
        <f>ROUND(BM321+(BM321*BN321),2)</f>
        <v>3.99</v>
      </c>
      <c r="BP321" s="220">
        <f>IF(AND(BL321&gt;0,BL321&lt;tiet!$D$1),BL321,IF(BL321&lt;=0,0,IF(BL321&gt;tiet!$C$1,tiet!$C$1)))</f>
        <v>200</v>
      </c>
      <c r="BQ321" s="87">
        <f t="shared" si="957"/>
        <v>65000</v>
      </c>
      <c r="BR321" s="224">
        <f t="shared" si="958"/>
        <v>13000000</v>
      </c>
      <c r="BS321" s="220">
        <f t="shared" si="846"/>
        <v>123.39999999999998</v>
      </c>
      <c r="BT321" s="224">
        <f>VLOOKUP(N321,ma_dinhmuc!$A$1:$J$31,10,0)</f>
        <v>51000</v>
      </c>
      <c r="BU321" s="224">
        <f>ROUND(IF(BS321&gt;0,VLOOKUP(N321,ma_dinhmuc!$A$1:$J$31,10,0)*BS321,0),0)</f>
        <v>6293400</v>
      </c>
      <c r="BV321" s="224">
        <f t="shared" si="959"/>
        <v>19293400</v>
      </c>
      <c r="BW321" s="224"/>
      <c r="BX321" s="224">
        <v>0</v>
      </c>
      <c r="BY321" s="224"/>
      <c r="BZ321" s="224"/>
      <c r="CA321" s="224"/>
      <c r="CB321" s="224"/>
      <c r="CC321" s="225">
        <f>ROUND(IF(BV321+BW321&gt;BX321+BY321+BZ321+CA321+CB321,(BW321+BV321)-(BX321+BY321+BZ321+CA321+CB321+CB321),0),0)</f>
        <v>19293400</v>
      </c>
      <c r="CD321" s="224">
        <f>ROUND(IF(BV321+BW321&lt;BX321+BY321+BZ321+CA321-CB321,(BX321+BY321+BZ321+CA321-CB321)-(BW321+BV321),0),0)</f>
        <v>0</v>
      </c>
      <c r="CE321" s="224"/>
      <c r="CF321" s="226"/>
      <c r="CG321" s="87"/>
      <c r="CH321" s="87">
        <f>A321</f>
        <v>76</v>
      </c>
      <c r="CI321" s="227" t="str">
        <f t="shared" ref="CI321:CJ323" si="1033">F321</f>
        <v>Đỗ Trường</v>
      </c>
      <c r="CJ321" s="227" t="str">
        <f t="shared" si="1033"/>
        <v>Lâm</v>
      </c>
      <c r="CK321" s="87">
        <f>H321</f>
        <v>5</v>
      </c>
      <c r="CL321" s="227" t="str">
        <f>L321</f>
        <v>Kế hoạch và Đầu tư</v>
      </c>
      <c r="CM321" s="87" t="str">
        <f>N321</f>
        <v>CS2</v>
      </c>
      <c r="CN321" s="87">
        <f t="shared" ref="CN321:CO323" si="1034">Q321</f>
        <v>270</v>
      </c>
      <c r="CO321" s="87">
        <f t="shared" si="1034"/>
        <v>120</v>
      </c>
      <c r="CP321" s="229">
        <f t="shared" si="852"/>
        <v>0</v>
      </c>
      <c r="CQ321" s="229">
        <f t="shared" si="853"/>
        <v>18.399999999999999</v>
      </c>
      <c r="CR321" s="229">
        <f t="shared" si="854"/>
        <v>7.4</v>
      </c>
      <c r="CS321" s="229">
        <f t="shared" si="855"/>
        <v>18.600000000000001</v>
      </c>
      <c r="CT321" s="229">
        <f t="shared" si="856"/>
        <v>0</v>
      </c>
      <c r="CU321" s="229">
        <f t="shared" si="857"/>
        <v>135</v>
      </c>
      <c r="CV321" s="229">
        <f t="shared" si="858"/>
        <v>0</v>
      </c>
      <c r="CW321" s="229">
        <f t="shared" si="859"/>
        <v>0</v>
      </c>
      <c r="CX321" s="229">
        <f t="shared" si="860"/>
        <v>0</v>
      </c>
      <c r="CY321" s="229">
        <f t="shared" si="861"/>
        <v>0</v>
      </c>
      <c r="CZ321" s="229">
        <f t="shared" si="862"/>
        <v>0</v>
      </c>
      <c r="DA321" s="229">
        <f t="shared" si="863"/>
        <v>180</v>
      </c>
      <c r="DB321" s="228">
        <f>SUM(CP321:DA321)</f>
        <v>359.4</v>
      </c>
      <c r="DC321" s="229"/>
      <c r="DD321" s="229"/>
      <c r="DE321" s="229"/>
      <c r="DF321" s="229"/>
      <c r="DG321" s="229"/>
      <c r="DH321" s="229"/>
      <c r="DI321" s="229"/>
      <c r="DJ321" s="229"/>
      <c r="DK321" s="229"/>
      <c r="DL321" s="229"/>
      <c r="DM321" s="229"/>
      <c r="DN321" s="229"/>
      <c r="DO321" s="228">
        <f>SUM(DC321:DN321)</f>
        <v>0</v>
      </c>
      <c r="DP321" s="228">
        <f>DO321+DB321</f>
        <v>359.4</v>
      </c>
      <c r="DQ321" s="229">
        <f t="shared" si="864"/>
        <v>384</v>
      </c>
      <c r="DR321" s="229">
        <f t="shared" si="865"/>
        <v>21.4</v>
      </c>
      <c r="DS321" s="229">
        <f t="shared" si="866"/>
        <v>0</v>
      </c>
      <c r="DT321" s="229">
        <f t="shared" si="867"/>
        <v>8.6</v>
      </c>
      <c r="DU321" s="229">
        <f t="shared" si="868"/>
        <v>0</v>
      </c>
      <c r="DV321" s="229">
        <f t="shared" si="869"/>
        <v>0</v>
      </c>
      <c r="DW321" s="229">
        <f t="shared" si="870"/>
        <v>0</v>
      </c>
      <c r="DX321" s="228">
        <f>SUM(DQ321:DW321)</f>
        <v>414</v>
      </c>
      <c r="DY321" s="229"/>
      <c r="DZ321" s="229"/>
      <c r="EA321" s="229"/>
      <c r="EB321" s="229"/>
      <c r="EC321" s="229"/>
      <c r="ED321" s="229"/>
      <c r="EE321" s="229"/>
      <c r="EF321" s="228">
        <f t="shared" si="847"/>
        <v>0</v>
      </c>
      <c r="EG321" s="228">
        <f>EF321+DX321</f>
        <v>414</v>
      </c>
      <c r="EH321" s="229">
        <f t="shared" si="848"/>
        <v>116.07</v>
      </c>
      <c r="EI321" s="229">
        <v>179.64</v>
      </c>
      <c r="EJ321" s="228">
        <f>SUM(EH321:EI321)</f>
        <v>295.70999999999998</v>
      </c>
      <c r="EK321" s="229"/>
      <c r="EL321" s="229"/>
      <c r="EM321" s="228">
        <f>SUM(EK321:EL321)</f>
        <v>0</v>
      </c>
      <c r="EN321" s="229">
        <f>EK321+EH321+EL321</f>
        <v>116.07</v>
      </c>
      <c r="EO321" s="229">
        <f>EI321</f>
        <v>179.64</v>
      </c>
      <c r="EP321" s="228">
        <f>EM321+EJ321</f>
        <v>295.70999999999998</v>
      </c>
      <c r="EQ321" s="173">
        <f t="shared" si="849"/>
        <v>0</v>
      </c>
      <c r="ER321" s="189">
        <v>0</v>
      </c>
      <c r="ES321" s="189">
        <v>18.399999999999999</v>
      </c>
      <c r="ET321" s="189">
        <v>7.4</v>
      </c>
      <c r="EU321" s="189">
        <v>18.600000000000001</v>
      </c>
      <c r="EV321" s="189">
        <v>0</v>
      </c>
      <c r="EW321" s="189">
        <v>135</v>
      </c>
      <c r="EX321" s="189">
        <v>0</v>
      </c>
      <c r="EY321" s="189">
        <v>0</v>
      </c>
      <c r="EZ321" s="189">
        <v>0</v>
      </c>
      <c r="FA321" s="189">
        <v>0</v>
      </c>
      <c r="FB321" s="189">
        <v>0</v>
      </c>
      <c r="FC321" s="189">
        <v>180</v>
      </c>
      <c r="FD321" s="189">
        <v>384</v>
      </c>
      <c r="FE321" s="189">
        <v>21.4</v>
      </c>
      <c r="FF321" s="189">
        <v>0</v>
      </c>
      <c r="FG321" s="189">
        <v>8.6</v>
      </c>
      <c r="FH321" s="189">
        <v>0</v>
      </c>
      <c r="FI321" s="189">
        <v>0</v>
      </c>
      <c r="FJ321" s="189">
        <v>0</v>
      </c>
      <c r="FK321" s="189">
        <v>773.4</v>
      </c>
      <c r="FL321" s="189">
        <v>533.6</v>
      </c>
      <c r="FN321" s="132">
        <v>116.07</v>
      </c>
    </row>
    <row r="322" spans="1:170" ht="30">
      <c r="A322" s="88">
        <f>COUNTIF($H$12:H322,H322)</f>
        <v>75</v>
      </c>
      <c r="B322" s="88" t="s">
        <v>1702</v>
      </c>
      <c r="C322" s="88" t="s">
        <v>883</v>
      </c>
      <c r="D322" s="88"/>
      <c r="E322" s="88"/>
      <c r="F322" s="301" t="s">
        <v>625</v>
      </c>
      <c r="G322" s="89" t="s">
        <v>2088</v>
      </c>
      <c r="H322" s="88">
        <v>5</v>
      </c>
      <c r="I322" s="88">
        <v>5</v>
      </c>
      <c r="J322" s="88">
        <v>5</v>
      </c>
      <c r="K322" s="90" t="s">
        <v>2222</v>
      </c>
      <c r="L322" s="90" t="s">
        <v>2222</v>
      </c>
      <c r="M322" s="214"/>
      <c r="N322" s="88" t="s">
        <v>1804</v>
      </c>
      <c r="O322" s="216">
        <f>BO322</f>
        <v>2.67</v>
      </c>
      <c r="P322" s="88" t="str">
        <f t="shared" si="880"/>
        <v>B1_3</v>
      </c>
      <c r="Q322" s="88">
        <f t="shared" si="951"/>
        <v>270</v>
      </c>
      <c r="R322" s="88">
        <f t="shared" si="952"/>
        <v>100</v>
      </c>
      <c r="S322" s="231" t="s">
        <v>502</v>
      </c>
      <c r="T322" s="219" t="s">
        <v>1326</v>
      </c>
      <c r="U322" s="88">
        <f>IF(RIGHT(T322,1)="K",(VLOOKUP(T322,ma_miengiam!$A$3:$B$80,2,0)*100)/2,VLOOKUP(T322,ma_miengiam!$A$3:$B$80,2,0)*100)</f>
        <v>65</v>
      </c>
      <c r="V322" s="88"/>
      <c r="W322" s="220">
        <f>IF(AND(T322="NTS",V322&gt;0),(Q322-(Q322*V322)/12)*VLOOKUP(T322,ma_miengiam!$A$3:$B$80,2,0)+(Q322-(Q322*(12-V322))/12),IF(AND(RIGHT(T322,1)="K",V322&gt;0),(VLOOKUP(T322,ma_miengiam!$A$3:$B$80,2,0)/2)*(Q322*V322)/12,IF(RIGHT(T322,1)="K",(VLOOKUP(T322,ma_miengiam!$A$3:$B$80,2,0)*Q322)/2,IF(V322&gt;0,VLOOKUP(T322,ma_miengiam!$A$3:$B$80,2,0)*Q322*V322/12,VLOOKUP(T322,ma_miengiam!$A$3:$B$80,2,0)*Q322))))</f>
        <v>175.5</v>
      </c>
      <c r="X322" s="220">
        <f>IF(T322="NTS",VLOOKUP(T322,ma_miengiam!$A$3:$B$80,2,0)*R322*V322,IF(AND(T322="NTS",V322=0),0,IF(AND(LEFT(T322,1)="K",V322=0),VLOOKUP(T322,ma_miengiam!$A$3:$B$80,2,0)*R322,IF(LEFT(T322,1)="K",(VLOOKUP(T322,ma_miengiam!$A$3:$B$80,2,0)*R322/12)*V322,IF(AND(LEFT(T322,1)="S",V322&gt;0),(R322/12)*V322,IF(AND(LEFT(T322,1)="S",V322=0),R322,IF(T322="DH",VLOOKUP(T322,ma_miengiam!$A$3:$B$80,2,0)*R322,0)))))))</f>
        <v>100</v>
      </c>
      <c r="Y322" s="220">
        <f t="shared" si="932"/>
        <v>94.5</v>
      </c>
      <c r="Z322" s="220">
        <f t="shared" si="908"/>
        <v>0</v>
      </c>
      <c r="AA322" s="220">
        <f t="shared" si="1032"/>
        <v>270</v>
      </c>
      <c r="AB322" s="220">
        <f t="shared" si="1032"/>
        <v>100</v>
      </c>
      <c r="AC322" s="220">
        <f t="shared" ref="AC322:AF323" si="1035">W322</f>
        <v>175.5</v>
      </c>
      <c r="AD322" s="220">
        <f t="shared" si="1035"/>
        <v>100</v>
      </c>
      <c r="AE322" s="220">
        <f t="shared" si="1035"/>
        <v>94.5</v>
      </c>
      <c r="AF322" s="220">
        <f t="shared" si="1035"/>
        <v>0</v>
      </c>
      <c r="AG322" s="220">
        <f>AH322+AI322</f>
        <v>218.37</v>
      </c>
      <c r="AH322" s="220">
        <f>EO322</f>
        <v>172.3</v>
      </c>
      <c r="AI322" s="220">
        <f>EN322</f>
        <v>46.07</v>
      </c>
      <c r="AJ322" s="220">
        <f t="shared" si="918"/>
        <v>0</v>
      </c>
      <c r="AK322" s="216">
        <f t="shared" si="794"/>
        <v>94.5</v>
      </c>
      <c r="AL322" s="220">
        <f t="shared" si="1020"/>
        <v>88.9</v>
      </c>
      <c r="AM322" s="220">
        <f t="shared" si="1021"/>
        <v>0</v>
      </c>
      <c r="AN322" s="221">
        <f t="shared" si="1022"/>
        <v>88.9</v>
      </c>
      <c r="AO322" s="220">
        <f t="shared" si="1023"/>
        <v>0</v>
      </c>
      <c r="AP322" s="220">
        <f t="shared" si="1024"/>
        <v>0</v>
      </c>
      <c r="AQ322" s="220">
        <f t="shared" si="1025"/>
        <v>200</v>
      </c>
      <c r="AR322" s="220">
        <f t="shared" si="1026"/>
        <v>0</v>
      </c>
      <c r="AS322" s="220">
        <f t="shared" si="1027"/>
        <v>0</v>
      </c>
      <c r="AT322" s="216">
        <f t="shared" si="1028"/>
        <v>288.89999999999998</v>
      </c>
      <c r="AU322" s="220">
        <f t="shared" si="919"/>
        <v>-5.5999999999999943</v>
      </c>
      <c r="AV322" s="220"/>
      <c r="AW322" s="220">
        <f t="shared" si="1006"/>
        <v>-5.5999999999999943</v>
      </c>
      <c r="AX322" s="216">
        <f t="shared" si="820"/>
        <v>-5.5999999999999943</v>
      </c>
      <c r="AY322" s="220">
        <f t="shared" si="1013"/>
        <v>0</v>
      </c>
      <c r="AZ322" s="220">
        <f t="shared" si="1014"/>
        <v>0</v>
      </c>
      <c r="BA322" s="220">
        <f t="shared" si="1015"/>
        <v>194.39999999999998</v>
      </c>
      <c r="BB322" s="220">
        <f t="shared" si="1016"/>
        <v>0</v>
      </c>
      <c r="BC322" s="220">
        <f t="shared" si="1017"/>
        <v>0</v>
      </c>
      <c r="BD322" s="216">
        <f t="shared" si="988"/>
        <v>194.39999999999998</v>
      </c>
      <c r="BE322" s="220">
        <f t="shared" si="1007"/>
        <v>0</v>
      </c>
      <c r="BF322" s="220">
        <f t="shared" si="1008"/>
        <v>0</v>
      </c>
      <c r="BG322" s="220">
        <f t="shared" si="1009"/>
        <v>-5.6000000000000227</v>
      </c>
      <c r="BH322" s="220">
        <f t="shared" si="1010"/>
        <v>0</v>
      </c>
      <c r="BI322" s="220">
        <f t="shared" si="1011"/>
        <v>0</v>
      </c>
      <c r="BJ322" s="220" t="s">
        <v>1405</v>
      </c>
      <c r="BK322" s="220"/>
      <c r="BL322" s="223">
        <f t="shared" si="1004"/>
        <v>0</v>
      </c>
      <c r="BM322" s="220">
        <v>2.67</v>
      </c>
      <c r="BN322" s="220"/>
      <c r="BO322" s="220">
        <f>ROUND(BM322+(BM322*BN322),2)</f>
        <v>2.67</v>
      </c>
      <c r="BP322" s="220">
        <f>IF(AND(BL322&gt;0,BL322&lt;tiet!$D$1),BL322,IF(BL322&lt;=0,0,IF(BL322&gt;tiet!$C$1,tiet!$C$1)))</f>
        <v>0</v>
      </c>
      <c r="BQ322" s="87">
        <f t="shared" si="957"/>
        <v>60000</v>
      </c>
      <c r="BR322" s="224">
        <f t="shared" si="958"/>
        <v>0</v>
      </c>
      <c r="BS322" s="220">
        <f t="shared" si="846"/>
        <v>0</v>
      </c>
      <c r="BT322" s="224">
        <f>VLOOKUP(N322,ma_dinhmuc!$A$1:$J$31,10,0)</f>
        <v>51000</v>
      </c>
      <c r="BU322" s="224">
        <f>ROUND(IF(BS322&gt;0,VLOOKUP(N322,ma_dinhmuc!$A$1:$J$31,10,0)*BS322,0),0)</f>
        <v>0</v>
      </c>
      <c r="BV322" s="224">
        <f t="shared" si="959"/>
        <v>0</v>
      </c>
      <c r="BW322" s="224"/>
      <c r="BX322" s="224">
        <v>0</v>
      </c>
      <c r="BY322" s="224"/>
      <c r="BZ322" s="224"/>
      <c r="CA322" s="224"/>
      <c r="CB322" s="224"/>
      <c r="CC322" s="225">
        <f t="shared" si="886"/>
        <v>0</v>
      </c>
      <c r="CD322" s="224">
        <f t="shared" si="887"/>
        <v>0</v>
      </c>
      <c r="CE322" s="224"/>
      <c r="CF322" s="226"/>
      <c r="CG322" s="87"/>
      <c r="CH322" s="87">
        <f>A322</f>
        <v>75</v>
      </c>
      <c r="CI322" s="227" t="str">
        <f t="shared" si="1033"/>
        <v>Trần Hương</v>
      </c>
      <c r="CJ322" s="227" t="str">
        <f t="shared" si="1033"/>
        <v>Giang</v>
      </c>
      <c r="CK322" s="87">
        <f>H322</f>
        <v>5</v>
      </c>
      <c r="CL322" s="227" t="str">
        <f>L322</f>
        <v>Kế hoạch và Đầu tư</v>
      </c>
      <c r="CM322" s="87" t="str">
        <f t="shared" si="1012"/>
        <v>CS2</v>
      </c>
      <c r="CN322" s="87">
        <f t="shared" si="1034"/>
        <v>270</v>
      </c>
      <c r="CO322" s="87">
        <f t="shared" si="1034"/>
        <v>100</v>
      </c>
      <c r="CP322" s="229">
        <f t="shared" si="852"/>
        <v>0</v>
      </c>
      <c r="CQ322" s="229">
        <f t="shared" si="853"/>
        <v>9.9</v>
      </c>
      <c r="CR322" s="229">
        <f t="shared" si="854"/>
        <v>4</v>
      </c>
      <c r="CS322" s="229">
        <f t="shared" si="855"/>
        <v>0</v>
      </c>
      <c r="CT322" s="229">
        <f t="shared" si="856"/>
        <v>0</v>
      </c>
      <c r="CU322" s="229">
        <f t="shared" si="857"/>
        <v>75</v>
      </c>
      <c r="CV322" s="229">
        <f t="shared" si="858"/>
        <v>0</v>
      </c>
      <c r="CW322" s="229">
        <f t="shared" si="859"/>
        <v>0</v>
      </c>
      <c r="CX322" s="229">
        <f t="shared" si="860"/>
        <v>0</v>
      </c>
      <c r="CY322" s="229">
        <f t="shared" si="861"/>
        <v>0</v>
      </c>
      <c r="CZ322" s="229">
        <f t="shared" si="862"/>
        <v>0</v>
      </c>
      <c r="DA322" s="229">
        <f t="shared" si="863"/>
        <v>200</v>
      </c>
      <c r="DB322" s="228">
        <f t="shared" si="1018"/>
        <v>288.89999999999998</v>
      </c>
      <c r="DC322" s="229"/>
      <c r="DD322" s="229"/>
      <c r="DE322" s="229"/>
      <c r="DF322" s="229"/>
      <c r="DG322" s="229"/>
      <c r="DH322" s="229"/>
      <c r="DI322" s="229"/>
      <c r="DJ322" s="229"/>
      <c r="DK322" s="229"/>
      <c r="DL322" s="229"/>
      <c r="DM322" s="229"/>
      <c r="DN322" s="229"/>
      <c r="DO322" s="228">
        <f t="shared" si="1029"/>
        <v>0</v>
      </c>
      <c r="DP322" s="228">
        <f t="shared" si="1030"/>
        <v>288.89999999999998</v>
      </c>
      <c r="DQ322" s="229">
        <f t="shared" si="864"/>
        <v>0</v>
      </c>
      <c r="DR322" s="229">
        <f t="shared" si="865"/>
        <v>0</v>
      </c>
      <c r="DS322" s="229">
        <f t="shared" si="866"/>
        <v>0</v>
      </c>
      <c r="DT322" s="229">
        <f t="shared" si="867"/>
        <v>0</v>
      </c>
      <c r="DU322" s="229">
        <f t="shared" si="868"/>
        <v>0</v>
      </c>
      <c r="DV322" s="229">
        <f t="shared" si="869"/>
        <v>0</v>
      </c>
      <c r="DW322" s="229">
        <f t="shared" si="870"/>
        <v>0</v>
      </c>
      <c r="DX322" s="228">
        <f t="shared" si="1019"/>
        <v>0</v>
      </c>
      <c r="DY322" s="229"/>
      <c r="DZ322" s="229"/>
      <c r="EA322" s="229"/>
      <c r="EB322" s="229"/>
      <c r="EC322" s="229"/>
      <c r="ED322" s="229"/>
      <c r="EE322" s="229"/>
      <c r="EF322" s="228">
        <f t="shared" si="847"/>
        <v>0</v>
      </c>
      <c r="EG322" s="228">
        <f t="shared" si="1031"/>
        <v>0</v>
      </c>
      <c r="EH322" s="229">
        <f t="shared" si="848"/>
        <v>46.07</v>
      </c>
      <c r="EI322" s="229">
        <v>172.3</v>
      </c>
      <c r="EJ322" s="228">
        <f>SUM(EH322:EI322)</f>
        <v>218.37</v>
      </c>
      <c r="EK322" s="229"/>
      <c r="EL322" s="229"/>
      <c r="EM322" s="228">
        <f t="shared" ref="EM322:EM327" si="1036">SUM(EK322:EL322)</f>
        <v>0</v>
      </c>
      <c r="EN322" s="229">
        <f t="shared" si="907"/>
        <v>46.07</v>
      </c>
      <c r="EO322" s="229">
        <f t="shared" si="926"/>
        <v>172.3</v>
      </c>
      <c r="EP322" s="228">
        <f>EM322+EJ322</f>
        <v>218.37</v>
      </c>
      <c r="EQ322" s="173">
        <f t="shared" si="849"/>
        <v>46.07</v>
      </c>
      <c r="ER322" s="189">
        <v>0</v>
      </c>
      <c r="ES322" s="189">
        <v>9.9</v>
      </c>
      <c r="ET322" s="189">
        <v>4</v>
      </c>
      <c r="EU322" s="189">
        <v>0</v>
      </c>
      <c r="EV322" s="189">
        <v>0</v>
      </c>
      <c r="EW322" s="189">
        <v>75</v>
      </c>
      <c r="EX322" s="189">
        <v>0</v>
      </c>
      <c r="EY322" s="189">
        <v>0</v>
      </c>
      <c r="EZ322" s="189">
        <v>0</v>
      </c>
      <c r="FA322" s="189">
        <v>0</v>
      </c>
      <c r="FB322" s="189">
        <v>0</v>
      </c>
      <c r="FC322" s="189">
        <v>200</v>
      </c>
      <c r="FD322" s="189">
        <v>0</v>
      </c>
      <c r="FE322" s="189">
        <v>0</v>
      </c>
      <c r="FF322" s="189">
        <v>0</v>
      </c>
      <c r="FG322" s="189">
        <v>0</v>
      </c>
      <c r="FH322" s="189">
        <v>0</v>
      </c>
      <c r="FI322" s="189">
        <v>0</v>
      </c>
      <c r="FJ322" s="189">
        <v>0</v>
      </c>
      <c r="FK322" s="189">
        <v>288.89999999999998</v>
      </c>
      <c r="FL322" s="189">
        <v>279</v>
      </c>
      <c r="FN322" s="132">
        <v>46.07</v>
      </c>
    </row>
    <row r="323" spans="1:170" ht="30" customHeight="1">
      <c r="A323" s="88">
        <f>COUNTIF($H$12:H323,H323)</f>
        <v>76</v>
      </c>
      <c r="B323" s="88" t="s">
        <v>1703</v>
      </c>
      <c r="C323" s="88" t="s">
        <v>884</v>
      </c>
      <c r="D323" s="88"/>
      <c r="E323" s="88"/>
      <c r="F323" s="301" t="s">
        <v>2824</v>
      </c>
      <c r="G323" s="89" t="s">
        <v>963</v>
      </c>
      <c r="H323" s="88">
        <v>5</v>
      </c>
      <c r="I323" s="88">
        <v>5</v>
      </c>
      <c r="J323" s="88">
        <v>5</v>
      </c>
      <c r="K323" s="90" t="s">
        <v>2222</v>
      </c>
      <c r="L323" s="90" t="s">
        <v>2222</v>
      </c>
      <c r="M323" s="214"/>
      <c r="N323" s="88" t="s">
        <v>1804</v>
      </c>
      <c r="O323" s="216">
        <f>BO323</f>
        <v>2.67</v>
      </c>
      <c r="P323" s="88" t="str">
        <f t="shared" si="880"/>
        <v>B1_3</v>
      </c>
      <c r="Q323" s="88">
        <f t="shared" si="951"/>
        <v>270</v>
      </c>
      <c r="R323" s="88">
        <f t="shared" si="952"/>
        <v>100</v>
      </c>
      <c r="S323" s="231" t="s">
        <v>3133</v>
      </c>
      <c r="T323" s="214" t="s">
        <v>2961</v>
      </c>
      <c r="U323" s="88">
        <f>IF(RIGHT(T323,1)="K",(VLOOKUP(T323,ma_miengiam!$A$3:$B$80,2,0)*100)/2,VLOOKUP(T323,ma_miengiam!$A$3:$B$80,2,0)*100)</f>
        <v>100</v>
      </c>
      <c r="V323" s="88"/>
      <c r="W323" s="220">
        <f>IF(AND(T323="NTS",V323&gt;0),(Q323-(Q323*V323)/12)*VLOOKUP(T323,ma_miengiam!$A$3:$B$80,2,0)+(Q323-(Q323*(12-V323))/12),IF(AND(RIGHT(T323,1)="K",V323&gt;0),(VLOOKUP(T323,ma_miengiam!$A$3:$B$80,2,0)/2)*(Q323*V323)/12,IF(RIGHT(T323,1)="K",(VLOOKUP(T323,ma_miengiam!$A$3:$B$80,2,0)*Q323)/2,IF(V323&gt;0,VLOOKUP(T323,ma_miengiam!$A$3:$B$80,2,0)*Q323*V323/12,VLOOKUP(T323,ma_miengiam!$A$3:$B$80,2,0)*Q323))))</f>
        <v>270</v>
      </c>
      <c r="X323" s="220">
        <f>IF(T323="NTS",VLOOKUP(T323,ma_miengiam!$A$3:$B$80,2,0)*R323*V323,IF(AND(T323="NTS",V323=0),0,IF(AND(LEFT(T323,1)="K",V323=0),VLOOKUP(T323,ma_miengiam!$A$3:$B$80,2,0)*R323,IF(LEFT(T323,1)="K",(VLOOKUP(T323,ma_miengiam!$A$3:$B$80,2,0)*R323/12)*V323,IF(AND(LEFT(T323,1)="S",V323&gt;0),(R323/12)*V323,IF(AND(LEFT(T323,1)="S",V323=0),R323,IF(T323="DH",VLOOKUP(T323,ma_miengiam!$A$3:$B$80,2,0)*R323,0)))))))</f>
        <v>100</v>
      </c>
      <c r="Y323" s="220">
        <f t="shared" ref="Y323:Y339" si="1037">IF(AND(T323="DH",V323&gt;0),(S323*V323/12),IF(AND(T323&lt;&gt;"NTS",V323&gt;0),(Q323*V323/12)-W323,IF(AND(T323="NTS",V323&gt;0),Q323-W323,Q323-W323)))</f>
        <v>0</v>
      </c>
      <c r="Z323" s="220">
        <f t="shared" si="908"/>
        <v>0</v>
      </c>
      <c r="AA323" s="220">
        <f t="shared" si="1032"/>
        <v>270</v>
      </c>
      <c r="AB323" s="220">
        <f t="shared" si="1032"/>
        <v>100</v>
      </c>
      <c r="AC323" s="220">
        <f t="shared" si="1035"/>
        <v>270</v>
      </c>
      <c r="AD323" s="220">
        <f t="shared" si="1035"/>
        <v>100</v>
      </c>
      <c r="AE323" s="220">
        <f t="shared" si="1035"/>
        <v>0</v>
      </c>
      <c r="AF323" s="220">
        <f t="shared" si="1035"/>
        <v>0</v>
      </c>
      <c r="AG323" s="220">
        <f>AH323+AI323</f>
        <v>172.3</v>
      </c>
      <c r="AH323" s="220">
        <f>EO323</f>
        <v>172.3</v>
      </c>
      <c r="AI323" s="220">
        <f>EN323</f>
        <v>0</v>
      </c>
      <c r="AJ323" s="220">
        <f t="shared" si="918"/>
        <v>0</v>
      </c>
      <c r="AK323" s="216">
        <f t="shared" ref="AK323:AK383" si="1038">IF(AJ323&gt;=0,Y323,Y323-AJ323)</f>
        <v>0</v>
      </c>
      <c r="AL323" s="220">
        <f t="shared" si="1020"/>
        <v>0</v>
      </c>
      <c r="AM323" s="220">
        <f t="shared" si="1021"/>
        <v>0</v>
      </c>
      <c r="AN323" s="216">
        <f t="shared" si="1022"/>
        <v>0</v>
      </c>
      <c r="AO323" s="220">
        <f t="shared" si="1023"/>
        <v>0</v>
      </c>
      <c r="AP323" s="220">
        <f t="shared" si="1024"/>
        <v>0</v>
      </c>
      <c r="AQ323" s="220">
        <f t="shared" si="1025"/>
        <v>0</v>
      </c>
      <c r="AR323" s="220">
        <f t="shared" si="1026"/>
        <v>0</v>
      </c>
      <c r="AS323" s="220">
        <f t="shared" si="1027"/>
        <v>0</v>
      </c>
      <c r="AT323" s="216">
        <f t="shared" si="1028"/>
        <v>0</v>
      </c>
      <c r="AU323" s="220">
        <f t="shared" si="919"/>
        <v>0</v>
      </c>
      <c r="AV323" s="220"/>
      <c r="AW323" s="220">
        <f t="shared" si="1006"/>
        <v>0</v>
      </c>
      <c r="AX323" s="216">
        <f t="shared" si="820"/>
        <v>0</v>
      </c>
      <c r="AY323" s="220">
        <f t="shared" si="1013"/>
        <v>0</v>
      </c>
      <c r="AZ323" s="220">
        <f t="shared" si="1014"/>
        <v>0</v>
      </c>
      <c r="BA323" s="220">
        <f t="shared" si="1015"/>
        <v>0</v>
      </c>
      <c r="BB323" s="220">
        <f t="shared" si="1016"/>
        <v>0</v>
      </c>
      <c r="BC323" s="220">
        <f t="shared" si="1017"/>
        <v>0</v>
      </c>
      <c r="BD323" s="216">
        <f t="shared" si="988"/>
        <v>0</v>
      </c>
      <c r="BE323" s="220">
        <f t="shared" si="1007"/>
        <v>0</v>
      </c>
      <c r="BF323" s="220">
        <f t="shared" si="1008"/>
        <v>0</v>
      </c>
      <c r="BG323" s="220">
        <f t="shared" si="1009"/>
        <v>0</v>
      </c>
      <c r="BH323" s="220">
        <f t="shared" si="1010"/>
        <v>0</v>
      </c>
      <c r="BI323" s="220">
        <f t="shared" si="1011"/>
        <v>0</v>
      </c>
      <c r="BJ323" s="220" t="s">
        <v>1405</v>
      </c>
      <c r="BK323" s="220"/>
      <c r="BL323" s="223">
        <f t="shared" si="1004"/>
        <v>0</v>
      </c>
      <c r="BM323" s="220">
        <v>2.67</v>
      </c>
      <c r="BN323" s="220"/>
      <c r="BO323" s="220">
        <f>ROUND(BM323+(BM323*BN323),2)</f>
        <v>2.67</v>
      </c>
      <c r="BP323" s="220">
        <f>IF(AND(BL323&gt;0,BL323&lt;tiet!$D$1),BL323,IF(BL323&lt;=0,0,IF(BL323&gt;tiet!$C$1,tiet!$C$1)))</f>
        <v>0</v>
      </c>
      <c r="BQ323" s="87">
        <f t="shared" si="957"/>
        <v>60000</v>
      </c>
      <c r="BR323" s="224">
        <f t="shared" si="958"/>
        <v>0</v>
      </c>
      <c r="BS323" s="220">
        <f t="shared" si="846"/>
        <v>0</v>
      </c>
      <c r="BT323" s="224">
        <f>VLOOKUP(N323,ma_dinhmuc!$A$1:$J$31,10,0)</f>
        <v>51000</v>
      </c>
      <c r="BU323" s="224">
        <f>ROUND(IF(BS323&gt;0,VLOOKUP(N323,ma_dinhmuc!$A$1:$J$31,10,0)*BS323,0),0)</f>
        <v>0</v>
      </c>
      <c r="BV323" s="224">
        <f t="shared" si="959"/>
        <v>0</v>
      </c>
      <c r="BW323" s="224"/>
      <c r="BX323" s="224">
        <v>0</v>
      </c>
      <c r="BY323" s="224"/>
      <c r="BZ323" s="224"/>
      <c r="CA323" s="224"/>
      <c r="CB323" s="224"/>
      <c r="CC323" s="225">
        <f t="shared" si="886"/>
        <v>0</v>
      </c>
      <c r="CD323" s="224">
        <f t="shared" si="887"/>
        <v>0</v>
      </c>
      <c r="CE323" s="224"/>
      <c r="CF323" s="226"/>
      <c r="CG323" s="87"/>
      <c r="CH323" s="87">
        <f>A323</f>
        <v>76</v>
      </c>
      <c r="CI323" s="227" t="str">
        <f t="shared" si="1033"/>
        <v>Vũ Thị Thu</v>
      </c>
      <c r="CJ323" s="227" t="str">
        <f t="shared" si="1033"/>
        <v>Hương</v>
      </c>
      <c r="CK323" s="87">
        <f>H323</f>
        <v>5</v>
      </c>
      <c r="CL323" s="227" t="str">
        <f>L323</f>
        <v>Kế hoạch và Đầu tư</v>
      </c>
      <c r="CM323" s="87" t="str">
        <f t="shared" si="1012"/>
        <v>CS2</v>
      </c>
      <c r="CN323" s="87">
        <f t="shared" si="1034"/>
        <v>270</v>
      </c>
      <c r="CO323" s="87">
        <f t="shared" si="1034"/>
        <v>100</v>
      </c>
      <c r="CP323" s="229">
        <f t="shared" si="852"/>
        <v>0</v>
      </c>
      <c r="CQ323" s="229">
        <f t="shared" si="853"/>
        <v>0</v>
      </c>
      <c r="CR323" s="229">
        <f t="shared" si="854"/>
        <v>0</v>
      </c>
      <c r="CS323" s="229">
        <f t="shared" si="855"/>
        <v>0</v>
      </c>
      <c r="CT323" s="229">
        <f t="shared" si="856"/>
        <v>0</v>
      </c>
      <c r="CU323" s="229">
        <f t="shared" si="857"/>
        <v>0</v>
      </c>
      <c r="CV323" s="229">
        <f t="shared" si="858"/>
        <v>0</v>
      </c>
      <c r="CW323" s="229">
        <f t="shared" si="859"/>
        <v>0</v>
      </c>
      <c r="CX323" s="229">
        <f t="shared" si="860"/>
        <v>0</v>
      </c>
      <c r="CY323" s="229">
        <f t="shared" si="861"/>
        <v>0</v>
      </c>
      <c r="CZ323" s="229">
        <f t="shared" si="862"/>
        <v>0</v>
      </c>
      <c r="DA323" s="229">
        <f t="shared" si="863"/>
        <v>0</v>
      </c>
      <c r="DB323" s="228">
        <f t="shared" si="1018"/>
        <v>0</v>
      </c>
      <c r="DC323" s="229"/>
      <c r="DD323" s="229"/>
      <c r="DE323" s="229"/>
      <c r="DF323" s="229"/>
      <c r="DG323" s="229"/>
      <c r="DH323" s="229"/>
      <c r="DI323" s="229"/>
      <c r="DJ323" s="229"/>
      <c r="DK323" s="229"/>
      <c r="DL323" s="229"/>
      <c r="DM323" s="229"/>
      <c r="DN323" s="229"/>
      <c r="DO323" s="228">
        <f t="shared" si="1029"/>
        <v>0</v>
      </c>
      <c r="DP323" s="228">
        <f t="shared" si="1030"/>
        <v>0</v>
      </c>
      <c r="DQ323" s="229">
        <f t="shared" si="864"/>
        <v>0</v>
      </c>
      <c r="DR323" s="229">
        <f t="shared" si="865"/>
        <v>0</v>
      </c>
      <c r="DS323" s="229">
        <f t="shared" si="866"/>
        <v>0</v>
      </c>
      <c r="DT323" s="229">
        <f t="shared" si="867"/>
        <v>0</v>
      </c>
      <c r="DU323" s="229">
        <f t="shared" si="868"/>
        <v>0</v>
      </c>
      <c r="DV323" s="229">
        <f t="shared" si="869"/>
        <v>0</v>
      </c>
      <c r="DW323" s="229">
        <f t="shared" si="870"/>
        <v>0</v>
      </c>
      <c r="DX323" s="228">
        <f t="shared" si="1019"/>
        <v>0</v>
      </c>
      <c r="DY323" s="229"/>
      <c r="DZ323" s="229"/>
      <c r="EA323" s="229"/>
      <c r="EB323" s="229"/>
      <c r="EC323" s="229"/>
      <c r="ED323" s="229"/>
      <c r="EE323" s="229"/>
      <c r="EF323" s="228">
        <f t="shared" si="847"/>
        <v>0</v>
      </c>
      <c r="EG323" s="228">
        <f t="shared" si="1031"/>
        <v>0</v>
      </c>
      <c r="EH323" s="229">
        <f t="shared" si="848"/>
        <v>0</v>
      </c>
      <c r="EI323" s="229">
        <v>172.3</v>
      </c>
      <c r="EJ323" s="228">
        <f t="shared" ref="EJ323:EJ343" si="1039">SUM(EH323:EI323)</f>
        <v>172.3</v>
      </c>
      <c r="EK323" s="229"/>
      <c r="EL323" s="229"/>
      <c r="EM323" s="228">
        <f t="shared" si="1036"/>
        <v>0</v>
      </c>
      <c r="EN323" s="229">
        <f t="shared" si="907"/>
        <v>0</v>
      </c>
      <c r="EO323" s="229">
        <f t="shared" si="926"/>
        <v>172.3</v>
      </c>
      <c r="EP323" s="228">
        <f>EM323+EJ323</f>
        <v>172.3</v>
      </c>
      <c r="EQ323" s="173">
        <f t="shared" si="849"/>
        <v>0</v>
      </c>
      <c r="ER323" s="189">
        <v>0</v>
      </c>
      <c r="ES323" s="189">
        <v>0</v>
      </c>
      <c r="ET323" s="189">
        <v>0</v>
      </c>
      <c r="EU323" s="189">
        <v>0</v>
      </c>
      <c r="EV323" s="189">
        <v>0</v>
      </c>
      <c r="EW323" s="189">
        <v>0</v>
      </c>
      <c r="EX323" s="189">
        <v>0</v>
      </c>
      <c r="EY323" s="189">
        <v>0</v>
      </c>
      <c r="EZ323" s="189">
        <v>0</v>
      </c>
      <c r="FA323" s="189">
        <v>0</v>
      </c>
      <c r="FB323" s="189">
        <v>0</v>
      </c>
      <c r="FC323" s="189">
        <v>0</v>
      </c>
      <c r="FD323" s="189">
        <v>0</v>
      </c>
      <c r="FE323" s="189">
        <v>0</v>
      </c>
      <c r="FF323" s="189">
        <v>0</v>
      </c>
      <c r="FG323" s="189">
        <v>0</v>
      </c>
      <c r="FH323" s="189">
        <v>0</v>
      </c>
      <c r="FI323" s="189">
        <v>0</v>
      </c>
      <c r="FJ323" s="189">
        <v>0</v>
      </c>
      <c r="FK323" s="189">
        <v>0</v>
      </c>
      <c r="FL323" s="189">
        <v>0</v>
      </c>
      <c r="FN323" s="132">
        <v>0</v>
      </c>
    </row>
    <row r="324" spans="1:170" ht="30" customHeight="1">
      <c r="A324" s="88">
        <f>COUNTIF($H$12:H324,H324)</f>
        <v>1</v>
      </c>
      <c r="B324" s="88" t="s">
        <v>1704</v>
      </c>
      <c r="C324" s="88" t="s">
        <v>885</v>
      </c>
      <c r="D324" s="88"/>
      <c r="E324" s="88"/>
      <c r="F324" s="301" t="s">
        <v>2817</v>
      </c>
      <c r="G324" s="89" t="s">
        <v>1600</v>
      </c>
      <c r="H324" s="88">
        <v>6</v>
      </c>
      <c r="I324" s="88">
        <v>6</v>
      </c>
      <c r="J324" s="88">
        <v>6</v>
      </c>
      <c r="K324" s="90" t="s">
        <v>1090</v>
      </c>
      <c r="L324" s="90" t="s">
        <v>1090</v>
      </c>
      <c r="M324" s="214"/>
      <c r="N324" s="88" t="s">
        <v>37</v>
      </c>
      <c r="O324" s="216">
        <f t="shared" ref="O324:O347" si="1040">BO324</f>
        <v>3.66</v>
      </c>
      <c r="P324" s="88" t="str">
        <f>IF(BO324&lt;3.33,"B11_3",IF(AND(BO324&gt;=3.33,BO324&lt;4.65),"B11_4",IF(AND(BO324&gt;=4.65,BO324&lt;5.42),"B11_5",IF(AND(BO324&gt;=5.42,BO324&lt;6.44),"B11_6",IF(AND(BO324&gt;=6.44,BO324&lt;=6.92),"B11_7","B11_8")))))</f>
        <v>B11_4</v>
      </c>
      <c r="Q324" s="88">
        <f t="shared" si="951"/>
        <v>270</v>
      </c>
      <c r="R324" s="88">
        <f t="shared" si="952"/>
        <v>80</v>
      </c>
      <c r="S324" s="218" t="s">
        <v>1515</v>
      </c>
      <c r="T324" s="88" t="s">
        <v>3088</v>
      </c>
      <c r="U324" s="88">
        <f>IF(RIGHT(T324,1)="K",(VLOOKUP(T324,ma_miengiam!$A$3:$B$80,2,0)*100)/2,VLOOKUP(T324,ma_miengiam!$A$3:$B$80,2,0)*100)</f>
        <v>0</v>
      </c>
      <c r="V324" s="88"/>
      <c r="W324" s="220">
        <f>IF(AND(T324="NTS",V324&gt;0),(Q324-(Q324*V324)/12)*VLOOKUP(T324,ma_miengiam!$A$3:$B$80,2,0)+(Q324-(Q324*(12-V324))/12),IF(AND(RIGHT(T324,1)="K",V324&gt;0),(VLOOKUP(T324,ma_miengiam!$A$3:$B$80,2,0)/2)*(Q324*V324)/12,IF(RIGHT(T324,1)="K",(VLOOKUP(T324,ma_miengiam!$A$3:$B$80,2,0)*Q324)/2,IF(V324&gt;0,VLOOKUP(T324,ma_miengiam!$A$3:$B$80,2,0)*Q324*V324/12,VLOOKUP(T324,ma_miengiam!$A$3:$B$80,2,0)*Q324))))</f>
        <v>0</v>
      </c>
      <c r="X324" s="220">
        <f>IF(T324="NTS",VLOOKUP(T324,ma_miengiam!$A$3:$B$80,2,0)*R324*V324,IF(AND(T324="NTS",V324=0),0,IF(AND(LEFT(T324,1)="K",V324=0),VLOOKUP(T324,ma_miengiam!$A$3:$B$80,2,0)*R324,IF(LEFT(T324,1)="K",(VLOOKUP(T324,ma_miengiam!$A$3:$B$80,2,0)*R324/12)*V324,IF(AND(LEFT(T324,1)="S",V324&gt;0),(R324/12)*V324,IF(AND(LEFT(T324,1)="S",V324=0),R324,IF(T324="DH",VLOOKUP(T324,ma_miengiam!$A$3:$B$80,2,0)*R324,0)))))))</f>
        <v>0</v>
      </c>
      <c r="Y324" s="220">
        <f t="shared" si="1037"/>
        <v>270</v>
      </c>
      <c r="Z324" s="220">
        <f>IF(AND(T324="SĐH",V324&gt;0),(R324/12)*V324-X324,IF(AND(T324="DH",V324&gt;0),(R324*V324/12),IF(AND(T324&lt;&gt;"NTS",V324&gt;0),(R324*V324/12)-X324,IF(AND(T324="NTS",V324&gt;0),R324-X324,R324-X324))))</f>
        <v>80</v>
      </c>
      <c r="AA324" s="220">
        <f t="shared" ref="AA324:AB327" si="1041">Q324</f>
        <v>270</v>
      </c>
      <c r="AB324" s="220">
        <f t="shared" si="1041"/>
        <v>80</v>
      </c>
      <c r="AC324" s="220">
        <f t="shared" ref="AC324:AF327" si="1042">W324</f>
        <v>0</v>
      </c>
      <c r="AD324" s="220">
        <f t="shared" si="1042"/>
        <v>0</v>
      </c>
      <c r="AE324" s="220">
        <f t="shared" si="1042"/>
        <v>270</v>
      </c>
      <c r="AF324" s="220">
        <f t="shared" si="1042"/>
        <v>80</v>
      </c>
      <c r="AG324" s="220">
        <f t="shared" si="997"/>
        <v>25</v>
      </c>
      <c r="AH324" s="220">
        <f t="shared" si="998"/>
        <v>0</v>
      </c>
      <c r="AI324" s="220">
        <f t="shared" si="999"/>
        <v>25</v>
      </c>
      <c r="AJ324" s="220">
        <f t="shared" si="918"/>
        <v>-55</v>
      </c>
      <c r="AK324" s="216">
        <f t="shared" si="1038"/>
        <v>325</v>
      </c>
      <c r="AL324" s="220">
        <f t="shared" si="1020"/>
        <v>483.40000000000003</v>
      </c>
      <c r="AM324" s="220">
        <f t="shared" si="1021"/>
        <v>84.5</v>
      </c>
      <c r="AN324" s="221">
        <f t="shared" si="1022"/>
        <v>567.90000000000009</v>
      </c>
      <c r="AO324" s="220">
        <f t="shared" si="1023"/>
        <v>0</v>
      </c>
      <c r="AP324" s="220">
        <f t="shared" si="1024"/>
        <v>0</v>
      </c>
      <c r="AQ324" s="220">
        <f t="shared" si="1025"/>
        <v>0</v>
      </c>
      <c r="AR324" s="220">
        <f t="shared" si="1026"/>
        <v>0</v>
      </c>
      <c r="AS324" s="220">
        <f t="shared" si="1027"/>
        <v>0</v>
      </c>
      <c r="AT324" s="216">
        <f t="shared" si="1028"/>
        <v>567.90000000000009</v>
      </c>
      <c r="AU324" s="222">
        <f t="shared" si="919"/>
        <v>242.90000000000009</v>
      </c>
      <c r="AV324" s="220"/>
      <c r="AW324" s="220">
        <f t="shared" si="1006"/>
        <v>242.90000000000009</v>
      </c>
      <c r="AX324" s="216">
        <f t="shared" si="820"/>
        <v>0</v>
      </c>
      <c r="AY324" s="220">
        <f t="shared" si="1013"/>
        <v>0</v>
      </c>
      <c r="AZ324" s="220">
        <f t="shared" si="1014"/>
        <v>0</v>
      </c>
      <c r="BA324" s="220">
        <f t="shared" si="1015"/>
        <v>0</v>
      </c>
      <c r="BB324" s="220">
        <f t="shared" si="1016"/>
        <v>0</v>
      </c>
      <c r="BC324" s="220">
        <f t="shared" si="1017"/>
        <v>0</v>
      </c>
      <c r="BD324" s="216">
        <f t="shared" si="988"/>
        <v>0</v>
      </c>
      <c r="BE324" s="220">
        <f t="shared" si="1007"/>
        <v>0</v>
      </c>
      <c r="BF324" s="220">
        <f t="shared" si="1008"/>
        <v>0</v>
      </c>
      <c r="BG324" s="220">
        <f t="shared" si="1009"/>
        <v>0</v>
      </c>
      <c r="BH324" s="220">
        <f t="shared" si="1010"/>
        <v>0</v>
      </c>
      <c r="BI324" s="220">
        <f t="shared" si="1011"/>
        <v>0</v>
      </c>
      <c r="BJ324" s="220" t="s">
        <v>3060</v>
      </c>
      <c r="BK324" s="220"/>
      <c r="BL324" s="223">
        <f t="shared" si="1004"/>
        <v>242.90000000000009</v>
      </c>
      <c r="BM324" s="220">
        <v>3.66</v>
      </c>
      <c r="BN324" s="220"/>
      <c r="BO324" s="220">
        <f t="shared" ref="BO324:BO342" si="1043">ROUND(BM324+(BM324*BN324),2)</f>
        <v>3.66</v>
      </c>
      <c r="BP324" s="220">
        <f>IF(AND(BL324&gt;0,BL324&lt;tiet!$D$1),BL324,IF(BL324&lt;=0,0,IF(BL324&gt;tiet!$C$1,tiet!$C$1)))</f>
        <v>200</v>
      </c>
      <c r="BQ324" s="87">
        <f t="shared" si="957"/>
        <v>65000</v>
      </c>
      <c r="BR324" s="224">
        <f t="shared" si="958"/>
        <v>13000000</v>
      </c>
      <c r="BS324" s="220">
        <f t="shared" si="846"/>
        <v>42.900000000000091</v>
      </c>
      <c r="BT324" s="224">
        <f>VLOOKUP(N324,ma_dinhmuc!$A$1:$J$31,10,0)</f>
        <v>51000</v>
      </c>
      <c r="BU324" s="224">
        <f>ROUND(IF(BS324&gt;0,VLOOKUP(N324,ma_dinhmuc!$A$1:$J$31,10,0)*BS324,0),0)</f>
        <v>2187900</v>
      </c>
      <c r="BV324" s="224">
        <f t="shared" si="959"/>
        <v>15187900</v>
      </c>
      <c r="BW324" s="224"/>
      <c r="BX324" s="224">
        <v>0</v>
      </c>
      <c r="BY324" s="224"/>
      <c r="BZ324" s="224"/>
      <c r="CA324" s="224"/>
      <c r="CB324" s="224"/>
      <c r="CC324" s="225">
        <f t="shared" si="886"/>
        <v>15187900</v>
      </c>
      <c r="CD324" s="224">
        <f t="shared" si="887"/>
        <v>0</v>
      </c>
      <c r="CE324" s="224"/>
      <c r="CF324" s="226"/>
      <c r="CG324" s="87"/>
      <c r="CH324" s="87">
        <f t="shared" si="979"/>
        <v>1</v>
      </c>
      <c r="CI324" s="227" t="str">
        <f t="shared" si="1000"/>
        <v>Đỗ Thị</v>
      </c>
      <c r="CJ324" s="227" t="str">
        <f t="shared" si="1001"/>
        <v>Hạnh</v>
      </c>
      <c r="CK324" s="87">
        <f t="shared" si="1002"/>
        <v>6</v>
      </c>
      <c r="CL324" s="227" t="str">
        <f t="shared" si="980"/>
        <v>Nguyên lý của CN Mác - Lênin</v>
      </c>
      <c r="CM324" s="87" t="str">
        <f t="shared" si="1012"/>
        <v>CT2</v>
      </c>
      <c r="CN324" s="87">
        <f t="shared" ref="CN324:CO327" si="1044">Q324</f>
        <v>270</v>
      </c>
      <c r="CO324" s="87">
        <f t="shared" si="1044"/>
        <v>80</v>
      </c>
      <c r="CP324" s="229">
        <f t="shared" si="852"/>
        <v>0</v>
      </c>
      <c r="CQ324" s="229">
        <f t="shared" si="853"/>
        <v>70.400000000000006</v>
      </c>
      <c r="CR324" s="229">
        <f t="shared" si="854"/>
        <v>28.4</v>
      </c>
      <c r="CS324" s="229">
        <f t="shared" si="855"/>
        <v>0</v>
      </c>
      <c r="CT324" s="229">
        <f t="shared" si="856"/>
        <v>0</v>
      </c>
      <c r="CU324" s="229">
        <f t="shared" si="857"/>
        <v>384.6</v>
      </c>
      <c r="CV324" s="229">
        <f t="shared" si="858"/>
        <v>0</v>
      </c>
      <c r="CW324" s="229">
        <f t="shared" si="859"/>
        <v>0</v>
      </c>
      <c r="CX324" s="229">
        <f t="shared" si="860"/>
        <v>0</v>
      </c>
      <c r="CY324" s="229">
        <f t="shared" si="861"/>
        <v>0</v>
      </c>
      <c r="CZ324" s="229">
        <f t="shared" si="862"/>
        <v>0</v>
      </c>
      <c r="DA324" s="229">
        <f t="shared" si="863"/>
        <v>0</v>
      </c>
      <c r="DB324" s="228">
        <f t="shared" si="1018"/>
        <v>483.40000000000003</v>
      </c>
      <c r="DC324" s="229"/>
      <c r="DD324" s="229"/>
      <c r="DE324" s="229"/>
      <c r="DF324" s="229"/>
      <c r="DG324" s="229"/>
      <c r="DH324" s="229"/>
      <c r="DI324" s="229"/>
      <c r="DJ324" s="229"/>
      <c r="DK324" s="229"/>
      <c r="DL324" s="229"/>
      <c r="DM324" s="229"/>
      <c r="DN324" s="229"/>
      <c r="DO324" s="228">
        <f t="shared" si="1029"/>
        <v>0</v>
      </c>
      <c r="DP324" s="228">
        <f t="shared" si="1030"/>
        <v>483.40000000000003</v>
      </c>
      <c r="DQ324" s="229">
        <f t="shared" si="864"/>
        <v>81</v>
      </c>
      <c r="DR324" s="229">
        <f t="shared" si="865"/>
        <v>2.5</v>
      </c>
      <c r="DS324" s="229">
        <f t="shared" si="866"/>
        <v>0</v>
      </c>
      <c r="DT324" s="229">
        <f t="shared" si="867"/>
        <v>1</v>
      </c>
      <c r="DU324" s="229">
        <f t="shared" si="868"/>
        <v>0</v>
      </c>
      <c r="DV324" s="229">
        <f t="shared" si="869"/>
        <v>0</v>
      </c>
      <c r="DW324" s="229">
        <f t="shared" si="870"/>
        <v>0</v>
      </c>
      <c r="DX324" s="228">
        <f t="shared" si="1019"/>
        <v>84.5</v>
      </c>
      <c r="DY324" s="229"/>
      <c r="DZ324" s="229"/>
      <c r="EA324" s="229"/>
      <c r="EB324" s="229"/>
      <c r="EC324" s="229"/>
      <c r="ED324" s="229"/>
      <c r="EE324" s="229"/>
      <c r="EF324" s="228">
        <f t="shared" si="847"/>
        <v>0</v>
      </c>
      <c r="EG324" s="228">
        <f t="shared" si="1031"/>
        <v>84.5</v>
      </c>
      <c r="EH324" s="229">
        <f t="shared" si="848"/>
        <v>25</v>
      </c>
      <c r="EI324" s="229">
        <v>0</v>
      </c>
      <c r="EJ324" s="228">
        <f t="shared" si="1039"/>
        <v>25</v>
      </c>
      <c r="EK324" s="229"/>
      <c r="EL324" s="229"/>
      <c r="EM324" s="228">
        <f t="shared" si="1036"/>
        <v>0</v>
      </c>
      <c r="EN324" s="229">
        <f t="shared" si="907"/>
        <v>25</v>
      </c>
      <c r="EO324" s="229">
        <f t="shared" si="926"/>
        <v>0</v>
      </c>
      <c r="EP324" s="228">
        <f t="shared" si="992"/>
        <v>25</v>
      </c>
      <c r="EQ324" s="173">
        <f t="shared" si="849"/>
        <v>0</v>
      </c>
      <c r="ER324" s="189">
        <v>0</v>
      </c>
      <c r="ES324" s="189">
        <v>70.400000000000006</v>
      </c>
      <c r="ET324" s="189">
        <v>28.4</v>
      </c>
      <c r="EU324" s="189">
        <v>0</v>
      </c>
      <c r="EV324" s="189">
        <v>0</v>
      </c>
      <c r="EW324" s="189">
        <v>384.6</v>
      </c>
      <c r="EX324" s="189">
        <v>0</v>
      </c>
      <c r="EY324" s="189">
        <v>0</v>
      </c>
      <c r="EZ324" s="189">
        <v>0</v>
      </c>
      <c r="FA324" s="189">
        <v>0</v>
      </c>
      <c r="FB324" s="189">
        <v>0</v>
      </c>
      <c r="FC324" s="189">
        <v>0</v>
      </c>
      <c r="FD324" s="189">
        <v>81</v>
      </c>
      <c r="FE324" s="189">
        <v>2.5</v>
      </c>
      <c r="FF324" s="189">
        <v>0</v>
      </c>
      <c r="FG324" s="189">
        <v>1</v>
      </c>
      <c r="FH324" s="189">
        <v>0</v>
      </c>
      <c r="FI324" s="189">
        <v>0</v>
      </c>
      <c r="FJ324" s="189">
        <v>0</v>
      </c>
      <c r="FK324" s="189">
        <v>567.9</v>
      </c>
      <c r="FL324" s="189">
        <v>393</v>
      </c>
      <c r="FN324" s="132">
        <v>25</v>
      </c>
    </row>
    <row r="325" spans="1:170" ht="30" customHeight="1">
      <c r="A325" s="88">
        <f>COUNTIF($H$12:H325,H325)</f>
        <v>2</v>
      </c>
      <c r="B325" s="88" t="s">
        <v>1705</v>
      </c>
      <c r="C325" s="88" t="s">
        <v>886</v>
      </c>
      <c r="D325" s="88"/>
      <c r="E325" s="88"/>
      <c r="F325" s="301" t="s">
        <v>171</v>
      </c>
      <c r="G325" s="89" t="s">
        <v>32</v>
      </c>
      <c r="H325" s="88">
        <v>6</v>
      </c>
      <c r="I325" s="88">
        <v>6</v>
      </c>
      <c r="J325" s="88">
        <v>6</v>
      </c>
      <c r="K325" s="90" t="s">
        <v>1090</v>
      </c>
      <c r="L325" s="90" t="s">
        <v>1090</v>
      </c>
      <c r="M325" s="214"/>
      <c r="N325" s="88" t="s">
        <v>37</v>
      </c>
      <c r="O325" s="216">
        <f t="shared" si="1040"/>
        <v>3.66</v>
      </c>
      <c r="P325" s="88" t="str">
        <f t="shared" ref="P325:P352" si="1045">IF(BO325&lt;3.33,"B11_3",IF(AND(BO325&gt;=3.33,BO325&lt;4.65),"B11_4",IF(AND(BO325&gt;=4.65,BO325&lt;5.42),"B11_5",IF(AND(BO325&gt;=5.42,BO325&lt;6.44),"B11_6",IF(AND(BO325&gt;=6.44,BO325&lt;=6.92),"B11_7","B11_8")))))</f>
        <v>B11_4</v>
      </c>
      <c r="Q325" s="88">
        <f t="shared" si="951"/>
        <v>270</v>
      </c>
      <c r="R325" s="88">
        <f t="shared" si="952"/>
        <v>80</v>
      </c>
      <c r="S325" s="218" t="s">
        <v>2984</v>
      </c>
      <c r="T325" s="88" t="s">
        <v>3091</v>
      </c>
      <c r="U325" s="88">
        <f>IF(RIGHT(T325,1)="K",(VLOOKUP(T325,ma_miengiam!$A$3:$B$80,2,0)*100)/2,VLOOKUP(T325,ma_miengiam!$A$3:$B$80,2,0)*100)</f>
        <v>20</v>
      </c>
      <c r="V325" s="88"/>
      <c r="W325" s="220">
        <f>IF(AND(T325="NTS",V325&gt;0),(Q325-(Q325*V325)/12)*VLOOKUP(T325,ma_miengiam!$A$3:$B$80,2,0)+(Q325-(Q325*(12-V325))/12),IF(AND(RIGHT(T325,1)="K",V325&gt;0),(VLOOKUP(T325,ma_miengiam!$A$3:$B$80,2,0)/2)*(Q325*V325)/12,IF(RIGHT(T325,1)="K",(VLOOKUP(T325,ma_miengiam!$A$3:$B$80,2,0)*Q325)/2,IF(V325&gt;0,VLOOKUP(T325,ma_miengiam!$A$3:$B$80,2,0)*Q325*V325/12,VLOOKUP(T325,ma_miengiam!$A$3:$B$80,2,0)*Q325))))</f>
        <v>54</v>
      </c>
      <c r="X325" s="220">
        <f>IF(T325="NTS",VLOOKUP(T325,ma_miengiam!$A$3:$B$80,2,0)*R325*V325,IF(AND(T325="NTS",V325=0),0,IF(AND(LEFT(T325,1)="K",V325=0),VLOOKUP(T325,ma_miengiam!$A$3:$B$80,2,0)*R325,IF(LEFT(T325,1)="K",(VLOOKUP(T325,ma_miengiam!$A$3:$B$80,2,0)*R325/12)*V325,IF(AND(LEFT(T325,1)="S",V325&gt;0),(R325/12)*V325,IF(AND(LEFT(T325,1)="S",V325=0),R325,IF(T325="DH",VLOOKUP(T325,ma_miengiam!$A$3:$B$80,2,0)*R325,0)))))))</f>
        <v>0</v>
      </c>
      <c r="Y325" s="220">
        <f t="shared" si="1037"/>
        <v>216</v>
      </c>
      <c r="Z325" s="220">
        <f>IF(AND(T325="SĐH",V325&gt;0),(R325/12)*V325-X325,IF(AND(T325="DH",V325&gt;0),(R325*V325/12),IF(AND(T325&lt;&gt;"NTS",V325&gt;0),(R325*V325/12)-X325,IF(AND(T325="NTS",V325&gt;0),R325-X325,R325-X325))))</f>
        <v>80</v>
      </c>
      <c r="AA325" s="220">
        <f>Q325</f>
        <v>270</v>
      </c>
      <c r="AB325" s="220">
        <f>R325</f>
        <v>80</v>
      </c>
      <c r="AC325" s="220">
        <f>W325</f>
        <v>54</v>
      </c>
      <c r="AD325" s="220">
        <f>X325</f>
        <v>0</v>
      </c>
      <c r="AE325" s="220">
        <f>Y325</f>
        <v>216</v>
      </c>
      <c r="AF325" s="220">
        <f>Z325</f>
        <v>80</v>
      </c>
      <c r="AG325" s="220">
        <f t="shared" si="997"/>
        <v>446.11</v>
      </c>
      <c r="AH325" s="220">
        <f t="shared" si="998"/>
        <v>0</v>
      </c>
      <c r="AI325" s="220">
        <f t="shared" si="999"/>
        <v>446.11</v>
      </c>
      <c r="AJ325" s="220">
        <f t="shared" si="918"/>
        <v>0</v>
      </c>
      <c r="AK325" s="216">
        <f t="shared" si="1038"/>
        <v>216</v>
      </c>
      <c r="AL325" s="220">
        <f t="shared" si="1020"/>
        <v>36.700000000000003</v>
      </c>
      <c r="AM325" s="220">
        <f t="shared" si="1021"/>
        <v>693.4</v>
      </c>
      <c r="AN325" s="221">
        <f t="shared" si="1022"/>
        <v>730.1</v>
      </c>
      <c r="AO325" s="220">
        <f t="shared" si="1023"/>
        <v>0</v>
      </c>
      <c r="AP325" s="220">
        <f t="shared" si="1024"/>
        <v>0</v>
      </c>
      <c r="AQ325" s="220">
        <f t="shared" si="1025"/>
        <v>0</v>
      </c>
      <c r="AR325" s="220">
        <f t="shared" si="1026"/>
        <v>0</v>
      </c>
      <c r="AS325" s="220">
        <f t="shared" si="1027"/>
        <v>0</v>
      </c>
      <c r="AT325" s="216">
        <f t="shared" si="1028"/>
        <v>730.1</v>
      </c>
      <c r="AU325" s="222">
        <f t="shared" si="919"/>
        <v>514.1</v>
      </c>
      <c r="AV325" s="220"/>
      <c r="AW325" s="220">
        <f t="shared" si="1006"/>
        <v>514.1</v>
      </c>
      <c r="AX325" s="216">
        <f t="shared" ref="AX325:AX383" si="1046">IF(AN325&gt;AK325,0,IF(AW325&lt;0,AN325-AK325+AV325,IF(AW325&gt;=0,0)))</f>
        <v>0</v>
      </c>
      <c r="AY325" s="220">
        <f t="shared" si="1013"/>
        <v>0</v>
      </c>
      <c r="AZ325" s="220">
        <f t="shared" si="1014"/>
        <v>0</v>
      </c>
      <c r="BA325" s="220">
        <f t="shared" si="1015"/>
        <v>0</v>
      </c>
      <c r="BB325" s="220">
        <f t="shared" si="1016"/>
        <v>0</v>
      </c>
      <c r="BC325" s="220">
        <f t="shared" si="1017"/>
        <v>0</v>
      </c>
      <c r="BD325" s="216">
        <f t="shared" si="988"/>
        <v>0</v>
      </c>
      <c r="BE325" s="220">
        <f t="shared" si="1007"/>
        <v>0</v>
      </c>
      <c r="BF325" s="220">
        <f t="shared" si="1008"/>
        <v>0</v>
      </c>
      <c r="BG325" s="220">
        <f t="shared" si="1009"/>
        <v>0</v>
      </c>
      <c r="BH325" s="220">
        <f t="shared" si="1010"/>
        <v>0</v>
      </c>
      <c r="BI325" s="220">
        <f t="shared" si="1011"/>
        <v>0</v>
      </c>
      <c r="BJ325" s="220" t="s">
        <v>3060</v>
      </c>
      <c r="BK325" s="220"/>
      <c r="BL325" s="223">
        <f t="shared" si="1004"/>
        <v>514.1</v>
      </c>
      <c r="BM325" s="220">
        <v>3.66</v>
      </c>
      <c r="BN325" s="220"/>
      <c r="BO325" s="220">
        <f t="shared" si="1043"/>
        <v>3.66</v>
      </c>
      <c r="BP325" s="220">
        <f>IF(AND(BL325&gt;0,BL325&lt;tiet!$D$1),BL325,IF(BL325&lt;=0,0,IF(BL325&gt;tiet!$C$1,tiet!$C$1)))</f>
        <v>200</v>
      </c>
      <c r="BQ325" s="87">
        <f t="shared" si="957"/>
        <v>65000</v>
      </c>
      <c r="BR325" s="224">
        <f t="shared" si="958"/>
        <v>13000000</v>
      </c>
      <c r="BS325" s="220">
        <f t="shared" si="846"/>
        <v>314.10000000000002</v>
      </c>
      <c r="BT325" s="224">
        <f>VLOOKUP(N325,ma_dinhmuc!$A$1:$J$31,10,0)</f>
        <v>51000</v>
      </c>
      <c r="BU325" s="224">
        <f>ROUND(IF(BS325&gt;0,VLOOKUP(N325,ma_dinhmuc!$A$1:$J$31,10,0)*BS325,0),0)</f>
        <v>16019100</v>
      </c>
      <c r="BV325" s="224">
        <f t="shared" si="959"/>
        <v>29019100</v>
      </c>
      <c r="BW325" s="224"/>
      <c r="BX325" s="224">
        <v>0</v>
      </c>
      <c r="BY325" s="224"/>
      <c r="BZ325" s="224"/>
      <c r="CA325" s="224"/>
      <c r="CB325" s="224"/>
      <c r="CC325" s="225">
        <f t="shared" si="886"/>
        <v>29019100</v>
      </c>
      <c r="CD325" s="224">
        <f t="shared" si="887"/>
        <v>0</v>
      </c>
      <c r="CE325" s="224"/>
      <c r="CF325" s="226"/>
      <c r="CG325" s="87"/>
      <c r="CH325" s="87">
        <f t="shared" si="979"/>
        <v>2</v>
      </c>
      <c r="CI325" s="227" t="str">
        <f t="shared" si="1000"/>
        <v>Lê Văn</v>
      </c>
      <c r="CJ325" s="227" t="str">
        <f t="shared" si="1001"/>
        <v>Hùng</v>
      </c>
      <c r="CK325" s="87">
        <f t="shared" si="1002"/>
        <v>6</v>
      </c>
      <c r="CL325" s="227" t="str">
        <f t="shared" si="980"/>
        <v>Nguyên lý của CN Mác - Lênin</v>
      </c>
      <c r="CM325" s="87" t="str">
        <f t="shared" si="1012"/>
        <v>CT2</v>
      </c>
      <c r="CN325" s="87">
        <f>Q325</f>
        <v>270</v>
      </c>
      <c r="CO325" s="87">
        <f>R325</f>
        <v>80</v>
      </c>
      <c r="CP325" s="229">
        <f t="shared" si="852"/>
        <v>0</v>
      </c>
      <c r="CQ325" s="229">
        <f t="shared" si="853"/>
        <v>4.8</v>
      </c>
      <c r="CR325" s="229">
        <f t="shared" si="854"/>
        <v>1.9</v>
      </c>
      <c r="CS325" s="229">
        <f t="shared" si="855"/>
        <v>0</v>
      </c>
      <c r="CT325" s="229">
        <f t="shared" si="856"/>
        <v>0</v>
      </c>
      <c r="CU325" s="229">
        <f t="shared" si="857"/>
        <v>30</v>
      </c>
      <c r="CV325" s="229">
        <f t="shared" si="858"/>
        <v>0</v>
      </c>
      <c r="CW325" s="229">
        <f t="shared" si="859"/>
        <v>0</v>
      </c>
      <c r="CX325" s="229">
        <f t="shared" si="860"/>
        <v>0</v>
      </c>
      <c r="CY325" s="229">
        <f t="shared" si="861"/>
        <v>0</v>
      </c>
      <c r="CZ325" s="229">
        <f t="shared" si="862"/>
        <v>0</v>
      </c>
      <c r="DA325" s="229">
        <f t="shared" si="863"/>
        <v>0</v>
      </c>
      <c r="DB325" s="228">
        <f t="shared" si="1018"/>
        <v>36.700000000000003</v>
      </c>
      <c r="DC325" s="229"/>
      <c r="DD325" s="229"/>
      <c r="DE325" s="229"/>
      <c r="DF325" s="229"/>
      <c r="DG325" s="229"/>
      <c r="DH325" s="229"/>
      <c r="DI325" s="229"/>
      <c r="DJ325" s="229"/>
      <c r="DK325" s="229"/>
      <c r="DL325" s="229"/>
      <c r="DM325" s="229"/>
      <c r="DN325" s="229"/>
      <c r="DO325" s="228">
        <f t="shared" si="1029"/>
        <v>0</v>
      </c>
      <c r="DP325" s="228">
        <f t="shared" si="1030"/>
        <v>36.700000000000003</v>
      </c>
      <c r="DQ325" s="229">
        <f t="shared" si="864"/>
        <v>660</v>
      </c>
      <c r="DR325" s="229">
        <f t="shared" si="865"/>
        <v>23.9</v>
      </c>
      <c r="DS325" s="229">
        <f t="shared" si="866"/>
        <v>0</v>
      </c>
      <c r="DT325" s="229">
        <f t="shared" si="867"/>
        <v>9.5</v>
      </c>
      <c r="DU325" s="229">
        <f t="shared" si="868"/>
        <v>0</v>
      </c>
      <c r="DV325" s="229">
        <f t="shared" si="869"/>
        <v>0</v>
      </c>
      <c r="DW325" s="229">
        <f t="shared" si="870"/>
        <v>0</v>
      </c>
      <c r="DX325" s="228">
        <f t="shared" si="1019"/>
        <v>693.4</v>
      </c>
      <c r="DY325" s="229"/>
      <c r="DZ325" s="229"/>
      <c r="EA325" s="229"/>
      <c r="EB325" s="229"/>
      <c r="EC325" s="229"/>
      <c r="ED325" s="229"/>
      <c r="EE325" s="229"/>
      <c r="EF325" s="228">
        <f t="shared" si="847"/>
        <v>0</v>
      </c>
      <c r="EG325" s="228">
        <f t="shared" si="1031"/>
        <v>693.4</v>
      </c>
      <c r="EH325" s="229">
        <f t="shared" si="848"/>
        <v>446.11</v>
      </c>
      <c r="EI325" s="229">
        <v>0</v>
      </c>
      <c r="EJ325" s="228">
        <f t="shared" si="1039"/>
        <v>446.11</v>
      </c>
      <c r="EK325" s="229"/>
      <c r="EL325" s="229"/>
      <c r="EM325" s="228">
        <f t="shared" si="1036"/>
        <v>0</v>
      </c>
      <c r="EN325" s="229">
        <f t="shared" si="907"/>
        <v>446.11</v>
      </c>
      <c r="EO325" s="229">
        <f t="shared" si="926"/>
        <v>0</v>
      </c>
      <c r="EP325" s="228">
        <f t="shared" si="992"/>
        <v>446.11</v>
      </c>
      <c r="EQ325" s="173">
        <f t="shared" si="849"/>
        <v>366.11</v>
      </c>
      <c r="ER325" s="189">
        <v>0</v>
      </c>
      <c r="ES325" s="189">
        <v>4.8</v>
      </c>
      <c r="ET325" s="189">
        <v>1.9</v>
      </c>
      <c r="EU325" s="189">
        <v>0</v>
      </c>
      <c r="EV325" s="189">
        <v>0</v>
      </c>
      <c r="EW325" s="189">
        <v>30</v>
      </c>
      <c r="EX325" s="189">
        <v>0</v>
      </c>
      <c r="EY325" s="189">
        <v>0</v>
      </c>
      <c r="EZ325" s="189">
        <v>0</v>
      </c>
      <c r="FA325" s="189">
        <v>0</v>
      </c>
      <c r="FB325" s="189">
        <v>0</v>
      </c>
      <c r="FC325" s="189">
        <v>0</v>
      </c>
      <c r="FD325" s="189">
        <v>660</v>
      </c>
      <c r="FE325" s="189">
        <v>23.9</v>
      </c>
      <c r="FF325" s="189">
        <v>0</v>
      </c>
      <c r="FG325" s="189">
        <v>9.5</v>
      </c>
      <c r="FH325" s="189">
        <v>0</v>
      </c>
      <c r="FI325" s="189">
        <v>0</v>
      </c>
      <c r="FJ325" s="189">
        <v>0</v>
      </c>
      <c r="FK325" s="189">
        <v>730.1</v>
      </c>
      <c r="FL325" s="189">
        <v>404</v>
      </c>
      <c r="FN325" s="132">
        <v>446.11</v>
      </c>
    </row>
    <row r="326" spans="1:170" ht="30" customHeight="1">
      <c r="A326" s="88">
        <f>COUNTIF($H$12:H326,H326)</f>
        <v>3</v>
      </c>
      <c r="B326" s="88" t="s">
        <v>1706</v>
      </c>
      <c r="C326" s="88" t="s">
        <v>887</v>
      </c>
      <c r="D326" s="88"/>
      <c r="E326" s="88"/>
      <c r="F326" s="301" t="s">
        <v>2897</v>
      </c>
      <c r="G326" s="89" t="s">
        <v>2187</v>
      </c>
      <c r="H326" s="88">
        <v>6</v>
      </c>
      <c r="I326" s="88">
        <v>6</v>
      </c>
      <c r="J326" s="88">
        <v>6</v>
      </c>
      <c r="K326" s="90" t="s">
        <v>1090</v>
      </c>
      <c r="L326" s="90" t="s">
        <v>1090</v>
      </c>
      <c r="M326" s="214"/>
      <c r="N326" s="88" t="s">
        <v>37</v>
      </c>
      <c r="O326" s="216">
        <f t="shared" si="1040"/>
        <v>3.66</v>
      </c>
      <c r="P326" s="88" t="str">
        <f t="shared" si="1045"/>
        <v>B11_4</v>
      </c>
      <c r="Q326" s="88">
        <f t="shared" si="951"/>
        <v>270</v>
      </c>
      <c r="R326" s="88">
        <f t="shared" si="952"/>
        <v>80</v>
      </c>
      <c r="S326" s="218" t="s">
        <v>676</v>
      </c>
      <c r="T326" s="219" t="s">
        <v>3089</v>
      </c>
      <c r="U326" s="88">
        <f>IF(RIGHT(T326,1)="K",(VLOOKUP(T326,ma_miengiam!$A$3:$B$80,2,0)*100)/2,VLOOKUP(T326,ma_miengiam!$A$3:$B$80,2,0)*100)</f>
        <v>10</v>
      </c>
      <c r="V326" s="88"/>
      <c r="W326" s="220">
        <f>IF(AND(T326="NTS",V326&gt;0),(Q326-(Q326*V326)/12)*VLOOKUP(T326,ma_miengiam!$A$3:$B$80,2,0)+(Q326-(Q326*(12-V326))/12),IF(AND(RIGHT(T326,1)="K",V326&gt;0),(VLOOKUP(T326,ma_miengiam!$A$3:$B$80,2,0)/2)*(Q326*V326)/12,IF(RIGHT(T326,1)="K",(VLOOKUP(T326,ma_miengiam!$A$3:$B$80,2,0)*Q326)/2,IF(V326&gt;0,VLOOKUP(T326,ma_miengiam!$A$3:$B$80,2,0)*Q326*V326/12,VLOOKUP(T326,ma_miengiam!$A$3:$B$80,2,0)*Q326))))</f>
        <v>27</v>
      </c>
      <c r="X326" s="220">
        <f>IF(T326="NTS",VLOOKUP(T326,ma_miengiam!$A$3:$B$80,2,0)*R326*V326,IF(AND(T326="NTS",V326=0),0,IF(AND(LEFT(T326,1)="K",V326=0),VLOOKUP(T326,ma_miengiam!$A$3:$B$80,2,0)*R326,IF(LEFT(T326,1)="K",(VLOOKUP(T326,ma_miengiam!$A$3:$B$80,2,0)*R326/12)*V326,IF(AND(LEFT(T326,1)="S",V326&gt;0),(R326/12)*V326,IF(AND(LEFT(T326,1)="S",V326=0),R326,IF(T326="DH",VLOOKUP(T326,ma_miengiam!$A$3:$B$80,2,0)*R326,0)))))))</f>
        <v>0</v>
      </c>
      <c r="Y326" s="220">
        <f t="shared" si="1037"/>
        <v>243</v>
      </c>
      <c r="Z326" s="220">
        <f>IF(AND(T326="SĐH",V326&gt;0),(R326/12)*V326-X326,IF(AND(T326="DH",V326&gt;0),(R326*V326/12),IF(AND(T326&lt;&gt;"NTS",V326&gt;0),(R326*V326/12)-X326,IF(AND(T326="NTS",V326&gt;0),R326-X326,R326-X326))))</f>
        <v>80</v>
      </c>
      <c r="AA326" s="220">
        <f t="shared" si="1041"/>
        <v>270</v>
      </c>
      <c r="AB326" s="220">
        <f t="shared" si="1041"/>
        <v>80</v>
      </c>
      <c r="AC326" s="220">
        <f t="shared" si="1042"/>
        <v>27</v>
      </c>
      <c r="AD326" s="220">
        <f t="shared" si="1042"/>
        <v>0</v>
      </c>
      <c r="AE326" s="220">
        <f t="shared" si="1042"/>
        <v>243</v>
      </c>
      <c r="AF326" s="220">
        <f t="shared" si="1042"/>
        <v>80</v>
      </c>
      <c r="AG326" s="220">
        <f t="shared" si="997"/>
        <v>167.5</v>
      </c>
      <c r="AH326" s="220">
        <f t="shared" si="998"/>
        <v>30</v>
      </c>
      <c r="AI326" s="220">
        <f t="shared" si="999"/>
        <v>137.5</v>
      </c>
      <c r="AJ326" s="220">
        <f t="shared" si="918"/>
        <v>0</v>
      </c>
      <c r="AK326" s="216">
        <f t="shared" si="1038"/>
        <v>243</v>
      </c>
      <c r="AL326" s="220">
        <f t="shared" si="1020"/>
        <v>445.3</v>
      </c>
      <c r="AM326" s="220">
        <f t="shared" si="1021"/>
        <v>0</v>
      </c>
      <c r="AN326" s="221">
        <f t="shared" si="1022"/>
        <v>445.3</v>
      </c>
      <c r="AO326" s="220">
        <f t="shared" si="1023"/>
        <v>0</v>
      </c>
      <c r="AP326" s="220">
        <f t="shared" si="1024"/>
        <v>0</v>
      </c>
      <c r="AQ326" s="220">
        <f t="shared" si="1025"/>
        <v>0</v>
      </c>
      <c r="AR326" s="220">
        <f t="shared" si="1026"/>
        <v>0</v>
      </c>
      <c r="AS326" s="220">
        <f t="shared" si="1027"/>
        <v>0</v>
      </c>
      <c r="AT326" s="216">
        <f t="shared" si="1028"/>
        <v>445.3</v>
      </c>
      <c r="AU326" s="222">
        <f t="shared" si="919"/>
        <v>202.3</v>
      </c>
      <c r="AV326" s="220"/>
      <c r="AW326" s="220">
        <f t="shared" si="1006"/>
        <v>202.3</v>
      </c>
      <c r="AX326" s="216">
        <f t="shared" si="1046"/>
        <v>0</v>
      </c>
      <c r="AY326" s="220">
        <f t="shared" si="1013"/>
        <v>0</v>
      </c>
      <c r="AZ326" s="220">
        <f t="shared" si="1014"/>
        <v>0</v>
      </c>
      <c r="BA326" s="220">
        <f t="shared" si="1015"/>
        <v>0</v>
      </c>
      <c r="BB326" s="220">
        <f t="shared" si="1016"/>
        <v>0</v>
      </c>
      <c r="BC326" s="220">
        <f t="shared" si="1017"/>
        <v>0</v>
      </c>
      <c r="BD326" s="216">
        <f t="shared" si="988"/>
        <v>0</v>
      </c>
      <c r="BE326" s="220">
        <f t="shared" si="1007"/>
        <v>0</v>
      </c>
      <c r="BF326" s="220">
        <f t="shared" si="1008"/>
        <v>0</v>
      </c>
      <c r="BG326" s="220">
        <f t="shared" si="1009"/>
        <v>0</v>
      </c>
      <c r="BH326" s="220">
        <f t="shared" si="1010"/>
        <v>0</v>
      </c>
      <c r="BI326" s="220">
        <f t="shared" si="1011"/>
        <v>0</v>
      </c>
      <c r="BJ326" s="220" t="s">
        <v>3060</v>
      </c>
      <c r="BK326" s="220"/>
      <c r="BL326" s="223">
        <f t="shared" si="1004"/>
        <v>202.3</v>
      </c>
      <c r="BM326" s="220">
        <v>3.66</v>
      </c>
      <c r="BN326" s="220"/>
      <c r="BO326" s="220">
        <f t="shared" si="1043"/>
        <v>3.66</v>
      </c>
      <c r="BP326" s="220">
        <f>IF(AND(BL326&gt;0,BL326&lt;tiet!$D$1),BL326,IF(BL326&lt;=0,0,IF(BL326&gt;tiet!$C$1,tiet!$C$1)))</f>
        <v>200</v>
      </c>
      <c r="BQ326" s="87">
        <f t="shared" si="957"/>
        <v>65000</v>
      </c>
      <c r="BR326" s="224">
        <f t="shared" si="958"/>
        <v>13000000</v>
      </c>
      <c r="BS326" s="220">
        <f t="shared" si="846"/>
        <v>2.3000000000000114</v>
      </c>
      <c r="BT326" s="224">
        <f>VLOOKUP(N326,ma_dinhmuc!$A$1:$J$31,10,0)</f>
        <v>51000</v>
      </c>
      <c r="BU326" s="224">
        <f>ROUND(IF(BS326&gt;0,VLOOKUP(N326,ma_dinhmuc!$A$1:$J$31,10,0)*BS326,0),0)</f>
        <v>117300</v>
      </c>
      <c r="BV326" s="224">
        <f t="shared" si="959"/>
        <v>13117300</v>
      </c>
      <c r="BW326" s="224"/>
      <c r="BX326" s="224">
        <v>0</v>
      </c>
      <c r="BY326" s="224"/>
      <c r="BZ326" s="224"/>
      <c r="CA326" s="224"/>
      <c r="CB326" s="224"/>
      <c r="CC326" s="225">
        <f t="shared" si="886"/>
        <v>13117300</v>
      </c>
      <c r="CD326" s="224">
        <f t="shared" si="887"/>
        <v>0</v>
      </c>
      <c r="CE326" s="224"/>
      <c r="CF326" s="226"/>
      <c r="CG326" s="87"/>
      <c r="CH326" s="87">
        <f t="shared" si="979"/>
        <v>3</v>
      </c>
      <c r="CI326" s="227" t="str">
        <f t="shared" si="1000"/>
        <v>Nguyễn Thị Thanh</v>
      </c>
      <c r="CJ326" s="227" t="str">
        <f t="shared" si="1001"/>
        <v>Hoà</v>
      </c>
      <c r="CK326" s="87">
        <f t="shared" si="1002"/>
        <v>6</v>
      </c>
      <c r="CL326" s="227" t="str">
        <f t="shared" si="980"/>
        <v>Nguyên lý của CN Mác - Lênin</v>
      </c>
      <c r="CM326" s="87" t="str">
        <f t="shared" si="1012"/>
        <v>CT2</v>
      </c>
      <c r="CN326" s="87">
        <f t="shared" si="1044"/>
        <v>270</v>
      </c>
      <c r="CO326" s="87">
        <f t="shared" si="1044"/>
        <v>80</v>
      </c>
      <c r="CP326" s="229">
        <f t="shared" si="852"/>
        <v>0</v>
      </c>
      <c r="CQ326" s="229">
        <f t="shared" si="853"/>
        <v>68.5</v>
      </c>
      <c r="CR326" s="229">
        <f t="shared" si="854"/>
        <v>27.5</v>
      </c>
      <c r="CS326" s="229">
        <f t="shared" si="855"/>
        <v>0</v>
      </c>
      <c r="CT326" s="229">
        <f t="shared" si="856"/>
        <v>0</v>
      </c>
      <c r="CU326" s="229">
        <f t="shared" si="857"/>
        <v>349.3</v>
      </c>
      <c r="CV326" s="229">
        <f t="shared" si="858"/>
        <v>0</v>
      </c>
      <c r="CW326" s="229">
        <f t="shared" si="859"/>
        <v>0</v>
      </c>
      <c r="CX326" s="229">
        <f t="shared" si="860"/>
        <v>0</v>
      </c>
      <c r="CY326" s="229">
        <f t="shared" si="861"/>
        <v>0</v>
      </c>
      <c r="CZ326" s="229">
        <f t="shared" si="862"/>
        <v>0</v>
      </c>
      <c r="DA326" s="229">
        <f t="shared" si="863"/>
        <v>0</v>
      </c>
      <c r="DB326" s="228">
        <f t="shared" si="1018"/>
        <v>445.3</v>
      </c>
      <c r="DC326" s="229"/>
      <c r="DD326" s="229"/>
      <c r="DE326" s="229"/>
      <c r="DF326" s="229"/>
      <c r="DG326" s="229"/>
      <c r="DH326" s="229"/>
      <c r="DI326" s="229"/>
      <c r="DJ326" s="229"/>
      <c r="DK326" s="229"/>
      <c r="DL326" s="229"/>
      <c r="DM326" s="229"/>
      <c r="DN326" s="229"/>
      <c r="DO326" s="228">
        <f t="shared" si="1029"/>
        <v>0</v>
      </c>
      <c r="DP326" s="228">
        <f t="shared" si="1030"/>
        <v>445.3</v>
      </c>
      <c r="DQ326" s="229">
        <f t="shared" si="864"/>
        <v>0</v>
      </c>
      <c r="DR326" s="229">
        <f t="shared" si="865"/>
        <v>0</v>
      </c>
      <c r="DS326" s="229">
        <f t="shared" si="866"/>
        <v>0</v>
      </c>
      <c r="DT326" s="229">
        <f t="shared" si="867"/>
        <v>0</v>
      </c>
      <c r="DU326" s="229">
        <f t="shared" si="868"/>
        <v>0</v>
      </c>
      <c r="DV326" s="229">
        <f t="shared" si="869"/>
        <v>0</v>
      </c>
      <c r="DW326" s="229">
        <f t="shared" si="870"/>
        <v>0</v>
      </c>
      <c r="DX326" s="228">
        <f t="shared" si="1019"/>
        <v>0</v>
      </c>
      <c r="DY326" s="229"/>
      <c r="DZ326" s="229"/>
      <c r="EA326" s="229"/>
      <c r="EB326" s="229"/>
      <c r="EC326" s="229"/>
      <c r="ED326" s="229"/>
      <c r="EE326" s="229"/>
      <c r="EF326" s="228">
        <f t="shared" si="847"/>
        <v>0</v>
      </c>
      <c r="EG326" s="228">
        <f t="shared" si="1031"/>
        <v>0</v>
      </c>
      <c r="EH326" s="229">
        <f t="shared" si="848"/>
        <v>137.5</v>
      </c>
      <c r="EI326" s="229">
        <v>30</v>
      </c>
      <c r="EJ326" s="228">
        <f t="shared" si="1039"/>
        <v>167.5</v>
      </c>
      <c r="EK326" s="229"/>
      <c r="EL326" s="229"/>
      <c r="EM326" s="228">
        <f t="shared" si="1036"/>
        <v>0</v>
      </c>
      <c r="EN326" s="229">
        <f t="shared" si="907"/>
        <v>137.5</v>
      </c>
      <c r="EO326" s="229">
        <f t="shared" si="926"/>
        <v>30</v>
      </c>
      <c r="EP326" s="228">
        <f t="shared" si="992"/>
        <v>167.5</v>
      </c>
      <c r="EQ326" s="173">
        <f t="shared" si="849"/>
        <v>57.5</v>
      </c>
      <c r="ER326" s="189">
        <v>0</v>
      </c>
      <c r="ES326" s="189">
        <v>68.5</v>
      </c>
      <c r="ET326" s="189">
        <v>27.5</v>
      </c>
      <c r="EU326" s="189">
        <v>0</v>
      </c>
      <c r="EV326" s="189">
        <v>0</v>
      </c>
      <c r="EW326" s="189">
        <v>349.3</v>
      </c>
      <c r="EX326" s="189">
        <v>0</v>
      </c>
      <c r="EY326" s="189">
        <v>0</v>
      </c>
      <c r="EZ326" s="189">
        <v>0</v>
      </c>
      <c r="FA326" s="189">
        <v>0</v>
      </c>
      <c r="FB326" s="189">
        <v>0</v>
      </c>
      <c r="FC326" s="189">
        <v>0</v>
      </c>
      <c r="FD326" s="189">
        <v>0</v>
      </c>
      <c r="FE326" s="189">
        <v>0</v>
      </c>
      <c r="FF326" s="189">
        <v>0</v>
      </c>
      <c r="FG326" s="189">
        <v>0</v>
      </c>
      <c r="FH326" s="189">
        <v>0</v>
      </c>
      <c r="FI326" s="189">
        <v>0</v>
      </c>
      <c r="FJ326" s="189">
        <v>0</v>
      </c>
      <c r="FK326" s="189">
        <v>445.3</v>
      </c>
      <c r="FL326" s="189">
        <v>299</v>
      </c>
      <c r="FN326" s="132">
        <v>137.5</v>
      </c>
    </row>
    <row r="327" spans="1:170" ht="30" customHeight="1">
      <c r="A327" s="88">
        <f>COUNTIF($H$12:H327,H327)</f>
        <v>4</v>
      </c>
      <c r="B327" s="88" t="s">
        <v>1707</v>
      </c>
      <c r="C327" s="88" t="s">
        <v>888</v>
      </c>
      <c r="D327" s="88"/>
      <c r="E327" s="88"/>
      <c r="F327" s="301" t="s">
        <v>2897</v>
      </c>
      <c r="G327" s="303" t="s">
        <v>2089</v>
      </c>
      <c r="H327" s="88">
        <v>6</v>
      </c>
      <c r="I327" s="88">
        <v>6</v>
      </c>
      <c r="J327" s="88">
        <v>6</v>
      </c>
      <c r="K327" s="90" t="s">
        <v>1090</v>
      </c>
      <c r="L327" s="90" t="s">
        <v>1090</v>
      </c>
      <c r="M327" s="214"/>
      <c r="N327" s="88" t="s">
        <v>37</v>
      </c>
      <c r="O327" s="216">
        <f t="shared" si="1040"/>
        <v>4.32</v>
      </c>
      <c r="P327" s="88" t="str">
        <f t="shared" si="1045"/>
        <v>B11_4</v>
      </c>
      <c r="Q327" s="88">
        <f t="shared" si="951"/>
        <v>270</v>
      </c>
      <c r="R327" s="88">
        <f t="shared" si="952"/>
        <v>80</v>
      </c>
      <c r="S327" s="232"/>
      <c r="T327" s="88" t="s">
        <v>3088</v>
      </c>
      <c r="U327" s="88">
        <f>IF(RIGHT(T327,1)="K",(VLOOKUP(T327,ma_miengiam!$A$3:$B$80,2,0)*100)/2,VLOOKUP(T327,ma_miengiam!$A$3:$B$80,2,0)*100)</f>
        <v>0</v>
      </c>
      <c r="V327" s="88"/>
      <c r="W327" s="220">
        <f>IF(AND(T327="NTS",V327&gt;0),(Q327-(Q327*V327)/12)*VLOOKUP(T327,ma_miengiam!$A$3:$B$80,2,0)+(Q327-(Q327*(12-V327))/12),IF(AND(RIGHT(T327,1)="K",V327&gt;0),(VLOOKUP(T327,ma_miengiam!$A$3:$B$80,2,0)/2)*(Q327*V327)/12,IF(RIGHT(T327,1)="K",(VLOOKUP(T327,ma_miengiam!$A$3:$B$80,2,0)*Q327)/2,IF(V327&gt;0,VLOOKUP(T327,ma_miengiam!$A$3:$B$80,2,0)*Q327*V327/12,VLOOKUP(T327,ma_miengiam!$A$3:$B$80,2,0)*Q327))))</f>
        <v>0</v>
      </c>
      <c r="X327" s="220">
        <f>IF(T327="NTS",VLOOKUP(T327,ma_miengiam!$A$3:$B$80,2,0)*R327*V327,IF(AND(T327="NTS",V327=0),0,IF(AND(LEFT(T327,1)="K",V327=0),VLOOKUP(T327,ma_miengiam!$A$3:$B$80,2,0)*R327,IF(LEFT(T327,1)="K",(VLOOKUP(T327,ma_miengiam!$A$3:$B$80,2,0)*R327/12)*V327,IF(AND(LEFT(T327,1)="S",V327&gt;0),(R327/12)*V327,IF(AND(LEFT(T327,1)="S",V327=0),R327,IF(T327="DH",VLOOKUP(T327,ma_miengiam!$A$3:$B$80,2,0)*R327,0)))))))</f>
        <v>0</v>
      </c>
      <c r="Y327" s="220">
        <f t="shared" si="1037"/>
        <v>270</v>
      </c>
      <c r="Z327" s="220">
        <f>IF(AND(T327="SĐH",V327&gt;0),(R327/12)*V327-X327,IF(AND(T327="DH",V327&gt;0),(R327*V327/12),IF(AND(T327&lt;&gt;"NTS",V327&gt;0),(R327*V327/12)-X327,IF(AND(T327="NTS",V327&gt;0),R327-X327,R327-X327))))</f>
        <v>80</v>
      </c>
      <c r="AA327" s="220">
        <f t="shared" si="1041"/>
        <v>270</v>
      </c>
      <c r="AB327" s="220">
        <f t="shared" si="1041"/>
        <v>80</v>
      </c>
      <c r="AC327" s="220">
        <f t="shared" si="1042"/>
        <v>0</v>
      </c>
      <c r="AD327" s="220">
        <f t="shared" si="1042"/>
        <v>0</v>
      </c>
      <c r="AE327" s="220">
        <f t="shared" si="1042"/>
        <v>270</v>
      </c>
      <c r="AF327" s="220">
        <f t="shared" si="1042"/>
        <v>80</v>
      </c>
      <c r="AG327" s="220">
        <f t="shared" si="997"/>
        <v>25</v>
      </c>
      <c r="AH327" s="220">
        <f t="shared" si="998"/>
        <v>0</v>
      </c>
      <c r="AI327" s="220">
        <f t="shared" si="999"/>
        <v>25</v>
      </c>
      <c r="AJ327" s="220">
        <f t="shared" si="918"/>
        <v>-55</v>
      </c>
      <c r="AK327" s="216">
        <f t="shared" si="1038"/>
        <v>325</v>
      </c>
      <c r="AL327" s="220">
        <f t="shared" si="1020"/>
        <v>434</v>
      </c>
      <c r="AM327" s="220">
        <f t="shared" si="1021"/>
        <v>173.2</v>
      </c>
      <c r="AN327" s="221">
        <f t="shared" si="1022"/>
        <v>607.20000000000005</v>
      </c>
      <c r="AO327" s="220">
        <f t="shared" si="1023"/>
        <v>0</v>
      </c>
      <c r="AP327" s="220">
        <f t="shared" si="1024"/>
        <v>0</v>
      </c>
      <c r="AQ327" s="220">
        <f t="shared" si="1025"/>
        <v>0</v>
      </c>
      <c r="AR327" s="220">
        <f t="shared" si="1026"/>
        <v>0</v>
      </c>
      <c r="AS327" s="220">
        <f t="shared" si="1027"/>
        <v>0</v>
      </c>
      <c r="AT327" s="216">
        <f t="shared" si="1028"/>
        <v>607.20000000000005</v>
      </c>
      <c r="AU327" s="222">
        <f t="shared" si="919"/>
        <v>282.20000000000005</v>
      </c>
      <c r="AV327" s="220"/>
      <c r="AW327" s="220">
        <f t="shared" si="1006"/>
        <v>282.20000000000005</v>
      </c>
      <c r="AX327" s="216">
        <f t="shared" si="1046"/>
        <v>0</v>
      </c>
      <c r="AY327" s="220">
        <f t="shared" si="1013"/>
        <v>0</v>
      </c>
      <c r="AZ327" s="220">
        <f t="shared" si="1014"/>
        <v>0</v>
      </c>
      <c r="BA327" s="220">
        <f t="shared" si="1015"/>
        <v>0</v>
      </c>
      <c r="BB327" s="220">
        <f t="shared" si="1016"/>
        <v>0</v>
      </c>
      <c r="BC327" s="220">
        <f t="shared" si="1017"/>
        <v>0</v>
      </c>
      <c r="BD327" s="216">
        <f t="shared" si="988"/>
        <v>0</v>
      </c>
      <c r="BE327" s="220">
        <f t="shared" si="1007"/>
        <v>0</v>
      </c>
      <c r="BF327" s="220">
        <f t="shared" si="1008"/>
        <v>0</v>
      </c>
      <c r="BG327" s="220">
        <f t="shared" si="1009"/>
        <v>0</v>
      </c>
      <c r="BH327" s="220">
        <f t="shared" si="1010"/>
        <v>0</v>
      </c>
      <c r="BI327" s="220">
        <f t="shared" si="1011"/>
        <v>0</v>
      </c>
      <c r="BJ327" s="220" t="s">
        <v>3060</v>
      </c>
      <c r="BK327" s="220"/>
      <c r="BL327" s="223">
        <f t="shared" si="1004"/>
        <v>282.20000000000005</v>
      </c>
      <c r="BM327" s="220">
        <v>4.32</v>
      </c>
      <c r="BN327" s="220"/>
      <c r="BO327" s="220">
        <f t="shared" si="1043"/>
        <v>4.32</v>
      </c>
      <c r="BP327" s="220">
        <f>IF(AND(BL327&gt;0,BL327&lt;tiet!$D$1),BL327,IF(BL327&lt;=0,0,IF(BL327&gt;tiet!$C$1,tiet!$C$1)))</f>
        <v>200</v>
      </c>
      <c r="BQ327" s="87">
        <f t="shared" ref="BQ327:BQ368" si="1047">VLOOKUP(P327,ma_dinhmuc_moi,4,0)</f>
        <v>65000</v>
      </c>
      <c r="BR327" s="224">
        <f t="shared" ref="BR327:BR368" si="1048">ROUND(BQ327*BP327,0)</f>
        <v>13000000</v>
      </c>
      <c r="BS327" s="220">
        <f t="shared" si="846"/>
        <v>82.200000000000045</v>
      </c>
      <c r="BT327" s="224">
        <f>VLOOKUP(N327,ma_dinhmuc!$A$1:$J$31,10,0)</f>
        <v>51000</v>
      </c>
      <c r="BU327" s="224">
        <f>ROUND(IF(BS327&gt;0,VLOOKUP(N327,ma_dinhmuc!$A$1:$J$31,10,0)*BS327,0),0)</f>
        <v>4192200</v>
      </c>
      <c r="BV327" s="224">
        <f t="shared" ref="BV327:BV368" si="1049">ROUND(BU327+BR327,0)</f>
        <v>17192200</v>
      </c>
      <c r="BW327" s="224"/>
      <c r="BX327" s="224">
        <v>0</v>
      </c>
      <c r="BY327" s="224"/>
      <c r="BZ327" s="224"/>
      <c r="CA327" s="224"/>
      <c r="CB327" s="224"/>
      <c r="CC327" s="225">
        <f t="shared" si="886"/>
        <v>17192200</v>
      </c>
      <c r="CD327" s="224">
        <f t="shared" si="887"/>
        <v>0</v>
      </c>
      <c r="CE327" s="224"/>
      <c r="CF327" s="226"/>
      <c r="CG327" s="87"/>
      <c r="CH327" s="87">
        <f t="shared" si="979"/>
        <v>4</v>
      </c>
      <c r="CI327" s="227" t="str">
        <f t="shared" si="1000"/>
        <v>Nguyễn Thị Thanh</v>
      </c>
      <c r="CJ327" s="227" t="str">
        <f t="shared" si="1001"/>
        <v>Minh</v>
      </c>
      <c r="CK327" s="87">
        <f t="shared" si="1002"/>
        <v>6</v>
      </c>
      <c r="CL327" s="227" t="str">
        <f t="shared" si="980"/>
        <v>Nguyên lý của CN Mác - Lênin</v>
      </c>
      <c r="CM327" s="87" t="str">
        <f t="shared" si="1012"/>
        <v>CT2</v>
      </c>
      <c r="CN327" s="87">
        <f t="shared" si="1044"/>
        <v>270</v>
      </c>
      <c r="CO327" s="87">
        <f t="shared" si="1044"/>
        <v>80</v>
      </c>
      <c r="CP327" s="229">
        <f t="shared" si="852"/>
        <v>0</v>
      </c>
      <c r="CQ327" s="229">
        <f t="shared" si="853"/>
        <v>65</v>
      </c>
      <c r="CR327" s="229">
        <f t="shared" si="854"/>
        <v>26.2</v>
      </c>
      <c r="CS327" s="229">
        <f t="shared" si="855"/>
        <v>0</v>
      </c>
      <c r="CT327" s="229">
        <f t="shared" si="856"/>
        <v>0</v>
      </c>
      <c r="CU327" s="229">
        <f t="shared" si="857"/>
        <v>342.8</v>
      </c>
      <c r="CV327" s="229">
        <f t="shared" si="858"/>
        <v>0</v>
      </c>
      <c r="CW327" s="229">
        <f t="shared" si="859"/>
        <v>0</v>
      </c>
      <c r="CX327" s="229">
        <f t="shared" si="860"/>
        <v>0</v>
      </c>
      <c r="CY327" s="229">
        <f t="shared" si="861"/>
        <v>0</v>
      </c>
      <c r="CZ327" s="229">
        <f t="shared" si="862"/>
        <v>0</v>
      </c>
      <c r="DA327" s="229">
        <f t="shared" si="863"/>
        <v>0</v>
      </c>
      <c r="DB327" s="228">
        <f t="shared" si="1018"/>
        <v>434</v>
      </c>
      <c r="DC327" s="229"/>
      <c r="DD327" s="229"/>
      <c r="DE327" s="229"/>
      <c r="DF327" s="229"/>
      <c r="DG327" s="229"/>
      <c r="DH327" s="229"/>
      <c r="DI327" s="229"/>
      <c r="DJ327" s="229"/>
      <c r="DK327" s="229"/>
      <c r="DL327" s="229"/>
      <c r="DM327" s="229"/>
      <c r="DN327" s="229"/>
      <c r="DO327" s="228">
        <f t="shared" si="1029"/>
        <v>0</v>
      </c>
      <c r="DP327" s="228">
        <f t="shared" si="1030"/>
        <v>434</v>
      </c>
      <c r="DQ327" s="229">
        <f t="shared" si="864"/>
        <v>162</v>
      </c>
      <c r="DR327" s="229">
        <f t="shared" si="865"/>
        <v>8</v>
      </c>
      <c r="DS327" s="229">
        <f t="shared" si="866"/>
        <v>0</v>
      </c>
      <c r="DT327" s="229">
        <f t="shared" si="867"/>
        <v>3.2</v>
      </c>
      <c r="DU327" s="229">
        <f t="shared" si="868"/>
        <v>0</v>
      </c>
      <c r="DV327" s="229">
        <f t="shared" si="869"/>
        <v>0</v>
      </c>
      <c r="DW327" s="229">
        <f t="shared" si="870"/>
        <v>0</v>
      </c>
      <c r="DX327" s="228">
        <f t="shared" si="1019"/>
        <v>173.2</v>
      </c>
      <c r="DY327" s="229"/>
      <c r="DZ327" s="229"/>
      <c r="EA327" s="229"/>
      <c r="EB327" s="229"/>
      <c r="EC327" s="229"/>
      <c r="ED327" s="229"/>
      <c r="EE327" s="229"/>
      <c r="EF327" s="228">
        <f t="shared" si="847"/>
        <v>0</v>
      </c>
      <c r="EG327" s="228">
        <f t="shared" si="1031"/>
        <v>173.2</v>
      </c>
      <c r="EH327" s="229">
        <f t="shared" si="848"/>
        <v>25</v>
      </c>
      <c r="EI327" s="229">
        <v>0</v>
      </c>
      <c r="EJ327" s="228">
        <f t="shared" si="1039"/>
        <v>25</v>
      </c>
      <c r="EK327" s="229"/>
      <c r="EL327" s="229"/>
      <c r="EM327" s="228">
        <f t="shared" si="1036"/>
        <v>0</v>
      </c>
      <c r="EN327" s="229">
        <f t="shared" si="907"/>
        <v>25</v>
      </c>
      <c r="EO327" s="229">
        <f t="shared" si="926"/>
        <v>0</v>
      </c>
      <c r="EP327" s="228">
        <f t="shared" si="992"/>
        <v>25</v>
      </c>
      <c r="EQ327" s="173">
        <f t="shared" si="849"/>
        <v>0</v>
      </c>
      <c r="ER327" s="189">
        <v>0</v>
      </c>
      <c r="ES327" s="189">
        <v>65</v>
      </c>
      <c r="ET327" s="189">
        <v>26.2</v>
      </c>
      <c r="EU327" s="189">
        <v>0</v>
      </c>
      <c r="EV327" s="189">
        <v>0</v>
      </c>
      <c r="EW327" s="189">
        <v>342.8</v>
      </c>
      <c r="EX327" s="189">
        <v>0</v>
      </c>
      <c r="EY327" s="189">
        <v>0</v>
      </c>
      <c r="EZ327" s="189">
        <v>0</v>
      </c>
      <c r="FA327" s="189">
        <v>0</v>
      </c>
      <c r="FB327" s="189">
        <v>0</v>
      </c>
      <c r="FC327" s="189">
        <v>0</v>
      </c>
      <c r="FD327" s="189">
        <v>162</v>
      </c>
      <c r="FE327" s="189">
        <v>8</v>
      </c>
      <c r="FF327" s="189">
        <v>0</v>
      </c>
      <c r="FG327" s="189">
        <v>3.2</v>
      </c>
      <c r="FH327" s="189">
        <v>0</v>
      </c>
      <c r="FI327" s="189">
        <v>0</v>
      </c>
      <c r="FJ327" s="189">
        <v>0</v>
      </c>
      <c r="FK327" s="189">
        <v>607.20000000000005</v>
      </c>
      <c r="FL327" s="189">
        <v>393</v>
      </c>
      <c r="FN327" s="132">
        <v>25</v>
      </c>
    </row>
    <row r="328" spans="1:170" ht="30">
      <c r="A328" s="88">
        <f>COUNTIF($H$12:H328,H328)</f>
        <v>5</v>
      </c>
      <c r="B328" s="88" t="s">
        <v>1708</v>
      </c>
      <c r="C328" s="88" t="s">
        <v>889</v>
      </c>
      <c r="D328" s="88"/>
      <c r="E328" s="88"/>
      <c r="F328" s="301" t="s">
        <v>1788</v>
      </c>
      <c r="G328" s="89" t="s">
        <v>1876</v>
      </c>
      <c r="H328" s="88">
        <v>6</v>
      </c>
      <c r="I328" s="88">
        <v>6</v>
      </c>
      <c r="J328" s="88">
        <v>6</v>
      </c>
      <c r="K328" s="90" t="s">
        <v>1090</v>
      </c>
      <c r="L328" s="90" t="s">
        <v>1090</v>
      </c>
      <c r="M328" s="214"/>
      <c r="N328" s="88" t="s">
        <v>37</v>
      </c>
      <c r="O328" s="216">
        <f t="shared" si="1040"/>
        <v>3.66</v>
      </c>
      <c r="P328" s="88" t="str">
        <f t="shared" si="1045"/>
        <v>B11_4</v>
      </c>
      <c r="Q328" s="88">
        <f t="shared" si="951"/>
        <v>270</v>
      </c>
      <c r="R328" s="88">
        <f t="shared" si="952"/>
        <v>80</v>
      </c>
      <c r="S328" s="231" t="s">
        <v>3183</v>
      </c>
      <c r="T328" s="88" t="s">
        <v>3092</v>
      </c>
      <c r="U328" s="88">
        <f>IF(RIGHT(T328,1)="K",(VLOOKUP(T328,ma_miengiam!$A$3:$B$80,2,0)*100)/2,VLOOKUP(T328,ma_miengiam!$A$3:$B$80,2,0)*100)</f>
        <v>25</v>
      </c>
      <c r="V328" s="88"/>
      <c r="W328" s="220">
        <f>IF(AND(T328="NTS",V328&gt;0),(Q328-(Q328*V328)/12)*VLOOKUP(T328,ma_miengiam!$A$3:$B$80,2,0)+(Q328-(Q328*(12-V328))/12),IF(AND(RIGHT(T328,1)="K",V328&gt;0),(VLOOKUP(T328,ma_miengiam!$A$3:$B$80,2,0)/2)*(Q328*V328)/12,IF(RIGHT(T328,1)="K",(VLOOKUP(T328,ma_miengiam!$A$3:$B$80,2,0)*Q328)/2,IF(V328&gt;0,VLOOKUP(T328,ma_miengiam!$A$3:$B$80,2,0)*Q328*V328/12,VLOOKUP(T328,ma_miengiam!$A$3:$B$80,2,0)*Q328))))</f>
        <v>67.5</v>
      </c>
      <c r="X328" s="220">
        <f>IF(T328="NTS",VLOOKUP(T328,ma_miengiam!$A$3:$B$80,2,0)*R328*V328,IF(AND(T328="NTS",V328=0),0,IF(AND(LEFT(T328,1)="K",V328=0),VLOOKUP(T328,ma_miengiam!$A$3:$B$80,2,0)*R328,IF(LEFT(T328,1)="K",(VLOOKUP(T328,ma_miengiam!$A$3:$B$80,2,0)*R328/12)*V328,IF(AND(LEFT(T328,1)="S",V328&gt;0),(R328/12)*V328,IF(AND(LEFT(T328,1)="S",V328=0),R328,IF(T328="DH",VLOOKUP(T328,ma_miengiam!$A$3:$B$80,2,0)*R328,0)))))))</f>
        <v>0</v>
      </c>
      <c r="Y328" s="220">
        <f t="shared" si="1037"/>
        <v>202.5</v>
      </c>
      <c r="Z328" s="220">
        <f t="shared" ref="Z328:Z333" si="1050">IF(AND(T328="SĐH",V328&gt;0),(R328/12)*V328-X328,IF(AND(T328="DH",V328&gt;0),(R328*V328/12),IF(AND(T328&lt;&gt;"NTS",V328&gt;0),(R328*V328/12)-X328,IF(AND(T328="NTS",V328&gt;0),R328-X328,R328-X328))))</f>
        <v>80</v>
      </c>
      <c r="AA328" s="220">
        <f t="shared" ref="AA328:AA335" si="1051">Q328</f>
        <v>270</v>
      </c>
      <c r="AB328" s="220">
        <f t="shared" ref="AB328:AB335" si="1052">R328</f>
        <v>80</v>
      </c>
      <c r="AC328" s="220">
        <f t="shared" ref="AC328:AC335" si="1053">W328</f>
        <v>67.5</v>
      </c>
      <c r="AD328" s="220">
        <f t="shared" ref="AD328:AD335" si="1054">X328</f>
        <v>0</v>
      </c>
      <c r="AE328" s="220">
        <f t="shared" ref="AE328:AE335" si="1055">Y328</f>
        <v>202.5</v>
      </c>
      <c r="AF328" s="220">
        <f t="shared" ref="AF328:AF335" si="1056">Z328</f>
        <v>80</v>
      </c>
      <c r="AG328" s="220">
        <f t="shared" ref="AG328:AG335" si="1057">AH328+AI328</f>
        <v>228.35</v>
      </c>
      <c r="AH328" s="220">
        <f t="shared" ref="AH328:AH335" si="1058">EO328</f>
        <v>115.02</v>
      </c>
      <c r="AI328" s="220">
        <f t="shared" ref="AI328:AI335" si="1059">EN328</f>
        <v>113.33</v>
      </c>
      <c r="AJ328" s="220">
        <f t="shared" ref="AJ328:AJ368" si="1060">IF(AG328-Z328&gt;0,0,AG328-Z328)</f>
        <v>0</v>
      </c>
      <c r="AK328" s="216">
        <f t="shared" si="1038"/>
        <v>202.5</v>
      </c>
      <c r="AL328" s="220">
        <f t="shared" si="1020"/>
        <v>160.6</v>
      </c>
      <c r="AM328" s="220">
        <f t="shared" si="1021"/>
        <v>0</v>
      </c>
      <c r="AN328" s="221">
        <f t="shared" si="1022"/>
        <v>160.6</v>
      </c>
      <c r="AO328" s="220">
        <f t="shared" si="1023"/>
        <v>0</v>
      </c>
      <c r="AP328" s="220">
        <f t="shared" si="1024"/>
        <v>0</v>
      </c>
      <c r="AQ328" s="220">
        <f t="shared" si="1025"/>
        <v>0</v>
      </c>
      <c r="AR328" s="220">
        <f t="shared" si="1026"/>
        <v>0</v>
      </c>
      <c r="AS328" s="220">
        <f t="shared" si="1027"/>
        <v>0</v>
      </c>
      <c r="AT328" s="216">
        <f t="shared" si="1028"/>
        <v>160.6</v>
      </c>
      <c r="AU328" s="222">
        <f t="shared" si="919"/>
        <v>-41.900000000000006</v>
      </c>
      <c r="AV328" s="220"/>
      <c r="AW328" s="220">
        <f t="shared" si="1006"/>
        <v>-41.900000000000006</v>
      </c>
      <c r="AX328" s="216">
        <f t="shared" si="1046"/>
        <v>-41.900000000000006</v>
      </c>
      <c r="AY328" s="220">
        <f t="shared" si="1013"/>
        <v>0</v>
      </c>
      <c r="AZ328" s="220">
        <f t="shared" si="1014"/>
        <v>0</v>
      </c>
      <c r="BA328" s="220">
        <f t="shared" si="1015"/>
        <v>0</v>
      </c>
      <c r="BB328" s="220">
        <f t="shared" si="1016"/>
        <v>0</v>
      </c>
      <c r="BC328" s="220">
        <f t="shared" si="1017"/>
        <v>0</v>
      </c>
      <c r="BD328" s="216">
        <f t="shared" si="988"/>
        <v>0</v>
      </c>
      <c r="BE328" s="220">
        <f t="shared" si="1007"/>
        <v>0</v>
      </c>
      <c r="BF328" s="220">
        <f t="shared" si="1008"/>
        <v>0</v>
      </c>
      <c r="BG328" s="220">
        <f t="shared" si="1009"/>
        <v>0</v>
      </c>
      <c r="BH328" s="220">
        <f t="shared" si="1010"/>
        <v>0</v>
      </c>
      <c r="BI328" s="220">
        <f t="shared" si="1011"/>
        <v>0</v>
      </c>
      <c r="BJ328" s="220" t="s">
        <v>3061</v>
      </c>
      <c r="BK328" s="220"/>
      <c r="BL328" s="223">
        <f t="shared" si="1004"/>
        <v>0</v>
      </c>
      <c r="BM328" s="220">
        <v>3.66</v>
      </c>
      <c r="BN328" s="220"/>
      <c r="BO328" s="220">
        <f t="shared" si="1043"/>
        <v>3.66</v>
      </c>
      <c r="BP328" s="220">
        <f>IF(AND(BL328&gt;0,BL328&lt;tiet!$D$1),BL328,IF(BL328&lt;=0,0,IF(BL328&gt;tiet!$C$1,tiet!$C$1)))</f>
        <v>0</v>
      </c>
      <c r="BQ328" s="87">
        <f t="shared" si="1047"/>
        <v>65000</v>
      </c>
      <c r="BR328" s="224">
        <f t="shared" si="1048"/>
        <v>0</v>
      </c>
      <c r="BS328" s="220">
        <f t="shared" si="846"/>
        <v>0</v>
      </c>
      <c r="BT328" s="224">
        <f>VLOOKUP(N328,ma_dinhmuc!$A$1:$J$31,10,0)</f>
        <v>51000</v>
      </c>
      <c r="BU328" s="224">
        <f>ROUND(IF(BS328&gt;0,VLOOKUP(N328,ma_dinhmuc!$A$1:$J$31,10,0)*BS328,0),0)</f>
        <v>0</v>
      </c>
      <c r="BV328" s="224">
        <f t="shared" si="1049"/>
        <v>0</v>
      </c>
      <c r="BW328" s="224"/>
      <c r="BX328" s="224">
        <v>0</v>
      </c>
      <c r="BY328" s="224"/>
      <c r="BZ328" s="224"/>
      <c r="CA328" s="224"/>
      <c r="CB328" s="224"/>
      <c r="CC328" s="225">
        <f t="shared" si="886"/>
        <v>0</v>
      </c>
      <c r="CD328" s="224">
        <f t="shared" si="887"/>
        <v>0</v>
      </c>
      <c r="CE328" s="224"/>
      <c r="CF328" s="226"/>
      <c r="CG328" s="87"/>
      <c r="CH328" s="87">
        <f>A328</f>
        <v>5</v>
      </c>
      <c r="CI328" s="227" t="str">
        <f t="shared" ref="CI328:CI340" si="1061">F328</f>
        <v>Lê Thị</v>
      </c>
      <c r="CJ328" s="227" t="str">
        <f t="shared" ref="CJ328:CJ340" si="1062">G328</f>
        <v>Xuân</v>
      </c>
      <c r="CK328" s="87">
        <f t="shared" ref="CK328:CK335" si="1063">H328</f>
        <v>6</v>
      </c>
      <c r="CL328" s="227" t="str">
        <f t="shared" ref="CL328:CL340" si="1064">L328</f>
        <v>Nguyên lý của CN Mác - Lênin</v>
      </c>
      <c r="CM328" s="87" t="str">
        <f t="shared" si="1012"/>
        <v>CT2</v>
      </c>
      <c r="CN328" s="87">
        <f>Q328</f>
        <v>270</v>
      </c>
      <c r="CO328" s="87">
        <f>R328</f>
        <v>80</v>
      </c>
      <c r="CP328" s="229">
        <f t="shared" si="852"/>
        <v>0</v>
      </c>
      <c r="CQ328" s="229">
        <f t="shared" si="853"/>
        <v>19.3</v>
      </c>
      <c r="CR328" s="229">
        <f t="shared" si="854"/>
        <v>7.8</v>
      </c>
      <c r="CS328" s="229">
        <f t="shared" si="855"/>
        <v>0</v>
      </c>
      <c r="CT328" s="229">
        <f t="shared" si="856"/>
        <v>0</v>
      </c>
      <c r="CU328" s="229">
        <f t="shared" si="857"/>
        <v>133.5</v>
      </c>
      <c r="CV328" s="229">
        <f t="shared" si="858"/>
        <v>0</v>
      </c>
      <c r="CW328" s="229">
        <f t="shared" si="859"/>
        <v>0</v>
      </c>
      <c r="CX328" s="229">
        <f t="shared" si="860"/>
        <v>0</v>
      </c>
      <c r="CY328" s="229">
        <f t="shared" si="861"/>
        <v>0</v>
      </c>
      <c r="CZ328" s="229">
        <f t="shared" si="862"/>
        <v>0</v>
      </c>
      <c r="DA328" s="229">
        <f t="shared" si="863"/>
        <v>0</v>
      </c>
      <c r="DB328" s="228">
        <f t="shared" si="1018"/>
        <v>160.6</v>
      </c>
      <c r="DC328" s="229"/>
      <c r="DD328" s="229"/>
      <c r="DE328" s="229"/>
      <c r="DF328" s="229"/>
      <c r="DG328" s="229"/>
      <c r="DH328" s="229"/>
      <c r="DI328" s="229"/>
      <c r="DJ328" s="229"/>
      <c r="DK328" s="229"/>
      <c r="DL328" s="229"/>
      <c r="DM328" s="229"/>
      <c r="DN328" s="229"/>
      <c r="DO328" s="228">
        <f t="shared" si="1029"/>
        <v>0</v>
      </c>
      <c r="DP328" s="228">
        <f t="shared" si="1030"/>
        <v>160.6</v>
      </c>
      <c r="DQ328" s="229">
        <f t="shared" si="864"/>
        <v>0</v>
      </c>
      <c r="DR328" s="229">
        <f t="shared" si="865"/>
        <v>0</v>
      </c>
      <c r="DS328" s="229">
        <f t="shared" si="866"/>
        <v>0</v>
      </c>
      <c r="DT328" s="229">
        <f t="shared" si="867"/>
        <v>0</v>
      </c>
      <c r="DU328" s="229">
        <f t="shared" si="868"/>
        <v>0</v>
      </c>
      <c r="DV328" s="229">
        <f t="shared" si="869"/>
        <v>0</v>
      </c>
      <c r="DW328" s="229">
        <f t="shared" si="870"/>
        <v>0</v>
      </c>
      <c r="DX328" s="228">
        <f t="shared" si="1019"/>
        <v>0</v>
      </c>
      <c r="DY328" s="229"/>
      <c r="DZ328" s="229"/>
      <c r="EA328" s="229"/>
      <c r="EB328" s="229"/>
      <c r="EC328" s="229"/>
      <c r="ED328" s="229"/>
      <c r="EE328" s="229"/>
      <c r="EF328" s="228">
        <f t="shared" si="847"/>
        <v>0</v>
      </c>
      <c r="EG328" s="228">
        <f t="shared" si="1031"/>
        <v>0</v>
      </c>
      <c r="EH328" s="229">
        <f t="shared" si="848"/>
        <v>113.33</v>
      </c>
      <c r="EI328" s="229">
        <v>115.02</v>
      </c>
      <c r="EJ328" s="228">
        <f t="shared" si="1039"/>
        <v>228.35</v>
      </c>
      <c r="EK328" s="229"/>
      <c r="EL328" s="229"/>
      <c r="EM328" s="228">
        <f t="shared" ref="EM328:EM358" si="1065">SUM(EK328:EL328)</f>
        <v>0</v>
      </c>
      <c r="EN328" s="229">
        <f t="shared" si="907"/>
        <v>113.33</v>
      </c>
      <c r="EO328" s="229">
        <f t="shared" si="926"/>
        <v>115.02</v>
      </c>
      <c r="EP328" s="228">
        <f>EM328+EJ328</f>
        <v>228.35</v>
      </c>
      <c r="EQ328" s="173">
        <f t="shared" si="849"/>
        <v>33.33</v>
      </c>
      <c r="ER328" s="189">
        <v>0</v>
      </c>
      <c r="ES328" s="189">
        <v>19.3</v>
      </c>
      <c r="ET328" s="189">
        <v>7.8</v>
      </c>
      <c r="EU328" s="189">
        <v>0</v>
      </c>
      <c r="EV328" s="189">
        <v>0</v>
      </c>
      <c r="EW328" s="189">
        <v>133.5</v>
      </c>
      <c r="EX328" s="189">
        <v>0</v>
      </c>
      <c r="EY328" s="189">
        <v>0</v>
      </c>
      <c r="EZ328" s="189">
        <v>0</v>
      </c>
      <c r="FA328" s="189">
        <v>0</v>
      </c>
      <c r="FB328" s="189">
        <v>0</v>
      </c>
      <c r="FC328" s="189">
        <v>0</v>
      </c>
      <c r="FD328" s="189">
        <v>0</v>
      </c>
      <c r="FE328" s="189">
        <v>0</v>
      </c>
      <c r="FF328" s="189">
        <v>0</v>
      </c>
      <c r="FG328" s="189">
        <v>0</v>
      </c>
      <c r="FH328" s="189">
        <v>0</v>
      </c>
      <c r="FI328" s="189">
        <v>0</v>
      </c>
      <c r="FJ328" s="189">
        <v>0</v>
      </c>
      <c r="FK328" s="189">
        <v>160.6</v>
      </c>
      <c r="FL328" s="189">
        <v>126</v>
      </c>
      <c r="FN328" s="132">
        <v>113.33</v>
      </c>
    </row>
    <row r="329" spans="1:170" ht="30" customHeight="1">
      <c r="A329" s="88">
        <f>COUNTIF($H$12:H329,H329)</f>
        <v>6</v>
      </c>
      <c r="B329" s="88" t="s">
        <v>1709</v>
      </c>
      <c r="C329" s="88" t="s">
        <v>890</v>
      </c>
      <c r="D329" s="88"/>
      <c r="E329" s="88"/>
      <c r="F329" s="301" t="s">
        <v>914</v>
      </c>
      <c r="G329" s="89" t="s">
        <v>2328</v>
      </c>
      <c r="H329" s="88">
        <v>6</v>
      </c>
      <c r="I329" s="88">
        <v>6</v>
      </c>
      <c r="J329" s="88">
        <v>6</v>
      </c>
      <c r="K329" s="90" t="s">
        <v>1090</v>
      </c>
      <c r="L329" s="90" t="s">
        <v>1090</v>
      </c>
      <c r="M329" s="214"/>
      <c r="N329" s="88" t="s">
        <v>37</v>
      </c>
      <c r="O329" s="216">
        <f t="shared" si="1040"/>
        <v>3.33</v>
      </c>
      <c r="P329" s="88" t="str">
        <f t="shared" si="1045"/>
        <v>B11_4</v>
      </c>
      <c r="Q329" s="88">
        <f t="shared" si="951"/>
        <v>270</v>
      </c>
      <c r="R329" s="88">
        <f t="shared" si="952"/>
        <v>80</v>
      </c>
      <c r="S329" s="231" t="s">
        <v>1563</v>
      </c>
      <c r="T329" s="88" t="s">
        <v>2961</v>
      </c>
      <c r="U329" s="88">
        <f>IF(RIGHT(T329,1)="K",(VLOOKUP(T329,ma_miengiam!$A$3:$B$80,2,0)*100)/2,VLOOKUP(T329,ma_miengiam!$A$3:$B$80,2,0)*100)</f>
        <v>100</v>
      </c>
      <c r="V329" s="88"/>
      <c r="W329" s="220">
        <f>IF(AND(T329="NTS",V329&gt;0),(Q329-(Q329*V329)/12)*VLOOKUP(T329,ma_miengiam!$A$3:$B$80,2,0)+(Q329-(Q329*(12-V329))/12),IF(AND(RIGHT(T329,1)="K",V329&gt;0),(VLOOKUP(T329,ma_miengiam!$A$3:$B$80,2,0)/2)*(Q329*V329)/12,IF(RIGHT(T329,1)="K",(VLOOKUP(T329,ma_miengiam!$A$3:$B$80,2,0)*Q329)/2,IF(V329&gt;0,VLOOKUP(T329,ma_miengiam!$A$3:$B$80,2,0)*Q329*V329/12,VLOOKUP(T329,ma_miengiam!$A$3:$B$80,2,0)*Q329))))</f>
        <v>270</v>
      </c>
      <c r="X329" s="220">
        <f>IF(T329="NTS",VLOOKUP(T329,ma_miengiam!$A$3:$B$80,2,0)*R329*V329,IF(AND(T329="NTS",V329=0),0,IF(AND(LEFT(T329,1)="K",V329=0),VLOOKUP(T329,ma_miengiam!$A$3:$B$80,2,0)*R329,IF(LEFT(T329,1)="K",(VLOOKUP(T329,ma_miengiam!$A$3:$B$80,2,0)*R329/12)*V329,IF(AND(LEFT(T329,1)="S",V329&gt;0),(R329/12)*V329,IF(AND(LEFT(T329,1)="S",V329=0),R329,IF(T329="DH",VLOOKUP(T329,ma_miengiam!$A$3:$B$80,2,0)*R329,0)))))))</f>
        <v>80</v>
      </c>
      <c r="Y329" s="220">
        <f t="shared" si="1037"/>
        <v>0</v>
      </c>
      <c r="Z329" s="220">
        <f t="shared" si="1050"/>
        <v>0</v>
      </c>
      <c r="AA329" s="220">
        <f t="shared" si="1051"/>
        <v>270</v>
      </c>
      <c r="AB329" s="220">
        <f t="shared" si="1052"/>
        <v>80</v>
      </c>
      <c r="AC329" s="220">
        <f t="shared" si="1053"/>
        <v>270</v>
      </c>
      <c r="AD329" s="220">
        <f t="shared" si="1054"/>
        <v>80</v>
      </c>
      <c r="AE329" s="220">
        <f t="shared" si="1055"/>
        <v>0</v>
      </c>
      <c r="AF329" s="220">
        <f t="shared" si="1056"/>
        <v>0</v>
      </c>
      <c r="AG329" s="220">
        <f t="shared" si="1057"/>
        <v>0</v>
      </c>
      <c r="AH329" s="220">
        <f t="shared" si="1058"/>
        <v>0</v>
      </c>
      <c r="AI329" s="220">
        <f t="shared" si="1059"/>
        <v>0</v>
      </c>
      <c r="AJ329" s="220">
        <f t="shared" si="1060"/>
        <v>0</v>
      </c>
      <c r="AK329" s="216">
        <f t="shared" si="1038"/>
        <v>0</v>
      </c>
      <c r="AL329" s="220">
        <f t="shared" si="1020"/>
        <v>0</v>
      </c>
      <c r="AM329" s="220">
        <f t="shared" si="1021"/>
        <v>0</v>
      </c>
      <c r="AN329" s="221">
        <f t="shared" si="1022"/>
        <v>0</v>
      </c>
      <c r="AO329" s="220">
        <f t="shared" si="1023"/>
        <v>0</v>
      </c>
      <c r="AP329" s="220">
        <f t="shared" si="1024"/>
        <v>0</v>
      </c>
      <c r="AQ329" s="220">
        <f t="shared" si="1025"/>
        <v>0</v>
      </c>
      <c r="AR329" s="220">
        <f t="shared" si="1026"/>
        <v>0</v>
      </c>
      <c r="AS329" s="220">
        <f t="shared" si="1027"/>
        <v>0</v>
      </c>
      <c r="AT329" s="216">
        <f t="shared" si="1028"/>
        <v>0</v>
      </c>
      <c r="AU329" s="222">
        <f t="shared" si="919"/>
        <v>0</v>
      </c>
      <c r="AV329" s="220"/>
      <c r="AW329" s="220">
        <f t="shared" si="1006"/>
        <v>0</v>
      </c>
      <c r="AX329" s="216">
        <f t="shared" si="1046"/>
        <v>0</v>
      </c>
      <c r="AY329" s="220">
        <f t="shared" si="1013"/>
        <v>0</v>
      </c>
      <c r="AZ329" s="220">
        <f t="shared" si="1014"/>
        <v>0</v>
      </c>
      <c r="BA329" s="220">
        <f t="shared" si="1015"/>
        <v>0</v>
      </c>
      <c r="BB329" s="220">
        <f t="shared" si="1016"/>
        <v>0</v>
      </c>
      <c r="BC329" s="220">
        <f t="shared" si="1017"/>
        <v>0</v>
      </c>
      <c r="BD329" s="216">
        <f t="shared" si="988"/>
        <v>0</v>
      </c>
      <c r="BE329" s="220">
        <f t="shared" si="1007"/>
        <v>0</v>
      </c>
      <c r="BF329" s="220">
        <f t="shared" si="1008"/>
        <v>0</v>
      </c>
      <c r="BG329" s="220">
        <f t="shared" si="1009"/>
        <v>0</v>
      </c>
      <c r="BH329" s="220">
        <f t="shared" si="1010"/>
        <v>0</v>
      </c>
      <c r="BI329" s="220">
        <f t="shared" si="1011"/>
        <v>0</v>
      </c>
      <c r="BJ329" s="220" t="s">
        <v>3061</v>
      </c>
      <c r="BK329" s="220"/>
      <c r="BL329" s="223">
        <f t="shared" si="1004"/>
        <v>0</v>
      </c>
      <c r="BM329" s="220">
        <v>3.33</v>
      </c>
      <c r="BN329" s="220"/>
      <c r="BO329" s="220">
        <f t="shared" si="1043"/>
        <v>3.33</v>
      </c>
      <c r="BP329" s="220">
        <f>IF(AND(BL329&gt;0,BL329&lt;tiet!$D$1),BL329,IF(BL329&lt;=0,0,IF(BL329&gt;tiet!$C$1,tiet!$C$1)))</f>
        <v>0</v>
      </c>
      <c r="BQ329" s="87">
        <f t="shared" si="1047"/>
        <v>65000</v>
      </c>
      <c r="BR329" s="224">
        <f t="shared" si="1048"/>
        <v>0</v>
      </c>
      <c r="BS329" s="220">
        <f t="shared" si="846"/>
        <v>0</v>
      </c>
      <c r="BT329" s="224">
        <f>VLOOKUP(N329,ma_dinhmuc!$A$1:$J$31,10,0)</f>
        <v>51000</v>
      </c>
      <c r="BU329" s="224">
        <f>ROUND(IF(BS329&gt;0,VLOOKUP(N329,ma_dinhmuc!$A$1:$J$31,10,0)*BS329,0),0)</f>
        <v>0</v>
      </c>
      <c r="BV329" s="224">
        <f t="shared" si="1049"/>
        <v>0</v>
      </c>
      <c r="BW329" s="224"/>
      <c r="BX329" s="224">
        <v>0</v>
      </c>
      <c r="BY329" s="224"/>
      <c r="BZ329" s="224"/>
      <c r="CA329" s="224"/>
      <c r="CB329" s="224"/>
      <c r="CC329" s="225">
        <f t="shared" si="886"/>
        <v>0</v>
      </c>
      <c r="CD329" s="224">
        <f t="shared" si="887"/>
        <v>0</v>
      </c>
      <c r="CE329" s="224"/>
      <c r="CF329" s="226"/>
      <c r="CG329" s="87"/>
      <c r="CH329" s="87">
        <f>A329</f>
        <v>6</v>
      </c>
      <c r="CI329" s="227" t="str">
        <f t="shared" si="1061"/>
        <v>Dương Đức</v>
      </c>
      <c r="CJ329" s="227" t="str">
        <f t="shared" si="1062"/>
        <v>Đại</v>
      </c>
      <c r="CK329" s="87">
        <f t="shared" si="1063"/>
        <v>6</v>
      </c>
      <c r="CL329" s="227" t="str">
        <f t="shared" si="1064"/>
        <v>Nguyên lý của CN Mác - Lênin</v>
      </c>
      <c r="CM329" s="87" t="str">
        <f t="shared" si="1012"/>
        <v>CT2</v>
      </c>
      <c r="CN329" s="87">
        <f>Q329</f>
        <v>270</v>
      </c>
      <c r="CO329" s="87">
        <f>R329</f>
        <v>80</v>
      </c>
      <c r="CP329" s="229">
        <f t="shared" si="852"/>
        <v>0</v>
      </c>
      <c r="CQ329" s="229">
        <f t="shared" si="853"/>
        <v>0</v>
      </c>
      <c r="CR329" s="229">
        <f t="shared" si="854"/>
        <v>0</v>
      </c>
      <c r="CS329" s="229">
        <f t="shared" si="855"/>
        <v>0</v>
      </c>
      <c r="CT329" s="229">
        <f t="shared" si="856"/>
        <v>0</v>
      </c>
      <c r="CU329" s="229">
        <f t="shared" si="857"/>
        <v>0</v>
      </c>
      <c r="CV329" s="229">
        <f t="shared" si="858"/>
        <v>0</v>
      </c>
      <c r="CW329" s="229">
        <f t="shared" si="859"/>
        <v>0</v>
      </c>
      <c r="CX329" s="229">
        <f t="shared" si="860"/>
        <v>0</v>
      </c>
      <c r="CY329" s="229">
        <f t="shared" si="861"/>
        <v>0</v>
      </c>
      <c r="CZ329" s="229">
        <f t="shared" si="862"/>
        <v>0</v>
      </c>
      <c r="DA329" s="229">
        <f t="shared" si="863"/>
        <v>0</v>
      </c>
      <c r="DB329" s="228">
        <f t="shared" si="1018"/>
        <v>0</v>
      </c>
      <c r="DC329" s="229"/>
      <c r="DD329" s="229"/>
      <c r="DE329" s="229"/>
      <c r="DF329" s="229"/>
      <c r="DG329" s="229"/>
      <c r="DH329" s="229"/>
      <c r="DI329" s="229"/>
      <c r="DJ329" s="229"/>
      <c r="DK329" s="229"/>
      <c r="DL329" s="229"/>
      <c r="DM329" s="229"/>
      <c r="DN329" s="229"/>
      <c r="DO329" s="228">
        <f t="shared" si="1029"/>
        <v>0</v>
      </c>
      <c r="DP329" s="228">
        <f t="shared" si="1030"/>
        <v>0</v>
      </c>
      <c r="DQ329" s="229">
        <f t="shared" si="864"/>
        <v>0</v>
      </c>
      <c r="DR329" s="229">
        <f t="shared" si="865"/>
        <v>0</v>
      </c>
      <c r="DS329" s="229">
        <f t="shared" si="866"/>
        <v>0</v>
      </c>
      <c r="DT329" s="229">
        <f t="shared" si="867"/>
        <v>0</v>
      </c>
      <c r="DU329" s="229">
        <f t="shared" si="868"/>
        <v>0</v>
      </c>
      <c r="DV329" s="229">
        <f t="shared" si="869"/>
        <v>0</v>
      </c>
      <c r="DW329" s="229">
        <f t="shared" si="870"/>
        <v>0</v>
      </c>
      <c r="DX329" s="228">
        <f t="shared" si="1019"/>
        <v>0</v>
      </c>
      <c r="DY329" s="229"/>
      <c r="DZ329" s="229"/>
      <c r="EA329" s="229"/>
      <c r="EB329" s="229"/>
      <c r="EC329" s="229"/>
      <c r="ED329" s="229"/>
      <c r="EE329" s="229"/>
      <c r="EF329" s="228">
        <f t="shared" si="847"/>
        <v>0</v>
      </c>
      <c r="EG329" s="228">
        <f t="shared" si="1031"/>
        <v>0</v>
      </c>
      <c r="EH329" s="229">
        <f t="shared" si="848"/>
        <v>0</v>
      </c>
      <c r="EI329" s="229">
        <v>0</v>
      </c>
      <c r="EJ329" s="228">
        <f t="shared" si="1039"/>
        <v>0</v>
      </c>
      <c r="EK329" s="229"/>
      <c r="EL329" s="229"/>
      <c r="EM329" s="228">
        <f t="shared" si="1065"/>
        <v>0</v>
      </c>
      <c r="EN329" s="229">
        <f t="shared" si="907"/>
        <v>0</v>
      </c>
      <c r="EO329" s="229">
        <f t="shared" si="926"/>
        <v>0</v>
      </c>
      <c r="EP329" s="228">
        <f>EM329+EJ329</f>
        <v>0</v>
      </c>
      <c r="EQ329" s="173">
        <f t="shared" si="849"/>
        <v>0</v>
      </c>
      <c r="ER329" s="189">
        <v>0</v>
      </c>
      <c r="ES329" s="189">
        <v>0</v>
      </c>
      <c r="ET329" s="189">
        <v>0</v>
      </c>
      <c r="EU329" s="189">
        <v>0</v>
      </c>
      <c r="EV329" s="189">
        <v>0</v>
      </c>
      <c r="EW329" s="189">
        <v>0</v>
      </c>
      <c r="EX329" s="189">
        <v>0</v>
      </c>
      <c r="EY329" s="189">
        <v>0</v>
      </c>
      <c r="EZ329" s="189">
        <v>0</v>
      </c>
      <c r="FA329" s="189">
        <v>0</v>
      </c>
      <c r="FB329" s="189">
        <v>0</v>
      </c>
      <c r="FC329" s="189">
        <v>0</v>
      </c>
      <c r="FD329" s="189">
        <v>0</v>
      </c>
      <c r="FE329" s="189">
        <v>0</v>
      </c>
      <c r="FF329" s="189">
        <v>0</v>
      </c>
      <c r="FG329" s="189">
        <v>0</v>
      </c>
      <c r="FH329" s="189">
        <v>0</v>
      </c>
      <c r="FI329" s="189">
        <v>0</v>
      </c>
      <c r="FJ329" s="189">
        <v>0</v>
      </c>
      <c r="FK329" s="189">
        <v>0</v>
      </c>
      <c r="FL329" s="189">
        <v>0</v>
      </c>
      <c r="FN329" s="132">
        <v>0</v>
      </c>
    </row>
    <row r="330" spans="1:170" ht="30" customHeight="1">
      <c r="A330" s="88">
        <f>COUNTIF($H$12:H330,H330)</f>
        <v>7</v>
      </c>
      <c r="B330" s="88" t="s">
        <v>1710</v>
      </c>
      <c r="C330" s="88" t="s">
        <v>891</v>
      </c>
      <c r="D330" s="88"/>
      <c r="E330" s="88"/>
      <c r="F330" s="301" t="s">
        <v>1139</v>
      </c>
      <c r="G330" s="89" t="s">
        <v>14</v>
      </c>
      <c r="H330" s="88">
        <v>6</v>
      </c>
      <c r="I330" s="88">
        <v>6</v>
      </c>
      <c r="J330" s="88">
        <v>6</v>
      </c>
      <c r="K330" s="90" t="s">
        <v>1090</v>
      </c>
      <c r="L330" s="90" t="s">
        <v>1090</v>
      </c>
      <c r="M330" s="214"/>
      <c r="N330" s="88" t="s">
        <v>37</v>
      </c>
      <c r="O330" s="216">
        <f t="shared" si="1040"/>
        <v>3.33</v>
      </c>
      <c r="P330" s="88" t="str">
        <f t="shared" si="1045"/>
        <v>B11_4</v>
      </c>
      <c r="Q330" s="88">
        <f t="shared" si="951"/>
        <v>270</v>
      </c>
      <c r="R330" s="88">
        <f t="shared" si="952"/>
        <v>80</v>
      </c>
      <c r="S330" s="231"/>
      <c r="T330" s="88" t="s">
        <v>3088</v>
      </c>
      <c r="U330" s="88">
        <f>IF(RIGHT(T330,1)="K",(VLOOKUP(T330,ma_miengiam!$A$3:$B$80,2,0)*100)/2,VLOOKUP(T330,ma_miengiam!$A$3:$B$80,2,0)*100)</f>
        <v>0</v>
      </c>
      <c r="V330" s="88"/>
      <c r="W330" s="220">
        <f>IF(AND(T330="NTS",V330&gt;0),(Q330-(Q330*V330)/12)*VLOOKUP(T330,ma_miengiam!$A$3:$B$80,2,0)+(Q330-(Q330*(12-V330))/12),IF(AND(RIGHT(T330,1)="K",V330&gt;0),(VLOOKUP(T330,ma_miengiam!$A$3:$B$80,2,0)/2)*(Q330*V330)/12,IF(RIGHT(T330,1)="K",(VLOOKUP(T330,ma_miengiam!$A$3:$B$80,2,0)*Q330)/2,IF(V330&gt;0,VLOOKUP(T330,ma_miengiam!$A$3:$B$80,2,0)*Q330*V330/12,VLOOKUP(T330,ma_miengiam!$A$3:$B$80,2,0)*Q330))))</f>
        <v>0</v>
      </c>
      <c r="X330" s="220">
        <f>IF(T330="NTS",VLOOKUP(T330,ma_miengiam!$A$3:$B$80,2,0)*R330*V330,IF(AND(T330="NTS",V330=0),0,IF(AND(LEFT(T330,1)="K",V330=0),VLOOKUP(T330,ma_miengiam!$A$3:$B$80,2,0)*R330,IF(LEFT(T330,1)="K",(VLOOKUP(T330,ma_miengiam!$A$3:$B$80,2,0)*R330/12)*V330,IF(AND(LEFT(T330,1)="S",V330&gt;0),(R330/12)*V330,IF(AND(LEFT(T330,1)="S",V330=0),R330,IF(T330="DH",VLOOKUP(T330,ma_miengiam!$A$3:$B$80,2,0)*R330,0)))))))</f>
        <v>0</v>
      </c>
      <c r="Y330" s="220">
        <f t="shared" si="1037"/>
        <v>270</v>
      </c>
      <c r="Z330" s="220">
        <f t="shared" si="1050"/>
        <v>80</v>
      </c>
      <c r="AA330" s="220">
        <f t="shared" si="1051"/>
        <v>270</v>
      </c>
      <c r="AB330" s="220">
        <f t="shared" si="1052"/>
        <v>80</v>
      </c>
      <c r="AC330" s="220">
        <f t="shared" si="1053"/>
        <v>0</v>
      </c>
      <c r="AD330" s="220">
        <f t="shared" si="1054"/>
        <v>0</v>
      </c>
      <c r="AE330" s="220">
        <f t="shared" si="1055"/>
        <v>270</v>
      </c>
      <c r="AF330" s="220">
        <f t="shared" si="1056"/>
        <v>80</v>
      </c>
      <c r="AG330" s="220">
        <f t="shared" si="1057"/>
        <v>25</v>
      </c>
      <c r="AH330" s="220">
        <f t="shared" si="1058"/>
        <v>0</v>
      </c>
      <c r="AI330" s="220">
        <f t="shared" si="1059"/>
        <v>25</v>
      </c>
      <c r="AJ330" s="220">
        <f t="shared" si="1060"/>
        <v>-55</v>
      </c>
      <c r="AK330" s="216">
        <f t="shared" si="1038"/>
        <v>325</v>
      </c>
      <c r="AL330" s="220">
        <f t="shared" si="1020"/>
        <v>223.3</v>
      </c>
      <c r="AM330" s="220">
        <f t="shared" si="1021"/>
        <v>0</v>
      </c>
      <c r="AN330" s="221">
        <f t="shared" si="1022"/>
        <v>223.3</v>
      </c>
      <c r="AO330" s="220">
        <f t="shared" si="1023"/>
        <v>0</v>
      </c>
      <c r="AP330" s="220">
        <f t="shared" si="1024"/>
        <v>0</v>
      </c>
      <c r="AQ330" s="220">
        <f t="shared" si="1025"/>
        <v>0</v>
      </c>
      <c r="AR330" s="220">
        <f t="shared" si="1026"/>
        <v>0</v>
      </c>
      <c r="AS330" s="220">
        <f t="shared" si="1027"/>
        <v>0</v>
      </c>
      <c r="AT330" s="216">
        <f t="shared" si="1028"/>
        <v>223.3</v>
      </c>
      <c r="AU330" s="222">
        <f t="shared" si="919"/>
        <v>-101.69999999999999</v>
      </c>
      <c r="AV330" s="220"/>
      <c r="AW330" s="220">
        <f t="shared" si="1006"/>
        <v>-101.69999999999999</v>
      </c>
      <c r="AX330" s="216">
        <f t="shared" si="1046"/>
        <v>-101.69999999999999</v>
      </c>
      <c r="AY330" s="220">
        <f t="shared" si="1013"/>
        <v>0</v>
      </c>
      <c r="AZ330" s="220">
        <f t="shared" si="1014"/>
        <v>0</v>
      </c>
      <c r="BA330" s="220">
        <f t="shared" si="1015"/>
        <v>0</v>
      </c>
      <c r="BB330" s="220">
        <f t="shared" si="1016"/>
        <v>0</v>
      </c>
      <c r="BC330" s="220">
        <f t="shared" si="1017"/>
        <v>0</v>
      </c>
      <c r="BD330" s="216">
        <f t="shared" si="988"/>
        <v>0</v>
      </c>
      <c r="BE330" s="220">
        <f t="shared" si="1007"/>
        <v>0</v>
      </c>
      <c r="BF330" s="220">
        <f t="shared" si="1008"/>
        <v>0</v>
      </c>
      <c r="BG330" s="220">
        <f t="shared" si="1009"/>
        <v>0</v>
      </c>
      <c r="BH330" s="220">
        <f t="shared" si="1010"/>
        <v>0</v>
      </c>
      <c r="BI330" s="220">
        <f t="shared" si="1011"/>
        <v>0</v>
      </c>
      <c r="BJ330" s="220" t="s">
        <v>3061</v>
      </c>
      <c r="BK330" s="220"/>
      <c r="BL330" s="223">
        <f t="shared" si="1004"/>
        <v>0</v>
      </c>
      <c r="BM330" s="220">
        <v>3.33</v>
      </c>
      <c r="BN330" s="220"/>
      <c r="BO330" s="220">
        <f t="shared" si="1043"/>
        <v>3.33</v>
      </c>
      <c r="BP330" s="220">
        <f>IF(AND(BL330&gt;0,BL330&lt;tiet!$D$1),BL330,IF(BL330&lt;=0,0,IF(BL330&gt;tiet!$C$1,tiet!$C$1)))</f>
        <v>0</v>
      </c>
      <c r="BQ330" s="87">
        <f t="shared" si="1047"/>
        <v>65000</v>
      </c>
      <c r="BR330" s="224">
        <f t="shared" si="1048"/>
        <v>0</v>
      </c>
      <c r="BS330" s="220">
        <f t="shared" si="846"/>
        <v>0</v>
      </c>
      <c r="BT330" s="224">
        <f>VLOOKUP(N330,ma_dinhmuc!$A$1:$J$31,10,0)</f>
        <v>51000</v>
      </c>
      <c r="BU330" s="224">
        <f>ROUND(IF(BS330&gt;0,VLOOKUP(N330,ma_dinhmuc!$A$1:$J$31,10,0)*BS330,0),0)</f>
        <v>0</v>
      </c>
      <c r="BV330" s="224">
        <f t="shared" si="1049"/>
        <v>0</v>
      </c>
      <c r="BW330" s="224"/>
      <c r="BX330" s="224">
        <v>0</v>
      </c>
      <c r="BY330" s="224"/>
      <c r="BZ330" s="224"/>
      <c r="CA330" s="224"/>
      <c r="CB330" s="224"/>
      <c r="CC330" s="225">
        <f t="shared" si="886"/>
        <v>0</v>
      </c>
      <c r="CD330" s="224">
        <f t="shared" si="887"/>
        <v>0</v>
      </c>
      <c r="CE330" s="224"/>
      <c r="CF330" s="226"/>
      <c r="CG330" s="87"/>
      <c r="CH330" s="87">
        <f>A330</f>
        <v>7</v>
      </c>
      <c r="CI330" s="227" t="str">
        <f t="shared" si="1061"/>
        <v>Nguyễn Thị</v>
      </c>
      <c r="CJ330" s="227" t="str">
        <f t="shared" si="1062"/>
        <v>Sơn</v>
      </c>
      <c r="CK330" s="87">
        <f t="shared" si="1063"/>
        <v>6</v>
      </c>
      <c r="CL330" s="227" t="str">
        <f t="shared" si="1064"/>
        <v>Nguyên lý của CN Mác - Lênin</v>
      </c>
      <c r="CM330" s="87" t="str">
        <f t="shared" si="1012"/>
        <v>CT2</v>
      </c>
      <c r="CN330" s="87">
        <f t="shared" ref="CN330:CO333" si="1066">Q330</f>
        <v>270</v>
      </c>
      <c r="CO330" s="87">
        <f t="shared" si="1066"/>
        <v>80</v>
      </c>
      <c r="CP330" s="229">
        <f t="shared" si="852"/>
        <v>0</v>
      </c>
      <c r="CQ330" s="229">
        <f t="shared" si="853"/>
        <v>30.6</v>
      </c>
      <c r="CR330" s="229">
        <f t="shared" si="854"/>
        <v>12.3</v>
      </c>
      <c r="CS330" s="229">
        <f t="shared" si="855"/>
        <v>0</v>
      </c>
      <c r="CT330" s="229">
        <f t="shared" si="856"/>
        <v>0</v>
      </c>
      <c r="CU330" s="229">
        <f t="shared" si="857"/>
        <v>180.4</v>
      </c>
      <c r="CV330" s="229">
        <f t="shared" si="858"/>
        <v>0</v>
      </c>
      <c r="CW330" s="229">
        <f t="shared" si="859"/>
        <v>0</v>
      </c>
      <c r="CX330" s="229">
        <f t="shared" si="860"/>
        <v>0</v>
      </c>
      <c r="CY330" s="229">
        <f t="shared" si="861"/>
        <v>0</v>
      </c>
      <c r="CZ330" s="229">
        <f t="shared" si="862"/>
        <v>0</v>
      </c>
      <c r="DA330" s="229">
        <f t="shared" si="863"/>
        <v>0</v>
      </c>
      <c r="DB330" s="228">
        <f t="shared" si="1018"/>
        <v>223.3</v>
      </c>
      <c r="DC330" s="229"/>
      <c r="DD330" s="229"/>
      <c r="DE330" s="229"/>
      <c r="DF330" s="229"/>
      <c r="DG330" s="229"/>
      <c r="DH330" s="229"/>
      <c r="DI330" s="229"/>
      <c r="DJ330" s="229"/>
      <c r="DK330" s="229"/>
      <c r="DL330" s="229"/>
      <c r="DM330" s="229"/>
      <c r="DN330" s="229"/>
      <c r="DO330" s="228">
        <f t="shared" si="1029"/>
        <v>0</v>
      </c>
      <c r="DP330" s="228">
        <f t="shared" si="1030"/>
        <v>223.3</v>
      </c>
      <c r="DQ330" s="229">
        <f t="shared" si="864"/>
        <v>0</v>
      </c>
      <c r="DR330" s="229">
        <f t="shared" si="865"/>
        <v>0</v>
      </c>
      <c r="DS330" s="229">
        <f t="shared" si="866"/>
        <v>0</v>
      </c>
      <c r="DT330" s="229">
        <f t="shared" si="867"/>
        <v>0</v>
      </c>
      <c r="DU330" s="229">
        <f t="shared" si="868"/>
        <v>0</v>
      </c>
      <c r="DV330" s="229">
        <f t="shared" si="869"/>
        <v>0</v>
      </c>
      <c r="DW330" s="229">
        <f t="shared" si="870"/>
        <v>0</v>
      </c>
      <c r="DX330" s="228">
        <f t="shared" si="1019"/>
        <v>0</v>
      </c>
      <c r="DY330" s="229"/>
      <c r="DZ330" s="229"/>
      <c r="EA330" s="229"/>
      <c r="EB330" s="229"/>
      <c r="EC330" s="229"/>
      <c r="ED330" s="229"/>
      <c r="EE330" s="229"/>
      <c r="EF330" s="228">
        <f t="shared" si="847"/>
        <v>0</v>
      </c>
      <c r="EG330" s="228">
        <f t="shared" si="1031"/>
        <v>0</v>
      </c>
      <c r="EH330" s="229">
        <f t="shared" si="848"/>
        <v>25</v>
      </c>
      <c r="EI330" s="229">
        <v>0</v>
      </c>
      <c r="EJ330" s="228">
        <f t="shared" si="1039"/>
        <v>25</v>
      </c>
      <c r="EK330" s="229"/>
      <c r="EL330" s="229"/>
      <c r="EM330" s="228">
        <f t="shared" si="1065"/>
        <v>0</v>
      </c>
      <c r="EN330" s="229">
        <f t="shared" si="907"/>
        <v>25</v>
      </c>
      <c r="EO330" s="229">
        <f t="shared" si="926"/>
        <v>0</v>
      </c>
      <c r="EP330" s="228">
        <f>EM330+EJ330</f>
        <v>25</v>
      </c>
      <c r="EQ330" s="173">
        <f t="shared" si="849"/>
        <v>0</v>
      </c>
      <c r="ER330" s="189">
        <v>0</v>
      </c>
      <c r="ES330" s="189">
        <v>30.6</v>
      </c>
      <c r="ET330" s="189">
        <v>12.3</v>
      </c>
      <c r="EU330" s="189">
        <v>0</v>
      </c>
      <c r="EV330" s="189">
        <v>0</v>
      </c>
      <c r="EW330" s="189">
        <v>180.4</v>
      </c>
      <c r="EX330" s="189">
        <v>0</v>
      </c>
      <c r="EY330" s="189">
        <v>0</v>
      </c>
      <c r="EZ330" s="189">
        <v>0</v>
      </c>
      <c r="FA330" s="189">
        <v>0</v>
      </c>
      <c r="FB330" s="189">
        <v>0</v>
      </c>
      <c r="FC330" s="189">
        <v>0</v>
      </c>
      <c r="FD330" s="189">
        <v>0</v>
      </c>
      <c r="FE330" s="189">
        <v>0</v>
      </c>
      <c r="FF330" s="189">
        <v>0</v>
      </c>
      <c r="FG330" s="189">
        <v>0</v>
      </c>
      <c r="FH330" s="189">
        <v>0</v>
      </c>
      <c r="FI330" s="189">
        <v>0</v>
      </c>
      <c r="FJ330" s="189">
        <v>0</v>
      </c>
      <c r="FK330" s="189">
        <v>223.3</v>
      </c>
      <c r="FL330" s="189">
        <v>173</v>
      </c>
      <c r="FN330" s="132">
        <v>25</v>
      </c>
    </row>
    <row r="331" spans="1:170" ht="30" customHeight="1">
      <c r="A331" s="88">
        <f>COUNTIF($H$12:H331,H331)</f>
        <v>8</v>
      </c>
      <c r="B331" s="88" t="s">
        <v>1711</v>
      </c>
      <c r="C331" s="88" t="s">
        <v>892</v>
      </c>
      <c r="D331" s="88"/>
      <c r="E331" s="88"/>
      <c r="F331" s="301" t="s">
        <v>915</v>
      </c>
      <c r="G331" s="303" t="s">
        <v>1772</v>
      </c>
      <c r="H331" s="88">
        <v>6</v>
      </c>
      <c r="I331" s="88">
        <v>6</v>
      </c>
      <c r="J331" s="88">
        <v>6</v>
      </c>
      <c r="K331" s="90" t="s">
        <v>1090</v>
      </c>
      <c r="L331" s="90" t="s">
        <v>1090</v>
      </c>
      <c r="M331" s="214"/>
      <c r="N331" s="88" t="s">
        <v>37</v>
      </c>
      <c r="O331" s="216">
        <f t="shared" si="1040"/>
        <v>4.32</v>
      </c>
      <c r="P331" s="88" t="str">
        <f t="shared" si="1045"/>
        <v>B11_4</v>
      </c>
      <c r="Q331" s="88">
        <f t="shared" si="951"/>
        <v>270</v>
      </c>
      <c r="R331" s="88">
        <f t="shared" si="952"/>
        <v>80</v>
      </c>
      <c r="S331" s="218"/>
      <c r="T331" s="88" t="s">
        <v>3088</v>
      </c>
      <c r="U331" s="88">
        <f>IF(RIGHT(T331,1)="K",(VLOOKUP(T331,ma_miengiam!$A$3:$B$80,2,0)*100)/2,VLOOKUP(T331,ma_miengiam!$A$3:$B$80,2,0)*100)</f>
        <v>0</v>
      </c>
      <c r="V331" s="88"/>
      <c r="W331" s="220">
        <f>IF(AND(T331="NTS",V331&gt;0),(Q331-(Q331*V331)/12)*VLOOKUP(T331,ma_miengiam!$A$3:$B$80,2,0)+(Q331-(Q331*(12-V331))/12),IF(AND(RIGHT(T331,1)="K",V331&gt;0),(VLOOKUP(T331,ma_miengiam!$A$3:$B$80,2,0)/2)*(Q331*V331)/12,IF(RIGHT(T331,1)="K",(VLOOKUP(T331,ma_miengiam!$A$3:$B$80,2,0)*Q331)/2,IF(V331&gt;0,VLOOKUP(T331,ma_miengiam!$A$3:$B$80,2,0)*Q331*V331/12,VLOOKUP(T331,ma_miengiam!$A$3:$B$80,2,0)*Q331))))</f>
        <v>0</v>
      </c>
      <c r="X331" s="220">
        <f>IF(T331="NTS",VLOOKUP(T331,ma_miengiam!$A$3:$B$80,2,0)*R331*V331,IF(AND(T331="NTS",V331=0),0,IF(AND(LEFT(T331,1)="K",V331=0),VLOOKUP(T331,ma_miengiam!$A$3:$B$80,2,0)*R331,IF(LEFT(T331,1)="K",(VLOOKUP(T331,ma_miengiam!$A$3:$B$80,2,0)*R331/12)*V331,IF(AND(LEFT(T331,1)="S",V331&gt;0),(R331/12)*V331,IF(AND(LEFT(T331,1)="S",V331=0),R331,IF(T331="DH",VLOOKUP(T331,ma_miengiam!$A$3:$B$80,2,0)*R331,0)))))))</f>
        <v>0</v>
      </c>
      <c r="Y331" s="220">
        <f t="shared" si="1037"/>
        <v>270</v>
      </c>
      <c r="Z331" s="220">
        <f t="shared" si="1050"/>
        <v>80</v>
      </c>
      <c r="AA331" s="220">
        <f t="shared" si="1051"/>
        <v>270</v>
      </c>
      <c r="AB331" s="220">
        <f t="shared" si="1052"/>
        <v>80</v>
      </c>
      <c r="AC331" s="220">
        <f t="shared" si="1053"/>
        <v>0</v>
      </c>
      <c r="AD331" s="220">
        <f t="shared" si="1054"/>
        <v>0</v>
      </c>
      <c r="AE331" s="220">
        <f t="shared" si="1055"/>
        <v>270</v>
      </c>
      <c r="AF331" s="220">
        <f t="shared" si="1056"/>
        <v>80</v>
      </c>
      <c r="AG331" s="220">
        <f t="shared" si="1057"/>
        <v>89.16</v>
      </c>
      <c r="AH331" s="220">
        <f t="shared" si="1058"/>
        <v>64.16</v>
      </c>
      <c r="AI331" s="220">
        <f t="shared" si="1059"/>
        <v>25</v>
      </c>
      <c r="AJ331" s="220">
        <f t="shared" si="1060"/>
        <v>0</v>
      </c>
      <c r="AK331" s="216">
        <f t="shared" si="1038"/>
        <v>270</v>
      </c>
      <c r="AL331" s="220">
        <f t="shared" si="1020"/>
        <v>133.4</v>
      </c>
      <c r="AM331" s="220">
        <f t="shared" si="1021"/>
        <v>0</v>
      </c>
      <c r="AN331" s="221">
        <f t="shared" si="1022"/>
        <v>133.4</v>
      </c>
      <c r="AO331" s="220">
        <f t="shared" si="1023"/>
        <v>0</v>
      </c>
      <c r="AP331" s="220">
        <f t="shared" si="1024"/>
        <v>0</v>
      </c>
      <c r="AQ331" s="220">
        <f t="shared" si="1025"/>
        <v>0</v>
      </c>
      <c r="AR331" s="220">
        <f t="shared" si="1026"/>
        <v>0</v>
      </c>
      <c r="AS331" s="220">
        <f t="shared" si="1027"/>
        <v>0</v>
      </c>
      <c r="AT331" s="216">
        <f t="shared" si="1028"/>
        <v>133.4</v>
      </c>
      <c r="AU331" s="222">
        <f t="shared" si="919"/>
        <v>-136.6</v>
      </c>
      <c r="AV331" s="220"/>
      <c r="AW331" s="220">
        <f t="shared" si="1006"/>
        <v>-136.6</v>
      </c>
      <c r="AX331" s="216">
        <f t="shared" si="1046"/>
        <v>-136.6</v>
      </c>
      <c r="AY331" s="220">
        <f t="shared" si="1013"/>
        <v>0</v>
      </c>
      <c r="AZ331" s="220">
        <f t="shared" si="1014"/>
        <v>0</v>
      </c>
      <c r="BA331" s="220">
        <f t="shared" si="1015"/>
        <v>0</v>
      </c>
      <c r="BB331" s="220">
        <f t="shared" si="1016"/>
        <v>0</v>
      </c>
      <c r="BC331" s="220">
        <f t="shared" si="1017"/>
        <v>0</v>
      </c>
      <c r="BD331" s="216">
        <f t="shared" si="988"/>
        <v>0</v>
      </c>
      <c r="BE331" s="220">
        <f t="shared" si="1007"/>
        <v>0</v>
      </c>
      <c r="BF331" s="220">
        <f t="shared" si="1008"/>
        <v>0</v>
      </c>
      <c r="BG331" s="220">
        <f t="shared" si="1009"/>
        <v>0</v>
      </c>
      <c r="BH331" s="220">
        <f t="shared" si="1010"/>
        <v>0</v>
      </c>
      <c r="BI331" s="220">
        <f t="shared" si="1011"/>
        <v>0</v>
      </c>
      <c r="BJ331" s="220" t="s">
        <v>3061</v>
      </c>
      <c r="BK331" s="220"/>
      <c r="BL331" s="223">
        <f t="shared" si="1004"/>
        <v>0</v>
      </c>
      <c r="BM331" s="220">
        <v>4.32</v>
      </c>
      <c r="BN331" s="220"/>
      <c r="BO331" s="220">
        <f t="shared" si="1043"/>
        <v>4.32</v>
      </c>
      <c r="BP331" s="220">
        <f>IF(AND(BL331&gt;0,BL331&lt;tiet!$D$1),BL331,IF(BL331&lt;=0,0,IF(BL331&gt;tiet!$C$1,tiet!$C$1)))</f>
        <v>0</v>
      </c>
      <c r="BQ331" s="87">
        <f t="shared" si="1047"/>
        <v>65000</v>
      </c>
      <c r="BR331" s="224">
        <f t="shared" si="1048"/>
        <v>0</v>
      </c>
      <c r="BS331" s="220">
        <f t="shared" si="846"/>
        <v>0</v>
      </c>
      <c r="BT331" s="224">
        <f>VLOOKUP(N331,ma_dinhmuc!$A$1:$J$31,10,0)</f>
        <v>51000</v>
      </c>
      <c r="BU331" s="224">
        <f>ROUND(IF(BS331&gt;0,VLOOKUP(N331,ma_dinhmuc!$A$1:$J$31,10,0)*BS331,0),0)</f>
        <v>0</v>
      </c>
      <c r="BV331" s="224">
        <f t="shared" si="1049"/>
        <v>0</v>
      </c>
      <c r="BW331" s="224"/>
      <c r="BX331" s="224">
        <v>0</v>
      </c>
      <c r="BY331" s="224"/>
      <c r="BZ331" s="224"/>
      <c r="CA331" s="224"/>
      <c r="CB331" s="224"/>
      <c r="CC331" s="225">
        <f t="shared" si="886"/>
        <v>0</v>
      </c>
      <c r="CD331" s="224">
        <f t="shared" si="887"/>
        <v>0</v>
      </c>
      <c r="CE331" s="224"/>
      <c r="CF331" s="226"/>
      <c r="CG331" s="87"/>
      <c r="CH331" s="87">
        <f>A331</f>
        <v>8</v>
      </c>
      <c r="CI331" s="227" t="str">
        <f t="shared" si="1061"/>
        <v>Lê Thị Kim</v>
      </c>
      <c r="CJ331" s="227" t="str">
        <f t="shared" si="1062"/>
        <v>Thanh</v>
      </c>
      <c r="CK331" s="87">
        <f t="shared" si="1063"/>
        <v>6</v>
      </c>
      <c r="CL331" s="227" t="str">
        <f t="shared" si="1064"/>
        <v>Nguyên lý của CN Mác - Lênin</v>
      </c>
      <c r="CM331" s="87" t="str">
        <f t="shared" si="1012"/>
        <v>CT2</v>
      </c>
      <c r="CN331" s="87">
        <f t="shared" si="1066"/>
        <v>270</v>
      </c>
      <c r="CO331" s="87">
        <f t="shared" si="1066"/>
        <v>80</v>
      </c>
      <c r="CP331" s="229">
        <f t="shared" si="852"/>
        <v>0</v>
      </c>
      <c r="CQ331" s="229">
        <f t="shared" si="853"/>
        <v>20.3</v>
      </c>
      <c r="CR331" s="229">
        <f t="shared" si="854"/>
        <v>8.1</v>
      </c>
      <c r="CS331" s="229">
        <f t="shared" si="855"/>
        <v>0</v>
      </c>
      <c r="CT331" s="229">
        <f t="shared" si="856"/>
        <v>0</v>
      </c>
      <c r="CU331" s="229">
        <f t="shared" si="857"/>
        <v>105</v>
      </c>
      <c r="CV331" s="229">
        <f t="shared" si="858"/>
        <v>0</v>
      </c>
      <c r="CW331" s="229">
        <f t="shared" si="859"/>
        <v>0</v>
      </c>
      <c r="CX331" s="229">
        <f t="shared" si="860"/>
        <v>0</v>
      </c>
      <c r="CY331" s="229">
        <f t="shared" si="861"/>
        <v>0</v>
      </c>
      <c r="CZ331" s="229">
        <f t="shared" si="862"/>
        <v>0</v>
      </c>
      <c r="DA331" s="229">
        <f t="shared" si="863"/>
        <v>0</v>
      </c>
      <c r="DB331" s="228">
        <f t="shared" si="1018"/>
        <v>133.4</v>
      </c>
      <c r="DC331" s="229"/>
      <c r="DD331" s="229"/>
      <c r="DE331" s="229"/>
      <c r="DF331" s="229"/>
      <c r="DG331" s="229"/>
      <c r="DH331" s="229"/>
      <c r="DI331" s="229"/>
      <c r="DJ331" s="229"/>
      <c r="DK331" s="229"/>
      <c r="DL331" s="229"/>
      <c r="DM331" s="229"/>
      <c r="DN331" s="229"/>
      <c r="DO331" s="228">
        <f t="shared" si="1029"/>
        <v>0</v>
      </c>
      <c r="DP331" s="228">
        <f t="shared" si="1030"/>
        <v>133.4</v>
      </c>
      <c r="DQ331" s="229">
        <f t="shared" si="864"/>
        <v>0</v>
      </c>
      <c r="DR331" s="229">
        <f t="shared" si="865"/>
        <v>0</v>
      </c>
      <c r="DS331" s="229">
        <f t="shared" si="866"/>
        <v>0</v>
      </c>
      <c r="DT331" s="229">
        <f t="shared" si="867"/>
        <v>0</v>
      </c>
      <c r="DU331" s="229">
        <f t="shared" si="868"/>
        <v>0</v>
      </c>
      <c r="DV331" s="229">
        <f t="shared" si="869"/>
        <v>0</v>
      </c>
      <c r="DW331" s="229">
        <f t="shared" si="870"/>
        <v>0</v>
      </c>
      <c r="DX331" s="228">
        <f t="shared" si="1019"/>
        <v>0</v>
      </c>
      <c r="DY331" s="229"/>
      <c r="DZ331" s="229"/>
      <c r="EA331" s="229"/>
      <c r="EB331" s="229"/>
      <c r="EC331" s="229"/>
      <c r="ED331" s="229"/>
      <c r="EE331" s="229"/>
      <c r="EF331" s="228">
        <f t="shared" si="847"/>
        <v>0</v>
      </c>
      <c r="EG331" s="228">
        <f t="shared" si="1031"/>
        <v>0</v>
      </c>
      <c r="EH331" s="229">
        <f t="shared" si="848"/>
        <v>25</v>
      </c>
      <c r="EI331" s="229">
        <v>64.16</v>
      </c>
      <c r="EJ331" s="228">
        <f t="shared" si="1039"/>
        <v>89.16</v>
      </c>
      <c r="EK331" s="229"/>
      <c r="EL331" s="229"/>
      <c r="EM331" s="228">
        <f t="shared" si="1065"/>
        <v>0</v>
      </c>
      <c r="EN331" s="229">
        <f t="shared" si="907"/>
        <v>25</v>
      </c>
      <c r="EO331" s="229">
        <f t="shared" si="926"/>
        <v>64.16</v>
      </c>
      <c r="EP331" s="228">
        <f>EM331+EJ331</f>
        <v>89.16</v>
      </c>
      <c r="EQ331" s="173">
        <f t="shared" si="849"/>
        <v>0</v>
      </c>
      <c r="ER331" s="189">
        <v>0</v>
      </c>
      <c r="ES331" s="189">
        <v>20.3</v>
      </c>
      <c r="ET331" s="189">
        <v>8.1</v>
      </c>
      <c r="EU331" s="189">
        <v>0</v>
      </c>
      <c r="EV331" s="189">
        <v>0</v>
      </c>
      <c r="EW331" s="189">
        <v>105</v>
      </c>
      <c r="EX331" s="189">
        <v>0</v>
      </c>
      <c r="EY331" s="189">
        <v>0</v>
      </c>
      <c r="EZ331" s="189">
        <v>0</v>
      </c>
      <c r="FA331" s="189">
        <v>0</v>
      </c>
      <c r="FB331" s="189">
        <v>0</v>
      </c>
      <c r="FC331" s="189">
        <v>0</v>
      </c>
      <c r="FD331" s="189">
        <v>0</v>
      </c>
      <c r="FE331" s="189">
        <v>0</v>
      </c>
      <c r="FF331" s="189">
        <v>0</v>
      </c>
      <c r="FG331" s="189">
        <v>0</v>
      </c>
      <c r="FH331" s="189">
        <v>0</v>
      </c>
      <c r="FI331" s="189">
        <v>0</v>
      </c>
      <c r="FJ331" s="189">
        <v>0</v>
      </c>
      <c r="FK331" s="189">
        <v>133.4</v>
      </c>
      <c r="FL331" s="189">
        <v>111</v>
      </c>
      <c r="FN331" s="132">
        <v>25</v>
      </c>
    </row>
    <row r="332" spans="1:170" ht="30" customHeight="1">
      <c r="A332" s="88">
        <f>COUNTIF($H$12:H332,H332)</f>
        <v>9</v>
      </c>
      <c r="B332" s="88" t="s">
        <v>1712</v>
      </c>
      <c r="C332" s="88" t="s">
        <v>893</v>
      </c>
      <c r="D332" s="88"/>
      <c r="E332" s="88"/>
      <c r="F332" s="301" t="s">
        <v>626</v>
      </c>
      <c r="G332" s="89" t="s">
        <v>917</v>
      </c>
      <c r="H332" s="88">
        <v>6</v>
      </c>
      <c r="I332" s="88">
        <v>6</v>
      </c>
      <c r="J332" s="88">
        <v>6</v>
      </c>
      <c r="K332" s="90" t="s">
        <v>1090</v>
      </c>
      <c r="L332" s="90" t="s">
        <v>1090</v>
      </c>
      <c r="M332" s="214"/>
      <c r="N332" s="88" t="s">
        <v>37</v>
      </c>
      <c r="O332" s="216">
        <f>BO332</f>
        <v>2.67</v>
      </c>
      <c r="P332" s="88" t="str">
        <f t="shared" si="1045"/>
        <v>B11_3</v>
      </c>
      <c r="Q332" s="88">
        <f t="shared" si="951"/>
        <v>270</v>
      </c>
      <c r="R332" s="88">
        <f t="shared" si="952"/>
        <v>60</v>
      </c>
      <c r="S332" s="231"/>
      <c r="T332" s="214" t="s">
        <v>3088</v>
      </c>
      <c r="U332" s="88">
        <f>IF(RIGHT(T332,1)="K",(VLOOKUP(T332,ma_miengiam!$A$3:$B$80,2,0)*100)/2,VLOOKUP(T332,ma_miengiam!$A$3:$B$80,2,0)*100)</f>
        <v>0</v>
      </c>
      <c r="V332" s="88"/>
      <c r="W332" s="220">
        <f>IF(AND(T332="NTS",V332&gt;0),(Q332-(Q332*V332)/12)*VLOOKUP(T332,ma_miengiam!$A$3:$B$80,2,0)+(Q332-(Q332*(12-V332))/12),IF(AND(RIGHT(T332,1)="K",V332&gt;0),(VLOOKUP(T332,ma_miengiam!$A$3:$B$80,2,0)/2)*(Q332*V332)/12,IF(RIGHT(T332,1)="K",(VLOOKUP(T332,ma_miengiam!$A$3:$B$80,2,0)*Q332)/2,IF(V332&gt;0,VLOOKUP(T332,ma_miengiam!$A$3:$B$80,2,0)*Q332*V332/12,VLOOKUP(T332,ma_miengiam!$A$3:$B$80,2,0)*Q332))))</f>
        <v>0</v>
      </c>
      <c r="X332" s="220">
        <f>IF(T332="NTS",VLOOKUP(T332,ma_miengiam!$A$3:$B$80,2,0)*R332*V332,IF(AND(T332="NTS",V332=0),0,IF(AND(LEFT(T332,1)="K",V332=0),VLOOKUP(T332,ma_miengiam!$A$3:$B$80,2,0)*R332,IF(LEFT(T332,1)="K",(VLOOKUP(T332,ma_miengiam!$A$3:$B$80,2,0)*R332/12)*V332,IF(AND(LEFT(T332,1)="S",V332&gt;0),(R332/12)*V332,IF(AND(LEFT(T332,1)="S",V332=0),R332,IF(T332="DH",VLOOKUP(T332,ma_miengiam!$A$3:$B$80,2,0)*R332,0)))))))</f>
        <v>0</v>
      </c>
      <c r="Y332" s="220">
        <f t="shared" si="1037"/>
        <v>270</v>
      </c>
      <c r="Z332" s="220">
        <f t="shared" si="1050"/>
        <v>60</v>
      </c>
      <c r="AA332" s="220">
        <f>Q332</f>
        <v>270</v>
      </c>
      <c r="AB332" s="220">
        <f>R332</f>
        <v>60</v>
      </c>
      <c r="AC332" s="220">
        <f t="shared" ref="AC332:AF333" si="1067">W332</f>
        <v>0</v>
      </c>
      <c r="AD332" s="220">
        <f t="shared" si="1067"/>
        <v>0</v>
      </c>
      <c r="AE332" s="220">
        <f t="shared" si="1067"/>
        <v>270</v>
      </c>
      <c r="AF332" s="220">
        <f t="shared" si="1067"/>
        <v>60</v>
      </c>
      <c r="AG332" s="220">
        <f>AH332+AI332</f>
        <v>268.61</v>
      </c>
      <c r="AH332" s="220">
        <f>EO332</f>
        <v>0</v>
      </c>
      <c r="AI332" s="220">
        <f>EN332</f>
        <v>268.61</v>
      </c>
      <c r="AJ332" s="220">
        <f t="shared" si="1060"/>
        <v>0</v>
      </c>
      <c r="AK332" s="216">
        <f t="shared" si="1038"/>
        <v>270</v>
      </c>
      <c r="AL332" s="220">
        <f t="shared" si="1020"/>
        <v>295.3</v>
      </c>
      <c r="AM332" s="220">
        <f t="shared" si="1021"/>
        <v>213.3</v>
      </c>
      <c r="AN332" s="221">
        <f t="shared" si="1022"/>
        <v>508.6</v>
      </c>
      <c r="AO332" s="220">
        <f t="shared" si="1023"/>
        <v>0</v>
      </c>
      <c r="AP332" s="220">
        <f t="shared" si="1024"/>
        <v>0</v>
      </c>
      <c r="AQ332" s="220">
        <f t="shared" si="1025"/>
        <v>0</v>
      </c>
      <c r="AR332" s="220">
        <f t="shared" si="1026"/>
        <v>0</v>
      </c>
      <c r="AS332" s="220">
        <f t="shared" si="1027"/>
        <v>0</v>
      </c>
      <c r="AT332" s="216">
        <f t="shared" si="1028"/>
        <v>508.6</v>
      </c>
      <c r="AU332" s="222">
        <f t="shared" si="919"/>
        <v>238.60000000000002</v>
      </c>
      <c r="AV332" s="220"/>
      <c r="AW332" s="220">
        <f t="shared" si="1006"/>
        <v>238.60000000000002</v>
      </c>
      <c r="AX332" s="216">
        <f t="shared" si="1046"/>
        <v>0</v>
      </c>
      <c r="AY332" s="220">
        <f t="shared" si="1013"/>
        <v>0</v>
      </c>
      <c r="AZ332" s="220">
        <f t="shared" si="1014"/>
        <v>0</v>
      </c>
      <c r="BA332" s="220">
        <f t="shared" si="1015"/>
        <v>0</v>
      </c>
      <c r="BB332" s="220">
        <f t="shared" si="1016"/>
        <v>0</v>
      </c>
      <c r="BC332" s="220">
        <f t="shared" si="1017"/>
        <v>0</v>
      </c>
      <c r="BD332" s="216">
        <f t="shared" si="988"/>
        <v>0</v>
      </c>
      <c r="BE332" s="220">
        <f t="shared" si="1007"/>
        <v>0</v>
      </c>
      <c r="BF332" s="220">
        <f t="shared" si="1008"/>
        <v>0</v>
      </c>
      <c r="BG332" s="220">
        <f t="shared" si="1009"/>
        <v>0</v>
      </c>
      <c r="BH332" s="220">
        <f t="shared" si="1010"/>
        <v>0</v>
      </c>
      <c r="BI332" s="220">
        <f t="shared" si="1011"/>
        <v>0</v>
      </c>
      <c r="BJ332" s="220" t="s">
        <v>3061</v>
      </c>
      <c r="BK332" s="220"/>
      <c r="BL332" s="223">
        <f t="shared" si="1004"/>
        <v>238.60000000000002</v>
      </c>
      <c r="BM332" s="220">
        <v>2.67</v>
      </c>
      <c r="BN332" s="220"/>
      <c r="BO332" s="220">
        <f>ROUND(BM332+(BM332*BN332),2)</f>
        <v>2.67</v>
      </c>
      <c r="BP332" s="220">
        <f>IF(AND(BL332&gt;0,BL332&lt;tiet!$D$1),BL332,IF(BL332&lt;=0,0,IF(BL332&gt;tiet!$C$1,tiet!$C$1)))</f>
        <v>200</v>
      </c>
      <c r="BQ332" s="87">
        <f t="shared" si="1047"/>
        <v>60000</v>
      </c>
      <c r="BR332" s="224">
        <f t="shared" si="1048"/>
        <v>12000000</v>
      </c>
      <c r="BS332" s="220">
        <f t="shared" ref="BS332:BS394" si="1068">BL332-BP332</f>
        <v>38.600000000000023</v>
      </c>
      <c r="BT332" s="224">
        <f>VLOOKUP(N332,ma_dinhmuc!$A$1:$J$31,10,0)</f>
        <v>51000</v>
      </c>
      <c r="BU332" s="224">
        <f>ROUND(IF(BS332&gt;0,VLOOKUP(N332,ma_dinhmuc!$A$1:$J$31,10,0)*BS332,0),0)</f>
        <v>1968600</v>
      </c>
      <c r="BV332" s="224">
        <f t="shared" si="1049"/>
        <v>13968600</v>
      </c>
      <c r="BW332" s="224"/>
      <c r="BX332" s="224">
        <v>0</v>
      </c>
      <c r="BY332" s="224"/>
      <c r="BZ332" s="224"/>
      <c r="CA332" s="224"/>
      <c r="CB332" s="224"/>
      <c r="CC332" s="225">
        <f t="shared" ref="CC332:CC389" si="1069">ROUND(IF(BV332+BW332&gt;BX332+BY332+BZ332+CA332+CB332,(BW332+BV332)-(BX332+BY332+BZ332+CA332+CB332+CB332),0),0)</f>
        <v>13968600</v>
      </c>
      <c r="CD332" s="224">
        <f t="shared" ref="CD332:CD389" si="1070">ROUND(IF(BV332+BW332&lt;BX332+BY332+BZ332+CA332-CB332,(BX332+BY332+BZ332+CA332-CB332)-(BW332+BV332),0),0)</f>
        <v>0</v>
      </c>
      <c r="CE332" s="224"/>
      <c r="CF332" s="226"/>
      <c r="CG332" s="87"/>
      <c r="CH332" s="87">
        <f t="shared" ref="CH332:CH340" si="1071">A332</f>
        <v>9</v>
      </c>
      <c r="CI332" s="227" t="str">
        <f>F332</f>
        <v xml:space="preserve">Hà Thị </v>
      </c>
      <c r="CJ332" s="227" t="str">
        <f>G332</f>
        <v>Yến</v>
      </c>
      <c r="CK332" s="87">
        <f t="shared" si="1063"/>
        <v>6</v>
      </c>
      <c r="CL332" s="227" t="str">
        <f t="shared" si="1064"/>
        <v>Nguyên lý của CN Mác - Lênin</v>
      </c>
      <c r="CM332" s="87" t="str">
        <f t="shared" si="1012"/>
        <v>CT2</v>
      </c>
      <c r="CN332" s="87">
        <f t="shared" si="1066"/>
        <v>270</v>
      </c>
      <c r="CO332" s="87">
        <f t="shared" si="1066"/>
        <v>60</v>
      </c>
      <c r="CP332" s="229">
        <f t="shared" si="852"/>
        <v>0</v>
      </c>
      <c r="CQ332" s="229">
        <f t="shared" si="853"/>
        <v>33.700000000000003</v>
      </c>
      <c r="CR332" s="229">
        <f t="shared" si="854"/>
        <v>13.6</v>
      </c>
      <c r="CS332" s="229">
        <f t="shared" si="855"/>
        <v>0</v>
      </c>
      <c r="CT332" s="229">
        <f t="shared" si="856"/>
        <v>0</v>
      </c>
      <c r="CU332" s="229">
        <f t="shared" si="857"/>
        <v>248</v>
      </c>
      <c r="CV332" s="229">
        <f t="shared" si="858"/>
        <v>0</v>
      </c>
      <c r="CW332" s="229">
        <f t="shared" si="859"/>
        <v>0</v>
      </c>
      <c r="CX332" s="229">
        <f t="shared" si="860"/>
        <v>0</v>
      </c>
      <c r="CY332" s="229">
        <f t="shared" si="861"/>
        <v>0</v>
      </c>
      <c r="CZ332" s="229">
        <f t="shared" si="862"/>
        <v>0</v>
      </c>
      <c r="DA332" s="229">
        <f t="shared" si="863"/>
        <v>0</v>
      </c>
      <c r="DB332" s="228">
        <f t="shared" si="1018"/>
        <v>295.3</v>
      </c>
      <c r="DC332" s="229"/>
      <c r="DD332" s="229"/>
      <c r="DE332" s="229"/>
      <c r="DF332" s="229"/>
      <c r="DG332" s="229"/>
      <c r="DH332" s="229"/>
      <c r="DI332" s="229"/>
      <c r="DJ332" s="229"/>
      <c r="DK332" s="229"/>
      <c r="DL332" s="229"/>
      <c r="DM332" s="229"/>
      <c r="DN332" s="229"/>
      <c r="DO332" s="228">
        <f t="shared" si="1029"/>
        <v>0</v>
      </c>
      <c r="DP332" s="228">
        <f t="shared" si="1030"/>
        <v>295.3</v>
      </c>
      <c r="DQ332" s="229">
        <f t="shared" si="864"/>
        <v>198</v>
      </c>
      <c r="DR332" s="229">
        <f t="shared" si="865"/>
        <v>10.9</v>
      </c>
      <c r="DS332" s="229">
        <f t="shared" si="866"/>
        <v>0</v>
      </c>
      <c r="DT332" s="229">
        <f t="shared" si="867"/>
        <v>4.4000000000000004</v>
      </c>
      <c r="DU332" s="229">
        <f t="shared" si="868"/>
        <v>0</v>
      </c>
      <c r="DV332" s="229">
        <f t="shared" si="869"/>
        <v>0</v>
      </c>
      <c r="DW332" s="229">
        <f t="shared" si="870"/>
        <v>0</v>
      </c>
      <c r="DX332" s="228">
        <f t="shared" si="1019"/>
        <v>213.3</v>
      </c>
      <c r="DY332" s="229"/>
      <c r="DZ332" s="229"/>
      <c r="EA332" s="229"/>
      <c r="EB332" s="229"/>
      <c r="EC332" s="229"/>
      <c r="ED332" s="229"/>
      <c r="EE332" s="229"/>
      <c r="EF332" s="228">
        <f t="shared" ref="EF332:EF395" si="1072">SUM(DY332:EE332)</f>
        <v>0</v>
      </c>
      <c r="EG332" s="228">
        <f t="shared" si="1031"/>
        <v>213.3</v>
      </c>
      <c r="EH332" s="229">
        <f t="shared" ref="EH332:EH395" si="1073">FN332</f>
        <v>268.61</v>
      </c>
      <c r="EI332" s="229">
        <v>0</v>
      </c>
      <c r="EJ332" s="228">
        <f t="shared" si="1039"/>
        <v>268.61</v>
      </c>
      <c r="EK332" s="229"/>
      <c r="EL332" s="229"/>
      <c r="EM332" s="228">
        <f>SUM(EK332:EL332)</f>
        <v>0</v>
      </c>
      <c r="EN332" s="229">
        <f t="shared" si="907"/>
        <v>268.61</v>
      </c>
      <c r="EO332" s="229">
        <f t="shared" si="926"/>
        <v>0</v>
      </c>
      <c r="EP332" s="228">
        <f t="shared" ref="EP332:EP354" si="1074">EM332+EJ332</f>
        <v>268.61</v>
      </c>
      <c r="EQ332" s="173">
        <f t="shared" ref="EQ332:EQ394" si="1075">IF(EN332&gt;Z332,EN332-Z332,0)</f>
        <v>208.61</v>
      </c>
      <c r="ER332" s="189">
        <v>0</v>
      </c>
      <c r="ES332" s="189">
        <v>33.700000000000003</v>
      </c>
      <c r="ET332" s="189">
        <v>13.6</v>
      </c>
      <c r="EU332" s="189">
        <v>0</v>
      </c>
      <c r="EV332" s="189">
        <v>0</v>
      </c>
      <c r="EW332" s="189">
        <v>248</v>
      </c>
      <c r="EX332" s="189">
        <v>0</v>
      </c>
      <c r="EY332" s="189">
        <v>0</v>
      </c>
      <c r="EZ332" s="189">
        <v>0</v>
      </c>
      <c r="FA332" s="189">
        <v>0</v>
      </c>
      <c r="FB332" s="189">
        <v>0</v>
      </c>
      <c r="FC332" s="189">
        <v>0</v>
      </c>
      <c r="FD332" s="189">
        <v>198</v>
      </c>
      <c r="FE332" s="189">
        <v>10.9</v>
      </c>
      <c r="FF332" s="189">
        <v>0</v>
      </c>
      <c r="FG332" s="189">
        <v>4.4000000000000004</v>
      </c>
      <c r="FH332" s="189">
        <v>0</v>
      </c>
      <c r="FI332" s="189">
        <v>0</v>
      </c>
      <c r="FJ332" s="189">
        <v>0</v>
      </c>
      <c r="FK332" s="189">
        <v>508.6</v>
      </c>
      <c r="FL332" s="189">
        <v>329</v>
      </c>
      <c r="FN332" s="132">
        <v>268.61</v>
      </c>
    </row>
    <row r="333" spans="1:170" ht="30" customHeight="1">
      <c r="A333" s="88">
        <f>COUNTIF($H$12:H333,H333)</f>
        <v>10</v>
      </c>
      <c r="B333" s="88" t="s">
        <v>1713</v>
      </c>
      <c r="C333" s="88" t="s">
        <v>894</v>
      </c>
      <c r="D333" s="88" t="s">
        <v>621</v>
      </c>
      <c r="E333" s="88"/>
      <c r="F333" s="301" t="s">
        <v>2209</v>
      </c>
      <c r="G333" s="89" t="s">
        <v>11</v>
      </c>
      <c r="H333" s="88">
        <v>6</v>
      </c>
      <c r="I333" s="88">
        <v>6</v>
      </c>
      <c r="J333" s="88">
        <v>6</v>
      </c>
      <c r="K333" s="90" t="s">
        <v>1090</v>
      </c>
      <c r="L333" s="90" t="s">
        <v>1090</v>
      </c>
      <c r="M333" s="214"/>
      <c r="N333" s="88" t="s">
        <v>37</v>
      </c>
      <c r="O333" s="216">
        <f>BO333</f>
        <v>2.67</v>
      </c>
      <c r="P333" s="88" t="str">
        <f t="shared" si="1045"/>
        <v>B11_3</v>
      </c>
      <c r="Q333" s="88">
        <f t="shared" si="951"/>
        <v>270</v>
      </c>
      <c r="R333" s="88">
        <f t="shared" si="952"/>
        <v>60</v>
      </c>
      <c r="S333" s="218" t="s">
        <v>2632</v>
      </c>
      <c r="T333" s="88" t="s">
        <v>1326</v>
      </c>
      <c r="U333" s="88">
        <f>IF(RIGHT(T333,1)="K",(VLOOKUP(T333,ma_miengiam!$A$3:$B$80,2,0)*100)/2,VLOOKUP(T333,ma_miengiam!$A$3:$B$80,2,0)*100)</f>
        <v>65</v>
      </c>
      <c r="V333" s="88"/>
      <c r="W333" s="220">
        <f>IF(AND(T333="NTS",V333&gt;0),(Q333-(Q333*V333)/12)*VLOOKUP(T333,ma_miengiam!$A$3:$B$80,2,0)+(Q333-(Q333*(12-V333))/12),IF(AND(RIGHT(T333,1)="K",V333&gt;0),(VLOOKUP(T333,ma_miengiam!$A$3:$B$80,2,0)/2)*(Q333*V333)/12,IF(RIGHT(T333,1)="K",(VLOOKUP(T333,ma_miengiam!$A$3:$B$80,2,0)*Q333)/2,IF(V333&gt;0,VLOOKUP(T333,ma_miengiam!$A$3:$B$80,2,0)*Q333*V333/12,VLOOKUP(T333,ma_miengiam!$A$3:$B$80,2,0)*Q333))))</f>
        <v>175.5</v>
      </c>
      <c r="X333" s="220">
        <f>IF(T333="NTS",VLOOKUP(T333,ma_miengiam!$A$3:$B$80,2,0)*R333*V333,IF(AND(T333="NTS",V333=0),0,IF(AND(LEFT(T333,1)="K",V333=0),VLOOKUP(T333,ma_miengiam!$A$3:$B$80,2,0)*R333,IF(LEFT(T333,1)="K",(VLOOKUP(T333,ma_miengiam!$A$3:$B$80,2,0)*R333/12)*V333,IF(AND(LEFT(T333,1)="S",V333&gt;0),(R333/12)*V333,IF(AND(LEFT(T333,1)="S",V333=0),R333,IF(T333="DH",VLOOKUP(T333,ma_miengiam!$A$3:$B$80,2,0)*R333,0)))))))</f>
        <v>60</v>
      </c>
      <c r="Y333" s="220">
        <f t="shared" si="1037"/>
        <v>94.5</v>
      </c>
      <c r="Z333" s="220">
        <f t="shared" si="1050"/>
        <v>0</v>
      </c>
      <c r="AA333" s="220">
        <f>Q333</f>
        <v>270</v>
      </c>
      <c r="AB333" s="220">
        <f>R333</f>
        <v>60</v>
      </c>
      <c r="AC333" s="220">
        <f t="shared" si="1067"/>
        <v>175.5</v>
      </c>
      <c r="AD333" s="220">
        <f t="shared" si="1067"/>
        <v>60</v>
      </c>
      <c r="AE333" s="220">
        <f t="shared" si="1067"/>
        <v>94.5</v>
      </c>
      <c r="AF333" s="220">
        <f t="shared" si="1067"/>
        <v>0</v>
      </c>
      <c r="AG333" s="220">
        <f>AH333+AI333</f>
        <v>207.78</v>
      </c>
      <c r="AH333" s="220">
        <f>EO333</f>
        <v>55</v>
      </c>
      <c r="AI333" s="220">
        <f>EN333</f>
        <v>152.78</v>
      </c>
      <c r="AJ333" s="220">
        <f>IF(AG333-Z333&gt;0,0,AG333-Z333)</f>
        <v>0</v>
      </c>
      <c r="AK333" s="216">
        <f t="shared" si="1038"/>
        <v>94.5</v>
      </c>
      <c r="AL333" s="220">
        <f t="shared" si="1020"/>
        <v>307.60000000000002</v>
      </c>
      <c r="AM333" s="220">
        <f t="shared" si="1021"/>
        <v>0</v>
      </c>
      <c r="AN333" s="221">
        <f t="shared" si="1022"/>
        <v>307.60000000000002</v>
      </c>
      <c r="AO333" s="220">
        <f t="shared" si="1023"/>
        <v>0</v>
      </c>
      <c r="AP333" s="220">
        <f t="shared" si="1024"/>
        <v>0</v>
      </c>
      <c r="AQ333" s="220">
        <f t="shared" si="1025"/>
        <v>0</v>
      </c>
      <c r="AR333" s="220">
        <f t="shared" si="1026"/>
        <v>0</v>
      </c>
      <c r="AS333" s="220">
        <f t="shared" si="1027"/>
        <v>0</v>
      </c>
      <c r="AT333" s="216">
        <f t="shared" si="1028"/>
        <v>307.60000000000002</v>
      </c>
      <c r="AU333" s="222">
        <f t="shared" si="919"/>
        <v>213.10000000000002</v>
      </c>
      <c r="AV333" s="220"/>
      <c r="AW333" s="220">
        <f t="shared" si="1006"/>
        <v>213.10000000000002</v>
      </c>
      <c r="AX333" s="216">
        <f t="shared" si="1046"/>
        <v>0</v>
      </c>
      <c r="AY333" s="220">
        <f t="shared" si="1013"/>
        <v>0</v>
      </c>
      <c r="AZ333" s="220">
        <f t="shared" si="1014"/>
        <v>0</v>
      </c>
      <c r="BA333" s="220">
        <f t="shared" si="1015"/>
        <v>0</v>
      </c>
      <c r="BB333" s="220">
        <f t="shared" si="1016"/>
        <v>0</v>
      </c>
      <c r="BC333" s="220">
        <f t="shared" si="1017"/>
        <v>0</v>
      </c>
      <c r="BD333" s="216">
        <f t="shared" si="988"/>
        <v>0</v>
      </c>
      <c r="BE333" s="220">
        <f t="shared" si="1007"/>
        <v>0</v>
      </c>
      <c r="BF333" s="220">
        <f t="shared" si="1008"/>
        <v>0</v>
      </c>
      <c r="BG333" s="220">
        <f t="shared" si="1009"/>
        <v>0</v>
      </c>
      <c r="BH333" s="220">
        <f t="shared" si="1010"/>
        <v>0</v>
      </c>
      <c r="BI333" s="220">
        <f t="shared" si="1011"/>
        <v>0</v>
      </c>
      <c r="BJ333" s="220" t="s">
        <v>3061</v>
      </c>
      <c r="BK333" s="220"/>
      <c r="BL333" s="223">
        <f t="shared" si="1004"/>
        <v>213.10000000000002</v>
      </c>
      <c r="BM333" s="220">
        <v>2.67</v>
      </c>
      <c r="BN333" s="220"/>
      <c r="BO333" s="220">
        <f>ROUND(BM333+(BM333*BN333),2)</f>
        <v>2.67</v>
      </c>
      <c r="BP333" s="220">
        <f>IF(AND(BL333&gt;0,BL333&lt;tiet!$D$1),BL333,IF(BL333&lt;=0,0,IF(BL333&gt;tiet!$C$1,tiet!$C$1)))</f>
        <v>200</v>
      </c>
      <c r="BQ333" s="87">
        <f>VLOOKUP(P333,ma_dinhmuc_moi,4,0)</f>
        <v>60000</v>
      </c>
      <c r="BR333" s="224">
        <f>ROUND(BQ333*BP333,0)</f>
        <v>12000000</v>
      </c>
      <c r="BS333" s="220">
        <f t="shared" si="1068"/>
        <v>13.100000000000023</v>
      </c>
      <c r="BT333" s="224">
        <f>VLOOKUP(N333,ma_dinhmuc!$A$1:$J$31,10,0)</f>
        <v>51000</v>
      </c>
      <c r="BU333" s="224">
        <f>ROUND(IF(BS333&gt;0,VLOOKUP(N333,ma_dinhmuc!$A$1:$J$31,10,0)*BS333,0),0)</f>
        <v>668100</v>
      </c>
      <c r="BV333" s="224">
        <f>ROUND(BU333+BR333,0)</f>
        <v>12668100</v>
      </c>
      <c r="BW333" s="224"/>
      <c r="BX333" s="224">
        <v>0</v>
      </c>
      <c r="BY333" s="224"/>
      <c r="BZ333" s="224"/>
      <c r="CA333" s="224"/>
      <c r="CB333" s="224"/>
      <c r="CC333" s="225">
        <f t="shared" si="1069"/>
        <v>12668100</v>
      </c>
      <c r="CD333" s="224">
        <f t="shared" si="1070"/>
        <v>0</v>
      </c>
      <c r="CE333" s="224"/>
      <c r="CF333" s="226"/>
      <c r="CG333" s="87"/>
      <c r="CH333" s="87">
        <f>A333</f>
        <v>10</v>
      </c>
      <c r="CI333" s="227" t="str">
        <f>F333</f>
        <v>Nguyễn Thị Minh</v>
      </c>
      <c r="CJ333" s="227" t="str">
        <f>G333</f>
        <v>Nguyệt</v>
      </c>
      <c r="CK333" s="87">
        <f>H333</f>
        <v>6</v>
      </c>
      <c r="CL333" s="227" t="str">
        <f>L333</f>
        <v>Nguyên lý của CN Mác - Lênin</v>
      </c>
      <c r="CM333" s="87" t="str">
        <f t="shared" si="1012"/>
        <v>CT2</v>
      </c>
      <c r="CN333" s="87">
        <f t="shared" si="1066"/>
        <v>270</v>
      </c>
      <c r="CO333" s="87">
        <f t="shared" si="1066"/>
        <v>60</v>
      </c>
      <c r="CP333" s="229">
        <f t="shared" ref="CP333:CP396" si="1076">ER333</f>
        <v>0</v>
      </c>
      <c r="CQ333" s="229">
        <f t="shared" ref="CQ333:CQ396" si="1077">ES333</f>
        <v>41.6</v>
      </c>
      <c r="CR333" s="229">
        <f t="shared" ref="CR333:CR396" si="1078">ET333</f>
        <v>16.600000000000001</v>
      </c>
      <c r="CS333" s="229">
        <f t="shared" ref="CS333:CS396" si="1079">EU333</f>
        <v>0</v>
      </c>
      <c r="CT333" s="229">
        <f t="shared" ref="CT333:CT396" si="1080">EV333</f>
        <v>0</v>
      </c>
      <c r="CU333" s="229">
        <f t="shared" ref="CU333:CU396" si="1081">EW333</f>
        <v>249.4</v>
      </c>
      <c r="CV333" s="229">
        <f t="shared" ref="CV333:CV396" si="1082">EX333</f>
        <v>0</v>
      </c>
      <c r="CW333" s="229">
        <f t="shared" ref="CW333:CW396" si="1083">EY333</f>
        <v>0</v>
      </c>
      <c r="CX333" s="229">
        <f t="shared" ref="CX333:CX396" si="1084">EZ333</f>
        <v>0</v>
      </c>
      <c r="CY333" s="229">
        <f t="shared" ref="CY333:CY396" si="1085">FA333</f>
        <v>0</v>
      </c>
      <c r="CZ333" s="229">
        <f t="shared" ref="CZ333:CZ396" si="1086">FB333</f>
        <v>0</v>
      </c>
      <c r="DA333" s="229">
        <f t="shared" ref="DA333:DA396" si="1087">FC333</f>
        <v>0</v>
      </c>
      <c r="DB333" s="228">
        <f t="shared" si="1018"/>
        <v>307.60000000000002</v>
      </c>
      <c r="DC333" s="229"/>
      <c r="DD333" s="229"/>
      <c r="DE333" s="229"/>
      <c r="DF333" s="229"/>
      <c r="DG333" s="229"/>
      <c r="DH333" s="229"/>
      <c r="DI333" s="229"/>
      <c r="DJ333" s="229"/>
      <c r="DK333" s="229"/>
      <c r="DL333" s="229"/>
      <c r="DM333" s="229"/>
      <c r="DN333" s="229"/>
      <c r="DO333" s="228">
        <f t="shared" si="1029"/>
        <v>0</v>
      </c>
      <c r="DP333" s="228">
        <f t="shared" si="1030"/>
        <v>307.60000000000002</v>
      </c>
      <c r="DQ333" s="229">
        <f t="shared" ref="DQ333:DQ396" si="1088">FD333</f>
        <v>0</v>
      </c>
      <c r="DR333" s="229">
        <f t="shared" ref="DR333:DR396" si="1089">FE333</f>
        <v>0</v>
      </c>
      <c r="DS333" s="229">
        <f t="shared" ref="DS333:DS396" si="1090">FF333</f>
        <v>0</v>
      </c>
      <c r="DT333" s="229">
        <f t="shared" ref="DT333:DT396" si="1091">FG333</f>
        <v>0</v>
      </c>
      <c r="DU333" s="229">
        <f t="shared" ref="DU333:DU396" si="1092">FI333</f>
        <v>0</v>
      </c>
      <c r="DV333" s="229">
        <f t="shared" ref="DV333:DV396" si="1093">FH333</f>
        <v>0</v>
      </c>
      <c r="DW333" s="229">
        <f t="shared" ref="DW333:DW396" si="1094">FJ333</f>
        <v>0</v>
      </c>
      <c r="DX333" s="228">
        <f t="shared" si="1019"/>
        <v>0</v>
      </c>
      <c r="DY333" s="229"/>
      <c r="DZ333" s="229"/>
      <c r="EA333" s="229"/>
      <c r="EB333" s="229"/>
      <c r="EC333" s="229"/>
      <c r="ED333" s="229"/>
      <c r="EE333" s="229"/>
      <c r="EF333" s="228">
        <f t="shared" si="1072"/>
        <v>0</v>
      </c>
      <c r="EG333" s="228">
        <f t="shared" si="1031"/>
        <v>0</v>
      </c>
      <c r="EH333" s="229">
        <f t="shared" si="1073"/>
        <v>152.78</v>
      </c>
      <c r="EI333" s="229">
        <v>55</v>
      </c>
      <c r="EJ333" s="228">
        <f t="shared" si="1039"/>
        <v>207.78</v>
      </c>
      <c r="EK333" s="229"/>
      <c r="EL333" s="229"/>
      <c r="EM333" s="228">
        <f>SUM(EK333:EL333)</f>
        <v>0</v>
      </c>
      <c r="EN333" s="229">
        <f t="shared" si="907"/>
        <v>152.78</v>
      </c>
      <c r="EO333" s="229">
        <f t="shared" si="926"/>
        <v>55</v>
      </c>
      <c r="EP333" s="228">
        <f>EM333+EJ333</f>
        <v>207.78</v>
      </c>
      <c r="EQ333" s="173">
        <f t="shared" si="1075"/>
        <v>152.78</v>
      </c>
      <c r="ER333" s="189">
        <v>0</v>
      </c>
      <c r="ES333" s="189">
        <v>41.6</v>
      </c>
      <c r="ET333" s="189">
        <v>16.600000000000001</v>
      </c>
      <c r="EU333" s="189">
        <v>0</v>
      </c>
      <c r="EV333" s="189">
        <v>0</v>
      </c>
      <c r="EW333" s="189">
        <v>249.4</v>
      </c>
      <c r="EX333" s="189">
        <v>0</v>
      </c>
      <c r="EY333" s="189">
        <v>0</v>
      </c>
      <c r="EZ333" s="189">
        <v>0</v>
      </c>
      <c r="FA333" s="189">
        <v>0</v>
      </c>
      <c r="FB333" s="189">
        <v>0</v>
      </c>
      <c r="FC333" s="189">
        <v>0</v>
      </c>
      <c r="FD333" s="189">
        <v>0</v>
      </c>
      <c r="FE333" s="189">
        <v>0</v>
      </c>
      <c r="FF333" s="189">
        <v>0</v>
      </c>
      <c r="FG333" s="189">
        <v>0</v>
      </c>
      <c r="FH333" s="189">
        <v>0</v>
      </c>
      <c r="FI333" s="189">
        <v>0</v>
      </c>
      <c r="FJ333" s="189">
        <v>0</v>
      </c>
      <c r="FK333" s="189">
        <v>307.60000000000002</v>
      </c>
      <c r="FL333" s="189">
        <v>235</v>
      </c>
      <c r="FN333" s="132">
        <v>152.78</v>
      </c>
    </row>
    <row r="334" spans="1:170" ht="30" customHeight="1">
      <c r="A334" s="88">
        <f>COUNTIF($H$12:H334,H334)</f>
        <v>11</v>
      </c>
      <c r="B334" s="88" t="s">
        <v>1714</v>
      </c>
      <c r="C334" s="88" t="s">
        <v>895</v>
      </c>
      <c r="D334" s="88"/>
      <c r="E334" s="88"/>
      <c r="F334" s="301" t="s">
        <v>916</v>
      </c>
      <c r="G334" s="89" t="s">
        <v>917</v>
      </c>
      <c r="H334" s="88">
        <v>6</v>
      </c>
      <c r="I334" s="88">
        <v>6</v>
      </c>
      <c r="J334" s="88">
        <v>6</v>
      </c>
      <c r="K334" s="90" t="s">
        <v>1091</v>
      </c>
      <c r="L334" s="90" t="s">
        <v>1091</v>
      </c>
      <c r="M334" s="214"/>
      <c r="N334" s="88" t="s">
        <v>37</v>
      </c>
      <c r="O334" s="216">
        <f t="shared" si="1040"/>
        <v>3.33</v>
      </c>
      <c r="P334" s="88" t="str">
        <f t="shared" si="1045"/>
        <v>B11_4</v>
      </c>
      <c r="Q334" s="88">
        <f t="shared" si="951"/>
        <v>270</v>
      </c>
      <c r="R334" s="88">
        <f t="shared" si="952"/>
        <v>80</v>
      </c>
      <c r="S334" s="232"/>
      <c r="T334" s="214" t="s">
        <v>3088</v>
      </c>
      <c r="U334" s="88">
        <f>IF(RIGHT(T334,1)="K",(VLOOKUP(T334,ma_miengiam!$A$3:$B$80,2,0)*100)/2,VLOOKUP(T334,ma_miengiam!$A$3:$B$80,2,0)*100)</f>
        <v>0</v>
      </c>
      <c r="V334" s="88"/>
      <c r="W334" s="220">
        <f>IF(AND(T334="NTS",V334&gt;0),(Q334-(Q334*V334)/12)*VLOOKUP(T334,ma_miengiam!$A$3:$B$80,2,0)+(Q334-(Q334*(12-V334))/12),IF(AND(RIGHT(T334,1)="K",V334&gt;0),(VLOOKUP(T334,ma_miengiam!$A$3:$B$80,2,0)/2)*(Q334*V334)/12,IF(RIGHT(T334,1)="K",(VLOOKUP(T334,ma_miengiam!$A$3:$B$80,2,0)*Q334)/2,IF(V334&gt;0,VLOOKUP(T334,ma_miengiam!$A$3:$B$80,2,0)*Q334*V334/12,VLOOKUP(T334,ma_miengiam!$A$3:$B$80,2,0)*Q334))))</f>
        <v>0</v>
      </c>
      <c r="X334" s="220">
        <f>IF(T334="NTS",VLOOKUP(T334,ma_miengiam!$A$3:$B$80,2,0)*R334*V334,IF(AND(T334="NTS",V334=0),0,IF(AND(LEFT(T334,1)="K",V334=0),VLOOKUP(T334,ma_miengiam!$A$3:$B$80,2,0)*R334,IF(LEFT(T334,1)="K",(VLOOKUP(T334,ma_miengiam!$A$3:$B$80,2,0)*R334/12)*V334,IF(AND(LEFT(T334,1)="S",V334&gt;0),(R334/12)*V334,IF(AND(LEFT(T334,1)="S",V334=0),R334,IF(T334="DH",VLOOKUP(T334,ma_miengiam!$A$3:$B$80,2,0)*R334,0)))))))</f>
        <v>0</v>
      </c>
      <c r="Y334" s="220">
        <f t="shared" si="1037"/>
        <v>270</v>
      </c>
      <c r="Z334" s="220">
        <f t="shared" ref="Z334:Z350" si="1095">IF(AND(T334="SĐH",V334&gt;0),(R334/12)*V334-X334,IF(AND(T334="DH",V334&gt;0),(R334*V334/12),IF(AND(T334&lt;&gt;"NTS",V334&gt;0),(R334*V334/12)-X334,IF(AND(T334="NTS",V334&gt;0),R334-X334,R334-X334))))</f>
        <v>80</v>
      </c>
      <c r="AA334" s="220">
        <f t="shared" si="1051"/>
        <v>270</v>
      </c>
      <c r="AB334" s="220">
        <f t="shared" si="1052"/>
        <v>80</v>
      </c>
      <c r="AC334" s="220">
        <f t="shared" si="1053"/>
        <v>0</v>
      </c>
      <c r="AD334" s="220">
        <f t="shared" si="1054"/>
        <v>0</v>
      </c>
      <c r="AE334" s="220">
        <f t="shared" si="1055"/>
        <v>270</v>
      </c>
      <c r="AF334" s="220">
        <f t="shared" si="1056"/>
        <v>80</v>
      </c>
      <c r="AG334" s="220">
        <f t="shared" si="1057"/>
        <v>160.85</v>
      </c>
      <c r="AH334" s="220">
        <f t="shared" si="1058"/>
        <v>35.020000000000003</v>
      </c>
      <c r="AI334" s="220">
        <f t="shared" si="1059"/>
        <v>125.83</v>
      </c>
      <c r="AJ334" s="220">
        <f t="shared" si="1060"/>
        <v>0</v>
      </c>
      <c r="AK334" s="216">
        <f t="shared" si="1038"/>
        <v>270</v>
      </c>
      <c r="AL334" s="220">
        <f t="shared" si="1020"/>
        <v>162.80000000000001</v>
      </c>
      <c r="AM334" s="220">
        <f t="shared" si="1021"/>
        <v>0</v>
      </c>
      <c r="AN334" s="221">
        <f t="shared" si="1022"/>
        <v>162.80000000000001</v>
      </c>
      <c r="AO334" s="220">
        <f t="shared" si="1023"/>
        <v>0</v>
      </c>
      <c r="AP334" s="220">
        <f t="shared" si="1024"/>
        <v>0</v>
      </c>
      <c r="AQ334" s="220">
        <f t="shared" si="1025"/>
        <v>0</v>
      </c>
      <c r="AR334" s="220">
        <f t="shared" si="1026"/>
        <v>0</v>
      </c>
      <c r="AS334" s="220">
        <f t="shared" si="1027"/>
        <v>0</v>
      </c>
      <c r="AT334" s="216">
        <f t="shared" si="1028"/>
        <v>162.80000000000001</v>
      </c>
      <c r="AU334" s="222">
        <f t="shared" si="919"/>
        <v>-107.19999999999999</v>
      </c>
      <c r="AV334" s="220"/>
      <c r="AW334" s="220">
        <f t="shared" si="1006"/>
        <v>-107.19999999999999</v>
      </c>
      <c r="AX334" s="216">
        <f t="shared" si="1046"/>
        <v>-107.19999999999999</v>
      </c>
      <c r="AY334" s="220">
        <f t="shared" si="1013"/>
        <v>0</v>
      </c>
      <c r="AZ334" s="220">
        <f t="shared" si="1014"/>
        <v>0</v>
      </c>
      <c r="BA334" s="220">
        <f t="shared" si="1015"/>
        <v>0</v>
      </c>
      <c r="BB334" s="220">
        <f t="shared" si="1016"/>
        <v>0</v>
      </c>
      <c r="BC334" s="220">
        <f t="shared" si="1017"/>
        <v>0</v>
      </c>
      <c r="BD334" s="216">
        <f t="shared" si="988"/>
        <v>0</v>
      </c>
      <c r="BE334" s="220">
        <f t="shared" si="1007"/>
        <v>0</v>
      </c>
      <c r="BF334" s="220">
        <f t="shared" si="1008"/>
        <v>0</v>
      </c>
      <c r="BG334" s="220">
        <f t="shared" si="1009"/>
        <v>0</v>
      </c>
      <c r="BH334" s="220">
        <f t="shared" si="1010"/>
        <v>0</v>
      </c>
      <c r="BI334" s="220">
        <f t="shared" si="1011"/>
        <v>0</v>
      </c>
      <c r="BJ334" s="220" t="s">
        <v>1567</v>
      </c>
      <c r="BK334" s="220"/>
      <c r="BL334" s="223">
        <f t="shared" si="1004"/>
        <v>0</v>
      </c>
      <c r="BM334" s="220">
        <v>3.33</v>
      </c>
      <c r="BN334" s="220"/>
      <c r="BO334" s="220">
        <f t="shared" si="1043"/>
        <v>3.33</v>
      </c>
      <c r="BP334" s="220">
        <f>IF(AND(BL334&gt;0,BL334&lt;tiet!$D$1),BL334,IF(BL334&lt;=0,0,IF(BL334&gt;tiet!$C$1,tiet!$C$1)))</f>
        <v>0</v>
      </c>
      <c r="BQ334" s="87">
        <f t="shared" si="1047"/>
        <v>65000</v>
      </c>
      <c r="BR334" s="224">
        <f t="shared" si="1048"/>
        <v>0</v>
      </c>
      <c r="BS334" s="220">
        <f t="shared" si="1068"/>
        <v>0</v>
      </c>
      <c r="BT334" s="224">
        <f>VLOOKUP(N334,ma_dinhmuc!$A$1:$J$31,10,0)</f>
        <v>51000</v>
      </c>
      <c r="BU334" s="224">
        <f>ROUND(IF(BS334&gt;0,VLOOKUP(N334,ma_dinhmuc!$A$1:$J$31,10,0)*BS334,0),0)</f>
        <v>0</v>
      </c>
      <c r="BV334" s="224">
        <f t="shared" si="1049"/>
        <v>0</v>
      </c>
      <c r="BW334" s="224"/>
      <c r="BX334" s="224">
        <v>0</v>
      </c>
      <c r="BY334" s="224"/>
      <c r="BZ334" s="224"/>
      <c r="CA334" s="224"/>
      <c r="CB334" s="224"/>
      <c r="CC334" s="225">
        <f t="shared" si="1069"/>
        <v>0</v>
      </c>
      <c r="CD334" s="224">
        <f t="shared" si="1070"/>
        <v>0</v>
      </c>
      <c r="CE334" s="224"/>
      <c r="CF334" s="226"/>
      <c r="CG334" s="87"/>
      <c r="CH334" s="87">
        <f t="shared" si="1071"/>
        <v>11</v>
      </c>
      <c r="CI334" s="227" t="str">
        <f t="shared" si="1061"/>
        <v>Hà Thị Hồng</v>
      </c>
      <c r="CJ334" s="227" t="str">
        <f t="shared" si="1062"/>
        <v>Yến</v>
      </c>
      <c r="CK334" s="87">
        <f t="shared" si="1063"/>
        <v>6</v>
      </c>
      <c r="CL334" s="227" t="str">
        <f t="shared" si="1064"/>
        <v>Đường lối CM của ĐCSVN</v>
      </c>
      <c r="CM334" s="87" t="str">
        <f t="shared" si="1012"/>
        <v>CT2</v>
      </c>
      <c r="CN334" s="87">
        <f t="shared" ref="CN334:CN342" si="1096">Q334</f>
        <v>270</v>
      </c>
      <c r="CO334" s="87">
        <f t="shared" ref="CO334:CO342" si="1097">R334</f>
        <v>80</v>
      </c>
      <c r="CP334" s="229">
        <f t="shared" si="1076"/>
        <v>0</v>
      </c>
      <c r="CQ334" s="229">
        <f t="shared" si="1077"/>
        <v>19.8</v>
      </c>
      <c r="CR334" s="229">
        <f t="shared" si="1078"/>
        <v>8</v>
      </c>
      <c r="CS334" s="229">
        <f t="shared" si="1079"/>
        <v>0</v>
      </c>
      <c r="CT334" s="229">
        <f t="shared" si="1080"/>
        <v>0</v>
      </c>
      <c r="CU334" s="229">
        <f t="shared" si="1081"/>
        <v>135</v>
      </c>
      <c r="CV334" s="229">
        <f t="shared" si="1082"/>
        <v>0</v>
      </c>
      <c r="CW334" s="229">
        <f t="shared" si="1083"/>
        <v>0</v>
      </c>
      <c r="CX334" s="229">
        <f t="shared" si="1084"/>
        <v>0</v>
      </c>
      <c r="CY334" s="229">
        <f t="shared" si="1085"/>
        <v>0</v>
      </c>
      <c r="CZ334" s="229">
        <f t="shared" si="1086"/>
        <v>0</v>
      </c>
      <c r="DA334" s="229">
        <f t="shared" si="1087"/>
        <v>0</v>
      </c>
      <c r="DB334" s="228">
        <f t="shared" si="1018"/>
        <v>162.80000000000001</v>
      </c>
      <c r="DC334" s="229"/>
      <c r="DD334" s="229"/>
      <c r="DE334" s="229"/>
      <c r="DF334" s="229"/>
      <c r="DG334" s="229"/>
      <c r="DH334" s="229"/>
      <c r="DI334" s="229"/>
      <c r="DJ334" s="229"/>
      <c r="DK334" s="229"/>
      <c r="DL334" s="229"/>
      <c r="DM334" s="229"/>
      <c r="DN334" s="229"/>
      <c r="DO334" s="228">
        <f t="shared" si="1029"/>
        <v>0</v>
      </c>
      <c r="DP334" s="228">
        <f t="shared" si="1030"/>
        <v>162.80000000000001</v>
      </c>
      <c r="DQ334" s="229">
        <f t="shared" si="1088"/>
        <v>0</v>
      </c>
      <c r="DR334" s="229">
        <f t="shared" si="1089"/>
        <v>0</v>
      </c>
      <c r="DS334" s="229">
        <f t="shared" si="1090"/>
        <v>0</v>
      </c>
      <c r="DT334" s="229">
        <f t="shared" si="1091"/>
        <v>0</v>
      </c>
      <c r="DU334" s="229">
        <f t="shared" si="1092"/>
        <v>0</v>
      </c>
      <c r="DV334" s="229">
        <f t="shared" si="1093"/>
        <v>0</v>
      </c>
      <c r="DW334" s="229">
        <f t="shared" si="1094"/>
        <v>0</v>
      </c>
      <c r="DX334" s="228">
        <f t="shared" si="1019"/>
        <v>0</v>
      </c>
      <c r="DY334" s="229"/>
      <c r="DZ334" s="229"/>
      <c r="EA334" s="229"/>
      <c r="EB334" s="229"/>
      <c r="EC334" s="229"/>
      <c r="ED334" s="229"/>
      <c r="EE334" s="229"/>
      <c r="EF334" s="228">
        <f t="shared" si="1072"/>
        <v>0</v>
      </c>
      <c r="EG334" s="228">
        <f t="shared" si="1031"/>
        <v>0</v>
      </c>
      <c r="EH334" s="229">
        <f t="shared" si="1073"/>
        <v>125.83</v>
      </c>
      <c r="EI334" s="229">
        <v>35.020000000000003</v>
      </c>
      <c r="EJ334" s="228">
        <f t="shared" si="1039"/>
        <v>160.85</v>
      </c>
      <c r="EK334" s="229"/>
      <c r="EL334" s="229"/>
      <c r="EM334" s="228">
        <f t="shared" si="1065"/>
        <v>0</v>
      </c>
      <c r="EN334" s="229">
        <f t="shared" si="907"/>
        <v>125.83</v>
      </c>
      <c r="EO334" s="229">
        <f t="shared" si="926"/>
        <v>35.020000000000003</v>
      </c>
      <c r="EP334" s="228">
        <f t="shared" si="1074"/>
        <v>160.85</v>
      </c>
      <c r="EQ334" s="173">
        <f t="shared" si="1075"/>
        <v>45.83</v>
      </c>
      <c r="ER334" s="189">
        <v>0</v>
      </c>
      <c r="ES334" s="189">
        <v>19.8</v>
      </c>
      <c r="ET334" s="189">
        <v>8</v>
      </c>
      <c r="EU334" s="189">
        <v>0</v>
      </c>
      <c r="EV334" s="189">
        <v>0</v>
      </c>
      <c r="EW334" s="189">
        <v>135</v>
      </c>
      <c r="EX334" s="189">
        <v>0</v>
      </c>
      <c r="EY334" s="189">
        <v>0</v>
      </c>
      <c r="EZ334" s="189">
        <v>0</v>
      </c>
      <c r="FA334" s="189">
        <v>0</v>
      </c>
      <c r="FB334" s="189">
        <v>0</v>
      </c>
      <c r="FC334" s="189">
        <v>0</v>
      </c>
      <c r="FD334" s="189">
        <v>0</v>
      </c>
      <c r="FE334" s="189">
        <v>0</v>
      </c>
      <c r="FF334" s="189">
        <v>0</v>
      </c>
      <c r="FG334" s="189">
        <v>0</v>
      </c>
      <c r="FH334" s="189">
        <v>0</v>
      </c>
      <c r="FI334" s="189">
        <v>0</v>
      </c>
      <c r="FJ334" s="189">
        <v>0</v>
      </c>
      <c r="FK334" s="189">
        <v>162.80000000000001</v>
      </c>
      <c r="FL334" s="189">
        <v>141</v>
      </c>
      <c r="FN334" s="132">
        <v>125.83</v>
      </c>
    </row>
    <row r="335" spans="1:170" ht="25.5" customHeight="1">
      <c r="A335" s="88">
        <f>COUNTIF($H$12:H335,H335)</f>
        <v>12</v>
      </c>
      <c r="B335" s="88" t="s">
        <v>1715</v>
      </c>
      <c r="C335" s="88" t="s">
        <v>896</v>
      </c>
      <c r="D335" s="88"/>
      <c r="E335" s="88"/>
      <c r="F335" s="301" t="s">
        <v>2824</v>
      </c>
      <c r="G335" s="89" t="s">
        <v>17</v>
      </c>
      <c r="H335" s="88">
        <v>6</v>
      </c>
      <c r="I335" s="88">
        <v>6</v>
      </c>
      <c r="J335" s="88">
        <v>6</v>
      </c>
      <c r="K335" s="90" t="s">
        <v>1091</v>
      </c>
      <c r="L335" s="90" t="s">
        <v>1091</v>
      </c>
      <c r="M335" s="214"/>
      <c r="N335" s="88" t="s">
        <v>37</v>
      </c>
      <c r="O335" s="216">
        <f t="shared" si="1040"/>
        <v>3.99</v>
      </c>
      <c r="P335" s="88" t="str">
        <f t="shared" si="1045"/>
        <v>B11_4</v>
      </c>
      <c r="Q335" s="88">
        <f t="shared" si="951"/>
        <v>270</v>
      </c>
      <c r="R335" s="88">
        <f t="shared" si="952"/>
        <v>80</v>
      </c>
      <c r="S335" s="231"/>
      <c r="T335" s="214" t="s">
        <v>3088</v>
      </c>
      <c r="U335" s="88">
        <f>IF(RIGHT(T335,1)="K",(VLOOKUP(T335,ma_miengiam!$A$3:$B$80,2,0)*100)/2,VLOOKUP(T335,ma_miengiam!$A$3:$B$80,2,0)*100)</f>
        <v>0</v>
      </c>
      <c r="V335" s="88"/>
      <c r="W335" s="220">
        <f>IF(AND(T335="NTS",V335&gt;0),(Q335-(Q335*V335)/12)*VLOOKUP(T335,ma_miengiam!$A$3:$B$80,2,0)+(Q335-(Q335*(12-V335))/12),IF(AND(RIGHT(T335,1)="K",V335&gt;0),(VLOOKUP(T335,ma_miengiam!$A$3:$B$80,2,0)/2)*(Q335*V335)/12,IF(RIGHT(T335,1)="K",(VLOOKUP(T335,ma_miengiam!$A$3:$B$80,2,0)*Q335)/2,IF(V335&gt;0,VLOOKUP(T335,ma_miengiam!$A$3:$B$80,2,0)*Q335*V335/12,VLOOKUP(T335,ma_miengiam!$A$3:$B$80,2,0)*Q335))))</f>
        <v>0</v>
      </c>
      <c r="X335" s="220">
        <f>IF(T335="NTS",VLOOKUP(T335,ma_miengiam!$A$3:$B$80,2,0)*R335*V335,IF(AND(T335="NTS",V335=0),0,IF(AND(LEFT(T335,1)="K",V335=0),VLOOKUP(T335,ma_miengiam!$A$3:$B$80,2,0)*R335,IF(LEFT(T335,1)="K",(VLOOKUP(T335,ma_miengiam!$A$3:$B$80,2,0)*R335/12)*V335,IF(AND(LEFT(T335,1)="S",V335&gt;0),(R335/12)*V335,IF(AND(LEFT(T335,1)="S",V335=0),R335,IF(T335="DH",VLOOKUP(T335,ma_miengiam!$A$3:$B$80,2,0)*R335,0)))))))</f>
        <v>0</v>
      </c>
      <c r="Y335" s="220">
        <f t="shared" si="1037"/>
        <v>270</v>
      </c>
      <c r="Z335" s="220">
        <f t="shared" si="1095"/>
        <v>80</v>
      </c>
      <c r="AA335" s="220">
        <f t="shared" si="1051"/>
        <v>270</v>
      </c>
      <c r="AB335" s="220">
        <f t="shared" si="1052"/>
        <v>80</v>
      </c>
      <c r="AC335" s="220">
        <f t="shared" si="1053"/>
        <v>0</v>
      </c>
      <c r="AD335" s="220">
        <f t="shared" si="1054"/>
        <v>0</v>
      </c>
      <c r="AE335" s="220">
        <f t="shared" si="1055"/>
        <v>270</v>
      </c>
      <c r="AF335" s="220">
        <f t="shared" si="1056"/>
        <v>80</v>
      </c>
      <c r="AG335" s="220">
        <f t="shared" si="1057"/>
        <v>196.68</v>
      </c>
      <c r="AH335" s="220">
        <f t="shared" si="1058"/>
        <v>35.020000000000003</v>
      </c>
      <c r="AI335" s="220">
        <f t="shared" si="1059"/>
        <v>161.66</v>
      </c>
      <c r="AJ335" s="220">
        <f t="shared" si="1060"/>
        <v>0</v>
      </c>
      <c r="AK335" s="216">
        <f t="shared" si="1038"/>
        <v>270</v>
      </c>
      <c r="AL335" s="220">
        <f t="shared" si="1020"/>
        <v>359.8</v>
      </c>
      <c r="AM335" s="220">
        <f t="shared" si="1021"/>
        <v>0</v>
      </c>
      <c r="AN335" s="221">
        <f t="shared" si="1022"/>
        <v>359.8</v>
      </c>
      <c r="AO335" s="220">
        <f t="shared" si="1023"/>
        <v>0</v>
      </c>
      <c r="AP335" s="220">
        <f t="shared" si="1024"/>
        <v>0</v>
      </c>
      <c r="AQ335" s="220">
        <f t="shared" si="1025"/>
        <v>0</v>
      </c>
      <c r="AR335" s="220">
        <f t="shared" si="1026"/>
        <v>0</v>
      </c>
      <c r="AS335" s="220">
        <f t="shared" si="1027"/>
        <v>0</v>
      </c>
      <c r="AT335" s="216">
        <f t="shared" si="1028"/>
        <v>359.8</v>
      </c>
      <c r="AU335" s="222">
        <f t="shared" si="919"/>
        <v>89.800000000000011</v>
      </c>
      <c r="AV335" s="220"/>
      <c r="AW335" s="220">
        <f t="shared" si="1006"/>
        <v>89.800000000000011</v>
      </c>
      <c r="AX335" s="216">
        <f t="shared" si="1046"/>
        <v>0</v>
      </c>
      <c r="AY335" s="220">
        <f t="shared" si="1013"/>
        <v>0</v>
      </c>
      <c r="AZ335" s="220">
        <f t="shared" si="1014"/>
        <v>0</v>
      </c>
      <c r="BA335" s="220">
        <f t="shared" si="1015"/>
        <v>0</v>
      </c>
      <c r="BB335" s="220">
        <f t="shared" si="1016"/>
        <v>0</v>
      </c>
      <c r="BC335" s="220">
        <f t="shared" si="1017"/>
        <v>0</v>
      </c>
      <c r="BD335" s="216">
        <f t="shared" si="988"/>
        <v>0</v>
      </c>
      <c r="BE335" s="220">
        <f t="shared" si="1007"/>
        <v>0</v>
      </c>
      <c r="BF335" s="220">
        <f t="shared" si="1008"/>
        <v>0</v>
      </c>
      <c r="BG335" s="220">
        <f t="shared" si="1009"/>
        <v>0</v>
      </c>
      <c r="BH335" s="220">
        <f t="shared" si="1010"/>
        <v>0</v>
      </c>
      <c r="BI335" s="220">
        <f t="shared" si="1011"/>
        <v>0</v>
      </c>
      <c r="BJ335" s="220" t="s">
        <v>1567</v>
      </c>
      <c r="BK335" s="220"/>
      <c r="BL335" s="223">
        <f t="shared" si="1004"/>
        <v>89.800000000000011</v>
      </c>
      <c r="BM335" s="220">
        <v>3.99</v>
      </c>
      <c r="BN335" s="220"/>
      <c r="BO335" s="220">
        <f t="shared" si="1043"/>
        <v>3.99</v>
      </c>
      <c r="BP335" s="220">
        <f>IF(AND(BL335&gt;0,BL335&lt;tiet!$D$1),BL335,IF(BL335&lt;=0,0,IF(BL335&gt;tiet!$C$1,tiet!$C$1)))</f>
        <v>89.800000000000011</v>
      </c>
      <c r="BQ335" s="87">
        <f t="shared" si="1047"/>
        <v>65000</v>
      </c>
      <c r="BR335" s="224">
        <f t="shared" si="1048"/>
        <v>5837000</v>
      </c>
      <c r="BS335" s="220">
        <f t="shared" si="1068"/>
        <v>0</v>
      </c>
      <c r="BT335" s="224">
        <f>VLOOKUP(N335,ma_dinhmuc!$A$1:$J$31,10,0)</f>
        <v>51000</v>
      </c>
      <c r="BU335" s="224">
        <f>ROUND(IF(BS335&gt;0,VLOOKUP(N335,ma_dinhmuc!$A$1:$J$31,10,0)*BS335,0),0)</f>
        <v>0</v>
      </c>
      <c r="BV335" s="224">
        <f t="shared" si="1049"/>
        <v>5837000</v>
      </c>
      <c r="BW335" s="224"/>
      <c r="BX335" s="224">
        <v>0</v>
      </c>
      <c r="BY335" s="224"/>
      <c r="BZ335" s="224"/>
      <c r="CA335" s="224"/>
      <c r="CB335" s="224"/>
      <c r="CC335" s="225">
        <f t="shared" si="1069"/>
        <v>5837000</v>
      </c>
      <c r="CD335" s="224">
        <f t="shared" si="1070"/>
        <v>0</v>
      </c>
      <c r="CE335" s="224"/>
      <c r="CF335" s="226"/>
      <c r="CG335" s="87"/>
      <c r="CH335" s="87">
        <f t="shared" si="1071"/>
        <v>12</v>
      </c>
      <c r="CI335" s="227" t="str">
        <f t="shared" si="1061"/>
        <v>Vũ Thị Thu</v>
      </c>
      <c r="CJ335" s="227" t="str">
        <f t="shared" si="1062"/>
        <v>Hà</v>
      </c>
      <c r="CK335" s="87">
        <f t="shared" si="1063"/>
        <v>6</v>
      </c>
      <c r="CL335" s="227" t="str">
        <f t="shared" si="1064"/>
        <v>Đường lối CM của ĐCSVN</v>
      </c>
      <c r="CM335" s="87" t="str">
        <f t="shared" si="1012"/>
        <v>CT2</v>
      </c>
      <c r="CN335" s="87">
        <f t="shared" si="1096"/>
        <v>270</v>
      </c>
      <c r="CO335" s="87">
        <f t="shared" si="1097"/>
        <v>80</v>
      </c>
      <c r="CP335" s="229">
        <f t="shared" si="1076"/>
        <v>0</v>
      </c>
      <c r="CQ335" s="229">
        <f t="shared" si="1077"/>
        <v>41.1</v>
      </c>
      <c r="CR335" s="229">
        <f t="shared" si="1078"/>
        <v>16.5</v>
      </c>
      <c r="CS335" s="229">
        <f t="shared" si="1079"/>
        <v>0</v>
      </c>
      <c r="CT335" s="229">
        <f t="shared" si="1080"/>
        <v>0</v>
      </c>
      <c r="CU335" s="229">
        <f t="shared" si="1081"/>
        <v>302.2</v>
      </c>
      <c r="CV335" s="229">
        <f t="shared" si="1082"/>
        <v>0</v>
      </c>
      <c r="CW335" s="229">
        <f t="shared" si="1083"/>
        <v>0</v>
      </c>
      <c r="CX335" s="229">
        <f t="shared" si="1084"/>
        <v>0</v>
      </c>
      <c r="CY335" s="229">
        <f t="shared" si="1085"/>
        <v>0</v>
      </c>
      <c r="CZ335" s="229">
        <f t="shared" si="1086"/>
        <v>0</v>
      </c>
      <c r="DA335" s="229">
        <f t="shared" si="1087"/>
        <v>0</v>
      </c>
      <c r="DB335" s="228">
        <f t="shared" si="1018"/>
        <v>359.8</v>
      </c>
      <c r="DC335" s="229"/>
      <c r="DD335" s="229"/>
      <c r="DE335" s="229"/>
      <c r="DF335" s="229"/>
      <c r="DG335" s="229"/>
      <c r="DH335" s="229"/>
      <c r="DI335" s="229"/>
      <c r="DJ335" s="229"/>
      <c r="DK335" s="229"/>
      <c r="DL335" s="229"/>
      <c r="DM335" s="229"/>
      <c r="DN335" s="229"/>
      <c r="DO335" s="228">
        <f t="shared" si="1029"/>
        <v>0</v>
      </c>
      <c r="DP335" s="228">
        <f t="shared" si="1030"/>
        <v>359.8</v>
      </c>
      <c r="DQ335" s="229">
        <f t="shared" si="1088"/>
        <v>0</v>
      </c>
      <c r="DR335" s="229">
        <f t="shared" si="1089"/>
        <v>0</v>
      </c>
      <c r="DS335" s="229">
        <f t="shared" si="1090"/>
        <v>0</v>
      </c>
      <c r="DT335" s="229">
        <f t="shared" si="1091"/>
        <v>0</v>
      </c>
      <c r="DU335" s="229">
        <f t="shared" si="1092"/>
        <v>0</v>
      </c>
      <c r="DV335" s="229">
        <f t="shared" si="1093"/>
        <v>0</v>
      </c>
      <c r="DW335" s="229">
        <f t="shared" si="1094"/>
        <v>0</v>
      </c>
      <c r="DX335" s="228">
        <f t="shared" si="1019"/>
        <v>0</v>
      </c>
      <c r="DY335" s="229"/>
      <c r="DZ335" s="229"/>
      <c r="EA335" s="229"/>
      <c r="EB335" s="229"/>
      <c r="EC335" s="229"/>
      <c r="ED335" s="229"/>
      <c r="EE335" s="229"/>
      <c r="EF335" s="228">
        <f t="shared" si="1072"/>
        <v>0</v>
      </c>
      <c r="EG335" s="228">
        <f t="shared" si="1031"/>
        <v>0</v>
      </c>
      <c r="EH335" s="229">
        <f t="shared" si="1073"/>
        <v>161.66</v>
      </c>
      <c r="EI335" s="229">
        <v>35.020000000000003</v>
      </c>
      <c r="EJ335" s="228">
        <f t="shared" si="1039"/>
        <v>196.68</v>
      </c>
      <c r="EK335" s="229"/>
      <c r="EL335" s="229"/>
      <c r="EM335" s="228">
        <f t="shared" si="1065"/>
        <v>0</v>
      </c>
      <c r="EN335" s="229">
        <f t="shared" si="907"/>
        <v>161.66</v>
      </c>
      <c r="EO335" s="229">
        <f t="shared" si="926"/>
        <v>35.020000000000003</v>
      </c>
      <c r="EP335" s="228">
        <f t="shared" si="1074"/>
        <v>196.68</v>
      </c>
      <c r="EQ335" s="173">
        <f t="shared" si="1075"/>
        <v>81.66</v>
      </c>
      <c r="ER335" s="189">
        <v>0</v>
      </c>
      <c r="ES335" s="189">
        <v>41.1</v>
      </c>
      <c r="ET335" s="189">
        <v>16.5</v>
      </c>
      <c r="EU335" s="189">
        <v>0</v>
      </c>
      <c r="EV335" s="189">
        <v>0</v>
      </c>
      <c r="EW335" s="189">
        <v>302.2</v>
      </c>
      <c r="EX335" s="189">
        <v>0</v>
      </c>
      <c r="EY335" s="189">
        <v>0</v>
      </c>
      <c r="EZ335" s="189">
        <v>0</v>
      </c>
      <c r="FA335" s="189">
        <v>0</v>
      </c>
      <c r="FB335" s="189">
        <v>0</v>
      </c>
      <c r="FC335" s="189">
        <v>0</v>
      </c>
      <c r="FD335" s="189">
        <v>0</v>
      </c>
      <c r="FE335" s="189">
        <v>0</v>
      </c>
      <c r="FF335" s="189">
        <v>0</v>
      </c>
      <c r="FG335" s="189">
        <v>0</v>
      </c>
      <c r="FH335" s="189">
        <v>0</v>
      </c>
      <c r="FI335" s="189">
        <v>0</v>
      </c>
      <c r="FJ335" s="189">
        <v>0</v>
      </c>
      <c r="FK335" s="189">
        <v>359.8</v>
      </c>
      <c r="FL335" s="189">
        <v>282</v>
      </c>
      <c r="FN335" s="132">
        <v>161.66</v>
      </c>
    </row>
    <row r="336" spans="1:170" ht="30" customHeight="1">
      <c r="A336" s="88">
        <f>COUNTIF($H$12:H336,H336)</f>
        <v>13</v>
      </c>
      <c r="B336" s="88" t="s">
        <v>1716</v>
      </c>
      <c r="C336" s="88" t="s">
        <v>897</v>
      </c>
      <c r="D336" s="88"/>
      <c r="E336" s="88"/>
      <c r="F336" s="301" t="s">
        <v>918</v>
      </c>
      <c r="G336" s="89" t="s">
        <v>919</v>
      </c>
      <c r="H336" s="88">
        <v>6</v>
      </c>
      <c r="I336" s="88">
        <v>6</v>
      </c>
      <c r="J336" s="88">
        <v>6</v>
      </c>
      <c r="K336" s="90" t="s">
        <v>1091</v>
      </c>
      <c r="L336" s="90" t="s">
        <v>1091</v>
      </c>
      <c r="M336" s="214"/>
      <c r="N336" s="88" t="s">
        <v>37</v>
      </c>
      <c r="O336" s="216">
        <f t="shared" si="1040"/>
        <v>3.66</v>
      </c>
      <c r="P336" s="88" t="str">
        <f t="shared" si="1045"/>
        <v>B11_4</v>
      </c>
      <c r="Q336" s="88">
        <f t="shared" si="951"/>
        <v>270</v>
      </c>
      <c r="R336" s="88">
        <f t="shared" si="952"/>
        <v>80</v>
      </c>
      <c r="S336" s="232"/>
      <c r="T336" s="88" t="s">
        <v>3088</v>
      </c>
      <c r="U336" s="88">
        <f>IF(RIGHT(T336,1)="K",(VLOOKUP(T336,ma_miengiam!$A$3:$B$80,2,0)*100)/2,VLOOKUP(T336,ma_miengiam!$A$3:$B$80,2,0)*100)</f>
        <v>0</v>
      </c>
      <c r="V336" s="88"/>
      <c r="W336" s="220">
        <f>IF(AND(T336="NTS",V336&gt;0),(Q336-(Q336*V336)/12)*VLOOKUP(T336,ma_miengiam!$A$3:$B$80,2,0)+(Q336-(Q336*(12-V336))/12),IF(AND(RIGHT(T336,1)="K",V336&gt;0),(VLOOKUP(T336,ma_miengiam!$A$3:$B$80,2,0)/2)*(Q336*V336)/12,IF(RIGHT(T336,1)="K",(VLOOKUP(T336,ma_miengiam!$A$3:$B$80,2,0)*Q336)/2,IF(V336&gt;0,VLOOKUP(T336,ma_miengiam!$A$3:$B$80,2,0)*Q336*V336/12,VLOOKUP(T336,ma_miengiam!$A$3:$B$80,2,0)*Q336))))</f>
        <v>0</v>
      </c>
      <c r="X336" s="220">
        <f>IF(T336="NTS",VLOOKUP(T336,ma_miengiam!$A$3:$B$80,2,0)*R336*V336,IF(AND(T336="NTS",V336=0),0,IF(AND(LEFT(T336,1)="K",V336=0),VLOOKUP(T336,ma_miengiam!$A$3:$B$80,2,0)*R336,IF(LEFT(T336,1)="K",(VLOOKUP(T336,ma_miengiam!$A$3:$B$80,2,0)*R336/12)*V336,IF(AND(LEFT(T336,1)="S",V336&gt;0),(R336/12)*V336,IF(AND(LEFT(T336,1)="S",V336=0),R336,IF(T336="DH",VLOOKUP(T336,ma_miengiam!$A$3:$B$80,2,0)*R336,0)))))))</f>
        <v>0</v>
      </c>
      <c r="Y336" s="220">
        <f t="shared" si="1037"/>
        <v>270</v>
      </c>
      <c r="Z336" s="220">
        <f t="shared" si="1095"/>
        <v>80</v>
      </c>
      <c r="AA336" s="220">
        <f t="shared" ref="AA336:AB340" si="1098">Q336</f>
        <v>270</v>
      </c>
      <c r="AB336" s="220">
        <f t="shared" si="1098"/>
        <v>80</v>
      </c>
      <c r="AC336" s="220">
        <f t="shared" ref="AC336:AF338" si="1099">W336</f>
        <v>0</v>
      </c>
      <c r="AD336" s="220">
        <f t="shared" si="1099"/>
        <v>0</v>
      </c>
      <c r="AE336" s="220">
        <f t="shared" si="1099"/>
        <v>270</v>
      </c>
      <c r="AF336" s="220">
        <f t="shared" si="1099"/>
        <v>80</v>
      </c>
      <c r="AG336" s="220">
        <f t="shared" ref="AG336:AG342" si="1100">AH336+AI336</f>
        <v>297.77999999999997</v>
      </c>
      <c r="AH336" s="220">
        <f t="shared" ref="AH336:AH342" si="1101">EO336</f>
        <v>0</v>
      </c>
      <c r="AI336" s="220">
        <f t="shared" ref="AI336:AI342" si="1102">EN336</f>
        <v>297.77999999999997</v>
      </c>
      <c r="AJ336" s="220">
        <f t="shared" si="1060"/>
        <v>0</v>
      </c>
      <c r="AK336" s="216">
        <f t="shared" si="1038"/>
        <v>270</v>
      </c>
      <c r="AL336" s="220">
        <f t="shared" si="1020"/>
        <v>505.70000000000005</v>
      </c>
      <c r="AM336" s="220">
        <f t="shared" si="1021"/>
        <v>0</v>
      </c>
      <c r="AN336" s="221">
        <f t="shared" si="1022"/>
        <v>505.70000000000005</v>
      </c>
      <c r="AO336" s="220">
        <f t="shared" si="1023"/>
        <v>0</v>
      </c>
      <c r="AP336" s="220">
        <f t="shared" si="1024"/>
        <v>0</v>
      </c>
      <c r="AQ336" s="220">
        <f t="shared" si="1025"/>
        <v>0</v>
      </c>
      <c r="AR336" s="220">
        <f t="shared" si="1026"/>
        <v>0</v>
      </c>
      <c r="AS336" s="220">
        <f t="shared" si="1027"/>
        <v>0</v>
      </c>
      <c r="AT336" s="216">
        <f t="shared" si="1028"/>
        <v>505.70000000000005</v>
      </c>
      <c r="AU336" s="222">
        <f t="shared" si="919"/>
        <v>235.70000000000005</v>
      </c>
      <c r="AV336" s="220"/>
      <c r="AW336" s="220">
        <f t="shared" si="1006"/>
        <v>235.70000000000005</v>
      </c>
      <c r="AX336" s="216">
        <f t="shared" si="1046"/>
        <v>0</v>
      </c>
      <c r="AY336" s="220">
        <f t="shared" si="1013"/>
        <v>0</v>
      </c>
      <c r="AZ336" s="220">
        <f t="shared" si="1014"/>
        <v>0</v>
      </c>
      <c r="BA336" s="220">
        <f t="shared" si="1015"/>
        <v>0</v>
      </c>
      <c r="BB336" s="220">
        <f t="shared" si="1016"/>
        <v>0</v>
      </c>
      <c r="BC336" s="220">
        <f t="shared" si="1017"/>
        <v>0</v>
      </c>
      <c r="BD336" s="216">
        <f t="shared" si="988"/>
        <v>0</v>
      </c>
      <c r="BE336" s="220">
        <f t="shared" si="1007"/>
        <v>0</v>
      </c>
      <c r="BF336" s="220">
        <f t="shared" si="1008"/>
        <v>0</v>
      </c>
      <c r="BG336" s="220">
        <f t="shared" si="1009"/>
        <v>0</v>
      </c>
      <c r="BH336" s="220">
        <f t="shared" si="1010"/>
        <v>0</v>
      </c>
      <c r="BI336" s="220">
        <f t="shared" si="1011"/>
        <v>0</v>
      </c>
      <c r="BJ336" s="220" t="s">
        <v>1567</v>
      </c>
      <c r="BK336" s="220"/>
      <c r="BL336" s="223">
        <f t="shared" si="1004"/>
        <v>235.70000000000005</v>
      </c>
      <c r="BM336" s="220">
        <v>3.66</v>
      </c>
      <c r="BN336" s="220"/>
      <c r="BO336" s="220">
        <f>ROUND(BM336+(BM336*BN336),2)</f>
        <v>3.66</v>
      </c>
      <c r="BP336" s="220">
        <f>IF(AND(BL336&gt;0,BL336&lt;tiet!$D$1),BL336,IF(BL336&lt;=0,0,IF(BL336&gt;tiet!$C$1,tiet!$C$1)))</f>
        <v>200</v>
      </c>
      <c r="BQ336" s="87">
        <f t="shared" si="1047"/>
        <v>65000</v>
      </c>
      <c r="BR336" s="224">
        <f t="shared" si="1048"/>
        <v>13000000</v>
      </c>
      <c r="BS336" s="220">
        <f t="shared" si="1068"/>
        <v>35.700000000000045</v>
      </c>
      <c r="BT336" s="224">
        <f>VLOOKUP(N336,ma_dinhmuc!$A$1:$J$31,10,0)</f>
        <v>51000</v>
      </c>
      <c r="BU336" s="224">
        <f>ROUND(IF(BS336&gt;0,VLOOKUP(N336,ma_dinhmuc!$A$1:$J$31,10,0)*BS336,0),0)</f>
        <v>1820700</v>
      </c>
      <c r="BV336" s="224">
        <f t="shared" si="1049"/>
        <v>14820700</v>
      </c>
      <c r="BW336" s="224"/>
      <c r="BX336" s="224">
        <v>0</v>
      </c>
      <c r="BY336" s="224"/>
      <c r="BZ336" s="224"/>
      <c r="CA336" s="224"/>
      <c r="CB336" s="224"/>
      <c r="CC336" s="225">
        <f t="shared" si="1069"/>
        <v>14820700</v>
      </c>
      <c r="CD336" s="224">
        <f t="shared" si="1070"/>
        <v>0</v>
      </c>
      <c r="CE336" s="224"/>
      <c r="CF336" s="226"/>
      <c r="CG336" s="87"/>
      <c r="CH336" s="87">
        <f t="shared" si="1071"/>
        <v>13</v>
      </c>
      <c r="CI336" s="227" t="str">
        <f t="shared" ref="CI336:CK337" si="1103">F336</f>
        <v>Trần Khánh</v>
      </c>
      <c r="CJ336" s="227" t="str">
        <f t="shared" si="1103"/>
        <v>Dư</v>
      </c>
      <c r="CK336" s="87">
        <f t="shared" si="1103"/>
        <v>6</v>
      </c>
      <c r="CL336" s="227" t="str">
        <f t="shared" si="1064"/>
        <v>Đường lối CM của ĐCSVN</v>
      </c>
      <c r="CM336" s="87" t="str">
        <f t="shared" si="1012"/>
        <v>CT2</v>
      </c>
      <c r="CN336" s="87">
        <f t="shared" si="1096"/>
        <v>270</v>
      </c>
      <c r="CO336" s="87">
        <f t="shared" si="1097"/>
        <v>80</v>
      </c>
      <c r="CP336" s="229">
        <f t="shared" si="1076"/>
        <v>0</v>
      </c>
      <c r="CQ336" s="229">
        <f t="shared" si="1077"/>
        <v>65.5</v>
      </c>
      <c r="CR336" s="229">
        <f t="shared" si="1078"/>
        <v>26.4</v>
      </c>
      <c r="CS336" s="229">
        <f t="shared" si="1079"/>
        <v>0</v>
      </c>
      <c r="CT336" s="229">
        <f t="shared" si="1080"/>
        <v>0</v>
      </c>
      <c r="CU336" s="229">
        <f t="shared" si="1081"/>
        <v>413.8</v>
      </c>
      <c r="CV336" s="229">
        <f t="shared" si="1082"/>
        <v>0</v>
      </c>
      <c r="CW336" s="229">
        <f t="shared" si="1083"/>
        <v>0</v>
      </c>
      <c r="CX336" s="229">
        <f t="shared" si="1084"/>
        <v>0</v>
      </c>
      <c r="CY336" s="229">
        <f t="shared" si="1085"/>
        <v>0</v>
      </c>
      <c r="CZ336" s="229">
        <f t="shared" si="1086"/>
        <v>0</v>
      </c>
      <c r="DA336" s="229">
        <f t="shared" si="1087"/>
        <v>0</v>
      </c>
      <c r="DB336" s="228">
        <f t="shared" si="1018"/>
        <v>505.70000000000005</v>
      </c>
      <c r="DC336" s="229"/>
      <c r="DD336" s="229"/>
      <c r="DE336" s="229"/>
      <c r="DF336" s="229"/>
      <c r="DG336" s="229"/>
      <c r="DH336" s="229"/>
      <c r="DI336" s="229"/>
      <c r="DJ336" s="229"/>
      <c r="DK336" s="229"/>
      <c r="DL336" s="229"/>
      <c r="DM336" s="229"/>
      <c r="DN336" s="229"/>
      <c r="DO336" s="228">
        <f t="shared" si="1029"/>
        <v>0</v>
      </c>
      <c r="DP336" s="228">
        <f t="shared" si="1030"/>
        <v>505.70000000000005</v>
      </c>
      <c r="DQ336" s="229">
        <f t="shared" si="1088"/>
        <v>0</v>
      </c>
      <c r="DR336" s="229">
        <f t="shared" si="1089"/>
        <v>0</v>
      </c>
      <c r="DS336" s="229">
        <f t="shared" si="1090"/>
        <v>0</v>
      </c>
      <c r="DT336" s="229">
        <f t="shared" si="1091"/>
        <v>0</v>
      </c>
      <c r="DU336" s="229">
        <f t="shared" si="1092"/>
        <v>0</v>
      </c>
      <c r="DV336" s="229">
        <f t="shared" si="1093"/>
        <v>0</v>
      </c>
      <c r="DW336" s="229">
        <f t="shared" si="1094"/>
        <v>0</v>
      </c>
      <c r="DX336" s="228">
        <f t="shared" si="1019"/>
        <v>0</v>
      </c>
      <c r="DY336" s="229"/>
      <c r="DZ336" s="229"/>
      <c r="EA336" s="229"/>
      <c r="EB336" s="229"/>
      <c r="EC336" s="229"/>
      <c r="ED336" s="229"/>
      <c r="EE336" s="229"/>
      <c r="EF336" s="228">
        <f t="shared" si="1072"/>
        <v>0</v>
      </c>
      <c r="EG336" s="228">
        <f t="shared" si="1031"/>
        <v>0</v>
      </c>
      <c r="EH336" s="229">
        <f t="shared" si="1073"/>
        <v>297.77999999999997</v>
      </c>
      <c r="EI336" s="229">
        <v>0</v>
      </c>
      <c r="EJ336" s="228">
        <f t="shared" si="1039"/>
        <v>297.77999999999997</v>
      </c>
      <c r="EK336" s="229"/>
      <c r="EL336" s="229"/>
      <c r="EM336" s="228">
        <f t="shared" si="1065"/>
        <v>0</v>
      </c>
      <c r="EN336" s="229">
        <f t="shared" ref="EN336:EN384" si="1104">EK336+EH336+EL336</f>
        <v>297.77999999999997</v>
      </c>
      <c r="EO336" s="229">
        <f t="shared" si="926"/>
        <v>0</v>
      </c>
      <c r="EP336" s="228">
        <f t="shared" si="1074"/>
        <v>297.77999999999997</v>
      </c>
      <c r="EQ336" s="173">
        <f t="shared" si="1075"/>
        <v>217.77999999999997</v>
      </c>
      <c r="ER336" s="189">
        <v>0</v>
      </c>
      <c r="ES336" s="189">
        <v>65.5</v>
      </c>
      <c r="ET336" s="189">
        <v>26.4</v>
      </c>
      <c r="EU336" s="189">
        <v>0</v>
      </c>
      <c r="EV336" s="189">
        <v>0</v>
      </c>
      <c r="EW336" s="189">
        <v>413.8</v>
      </c>
      <c r="EX336" s="189">
        <v>0</v>
      </c>
      <c r="EY336" s="189">
        <v>0</v>
      </c>
      <c r="EZ336" s="189">
        <v>0</v>
      </c>
      <c r="FA336" s="189">
        <v>0</v>
      </c>
      <c r="FB336" s="189">
        <v>0</v>
      </c>
      <c r="FC336" s="189">
        <v>0</v>
      </c>
      <c r="FD336" s="189">
        <v>0</v>
      </c>
      <c r="FE336" s="189">
        <v>0</v>
      </c>
      <c r="FF336" s="189">
        <v>0</v>
      </c>
      <c r="FG336" s="189">
        <v>0</v>
      </c>
      <c r="FH336" s="189">
        <v>0</v>
      </c>
      <c r="FI336" s="189">
        <v>0</v>
      </c>
      <c r="FJ336" s="189">
        <v>0</v>
      </c>
      <c r="FK336" s="189">
        <v>505.7</v>
      </c>
      <c r="FL336" s="189">
        <v>376</v>
      </c>
      <c r="FN336" s="132">
        <v>297.77999999999997</v>
      </c>
    </row>
    <row r="337" spans="1:170" ht="23.25" customHeight="1">
      <c r="A337" s="88">
        <f>COUNTIF($H$12:H337,H337)</f>
        <v>14</v>
      </c>
      <c r="B337" s="88" t="s">
        <v>1717</v>
      </c>
      <c r="C337" s="88" t="s">
        <v>898</v>
      </c>
      <c r="D337" s="88"/>
      <c r="E337" s="88"/>
      <c r="F337" s="301" t="s">
        <v>1278</v>
      </c>
      <c r="G337" s="89" t="s">
        <v>17</v>
      </c>
      <c r="H337" s="88">
        <v>6</v>
      </c>
      <c r="I337" s="88">
        <v>6</v>
      </c>
      <c r="J337" s="88">
        <v>6</v>
      </c>
      <c r="K337" s="90" t="s">
        <v>1091</v>
      </c>
      <c r="L337" s="90" t="s">
        <v>1091</v>
      </c>
      <c r="M337" s="214"/>
      <c r="N337" s="88" t="s">
        <v>37</v>
      </c>
      <c r="O337" s="216">
        <f t="shared" si="1040"/>
        <v>3.66</v>
      </c>
      <c r="P337" s="88" t="str">
        <f t="shared" si="1045"/>
        <v>B11_4</v>
      </c>
      <c r="Q337" s="88">
        <f t="shared" si="951"/>
        <v>270</v>
      </c>
      <c r="R337" s="88">
        <f t="shared" si="952"/>
        <v>80</v>
      </c>
      <c r="S337" s="230" t="s">
        <v>689</v>
      </c>
      <c r="T337" s="88" t="s">
        <v>3090</v>
      </c>
      <c r="U337" s="88">
        <f>IF(RIGHT(T337,1)="K",(VLOOKUP(T337,ma_miengiam!$A$3:$B$80,2,0)*100)/2,VLOOKUP(T337,ma_miengiam!$A$3:$B$80,2,0)*100)</f>
        <v>15</v>
      </c>
      <c r="V337" s="88"/>
      <c r="W337" s="220">
        <f>IF(AND(T337="NTS",V337&gt;0),(Q337-(Q337*V337)/12)*VLOOKUP(T337,ma_miengiam!$A$3:$B$80,2,0)+(Q337-(Q337*(12-V337))/12),IF(AND(RIGHT(T337,1)="K",V337&gt;0),(VLOOKUP(T337,ma_miengiam!$A$3:$B$80,2,0)/2)*(Q337*V337)/12,IF(RIGHT(T337,1)="K",(VLOOKUP(T337,ma_miengiam!$A$3:$B$80,2,0)*Q337)/2,IF(V337&gt;0,VLOOKUP(T337,ma_miengiam!$A$3:$B$80,2,0)*Q337*V337/12,VLOOKUP(T337,ma_miengiam!$A$3:$B$80,2,0)*Q337))))</f>
        <v>40.5</v>
      </c>
      <c r="X337" s="220">
        <f>IF(T337="NTS",VLOOKUP(T337,ma_miengiam!$A$3:$B$80,2,0)*R337*V337,IF(AND(T337="NTS",V337=0),0,IF(AND(LEFT(T337,1)="K",V337=0),VLOOKUP(T337,ma_miengiam!$A$3:$B$80,2,0)*R337,IF(LEFT(T337,1)="K",(VLOOKUP(T337,ma_miengiam!$A$3:$B$80,2,0)*R337/12)*V337,IF(AND(LEFT(T337,1)="S",V337&gt;0),(R337/12)*V337,IF(AND(LEFT(T337,1)="S",V337=0),R337,IF(T337="DH",VLOOKUP(T337,ma_miengiam!$A$3:$B$80,2,0)*R337,0)))))))</f>
        <v>0</v>
      </c>
      <c r="Y337" s="220">
        <f t="shared" si="1037"/>
        <v>229.5</v>
      </c>
      <c r="Z337" s="220">
        <f t="shared" si="1095"/>
        <v>80</v>
      </c>
      <c r="AA337" s="220">
        <f t="shared" si="1098"/>
        <v>270</v>
      </c>
      <c r="AB337" s="220">
        <f t="shared" si="1098"/>
        <v>80</v>
      </c>
      <c r="AC337" s="220">
        <f t="shared" si="1099"/>
        <v>40.5</v>
      </c>
      <c r="AD337" s="220">
        <f t="shared" si="1099"/>
        <v>0</v>
      </c>
      <c r="AE337" s="220">
        <f t="shared" si="1099"/>
        <v>229.5</v>
      </c>
      <c r="AF337" s="220">
        <f t="shared" si="1099"/>
        <v>80</v>
      </c>
      <c r="AG337" s="220">
        <f t="shared" si="1100"/>
        <v>83.33</v>
      </c>
      <c r="AH337" s="220">
        <f t="shared" si="1101"/>
        <v>0</v>
      </c>
      <c r="AI337" s="220">
        <f t="shared" si="1102"/>
        <v>83.33</v>
      </c>
      <c r="AJ337" s="220">
        <f t="shared" si="1060"/>
        <v>0</v>
      </c>
      <c r="AK337" s="216">
        <f t="shared" si="1038"/>
        <v>229.5</v>
      </c>
      <c r="AL337" s="220">
        <f t="shared" si="1020"/>
        <v>351.4</v>
      </c>
      <c r="AM337" s="220">
        <f t="shared" si="1021"/>
        <v>0</v>
      </c>
      <c r="AN337" s="221">
        <f t="shared" si="1022"/>
        <v>351.4</v>
      </c>
      <c r="AO337" s="220">
        <f t="shared" si="1023"/>
        <v>0</v>
      </c>
      <c r="AP337" s="220">
        <f t="shared" si="1024"/>
        <v>0</v>
      </c>
      <c r="AQ337" s="220">
        <f t="shared" si="1025"/>
        <v>0</v>
      </c>
      <c r="AR337" s="220">
        <f t="shared" si="1026"/>
        <v>0</v>
      </c>
      <c r="AS337" s="220">
        <f t="shared" si="1027"/>
        <v>0</v>
      </c>
      <c r="AT337" s="216">
        <f t="shared" si="1028"/>
        <v>351.4</v>
      </c>
      <c r="AU337" s="222">
        <f t="shared" si="919"/>
        <v>121.89999999999998</v>
      </c>
      <c r="AV337" s="220"/>
      <c r="AW337" s="220">
        <f t="shared" si="1006"/>
        <v>121.89999999999998</v>
      </c>
      <c r="AX337" s="216">
        <f t="shared" si="1046"/>
        <v>0</v>
      </c>
      <c r="AY337" s="220">
        <f t="shared" si="1013"/>
        <v>0</v>
      </c>
      <c r="AZ337" s="220">
        <f t="shared" si="1014"/>
        <v>0</v>
      </c>
      <c r="BA337" s="220">
        <f t="shared" si="1015"/>
        <v>0</v>
      </c>
      <c r="BB337" s="220">
        <f t="shared" si="1016"/>
        <v>0</v>
      </c>
      <c r="BC337" s="220">
        <f t="shared" si="1017"/>
        <v>0</v>
      </c>
      <c r="BD337" s="216">
        <f t="shared" si="988"/>
        <v>0</v>
      </c>
      <c r="BE337" s="220">
        <f t="shared" si="1007"/>
        <v>0</v>
      </c>
      <c r="BF337" s="220">
        <f t="shared" si="1008"/>
        <v>0</v>
      </c>
      <c r="BG337" s="220">
        <f t="shared" si="1009"/>
        <v>0</v>
      </c>
      <c r="BH337" s="220">
        <f t="shared" si="1010"/>
        <v>0</v>
      </c>
      <c r="BI337" s="220">
        <f t="shared" si="1011"/>
        <v>0</v>
      </c>
      <c r="BJ337" s="220" t="s">
        <v>1567</v>
      </c>
      <c r="BK337" s="220"/>
      <c r="BL337" s="223">
        <f t="shared" si="1004"/>
        <v>121.89999999999998</v>
      </c>
      <c r="BM337" s="220">
        <v>3.66</v>
      </c>
      <c r="BN337" s="220"/>
      <c r="BO337" s="220">
        <f>ROUND(BM337+(BM337*BN337),2)</f>
        <v>3.66</v>
      </c>
      <c r="BP337" s="220">
        <f>IF(AND(BL337&gt;0,BL337&lt;tiet!$D$1),BL337,IF(BL337&lt;=0,0,IF(BL337&gt;tiet!$C$1,tiet!$C$1)))</f>
        <v>121.89999999999998</v>
      </c>
      <c r="BQ337" s="87">
        <f t="shared" si="1047"/>
        <v>65000</v>
      </c>
      <c r="BR337" s="224">
        <f t="shared" si="1048"/>
        <v>7923500</v>
      </c>
      <c r="BS337" s="220">
        <f t="shared" si="1068"/>
        <v>0</v>
      </c>
      <c r="BT337" s="224">
        <f>VLOOKUP(N337,ma_dinhmuc!$A$1:$J$31,10,0)</f>
        <v>51000</v>
      </c>
      <c r="BU337" s="224">
        <f>ROUND(IF(BS337&gt;0,VLOOKUP(N337,ma_dinhmuc!$A$1:$J$31,10,0)*BS337,0),0)</f>
        <v>0</v>
      </c>
      <c r="BV337" s="224">
        <f t="shared" si="1049"/>
        <v>7923500</v>
      </c>
      <c r="BW337" s="224"/>
      <c r="BX337" s="224">
        <v>0</v>
      </c>
      <c r="BY337" s="224"/>
      <c r="BZ337" s="224"/>
      <c r="CA337" s="224"/>
      <c r="CB337" s="224"/>
      <c r="CC337" s="225">
        <f t="shared" si="1069"/>
        <v>7923500</v>
      </c>
      <c r="CD337" s="224">
        <f t="shared" si="1070"/>
        <v>0</v>
      </c>
      <c r="CE337" s="224"/>
      <c r="CF337" s="226"/>
      <c r="CG337" s="87"/>
      <c r="CH337" s="87">
        <f t="shared" si="1071"/>
        <v>14</v>
      </c>
      <c r="CI337" s="227" t="str">
        <f t="shared" si="1103"/>
        <v>Vũ Hải</v>
      </c>
      <c r="CJ337" s="227" t="str">
        <f t="shared" si="1103"/>
        <v>Hà</v>
      </c>
      <c r="CK337" s="87">
        <f t="shared" si="1103"/>
        <v>6</v>
      </c>
      <c r="CL337" s="227" t="str">
        <f t="shared" si="1064"/>
        <v>Đường lối CM của ĐCSVN</v>
      </c>
      <c r="CM337" s="87" t="str">
        <f t="shared" si="1012"/>
        <v>CT2</v>
      </c>
      <c r="CN337" s="87">
        <f t="shared" si="1096"/>
        <v>270</v>
      </c>
      <c r="CO337" s="87">
        <f t="shared" si="1097"/>
        <v>80</v>
      </c>
      <c r="CP337" s="229">
        <f t="shared" si="1076"/>
        <v>0</v>
      </c>
      <c r="CQ337" s="229">
        <f t="shared" si="1077"/>
        <v>36.700000000000003</v>
      </c>
      <c r="CR337" s="229">
        <f t="shared" si="1078"/>
        <v>14.7</v>
      </c>
      <c r="CS337" s="229">
        <f t="shared" si="1079"/>
        <v>0</v>
      </c>
      <c r="CT337" s="229">
        <f t="shared" si="1080"/>
        <v>0</v>
      </c>
      <c r="CU337" s="229">
        <f t="shared" si="1081"/>
        <v>300</v>
      </c>
      <c r="CV337" s="229">
        <f t="shared" si="1082"/>
        <v>0</v>
      </c>
      <c r="CW337" s="229">
        <f t="shared" si="1083"/>
        <v>0</v>
      </c>
      <c r="CX337" s="229">
        <f t="shared" si="1084"/>
        <v>0</v>
      </c>
      <c r="CY337" s="229">
        <f t="shared" si="1085"/>
        <v>0</v>
      </c>
      <c r="CZ337" s="229">
        <f t="shared" si="1086"/>
        <v>0</v>
      </c>
      <c r="DA337" s="229">
        <f t="shared" si="1087"/>
        <v>0</v>
      </c>
      <c r="DB337" s="228">
        <f t="shared" si="1018"/>
        <v>351.4</v>
      </c>
      <c r="DC337" s="229"/>
      <c r="DD337" s="229"/>
      <c r="DE337" s="229"/>
      <c r="DF337" s="229"/>
      <c r="DG337" s="229"/>
      <c r="DH337" s="229"/>
      <c r="DI337" s="229"/>
      <c r="DJ337" s="229"/>
      <c r="DK337" s="229"/>
      <c r="DL337" s="229"/>
      <c r="DM337" s="229"/>
      <c r="DN337" s="229"/>
      <c r="DO337" s="228">
        <f t="shared" si="1029"/>
        <v>0</v>
      </c>
      <c r="DP337" s="228">
        <f t="shared" si="1030"/>
        <v>351.4</v>
      </c>
      <c r="DQ337" s="229">
        <f t="shared" si="1088"/>
        <v>0</v>
      </c>
      <c r="DR337" s="229">
        <f t="shared" si="1089"/>
        <v>0</v>
      </c>
      <c r="DS337" s="229">
        <f t="shared" si="1090"/>
        <v>0</v>
      </c>
      <c r="DT337" s="229">
        <f t="shared" si="1091"/>
        <v>0</v>
      </c>
      <c r="DU337" s="229">
        <f t="shared" si="1092"/>
        <v>0</v>
      </c>
      <c r="DV337" s="229">
        <f t="shared" si="1093"/>
        <v>0</v>
      </c>
      <c r="DW337" s="229">
        <f t="shared" si="1094"/>
        <v>0</v>
      </c>
      <c r="DX337" s="228">
        <f t="shared" si="1019"/>
        <v>0</v>
      </c>
      <c r="DY337" s="229"/>
      <c r="DZ337" s="229"/>
      <c r="EA337" s="229"/>
      <c r="EB337" s="229"/>
      <c r="EC337" s="229"/>
      <c r="ED337" s="229"/>
      <c r="EE337" s="229"/>
      <c r="EF337" s="228">
        <f t="shared" si="1072"/>
        <v>0</v>
      </c>
      <c r="EG337" s="228">
        <f t="shared" si="1031"/>
        <v>0</v>
      </c>
      <c r="EH337" s="229">
        <f t="shared" si="1073"/>
        <v>83.33</v>
      </c>
      <c r="EI337" s="229">
        <v>0</v>
      </c>
      <c r="EJ337" s="228">
        <f t="shared" si="1039"/>
        <v>83.33</v>
      </c>
      <c r="EK337" s="229"/>
      <c r="EL337" s="229"/>
      <c r="EM337" s="228">
        <f t="shared" si="1065"/>
        <v>0</v>
      </c>
      <c r="EN337" s="229">
        <f t="shared" si="1104"/>
        <v>83.33</v>
      </c>
      <c r="EO337" s="229">
        <f t="shared" si="926"/>
        <v>0</v>
      </c>
      <c r="EP337" s="228">
        <f t="shared" si="1074"/>
        <v>83.33</v>
      </c>
      <c r="EQ337" s="173">
        <f t="shared" si="1075"/>
        <v>3.3299999999999983</v>
      </c>
      <c r="ER337" s="189">
        <v>0</v>
      </c>
      <c r="ES337" s="189">
        <v>36.700000000000003</v>
      </c>
      <c r="ET337" s="189">
        <v>14.7</v>
      </c>
      <c r="EU337" s="189">
        <v>0</v>
      </c>
      <c r="EV337" s="189">
        <v>0</v>
      </c>
      <c r="EW337" s="189">
        <v>300</v>
      </c>
      <c r="EX337" s="189">
        <v>0</v>
      </c>
      <c r="EY337" s="189">
        <v>0</v>
      </c>
      <c r="EZ337" s="189">
        <v>0</v>
      </c>
      <c r="FA337" s="189">
        <v>0</v>
      </c>
      <c r="FB337" s="189">
        <v>0</v>
      </c>
      <c r="FC337" s="189">
        <v>0</v>
      </c>
      <c r="FD337" s="189">
        <v>0</v>
      </c>
      <c r="FE337" s="189">
        <v>0</v>
      </c>
      <c r="FF337" s="189">
        <v>0</v>
      </c>
      <c r="FG337" s="189">
        <v>0</v>
      </c>
      <c r="FH337" s="189">
        <v>0</v>
      </c>
      <c r="FI337" s="189">
        <v>0</v>
      </c>
      <c r="FJ337" s="189">
        <v>0</v>
      </c>
      <c r="FK337" s="189">
        <v>351.4</v>
      </c>
      <c r="FL337" s="189">
        <v>314</v>
      </c>
      <c r="FN337" s="132">
        <v>83.33</v>
      </c>
    </row>
    <row r="338" spans="1:170" ht="30" customHeight="1">
      <c r="A338" s="88">
        <f>COUNTIF($H$12:H338,H338)</f>
        <v>15</v>
      </c>
      <c r="B338" s="88" t="s">
        <v>1718</v>
      </c>
      <c r="C338" s="88" t="s">
        <v>899</v>
      </c>
      <c r="D338" s="88"/>
      <c r="E338" s="88"/>
      <c r="F338" s="301" t="s">
        <v>1180</v>
      </c>
      <c r="G338" s="89" t="s">
        <v>1181</v>
      </c>
      <c r="H338" s="88">
        <v>6</v>
      </c>
      <c r="I338" s="88">
        <v>6</v>
      </c>
      <c r="J338" s="88">
        <v>6</v>
      </c>
      <c r="K338" s="90" t="s">
        <v>1091</v>
      </c>
      <c r="L338" s="90" t="s">
        <v>1091</v>
      </c>
      <c r="M338" s="214"/>
      <c r="N338" s="88" t="s">
        <v>37</v>
      </c>
      <c r="O338" s="216">
        <f t="shared" si="1040"/>
        <v>4.32</v>
      </c>
      <c r="P338" s="88" t="str">
        <f t="shared" si="1045"/>
        <v>B11_4</v>
      </c>
      <c r="Q338" s="88">
        <f t="shared" si="951"/>
        <v>270</v>
      </c>
      <c r="R338" s="88">
        <f t="shared" si="952"/>
        <v>80</v>
      </c>
      <c r="S338" s="230" t="s">
        <v>2031</v>
      </c>
      <c r="T338" s="88" t="s">
        <v>3091</v>
      </c>
      <c r="U338" s="88">
        <f>IF(RIGHT(T338,1)="K",(VLOOKUP(T338,ma_miengiam!$A$3:$B$80,2,0)*100)/2,VLOOKUP(T338,ma_miengiam!$A$3:$B$80,2,0)*100)</f>
        <v>20</v>
      </c>
      <c r="V338" s="88"/>
      <c r="W338" s="220">
        <f>IF(AND(T338="NTS",V338&gt;0),(Q338-(Q338*V338)/12)*VLOOKUP(T338,ma_miengiam!$A$3:$B$80,2,0)+(Q338-(Q338*(12-V338))/12),IF(AND(RIGHT(T338,1)="K",V338&gt;0),(VLOOKUP(T338,ma_miengiam!$A$3:$B$80,2,0)/2)*(Q338*V338)/12,IF(RIGHT(T338,1)="K",(VLOOKUP(T338,ma_miengiam!$A$3:$B$80,2,0)*Q338)/2,IF(V338&gt;0,VLOOKUP(T338,ma_miengiam!$A$3:$B$80,2,0)*Q338*V338/12,VLOOKUP(T338,ma_miengiam!$A$3:$B$80,2,0)*Q338))))</f>
        <v>54</v>
      </c>
      <c r="X338" s="220">
        <f>IF(T338="NTS",VLOOKUP(T338,ma_miengiam!$A$3:$B$80,2,0)*R338*V338,IF(AND(T338="NTS",V338=0),0,IF(AND(LEFT(T338,1)="K",V338=0),VLOOKUP(T338,ma_miengiam!$A$3:$B$80,2,0)*R338,IF(LEFT(T338,1)="K",(VLOOKUP(T338,ma_miengiam!$A$3:$B$80,2,0)*R338/12)*V338,IF(AND(LEFT(T338,1)="S",V338&gt;0),(R338/12)*V338,IF(AND(LEFT(T338,1)="S",V338=0),R338,IF(T338="DH",VLOOKUP(T338,ma_miengiam!$A$3:$B$80,2,0)*R338,0)))))))</f>
        <v>0</v>
      </c>
      <c r="Y338" s="220">
        <f t="shared" si="1037"/>
        <v>216</v>
      </c>
      <c r="Z338" s="220">
        <f t="shared" si="1095"/>
        <v>80</v>
      </c>
      <c r="AA338" s="220">
        <f t="shared" si="1098"/>
        <v>270</v>
      </c>
      <c r="AB338" s="220">
        <f t="shared" si="1098"/>
        <v>80</v>
      </c>
      <c r="AC338" s="220">
        <f t="shared" si="1099"/>
        <v>54</v>
      </c>
      <c r="AD338" s="220">
        <f t="shared" si="1099"/>
        <v>0</v>
      </c>
      <c r="AE338" s="220">
        <f t="shared" si="1099"/>
        <v>216</v>
      </c>
      <c r="AF338" s="220">
        <f t="shared" si="1099"/>
        <v>80</v>
      </c>
      <c r="AG338" s="220">
        <f t="shared" si="1100"/>
        <v>180</v>
      </c>
      <c r="AH338" s="220">
        <f t="shared" si="1101"/>
        <v>0</v>
      </c>
      <c r="AI338" s="220">
        <f t="shared" si="1102"/>
        <v>180</v>
      </c>
      <c r="AJ338" s="220">
        <f t="shared" si="1060"/>
        <v>0</v>
      </c>
      <c r="AK338" s="216">
        <f t="shared" si="1038"/>
        <v>216</v>
      </c>
      <c r="AL338" s="220">
        <f t="shared" si="1020"/>
        <v>169.79999999999998</v>
      </c>
      <c r="AM338" s="220">
        <f t="shared" si="1021"/>
        <v>0</v>
      </c>
      <c r="AN338" s="221">
        <f t="shared" si="1022"/>
        <v>169.79999999999998</v>
      </c>
      <c r="AO338" s="220">
        <f t="shared" si="1023"/>
        <v>0</v>
      </c>
      <c r="AP338" s="220">
        <f t="shared" si="1024"/>
        <v>0</v>
      </c>
      <c r="AQ338" s="220">
        <f t="shared" si="1025"/>
        <v>0</v>
      </c>
      <c r="AR338" s="220">
        <f t="shared" si="1026"/>
        <v>0</v>
      </c>
      <c r="AS338" s="220">
        <f t="shared" si="1027"/>
        <v>0</v>
      </c>
      <c r="AT338" s="216">
        <f t="shared" si="1028"/>
        <v>169.79999999999998</v>
      </c>
      <c r="AU338" s="222">
        <f t="shared" si="919"/>
        <v>-46.200000000000017</v>
      </c>
      <c r="AV338" s="220"/>
      <c r="AW338" s="220">
        <f t="shared" si="1006"/>
        <v>-46.200000000000017</v>
      </c>
      <c r="AX338" s="216">
        <f t="shared" si="1046"/>
        <v>-46.200000000000017</v>
      </c>
      <c r="AY338" s="220">
        <f t="shared" si="1013"/>
        <v>0</v>
      </c>
      <c r="AZ338" s="220">
        <f t="shared" si="1014"/>
        <v>0</v>
      </c>
      <c r="BA338" s="220">
        <f t="shared" si="1015"/>
        <v>0</v>
      </c>
      <c r="BB338" s="220">
        <f t="shared" si="1016"/>
        <v>0</v>
      </c>
      <c r="BC338" s="220">
        <f t="shared" si="1017"/>
        <v>0</v>
      </c>
      <c r="BD338" s="216">
        <f t="shared" si="988"/>
        <v>0</v>
      </c>
      <c r="BE338" s="220">
        <f t="shared" si="1007"/>
        <v>0</v>
      </c>
      <c r="BF338" s="220">
        <f t="shared" si="1008"/>
        <v>0</v>
      </c>
      <c r="BG338" s="220">
        <f t="shared" si="1009"/>
        <v>0</v>
      </c>
      <c r="BH338" s="220">
        <f t="shared" si="1010"/>
        <v>0</v>
      </c>
      <c r="BI338" s="220">
        <f t="shared" si="1011"/>
        <v>0</v>
      </c>
      <c r="BJ338" s="220" t="s">
        <v>1567</v>
      </c>
      <c r="BK338" s="220"/>
      <c r="BL338" s="223">
        <f t="shared" si="1004"/>
        <v>0</v>
      </c>
      <c r="BM338" s="220">
        <v>4.32</v>
      </c>
      <c r="BN338" s="220"/>
      <c r="BO338" s="220">
        <f t="shared" si="1043"/>
        <v>4.32</v>
      </c>
      <c r="BP338" s="220">
        <f>IF(AND(BL338&gt;0,BL338&lt;tiet!$D$1),BL338,IF(BL338&lt;=0,0,IF(BL338&gt;tiet!$C$1,tiet!$C$1)))</f>
        <v>0</v>
      </c>
      <c r="BQ338" s="87">
        <f t="shared" si="1047"/>
        <v>65000</v>
      </c>
      <c r="BR338" s="224">
        <f t="shared" si="1048"/>
        <v>0</v>
      </c>
      <c r="BS338" s="220">
        <f t="shared" si="1068"/>
        <v>0</v>
      </c>
      <c r="BT338" s="224">
        <f>VLOOKUP(N338,ma_dinhmuc!$A$1:$J$31,10,0)</f>
        <v>51000</v>
      </c>
      <c r="BU338" s="224">
        <f>ROUND(IF(BS338&gt;0,VLOOKUP(N338,ma_dinhmuc!$A$1:$J$31,10,0)*BS338,0),0)</f>
        <v>0</v>
      </c>
      <c r="BV338" s="224">
        <f t="shared" si="1049"/>
        <v>0</v>
      </c>
      <c r="BW338" s="224"/>
      <c r="BX338" s="224">
        <v>0</v>
      </c>
      <c r="BY338" s="224"/>
      <c r="BZ338" s="224"/>
      <c r="CA338" s="224"/>
      <c r="CB338" s="224"/>
      <c r="CC338" s="225">
        <f t="shared" si="1069"/>
        <v>0</v>
      </c>
      <c r="CD338" s="224">
        <f t="shared" si="1070"/>
        <v>0</v>
      </c>
      <c r="CE338" s="224"/>
      <c r="CF338" s="226"/>
      <c r="CG338" s="87"/>
      <c r="CH338" s="87">
        <f t="shared" si="1071"/>
        <v>15</v>
      </c>
      <c r="CI338" s="227" t="str">
        <f t="shared" si="1061"/>
        <v>Tạ Quang</v>
      </c>
      <c r="CJ338" s="227" t="str">
        <f t="shared" si="1062"/>
        <v>Giảng</v>
      </c>
      <c r="CK338" s="87">
        <f t="shared" ref="CK338:CK343" si="1105">H338</f>
        <v>6</v>
      </c>
      <c r="CL338" s="227" t="str">
        <f t="shared" si="1064"/>
        <v>Đường lối CM của ĐCSVN</v>
      </c>
      <c r="CM338" s="87" t="str">
        <f t="shared" si="1012"/>
        <v>CT2</v>
      </c>
      <c r="CN338" s="87">
        <f t="shared" si="1096"/>
        <v>270</v>
      </c>
      <c r="CO338" s="87">
        <f t="shared" si="1097"/>
        <v>80</v>
      </c>
      <c r="CP338" s="229">
        <f t="shared" si="1076"/>
        <v>0</v>
      </c>
      <c r="CQ338" s="229">
        <f t="shared" si="1077"/>
        <v>19.7</v>
      </c>
      <c r="CR338" s="229">
        <f t="shared" si="1078"/>
        <v>8</v>
      </c>
      <c r="CS338" s="229">
        <f t="shared" si="1079"/>
        <v>0</v>
      </c>
      <c r="CT338" s="229">
        <f t="shared" si="1080"/>
        <v>0</v>
      </c>
      <c r="CU338" s="229">
        <f t="shared" si="1081"/>
        <v>142.1</v>
      </c>
      <c r="CV338" s="229">
        <f t="shared" si="1082"/>
        <v>0</v>
      </c>
      <c r="CW338" s="229">
        <f t="shared" si="1083"/>
        <v>0</v>
      </c>
      <c r="CX338" s="229">
        <f t="shared" si="1084"/>
        <v>0</v>
      </c>
      <c r="CY338" s="229">
        <f t="shared" si="1085"/>
        <v>0</v>
      </c>
      <c r="CZ338" s="229">
        <f t="shared" si="1086"/>
        <v>0</v>
      </c>
      <c r="DA338" s="229">
        <f t="shared" si="1087"/>
        <v>0</v>
      </c>
      <c r="DB338" s="228">
        <f t="shared" si="1018"/>
        <v>169.79999999999998</v>
      </c>
      <c r="DC338" s="229"/>
      <c r="DD338" s="229"/>
      <c r="DE338" s="229"/>
      <c r="DF338" s="229"/>
      <c r="DG338" s="229"/>
      <c r="DH338" s="229"/>
      <c r="DI338" s="229"/>
      <c r="DJ338" s="229"/>
      <c r="DK338" s="229"/>
      <c r="DL338" s="229"/>
      <c r="DM338" s="229"/>
      <c r="DN338" s="229"/>
      <c r="DO338" s="228">
        <f t="shared" si="1029"/>
        <v>0</v>
      </c>
      <c r="DP338" s="228">
        <f t="shared" si="1030"/>
        <v>169.79999999999998</v>
      </c>
      <c r="DQ338" s="229">
        <f t="shared" si="1088"/>
        <v>0</v>
      </c>
      <c r="DR338" s="229">
        <f t="shared" si="1089"/>
        <v>0</v>
      </c>
      <c r="DS338" s="229">
        <f t="shared" si="1090"/>
        <v>0</v>
      </c>
      <c r="DT338" s="229">
        <f t="shared" si="1091"/>
        <v>0</v>
      </c>
      <c r="DU338" s="229">
        <f t="shared" si="1092"/>
        <v>0</v>
      </c>
      <c r="DV338" s="229">
        <f t="shared" si="1093"/>
        <v>0</v>
      </c>
      <c r="DW338" s="229">
        <f t="shared" si="1094"/>
        <v>0</v>
      </c>
      <c r="DX338" s="228">
        <f t="shared" si="1019"/>
        <v>0</v>
      </c>
      <c r="DY338" s="229"/>
      <c r="DZ338" s="229"/>
      <c r="EA338" s="229"/>
      <c r="EB338" s="229"/>
      <c r="EC338" s="229"/>
      <c r="ED338" s="229"/>
      <c r="EE338" s="229"/>
      <c r="EF338" s="228">
        <f t="shared" si="1072"/>
        <v>0</v>
      </c>
      <c r="EG338" s="228">
        <f t="shared" si="1031"/>
        <v>0</v>
      </c>
      <c r="EH338" s="229">
        <f t="shared" si="1073"/>
        <v>180</v>
      </c>
      <c r="EI338" s="229">
        <v>0</v>
      </c>
      <c r="EJ338" s="228">
        <f t="shared" si="1039"/>
        <v>180</v>
      </c>
      <c r="EK338" s="229"/>
      <c r="EL338" s="229"/>
      <c r="EM338" s="228">
        <f t="shared" si="1065"/>
        <v>0</v>
      </c>
      <c r="EN338" s="229">
        <f t="shared" si="1104"/>
        <v>180</v>
      </c>
      <c r="EO338" s="229">
        <f t="shared" si="926"/>
        <v>0</v>
      </c>
      <c r="EP338" s="228">
        <f t="shared" si="1074"/>
        <v>180</v>
      </c>
      <c r="EQ338" s="173">
        <f t="shared" si="1075"/>
        <v>100</v>
      </c>
      <c r="ER338" s="189">
        <v>0</v>
      </c>
      <c r="ES338" s="189">
        <v>19.7</v>
      </c>
      <c r="ET338" s="189">
        <v>8</v>
      </c>
      <c r="EU338" s="189">
        <v>0</v>
      </c>
      <c r="EV338" s="189">
        <v>0</v>
      </c>
      <c r="EW338" s="189">
        <v>142.1</v>
      </c>
      <c r="EX338" s="189">
        <v>0</v>
      </c>
      <c r="EY338" s="189">
        <v>0</v>
      </c>
      <c r="EZ338" s="189">
        <v>0</v>
      </c>
      <c r="FA338" s="189">
        <v>0</v>
      </c>
      <c r="FB338" s="189">
        <v>0</v>
      </c>
      <c r="FC338" s="189">
        <v>0</v>
      </c>
      <c r="FD338" s="189">
        <v>0</v>
      </c>
      <c r="FE338" s="189">
        <v>0</v>
      </c>
      <c r="FF338" s="189">
        <v>0</v>
      </c>
      <c r="FG338" s="189">
        <v>0</v>
      </c>
      <c r="FH338" s="189">
        <v>0</v>
      </c>
      <c r="FI338" s="189">
        <v>0</v>
      </c>
      <c r="FJ338" s="189">
        <v>0</v>
      </c>
      <c r="FK338" s="189">
        <v>169.8</v>
      </c>
      <c r="FL338" s="189">
        <v>141</v>
      </c>
      <c r="FN338" s="132">
        <v>180</v>
      </c>
    </row>
    <row r="339" spans="1:170" ht="25.5" customHeight="1">
      <c r="A339" s="88">
        <f>COUNTIF($H$12:H339,H339)</f>
        <v>16</v>
      </c>
      <c r="B339" s="88" t="s">
        <v>1719</v>
      </c>
      <c r="C339" s="88" t="s">
        <v>900</v>
      </c>
      <c r="D339" s="88" t="s">
        <v>621</v>
      </c>
      <c r="E339" s="88"/>
      <c r="F339" s="301" t="s">
        <v>604</v>
      </c>
      <c r="G339" s="89" t="s">
        <v>2087</v>
      </c>
      <c r="H339" s="88">
        <v>6</v>
      </c>
      <c r="I339" s="88">
        <v>6</v>
      </c>
      <c r="J339" s="88">
        <v>6</v>
      </c>
      <c r="K339" s="90" t="s">
        <v>1091</v>
      </c>
      <c r="L339" s="90" t="s">
        <v>1091</v>
      </c>
      <c r="M339" s="214"/>
      <c r="N339" s="88" t="s">
        <v>37</v>
      </c>
      <c r="O339" s="216">
        <f>BO339</f>
        <v>3</v>
      </c>
      <c r="P339" s="88" t="str">
        <f t="shared" si="1045"/>
        <v>B11_3</v>
      </c>
      <c r="Q339" s="88">
        <f t="shared" si="951"/>
        <v>270</v>
      </c>
      <c r="R339" s="88">
        <f t="shared" si="952"/>
        <v>60</v>
      </c>
      <c r="S339" s="234" t="s">
        <v>2660</v>
      </c>
      <c r="T339" s="214" t="s">
        <v>2961</v>
      </c>
      <c r="U339" s="88">
        <f>IF(RIGHT(T339,1)="K",(VLOOKUP(T339,ma_miengiam!$A$3:$B$80,2,0)*100)/2,VLOOKUP(T339,ma_miengiam!$A$3:$B$80,2,0)*100)</f>
        <v>100</v>
      </c>
      <c r="V339" s="88"/>
      <c r="W339" s="220">
        <f>IF(AND(T339="NTS",V339&gt;0),(Q339-(Q339*V339)/12)*VLOOKUP(T339,ma_miengiam!$A$3:$B$80,2,0)+(Q339-(Q339*(12-V339))/12),IF(AND(RIGHT(T339,1)="K",V339&gt;0),(VLOOKUP(T339,ma_miengiam!$A$3:$B$80,2,0)/2)*(Q339*V339)/12,IF(RIGHT(T339,1)="K",(VLOOKUP(T339,ma_miengiam!$A$3:$B$80,2,0)*Q339)/2,IF(V339&gt;0,VLOOKUP(T339,ma_miengiam!$A$3:$B$80,2,0)*Q339*V339/12,VLOOKUP(T339,ma_miengiam!$A$3:$B$80,2,0)*Q339))))</f>
        <v>270</v>
      </c>
      <c r="X339" s="220">
        <f>IF(T339="NTS",VLOOKUP(T339,ma_miengiam!$A$3:$B$80,2,0)*R339*V339,IF(AND(T339="NTS",V339=0),0,IF(AND(LEFT(T339,1)="K",V339=0),VLOOKUP(T339,ma_miengiam!$A$3:$B$80,2,0)*R339,IF(LEFT(T339,1)="K",(VLOOKUP(T339,ma_miengiam!$A$3:$B$80,2,0)*R339/12)*V339,IF(AND(LEFT(T339,1)="S",V339&gt;0),(R339/12)*V339,IF(AND(LEFT(T339,1)="S",V339=0),R339,IF(T339="DH",VLOOKUP(T339,ma_miengiam!$A$3:$B$80,2,0)*R339,0)))))))</f>
        <v>60</v>
      </c>
      <c r="Y339" s="220">
        <f t="shared" si="1037"/>
        <v>0</v>
      </c>
      <c r="Z339" s="220">
        <f t="shared" si="1095"/>
        <v>0</v>
      </c>
      <c r="AA339" s="220">
        <f>Q339</f>
        <v>270</v>
      </c>
      <c r="AB339" s="220">
        <f>R339</f>
        <v>60</v>
      </c>
      <c r="AC339" s="220">
        <f t="shared" ref="AC339:AF340" si="1106">W339</f>
        <v>270</v>
      </c>
      <c r="AD339" s="220">
        <f t="shared" si="1106"/>
        <v>60</v>
      </c>
      <c r="AE339" s="220">
        <f t="shared" si="1106"/>
        <v>0</v>
      </c>
      <c r="AF339" s="220">
        <f t="shared" si="1106"/>
        <v>0</v>
      </c>
      <c r="AG339" s="220">
        <f>AH339+AI339</f>
        <v>0</v>
      </c>
      <c r="AH339" s="220">
        <f>EO339</f>
        <v>0</v>
      </c>
      <c r="AI339" s="220">
        <f>EN339</f>
        <v>0</v>
      </c>
      <c r="AJ339" s="220">
        <f>IF(AG339-Z339&gt;0,0,AG339-Z339)</f>
        <v>0</v>
      </c>
      <c r="AK339" s="216">
        <f t="shared" si="1038"/>
        <v>0</v>
      </c>
      <c r="AL339" s="220">
        <f t="shared" si="1020"/>
        <v>0</v>
      </c>
      <c r="AM339" s="220">
        <f t="shared" si="1021"/>
        <v>0</v>
      </c>
      <c r="AN339" s="216">
        <f t="shared" si="1022"/>
        <v>0</v>
      </c>
      <c r="AO339" s="220">
        <f t="shared" si="1023"/>
        <v>0</v>
      </c>
      <c r="AP339" s="220">
        <f t="shared" si="1024"/>
        <v>0</v>
      </c>
      <c r="AQ339" s="220">
        <f t="shared" si="1025"/>
        <v>0</v>
      </c>
      <c r="AR339" s="220">
        <f t="shared" si="1026"/>
        <v>0</v>
      </c>
      <c r="AS339" s="220">
        <f t="shared" si="1027"/>
        <v>0</v>
      </c>
      <c r="AT339" s="216">
        <f t="shared" si="1028"/>
        <v>0</v>
      </c>
      <c r="AU339" s="220">
        <f t="shared" si="919"/>
        <v>0</v>
      </c>
      <c r="AV339" s="220"/>
      <c r="AW339" s="220">
        <f t="shared" si="1006"/>
        <v>0</v>
      </c>
      <c r="AX339" s="216">
        <f t="shared" si="1046"/>
        <v>0</v>
      </c>
      <c r="AY339" s="220">
        <f t="shared" si="1013"/>
        <v>0</v>
      </c>
      <c r="AZ339" s="220">
        <f t="shared" si="1014"/>
        <v>0</v>
      </c>
      <c r="BA339" s="220">
        <f t="shared" si="1015"/>
        <v>0</v>
      </c>
      <c r="BB339" s="220">
        <f t="shared" si="1016"/>
        <v>0</v>
      </c>
      <c r="BC339" s="220">
        <f t="shared" si="1017"/>
        <v>0</v>
      </c>
      <c r="BD339" s="216">
        <f t="shared" si="988"/>
        <v>0</v>
      </c>
      <c r="BE339" s="220">
        <f t="shared" si="1007"/>
        <v>0</v>
      </c>
      <c r="BF339" s="220">
        <f t="shared" si="1008"/>
        <v>0</v>
      </c>
      <c r="BG339" s="220">
        <f t="shared" si="1009"/>
        <v>0</v>
      </c>
      <c r="BH339" s="220">
        <f t="shared" si="1010"/>
        <v>0</v>
      </c>
      <c r="BI339" s="220">
        <f t="shared" si="1011"/>
        <v>0</v>
      </c>
      <c r="BJ339" s="220" t="s">
        <v>1567</v>
      </c>
      <c r="BK339" s="220"/>
      <c r="BL339" s="223">
        <f t="shared" si="1004"/>
        <v>0</v>
      </c>
      <c r="BM339" s="220">
        <v>3</v>
      </c>
      <c r="BN339" s="220"/>
      <c r="BO339" s="220">
        <f>ROUND(BM339+(BM339*BN339),2)</f>
        <v>3</v>
      </c>
      <c r="BP339" s="220">
        <f>IF(AND(BL339&gt;0,BL339&lt;tiet!$D$1),BL339,IF(BL339&lt;=0,0,IF(BL339&gt;tiet!$C$1,tiet!$C$1)))</f>
        <v>0</v>
      </c>
      <c r="BQ339" s="87">
        <f>VLOOKUP(P339,ma_dinhmuc_moi,4,0)</f>
        <v>60000</v>
      </c>
      <c r="BR339" s="224">
        <f>ROUND(BQ339*BP339,0)</f>
        <v>0</v>
      </c>
      <c r="BS339" s="220">
        <f t="shared" si="1068"/>
        <v>0</v>
      </c>
      <c r="BT339" s="224">
        <f>VLOOKUP(N339,ma_dinhmuc!$A$1:$J$31,10,0)</f>
        <v>51000</v>
      </c>
      <c r="BU339" s="224">
        <f>ROUND(IF(BS339&gt;0,VLOOKUP(N339,ma_dinhmuc!$A$1:$J$31,10,0)*BS339,0),0)</f>
        <v>0</v>
      </c>
      <c r="BV339" s="224">
        <f>ROUND(BU339+BR339,0)</f>
        <v>0</v>
      </c>
      <c r="BW339" s="224"/>
      <c r="BX339" s="224">
        <v>0</v>
      </c>
      <c r="BY339" s="224"/>
      <c r="BZ339" s="224"/>
      <c r="CA339" s="224"/>
      <c r="CB339" s="224"/>
      <c r="CC339" s="225">
        <f t="shared" si="1069"/>
        <v>0</v>
      </c>
      <c r="CD339" s="224">
        <f t="shared" si="1070"/>
        <v>0</v>
      </c>
      <c r="CE339" s="224"/>
      <c r="CF339" s="226"/>
      <c r="CG339" s="87"/>
      <c r="CH339" s="87">
        <f t="shared" si="1071"/>
        <v>16</v>
      </c>
      <c r="CI339" s="227" t="str">
        <f>F339</f>
        <v xml:space="preserve">Lê Thị </v>
      </c>
      <c r="CJ339" s="227" t="str">
        <f>G339</f>
        <v>Dung</v>
      </c>
      <c r="CK339" s="87">
        <f t="shared" si="1105"/>
        <v>6</v>
      </c>
      <c r="CL339" s="227" t="str">
        <f t="shared" si="1064"/>
        <v>Đường lối CM của ĐCSVN</v>
      </c>
      <c r="CM339" s="87" t="str">
        <f t="shared" si="1012"/>
        <v>CT2</v>
      </c>
      <c r="CN339" s="87">
        <f>Q339</f>
        <v>270</v>
      </c>
      <c r="CO339" s="87">
        <f>R339</f>
        <v>60</v>
      </c>
      <c r="CP339" s="229">
        <f t="shared" si="1076"/>
        <v>0</v>
      </c>
      <c r="CQ339" s="229">
        <f t="shared" si="1077"/>
        <v>0</v>
      </c>
      <c r="CR339" s="229">
        <f t="shared" si="1078"/>
        <v>0</v>
      </c>
      <c r="CS339" s="229">
        <f t="shared" si="1079"/>
        <v>0</v>
      </c>
      <c r="CT339" s="229">
        <f t="shared" si="1080"/>
        <v>0</v>
      </c>
      <c r="CU339" s="229">
        <f t="shared" si="1081"/>
        <v>0</v>
      </c>
      <c r="CV339" s="229">
        <f t="shared" si="1082"/>
        <v>0</v>
      </c>
      <c r="CW339" s="229">
        <f t="shared" si="1083"/>
        <v>0</v>
      </c>
      <c r="CX339" s="229">
        <f t="shared" si="1084"/>
        <v>0</v>
      </c>
      <c r="CY339" s="229">
        <f t="shared" si="1085"/>
        <v>0</v>
      </c>
      <c r="CZ339" s="229">
        <f t="shared" si="1086"/>
        <v>0</v>
      </c>
      <c r="DA339" s="229">
        <f t="shared" si="1087"/>
        <v>0</v>
      </c>
      <c r="DB339" s="228">
        <f t="shared" si="1018"/>
        <v>0</v>
      </c>
      <c r="DC339" s="229"/>
      <c r="DD339" s="229"/>
      <c r="DE339" s="229"/>
      <c r="DF339" s="229"/>
      <c r="DG339" s="229"/>
      <c r="DH339" s="229"/>
      <c r="DI339" s="229"/>
      <c r="DJ339" s="229"/>
      <c r="DK339" s="229"/>
      <c r="DL339" s="229"/>
      <c r="DM339" s="229"/>
      <c r="DN339" s="229"/>
      <c r="DO339" s="228">
        <f t="shared" si="1029"/>
        <v>0</v>
      </c>
      <c r="DP339" s="228">
        <f t="shared" si="1030"/>
        <v>0</v>
      </c>
      <c r="DQ339" s="229">
        <f t="shared" si="1088"/>
        <v>0</v>
      </c>
      <c r="DR339" s="229">
        <f t="shared" si="1089"/>
        <v>0</v>
      </c>
      <c r="DS339" s="229">
        <f t="shared" si="1090"/>
        <v>0</v>
      </c>
      <c r="DT339" s="229">
        <f t="shared" si="1091"/>
        <v>0</v>
      </c>
      <c r="DU339" s="229">
        <f t="shared" si="1092"/>
        <v>0</v>
      </c>
      <c r="DV339" s="229">
        <f t="shared" si="1093"/>
        <v>0</v>
      </c>
      <c r="DW339" s="229">
        <f t="shared" si="1094"/>
        <v>0</v>
      </c>
      <c r="DX339" s="228">
        <f t="shared" si="1019"/>
        <v>0</v>
      </c>
      <c r="DY339" s="229"/>
      <c r="DZ339" s="229"/>
      <c r="EA339" s="229"/>
      <c r="EB339" s="229"/>
      <c r="EC339" s="229"/>
      <c r="ED339" s="229"/>
      <c r="EE339" s="229"/>
      <c r="EF339" s="228">
        <f t="shared" si="1072"/>
        <v>0</v>
      </c>
      <c r="EG339" s="228">
        <f t="shared" si="1031"/>
        <v>0</v>
      </c>
      <c r="EH339" s="229">
        <f t="shared" si="1073"/>
        <v>0</v>
      </c>
      <c r="EI339" s="229">
        <v>0</v>
      </c>
      <c r="EJ339" s="228">
        <f t="shared" si="1039"/>
        <v>0</v>
      </c>
      <c r="EK339" s="229"/>
      <c r="EL339" s="229"/>
      <c r="EM339" s="228">
        <f>SUM(EK339:EL339)</f>
        <v>0</v>
      </c>
      <c r="EN339" s="229">
        <f t="shared" si="1104"/>
        <v>0</v>
      </c>
      <c r="EO339" s="229">
        <f t="shared" si="926"/>
        <v>0</v>
      </c>
      <c r="EP339" s="228">
        <f>EM339+EJ339</f>
        <v>0</v>
      </c>
      <c r="EQ339" s="173">
        <f t="shared" si="1075"/>
        <v>0</v>
      </c>
      <c r="ER339" s="189">
        <v>0</v>
      </c>
      <c r="ES339" s="189">
        <v>0</v>
      </c>
      <c r="ET339" s="189">
        <v>0</v>
      </c>
      <c r="EU339" s="189">
        <v>0</v>
      </c>
      <c r="EV339" s="189">
        <v>0</v>
      </c>
      <c r="EW339" s="189">
        <v>0</v>
      </c>
      <c r="EX339" s="189">
        <v>0</v>
      </c>
      <c r="EY339" s="189">
        <v>0</v>
      </c>
      <c r="EZ339" s="189">
        <v>0</v>
      </c>
      <c r="FA339" s="189">
        <v>0</v>
      </c>
      <c r="FB339" s="189">
        <v>0</v>
      </c>
      <c r="FC339" s="189">
        <v>0</v>
      </c>
      <c r="FD339" s="189">
        <v>0</v>
      </c>
      <c r="FE339" s="189">
        <v>0</v>
      </c>
      <c r="FF339" s="189">
        <v>0</v>
      </c>
      <c r="FG339" s="189">
        <v>0</v>
      </c>
      <c r="FH339" s="189">
        <v>0</v>
      </c>
      <c r="FI339" s="189">
        <v>0</v>
      </c>
      <c r="FJ339" s="189">
        <v>0</v>
      </c>
      <c r="FK339" s="189">
        <v>0</v>
      </c>
      <c r="FL339" s="189">
        <v>0</v>
      </c>
      <c r="FN339" s="132">
        <v>0</v>
      </c>
    </row>
    <row r="340" spans="1:170" ht="30" customHeight="1">
      <c r="A340" s="88">
        <f>COUNTIF($H$12:H340,H340)</f>
        <v>17</v>
      </c>
      <c r="B340" s="88" t="s">
        <v>2932</v>
      </c>
      <c r="C340" s="88" t="s">
        <v>901</v>
      </c>
      <c r="D340" s="88"/>
      <c r="E340" s="88"/>
      <c r="F340" s="301" t="s">
        <v>2857</v>
      </c>
      <c r="G340" s="303" t="s">
        <v>3086</v>
      </c>
      <c r="H340" s="88">
        <v>6</v>
      </c>
      <c r="I340" s="88">
        <v>6</v>
      </c>
      <c r="J340" s="88">
        <v>6</v>
      </c>
      <c r="K340" s="90" t="s">
        <v>1092</v>
      </c>
      <c r="L340" s="90" t="s">
        <v>1092</v>
      </c>
      <c r="M340" s="214"/>
      <c r="N340" s="88" t="s">
        <v>37</v>
      </c>
      <c r="O340" s="216">
        <f t="shared" si="1040"/>
        <v>3.99</v>
      </c>
      <c r="P340" s="88" t="str">
        <f t="shared" si="1045"/>
        <v>B11_4</v>
      </c>
      <c r="Q340" s="88">
        <f t="shared" si="951"/>
        <v>270</v>
      </c>
      <c r="R340" s="88">
        <f t="shared" si="952"/>
        <v>80</v>
      </c>
      <c r="S340" s="234"/>
      <c r="T340" s="88" t="s">
        <v>3088</v>
      </c>
      <c r="U340" s="88">
        <f>IF(RIGHT(T340,1)="K",(VLOOKUP(T340,ma_miengiam!$A$3:$B$80,2,0)*100)/2,VLOOKUP(T340,ma_miengiam!$A$3:$B$80,2,0)*100)</f>
        <v>0</v>
      </c>
      <c r="V340" s="88"/>
      <c r="W340" s="220">
        <f>IF(AND(T340="NTS",V340&gt;0),(Q340-(Q340*V340)/12)*VLOOKUP(T340,ma_miengiam!$A$3:$B$80,2,0)+(Q340-(Q340*(12-V340))/12),IF(AND(RIGHT(T340,1)="K",V340&gt;0),(VLOOKUP(T340,ma_miengiam!$A$3:$B$80,2,0)/2)*(Q340*V340)/12,IF(RIGHT(T340,1)="K",(VLOOKUP(T340,ma_miengiam!$A$3:$B$80,2,0)*Q340)/2,IF(V340&gt;0,VLOOKUP(T340,ma_miengiam!$A$3:$B$80,2,0)*Q340*V340/12,VLOOKUP(T340,ma_miengiam!$A$3:$B$80,2,0)*Q340))))</f>
        <v>0</v>
      </c>
      <c r="X340" s="220">
        <f>IF(T340="NTS",VLOOKUP(T340,ma_miengiam!$A$3:$B$80,2,0)*R340*V340,IF(AND(T340="NTS",V340=0),0,IF(AND(LEFT(T340,1)="K",V340=0),VLOOKUP(T340,ma_miengiam!$A$3:$B$80,2,0)*R340,IF(LEFT(T340,1)="K",(VLOOKUP(T340,ma_miengiam!$A$3:$B$80,2,0)*R340/12)*V340,IF(AND(LEFT(T340,1)="S",V340&gt;0),(R340/12)*V340,IF(AND(LEFT(T340,1)="S",V340=0),R340,IF(T340="DH",VLOOKUP(T340,ma_miengiam!$A$3:$B$80,2,0)*R340,0)))))))</f>
        <v>0</v>
      </c>
      <c r="Y340" s="220">
        <f t="shared" ref="Y340:Y404" si="1107">IF(AND(T340="DH",V340&gt;0),(S340*V340/12),IF(AND(T340&lt;&gt;"NTS",V340&gt;0),(Q340*V340/12)-W340,IF(AND(T340="NTS",V340&gt;0),Q340-W340,Q340-W340)))</f>
        <v>270</v>
      </c>
      <c r="Z340" s="220">
        <f t="shared" si="1095"/>
        <v>80</v>
      </c>
      <c r="AA340" s="220">
        <f t="shared" si="1098"/>
        <v>270</v>
      </c>
      <c r="AB340" s="220">
        <f t="shared" si="1098"/>
        <v>80</v>
      </c>
      <c r="AC340" s="220">
        <f t="shared" si="1106"/>
        <v>0</v>
      </c>
      <c r="AD340" s="220">
        <f t="shared" si="1106"/>
        <v>0</v>
      </c>
      <c r="AE340" s="220">
        <f t="shared" si="1106"/>
        <v>270</v>
      </c>
      <c r="AF340" s="220">
        <f t="shared" si="1106"/>
        <v>80</v>
      </c>
      <c r="AG340" s="220">
        <f t="shared" si="1100"/>
        <v>60.02</v>
      </c>
      <c r="AH340" s="220">
        <f t="shared" si="1101"/>
        <v>35.020000000000003</v>
      </c>
      <c r="AI340" s="220">
        <f t="shared" si="1102"/>
        <v>25</v>
      </c>
      <c r="AJ340" s="220">
        <f t="shared" si="1060"/>
        <v>-19.979999999999997</v>
      </c>
      <c r="AK340" s="216">
        <f t="shared" si="1038"/>
        <v>289.98</v>
      </c>
      <c r="AL340" s="220">
        <f t="shared" si="1020"/>
        <v>291</v>
      </c>
      <c r="AM340" s="220">
        <f t="shared" si="1021"/>
        <v>0</v>
      </c>
      <c r="AN340" s="221">
        <f t="shared" si="1022"/>
        <v>291</v>
      </c>
      <c r="AO340" s="220">
        <f t="shared" si="1023"/>
        <v>0</v>
      </c>
      <c r="AP340" s="220">
        <f t="shared" si="1024"/>
        <v>0</v>
      </c>
      <c r="AQ340" s="220">
        <f t="shared" si="1025"/>
        <v>0</v>
      </c>
      <c r="AR340" s="220">
        <f t="shared" si="1026"/>
        <v>0</v>
      </c>
      <c r="AS340" s="220">
        <f t="shared" si="1027"/>
        <v>0</v>
      </c>
      <c r="AT340" s="216">
        <f t="shared" si="1028"/>
        <v>291</v>
      </c>
      <c r="AU340" s="222">
        <f t="shared" si="919"/>
        <v>1.0199999999999818</v>
      </c>
      <c r="AV340" s="220"/>
      <c r="AW340" s="220">
        <f t="shared" si="1006"/>
        <v>1.0199999999999818</v>
      </c>
      <c r="AX340" s="216">
        <f t="shared" si="1046"/>
        <v>0</v>
      </c>
      <c r="AY340" s="220">
        <f t="shared" si="1013"/>
        <v>0</v>
      </c>
      <c r="AZ340" s="220">
        <f t="shared" si="1014"/>
        <v>0</v>
      </c>
      <c r="BA340" s="220">
        <f t="shared" si="1015"/>
        <v>0</v>
      </c>
      <c r="BB340" s="220">
        <f t="shared" si="1016"/>
        <v>0</v>
      </c>
      <c r="BC340" s="220">
        <f t="shared" si="1017"/>
        <v>0</v>
      </c>
      <c r="BD340" s="216">
        <f t="shared" si="988"/>
        <v>0</v>
      </c>
      <c r="BE340" s="220">
        <f t="shared" si="1007"/>
        <v>0</v>
      </c>
      <c r="BF340" s="220">
        <f t="shared" si="1008"/>
        <v>0</v>
      </c>
      <c r="BG340" s="220">
        <f t="shared" si="1009"/>
        <v>0</v>
      </c>
      <c r="BH340" s="220">
        <f t="shared" si="1010"/>
        <v>0</v>
      </c>
      <c r="BI340" s="220">
        <f t="shared" si="1011"/>
        <v>0</v>
      </c>
      <c r="BJ340" s="220" t="s">
        <v>3059</v>
      </c>
      <c r="BK340" s="220"/>
      <c r="BL340" s="223">
        <f t="shared" si="1004"/>
        <v>1.0199999999999818</v>
      </c>
      <c r="BM340" s="220">
        <v>3.99</v>
      </c>
      <c r="BN340" s="220"/>
      <c r="BO340" s="220">
        <f t="shared" si="1043"/>
        <v>3.99</v>
      </c>
      <c r="BP340" s="220">
        <f>IF(AND(BL340&gt;0,BL340&lt;tiet!$D$1),BL340,IF(BL340&lt;=0,0,IF(BL340&gt;tiet!$C$1,tiet!$C$1)))</f>
        <v>1.0199999999999818</v>
      </c>
      <c r="BQ340" s="87">
        <f t="shared" si="1047"/>
        <v>65000</v>
      </c>
      <c r="BR340" s="224">
        <f t="shared" si="1048"/>
        <v>66300</v>
      </c>
      <c r="BS340" s="220">
        <f t="shared" si="1068"/>
        <v>0</v>
      </c>
      <c r="BT340" s="224">
        <f>VLOOKUP(N340,ma_dinhmuc!$A$1:$J$31,10,0)</f>
        <v>51000</v>
      </c>
      <c r="BU340" s="224">
        <f>ROUND(IF(BS340&gt;0,VLOOKUP(N340,ma_dinhmuc!$A$1:$J$31,10,0)*BS340,0),0)</f>
        <v>0</v>
      </c>
      <c r="BV340" s="224">
        <f t="shared" si="1049"/>
        <v>66300</v>
      </c>
      <c r="BW340" s="224"/>
      <c r="BX340" s="224">
        <v>0</v>
      </c>
      <c r="BY340" s="224"/>
      <c r="BZ340" s="224"/>
      <c r="CA340" s="224"/>
      <c r="CB340" s="224"/>
      <c r="CC340" s="225">
        <f t="shared" si="1069"/>
        <v>66300</v>
      </c>
      <c r="CD340" s="224">
        <f t="shared" si="1070"/>
        <v>0</v>
      </c>
      <c r="CE340" s="224"/>
      <c r="CF340" s="226"/>
      <c r="CG340" s="87"/>
      <c r="CH340" s="87">
        <f t="shared" si="1071"/>
        <v>17</v>
      </c>
      <c r="CI340" s="227" t="str">
        <f t="shared" si="1061"/>
        <v>Trần Thị</v>
      </c>
      <c r="CJ340" s="227" t="str">
        <f t="shared" si="1062"/>
        <v>Mai</v>
      </c>
      <c r="CK340" s="87">
        <f t="shared" si="1105"/>
        <v>6</v>
      </c>
      <c r="CL340" s="227" t="str">
        <f t="shared" si="1064"/>
        <v>Tư tưởng Hồ Chí Minh</v>
      </c>
      <c r="CM340" s="87" t="str">
        <f t="shared" si="1012"/>
        <v>CT2</v>
      </c>
      <c r="CN340" s="87">
        <f t="shared" si="1096"/>
        <v>270</v>
      </c>
      <c r="CO340" s="87">
        <f t="shared" si="1097"/>
        <v>80</v>
      </c>
      <c r="CP340" s="229">
        <f t="shared" si="1076"/>
        <v>0</v>
      </c>
      <c r="CQ340" s="229">
        <f t="shared" si="1077"/>
        <v>50.4</v>
      </c>
      <c r="CR340" s="229">
        <f t="shared" si="1078"/>
        <v>20.3</v>
      </c>
      <c r="CS340" s="229">
        <f t="shared" si="1079"/>
        <v>0</v>
      </c>
      <c r="CT340" s="229">
        <f t="shared" si="1080"/>
        <v>0</v>
      </c>
      <c r="CU340" s="229">
        <f t="shared" si="1081"/>
        <v>220.3</v>
      </c>
      <c r="CV340" s="229">
        <f t="shared" si="1082"/>
        <v>0</v>
      </c>
      <c r="CW340" s="229">
        <f t="shared" si="1083"/>
        <v>0</v>
      </c>
      <c r="CX340" s="229">
        <f t="shared" si="1084"/>
        <v>0</v>
      </c>
      <c r="CY340" s="229">
        <f t="shared" si="1085"/>
        <v>0</v>
      </c>
      <c r="CZ340" s="229">
        <f t="shared" si="1086"/>
        <v>0</v>
      </c>
      <c r="DA340" s="229">
        <f t="shared" si="1087"/>
        <v>0</v>
      </c>
      <c r="DB340" s="228">
        <f t="shared" si="1018"/>
        <v>291</v>
      </c>
      <c r="DC340" s="229"/>
      <c r="DD340" s="229"/>
      <c r="DE340" s="229"/>
      <c r="DF340" s="229"/>
      <c r="DG340" s="229"/>
      <c r="DH340" s="229"/>
      <c r="DI340" s="229"/>
      <c r="DJ340" s="229"/>
      <c r="DK340" s="229"/>
      <c r="DL340" s="229"/>
      <c r="DM340" s="229"/>
      <c r="DN340" s="229"/>
      <c r="DO340" s="228">
        <f t="shared" si="1029"/>
        <v>0</v>
      </c>
      <c r="DP340" s="228">
        <f t="shared" si="1030"/>
        <v>291</v>
      </c>
      <c r="DQ340" s="229">
        <f t="shared" si="1088"/>
        <v>0</v>
      </c>
      <c r="DR340" s="229">
        <f t="shared" si="1089"/>
        <v>0</v>
      </c>
      <c r="DS340" s="229">
        <f t="shared" si="1090"/>
        <v>0</v>
      </c>
      <c r="DT340" s="229">
        <f t="shared" si="1091"/>
        <v>0</v>
      </c>
      <c r="DU340" s="229">
        <f t="shared" si="1092"/>
        <v>0</v>
      </c>
      <c r="DV340" s="229">
        <f t="shared" si="1093"/>
        <v>0</v>
      </c>
      <c r="DW340" s="229">
        <f t="shared" si="1094"/>
        <v>0</v>
      </c>
      <c r="DX340" s="228">
        <f t="shared" si="1019"/>
        <v>0</v>
      </c>
      <c r="DY340" s="229"/>
      <c r="DZ340" s="229"/>
      <c r="EA340" s="229"/>
      <c r="EB340" s="229"/>
      <c r="EC340" s="229"/>
      <c r="ED340" s="229"/>
      <c r="EE340" s="229"/>
      <c r="EF340" s="228">
        <f t="shared" si="1072"/>
        <v>0</v>
      </c>
      <c r="EG340" s="228">
        <f t="shared" si="1031"/>
        <v>0</v>
      </c>
      <c r="EH340" s="229">
        <f t="shared" si="1073"/>
        <v>25</v>
      </c>
      <c r="EI340" s="229">
        <v>35.020000000000003</v>
      </c>
      <c r="EJ340" s="228">
        <f t="shared" si="1039"/>
        <v>60.02</v>
      </c>
      <c r="EK340" s="229"/>
      <c r="EL340" s="229"/>
      <c r="EM340" s="228">
        <f t="shared" si="1065"/>
        <v>0</v>
      </c>
      <c r="EN340" s="229">
        <f t="shared" si="1104"/>
        <v>25</v>
      </c>
      <c r="EO340" s="229">
        <f t="shared" si="926"/>
        <v>35.020000000000003</v>
      </c>
      <c r="EP340" s="228">
        <f t="shared" si="1074"/>
        <v>60.02</v>
      </c>
      <c r="EQ340" s="173">
        <f t="shared" si="1075"/>
        <v>0</v>
      </c>
      <c r="ER340" s="189">
        <v>0</v>
      </c>
      <c r="ES340" s="189">
        <v>50.4</v>
      </c>
      <c r="ET340" s="189">
        <v>20.3</v>
      </c>
      <c r="EU340" s="189">
        <v>0</v>
      </c>
      <c r="EV340" s="189">
        <v>0</v>
      </c>
      <c r="EW340" s="189">
        <v>220.3</v>
      </c>
      <c r="EX340" s="189">
        <v>0</v>
      </c>
      <c r="EY340" s="189">
        <v>0</v>
      </c>
      <c r="EZ340" s="189">
        <v>0</v>
      </c>
      <c r="FA340" s="189">
        <v>0</v>
      </c>
      <c r="FB340" s="189">
        <v>0</v>
      </c>
      <c r="FC340" s="189">
        <v>0</v>
      </c>
      <c r="FD340" s="189">
        <v>0</v>
      </c>
      <c r="FE340" s="189">
        <v>0</v>
      </c>
      <c r="FF340" s="189">
        <v>0</v>
      </c>
      <c r="FG340" s="189">
        <v>0</v>
      </c>
      <c r="FH340" s="189">
        <v>0</v>
      </c>
      <c r="FI340" s="189">
        <v>0</v>
      </c>
      <c r="FJ340" s="189">
        <v>0</v>
      </c>
      <c r="FK340" s="189">
        <v>291</v>
      </c>
      <c r="FL340" s="189">
        <v>192</v>
      </c>
      <c r="FN340" s="132">
        <v>25</v>
      </c>
    </row>
    <row r="341" spans="1:170" ht="30" customHeight="1">
      <c r="A341" s="88">
        <f>COUNTIF($H$12:H341,H341)</f>
        <v>18</v>
      </c>
      <c r="B341" s="88" t="s">
        <v>2933</v>
      </c>
      <c r="C341" s="88" t="s">
        <v>902</v>
      </c>
      <c r="D341" s="88"/>
      <c r="E341" s="88"/>
      <c r="F341" s="301" t="s">
        <v>1182</v>
      </c>
      <c r="G341" s="89" t="s">
        <v>1600</v>
      </c>
      <c r="H341" s="88">
        <v>6</v>
      </c>
      <c r="I341" s="88">
        <v>6</v>
      </c>
      <c r="J341" s="88">
        <v>6</v>
      </c>
      <c r="K341" s="90" t="s">
        <v>1092</v>
      </c>
      <c r="L341" s="90" t="s">
        <v>1092</v>
      </c>
      <c r="M341" s="214"/>
      <c r="N341" s="88" t="s">
        <v>37</v>
      </c>
      <c r="O341" s="216">
        <f>BO341</f>
        <v>4.32</v>
      </c>
      <c r="P341" s="88" t="str">
        <f t="shared" si="1045"/>
        <v>B11_4</v>
      </c>
      <c r="Q341" s="88">
        <f t="shared" si="951"/>
        <v>270</v>
      </c>
      <c r="R341" s="88">
        <f t="shared" si="952"/>
        <v>80</v>
      </c>
      <c r="S341" s="230" t="s">
        <v>680</v>
      </c>
      <c r="T341" s="219" t="s">
        <v>3007</v>
      </c>
      <c r="U341" s="88">
        <f>IF(RIGHT(T341,1)="K",(VLOOKUP(T341,ma_miengiam!$A$3:$B$80,2,0)*100)/2,VLOOKUP(T341,ma_miengiam!$A$3:$B$80,2,0)*100)</f>
        <v>20</v>
      </c>
      <c r="V341" s="88"/>
      <c r="W341" s="220">
        <f>IF(AND(T341="NTS",V341&gt;0),(Q341-(Q341*V341)/12)*VLOOKUP(T341,ma_miengiam!$A$3:$B$80,2,0)+(Q341-(Q341*(12-V341))/12),IF(AND(RIGHT(T341,1)="K",V341&gt;0),(VLOOKUP(T341,ma_miengiam!$A$3:$B$80,2,0)/2)*(Q341*V341)/12,IF(RIGHT(T341,1)="K",(VLOOKUP(T341,ma_miengiam!$A$3:$B$80,2,0)*Q341)/2,IF(V341&gt;0,VLOOKUP(T341,ma_miengiam!$A$3:$B$80,2,0)*Q341*V341/12,VLOOKUP(T341,ma_miengiam!$A$3:$B$80,2,0)*Q341))))</f>
        <v>54</v>
      </c>
      <c r="X341" s="220">
        <f>IF(T341="NTS",VLOOKUP(T341,ma_miengiam!$A$3:$B$80,2,0)*R341*V341,IF(AND(T341="NTS",V341=0),0,IF(AND(LEFT(T341,1)="K",V341=0),VLOOKUP(T341,ma_miengiam!$A$3:$B$80,2,0)*R341,IF(LEFT(T341,1)="K",(VLOOKUP(T341,ma_miengiam!$A$3:$B$80,2,0)*R341/12)*V341,IF(AND(LEFT(T341,1)="S",V341&gt;0),(R341/12)*V341,IF(AND(LEFT(T341,1)="S",V341=0),R341,IF(T341="DH",VLOOKUP(T341,ma_miengiam!$A$3:$B$80,2,0)*R341,0)))))))</f>
        <v>16</v>
      </c>
      <c r="Y341" s="220">
        <f t="shared" si="1107"/>
        <v>216</v>
      </c>
      <c r="Z341" s="220">
        <f>IF(AND(T341="SĐH",V341&gt;0),(R341/12)*V341-X341,IF(AND(T341="DH",V341&gt;0),(R341*V341/12),IF(AND(T341&lt;&gt;"NTS",V341&gt;0),(R341*V341/12)-X341,IF(AND(T341="NTS",V341&gt;0),R341-X341,R341-X341))))</f>
        <v>64</v>
      </c>
      <c r="AA341" s="220">
        <f t="shared" ref="AA341:AB344" si="1108">Q341</f>
        <v>270</v>
      </c>
      <c r="AB341" s="220">
        <f t="shared" si="1108"/>
        <v>80</v>
      </c>
      <c r="AC341" s="220">
        <f t="shared" ref="AC341:AF342" si="1109">W341</f>
        <v>54</v>
      </c>
      <c r="AD341" s="220">
        <f t="shared" si="1109"/>
        <v>16</v>
      </c>
      <c r="AE341" s="220">
        <f t="shared" si="1109"/>
        <v>216</v>
      </c>
      <c r="AF341" s="220">
        <f t="shared" si="1109"/>
        <v>64</v>
      </c>
      <c r="AG341" s="220">
        <f>AH341+AI341</f>
        <v>137.11000000000001</v>
      </c>
      <c r="AH341" s="220">
        <f>EO341</f>
        <v>9.33</v>
      </c>
      <c r="AI341" s="220">
        <f>EN341</f>
        <v>127.78</v>
      </c>
      <c r="AJ341" s="220">
        <f>IF(AG341-Z341&gt;0,0,AG341-Z341)</f>
        <v>0</v>
      </c>
      <c r="AK341" s="216">
        <f t="shared" si="1038"/>
        <v>216</v>
      </c>
      <c r="AL341" s="220">
        <f t="shared" si="1020"/>
        <v>234.6</v>
      </c>
      <c r="AM341" s="220">
        <f t="shared" si="1021"/>
        <v>0</v>
      </c>
      <c r="AN341" s="221">
        <f t="shared" si="1022"/>
        <v>234.6</v>
      </c>
      <c r="AO341" s="220">
        <f t="shared" si="1023"/>
        <v>0</v>
      </c>
      <c r="AP341" s="220">
        <f t="shared" si="1024"/>
        <v>0</v>
      </c>
      <c r="AQ341" s="220">
        <f t="shared" si="1025"/>
        <v>0</v>
      </c>
      <c r="AR341" s="220">
        <f t="shared" si="1026"/>
        <v>0</v>
      </c>
      <c r="AS341" s="220">
        <f t="shared" si="1027"/>
        <v>0</v>
      </c>
      <c r="AT341" s="216">
        <f t="shared" si="1028"/>
        <v>234.6</v>
      </c>
      <c r="AU341" s="222">
        <f t="shared" si="919"/>
        <v>18.599999999999994</v>
      </c>
      <c r="AV341" s="220"/>
      <c r="AW341" s="220">
        <f t="shared" si="1006"/>
        <v>18.599999999999994</v>
      </c>
      <c r="AX341" s="216">
        <f t="shared" si="1046"/>
        <v>0</v>
      </c>
      <c r="AY341" s="220">
        <f t="shared" si="1013"/>
        <v>0</v>
      </c>
      <c r="AZ341" s="220">
        <f t="shared" si="1014"/>
        <v>0</v>
      </c>
      <c r="BA341" s="220">
        <f t="shared" si="1015"/>
        <v>0</v>
      </c>
      <c r="BB341" s="220">
        <f t="shared" si="1016"/>
        <v>0</v>
      </c>
      <c r="BC341" s="220">
        <f t="shared" si="1017"/>
        <v>0</v>
      </c>
      <c r="BD341" s="216">
        <f t="shared" si="988"/>
        <v>0</v>
      </c>
      <c r="BE341" s="220">
        <f t="shared" si="1007"/>
        <v>0</v>
      </c>
      <c r="BF341" s="220">
        <f t="shared" si="1008"/>
        <v>0</v>
      </c>
      <c r="BG341" s="220">
        <f t="shared" si="1009"/>
        <v>0</v>
      </c>
      <c r="BH341" s="220">
        <f t="shared" si="1010"/>
        <v>0</v>
      </c>
      <c r="BI341" s="220">
        <f t="shared" si="1011"/>
        <v>0</v>
      </c>
      <c r="BJ341" s="220" t="s">
        <v>3059</v>
      </c>
      <c r="BK341" s="220"/>
      <c r="BL341" s="223">
        <f t="shared" si="1004"/>
        <v>18.599999999999994</v>
      </c>
      <c r="BM341" s="220">
        <v>4.32</v>
      </c>
      <c r="BN341" s="220"/>
      <c r="BO341" s="220">
        <f>ROUND(BM341+(BM341*BN341),2)</f>
        <v>4.32</v>
      </c>
      <c r="BP341" s="220">
        <f>IF(AND(BL341&gt;0,BL341&lt;tiet!$D$1),BL341,IF(BL341&lt;=0,0,IF(BL341&gt;tiet!$C$1,tiet!$C$1)))</f>
        <v>18.599999999999994</v>
      </c>
      <c r="BQ341" s="87">
        <f>VLOOKUP(P341,ma_dinhmuc_moi,4,0)</f>
        <v>65000</v>
      </c>
      <c r="BR341" s="224">
        <f>ROUND(BQ341*BP341,0)</f>
        <v>1209000</v>
      </c>
      <c r="BS341" s="220">
        <f t="shared" si="1068"/>
        <v>0</v>
      </c>
      <c r="BT341" s="224">
        <f>VLOOKUP(N341,ma_dinhmuc!$A$1:$J$31,10,0)</f>
        <v>51000</v>
      </c>
      <c r="BU341" s="224">
        <f>ROUND(IF(BS341&gt;0,VLOOKUP(N341,ma_dinhmuc!$A$1:$J$31,10,0)*BS341,0),0)</f>
        <v>0</v>
      </c>
      <c r="BV341" s="224">
        <f>ROUND(BU341+BR341,0)</f>
        <v>1209000</v>
      </c>
      <c r="BW341" s="224"/>
      <c r="BX341" s="224">
        <v>0</v>
      </c>
      <c r="BY341" s="224"/>
      <c r="BZ341" s="224"/>
      <c r="CA341" s="224"/>
      <c r="CB341" s="224"/>
      <c r="CC341" s="225">
        <f>ROUND(IF(BV341+BW341&gt;BX341+BY341+BZ341+CA341+CB341,(BW341+BV341)-(BX341+BY341+BZ341+CA341+CB341+CB341),0),0)</f>
        <v>1209000</v>
      </c>
      <c r="CD341" s="224">
        <f>ROUND(IF(BV341+BW341&lt;BX341+BY341+BZ341+CA341-CB341,(BX341+BY341+BZ341+CA341-CB341)-(BW341+BV341),0),0)</f>
        <v>0</v>
      </c>
      <c r="CE341" s="224"/>
      <c r="CF341" s="226"/>
      <c r="CG341" s="87"/>
      <c r="CH341" s="87">
        <f t="shared" ref="CH341:CH352" si="1110">A341</f>
        <v>18</v>
      </c>
      <c r="CI341" s="227" t="str">
        <f t="shared" ref="CI341:CJ343" si="1111">F341</f>
        <v>Trương Thị Thu</v>
      </c>
      <c r="CJ341" s="227" t="str">
        <f t="shared" si="1111"/>
        <v>Hạnh</v>
      </c>
      <c r="CK341" s="87">
        <f t="shared" si="1105"/>
        <v>6</v>
      </c>
      <c r="CL341" s="227" t="str">
        <f t="shared" ref="CL341:CL360" si="1112">L341</f>
        <v>Tư tưởng Hồ Chí Minh</v>
      </c>
      <c r="CM341" s="87" t="str">
        <f t="shared" si="1012"/>
        <v>CT2</v>
      </c>
      <c r="CN341" s="87">
        <f>Q341</f>
        <v>270</v>
      </c>
      <c r="CO341" s="87">
        <f>R341</f>
        <v>80</v>
      </c>
      <c r="CP341" s="229">
        <f t="shared" si="1076"/>
        <v>0</v>
      </c>
      <c r="CQ341" s="229">
        <f t="shared" si="1077"/>
        <v>38.299999999999997</v>
      </c>
      <c r="CR341" s="229">
        <f t="shared" si="1078"/>
        <v>15.4</v>
      </c>
      <c r="CS341" s="229">
        <f t="shared" si="1079"/>
        <v>0</v>
      </c>
      <c r="CT341" s="229">
        <f t="shared" si="1080"/>
        <v>0</v>
      </c>
      <c r="CU341" s="229">
        <f t="shared" si="1081"/>
        <v>180.9</v>
      </c>
      <c r="CV341" s="229">
        <f t="shared" si="1082"/>
        <v>0</v>
      </c>
      <c r="CW341" s="229">
        <f t="shared" si="1083"/>
        <v>0</v>
      </c>
      <c r="CX341" s="229">
        <f t="shared" si="1084"/>
        <v>0</v>
      </c>
      <c r="CY341" s="229">
        <f t="shared" si="1085"/>
        <v>0</v>
      </c>
      <c r="CZ341" s="229">
        <f t="shared" si="1086"/>
        <v>0</v>
      </c>
      <c r="DA341" s="229">
        <f t="shared" si="1087"/>
        <v>0</v>
      </c>
      <c r="DB341" s="228">
        <f t="shared" si="1018"/>
        <v>234.6</v>
      </c>
      <c r="DC341" s="229"/>
      <c r="DD341" s="229"/>
      <c r="DE341" s="229"/>
      <c r="DF341" s="229"/>
      <c r="DG341" s="229"/>
      <c r="DH341" s="229"/>
      <c r="DI341" s="229"/>
      <c r="DJ341" s="229"/>
      <c r="DK341" s="229"/>
      <c r="DL341" s="229"/>
      <c r="DM341" s="229"/>
      <c r="DN341" s="229"/>
      <c r="DO341" s="228">
        <f t="shared" si="1029"/>
        <v>0</v>
      </c>
      <c r="DP341" s="228">
        <f t="shared" si="1030"/>
        <v>234.6</v>
      </c>
      <c r="DQ341" s="229">
        <f t="shared" si="1088"/>
        <v>0</v>
      </c>
      <c r="DR341" s="229">
        <f t="shared" si="1089"/>
        <v>0</v>
      </c>
      <c r="DS341" s="229">
        <f t="shared" si="1090"/>
        <v>0</v>
      </c>
      <c r="DT341" s="229">
        <f t="shared" si="1091"/>
        <v>0</v>
      </c>
      <c r="DU341" s="229">
        <f t="shared" si="1092"/>
        <v>0</v>
      </c>
      <c r="DV341" s="229">
        <f t="shared" si="1093"/>
        <v>0</v>
      </c>
      <c r="DW341" s="229">
        <f t="shared" si="1094"/>
        <v>0</v>
      </c>
      <c r="DX341" s="228">
        <f t="shared" si="1019"/>
        <v>0</v>
      </c>
      <c r="DY341" s="229"/>
      <c r="DZ341" s="229"/>
      <c r="EA341" s="229"/>
      <c r="EB341" s="229"/>
      <c r="EC341" s="229"/>
      <c r="ED341" s="229"/>
      <c r="EE341" s="229"/>
      <c r="EF341" s="228">
        <f t="shared" si="1072"/>
        <v>0</v>
      </c>
      <c r="EG341" s="228">
        <f t="shared" si="1031"/>
        <v>0</v>
      </c>
      <c r="EH341" s="229">
        <f t="shared" si="1073"/>
        <v>127.78</v>
      </c>
      <c r="EI341" s="229">
        <v>9.33</v>
      </c>
      <c r="EJ341" s="228">
        <f t="shared" si="1039"/>
        <v>137.11000000000001</v>
      </c>
      <c r="EK341" s="229"/>
      <c r="EL341" s="229"/>
      <c r="EM341" s="228">
        <f>SUM(EK341:EL341)</f>
        <v>0</v>
      </c>
      <c r="EN341" s="229">
        <f t="shared" si="1104"/>
        <v>127.78</v>
      </c>
      <c r="EO341" s="229">
        <f t="shared" si="926"/>
        <v>9.33</v>
      </c>
      <c r="EP341" s="228">
        <f>EM341+EJ341</f>
        <v>137.11000000000001</v>
      </c>
      <c r="EQ341" s="173">
        <f t="shared" si="1075"/>
        <v>63.78</v>
      </c>
      <c r="ER341" s="189">
        <v>0</v>
      </c>
      <c r="ES341" s="189">
        <v>38.299999999999997</v>
      </c>
      <c r="ET341" s="189">
        <v>15.4</v>
      </c>
      <c r="EU341" s="189">
        <v>0</v>
      </c>
      <c r="EV341" s="189">
        <v>0</v>
      </c>
      <c r="EW341" s="189">
        <v>180.9</v>
      </c>
      <c r="EX341" s="189">
        <v>0</v>
      </c>
      <c r="EY341" s="189">
        <v>0</v>
      </c>
      <c r="EZ341" s="189">
        <v>0</v>
      </c>
      <c r="FA341" s="189">
        <v>0</v>
      </c>
      <c r="FB341" s="189">
        <v>0</v>
      </c>
      <c r="FC341" s="189">
        <v>0</v>
      </c>
      <c r="FD341" s="189">
        <v>0</v>
      </c>
      <c r="FE341" s="189">
        <v>0</v>
      </c>
      <c r="FF341" s="189">
        <v>0</v>
      </c>
      <c r="FG341" s="189">
        <v>0</v>
      </c>
      <c r="FH341" s="189">
        <v>0</v>
      </c>
      <c r="FI341" s="189">
        <v>0</v>
      </c>
      <c r="FJ341" s="189">
        <v>0</v>
      </c>
      <c r="FK341" s="189">
        <v>234.6</v>
      </c>
      <c r="FL341" s="189">
        <v>192</v>
      </c>
      <c r="FN341" s="132">
        <v>127.78</v>
      </c>
    </row>
    <row r="342" spans="1:170" ht="30" customHeight="1">
      <c r="A342" s="88">
        <f>COUNTIF($H$12:H342,H342)</f>
        <v>19</v>
      </c>
      <c r="B342" s="88" t="s">
        <v>2934</v>
      </c>
      <c r="C342" s="88" t="s">
        <v>903</v>
      </c>
      <c r="D342" s="88"/>
      <c r="E342" s="88"/>
      <c r="F342" s="301" t="s">
        <v>1183</v>
      </c>
      <c r="G342" s="89" t="s">
        <v>2901</v>
      </c>
      <c r="H342" s="88">
        <v>6</v>
      </c>
      <c r="I342" s="88">
        <v>6</v>
      </c>
      <c r="J342" s="88">
        <v>6</v>
      </c>
      <c r="K342" s="90" t="s">
        <v>1092</v>
      </c>
      <c r="L342" s="90" t="s">
        <v>1092</v>
      </c>
      <c r="M342" s="214"/>
      <c r="N342" s="88" t="s">
        <v>39</v>
      </c>
      <c r="O342" s="216">
        <f t="shared" si="1040"/>
        <v>4.4000000000000004</v>
      </c>
      <c r="P342" s="88" t="str">
        <f t="shared" si="1045"/>
        <v>B11_4</v>
      </c>
      <c r="Q342" s="88">
        <f t="shared" si="951"/>
        <v>270</v>
      </c>
      <c r="R342" s="88">
        <f t="shared" si="952"/>
        <v>80</v>
      </c>
      <c r="S342" s="230" t="s">
        <v>689</v>
      </c>
      <c r="T342" s="88" t="s">
        <v>3090</v>
      </c>
      <c r="U342" s="88">
        <f>IF(RIGHT(T342,1)="K",(VLOOKUP(T342,ma_miengiam!$A$3:$B$80,2,0)*100)/2,VLOOKUP(T342,ma_miengiam!$A$3:$B$80,2,0)*100)</f>
        <v>15</v>
      </c>
      <c r="V342" s="88"/>
      <c r="W342" s="220">
        <f>IF(AND(T342="NTS",V342&gt;0),(Q342-(Q342*V342)/12)*VLOOKUP(T342,ma_miengiam!$A$3:$B$80,2,0)+(Q342-(Q342*(12-V342))/12),IF(AND(RIGHT(T342,1)="K",V342&gt;0),(VLOOKUP(T342,ma_miengiam!$A$3:$B$80,2,0)/2)*(Q342*V342)/12,IF(RIGHT(T342,1)="K",(VLOOKUP(T342,ma_miengiam!$A$3:$B$80,2,0)*Q342)/2,IF(V342&gt;0,VLOOKUP(T342,ma_miengiam!$A$3:$B$80,2,0)*Q342*V342/12,VLOOKUP(T342,ma_miengiam!$A$3:$B$80,2,0)*Q342))))</f>
        <v>40.5</v>
      </c>
      <c r="X342" s="220">
        <f>IF(T342="NTS",VLOOKUP(T342,ma_miengiam!$A$3:$B$80,2,0)*R342*V342,IF(AND(T342="NTS",V342=0),0,IF(AND(LEFT(T342,1)="K",V342=0),VLOOKUP(T342,ma_miengiam!$A$3:$B$80,2,0)*R342,IF(LEFT(T342,1)="K",(VLOOKUP(T342,ma_miengiam!$A$3:$B$80,2,0)*R342/12)*V342,IF(AND(LEFT(T342,1)="S",V342&gt;0),(R342/12)*V342,IF(AND(LEFT(T342,1)="S",V342=0),R342,IF(T342="DH",VLOOKUP(T342,ma_miengiam!$A$3:$B$80,2,0)*R342,0)))))))</f>
        <v>0</v>
      </c>
      <c r="Y342" s="220">
        <f t="shared" si="1107"/>
        <v>229.5</v>
      </c>
      <c r="Z342" s="220">
        <f t="shared" si="1095"/>
        <v>80</v>
      </c>
      <c r="AA342" s="220">
        <f t="shared" si="1108"/>
        <v>270</v>
      </c>
      <c r="AB342" s="220">
        <f t="shared" si="1108"/>
        <v>80</v>
      </c>
      <c r="AC342" s="220">
        <f t="shared" si="1109"/>
        <v>40.5</v>
      </c>
      <c r="AD342" s="220">
        <f t="shared" si="1109"/>
        <v>0</v>
      </c>
      <c r="AE342" s="220">
        <f t="shared" si="1109"/>
        <v>229.5</v>
      </c>
      <c r="AF342" s="220">
        <f t="shared" si="1109"/>
        <v>80</v>
      </c>
      <c r="AG342" s="220">
        <f t="shared" si="1100"/>
        <v>97.52000000000001</v>
      </c>
      <c r="AH342" s="220">
        <f t="shared" si="1101"/>
        <v>35.020000000000003</v>
      </c>
      <c r="AI342" s="220">
        <f t="shared" si="1102"/>
        <v>62.5</v>
      </c>
      <c r="AJ342" s="220">
        <f t="shared" si="1060"/>
        <v>0</v>
      </c>
      <c r="AK342" s="216">
        <f t="shared" si="1038"/>
        <v>229.5</v>
      </c>
      <c r="AL342" s="220">
        <f t="shared" si="1020"/>
        <v>334.1</v>
      </c>
      <c r="AM342" s="220">
        <f t="shared" si="1021"/>
        <v>0</v>
      </c>
      <c r="AN342" s="221">
        <f t="shared" si="1022"/>
        <v>334.1</v>
      </c>
      <c r="AO342" s="220">
        <f t="shared" si="1023"/>
        <v>0</v>
      </c>
      <c r="AP342" s="220">
        <f t="shared" si="1024"/>
        <v>0</v>
      </c>
      <c r="AQ342" s="220">
        <f t="shared" si="1025"/>
        <v>0</v>
      </c>
      <c r="AR342" s="220">
        <f t="shared" si="1026"/>
        <v>0</v>
      </c>
      <c r="AS342" s="220">
        <f t="shared" si="1027"/>
        <v>0</v>
      </c>
      <c r="AT342" s="216">
        <f t="shared" si="1028"/>
        <v>334.1</v>
      </c>
      <c r="AU342" s="222">
        <f t="shared" si="919"/>
        <v>104.60000000000002</v>
      </c>
      <c r="AV342" s="220"/>
      <c r="AW342" s="220">
        <f t="shared" si="1006"/>
        <v>104.60000000000002</v>
      </c>
      <c r="AX342" s="216">
        <f t="shared" si="1046"/>
        <v>0</v>
      </c>
      <c r="AY342" s="220">
        <f t="shared" si="1013"/>
        <v>0</v>
      </c>
      <c r="AZ342" s="220">
        <f t="shared" si="1014"/>
        <v>0</v>
      </c>
      <c r="BA342" s="220">
        <f t="shared" si="1015"/>
        <v>0</v>
      </c>
      <c r="BB342" s="220">
        <f t="shared" si="1016"/>
        <v>0</v>
      </c>
      <c r="BC342" s="220">
        <f t="shared" si="1017"/>
        <v>0</v>
      </c>
      <c r="BD342" s="216">
        <f t="shared" si="988"/>
        <v>0</v>
      </c>
      <c r="BE342" s="220">
        <f t="shared" si="1007"/>
        <v>0</v>
      </c>
      <c r="BF342" s="220">
        <f t="shared" si="1008"/>
        <v>0</v>
      </c>
      <c r="BG342" s="220">
        <f t="shared" si="1009"/>
        <v>0</v>
      </c>
      <c r="BH342" s="220">
        <f t="shared" si="1010"/>
        <v>0</v>
      </c>
      <c r="BI342" s="220">
        <f t="shared" si="1011"/>
        <v>0</v>
      </c>
      <c r="BJ342" s="220" t="s">
        <v>3059</v>
      </c>
      <c r="BK342" s="220"/>
      <c r="BL342" s="223">
        <f t="shared" si="1004"/>
        <v>104.60000000000002</v>
      </c>
      <c r="BM342" s="220">
        <v>4.4000000000000004</v>
      </c>
      <c r="BN342" s="220"/>
      <c r="BO342" s="220">
        <f t="shared" si="1043"/>
        <v>4.4000000000000004</v>
      </c>
      <c r="BP342" s="220">
        <f>IF(AND(BL342&gt;0,BL342&lt;tiet!$D$1),BL342,IF(BL342&lt;=0,0,IF(BL342&gt;tiet!$C$1,tiet!$C$1)))</f>
        <v>104.60000000000002</v>
      </c>
      <c r="BQ342" s="87">
        <f t="shared" si="1047"/>
        <v>65000</v>
      </c>
      <c r="BR342" s="224">
        <f t="shared" si="1048"/>
        <v>6799000</v>
      </c>
      <c r="BS342" s="220">
        <f t="shared" si="1068"/>
        <v>0</v>
      </c>
      <c r="BT342" s="224">
        <f>VLOOKUP(N342,ma_dinhmuc!$A$1:$J$31,10,0)</f>
        <v>55000</v>
      </c>
      <c r="BU342" s="224">
        <f>ROUND(IF(BS342&gt;0,VLOOKUP(N342,ma_dinhmuc!$A$1:$J$31,10,0)*BS342,0),0)</f>
        <v>0</v>
      </c>
      <c r="BV342" s="224">
        <f t="shared" si="1049"/>
        <v>6799000</v>
      </c>
      <c r="BW342" s="224"/>
      <c r="BX342" s="224">
        <v>0</v>
      </c>
      <c r="BY342" s="224"/>
      <c r="BZ342" s="224"/>
      <c r="CA342" s="224"/>
      <c r="CB342" s="224"/>
      <c r="CC342" s="225">
        <f t="shared" si="1069"/>
        <v>6799000</v>
      </c>
      <c r="CD342" s="224">
        <f t="shared" si="1070"/>
        <v>0</v>
      </c>
      <c r="CE342" s="224"/>
      <c r="CF342" s="226"/>
      <c r="CG342" s="87"/>
      <c r="CH342" s="87">
        <f t="shared" si="1110"/>
        <v>19</v>
      </c>
      <c r="CI342" s="227" t="str">
        <f t="shared" si="1111"/>
        <v>Nguyễn Đắc</v>
      </c>
      <c r="CJ342" s="227" t="str">
        <f t="shared" si="1111"/>
        <v>Dũng</v>
      </c>
      <c r="CK342" s="87">
        <f t="shared" si="1105"/>
        <v>6</v>
      </c>
      <c r="CL342" s="227" t="str">
        <f t="shared" si="1112"/>
        <v>Tư tưởng Hồ Chí Minh</v>
      </c>
      <c r="CM342" s="87" t="str">
        <f t="shared" si="1012"/>
        <v>CT3</v>
      </c>
      <c r="CN342" s="87">
        <f t="shared" si="1096"/>
        <v>270</v>
      </c>
      <c r="CO342" s="87">
        <f t="shared" si="1097"/>
        <v>80</v>
      </c>
      <c r="CP342" s="229">
        <f t="shared" si="1076"/>
        <v>0</v>
      </c>
      <c r="CQ342" s="229">
        <f t="shared" si="1077"/>
        <v>65.3</v>
      </c>
      <c r="CR342" s="229">
        <f t="shared" si="1078"/>
        <v>26.3</v>
      </c>
      <c r="CS342" s="229">
        <f t="shared" si="1079"/>
        <v>0</v>
      </c>
      <c r="CT342" s="229">
        <f t="shared" si="1080"/>
        <v>0</v>
      </c>
      <c r="CU342" s="229">
        <f t="shared" si="1081"/>
        <v>242.5</v>
      </c>
      <c r="CV342" s="229">
        <f t="shared" si="1082"/>
        <v>0</v>
      </c>
      <c r="CW342" s="229">
        <f t="shared" si="1083"/>
        <v>0</v>
      </c>
      <c r="CX342" s="229">
        <f t="shared" si="1084"/>
        <v>0</v>
      </c>
      <c r="CY342" s="229">
        <f t="shared" si="1085"/>
        <v>0</v>
      </c>
      <c r="CZ342" s="229">
        <f t="shared" si="1086"/>
        <v>0</v>
      </c>
      <c r="DA342" s="229">
        <f t="shared" si="1087"/>
        <v>0</v>
      </c>
      <c r="DB342" s="228">
        <f t="shared" si="1018"/>
        <v>334.1</v>
      </c>
      <c r="DC342" s="229"/>
      <c r="DD342" s="229"/>
      <c r="DE342" s="229"/>
      <c r="DF342" s="229"/>
      <c r="DG342" s="229"/>
      <c r="DH342" s="229"/>
      <c r="DI342" s="229"/>
      <c r="DJ342" s="229"/>
      <c r="DK342" s="229"/>
      <c r="DL342" s="229"/>
      <c r="DM342" s="229"/>
      <c r="DN342" s="229"/>
      <c r="DO342" s="228">
        <f t="shared" si="1029"/>
        <v>0</v>
      </c>
      <c r="DP342" s="228">
        <f t="shared" si="1030"/>
        <v>334.1</v>
      </c>
      <c r="DQ342" s="229">
        <f t="shared" si="1088"/>
        <v>0</v>
      </c>
      <c r="DR342" s="229">
        <f t="shared" si="1089"/>
        <v>0</v>
      </c>
      <c r="DS342" s="229">
        <f t="shared" si="1090"/>
        <v>0</v>
      </c>
      <c r="DT342" s="229">
        <f t="shared" si="1091"/>
        <v>0</v>
      </c>
      <c r="DU342" s="229">
        <f t="shared" si="1092"/>
        <v>0</v>
      </c>
      <c r="DV342" s="229">
        <f t="shared" si="1093"/>
        <v>0</v>
      </c>
      <c r="DW342" s="229">
        <f t="shared" si="1094"/>
        <v>0</v>
      </c>
      <c r="DX342" s="228">
        <f t="shared" si="1019"/>
        <v>0</v>
      </c>
      <c r="DY342" s="229"/>
      <c r="DZ342" s="229"/>
      <c r="EA342" s="229"/>
      <c r="EB342" s="229"/>
      <c r="EC342" s="229"/>
      <c r="ED342" s="229"/>
      <c r="EE342" s="229"/>
      <c r="EF342" s="228">
        <f t="shared" si="1072"/>
        <v>0</v>
      </c>
      <c r="EG342" s="228">
        <f t="shared" si="1031"/>
        <v>0</v>
      </c>
      <c r="EH342" s="229">
        <f t="shared" si="1073"/>
        <v>62.5</v>
      </c>
      <c r="EI342" s="229">
        <v>35.020000000000003</v>
      </c>
      <c r="EJ342" s="228">
        <f t="shared" si="1039"/>
        <v>97.52000000000001</v>
      </c>
      <c r="EK342" s="229"/>
      <c r="EL342" s="229"/>
      <c r="EM342" s="228">
        <f t="shared" si="1065"/>
        <v>0</v>
      </c>
      <c r="EN342" s="229">
        <f t="shared" si="1104"/>
        <v>62.5</v>
      </c>
      <c r="EO342" s="229">
        <f t="shared" si="926"/>
        <v>35.020000000000003</v>
      </c>
      <c r="EP342" s="228">
        <f t="shared" si="1074"/>
        <v>97.52000000000001</v>
      </c>
      <c r="EQ342" s="173">
        <f t="shared" si="1075"/>
        <v>0</v>
      </c>
      <c r="ER342" s="189">
        <v>0</v>
      </c>
      <c r="ES342" s="189">
        <v>65.3</v>
      </c>
      <c r="ET342" s="189">
        <v>26.3</v>
      </c>
      <c r="EU342" s="189">
        <v>0</v>
      </c>
      <c r="EV342" s="189">
        <v>0</v>
      </c>
      <c r="EW342" s="189">
        <v>242.5</v>
      </c>
      <c r="EX342" s="189">
        <v>0</v>
      </c>
      <c r="EY342" s="189">
        <v>0</v>
      </c>
      <c r="EZ342" s="189">
        <v>0</v>
      </c>
      <c r="FA342" s="189">
        <v>0</v>
      </c>
      <c r="FB342" s="189">
        <v>0</v>
      </c>
      <c r="FC342" s="189">
        <v>0</v>
      </c>
      <c r="FD342" s="189">
        <v>0</v>
      </c>
      <c r="FE342" s="189">
        <v>0</v>
      </c>
      <c r="FF342" s="189">
        <v>0</v>
      </c>
      <c r="FG342" s="189">
        <v>0</v>
      </c>
      <c r="FH342" s="189">
        <v>0</v>
      </c>
      <c r="FI342" s="189">
        <v>0</v>
      </c>
      <c r="FJ342" s="189">
        <v>0</v>
      </c>
      <c r="FK342" s="189">
        <v>334.1</v>
      </c>
      <c r="FL342" s="189">
        <v>192</v>
      </c>
      <c r="FN342" s="132">
        <v>62.5</v>
      </c>
    </row>
    <row r="343" spans="1:170" ht="30" customHeight="1">
      <c r="A343" s="88">
        <f>COUNTIF($H$12:H343,H343)</f>
        <v>20</v>
      </c>
      <c r="B343" s="88" t="s">
        <v>2935</v>
      </c>
      <c r="C343" s="88" t="s">
        <v>904</v>
      </c>
      <c r="D343" s="88"/>
      <c r="E343" s="88"/>
      <c r="F343" s="301" t="s">
        <v>1184</v>
      </c>
      <c r="G343" s="303" t="s">
        <v>1772</v>
      </c>
      <c r="H343" s="88">
        <v>6</v>
      </c>
      <c r="I343" s="88">
        <v>6</v>
      </c>
      <c r="J343" s="88">
        <v>6</v>
      </c>
      <c r="K343" s="90" t="s">
        <v>1092</v>
      </c>
      <c r="L343" s="90" t="s">
        <v>1092</v>
      </c>
      <c r="M343" s="214"/>
      <c r="N343" s="88" t="s">
        <v>39</v>
      </c>
      <c r="O343" s="216">
        <f>BO343</f>
        <v>5.08</v>
      </c>
      <c r="P343" s="88" t="str">
        <f t="shared" si="1045"/>
        <v>B11_5</v>
      </c>
      <c r="Q343" s="88">
        <f t="shared" si="951"/>
        <v>270</v>
      </c>
      <c r="R343" s="88">
        <f t="shared" si="952"/>
        <v>100</v>
      </c>
      <c r="S343" s="230" t="s">
        <v>2031</v>
      </c>
      <c r="T343" s="88" t="s">
        <v>3091</v>
      </c>
      <c r="U343" s="88">
        <f>IF(RIGHT(T343,1)="K",(VLOOKUP(T343,ma_miengiam!$A$3:$B$80,2,0)*100)/2,VLOOKUP(T343,ma_miengiam!$A$3:$B$80,2,0)*100)</f>
        <v>20</v>
      </c>
      <c r="V343" s="88"/>
      <c r="W343" s="220">
        <f>IF(AND(T343="NTS",V343&gt;0),(Q343-(Q343*V343)/12)*VLOOKUP(T343,ma_miengiam!$A$3:$B$80,2,0)+(Q343-(Q343*(12-V343))/12),IF(AND(RIGHT(T343,1)="K",V343&gt;0),(VLOOKUP(T343,ma_miengiam!$A$3:$B$80,2,0)/2)*(Q343*V343)/12,IF(RIGHT(T343,1)="K",(VLOOKUP(T343,ma_miengiam!$A$3:$B$80,2,0)*Q343)/2,IF(V343&gt;0,VLOOKUP(T343,ma_miengiam!$A$3:$B$80,2,0)*Q343*V343/12,VLOOKUP(T343,ma_miengiam!$A$3:$B$80,2,0)*Q343))))</f>
        <v>54</v>
      </c>
      <c r="X343" s="220">
        <f>IF(T343="NTS",VLOOKUP(T343,ma_miengiam!$A$3:$B$80,2,0)*R343*V343,IF(AND(T343="NTS",V343=0),0,IF(AND(LEFT(T343,1)="K",V343=0),VLOOKUP(T343,ma_miengiam!$A$3:$B$80,2,0)*R343,IF(LEFT(T343,1)="K",(VLOOKUP(T343,ma_miengiam!$A$3:$B$80,2,0)*R343/12)*V343,IF(AND(LEFT(T343,1)="S",V343&gt;0),(R343/12)*V343,IF(AND(LEFT(T343,1)="S",V343=0),R343,IF(T343="DH",VLOOKUP(T343,ma_miengiam!$A$3:$B$80,2,0)*R343,0)))))))</f>
        <v>0</v>
      </c>
      <c r="Y343" s="220">
        <f t="shared" si="1107"/>
        <v>216</v>
      </c>
      <c r="Z343" s="220">
        <f>IF(AND(T343="SĐH",V343&gt;0),(R343/12)*V343-X343,IF(AND(T343="DH",V343&gt;0),(R343*V343/12),IF(AND(T343&lt;&gt;"NTS",V343&gt;0),(R343*V343/12)-X343,IF(AND(T343="NTS",V343&gt;0),R343-X343,R343-X343))))</f>
        <v>100</v>
      </c>
      <c r="AA343" s="220">
        <f t="shared" si="1108"/>
        <v>270</v>
      </c>
      <c r="AB343" s="220">
        <f t="shared" si="1108"/>
        <v>100</v>
      </c>
      <c r="AC343" s="220">
        <f t="shared" ref="AC343:AF345" si="1113">W343</f>
        <v>54</v>
      </c>
      <c r="AD343" s="220">
        <f t="shared" si="1113"/>
        <v>0</v>
      </c>
      <c r="AE343" s="220">
        <f t="shared" si="1113"/>
        <v>216</v>
      </c>
      <c r="AF343" s="220">
        <f t="shared" si="1113"/>
        <v>100</v>
      </c>
      <c r="AG343" s="220">
        <f t="shared" ref="AG343:AG352" si="1114">AH343+AI343</f>
        <v>150</v>
      </c>
      <c r="AH343" s="220">
        <f t="shared" ref="AH343:AH352" si="1115">EO343</f>
        <v>0</v>
      </c>
      <c r="AI343" s="220">
        <f t="shared" ref="AI343:AI352" si="1116">EN343</f>
        <v>150</v>
      </c>
      <c r="AJ343" s="220">
        <f>IF(AG343-Z343&gt;0,0,AG343-Z343)</f>
        <v>0</v>
      </c>
      <c r="AK343" s="216">
        <f t="shared" si="1038"/>
        <v>216</v>
      </c>
      <c r="AL343" s="220">
        <f t="shared" si="1020"/>
        <v>238.9</v>
      </c>
      <c r="AM343" s="220">
        <f t="shared" si="1021"/>
        <v>0</v>
      </c>
      <c r="AN343" s="221">
        <f t="shared" si="1022"/>
        <v>238.9</v>
      </c>
      <c r="AO343" s="220">
        <f t="shared" si="1023"/>
        <v>0</v>
      </c>
      <c r="AP343" s="220">
        <f t="shared" si="1024"/>
        <v>0</v>
      </c>
      <c r="AQ343" s="220">
        <f t="shared" si="1025"/>
        <v>0</v>
      </c>
      <c r="AR343" s="220">
        <f t="shared" si="1026"/>
        <v>0</v>
      </c>
      <c r="AS343" s="220">
        <f t="shared" si="1027"/>
        <v>0</v>
      </c>
      <c r="AT343" s="216">
        <f t="shared" si="1028"/>
        <v>238.9</v>
      </c>
      <c r="AU343" s="222">
        <f t="shared" ref="AU343:AU394" si="1117">AN343-AK343</f>
        <v>22.900000000000006</v>
      </c>
      <c r="AV343" s="220"/>
      <c r="AW343" s="220">
        <f t="shared" si="1006"/>
        <v>22.900000000000006</v>
      </c>
      <c r="AX343" s="216">
        <f t="shared" si="1046"/>
        <v>0</v>
      </c>
      <c r="AY343" s="220">
        <f t="shared" si="1013"/>
        <v>0</v>
      </c>
      <c r="AZ343" s="220">
        <f t="shared" si="1014"/>
        <v>0</v>
      </c>
      <c r="BA343" s="220">
        <f t="shared" si="1015"/>
        <v>0</v>
      </c>
      <c r="BB343" s="220">
        <f t="shared" si="1016"/>
        <v>0</v>
      </c>
      <c r="BC343" s="220">
        <f t="shared" si="1017"/>
        <v>0</v>
      </c>
      <c r="BD343" s="216">
        <f t="shared" si="988"/>
        <v>0</v>
      </c>
      <c r="BE343" s="220">
        <f t="shared" si="1007"/>
        <v>0</v>
      </c>
      <c r="BF343" s="220">
        <f t="shared" si="1008"/>
        <v>0</v>
      </c>
      <c r="BG343" s="220">
        <f t="shared" si="1009"/>
        <v>0</v>
      </c>
      <c r="BH343" s="220">
        <f t="shared" si="1010"/>
        <v>0</v>
      </c>
      <c r="BI343" s="220">
        <f t="shared" si="1011"/>
        <v>0</v>
      </c>
      <c r="BJ343" s="220" t="s">
        <v>3059</v>
      </c>
      <c r="BK343" s="220"/>
      <c r="BL343" s="223">
        <f t="shared" si="1004"/>
        <v>22.900000000000006</v>
      </c>
      <c r="BM343" s="220">
        <v>5.08</v>
      </c>
      <c r="BN343" s="220"/>
      <c r="BO343" s="220">
        <f t="shared" ref="BO343:BO352" si="1118">ROUND(BM343+(BM343*BN343),2)</f>
        <v>5.08</v>
      </c>
      <c r="BP343" s="220">
        <f>IF(AND(BL343&gt;0,BL343&lt;tiet!$D$1),BL343,IF(BL343&lt;=0,0,IF(BL343&gt;tiet!$C$1,tiet!$C$1)))</f>
        <v>22.900000000000006</v>
      </c>
      <c r="BQ343" s="87">
        <f>VLOOKUP(P343,ma_dinhmuc_moi,4,0)</f>
        <v>70000</v>
      </c>
      <c r="BR343" s="224">
        <f>ROUND(BQ343*BP343,0)</f>
        <v>1603000</v>
      </c>
      <c r="BS343" s="220">
        <f t="shared" si="1068"/>
        <v>0</v>
      </c>
      <c r="BT343" s="224">
        <f>VLOOKUP(N343,ma_dinhmuc!$A$1:$J$31,10,0)</f>
        <v>55000</v>
      </c>
      <c r="BU343" s="224">
        <f>ROUND(IF(BS343&gt;0,VLOOKUP(N343,ma_dinhmuc!$A$1:$J$31,10,0)*BS343,0),0)</f>
        <v>0</v>
      </c>
      <c r="BV343" s="224">
        <f>ROUND(BU343+BR343,0)</f>
        <v>1603000</v>
      </c>
      <c r="BW343" s="224"/>
      <c r="BX343" s="224">
        <v>0</v>
      </c>
      <c r="BY343" s="224"/>
      <c r="BZ343" s="224"/>
      <c r="CA343" s="224"/>
      <c r="CB343" s="224"/>
      <c r="CC343" s="225">
        <f>ROUND(IF(BV343+BW343&gt;BX343+BY343+BZ343+CA343+CB343,(BW343+BV343)-(BX343+BY343+BZ343+CA343+CB343+CB343),0),0)</f>
        <v>1603000</v>
      </c>
      <c r="CD343" s="224">
        <f>ROUND(IF(BV343+BW343&lt;BX343+BY343+BZ343+CA343-CB343,(BX343+BY343+BZ343+CA343-CB343)-(BW343+BV343),0),0)</f>
        <v>0</v>
      </c>
      <c r="CE343" s="224"/>
      <c r="CF343" s="226"/>
      <c r="CG343" s="87"/>
      <c r="CH343" s="87">
        <f t="shared" si="1110"/>
        <v>20</v>
      </c>
      <c r="CI343" s="227" t="str">
        <f t="shared" si="1111"/>
        <v>Trần Lê</v>
      </c>
      <c r="CJ343" s="227" t="str">
        <f t="shared" si="1111"/>
        <v>Thanh</v>
      </c>
      <c r="CK343" s="87">
        <f t="shared" si="1105"/>
        <v>6</v>
      </c>
      <c r="CL343" s="227" t="str">
        <f t="shared" si="1112"/>
        <v>Tư tưởng Hồ Chí Minh</v>
      </c>
      <c r="CM343" s="87" t="str">
        <f t="shared" si="1012"/>
        <v>CT3</v>
      </c>
      <c r="CN343" s="87">
        <f t="shared" ref="CN343:CN352" si="1119">Q343</f>
        <v>270</v>
      </c>
      <c r="CO343" s="87">
        <f t="shared" ref="CO343:CO352" si="1120">R343</f>
        <v>100</v>
      </c>
      <c r="CP343" s="229">
        <f t="shared" si="1076"/>
        <v>0</v>
      </c>
      <c r="CQ343" s="229">
        <f t="shared" si="1077"/>
        <v>33.1</v>
      </c>
      <c r="CR343" s="229">
        <f t="shared" si="1078"/>
        <v>13.4</v>
      </c>
      <c r="CS343" s="229">
        <f t="shared" si="1079"/>
        <v>0</v>
      </c>
      <c r="CT343" s="229">
        <f t="shared" si="1080"/>
        <v>0</v>
      </c>
      <c r="CU343" s="229">
        <f t="shared" si="1081"/>
        <v>192.4</v>
      </c>
      <c r="CV343" s="229">
        <f t="shared" si="1082"/>
        <v>0</v>
      </c>
      <c r="CW343" s="229">
        <f t="shared" si="1083"/>
        <v>0</v>
      </c>
      <c r="CX343" s="229">
        <f t="shared" si="1084"/>
        <v>0</v>
      </c>
      <c r="CY343" s="229">
        <f t="shared" si="1085"/>
        <v>0</v>
      </c>
      <c r="CZ343" s="229">
        <f t="shared" si="1086"/>
        <v>0</v>
      </c>
      <c r="DA343" s="229">
        <f t="shared" si="1087"/>
        <v>0</v>
      </c>
      <c r="DB343" s="228">
        <f t="shared" si="1018"/>
        <v>238.9</v>
      </c>
      <c r="DC343" s="229"/>
      <c r="DD343" s="229"/>
      <c r="DE343" s="229"/>
      <c r="DF343" s="229"/>
      <c r="DG343" s="229"/>
      <c r="DH343" s="229"/>
      <c r="DI343" s="229"/>
      <c r="DJ343" s="229"/>
      <c r="DK343" s="229"/>
      <c r="DL343" s="229"/>
      <c r="DM343" s="229"/>
      <c r="DN343" s="229"/>
      <c r="DO343" s="228">
        <f t="shared" si="1029"/>
        <v>0</v>
      </c>
      <c r="DP343" s="228">
        <f t="shared" si="1030"/>
        <v>238.9</v>
      </c>
      <c r="DQ343" s="229">
        <f t="shared" si="1088"/>
        <v>0</v>
      </c>
      <c r="DR343" s="229">
        <f t="shared" si="1089"/>
        <v>0</v>
      </c>
      <c r="DS343" s="229">
        <f t="shared" si="1090"/>
        <v>0</v>
      </c>
      <c r="DT343" s="229">
        <f t="shared" si="1091"/>
        <v>0</v>
      </c>
      <c r="DU343" s="229">
        <f t="shared" si="1092"/>
        <v>0</v>
      </c>
      <c r="DV343" s="229">
        <f t="shared" si="1093"/>
        <v>0</v>
      </c>
      <c r="DW343" s="229">
        <f t="shared" si="1094"/>
        <v>0</v>
      </c>
      <c r="DX343" s="228">
        <f t="shared" si="1019"/>
        <v>0</v>
      </c>
      <c r="DY343" s="229"/>
      <c r="DZ343" s="229"/>
      <c r="EA343" s="229"/>
      <c r="EB343" s="229"/>
      <c r="EC343" s="229"/>
      <c r="ED343" s="229"/>
      <c r="EE343" s="229"/>
      <c r="EF343" s="228">
        <f t="shared" si="1072"/>
        <v>0</v>
      </c>
      <c r="EG343" s="228">
        <f t="shared" si="1031"/>
        <v>0</v>
      </c>
      <c r="EH343" s="229">
        <f t="shared" si="1073"/>
        <v>150</v>
      </c>
      <c r="EI343" s="229">
        <v>0</v>
      </c>
      <c r="EJ343" s="228">
        <f t="shared" si="1039"/>
        <v>150</v>
      </c>
      <c r="EK343" s="229"/>
      <c r="EL343" s="229"/>
      <c r="EM343" s="228">
        <f>SUM(EK343:EL343)</f>
        <v>0</v>
      </c>
      <c r="EN343" s="229">
        <f t="shared" si="1104"/>
        <v>150</v>
      </c>
      <c r="EO343" s="229">
        <f t="shared" ref="EO343:EO394" si="1121">EI343</f>
        <v>0</v>
      </c>
      <c r="EP343" s="228">
        <f>EM343+EJ343</f>
        <v>150</v>
      </c>
      <c r="EQ343" s="173">
        <f t="shared" si="1075"/>
        <v>50</v>
      </c>
      <c r="ER343" s="189">
        <v>0</v>
      </c>
      <c r="ES343" s="189">
        <v>33.1</v>
      </c>
      <c r="ET343" s="189">
        <v>13.4</v>
      </c>
      <c r="EU343" s="189">
        <v>0</v>
      </c>
      <c r="EV343" s="189">
        <v>0</v>
      </c>
      <c r="EW343" s="189">
        <v>192.4</v>
      </c>
      <c r="EX343" s="189">
        <v>0</v>
      </c>
      <c r="EY343" s="189">
        <v>0</v>
      </c>
      <c r="EZ343" s="189">
        <v>0</v>
      </c>
      <c r="FA343" s="189">
        <v>0</v>
      </c>
      <c r="FB343" s="189">
        <v>0</v>
      </c>
      <c r="FC343" s="189">
        <v>0</v>
      </c>
      <c r="FD343" s="189">
        <v>0</v>
      </c>
      <c r="FE343" s="189">
        <v>0</v>
      </c>
      <c r="FF343" s="189">
        <v>0</v>
      </c>
      <c r="FG343" s="189">
        <v>0</v>
      </c>
      <c r="FH343" s="189">
        <v>0</v>
      </c>
      <c r="FI343" s="189">
        <v>0</v>
      </c>
      <c r="FJ343" s="189">
        <v>0</v>
      </c>
      <c r="FK343" s="189">
        <v>238.9</v>
      </c>
      <c r="FL343" s="189">
        <v>192</v>
      </c>
      <c r="FN343" s="132">
        <v>150</v>
      </c>
    </row>
    <row r="344" spans="1:170" ht="30" customHeight="1">
      <c r="A344" s="88">
        <f>COUNTIF($H$12:H344,H344)</f>
        <v>21</v>
      </c>
      <c r="B344" s="88" t="s">
        <v>2936</v>
      </c>
      <c r="C344" s="88" t="s">
        <v>253</v>
      </c>
      <c r="D344" s="88"/>
      <c r="E344" s="88"/>
      <c r="F344" s="301" t="s">
        <v>627</v>
      </c>
      <c r="G344" s="89" t="s">
        <v>1569</v>
      </c>
      <c r="H344" s="88">
        <v>6</v>
      </c>
      <c r="I344" s="88">
        <v>6</v>
      </c>
      <c r="J344" s="88">
        <v>6</v>
      </c>
      <c r="K344" s="90" t="s">
        <v>1092</v>
      </c>
      <c r="L344" s="90" t="s">
        <v>1092</v>
      </c>
      <c r="M344" s="214"/>
      <c r="N344" s="88" t="s">
        <v>37</v>
      </c>
      <c r="O344" s="216">
        <f>BO344</f>
        <v>2.67</v>
      </c>
      <c r="P344" s="88" t="str">
        <f t="shared" si="1045"/>
        <v>B11_3</v>
      </c>
      <c r="Q344" s="88">
        <f t="shared" si="951"/>
        <v>270</v>
      </c>
      <c r="R344" s="88">
        <f t="shared" si="952"/>
        <v>60</v>
      </c>
      <c r="S344" s="230"/>
      <c r="T344" s="214" t="s">
        <v>3088</v>
      </c>
      <c r="U344" s="88">
        <f>IF(RIGHT(T344,1)="K",(VLOOKUP(T344,ma_miengiam!$A$3:$B$80,2,0)*100)/2,VLOOKUP(T344,ma_miengiam!$A$3:$B$80,2,0)*100)</f>
        <v>0</v>
      </c>
      <c r="V344" s="88"/>
      <c r="W344" s="220">
        <f>IF(AND(T344="NTS",V344&gt;0),(Q344-(Q344*V344)/12)*VLOOKUP(T344,ma_miengiam!$A$3:$B$80,2,0)+(Q344-(Q344*(12-V344))/12),IF(AND(RIGHT(T344,1)="K",V344&gt;0),(VLOOKUP(T344,ma_miengiam!$A$3:$B$80,2,0)/2)*(Q344*V344)/12,IF(RIGHT(T344,1)="K",(VLOOKUP(T344,ma_miengiam!$A$3:$B$80,2,0)*Q344)/2,IF(V344&gt;0,VLOOKUP(T344,ma_miengiam!$A$3:$B$80,2,0)*Q344*V344/12,VLOOKUP(T344,ma_miengiam!$A$3:$B$80,2,0)*Q344))))</f>
        <v>0</v>
      </c>
      <c r="X344" s="220">
        <f>IF(T344="NTS",VLOOKUP(T344,ma_miengiam!$A$3:$B$80,2,0)*R344*V344,IF(AND(T344="NTS",V344=0),0,IF(AND(LEFT(T344,1)="K",V344=0),VLOOKUP(T344,ma_miengiam!$A$3:$B$80,2,0)*R344,IF(LEFT(T344,1)="K",(VLOOKUP(T344,ma_miengiam!$A$3:$B$80,2,0)*R344/12)*V344,IF(AND(LEFT(T344,1)="S",V344&gt;0),(R344/12)*V344,IF(AND(LEFT(T344,1)="S",V344=0),R344,IF(T344="DH",VLOOKUP(T344,ma_miengiam!$A$3:$B$80,2,0)*R344,0)))))))</f>
        <v>0</v>
      </c>
      <c r="Y344" s="220">
        <f t="shared" si="1107"/>
        <v>270</v>
      </c>
      <c r="Z344" s="220">
        <f>IF(AND(T344="SĐH",V344&gt;0),(R344/12)*V344-X344,IF(AND(T344="DH",V344&gt;0),(R344*V344/12),IF(AND(T344&lt;&gt;"NTS",V344&gt;0),(R344*V344/12)-X344,IF(AND(T344="NTS",V344&gt;0),R344-X344,R344-X344))))</f>
        <v>60</v>
      </c>
      <c r="AA344" s="220">
        <f t="shared" si="1108"/>
        <v>270</v>
      </c>
      <c r="AB344" s="220">
        <f t="shared" si="1108"/>
        <v>60</v>
      </c>
      <c r="AC344" s="220">
        <f t="shared" si="1113"/>
        <v>0</v>
      </c>
      <c r="AD344" s="220">
        <f t="shared" si="1113"/>
        <v>0</v>
      </c>
      <c r="AE344" s="220">
        <f t="shared" si="1113"/>
        <v>270</v>
      </c>
      <c r="AF344" s="220">
        <f t="shared" si="1113"/>
        <v>60</v>
      </c>
      <c r="AG344" s="220">
        <f t="shared" si="1114"/>
        <v>115.28</v>
      </c>
      <c r="AH344" s="220">
        <f t="shared" si="1115"/>
        <v>0</v>
      </c>
      <c r="AI344" s="220">
        <f t="shared" si="1116"/>
        <v>115.28</v>
      </c>
      <c r="AJ344" s="220">
        <f>IF(AG344-Z344&gt;0,0,AG344-Z344)</f>
        <v>0</v>
      </c>
      <c r="AK344" s="216">
        <f t="shared" si="1038"/>
        <v>270</v>
      </c>
      <c r="AL344" s="220">
        <f t="shared" si="1020"/>
        <v>231</v>
      </c>
      <c r="AM344" s="220">
        <f t="shared" si="1021"/>
        <v>0</v>
      </c>
      <c r="AN344" s="221">
        <f t="shared" si="1022"/>
        <v>231</v>
      </c>
      <c r="AO344" s="220">
        <f t="shared" si="1023"/>
        <v>0</v>
      </c>
      <c r="AP344" s="220">
        <f t="shared" si="1024"/>
        <v>0</v>
      </c>
      <c r="AQ344" s="220">
        <f t="shared" si="1025"/>
        <v>0</v>
      </c>
      <c r="AR344" s="220">
        <f t="shared" si="1026"/>
        <v>0</v>
      </c>
      <c r="AS344" s="220">
        <f t="shared" si="1027"/>
        <v>0</v>
      </c>
      <c r="AT344" s="216">
        <f t="shared" si="1028"/>
        <v>231</v>
      </c>
      <c r="AU344" s="222">
        <f>AN344-AK344</f>
        <v>-39</v>
      </c>
      <c r="AV344" s="220"/>
      <c r="AW344" s="220">
        <f t="shared" si="1006"/>
        <v>-39</v>
      </c>
      <c r="AX344" s="216">
        <f t="shared" si="1046"/>
        <v>-39</v>
      </c>
      <c r="AY344" s="220">
        <f t="shared" si="1013"/>
        <v>0</v>
      </c>
      <c r="AZ344" s="220">
        <f t="shared" si="1014"/>
        <v>0</v>
      </c>
      <c r="BA344" s="220">
        <f t="shared" si="1015"/>
        <v>0</v>
      </c>
      <c r="BB344" s="220">
        <f t="shared" si="1016"/>
        <v>0</v>
      </c>
      <c r="BC344" s="220">
        <f t="shared" si="1017"/>
        <v>0</v>
      </c>
      <c r="BD344" s="216">
        <f t="shared" si="988"/>
        <v>0</v>
      </c>
      <c r="BE344" s="220">
        <f t="shared" si="1007"/>
        <v>0</v>
      </c>
      <c r="BF344" s="220">
        <f t="shared" si="1008"/>
        <v>0</v>
      </c>
      <c r="BG344" s="220">
        <f t="shared" si="1009"/>
        <v>0</v>
      </c>
      <c r="BH344" s="220">
        <f t="shared" si="1010"/>
        <v>0</v>
      </c>
      <c r="BI344" s="220">
        <f t="shared" si="1011"/>
        <v>0</v>
      </c>
      <c r="BJ344" s="220" t="s">
        <v>3059</v>
      </c>
      <c r="BK344" s="220"/>
      <c r="BL344" s="223">
        <f t="shared" si="1004"/>
        <v>0</v>
      </c>
      <c r="BM344" s="220">
        <v>2.67</v>
      </c>
      <c r="BN344" s="220"/>
      <c r="BO344" s="220">
        <f>ROUND(BM344+(BM344*BN344),2)</f>
        <v>2.67</v>
      </c>
      <c r="BP344" s="220">
        <f>IF(AND(BL344&gt;0,BL344&lt;tiet!$D$1),BL344,IF(BL344&lt;=0,0,IF(BL344&gt;tiet!$C$1,tiet!$C$1)))</f>
        <v>0</v>
      </c>
      <c r="BQ344" s="87">
        <f>VLOOKUP(P344,ma_dinhmuc_moi,4,0)</f>
        <v>60000</v>
      </c>
      <c r="BR344" s="224">
        <f>ROUND(BQ344*BP344,0)</f>
        <v>0</v>
      </c>
      <c r="BS344" s="220">
        <f t="shared" si="1068"/>
        <v>0</v>
      </c>
      <c r="BT344" s="224">
        <f>VLOOKUP(N344,ma_dinhmuc!$A$1:$J$31,10,0)</f>
        <v>51000</v>
      </c>
      <c r="BU344" s="224">
        <f>ROUND(IF(BS344&gt;0,VLOOKUP(N344,ma_dinhmuc!$A$1:$J$31,10,0)*BS344,0),0)</f>
        <v>0</v>
      </c>
      <c r="BV344" s="224">
        <f>ROUND(BU344+BR344,0)</f>
        <v>0</v>
      </c>
      <c r="BW344" s="224"/>
      <c r="BX344" s="224">
        <v>0</v>
      </c>
      <c r="BY344" s="224"/>
      <c r="BZ344" s="224"/>
      <c r="CA344" s="224"/>
      <c r="CB344" s="224"/>
      <c r="CC344" s="225">
        <f>ROUND(IF(BV344+BW344&gt;BX344+BY344+BZ344+CA344+CB344,(BW344+BV344)-(BX344+BY344+BZ344+CA344+CB344+CB344),0),0)</f>
        <v>0</v>
      </c>
      <c r="CD344" s="224">
        <f>ROUND(IF(BV344+BW344&lt;BX344+BY344+BZ344+CA344-CB344,(BX344+BY344+BZ344+CA344-CB344)-(BW344+BV344),0),0)</f>
        <v>0</v>
      </c>
      <c r="CE344" s="224"/>
      <c r="CF344" s="226"/>
      <c r="CG344" s="87"/>
      <c r="CH344" s="87">
        <f t="shared" si="1110"/>
        <v>21</v>
      </c>
      <c r="CI344" s="227" t="str">
        <f>F344</f>
        <v>Lường Thị</v>
      </c>
      <c r="CJ344" s="227" t="str">
        <f>G344</f>
        <v>Phượng</v>
      </c>
      <c r="CK344" s="87">
        <f>H344</f>
        <v>6</v>
      </c>
      <c r="CL344" s="227" t="str">
        <f>L344</f>
        <v>Tư tưởng Hồ Chí Minh</v>
      </c>
      <c r="CM344" s="87" t="str">
        <f t="shared" si="1012"/>
        <v>CT2</v>
      </c>
      <c r="CN344" s="87">
        <f t="shared" si="1119"/>
        <v>270</v>
      </c>
      <c r="CO344" s="87">
        <f t="shared" si="1120"/>
        <v>60</v>
      </c>
      <c r="CP344" s="229">
        <f t="shared" si="1076"/>
        <v>0</v>
      </c>
      <c r="CQ344" s="229">
        <f t="shared" si="1077"/>
        <v>35.700000000000003</v>
      </c>
      <c r="CR344" s="229">
        <f t="shared" si="1078"/>
        <v>14.4</v>
      </c>
      <c r="CS344" s="229">
        <f t="shared" si="1079"/>
        <v>0</v>
      </c>
      <c r="CT344" s="229">
        <f t="shared" si="1080"/>
        <v>0</v>
      </c>
      <c r="CU344" s="229">
        <f t="shared" si="1081"/>
        <v>180.9</v>
      </c>
      <c r="CV344" s="229">
        <f t="shared" si="1082"/>
        <v>0</v>
      </c>
      <c r="CW344" s="229">
        <f t="shared" si="1083"/>
        <v>0</v>
      </c>
      <c r="CX344" s="229">
        <f t="shared" si="1084"/>
        <v>0</v>
      </c>
      <c r="CY344" s="229">
        <f t="shared" si="1085"/>
        <v>0</v>
      </c>
      <c r="CZ344" s="229">
        <f t="shared" si="1086"/>
        <v>0</v>
      </c>
      <c r="DA344" s="229">
        <f t="shared" si="1087"/>
        <v>0</v>
      </c>
      <c r="DB344" s="228">
        <f t="shared" si="1018"/>
        <v>231</v>
      </c>
      <c r="DC344" s="229"/>
      <c r="DD344" s="229"/>
      <c r="DE344" s="229"/>
      <c r="DF344" s="229"/>
      <c r="DG344" s="229"/>
      <c r="DH344" s="229"/>
      <c r="DI344" s="229"/>
      <c r="DJ344" s="229"/>
      <c r="DK344" s="229"/>
      <c r="DL344" s="229"/>
      <c r="DM344" s="229"/>
      <c r="DN344" s="229"/>
      <c r="DO344" s="228">
        <f t="shared" si="1029"/>
        <v>0</v>
      </c>
      <c r="DP344" s="228">
        <f t="shared" si="1030"/>
        <v>231</v>
      </c>
      <c r="DQ344" s="229">
        <f t="shared" si="1088"/>
        <v>0</v>
      </c>
      <c r="DR344" s="229">
        <f t="shared" si="1089"/>
        <v>0</v>
      </c>
      <c r="DS344" s="229">
        <f t="shared" si="1090"/>
        <v>0</v>
      </c>
      <c r="DT344" s="229">
        <f t="shared" si="1091"/>
        <v>0</v>
      </c>
      <c r="DU344" s="229">
        <f t="shared" si="1092"/>
        <v>0</v>
      </c>
      <c r="DV344" s="229">
        <f t="shared" si="1093"/>
        <v>0</v>
      </c>
      <c r="DW344" s="229">
        <f t="shared" si="1094"/>
        <v>0</v>
      </c>
      <c r="DX344" s="228">
        <f t="shared" si="1019"/>
        <v>0</v>
      </c>
      <c r="DY344" s="229"/>
      <c r="DZ344" s="229"/>
      <c r="EA344" s="229"/>
      <c r="EB344" s="229"/>
      <c r="EC344" s="229"/>
      <c r="ED344" s="229"/>
      <c r="EE344" s="229"/>
      <c r="EF344" s="228">
        <f t="shared" si="1072"/>
        <v>0</v>
      </c>
      <c r="EG344" s="228">
        <f t="shared" si="1031"/>
        <v>0</v>
      </c>
      <c r="EH344" s="229">
        <f t="shared" si="1073"/>
        <v>115.28</v>
      </c>
      <c r="EI344" s="229">
        <v>0</v>
      </c>
      <c r="EJ344" s="228">
        <f>SUM(EH344:EI344)</f>
        <v>115.28</v>
      </c>
      <c r="EK344" s="229"/>
      <c r="EL344" s="229"/>
      <c r="EM344" s="228">
        <f>SUM(EK344:EL344)</f>
        <v>0</v>
      </c>
      <c r="EN344" s="229">
        <f t="shared" si="1104"/>
        <v>115.28</v>
      </c>
      <c r="EO344" s="229">
        <f>EI344</f>
        <v>0</v>
      </c>
      <c r="EP344" s="228">
        <f>EM344+EJ344</f>
        <v>115.28</v>
      </c>
      <c r="EQ344" s="173">
        <f t="shared" si="1075"/>
        <v>55.28</v>
      </c>
      <c r="ER344" s="189">
        <v>0</v>
      </c>
      <c r="ES344" s="189">
        <v>35.700000000000003</v>
      </c>
      <c r="ET344" s="189">
        <v>14.4</v>
      </c>
      <c r="EU344" s="189">
        <v>0</v>
      </c>
      <c r="EV344" s="189">
        <v>0</v>
      </c>
      <c r="EW344" s="189">
        <v>180.9</v>
      </c>
      <c r="EX344" s="189">
        <v>0</v>
      </c>
      <c r="EY344" s="189">
        <v>0</v>
      </c>
      <c r="EZ344" s="189">
        <v>0</v>
      </c>
      <c r="FA344" s="189">
        <v>0</v>
      </c>
      <c r="FB344" s="189">
        <v>0</v>
      </c>
      <c r="FC344" s="189">
        <v>0</v>
      </c>
      <c r="FD344" s="189">
        <v>0</v>
      </c>
      <c r="FE344" s="189">
        <v>0</v>
      </c>
      <c r="FF344" s="189">
        <v>0</v>
      </c>
      <c r="FG344" s="189">
        <v>0</v>
      </c>
      <c r="FH344" s="189">
        <v>0</v>
      </c>
      <c r="FI344" s="189">
        <v>0</v>
      </c>
      <c r="FJ344" s="189">
        <v>0</v>
      </c>
      <c r="FK344" s="189">
        <v>231</v>
      </c>
      <c r="FL344" s="189">
        <v>192</v>
      </c>
      <c r="FN344" s="132">
        <v>115.28</v>
      </c>
    </row>
    <row r="345" spans="1:170" ht="30" customHeight="1">
      <c r="A345" s="88">
        <f>COUNTIF($H$12:H345,H345)</f>
        <v>22</v>
      </c>
      <c r="B345" s="88" t="s">
        <v>2937</v>
      </c>
      <c r="C345" s="88" t="s">
        <v>254</v>
      </c>
      <c r="D345" s="88"/>
      <c r="E345" s="88"/>
      <c r="F345" s="301" t="s">
        <v>2209</v>
      </c>
      <c r="G345" s="89" t="s">
        <v>1600</v>
      </c>
      <c r="H345" s="88">
        <v>6</v>
      </c>
      <c r="I345" s="88">
        <v>6</v>
      </c>
      <c r="J345" s="88">
        <v>6</v>
      </c>
      <c r="K345" s="90" t="s">
        <v>1093</v>
      </c>
      <c r="L345" s="90" t="s">
        <v>1093</v>
      </c>
      <c r="M345" s="214"/>
      <c r="N345" s="88" t="s">
        <v>37</v>
      </c>
      <c r="O345" s="216">
        <f>BO345</f>
        <v>3.33</v>
      </c>
      <c r="P345" s="88" t="str">
        <f t="shared" si="1045"/>
        <v>B11_4</v>
      </c>
      <c r="Q345" s="88">
        <f t="shared" si="951"/>
        <v>270</v>
      </c>
      <c r="R345" s="88">
        <f t="shared" si="952"/>
        <v>80</v>
      </c>
      <c r="S345" s="231" t="s">
        <v>2461</v>
      </c>
      <c r="T345" s="88" t="s">
        <v>2961</v>
      </c>
      <c r="U345" s="88">
        <f>IF(RIGHT(T345,1)="K",(VLOOKUP(T345,ma_miengiam!$A$3:$B$80,2,0)*100)/2,VLOOKUP(T345,ma_miengiam!$A$3:$B$80,2,0)*100)</f>
        <v>100</v>
      </c>
      <c r="V345" s="88"/>
      <c r="W345" s="220">
        <f>IF(AND(T345="NTS",V345&gt;0),(Q345-(Q345*V345)/12)*VLOOKUP(T345,ma_miengiam!$A$3:$B$80,2,0)+(Q345-(Q345*(12-V345))/12),IF(AND(RIGHT(T345,1)="K",V345&gt;0),(VLOOKUP(T345,ma_miengiam!$A$3:$B$80,2,0)/2)*(Q345*V345)/12,IF(RIGHT(T345,1)="K",(VLOOKUP(T345,ma_miengiam!$A$3:$B$80,2,0)*Q345)/2,IF(V345&gt;0,VLOOKUP(T345,ma_miengiam!$A$3:$B$80,2,0)*Q345*V345/12,VLOOKUP(T345,ma_miengiam!$A$3:$B$80,2,0)*Q345))))</f>
        <v>270</v>
      </c>
      <c r="X345" s="220">
        <f>IF(T345="NTS",VLOOKUP(T345,ma_miengiam!$A$3:$B$80,2,0)*R345*V345,IF(AND(T345="NTS",V345=0),0,IF(AND(LEFT(T345,1)="K",V345=0),VLOOKUP(T345,ma_miengiam!$A$3:$B$80,2,0)*R345,IF(LEFT(T345,1)="K",(VLOOKUP(T345,ma_miengiam!$A$3:$B$80,2,0)*R345/12)*V345,IF(AND(LEFT(T345,1)="S",V345&gt;0),(R345/12)*V345,IF(AND(LEFT(T345,1)="S",V345=0),R345,IF(T345="DH",VLOOKUP(T345,ma_miengiam!$A$3:$B$80,2,0)*R345,0)))))))</f>
        <v>80</v>
      </c>
      <c r="Y345" s="220">
        <f t="shared" si="1107"/>
        <v>0</v>
      </c>
      <c r="Z345" s="220">
        <f>IF(AND(T345="SĐH",V345&gt;0),(R345/12)*V345-X345,IF(AND(T345="DH",V345&gt;0),(R345*V345/12),IF(AND(T345&lt;&gt;"NTS",V345&gt;0),(R345*V345/12)-X345,IF(AND(T345="NTS",V345&gt;0),R345-X345,R345-X345))))</f>
        <v>0</v>
      </c>
      <c r="AA345" s="220">
        <f t="shared" ref="AA345:AB347" si="1122">Q345</f>
        <v>270</v>
      </c>
      <c r="AB345" s="220">
        <f t="shared" si="1122"/>
        <v>80</v>
      </c>
      <c r="AC345" s="220">
        <f t="shared" si="1113"/>
        <v>270</v>
      </c>
      <c r="AD345" s="220">
        <f t="shared" si="1113"/>
        <v>80</v>
      </c>
      <c r="AE345" s="220">
        <f t="shared" si="1113"/>
        <v>0</v>
      </c>
      <c r="AF345" s="220">
        <f t="shared" si="1113"/>
        <v>0</v>
      </c>
      <c r="AG345" s="220">
        <f t="shared" si="1114"/>
        <v>193.32999999999998</v>
      </c>
      <c r="AH345" s="220">
        <f t="shared" si="1115"/>
        <v>73.33</v>
      </c>
      <c r="AI345" s="220">
        <f t="shared" si="1116"/>
        <v>120</v>
      </c>
      <c r="AJ345" s="220">
        <f>IF(AG345-Z345&gt;0,0,AG345-Z345)</f>
        <v>0</v>
      </c>
      <c r="AK345" s="216">
        <f t="shared" si="1038"/>
        <v>0</v>
      </c>
      <c r="AL345" s="220">
        <f t="shared" si="1020"/>
        <v>0</v>
      </c>
      <c r="AM345" s="220">
        <f t="shared" si="1021"/>
        <v>0</v>
      </c>
      <c r="AN345" s="221">
        <f t="shared" si="1022"/>
        <v>0</v>
      </c>
      <c r="AO345" s="220">
        <f t="shared" si="1023"/>
        <v>0</v>
      </c>
      <c r="AP345" s="220">
        <f t="shared" si="1024"/>
        <v>0</v>
      </c>
      <c r="AQ345" s="220">
        <f t="shared" si="1025"/>
        <v>0</v>
      </c>
      <c r="AR345" s="220">
        <f t="shared" si="1026"/>
        <v>0</v>
      </c>
      <c r="AS345" s="220">
        <f t="shared" si="1027"/>
        <v>0</v>
      </c>
      <c r="AT345" s="216">
        <f t="shared" si="1028"/>
        <v>0</v>
      </c>
      <c r="AU345" s="220">
        <f t="shared" si="1117"/>
        <v>0</v>
      </c>
      <c r="AV345" s="220"/>
      <c r="AW345" s="220">
        <f t="shared" si="1006"/>
        <v>0</v>
      </c>
      <c r="AX345" s="216">
        <f t="shared" si="1046"/>
        <v>0</v>
      </c>
      <c r="AY345" s="220">
        <f t="shared" si="1013"/>
        <v>0</v>
      </c>
      <c r="AZ345" s="220">
        <f t="shared" si="1014"/>
        <v>0</v>
      </c>
      <c r="BA345" s="220">
        <f t="shared" si="1015"/>
        <v>0</v>
      </c>
      <c r="BB345" s="220">
        <f t="shared" si="1016"/>
        <v>0</v>
      </c>
      <c r="BC345" s="220">
        <f t="shared" si="1017"/>
        <v>0</v>
      </c>
      <c r="BD345" s="216">
        <f t="shared" si="988"/>
        <v>0</v>
      </c>
      <c r="BE345" s="220">
        <f t="shared" si="1007"/>
        <v>0</v>
      </c>
      <c r="BF345" s="220">
        <f t="shared" si="1008"/>
        <v>0</v>
      </c>
      <c r="BG345" s="220">
        <f t="shared" si="1009"/>
        <v>0</v>
      </c>
      <c r="BH345" s="220">
        <f t="shared" si="1010"/>
        <v>0</v>
      </c>
      <c r="BI345" s="220">
        <f t="shared" si="1011"/>
        <v>0</v>
      </c>
      <c r="BJ345" s="220" t="s">
        <v>3062</v>
      </c>
      <c r="BK345" s="220"/>
      <c r="BL345" s="223">
        <f t="shared" si="1004"/>
        <v>0</v>
      </c>
      <c r="BM345" s="220">
        <v>3.33</v>
      </c>
      <c r="BN345" s="220"/>
      <c r="BO345" s="220">
        <f t="shared" si="1118"/>
        <v>3.33</v>
      </c>
      <c r="BP345" s="220">
        <f>IF(AND(BL345&gt;0,BL345&lt;tiet!$D$1),BL345,IF(BL345&lt;=0,0,IF(BL345&gt;tiet!$C$1,tiet!$C$1)))</f>
        <v>0</v>
      </c>
      <c r="BQ345" s="87">
        <f>VLOOKUP(P345,ma_dinhmuc_moi,4,0)</f>
        <v>65000</v>
      </c>
      <c r="BR345" s="224">
        <f>ROUND(BQ345*BP345,0)</f>
        <v>0</v>
      </c>
      <c r="BS345" s="220">
        <f t="shared" si="1068"/>
        <v>0</v>
      </c>
      <c r="BT345" s="224">
        <f>VLOOKUP(N345,ma_dinhmuc!$A$1:$J$31,10,0)</f>
        <v>51000</v>
      </c>
      <c r="BU345" s="224">
        <f>ROUND(IF(BS345&gt;0,VLOOKUP(N345,ma_dinhmuc!$A$1:$J$31,10,0)*BS345,0),0)</f>
        <v>0</v>
      </c>
      <c r="BV345" s="224">
        <f>ROUND(BU345+BR345,0)</f>
        <v>0</v>
      </c>
      <c r="BW345" s="224"/>
      <c r="BX345" s="224">
        <v>0</v>
      </c>
      <c r="BY345" s="224"/>
      <c r="BZ345" s="224"/>
      <c r="CA345" s="224"/>
      <c r="CB345" s="224"/>
      <c r="CC345" s="225">
        <f>ROUND(IF(BV345+BW345&gt;BX345+BY345+BZ345+CA345+CB345,(BW345+BV345)-(BX345+BY345+BZ345+CA345+CB345+CB345),0),0)</f>
        <v>0</v>
      </c>
      <c r="CD345" s="224">
        <f>ROUND(IF(BV345+BW345&lt;BX345+BY345+BZ345+CA345-CB345,(BX345+BY345+BZ345+CA345-CB345)-(BW345+BV345),0),0)</f>
        <v>0</v>
      </c>
      <c r="CE345" s="224"/>
      <c r="CF345" s="226"/>
      <c r="CG345" s="87"/>
      <c r="CH345" s="87">
        <f t="shared" si="1110"/>
        <v>22</v>
      </c>
      <c r="CI345" s="227" t="str">
        <f t="shared" ref="CI345:CI350" si="1123">F345</f>
        <v>Nguyễn Thị Minh</v>
      </c>
      <c r="CJ345" s="227" t="str">
        <f t="shared" ref="CJ345:CJ350" si="1124">G345</f>
        <v>Hạnh</v>
      </c>
      <c r="CK345" s="87">
        <f t="shared" ref="CK345:CK350" si="1125">H345</f>
        <v>6</v>
      </c>
      <c r="CL345" s="227" t="str">
        <f t="shared" si="1112"/>
        <v>Pháp luật</v>
      </c>
      <c r="CM345" s="87" t="str">
        <f t="shared" si="1012"/>
        <v>CT2</v>
      </c>
      <c r="CN345" s="87">
        <f t="shared" si="1119"/>
        <v>270</v>
      </c>
      <c r="CO345" s="87">
        <f t="shared" si="1120"/>
        <v>80</v>
      </c>
      <c r="CP345" s="229">
        <f t="shared" si="1076"/>
        <v>0</v>
      </c>
      <c r="CQ345" s="229">
        <f t="shared" si="1077"/>
        <v>0</v>
      </c>
      <c r="CR345" s="229">
        <f t="shared" si="1078"/>
        <v>0</v>
      </c>
      <c r="CS345" s="229">
        <f t="shared" si="1079"/>
        <v>0</v>
      </c>
      <c r="CT345" s="229">
        <f t="shared" si="1080"/>
        <v>0</v>
      </c>
      <c r="CU345" s="229">
        <f t="shared" si="1081"/>
        <v>0</v>
      </c>
      <c r="CV345" s="229">
        <f t="shared" si="1082"/>
        <v>0</v>
      </c>
      <c r="CW345" s="229">
        <f t="shared" si="1083"/>
        <v>0</v>
      </c>
      <c r="CX345" s="229">
        <f t="shared" si="1084"/>
        <v>0</v>
      </c>
      <c r="CY345" s="229">
        <f t="shared" si="1085"/>
        <v>0</v>
      </c>
      <c r="CZ345" s="229">
        <f t="shared" si="1086"/>
        <v>0</v>
      </c>
      <c r="DA345" s="229">
        <f t="shared" si="1087"/>
        <v>0</v>
      </c>
      <c r="DB345" s="228">
        <f t="shared" si="1018"/>
        <v>0</v>
      </c>
      <c r="DC345" s="229"/>
      <c r="DD345" s="229"/>
      <c r="DE345" s="229"/>
      <c r="DF345" s="229"/>
      <c r="DG345" s="229"/>
      <c r="DH345" s="229"/>
      <c r="DI345" s="229"/>
      <c r="DJ345" s="229"/>
      <c r="DK345" s="229"/>
      <c r="DL345" s="229"/>
      <c r="DM345" s="229"/>
      <c r="DN345" s="229"/>
      <c r="DO345" s="228">
        <f t="shared" si="1029"/>
        <v>0</v>
      </c>
      <c r="DP345" s="228">
        <f t="shared" si="1030"/>
        <v>0</v>
      </c>
      <c r="DQ345" s="229">
        <f t="shared" si="1088"/>
        <v>0</v>
      </c>
      <c r="DR345" s="229">
        <f t="shared" si="1089"/>
        <v>0</v>
      </c>
      <c r="DS345" s="229">
        <f t="shared" si="1090"/>
        <v>0</v>
      </c>
      <c r="DT345" s="229">
        <f t="shared" si="1091"/>
        <v>0</v>
      </c>
      <c r="DU345" s="229">
        <f t="shared" si="1092"/>
        <v>0</v>
      </c>
      <c r="DV345" s="229">
        <f t="shared" si="1093"/>
        <v>0</v>
      </c>
      <c r="DW345" s="229">
        <f t="shared" si="1094"/>
        <v>0</v>
      </c>
      <c r="DX345" s="228">
        <f t="shared" si="1019"/>
        <v>0</v>
      </c>
      <c r="DY345" s="229"/>
      <c r="DZ345" s="229"/>
      <c r="EA345" s="229"/>
      <c r="EB345" s="229"/>
      <c r="EC345" s="229"/>
      <c r="ED345" s="229"/>
      <c r="EE345" s="229"/>
      <c r="EF345" s="228">
        <f t="shared" si="1072"/>
        <v>0</v>
      </c>
      <c r="EG345" s="228">
        <f t="shared" si="1031"/>
        <v>0</v>
      </c>
      <c r="EH345" s="229">
        <f t="shared" si="1073"/>
        <v>120</v>
      </c>
      <c r="EI345" s="229">
        <v>73.33</v>
      </c>
      <c r="EJ345" s="228">
        <f t="shared" ref="EJ345:EJ359" si="1126">SUM(EH345:EI345)</f>
        <v>193.32999999999998</v>
      </c>
      <c r="EK345" s="229"/>
      <c r="EL345" s="229"/>
      <c r="EM345" s="228">
        <f>SUM(EK345:EL345)</f>
        <v>0</v>
      </c>
      <c r="EN345" s="229">
        <f t="shared" si="1104"/>
        <v>120</v>
      </c>
      <c r="EO345" s="229">
        <f t="shared" si="1121"/>
        <v>73.33</v>
      </c>
      <c r="EP345" s="228">
        <f>EM345+EJ345</f>
        <v>193.32999999999998</v>
      </c>
      <c r="EQ345" s="173">
        <f t="shared" si="1075"/>
        <v>120</v>
      </c>
      <c r="ER345" s="189">
        <v>0</v>
      </c>
      <c r="ES345" s="189">
        <v>0</v>
      </c>
      <c r="ET345" s="189">
        <v>0</v>
      </c>
      <c r="EU345" s="189">
        <v>0</v>
      </c>
      <c r="EV345" s="189">
        <v>0</v>
      </c>
      <c r="EW345" s="189">
        <v>0</v>
      </c>
      <c r="EX345" s="189">
        <v>0</v>
      </c>
      <c r="EY345" s="189">
        <v>0</v>
      </c>
      <c r="EZ345" s="189">
        <v>0</v>
      </c>
      <c r="FA345" s="189">
        <v>0</v>
      </c>
      <c r="FB345" s="189">
        <v>0</v>
      </c>
      <c r="FC345" s="189">
        <v>0</v>
      </c>
      <c r="FD345" s="189">
        <v>0</v>
      </c>
      <c r="FE345" s="189">
        <v>0</v>
      </c>
      <c r="FF345" s="189">
        <v>0</v>
      </c>
      <c r="FG345" s="189">
        <v>0</v>
      </c>
      <c r="FH345" s="189">
        <v>0</v>
      </c>
      <c r="FI345" s="189">
        <v>0</v>
      </c>
      <c r="FJ345" s="189">
        <v>0</v>
      </c>
      <c r="FK345" s="189">
        <v>0</v>
      </c>
      <c r="FL345" s="189">
        <v>0</v>
      </c>
      <c r="FN345" s="132">
        <v>120</v>
      </c>
    </row>
    <row r="346" spans="1:170" ht="28.5" customHeight="1">
      <c r="A346" s="88">
        <f>COUNTIF($H$12:H346,H346)</f>
        <v>23</v>
      </c>
      <c r="B346" s="88" t="s">
        <v>2938</v>
      </c>
      <c r="C346" s="88" t="s">
        <v>255</v>
      </c>
      <c r="D346" s="88"/>
      <c r="E346" s="88"/>
      <c r="F346" s="301" t="s">
        <v>1185</v>
      </c>
      <c r="G346" s="89" t="s">
        <v>963</v>
      </c>
      <c r="H346" s="88">
        <v>6</v>
      </c>
      <c r="I346" s="88">
        <v>6</v>
      </c>
      <c r="J346" s="88">
        <v>6</v>
      </c>
      <c r="K346" s="90" t="s">
        <v>1093</v>
      </c>
      <c r="L346" s="90" t="s">
        <v>1093</v>
      </c>
      <c r="M346" s="214"/>
      <c r="N346" s="88" t="s">
        <v>37</v>
      </c>
      <c r="O346" s="216">
        <f>BO346</f>
        <v>3.66</v>
      </c>
      <c r="P346" s="88" t="str">
        <f t="shared" si="1045"/>
        <v>B11_4</v>
      </c>
      <c r="Q346" s="88">
        <f t="shared" si="951"/>
        <v>270</v>
      </c>
      <c r="R346" s="88">
        <f t="shared" si="952"/>
        <v>80</v>
      </c>
      <c r="S346" s="233" t="s">
        <v>2680</v>
      </c>
      <c r="T346" s="88" t="s">
        <v>805</v>
      </c>
      <c r="U346" s="88">
        <f>IF(RIGHT(T346,1)="K",(VLOOKUP(T346,ma_miengiam!$A$3:$B$80,2,0)*100)/2,VLOOKUP(T346,ma_miengiam!$A$3:$B$80,2,0)*100)</f>
        <v>70</v>
      </c>
      <c r="V346" s="88"/>
      <c r="W346" s="220">
        <f>IF(AND(T346="NTS",V346&gt;0),(Q346-(Q346*V346)/12)*VLOOKUP(T346,ma_miengiam!$A$3:$B$80,2,0)+(Q346-(Q346*(12-V346))/12),IF(AND(RIGHT(T346,1)="K",V346&gt;0),(VLOOKUP(T346,ma_miengiam!$A$3:$B$80,2,0)/2)*(Q346*V346)/12,IF(RIGHT(T346,1)="K",(VLOOKUP(T346,ma_miengiam!$A$3:$B$80,2,0)*Q346)/2,IF(V346&gt;0,VLOOKUP(T346,ma_miengiam!$A$3:$B$80,2,0)*Q346*V346/12,VLOOKUP(T346,ma_miengiam!$A$3:$B$80,2,0)*Q346))))</f>
        <v>189</v>
      </c>
      <c r="X346" s="220">
        <f>IF(T346="NTS",VLOOKUP(T346,ma_miengiam!$A$3:$B$80,2,0)*R346*V346,IF(AND(T346="NTS",V346=0),0,IF(AND(LEFT(T346,1)="K",V346=0),VLOOKUP(T346,ma_miengiam!$A$3:$B$80,2,0)*R346,IF(LEFT(T346,1)="K",(VLOOKUP(T346,ma_miengiam!$A$3:$B$80,2,0)*R346/12)*V346,IF(AND(LEFT(T346,1)="S",V346&gt;0),(R346/12)*V346,IF(AND(LEFT(T346,1)="S",V346=0),R346,IF(T346="DH",VLOOKUP(T346,ma_miengiam!$A$3:$B$80,2,0)*R346,0)))))))</f>
        <v>56</v>
      </c>
      <c r="Y346" s="220">
        <f t="shared" si="1107"/>
        <v>81</v>
      </c>
      <c r="Z346" s="220">
        <f t="shared" si="1095"/>
        <v>24</v>
      </c>
      <c r="AA346" s="220">
        <f t="shared" si="1122"/>
        <v>270</v>
      </c>
      <c r="AB346" s="220">
        <f t="shared" si="1122"/>
        <v>80</v>
      </c>
      <c r="AC346" s="220">
        <f t="shared" ref="AC346:AF347" si="1127">W346</f>
        <v>189</v>
      </c>
      <c r="AD346" s="220">
        <f t="shared" si="1127"/>
        <v>56</v>
      </c>
      <c r="AE346" s="220">
        <f t="shared" si="1127"/>
        <v>81</v>
      </c>
      <c r="AF346" s="220">
        <f t="shared" si="1127"/>
        <v>24</v>
      </c>
      <c r="AG346" s="220">
        <f t="shared" si="1114"/>
        <v>169.32999999999998</v>
      </c>
      <c r="AH346" s="220">
        <f t="shared" si="1115"/>
        <v>49.33</v>
      </c>
      <c r="AI346" s="220">
        <f t="shared" si="1116"/>
        <v>120</v>
      </c>
      <c r="AJ346" s="220">
        <f t="shared" si="1060"/>
        <v>0</v>
      </c>
      <c r="AK346" s="216">
        <f t="shared" si="1038"/>
        <v>81</v>
      </c>
      <c r="AL346" s="220">
        <f t="shared" si="1020"/>
        <v>366.29999999999995</v>
      </c>
      <c r="AM346" s="220">
        <f t="shared" si="1021"/>
        <v>0</v>
      </c>
      <c r="AN346" s="221">
        <f t="shared" si="1022"/>
        <v>366.29999999999995</v>
      </c>
      <c r="AO346" s="220">
        <f t="shared" si="1023"/>
        <v>0</v>
      </c>
      <c r="AP346" s="220">
        <f t="shared" si="1024"/>
        <v>0</v>
      </c>
      <c r="AQ346" s="220">
        <f t="shared" si="1025"/>
        <v>0</v>
      </c>
      <c r="AR346" s="220">
        <f t="shared" si="1026"/>
        <v>0</v>
      </c>
      <c r="AS346" s="220">
        <f t="shared" si="1027"/>
        <v>0</v>
      </c>
      <c r="AT346" s="216">
        <f t="shared" si="1028"/>
        <v>366.29999999999995</v>
      </c>
      <c r="AU346" s="222">
        <f t="shared" si="1117"/>
        <v>285.29999999999995</v>
      </c>
      <c r="AV346" s="220"/>
      <c r="AW346" s="220">
        <f t="shared" si="1006"/>
        <v>285.29999999999995</v>
      </c>
      <c r="AX346" s="216">
        <f t="shared" si="1046"/>
        <v>0</v>
      </c>
      <c r="AY346" s="220">
        <f t="shared" si="1013"/>
        <v>0</v>
      </c>
      <c r="AZ346" s="220">
        <f t="shared" si="1014"/>
        <v>0</v>
      </c>
      <c r="BA346" s="220">
        <f t="shared" si="1015"/>
        <v>0</v>
      </c>
      <c r="BB346" s="220">
        <f t="shared" si="1016"/>
        <v>0</v>
      </c>
      <c r="BC346" s="220">
        <f t="shared" si="1017"/>
        <v>0</v>
      </c>
      <c r="BD346" s="216">
        <f t="shared" si="988"/>
        <v>0</v>
      </c>
      <c r="BE346" s="220">
        <f t="shared" si="1007"/>
        <v>0</v>
      </c>
      <c r="BF346" s="220">
        <f t="shared" si="1008"/>
        <v>0</v>
      </c>
      <c r="BG346" s="220">
        <f t="shared" si="1009"/>
        <v>0</v>
      </c>
      <c r="BH346" s="220">
        <f t="shared" si="1010"/>
        <v>0</v>
      </c>
      <c r="BI346" s="220">
        <f t="shared" si="1011"/>
        <v>0</v>
      </c>
      <c r="BJ346" s="220" t="s">
        <v>3062</v>
      </c>
      <c r="BK346" s="220"/>
      <c r="BL346" s="223">
        <f t="shared" si="1004"/>
        <v>285.29999999999995</v>
      </c>
      <c r="BM346" s="220">
        <v>3.66</v>
      </c>
      <c r="BN346" s="220"/>
      <c r="BO346" s="220">
        <f t="shared" si="1118"/>
        <v>3.66</v>
      </c>
      <c r="BP346" s="220">
        <f>IF(AND(BL346&gt;0,BL346&lt;tiet!$D$1),BL346,IF(BL346&lt;=0,0,IF(BL346&gt;tiet!$C$1,tiet!$C$1)))</f>
        <v>200</v>
      </c>
      <c r="BQ346" s="87">
        <f t="shared" si="1047"/>
        <v>65000</v>
      </c>
      <c r="BR346" s="224">
        <f t="shared" si="1048"/>
        <v>13000000</v>
      </c>
      <c r="BS346" s="220">
        <f t="shared" si="1068"/>
        <v>85.299999999999955</v>
      </c>
      <c r="BT346" s="224">
        <f>VLOOKUP(N346,ma_dinhmuc!$A$1:$J$31,10,0)</f>
        <v>51000</v>
      </c>
      <c r="BU346" s="224">
        <f>ROUND(IF(BS346&gt;0,VLOOKUP(N346,ma_dinhmuc!$A$1:$J$31,10,0)*BS346,0),0)</f>
        <v>4350300</v>
      </c>
      <c r="BV346" s="224">
        <f t="shared" si="1049"/>
        <v>17350300</v>
      </c>
      <c r="BW346" s="224"/>
      <c r="BX346" s="224">
        <v>0</v>
      </c>
      <c r="BY346" s="224"/>
      <c r="BZ346" s="224"/>
      <c r="CA346" s="224"/>
      <c r="CB346" s="224"/>
      <c r="CC346" s="225">
        <f t="shared" si="1069"/>
        <v>17350300</v>
      </c>
      <c r="CD346" s="224">
        <f t="shared" si="1070"/>
        <v>0</v>
      </c>
      <c r="CE346" s="224"/>
      <c r="CF346" s="226"/>
      <c r="CG346" s="87"/>
      <c r="CH346" s="87">
        <f t="shared" si="1110"/>
        <v>23</v>
      </c>
      <c r="CI346" s="227" t="str">
        <f t="shared" si="1123"/>
        <v>Đỗ Thị Kim</v>
      </c>
      <c r="CJ346" s="227" t="str">
        <f t="shared" si="1124"/>
        <v>Hương</v>
      </c>
      <c r="CK346" s="87">
        <f t="shared" si="1125"/>
        <v>6</v>
      </c>
      <c r="CL346" s="227" t="str">
        <f t="shared" si="1112"/>
        <v>Pháp luật</v>
      </c>
      <c r="CM346" s="87" t="str">
        <f t="shared" si="1012"/>
        <v>CT2</v>
      </c>
      <c r="CN346" s="87">
        <f t="shared" si="1119"/>
        <v>270</v>
      </c>
      <c r="CO346" s="87">
        <f t="shared" si="1120"/>
        <v>80</v>
      </c>
      <c r="CP346" s="229">
        <f t="shared" si="1076"/>
        <v>0</v>
      </c>
      <c r="CQ346" s="229">
        <f t="shared" si="1077"/>
        <v>57.7</v>
      </c>
      <c r="CR346" s="229">
        <f t="shared" si="1078"/>
        <v>23.2</v>
      </c>
      <c r="CS346" s="229">
        <f t="shared" si="1079"/>
        <v>0</v>
      </c>
      <c r="CT346" s="229">
        <f t="shared" si="1080"/>
        <v>0</v>
      </c>
      <c r="CU346" s="229">
        <f t="shared" si="1081"/>
        <v>285.39999999999998</v>
      </c>
      <c r="CV346" s="229">
        <f t="shared" si="1082"/>
        <v>0</v>
      </c>
      <c r="CW346" s="229">
        <f t="shared" si="1083"/>
        <v>0</v>
      </c>
      <c r="CX346" s="229">
        <f t="shared" si="1084"/>
        <v>0</v>
      </c>
      <c r="CY346" s="229">
        <f t="shared" si="1085"/>
        <v>0</v>
      </c>
      <c r="CZ346" s="229">
        <f t="shared" si="1086"/>
        <v>0</v>
      </c>
      <c r="DA346" s="229">
        <f t="shared" si="1087"/>
        <v>0</v>
      </c>
      <c r="DB346" s="228">
        <f t="shared" si="1018"/>
        <v>366.29999999999995</v>
      </c>
      <c r="DC346" s="229"/>
      <c r="DD346" s="229"/>
      <c r="DE346" s="229"/>
      <c r="DF346" s="229"/>
      <c r="DG346" s="229"/>
      <c r="DH346" s="229"/>
      <c r="DI346" s="229"/>
      <c r="DJ346" s="229"/>
      <c r="DK346" s="229"/>
      <c r="DL346" s="229"/>
      <c r="DM346" s="229"/>
      <c r="DN346" s="229"/>
      <c r="DO346" s="228">
        <f t="shared" si="1029"/>
        <v>0</v>
      </c>
      <c r="DP346" s="228">
        <f t="shared" si="1030"/>
        <v>366.29999999999995</v>
      </c>
      <c r="DQ346" s="229">
        <f t="shared" si="1088"/>
        <v>0</v>
      </c>
      <c r="DR346" s="229">
        <f t="shared" si="1089"/>
        <v>0</v>
      </c>
      <c r="DS346" s="229">
        <f t="shared" si="1090"/>
        <v>0</v>
      </c>
      <c r="DT346" s="229">
        <f t="shared" si="1091"/>
        <v>0</v>
      </c>
      <c r="DU346" s="229">
        <f t="shared" si="1092"/>
        <v>0</v>
      </c>
      <c r="DV346" s="229">
        <f t="shared" si="1093"/>
        <v>0</v>
      </c>
      <c r="DW346" s="229">
        <f t="shared" si="1094"/>
        <v>0</v>
      </c>
      <c r="DX346" s="228">
        <f t="shared" si="1019"/>
        <v>0</v>
      </c>
      <c r="DY346" s="229"/>
      <c r="DZ346" s="229"/>
      <c r="EA346" s="229"/>
      <c r="EB346" s="229"/>
      <c r="EC346" s="229"/>
      <c r="ED346" s="229"/>
      <c r="EE346" s="229"/>
      <c r="EF346" s="228">
        <f t="shared" si="1072"/>
        <v>0</v>
      </c>
      <c r="EG346" s="228">
        <f t="shared" si="1031"/>
        <v>0</v>
      </c>
      <c r="EH346" s="229">
        <f t="shared" si="1073"/>
        <v>120</v>
      </c>
      <c r="EI346" s="229">
        <v>49.33</v>
      </c>
      <c r="EJ346" s="228">
        <f t="shared" si="1126"/>
        <v>169.32999999999998</v>
      </c>
      <c r="EK346" s="229"/>
      <c r="EL346" s="229"/>
      <c r="EM346" s="228">
        <f>SUM(EK346:EL346)</f>
        <v>0</v>
      </c>
      <c r="EN346" s="229">
        <f t="shared" si="1104"/>
        <v>120</v>
      </c>
      <c r="EO346" s="229">
        <f t="shared" si="1121"/>
        <v>49.33</v>
      </c>
      <c r="EP346" s="228">
        <f>EM346+EJ346</f>
        <v>169.32999999999998</v>
      </c>
      <c r="EQ346" s="173">
        <f t="shared" si="1075"/>
        <v>96</v>
      </c>
      <c r="ER346" s="189">
        <v>0</v>
      </c>
      <c r="ES346" s="189">
        <v>57.7</v>
      </c>
      <c r="ET346" s="189">
        <v>23.2</v>
      </c>
      <c r="EU346" s="189">
        <v>0</v>
      </c>
      <c r="EV346" s="189">
        <v>0</v>
      </c>
      <c r="EW346" s="189">
        <v>285.39999999999998</v>
      </c>
      <c r="EX346" s="189">
        <v>0</v>
      </c>
      <c r="EY346" s="189">
        <v>0</v>
      </c>
      <c r="EZ346" s="189">
        <v>0</v>
      </c>
      <c r="FA346" s="189">
        <v>0</v>
      </c>
      <c r="FB346" s="189">
        <v>0</v>
      </c>
      <c r="FC346" s="189">
        <v>0</v>
      </c>
      <c r="FD346" s="189">
        <v>0</v>
      </c>
      <c r="FE346" s="189">
        <v>0</v>
      </c>
      <c r="FF346" s="189">
        <v>0</v>
      </c>
      <c r="FG346" s="189">
        <v>0</v>
      </c>
      <c r="FH346" s="189">
        <v>0</v>
      </c>
      <c r="FI346" s="189">
        <v>0</v>
      </c>
      <c r="FJ346" s="189">
        <v>0</v>
      </c>
      <c r="FK346" s="189">
        <v>366.3</v>
      </c>
      <c r="FL346" s="189">
        <v>288</v>
      </c>
      <c r="FN346" s="132">
        <v>120</v>
      </c>
    </row>
    <row r="347" spans="1:170" ht="33.75" customHeight="1">
      <c r="A347" s="88">
        <f>COUNTIF($H$12:H347,H347)</f>
        <v>24</v>
      </c>
      <c r="B347" s="88" t="s">
        <v>2939</v>
      </c>
      <c r="C347" s="88" t="s">
        <v>256</v>
      </c>
      <c r="D347" s="88"/>
      <c r="E347" s="88"/>
      <c r="F347" s="301" t="s">
        <v>1788</v>
      </c>
      <c r="G347" s="89" t="s">
        <v>917</v>
      </c>
      <c r="H347" s="88">
        <v>6</v>
      </c>
      <c r="I347" s="88">
        <v>6</v>
      </c>
      <c r="J347" s="88">
        <v>6</v>
      </c>
      <c r="K347" s="90" t="s">
        <v>1093</v>
      </c>
      <c r="L347" s="90" t="s">
        <v>1093</v>
      </c>
      <c r="M347" s="214"/>
      <c r="N347" s="88" t="s">
        <v>37</v>
      </c>
      <c r="O347" s="216">
        <f t="shared" si="1040"/>
        <v>3.66</v>
      </c>
      <c r="P347" s="88" t="str">
        <f t="shared" si="1045"/>
        <v>B11_4</v>
      </c>
      <c r="Q347" s="88">
        <f t="shared" si="951"/>
        <v>270</v>
      </c>
      <c r="R347" s="88">
        <f t="shared" si="952"/>
        <v>80</v>
      </c>
      <c r="S347" s="230" t="s">
        <v>920</v>
      </c>
      <c r="T347" s="88" t="s">
        <v>3091</v>
      </c>
      <c r="U347" s="88">
        <f>IF(RIGHT(T347,1)="K",(VLOOKUP(T347,ma_miengiam!$A$3:$B$80,2,0)*100)/2,VLOOKUP(T347,ma_miengiam!$A$3:$B$80,2,0)*100)</f>
        <v>20</v>
      </c>
      <c r="V347" s="88"/>
      <c r="W347" s="220">
        <f>IF(AND(T347="NTS",V347&gt;0),(Q347-(Q347*V347)/12)*VLOOKUP(T347,ma_miengiam!$A$3:$B$80,2,0)+(Q347-(Q347*(12-V347))/12),IF(AND(RIGHT(T347,1)="K",V347&gt;0),(VLOOKUP(T347,ma_miengiam!$A$3:$B$80,2,0)/2)*(Q347*V347)/12,IF(RIGHT(T347,1)="K",(VLOOKUP(T347,ma_miengiam!$A$3:$B$80,2,0)*Q347)/2,IF(V347&gt;0,VLOOKUP(T347,ma_miengiam!$A$3:$B$80,2,0)*Q347*V347/12,VLOOKUP(T347,ma_miengiam!$A$3:$B$80,2,0)*Q347))))</f>
        <v>54</v>
      </c>
      <c r="X347" s="220">
        <f>IF(T347="NTS",VLOOKUP(T347,ma_miengiam!$A$3:$B$80,2,0)*R347*V347,IF(AND(T347="NTS",V347=0),0,IF(AND(LEFT(T347,1)="K",V347=0),VLOOKUP(T347,ma_miengiam!$A$3:$B$80,2,0)*R347,IF(LEFT(T347,1)="K",(VLOOKUP(T347,ma_miengiam!$A$3:$B$80,2,0)*R347/12)*V347,IF(AND(LEFT(T347,1)="S",V347&gt;0),(R347/12)*V347,IF(AND(LEFT(T347,1)="S",V347=0),R347,IF(T347="DH",VLOOKUP(T347,ma_miengiam!$A$3:$B$80,2,0)*R347,0)))))))</f>
        <v>0</v>
      </c>
      <c r="Y347" s="220">
        <f t="shared" si="1107"/>
        <v>216</v>
      </c>
      <c r="Z347" s="220">
        <f t="shared" si="1095"/>
        <v>80</v>
      </c>
      <c r="AA347" s="220">
        <f t="shared" si="1122"/>
        <v>270</v>
      </c>
      <c r="AB347" s="220">
        <f t="shared" si="1122"/>
        <v>80</v>
      </c>
      <c r="AC347" s="220">
        <f t="shared" si="1127"/>
        <v>54</v>
      </c>
      <c r="AD347" s="220">
        <f t="shared" si="1127"/>
        <v>0</v>
      </c>
      <c r="AE347" s="220">
        <f t="shared" si="1127"/>
        <v>216</v>
      </c>
      <c r="AF347" s="220">
        <f t="shared" si="1127"/>
        <v>80</v>
      </c>
      <c r="AG347" s="220">
        <f t="shared" si="1114"/>
        <v>45</v>
      </c>
      <c r="AH347" s="220">
        <f t="shared" si="1115"/>
        <v>0</v>
      </c>
      <c r="AI347" s="220">
        <f t="shared" si="1116"/>
        <v>45</v>
      </c>
      <c r="AJ347" s="220">
        <f t="shared" si="1060"/>
        <v>-35</v>
      </c>
      <c r="AK347" s="216">
        <f t="shared" si="1038"/>
        <v>251</v>
      </c>
      <c r="AL347" s="220">
        <f t="shared" si="1020"/>
        <v>251.3</v>
      </c>
      <c r="AM347" s="220">
        <f t="shared" si="1021"/>
        <v>0</v>
      </c>
      <c r="AN347" s="221">
        <f t="shared" si="1022"/>
        <v>251.3</v>
      </c>
      <c r="AO347" s="220">
        <f t="shared" si="1023"/>
        <v>0</v>
      </c>
      <c r="AP347" s="220">
        <f t="shared" si="1024"/>
        <v>0</v>
      </c>
      <c r="AQ347" s="220">
        <f t="shared" si="1025"/>
        <v>0</v>
      </c>
      <c r="AR347" s="220">
        <f t="shared" si="1026"/>
        <v>0</v>
      </c>
      <c r="AS347" s="220">
        <f t="shared" si="1027"/>
        <v>0</v>
      </c>
      <c r="AT347" s="216">
        <f t="shared" si="1028"/>
        <v>251.3</v>
      </c>
      <c r="AU347" s="222">
        <f t="shared" si="1117"/>
        <v>0.30000000000001137</v>
      </c>
      <c r="AV347" s="220"/>
      <c r="AW347" s="220">
        <f t="shared" si="1006"/>
        <v>0.30000000000001137</v>
      </c>
      <c r="AX347" s="216">
        <f t="shared" si="1046"/>
        <v>0</v>
      </c>
      <c r="AY347" s="220">
        <f t="shared" si="1013"/>
        <v>0</v>
      </c>
      <c r="AZ347" s="220">
        <f t="shared" si="1014"/>
        <v>0</v>
      </c>
      <c r="BA347" s="220">
        <f t="shared" si="1015"/>
        <v>0</v>
      </c>
      <c r="BB347" s="220">
        <f t="shared" si="1016"/>
        <v>0</v>
      </c>
      <c r="BC347" s="220">
        <f t="shared" si="1017"/>
        <v>0</v>
      </c>
      <c r="BD347" s="216">
        <f t="shared" si="988"/>
        <v>0</v>
      </c>
      <c r="BE347" s="220">
        <f t="shared" si="1007"/>
        <v>0</v>
      </c>
      <c r="BF347" s="220">
        <f t="shared" si="1008"/>
        <v>0</v>
      </c>
      <c r="BG347" s="220">
        <f t="shared" si="1009"/>
        <v>0</v>
      </c>
      <c r="BH347" s="220">
        <f t="shared" si="1010"/>
        <v>0</v>
      </c>
      <c r="BI347" s="220">
        <f t="shared" si="1011"/>
        <v>0</v>
      </c>
      <c r="BJ347" s="220" t="s">
        <v>3062</v>
      </c>
      <c r="BK347" s="220"/>
      <c r="BL347" s="223">
        <f t="shared" si="1004"/>
        <v>0.30000000000001137</v>
      </c>
      <c r="BM347" s="220">
        <v>3.66</v>
      </c>
      <c r="BN347" s="220"/>
      <c r="BO347" s="220">
        <f t="shared" si="1118"/>
        <v>3.66</v>
      </c>
      <c r="BP347" s="220">
        <f>IF(AND(BL347&gt;0,BL347&lt;tiet!$D$1),BL347,IF(BL347&lt;=0,0,IF(BL347&gt;tiet!$C$1,tiet!$C$1)))</f>
        <v>0.30000000000001137</v>
      </c>
      <c r="BQ347" s="87">
        <f t="shared" si="1047"/>
        <v>65000</v>
      </c>
      <c r="BR347" s="224">
        <f t="shared" si="1048"/>
        <v>19500</v>
      </c>
      <c r="BS347" s="220">
        <f t="shared" si="1068"/>
        <v>0</v>
      </c>
      <c r="BT347" s="224">
        <f>VLOOKUP(N347,ma_dinhmuc!$A$1:$J$31,10,0)</f>
        <v>51000</v>
      </c>
      <c r="BU347" s="224">
        <f>ROUND(IF(BS347&gt;0,VLOOKUP(N347,ma_dinhmuc!$A$1:$J$31,10,0)*BS347,0),0)</f>
        <v>0</v>
      </c>
      <c r="BV347" s="224">
        <f t="shared" si="1049"/>
        <v>19500</v>
      </c>
      <c r="BW347" s="224"/>
      <c r="BX347" s="224">
        <v>0</v>
      </c>
      <c r="BY347" s="224"/>
      <c r="BZ347" s="224"/>
      <c r="CA347" s="224"/>
      <c r="CB347" s="224"/>
      <c r="CC347" s="225">
        <f t="shared" si="1069"/>
        <v>19500</v>
      </c>
      <c r="CD347" s="224">
        <f t="shared" si="1070"/>
        <v>0</v>
      </c>
      <c r="CE347" s="224"/>
      <c r="CF347" s="226"/>
      <c r="CG347" s="87"/>
      <c r="CH347" s="87">
        <f t="shared" si="1110"/>
        <v>24</v>
      </c>
      <c r="CI347" s="227" t="str">
        <f t="shared" si="1123"/>
        <v>Lê Thị</v>
      </c>
      <c r="CJ347" s="227" t="str">
        <f t="shared" si="1124"/>
        <v>Yến</v>
      </c>
      <c r="CK347" s="87">
        <f t="shared" si="1125"/>
        <v>6</v>
      </c>
      <c r="CL347" s="227" t="str">
        <f t="shared" si="1112"/>
        <v>Pháp luật</v>
      </c>
      <c r="CM347" s="87" t="str">
        <f t="shared" si="1012"/>
        <v>CT2</v>
      </c>
      <c r="CN347" s="87">
        <f t="shared" si="1119"/>
        <v>270</v>
      </c>
      <c r="CO347" s="87">
        <f t="shared" si="1120"/>
        <v>80</v>
      </c>
      <c r="CP347" s="229">
        <f t="shared" si="1076"/>
        <v>0</v>
      </c>
      <c r="CQ347" s="229">
        <f t="shared" si="1077"/>
        <v>41.3</v>
      </c>
      <c r="CR347" s="229">
        <f t="shared" si="1078"/>
        <v>16.7</v>
      </c>
      <c r="CS347" s="229">
        <f t="shared" si="1079"/>
        <v>0</v>
      </c>
      <c r="CT347" s="229">
        <f t="shared" si="1080"/>
        <v>0</v>
      </c>
      <c r="CU347" s="229">
        <f t="shared" si="1081"/>
        <v>193.3</v>
      </c>
      <c r="CV347" s="229">
        <f t="shared" si="1082"/>
        <v>0</v>
      </c>
      <c r="CW347" s="229">
        <f t="shared" si="1083"/>
        <v>0</v>
      </c>
      <c r="CX347" s="229">
        <f t="shared" si="1084"/>
        <v>0</v>
      </c>
      <c r="CY347" s="229">
        <f t="shared" si="1085"/>
        <v>0</v>
      </c>
      <c r="CZ347" s="229">
        <f t="shared" si="1086"/>
        <v>0</v>
      </c>
      <c r="DA347" s="229">
        <f t="shared" si="1087"/>
        <v>0</v>
      </c>
      <c r="DB347" s="228">
        <f t="shared" si="1018"/>
        <v>251.3</v>
      </c>
      <c r="DC347" s="229"/>
      <c r="DD347" s="229"/>
      <c r="DE347" s="229"/>
      <c r="DF347" s="229"/>
      <c r="DG347" s="229"/>
      <c r="DH347" s="229"/>
      <c r="DI347" s="229"/>
      <c r="DJ347" s="229"/>
      <c r="DK347" s="229"/>
      <c r="DL347" s="229"/>
      <c r="DM347" s="229"/>
      <c r="DN347" s="229"/>
      <c r="DO347" s="228">
        <f t="shared" si="1029"/>
        <v>0</v>
      </c>
      <c r="DP347" s="228">
        <f t="shared" si="1030"/>
        <v>251.3</v>
      </c>
      <c r="DQ347" s="229">
        <f t="shared" si="1088"/>
        <v>0</v>
      </c>
      <c r="DR347" s="229">
        <f t="shared" si="1089"/>
        <v>0</v>
      </c>
      <c r="DS347" s="229">
        <f t="shared" si="1090"/>
        <v>0</v>
      </c>
      <c r="DT347" s="229">
        <f t="shared" si="1091"/>
        <v>0</v>
      </c>
      <c r="DU347" s="229">
        <f t="shared" si="1092"/>
        <v>0</v>
      </c>
      <c r="DV347" s="229">
        <f t="shared" si="1093"/>
        <v>0</v>
      </c>
      <c r="DW347" s="229">
        <f t="shared" si="1094"/>
        <v>0</v>
      </c>
      <c r="DX347" s="228">
        <f t="shared" si="1019"/>
        <v>0</v>
      </c>
      <c r="DY347" s="229"/>
      <c r="DZ347" s="229"/>
      <c r="EA347" s="229"/>
      <c r="EB347" s="229"/>
      <c r="EC347" s="229"/>
      <c r="ED347" s="229"/>
      <c r="EE347" s="229"/>
      <c r="EF347" s="228">
        <f t="shared" si="1072"/>
        <v>0</v>
      </c>
      <c r="EG347" s="228">
        <f t="shared" si="1031"/>
        <v>0</v>
      </c>
      <c r="EH347" s="229">
        <f t="shared" si="1073"/>
        <v>45</v>
      </c>
      <c r="EI347" s="229">
        <v>0</v>
      </c>
      <c r="EJ347" s="228">
        <f t="shared" si="1126"/>
        <v>45</v>
      </c>
      <c r="EK347" s="229"/>
      <c r="EL347" s="229"/>
      <c r="EM347" s="228">
        <f t="shared" si="1065"/>
        <v>0</v>
      </c>
      <c r="EN347" s="229">
        <f t="shared" si="1104"/>
        <v>45</v>
      </c>
      <c r="EO347" s="229">
        <f t="shared" si="1121"/>
        <v>0</v>
      </c>
      <c r="EP347" s="228">
        <f t="shared" si="1074"/>
        <v>45</v>
      </c>
      <c r="EQ347" s="173">
        <f t="shared" si="1075"/>
        <v>0</v>
      </c>
      <c r="ER347" s="189">
        <v>0</v>
      </c>
      <c r="ES347" s="189">
        <v>41.3</v>
      </c>
      <c r="ET347" s="189">
        <v>16.7</v>
      </c>
      <c r="EU347" s="189">
        <v>0</v>
      </c>
      <c r="EV347" s="189">
        <v>0</v>
      </c>
      <c r="EW347" s="189">
        <v>193.3</v>
      </c>
      <c r="EX347" s="189">
        <v>0</v>
      </c>
      <c r="EY347" s="189">
        <v>0</v>
      </c>
      <c r="EZ347" s="189">
        <v>0</v>
      </c>
      <c r="FA347" s="189">
        <v>0</v>
      </c>
      <c r="FB347" s="189">
        <v>0</v>
      </c>
      <c r="FC347" s="189">
        <v>0</v>
      </c>
      <c r="FD347" s="189">
        <v>0</v>
      </c>
      <c r="FE347" s="189">
        <v>0</v>
      </c>
      <c r="FF347" s="189">
        <v>0</v>
      </c>
      <c r="FG347" s="189">
        <v>0</v>
      </c>
      <c r="FH347" s="189">
        <v>0</v>
      </c>
      <c r="FI347" s="189">
        <v>0</v>
      </c>
      <c r="FJ347" s="189">
        <v>0</v>
      </c>
      <c r="FK347" s="189">
        <v>251.3</v>
      </c>
      <c r="FL347" s="189">
        <v>192</v>
      </c>
      <c r="FN347" s="132">
        <v>45</v>
      </c>
    </row>
    <row r="348" spans="1:170" ht="30" customHeight="1">
      <c r="A348" s="88">
        <f>COUNTIF($H$12:H348,H348)</f>
        <v>25</v>
      </c>
      <c r="B348" s="88" t="s">
        <v>2940</v>
      </c>
      <c r="C348" s="88" t="s">
        <v>2045</v>
      </c>
      <c r="D348" s="88"/>
      <c r="E348" s="88"/>
      <c r="F348" s="301" t="s">
        <v>1139</v>
      </c>
      <c r="G348" s="89" t="s">
        <v>913</v>
      </c>
      <c r="H348" s="88">
        <v>6</v>
      </c>
      <c r="I348" s="88">
        <v>6</v>
      </c>
      <c r="J348" s="88">
        <v>6</v>
      </c>
      <c r="K348" s="90" t="s">
        <v>1093</v>
      </c>
      <c r="L348" s="90" t="s">
        <v>1093</v>
      </c>
      <c r="M348" s="214"/>
      <c r="N348" s="88" t="s">
        <v>37</v>
      </c>
      <c r="O348" s="216">
        <f t="shared" ref="O348:O384" si="1128">BO348</f>
        <v>4.32</v>
      </c>
      <c r="P348" s="88" t="str">
        <f t="shared" si="1045"/>
        <v>B11_4</v>
      </c>
      <c r="Q348" s="88">
        <f t="shared" si="951"/>
        <v>270</v>
      </c>
      <c r="R348" s="88">
        <f t="shared" si="952"/>
        <v>80</v>
      </c>
      <c r="S348" s="230" t="s">
        <v>689</v>
      </c>
      <c r="T348" s="88" t="s">
        <v>3090</v>
      </c>
      <c r="U348" s="88">
        <f>IF(RIGHT(T348,1)="K",(VLOOKUP(T348,ma_miengiam!$A$3:$B$80,2,0)*100)/2,VLOOKUP(T348,ma_miengiam!$A$3:$B$80,2,0)*100)</f>
        <v>15</v>
      </c>
      <c r="V348" s="88"/>
      <c r="W348" s="220">
        <f>IF(AND(T348="NTS",V348&gt;0),(Q348-(Q348*V348)/12)*VLOOKUP(T348,ma_miengiam!$A$3:$B$80,2,0)+(Q348-(Q348*(12-V348))/12),IF(AND(RIGHT(T348,1)="K",V348&gt;0),(VLOOKUP(T348,ma_miengiam!$A$3:$B$80,2,0)/2)*(Q348*V348)/12,IF(RIGHT(T348,1)="K",(VLOOKUP(T348,ma_miengiam!$A$3:$B$80,2,0)*Q348)/2,IF(V348&gt;0,VLOOKUP(T348,ma_miengiam!$A$3:$B$80,2,0)*Q348*V348/12,VLOOKUP(T348,ma_miengiam!$A$3:$B$80,2,0)*Q348))))</f>
        <v>40.5</v>
      </c>
      <c r="X348" s="220">
        <f>IF(T348="NTS",VLOOKUP(T348,ma_miengiam!$A$3:$B$80,2,0)*R348*V348,IF(AND(T348="NTS",V348=0),0,IF(AND(LEFT(T348,1)="K",V348=0),VLOOKUP(T348,ma_miengiam!$A$3:$B$80,2,0)*R348,IF(LEFT(T348,1)="K",(VLOOKUP(T348,ma_miengiam!$A$3:$B$80,2,0)*R348/12)*V348,IF(AND(LEFT(T348,1)="S",V348&gt;0),(R348/12)*V348,IF(AND(LEFT(T348,1)="S",V348=0),R348,IF(T348="DH",VLOOKUP(T348,ma_miengiam!$A$3:$B$80,2,0)*R348,0)))))))</f>
        <v>0</v>
      </c>
      <c r="Y348" s="220">
        <f t="shared" si="1107"/>
        <v>229.5</v>
      </c>
      <c r="Z348" s="220">
        <f>IF(AND(T348="SĐH",V348&gt;0),(R348/12)*V348-X348,IF(AND(T348="DH",V348&gt;0),(R348*V348/12),IF(AND(T348&lt;&gt;"NTS",V348&gt;0),(R348*V348/12)-X348,IF(AND(T348="NTS",V348&gt;0),R348-X348,R348-X348))))</f>
        <v>80</v>
      </c>
      <c r="AA348" s="220">
        <f>Q348</f>
        <v>270</v>
      </c>
      <c r="AB348" s="220">
        <f>R348</f>
        <v>80</v>
      </c>
      <c r="AC348" s="220">
        <f>W348</f>
        <v>40.5</v>
      </c>
      <c r="AD348" s="220">
        <f>X348</f>
        <v>0</v>
      </c>
      <c r="AE348" s="220">
        <f>Y348</f>
        <v>229.5</v>
      </c>
      <c r="AF348" s="220">
        <f>Z348</f>
        <v>80</v>
      </c>
      <c r="AG348" s="220">
        <f t="shared" si="1114"/>
        <v>105.02000000000001</v>
      </c>
      <c r="AH348" s="220">
        <f t="shared" si="1115"/>
        <v>35.020000000000003</v>
      </c>
      <c r="AI348" s="220">
        <f t="shared" si="1116"/>
        <v>70</v>
      </c>
      <c r="AJ348" s="220">
        <f>IF(AG348-Z348&gt;0,0,AG348-Z348)</f>
        <v>0</v>
      </c>
      <c r="AK348" s="216">
        <f t="shared" si="1038"/>
        <v>229.5</v>
      </c>
      <c r="AL348" s="220">
        <f t="shared" si="1020"/>
        <v>284.39999999999998</v>
      </c>
      <c r="AM348" s="220">
        <f t="shared" si="1021"/>
        <v>0</v>
      </c>
      <c r="AN348" s="221">
        <f t="shared" si="1022"/>
        <v>284.39999999999998</v>
      </c>
      <c r="AO348" s="220">
        <f t="shared" si="1023"/>
        <v>0</v>
      </c>
      <c r="AP348" s="220">
        <f t="shared" si="1024"/>
        <v>0</v>
      </c>
      <c r="AQ348" s="220">
        <f t="shared" si="1025"/>
        <v>0</v>
      </c>
      <c r="AR348" s="220">
        <f t="shared" si="1026"/>
        <v>0</v>
      </c>
      <c r="AS348" s="220">
        <f t="shared" si="1027"/>
        <v>0</v>
      </c>
      <c r="AT348" s="216">
        <f t="shared" si="1028"/>
        <v>284.39999999999998</v>
      </c>
      <c r="AU348" s="222">
        <f t="shared" si="1117"/>
        <v>54.899999999999977</v>
      </c>
      <c r="AV348" s="220"/>
      <c r="AW348" s="220">
        <f t="shared" si="1006"/>
        <v>54.899999999999977</v>
      </c>
      <c r="AX348" s="216">
        <f t="shared" si="1046"/>
        <v>0</v>
      </c>
      <c r="AY348" s="220">
        <f t="shared" si="1013"/>
        <v>0</v>
      </c>
      <c r="AZ348" s="220">
        <f t="shared" si="1014"/>
        <v>0</v>
      </c>
      <c r="BA348" s="220">
        <f t="shared" si="1015"/>
        <v>0</v>
      </c>
      <c r="BB348" s="220">
        <f t="shared" si="1016"/>
        <v>0</v>
      </c>
      <c r="BC348" s="220">
        <f t="shared" si="1017"/>
        <v>0</v>
      </c>
      <c r="BD348" s="216">
        <f t="shared" si="988"/>
        <v>0</v>
      </c>
      <c r="BE348" s="220">
        <f t="shared" si="1007"/>
        <v>0</v>
      </c>
      <c r="BF348" s="220">
        <f t="shared" si="1008"/>
        <v>0</v>
      </c>
      <c r="BG348" s="220">
        <f t="shared" si="1009"/>
        <v>0</v>
      </c>
      <c r="BH348" s="220">
        <f t="shared" si="1010"/>
        <v>0</v>
      </c>
      <c r="BI348" s="220">
        <f t="shared" si="1011"/>
        <v>0</v>
      </c>
      <c r="BJ348" s="220" t="s">
        <v>3062</v>
      </c>
      <c r="BK348" s="220"/>
      <c r="BL348" s="223">
        <f t="shared" si="1004"/>
        <v>54.899999999999977</v>
      </c>
      <c r="BM348" s="220">
        <v>4.32</v>
      </c>
      <c r="BN348" s="220"/>
      <c r="BO348" s="220">
        <f t="shared" si="1118"/>
        <v>4.32</v>
      </c>
      <c r="BP348" s="220">
        <f>IF(AND(BL348&gt;0,BL348&lt;tiet!$D$1),BL348,IF(BL348&lt;=0,0,IF(BL348&gt;tiet!$C$1,tiet!$C$1)))</f>
        <v>54.899999999999977</v>
      </c>
      <c r="BQ348" s="87">
        <f>VLOOKUP(P348,ma_dinhmuc_moi,4,0)</f>
        <v>65000</v>
      </c>
      <c r="BR348" s="224">
        <f>ROUND(BQ348*BP348,0)</f>
        <v>3568500</v>
      </c>
      <c r="BS348" s="220">
        <f t="shared" si="1068"/>
        <v>0</v>
      </c>
      <c r="BT348" s="224">
        <f>VLOOKUP(N348,ma_dinhmuc!$A$1:$J$31,10,0)</f>
        <v>51000</v>
      </c>
      <c r="BU348" s="224">
        <f>ROUND(IF(BS348&gt;0,VLOOKUP(N348,ma_dinhmuc!$A$1:$J$31,10,0)*BS348,0),0)</f>
        <v>0</v>
      </c>
      <c r="BV348" s="224">
        <f>ROUND(BU348+BR348,0)</f>
        <v>3568500</v>
      </c>
      <c r="BW348" s="224"/>
      <c r="BX348" s="224">
        <v>0</v>
      </c>
      <c r="BY348" s="224"/>
      <c r="BZ348" s="224"/>
      <c r="CA348" s="224"/>
      <c r="CB348" s="224"/>
      <c r="CC348" s="225">
        <f>ROUND(IF(BV348+BW348&gt;BX348+BY348+BZ348+CA348+CB348,(BW348+BV348)-(BX348+BY348+BZ348+CA348+CB348+CB348),0),0)</f>
        <v>3568500</v>
      </c>
      <c r="CD348" s="224">
        <f>ROUND(IF(BV348+BW348&lt;BX348+BY348+BZ348+CA348-CB348,(BX348+BY348+BZ348+CA348-CB348)-(BW348+BV348),0),0)</f>
        <v>0</v>
      </c>
      <c r="CE348" s="224"/>
      <c r="CF348" s="226"/>
      <c r="CG348" s="87"/>
      <c r="CH348" s="87">
        <f t="shared" si="1110"/>
        <v>25</v>
      </c>
      <c r="CI348" s="227" t="str">
        <f t="shared" si="1123"/>
        <v>Nguyễn Thị</v>
      </c>
      <c r="CJ348" s="227" t="str">
        <f t="shared" si="1124"/>
        <v>Ngân</v>
      </c>
      <c r="CK348" s="87">
        <f t="shared" si="1125"/>
        <v>6</v>
      </c>
      <c r="CL348" s="227" t="str">
        <f t="shared" si="1112"/>
        <v>Pháp luật</v>
      </c>
      <c r="CM348" s="87" t="str">
        <f t="shared" si="1012"/>
        <v>CT2</v>
      </c>
      <c r="CN348" s="87">
        <f t="shared" si="1119"/>
        <v>270</v>
      </c>
      <c r="CO348" s="87">
        <f t="shared" si="1120"/>
        <v>80</v>
      </c>
      <c r="CP348" s="229">
        <f t="shared" si="1076"/>
        <v>0</v>
      </c>
      <c r="CQ348" s="229">
        <f t="shared" si="1077"/>
        <v>31</v>
      </c>
      <c r="CR348" s="229">
        <f t="shared" si="1078"/>
        <v>12.5</v>
      </c>
      <c r="CS348" s="229">
        <f t="shared" si="1079"/>
        <v>0</v>
      </c>
      <c r="CT348" s="229">
        <f t="shared" si="1080"/>
        <v>0</v>
      </c>
      <c r="CU348" s="229">
        <f t="shared" si="1081"/>
        <v>240.9</v>
      </c>
      <c r="CV348" s="229">
        <f t="shared" si="1082"/>
        <v>0</v>
      </c>
      <c r="CW348" s="229">
        <f t="shared" si="1083"/>
        <v>0</v>
      </c>
      <c r="CX348" s="229">
        <f t="shared" si="1084"/>
        <v>0</v>
      </c>
      <c r="CY348" s="229">
        <f t="shared" si="1085"/>
        <v>0</v>
      </c>
      <c r="CZ348" s="229">
        <f t="shared" si="1086"/>
        <v>0</v>
      </c>
      <c r="DA348" s="229">
        <f t="shared" si="1087"/>
        <v>0</v>
      </c>
      <c r="DB348" s="228">
        <f t="shared" si="1018"/>
        <v>284.39999999999998</v>
      </c>
      <c r="DC348" s="229"/>
      <c r="DD348" s="229"/>
      <c r="DE348" s="229"/>
      <c r="DF348" s="229"/>
      <c r="DG348" s="229"/>
      <c r="DH348" s="229"/>
      <c r="DI348" s="229"/>
      <c r="DJ348" s="229"/>
      <c r="DK348" s="229"/>
      <c r="DL348" s="229"/>
      <c r="DM348" s="229"/>
      <c r="DN348" s="229"/>
      <c r="DO348" s="228">
        <f t="shared" si="1029"/>
        <v>0</v>
      </c>
      <c r="DP348" s="228">
        <f t="shared" si="1030"/>
        <v>284.39999999999998</v>
      </c>
      <c r="DQ348" s="229">
        <f t="shared" si="1088"/>
        <v>0</v>
      </c>
      <c r="DR348" s="229">
        <f t="shared" si="1089"/>
        <v>0</v>
      </c>
      <c r="DS348" s="229">
        <f t="shared" si="1090"/>
        <v>0</v>
      </c>
      <c r="DT348" s="229">
        <f t="shared" si="1091"/>
        <v>0</v>
      </c>
      <c r="DU348" s="229">
        <f t="shared" si="1092"/>
        <v>0</v>
      </c>
      <c r="DV348" s="229">
        <f t="shared" si="1093"/>
        <v>0</v>
      </c>
      <c r="DW348" s="229">
        <f t="shared" si="1094"/>
        <v>0</v>
      </c>
      <c r="DX348" s="228">
        <f t="shared" si="1019"/>
        <v>0</v>
      </c>
      <c r="DY348" s="229"/>
      <c r="DZ348" s="229"/>
      <c r="EA348" s="229"/>
      <c r="EB348" s="229"/>
      <c r="EC348" s="229"/>
      <c r="ED348" s="229"/>
      <c r="EE348" s="229"/>
      <c r="EF348" s="228">
        <f t="shared" si="1072"/>
        <v>0</v>
      </c>
      <c r="EG348" s="228">
        <f t="shared" si="1031"/>
        <v>0</v>
      </c>
      <c r="EH348" s="229">
        <f t="shared" si="1073"/>
        <v>70</v>
      </c>
      <c r="EI348" s="229">
        <v>35.020000000000003</v>
      </c>
      <c r="EJ348" s="228">
        <f t="shared" si="1126"/>
        <v>105.02000000000001</v>
      </c>
      <c r="EK348" s="229"/>
      <c r="EL348" s="229"/>
      <c r="EM348" s="228">
        <f>SUM(EK348:EL348)</f>
        <v>0</v>
      </c>
      <c r="EN348" s="229">
        <f t="shared" si="1104"/>
        <v>70</v>
      </c>
      <c r="EO348" s="229">
        <f t="shared" si="1121"/>
        <v>35.020000000000003</v>
      </c>
      <c r="EP348" s="228">
        <f>EM348+EJ348</f>
        <v>105.02000000000001</v>
      </c>
      <c r="EQ348" s="173">
        <f t="shared" si="1075"/>
        <v>0</v>
      </c>
      <c r="ER348" s="189">
        <v>0</v>
      </c>
      <c r="ES348" s="189">
        <v>31</v>
      </c>
      <c r="ET348" s="189">
        <v>12.5</v>
      </c>
      <c r="EU348" s="189">
        <v>0</v>
      </c>
      <c r="EV348" s="189">
        <v>0</v>
      </c>
      <c r="EW348" s="189">
        <v>240.9</v>
      </c>
      <c r="EX348" s="189">
        <v>0</v>
      </c>
      <c r="EY348" s="189">
        <v>0</v>
      </c>
      <c r="EZ348" s="189">
        <v>0</v>
      </c>
      <c r="FA348" s="189">
        <v>0</v>
      </c>
      <c r="FB348" s="189">
        <v>0</v>
      </c>
      <c r="FC348" s="189">
        <v>0</v>
      </c>
      <c r="FD348" s="189">
        <v>0</v>
      </c>
      <c r="FE348" s="189">
        <v>0</v>
      </c>
      <c r="FF348" s="189">
        <v>0</v>
      </c>
      <c r="FG348" s="189">
        <v>0</v>
      </c>
      <c r="FH348" s="189">
        <v>0</v>
      </c>
      <c r="FI348" s="189">
        <v>0</v>
      </c>
      <c r="FJ348" s="189">
        <v>0</v>
      </c>
      <c r="FK348" s="189">
        <v>284.39999999999998</v>
      </c>
      <c r="FL348" s="189">
        <v>222</v>
      </c>
      <c r="FN348" s="132">
        <v>70</v>
      </c>
    </row>
    <row r="349" spans="1:170" ht="45">
      <c r="A349" s="88">
        <f>COUNTIF($H$12:H349,H349)</f>
        <v>26</v>
      </c>
      <c r="B349" s="88" t="s">
        <v>2941</v>
      </c>
      <c r="C349" s="88" t="s">
        <v>2046</v>
      </c>
      <c r="D349" s="88"/>
      <c r="E349" s="88"/>
      <c r="F349" s="301" t="s">
        <v>2820</v>
      </c>
      <c r="G349" s="89" t="s">
        <v>2082</v>
      </c>
      <c r="H349" s="88">
        <v>6</v>
      </c>
      <c r="I349" s="88">
        <v>6</v>
      </c>
      <c r="J349" s="88">
        <v>6</v>
      </c>
      <c r="K349" s="90" t="s">
        <v>1093</v>
      </c>
      <c r="L349" s="90" t="s">
        <v>1093</v>
      </c>
      <c r="M349" s="214"/>
      <c r="N349" s="88" t="s">
        <v>39</v>
      </c>
      <c r="O349" s="216">
        <f>BO349</f>
        <v>4.4000000000000004</v>
      </c>
      <c r="P349" s="88" t="str">
        <f t="shared" si="1045"/>
        <v>B11_4</v>
      </c>
      <c r="Q349" s="88">
        <f t="shared" si="951"/>
        <v>270</v>
      </c>
      <c r="R349" s="88">
        <f t="shared" si="952"/>
        <v>80</v>
      </c>
      <c r="S349" s="218" t="s">
        <v>350</v>
      </c>
      <c r="T349" s="235" t="s">
        <v>1753</v>
      </c>
      <c r="U349" s="88">
        <f>IF(RIGHT(T349,1)="K",(VLOOKUP(T349,ma_miengiam!$A$3:$B$80,2,0)*100)/2,VLOOKUP(T349,ma_miengiam!$A$3:$B$80,2,0)*100)</f>
        <v>70</v>
      </c>
      <c r="V349" s="88"/>
      <c r="W349" s="220">
        <f>IF(AND(T349="NTS",V349&gt;0),(Q349-(Q349*V349)/12)*VLOOKUP(T349,ma_miengiam!$A$3:$B$80,2,0)+(Q349-(Q349*(12-V349))/12),IF(AND(RIGHT(T349,1)="K",V349&gt;0),(VLOOKUP(T349,ma_miengiam!$A$3:$B$80,2,0)/2)*(Q349*V349)/12,IF(RIGHT(T349,1)="K",(VLOOKUP(T349,ma_miengiam!$A$3:$B$80,2,0)*Q349)/2,IF(V349&gt;0,VLOOKUP(T349,ma_miengiam!$A$3:$B$80,2,0)*Q349*V349/12,VLOOKUP(T349,ma_miengiam!$A$3:$B$80,2,0)*Q349))))</f>
        <v>189</v>
      </c>
      <c r="X349" s="220">
        <f>IF(T349="NTS",VLOOKUP(T349,ma_miengiam!$A$3:$B$80,2,0)*R349*V349,IF(AND(T349="NTS",V349=0),0,IF(AND(LEFT(T349,1)="K",V349=0),VLOOKUP(T349,ma_miengiam!$A$3:$B$80,2,0)*R349,IF(LEFT(T349,1)="K",(VLOOKUP(T349,ma_miengiam!$A$3:$B$80,2,0)*R349/12)*V349,IF(AND(LEFT(T349,1)="S",V349&gt;0),(R349/12)*V349,IF(AND(LEFT(T349,1)="S",V349=0),R349,IF(T349="DH",VLOOKUP(T349,ma_miengiam!$A$3:$B$80,2,0)*R349,0)))))))</f>
        <v>56</v>
      </c>
      <c r="Y349" s="220">
        <f>IF(AND(T349="DH",V349&gt;0),(S349*V349/12),IF(AND(T349&lt;&gt;"NTS",V349&gt;0),(Q349*V349/12)-W349,IF(AND(T349="NTS",V349&gt;0),Q349-W349,Q349-W349)))</f>
        <v>81</v>
      </c>
      <c r="Z349" s="220">
        <f>IF(AND(T349="SĐH",V349&gt;0),(R349/12)*V349-X349,IF(AND(T349="DH",V349&gt;0),(R349*V349/12),IF(AND(T349&lt;&gt;"NTS",V349&gt;0),(R349*V349/12)-X349,IF(AND(T349="NTS",V349&gt;0),R349-X349,R349-X349))))</f>
        <v>24</v>
      </c>
      <c r="AA349" s="220">
        <f t="shared" ref="AA349:AB352" si="1129">Q349</f>
        <v>270</v>
      </c>
      <c r="AB349" s="220">
        <f t="shared" si="1129"/>
        <v>80</v>
      </c>
      <c r="AC349" s="220">
        <f t="shared" ref="AC349:AF350" si="1130">W349</f>
        <v>189</v>
      </c>
      <c r="AD349" s="220">
        <f t="shared" si="1130"/>
        <v>56</v>
      </c>
      <c r="AE349" s="220">
        <f t="shared" si="1130"/>
        <v>81</v>
      </c>
      <c r="AF349" s="220">
        <f t="shared" si="1130"/>
        <v>24</v>
      </c>
      <c r="AG349" s="220">
        <f>AH349+AI349</f>
        <v>447.65</v>
      </c>
      <c r="AH349" s="220">
        <f>EO349</f>
        <v>97.65</v>
      </c>
      <c r="AI349" s="220">
        <f>EN349</f>
        <v>350</v>
      </c>
      <c r="AJ349" s="220">
        <f>IF(AG349-Z349&gt;0,0,AG349-Z349)</f>
        <v>0</v>
      </c>
      <c r="AK349" s="216">
        <f t="shared" si="1038"/>
        <v>81</v>
      </c>
      <c r="AL349" s="220">
        <f t="shared" si="1020"/>
        <v>445.1</v>
      </c>
      <c r="AM349" s="220">
        <f t="shared" si="1021"/>
        <v>0</v>
      </c>
      <c r="AN349" s="221">
        <f t="shared" si="1022"/>
        <v>445.1</v>
      </c>
      <c r="AO349" s="220">
        <f t="shared" si="1023"/>
        <v>0</v>
      </c>
      <c r="AP349" s="220">
        <f t="shared" si="1024"/>
        <v>0</v>
      </c>
      <c r="AQ349" s="220">
        <f t="shared" si="1025"/>
        <v>0</v>
      </c>
      <c r="AR349" s="220">
        <f t="shared" si="1026"/>
        <v>0</v>
      </c>
      <c r="AS349" s="220">
        <f t="shared" si="1027"/>
        <v>0</v>
      </c>
      <c r="AT349" s="216">
        <f t="shared" si="1028"/>
        <v>445.1</v>
      </c>
      <c r="AU349" s="222">
        <f>AN349-AK349</f>
        <v>364.1</v>
      </c>
      <c r="AV349" s="220"/>
      <c r="AW349" s="220">
        <f>IF(AU349&gt;0,AU349,AV349+AU349)</f>
        <v>364.1</v>
      </c>
      <c r="AX349" s="216">
        <f t="shared" si="1046"/>
        <v>0</v>
      </c>
      <c r="AY349" s="220">
        <f>IF(AN349&gt;=AK349,AO349,IF(AN349+AO349-AK349&gt;=0,AN349+AO349-AK349,0))</f>
        <v>0</v>
      </c>
      <c r="AZ349" s="220">
        <f>IF(OR(AN349&gt;=AK349,AN349+AO349&gt;=AK349),AP349,IF(AN349+AO349+AP349&gt;AK349,AN349+AO349+AP349-AK349,0))</f>
        <v>0</v>
      </c>
      <c r="BA349" s="220">
        <f>IF(OR(AN349&gt;=AK349,AN349+AO349&gt;=AK349,AN349+AO349+AP349&gt;=AK349),AQ349,IF(AN349+AO349+AP349+AQ349&gt;=AK349,AN349+AO349+AP349+AQ349-AK349,0))</f>
        <v>0</v>
      </c>
      <c r="BB349" s="220">
        <f>IF(OR(AN349&gt;=AK349,AN349+AO349&gt;=AK349,AN349+AO349+AP349&gt;=AK349,AN349+AO349+AP349+AQ349&gt;=AK349),AR349,IF(AN349+AO349+AP349+AQ349+AR349&gt;=AK349,AN349+AO349+AP349+AQ349+AR349-AK349,0))</f>
        <v>0</v>
      </c>
      <c r="BC349" s="220">
        <f>IF(OR(AN349&gt;=AK349,AN349+AO349&gt;=AK349,AN349+AO349+AP349&gt;=AK349,AN349+AO349+AP349+AQ349&gt;=AK349,AN349+AO349+AP349+AQ349+AR349&gt;=AK349),AS349,IF(AN349+AO349+AP349+AQ349+AR349+AS349&gt;=AK349,AN349+AO349+AP349+AQ349+AR349+AS349-AK349,0))</f>
        <v>0</v>
      </c>
      <c r="BD349" s="216">
        <f t="shared" si="988"/>
        <v>0</v>
      </c>
      <c r="BE349" s="220">
        <f>AY349-AO349</f>
        <v>0</v>
      </c>
      <c r="BF349" s="220">
        <f>AZ349-AP349</f>
        <v>0</v>
      </c>
      <c r="BG349" s="220">
        <f>BA349-AQ349</f>
        <v>0</v>
      </c>
      <c r="BH349" s="220">
        <f>BB349-AR349</f>
        <v>0</v>
      </c>
      <c r="BI349" s="220">
        <f>BC349-AS349</f>
        <v>0</v>
      </c>
      <c r="BJ349" s="220" t="s">
        <v>3062</v>
      </c>
      <c r="BK349" s="220"/>
      <c r="BL349" s="223">
        <f t="shared" si="1004"/>
        <v>364.1</v>
      </c>
      <c r="BM349" s="220">
        <v>4.4000000000000004</v>
      </c>
      <c r="BN349" s="220"/>
      <c r="BO349" s="220">
        <f>ROUND(BM349+(BM349*BN349),2)</f>
        <v>4.4000000000000004</v>
      </c>
      <c r="BP349" s="220">
        <f>IF(AND(BL349&gt;0,BL349&lt;tiet!$D$1),BL349,IF(BL349&lt;=0,0,IF(BL349&gt;tiet!$C$1,tiet!$C$1)))</f>
        <v>200</v>
      </c>
      <c r="BQ349" s="87">
        <f>VLOOKUP(P349,ma_dinhmuc_moi,4,0)</f>
        <v>65000</v>
      </c>
      <c r="BR349" s="224">
        <f>ROUND(BQ349*BP349,0)</f>
        <v>13000000</v>
      </c>
      <c r="BS349" s="220">
        <f t="shared" si="1068"/>
        <v>164.10000000000002</v>
      </c>
      <c r="BT349" s="224">
        <f>VLOOKUP(N349,ma_dinhmuc!$A$1:$J$31,10,0)</f>
        <v>55000</v>
      </c>
      <c r="BU349" s="224">
        <f>ROUND(IF(BS349&gt;0,VLOOKUP(N349,ma_dinhmuc!$A$1:$J$31,10,0)*BS349,0),0)</f>
        <v>9025500</v>
      </c>
      <c r="BV349" s="224">
        <f>ROUND(BU349+BR349,0)</f>
        <v>22025500</v>
      </c>
      <c r="BW349" s="224"/>
      <c r="BX349" s="224">
        <v>0</v>
      </c>
      <c r="BY349" s="224"/>
      <c r="BZ349" s="224"/>
      <c r="CA349" s="224"/>
      <c r="CB349" s="224"/>
      <c r="CC349" s="225">
        <f>ROUND(IF(BV349+BW349&gt;BX349+BY349+BZ349+CA349+CB349,(BW349+BV349)-(BX349+BY349+BZ349+CA349+CB349+CB349),0),0)</f>
        <v>22025500</v>
      </c>
      <c r="CD349" s="224">
        <f>ROUND(IF(BV349+BW349&lt;BX349+BY349+BZ349+CA349-CB349,(BX349+BY349+BZ349+CA349-CB349)-(BW349+BV349),0),0)</f>
        <v>0</v>
      </c>
      <c r="CE349" s="224"/>
      <c r="CF349" s="226"/>
      <c r="CG349" s="87"/>
      <c r="CH349" s="87">
        <f>A349</f>
        <v>26</v>
      </c>
      <c r="CI349" s="227" t="str">
        <f>F349</f>
        <v>Vũ Văn</v>
      </c>
      <c r="CJ349" s="227" t="str">
        <f>G349</f>
        <v>Tuấn</v>
      </c>
      <c r="CK349" s="87">
        <f>H349</f>
        <v>6</v>
      </c>
      <c r="CL349" s="227" t="str">
        <f>L349</f>
        <v>Pháp luật</v>
      </c>
      <c r="CM349" s="87" t="str">
        <f>N349</f>
        <v>CT3</v>
      </c>
      <c r="CN349" s="87">
        <f>Q349</f>
        <v>270</v>
      </c>
      <c r="CO349" s="87">
        <f>R349</f>
        <v>80</v>
      </c>
      <c r="CP349" s="229">
        <f t="shared" si="1076"/>
        <v>0</v>
      </c>
      <c r="CQ349" s="229">
        <f t="shared" si="1077"/>
        <v>71.7</v>
      </c>
      <c r="CR349" s="229">
        <f t="shared" si="1078"/>
        <v>28.9</v>
      </c>
      <c r="CS349" s="229">
        <f t="shared" si="1079"/>
        <v>0</v>
      </c>
      <c r="CT349" s="229">
        <f t="shared" si="1080"/>
        <v>0</v>
      </c>
      <c r="CU349" s="229">
        <f t="shared" si="1081"/>
        <v>344.5</v>
      </c>
      <c r="CV349" s="229">
        <f t="shared" si="1082"/>
        <v>0</v>
      </c>
      <c r="CW349" s="229">
        <f t="shared" si="1083"/>
        <v>0</v>
      </c>
      <c r="CX349" s="229">
        <f t="shared" si="1084"/>
        <v>0</v>
      </c>
      <c r="CY349" s="229">
        <f t="shared" si="1085"/>
        <v>0</v>
      </c>
      <c r="CZ349" s="229">
        <f t="shared" si="1086"/>
        <v>0</v>
      </c>
      <c r="DA349" s="229">
        <f t="shared" si="1087"/>
        <v>0</v>
      </c>
      <c r="DB349" s="228">
        <f t="shared" si="1018"/>
        <v>445.1</v>
      </c>
      <c r="DC349" s="229"/>
      <c r="DD349" s="229"/>
      <c r="DE349" s="229"/>
      <c r="DF349" s="229"/>
      <c r="DG349" s="229"/>
      <c r="DH349" s="229"/>
      <c r="DI349" s="229"/>
      <c r="DJ349" s="229"/>
      <c r="DK349" s="229"/>
      <c r="DL349" s="229"/>
      <c r="DM349" s="229"/>
      <c r="DN349" s="229"/>
      <c r="DO349" s="228">
        <f t="shared" si="1029"/>
        <v>0</v>
      </c>
      <c r="DP349" s="228">
        <f t="shared" si="1030"/>
        <v>445.1</v>
      </c>
      <c r="DQ349" s="229">
        <f t="shared" si="1088"/>
        <v>0</v>
      </c>
      <c r="DR349" s="229">
        <f t="shared" si="1089"/>
        <v>0</v>
      </c>
      <c r="DS349" s="229">
        <f t="shared" si="1090"/>
        <v>0</v>
      </c>
      <c r="DT349" s="229">
        <f t="shared" si="1091"/>
        <v>0</v>
      </c>
      <c r="DU349" s="229">
        <f t="shared" si="1092"/>
        <v>0</v>
      </c>
      <c r="DV349" s="229">
        <f t="shared" si="1093"/>
        <v>0</v>
      </c>
      <c r="DW349" s="229">
        <f t="shared" si="1094"/>
        <v>0</v>
      </c>
      <c r="DX349" s="228">
        <f t="shared" si="1019"/>
        <v>0</v>
      </c>
      <c r="DY349" s="229"/>
      <c r="DZ349" s="229"/>
      <c r="EA349" s="229"/>
      <c r="EB349" s="229"/>
      <c r="EC349" s="229"/>
      <c r="ED349" s="229"/>
      <c r="EE349" s="229"/>
      <c r="EF349" s="228">
        <f t="shared" si="1072"/>
        <v>0</v>
      </c>
      <c r="EG349" s="228">
        <f t="shared" si="1031"/>
        <v>0</v>
      </c>
      <c r="EH349" s="229">
        <f t="shared" si="1073"/>
        <v>350</v>
      </c>
      <c r="EI349" s="229">
        <v>97.65</v>
      </c>
      <c r="EJ349" s="228">
        <f>SUM(EH349:EI349)</f>
        <v>447.65</v>
      </c>
      <c r="EK349" s="229"/>
      <c r="EL349" s="229"/>
      <c r="EM349" s="228">
        <f>SUM(EK349:EL349)</f>
        <v>0</v>
      </c>
      <c r="EN349" s="229">
        <f>EK349+EH349+EL349</f>
        <v>350</v>
      </c>
      <c r="EO349" s="229">
        <f>EI349</f>
        <v>97.65</v>
      </c>
      <c r="EP349" s="228">
        <f>EM349+EJ349</f>
        <v>447.65</v>
      </c>
      <c r="EQ349" s="173">
        <f t="shared" si="1075"/>
        <v>326</v>
      </c>
      <c r="ER349" s="189">
        <v>0</v>
      </c>
      <c r="ES349" s="189">
        <v>71.7</v>
      </c>
      <c r="ET349" s="189">
        <v>28.9</v>
      </c>
      <c r="EU349" s="189">
        <v>0</v>
      </c>
      <c r="EV349" s="189">
        <v>0</v>
      </c>
      <c r="EW349" s="189">
        <v>344.5</v>
      </c>
      <c r="EX349" s="189">
        <v>0</v>
      </c>
      <c r="EY349" s="189">
        <v>0</v>
      </c>
      <c r="EZ349" s="189">
        <v>0</v>
      </c>
      <c r="FA349" s="189">
        <v>0</v>
      </c>
      <c r="FB349" s="189">
        <v>0</v>
      </c>
      <c r="FC349" s="189">
        <v>0</v>
      </c>
      <c r="FD349" s="189">
        <v>0</v>
      </c>
      <c r="FE349" s="189">
        <v>0</v>
      </c>
      <c r="FF349" s="189">
        <v>0</v>
      </c>
      <c r="FG349" s="189">
        <v>0</v>
      </c>
      <c r="FH349" s="189">
        <v>0</v>
      </c>
      <c r="FI349" s="189">
        <v>0</v>
      </c>
      <c r="FJ349" s="189">
        <v>0</v>
      </c>
      <c r="FK349" s="189">
        <v>445.1</v>
      </c>
      <c r="FL349" s="189">
        <v>320</v>
      </c>
      <c r="FN349" s="132">
        <v>350</v>
      </c>
    </row>
    <row r="350" spans="1:170" ht="30" customHeight="1">
      <c r="A350" s="88">
        <f>COUNTIF($H$12:H350,H350)</f>
        <v>27</v>
      </c>
      <c r="B350" s="88" t="s">
        <v>2586</v>
      </c>
      <c r="C350" s="88" t="s">
        <v>2047</v>
      </c>
      <c r="D350" s="88"/>
      <c r="E350" s="88"/>
      <c r="F350" s="301" t="s">
        <v>1186</v>
      </c>
      <c r="G350" s="303" t="s">
        <v>2086</v>
      </c>
      <c r="H350" s="88">
        <v>6</v>
      </c>
      <c r="I350" s="88">
        <v>6</v>
      </c>
      <c r="J350" s="88">
        <v>6</v>
      </c>
      <c r="K350" s="90" t="s">
        <v>1093</v>
      </c>
      <c r="L350" s="90" t="s">
        <v>1093</v>
      </c>
      <c r="M350" s="214"/>
      <c r="N350" s="88" t="s">
        <v>39</v>
      </c>
      <c r="O350" s="216">
        <f t="shared" si="1128"/>
        <v>4.4000000000000004</v>
      </c>
      <c r="P350" s="88" t="str">
        <f t="shared" si="1045"/>
        <v>B11_4</v>
      </c>
      <c r="Q350" s="88">
        <f t="shared" si="951"/>
        <v>270</v>
      </c>
      <c r="R350" s="88">
        <f t="shared" si="952"/>
        <v>80</v>
      </c>
      <c r="S350" s="218" t="s">
        <v>2004</v>
      </c>
      <c r="T350" s="219" t="s">
        <v>3090</v>
      </c>
      <c r="U350" s="88">
        <f>IF(RIGHT(T350,1)="K",(VLOOKUP(T350,ma_miengiam!$A$3:$B$80,2,0)*100)/2,VLOOKUP(T350,ma_miengiam!$A$3:$B$80,2,0)*100)</f>
        <v>15</v>
      </c>
      <c r="V350" s="88"/>
      <c r="W350" s="220">
        <f>IF(AND(T350="NTS",V350&gt;0),(Q350-(Q350*V350)/12)*VLOOKUP(T350,ma_miengiam!$A$3:$B$80,2,0)+(Q350-(Q350*(12-V350))/12),IF(AND(RIGHT(T350,1)="K",V350&gt;0),(VLOOKUP(T350,ma_miengiam!$A$3:$B$80,2,0)/2)*(Q350*V350)/12,IF(RIGHT(T350,1)="K",(VLOOKUP(T350,ma_miengiam!$A$3:$B$80,2,0)*Q350)/2,IF(V350&gt;0,VLOOKUP(T350,ma_miengiam!$A$3:$B$80,2,0)*Q350*V350/12,VLOOKUP(T350,ma_miengiam!$A$3:$B$80,2,0)*Q350))))</f>
        <v>40.5</v>
      </c>
      <c r="X350" s="220">
        <f>IF(T350="NTS",VLOOKUP(T350,ma_miengiam!$A$3:$B$80,2,0)*R350*V350,IF(AND(T350="NTS",V350=0),0,IF(AND(LEFT(T350,1)="K",V350=0),VLOOKUP(T350,ma_miengiam!$A$3:$B$80,2,0)*R350,IF(LEFT(T350,1)="K",(VLOOKUP(T350,ma_miengiam!$A$3:$B$80,2,0)*R350/12)*V350,IF(AND(LEFT(T350,1)="S",V350&gt;0),(R350/12)*V350,IF(AND(LEFT(T350,1)="S",V350=0),R350,IF(T350="DH",VLOOKUP(T350,ma_miengiam!$A$3:$B$80,2,0)*R350,0)))))))</f>
        <v>0</v>
      </c>
      <c r="Y350" s="220">
        <f t="shared" si="1107"/>
        <v>229.5</v>
      </c>
      <c r="Z350" s="220">
        <f t="shared" si="1095"/>
        <v>80</v>
      </c>
      <c r="AA350" s="220">
        <f t="shared" si="1129"/>
        <v>270</v>
      </c>
      <c r="AB350" s="220">
        <f t="shared" si="1129"/>
        <v>80</v>
      </c>
      <c r="AC350" s="220">
        <f t="shared" si="1130"/>
        <v>40.5</v>
      </c>
      <c r="AD350" s="220">
        <f t="shared" si="1130"/>
        <v>0</v>
      </c>
      <c r="AE350" s="220">
        <f t="shared" si="1130"/>
        <v>229.5</v>
      </c>
      <c r="AF350" s="220">
        <f t="shared" si="1130"/>
        <v>80</v>
      </c>
      <c r="AG350" s="220">
        <f t="shared" si="1114"/>
        <v>162.52000000000001</v>
      </c>
      <c r="AH350" s="220">
        <f t="shared" si="1115"/>
        <v>35.020000000000003</v>
      </c>
      <c r="AI350" s="220">
        <f t="shared" si="1116"/>
        <v>127.5</v>
      </c>
      <c r="AJ350" s="220">
        <f t="shared" si="1060"/>
        <v>0</v>
      </c>
      <c r="AK350" s="216">
        <f t="shared" si="1038"/>
        <v>229.5</v>
      </c>
      <c r="AL350" s="220">
        <f t="shared" si="1020"/>
        <v>423.2</v>
      </c>
      <c r="AM350" s="220">
        <f t="shared" si="1021"/>
        <v>0</v>
      </c>
      <c r="AN350" s="221">
        <f t="shared" si="1022"/>
        <v>423.2</v>
      </c>
      <c r="AO350" s="220">
        <f t="shared" si="1023"/>
        <v>0</v>
      </c>
      <c r="AP350" s="220">
        <f t="shared" si="1024"/>
        <v>0</v>
      </c>
      <c r="AQ350" s="220">
        <f t="shared" si="1025"/>
        <v>0</v>
      </c>
      <c r="AR350" s="220">
        <f t="shared" si="1026"/>
        <v>0</v>
      </c>
      <c r="AS350" s="220">
        <f t="shared" si="1027"/>
        <v>0</v>
      </c>
      <c r="AT350" s="216">
        <f t="shared" si="1028"/>
        <v>423.2</v>
      </c>
      <c r="AU350" s="222">
        <f t="shared" si="1117"/>
        <v>193.7</v>
      </c>
      <c r="AV350" s="220"/>
      <c r="AW350" s="220">
        <f t="shared" si="1006"/>
        <v>193.7</v>
      </c>
      <c r="AX350" s="216">
        <f t="shared" si="1046"/>
        <v>0</v>
      </c>
      <c r="AY350" s="220">
        <f t="shared" si="1013"/>
        <v>0</v>
      </c>
      <c r="AZ350" s="220">
        <f t="shared" si="1014"/>
        <v>0</v>
      </c>
      <c r="BA350" s="220">
        <f t="shared" si="1015"/>
        <v>0</v>
      </c>
      <c r="BB350" s="220">
        <f t="shared" si="1016"/>
        <v>0</v>
      </c>
      <c r="BC350" s="220">
        <f t="shared" si="1017"/>
        <v>0</v>
      </c>
      <c r="BD350" s="216">
        <f t="shared" si="988"/>
        <v>0</v>
      </c>
      <c r="BE350" s="220">
        <f t="shared" si="1007"/>
        <v>0</v>
      </c>
      <c r="BF350" s="220">
        <f t="shared" si="1008"/>
        <v>0</v>
      </c>
      <c r="BG350" s="220">
        <f t="shared" si="1009"/>
        <v>0</v>
      </c>
      <c r="BH350" s="220">
        <f t="shared" si="1010"/>
        <v>0</v>
      </c>
      <c r="BI350" s="220">
        <f t="shared" si="1011"/>
        <v>0</v>
      </c>
      <c r="BJ350" s="220" t="s">
        <v>3062</v>
      </c>
      <c r="BK350" s="220"/>
      <c r="BL350" s="223">
        <f t="shared" si="1004"/>
        <v>193.7</v>
      </c>
      <c r="BM350" s="220">
        <v>4.4000000000000004</v>
      </c>
      <c r="BN350" s="220"/>
      <c r="BO350" s="220">
        <f t="shared" si="1118"/>
        <v>4.4000000000000004</v>
      </c>
      <c r="BP350" s="220">
        <f>IF(AND(BL350&gt;0,BL350&lt;tiet!$D$1),BL350,IF(BL350&lt;=0,0,IF(BL350&gt;tiet!$C$1,tiet!$C$1)))</f>
        <v>193.7</v>
      </c>
      <c r="BQ350" s="87">
        <f t="shared" si="1047"/>
        <v>65000</v>
      </c>
      <c r="BR350" s="224">
        <f t="shared" si="1048"/>
        <v>12590500</v>
      </c>
      <c r="BS350" s="220">
        <f t="shared" si="1068"/>
        <v>0</v>
      </c>
      <c r="BT350" s="224">
        <f>VLOOKUP(N350,ma_dinhmuc!$A$1:$J$31,10,0)</f>
        <v>55000</v>
      </c>
      <c r="BU350" s="224">
        <f>ROUND(IF(BS350&gt;0,VLOOKUP(N350,ma_dinhmuc!$A$1:$J$31,10,0)*BS350,0),0)</f>
        <v>0</v>
      </c>
      <c r="BV350" s="224">
        <f t="shared" si="1049"/>
        <v>12590500</v>
      </c>
      <c r="BW350" s="224"/>
      <c r="BX350" s="224">
        <v>0</v>
      </c>
      <c r="BY350" s="224"/>
      <c r="BZ350" s="224"/>
      <c r="CA350" s="224"/>
      <c r="CB350" s="224"/>
      <c r="CC350" s="225">
        <f t="shared" si="1069"/>
        <v>12590500</v>
      </c>
      <c r="CD350" s="224">
        <f t="shared" si="1070"/>
        <v>0</v>
      </c>
      <c r="CE350" s="224"/>
      <c r="CF350" s="226"/>
      <c r="CG350" s="87"/>
      <c r="CH350" s="87">
        <f t="shared" si="1110"/>
        <v>27</v>
      </c>
      <c r="CI350" s="227" t="str">
        <f t="shared" si="1123"/>
        <v>Trịnh Thị Ngọc</v>
      </c>
      <c r="CJ350" s="227" t="str">
        <f t="shared" si="1124"/>
        <v>Anh</v>
      </c>
      <c r="CK350" s="87">
        <f t="shared" si="1125"/>
        <v>6</v>
      </c>
      <c r="CL350" s="227" t="str">
        <f t="shared" si="1112"/>
        <v>Pháp luật</v>
      </c>
      <c r="CM350" s="87" t="str">
        <f t="shared" si="1012"/>
        <v>CT3</v>
      </c>
      <c r="CN350" s="87">
        <f t="shared" si="1119"/>
        <v>270</v>
      </c>
      <c r="CO350" s="87">
        <f t="shared" si="1120"/>
        <v>80</v>
      </c>
      <c r="CP350" s="229">
        <f t="shared" si="1076"/>
        <v>0</v>
      </c>
      <c r="CQ350" s="229">
        <f t="shared" si="1077"/>
        <v>82.6</v>
      </c>
      <c r="CR350" s="229">
        <f t="shared" si="1078"/>
        <v>33.4</v>
      </c>
      <c r="CS350" s="229">
        <f t="shared" si="1079"/>
        <v>0</v>
      </c>
      <c r="CT350" s="229">
        <f t="shared" si="1080"/>
        <v>0</v>
      </c>
      <c r="CU350" s="229">
        <f t="shared" si="1081"/>
        <v>307.2</v>
      </c>
      <c r="CV350" s="229">
        <f t="shared" si="1082"/>
        <v>0</v>
      </c>
      <c r="CW350" s="229">
        <f t="shared" si="1083"/>
        <v>0</v>
      </c>
      <c r="CX350" s="229">
        <f t="shared" si="1084"/>
        <v>0</v>
      </c>
      <c r="CY350" s="229">
        <f t="shared" si="1085"/>
        <v>0</v>
      </c>
      <c r="CZ350" s="229">
        <f t="shared" si="1086"/>
        <v>0</v>
      </c>
      <c r="DA350" s="229">
        <f t="shared" si="1087"/>
        <v>0</v>
      </c>
      <c r="DB350" s="228">
        <f t="shared" si="1018"/>
        <v>423.2</v>
      </c>
      <c r="DC350" s="229"/>
      <c r="DD350" s="229"/>
      <c r="DE350" s="229"/>
      <c r="DF350" s="229"/>
      <c r="DG350" s="229"/>
      <c r="DH350" s="229"/>
      <c r="DI350" s="229"/>
      <c r="DJ350" s="229"/>
      <c r="DK350" s="229"/>
      <c r="DL350" s="229"/>
      <c r="DM350" s="229"/>
      <c r="DN350" s="229"/>
      <c r="DO350" s="228">
        <f t="shared" si="1029"/>
        <v>0</v>
      </c>
      <c r="DP350" s="228">
        <f t="shared" si="1030"/>
        <v>423.2</v>
      </c>
      <c r="DQ350" s="229">
        <f t="shared" si="1088"/>
        <v>0</v>
      </c>
      <c r="DR350" s="229">
        <f t="shared" si="1089"/>
        <v>0</v>
      </c>
      <c r="DS350" s="229">
        <f t="shared" si="1090"/>
        <v>0</v>
      </c>
      <c r="DT350" s="229">
        <f t="shared" si="1091"/>
        <v>0</v>
      </c>
      <c r="DU350" s="229">
        <f t="shared" si="1092"/>
        <v>0</v>
      </c>
      <c r="DV350" s="229">
        <f t="shared" si="1093"/>
        <v>0</v>
      </c>
      <c r="DW350" s="229">
        <f t="shared" si="1094"/>
        <v>0</v>
      </c>
      <c r="DX350" s="228">
        <f t="shared" si="1019"/>
        <v>0</v>
      </c>
      <c r="DY350" s="229"/>
      <c r="DZ350" s="229"/>
      <c r="EA350" s="229"/>
      <c r="EB350" s="229"/>
      <c r="EC350" s="229"/>
      <c r="ED350" s="229"/>
      <c r="EE350" s="229"/>
      <c r="EF350" s="228">
        <f t="shared" si="1072"/>
        <v>0</v>
      </c>
      <c r="EG350" s="228">
        <f t="shared" si="1031"/>
        <v>0</v>
      </c>
      <c r="EH350" s="229">
        <f t="shared" si="1073"/>
        <v>127.5</v>
      </c>
      <c r="EI350" s="229">
        <v>35.020000000000003</v>
      </c>
      <c r="EJ350" s="228">
        <f t="shared" si="1126"/>
        <v>162.52000000000001</v>
      </c>
      <c r="EK350" s="229"/>
      <c r="EL350" s="229"/>
      <c r="EM350" s="228">
        <f t="shared" si="1065"/>
        <v>0</v>
      </c>
      <c r="EN350" s="229">
        <f t="shared" si="1104"/>
        <v>127.5</v>
      </c>
      <c r="EO350" s="229">
        <f t="shared" si="1121"/>
        <v>35.020000000000003</v>
      </c>
      <c r="EP350" s="228">
        <f t="shared" si="1074"/>
        <v>162.52000000000001</v>
      </c>
      <c r="EQ350" s="173">
        <f t="shared" si="1075"/>
        <v>47.5</v>
      </c>
      <c r="ER350" s="189">
        <v>0</v>
      </c>
      <c r="ES350" s="189">
        <v>82.6</v>
      </c>
      <c r="ET350" s="189">
        <v>33.4</v>
      </c>
      <c r="EU350" s="189">
        <v>0</v>
      </c>
      <c r="EV350" s="189">
        <v>0</v>
      </c>
      <c r="EW350" s="189">
        <v>307.2</v>
      </c>
      <c r="EX350" s="189">
        <v>0</v>
      </c>
      <c r="EY350" s="189">
        <v>0</v>
      </c>
      <c r="EZ350" s="189">
        <v>0</v>
      </c>
      <c r="FA350" s="189">
        <v>0</v>
      </c>
      <c r="FB350" s="189">
        <v>0</v>
      </c>
      <c r="FC350" s="189">
        <v>0</v>
      </c>
      <c r="FD350" s="189">
        <v>0</v>
      </c>
      <c r="FE350" s="189">
        <v>0</v>
      </c>
      <c r="FF350" s="189">
        <v>0</v>
      </c>
      <c r="FG350" s="189">
        <v>0</v>
      </c>
      <c r="FH350" s="189">
        <v>0</v>
      </c>
      <c r="FI350" s="189">
        <v>0</v>
      </c>
      <c r="FJ350" s="189">
        <v>0</v>
      </c>
      <c r="FK350" s="189">
        <v>423.2</v>
      </c>
      <c r="FL350" s="189">
        <v>288</v>
      </c>
      <c r="FN350" s="132">
        <v>127.5</v>
      </c>
    </row>
    <row r="351" spans="1:170" ht="30" customHeight="1">
      <c r="A351" s="88">
        <f>COUNTIF($H$12:H351,H351)</f>
        <v>28</v>
      </c>
      <c r="B351" s="88" t="s">
        <v>2587</v>
      </c>
      <c r="C351" s="88" t="s">
        <v>2048</v>
      </c>
      <c r="D351" s="88"/>
      <c r="E351" s="88"/>
      <c r="F351" s="301" t="s">
        <v>628</v>
      </c>
      <c r="G351" s="89" t="s">
        <v>17</v>
      </c>
      <c r="H351" s="88">
        <v>6</v>
      </c>
      <c r="I351" s="88">
        <v>6</v>
      </c>
      <c r="J351" s="88">
        <v>6</v>
      </c>
      <c r="K351" s="90" t="s">
        <v>1093</v>
      </c>
      <c r="L351" s="90" t="s">
        <v>1093</v>
      </c>
      <c r="M351" s="214"/>
      <c r="N351" s="88" t="s">
        <v>37</v>
      </c>
      <c r="O351" s="216">
        <f>BO351</f>
        <v>2.67</v>
      </c>
      <c r="P351" s="88" t="str">
        <f t="shared" si="1045"/>
        <v>B11_3</v>
      </c>
      <c r="Q351" s="88">
        <f t="shared" si="951"/>
        <v>270</v>
      </c>
      <c r="R351" s="88">
        <f t="shared" si="952"/>
        <v>60</v>
      </c>
      <c r="S351" s="218" t="s">
        <v>1344</v>
      </c>
      <c r="T351" s="88" t="s">
        <v>3095</v>
      </c>
      <c r="U351" s="88">
        <f>IF(RIGHT(T351,1)="K",(VLOOKUP(T351,ma_miengiam!$A$3:$B$80,2,0)*100)/2,VLOOKUP(T351,ma_miengiam!$A$3:$B$80,2,0)*100)</f>
        <v>40</v>
      </c>
      <c r="V351" s="88"/>
      <c r="W351" s="220">
        <f>IF(AND(T351="NTS",V351&gt;0),(Q351-(Q351*V351)/12)*VLOOKUP(T351,ma_miengiam!$A$3:$B$80,2,0)+(Q351-(Q351*(12-V351))/12),IF(AND(RIGHT(T351,1)="K",V351&gt;0),(VLOOKUP(T351,ma_miengiam!$A$3:$B$80,2,0)/2)*(Q351*V351)/12,IF(RIGHT(T351,1)="K",(VLOOKUP(T351,ma_miengiam!$A$3:$B$80,2,0)*Q351)/2,IF(V351&gt;0,VLOOKUP(T351,ma_miengiam!$A$3:$B$80,2,0)*Q351*V351/12,VLOOKUP(T351,ma_miengiam!$A$3:$B$80,2,0)*Q351))))</f>
        <v>108</v>
      </c>
      <c r="X351" s="220">
        <f>IF(T351="NTS",VLOOKUP(T351,ma_miengiam!$A$3:$B$80,2,0)*R351*V351,IF(AND(T351="NTS",V351=0),0,IF(AND(LEFT(T351,1)="K",V351=0),VLOOKUP(T351,ma_miengiam!$A$3:$B$80,2,0)*R351,IF(LEFT(T351,1)="K",(VLOOKUP(T351,ma_miengiam!$A$3:$B$80,2,0)*R351/12)*V351,IF(AND(LEFT(T351,1)="S",V351&gt;0),(R351/12)*V351,IF(AND(LEFT(T351,1)="S",V351=0),R351,IF(T351="DH",VLOOKUP(T351,ma_miengiam!$A$3:$B$80,2,0)*R351,0)))))))</f>
        <v>0</v>
      </c>
      <c r="Y351" s="220">
        <f t="shared" si="1107"/>
        <v>162</v>
      </c>
      <c r="Z351" s="220">
        <f>IF(AND(T351="SĐH",V351&gt;0),(R351/12)*V351-X351,IF(AND(T351="DH",V351&gt;0),(R351*V351/12),IF(AND(T351&lt;&gt;"NTS",V351&gt;0),(R351*V351/12)-X351,IF(AND(T351="NTS",V351&gt;0),R351-X351,R351-X351))))</f>
        <v>60</v>
      </c>
      <c r="AA351" s="220">
        <f t="shared" si="1129"/>
        <v>270</v>
      </c>
      <c r="AB351" s="220">
        <f t="shared" si="1129"/>
        <v>60</v>
      </c>
      <c r="AC351" s="220">
        <f t="shared" ref="AC351:AF352" si="1131">W351</f>
        <v>108</v>
      </c>
      <c r="AD351" s="220">
        <f t="shared" si="1131"/>
        <v>0</v>
      </c>
      <c r="AE351" s="220">
        <f t="shared" si="1131"/>
        <v>162</v>
      </c>
      <c r="AF351" s="220">
        <f t="shared" si="1131"/>
        <v>60</v>
      </c>
      <c r="AG351" s="220">
        <f t="shared" si="1114"/>
        <v>32.5</v>
      </c>
      <c r="AH351" s="220">
        <f t="shared" si="1115"/>
        <v>0</v>
      </c>
      <c r="AI351" s="220">
        <f t="shared" si="1116"/>
        <v>32.5</v>
      </c>
      <c r="AJ351" s="220">
        <f>IF(AG351-Z351&gt;0,0,AG351-Z351)</f>
        <v>-27.5</v>
      </c>
      <c r="AK351" s="216">
        <f t="shared" si="1038"/>
        <v>189.5</v>
      </c>
      <c r="AL351" s="220">
        <f t="shared" si="1020"/>
        <v>453.3</v>
      </c>
      <c r="AM351" s="220">
        <f t="shared" si="1021"/>
        <v>0</v>
      </c>
      <c r="AN351" s="221">
        <f t="shared" si="1022"/>
        <v>453.3</v>
      </c>
      <c r="AO351" s="220">
        <f t="shared" si="1023"/>
        <v>0</v>
      </c>
      <c r="AP351" s="220">
        <f t="shared" si="1024"/>
        <v>0</v>
      </c>
      <c r="AQ351" s="220">
        <f t="shared" si="1025"/>
        <v>0</v>
      </c>
      <c r="AR351" s="220">
        <f t="shared" si="1026"/>
        <v>0</v>
      </c>
      <c r="AS351" s="220">
        <f t="shared" si="1027"/>
        <v>0</v>
      </c>
      <c r="AT351" s="216">
        <f t="shared" si="1028"/>
        <v>453.3</v>
      </c>
      <c r="AU351" s="222">
        <f>AN351-AK351</f>
        <v>263.8</v>
      </c>
      <c r="AV351" s="220"/>
      <c r="AW351" s="220">
        <f t="shared" si="1006"/>
        <v>263.8</v>
      </c>
      <c r="AX351" s="216">
        <f t="shared" si="1046"/>
        <v>0</v>
      </c>
      <c r="AY351" s="220">
        <f t="shared" si="1013"/>
        <v>0</v>
      </c>
      <c r="AZ351" s="220">
        <f t="shared" si="1014"/>
        <v>0</v>
      </c>
      <c r="BA351" s="220">
        <f t="shared" si="1015"/>
        <v>0</v>
      </c>
      <c r="BB351" s="220">
        <f t="shared" si="1016"/>
        <v>0</v>
      </c>
      <c r="BC351" s="220">
        <f t="shared" si="1017"/>
        <v>0</v>
      </c>
      <c r="BD351" s="216">
        <f t="shared" si="988"/>
        <v>0</v>
      </c>
      <c r="BE351" s="220">
        <f t="shared" si="1007"/>
        <v>0</v>
      </c>
      <c r="BF351" s="220">
        <f t="shared" si="1008"/>
        <v>0</v>
      </c>
      <c r="BG351" s="220">
        <f t="shared" si="1009"/>
        <v>0</v>
      </c>
      <c r="BH351" s="220">
        <f t="shared" si="1010"/>
        <v>0</v>
      </c>
      <c r="BI351" s="220">
        <f t="shared" si="1011"/>
        <v>0</v>
      </c>
      <c r="BJ351" s="220" t="s">
        <v>3062</v>
      </c>
      <c r="BK351" s="220"/>
      <c r="BL351" s="223">
        <f t="shared" si="1004"/>
        <v>263.8</v>
      </c>
      <c r="BM351" s="220">
        <v>2.67</v>
      </c>
      <c r="BN351" s="220"/>
      <c r="BO351" s="220">
        <f>ROUND(BM351+(BM351*BN351),2)</f>
        <v>2.67</v>
      </c>
      <c r="BP351" s="220">
        <f>IF(AND(BL351&gt;0,BL351&lt;tiet!$D$1),BL351,IF(BL351&lt;=0,0,IF(BL351&gt;tiet!$C$1,tiet!$C$1)))</f>
        <v>200</v>
      </c>
      <c r="BQ351" s="87">
        <f>VLOOKUP(P351,ma_dinhmuc_moi,4,0)</f>
        <v>60000</v>
      </c>
      <c r="BR351" s="224">
        <f>ROUND(BQ351*BP351,0)</f>
        <v>12000000</v>
      </c>
      <c r="BS351" s="220">
        <f t="shared" si="1068"/>
        <v>63.800000000000011</v>
      </c>
      <c r="BT351" s="224">
        <f>VLOOKUP(N351,ma_dinhmuc!$A$1:$J$31,10,0)</f>
        <v>51000</v>
      </c>
      <c r="BU351" s="224">
        <f>ROUND(IF(BS351&gt;0,VLOOKUP(N351,ma_dinhmuc!$A$1:$J$31,10,0)*BS351,0),0)</f>
        <v>3253800</v>
      </c>
      <c r="BV351" s="224">
        <f>ROUND(BU351+BR351,0)</f>
        <v>15253800</v>
      </c>
      <c r="BW351" s="224"/>
      <c r="BX351" s="224">
        <v>0</v>
      </c>
      <c r="BY351" s="224"/>
      <c r="BZ351" s="224"/>
      <c r="CA351" s="224"/>
      <c r="CB351" s="224"/>
      <c r="CC351" s="225">
        <f>ROUND(IF(BV351+BW351&gt;BX351+BY351+BZ351+CA351+CB351,(BW351+BV351)-(BX351+BY351+BZ351+CA351+CB351+CB351),0),0)</f>
        <v>15253800</v>
      </c>
      <c r="CD351" s="224">
        <f>ROUND(IF(BV351+BW351&lt;BX351+BY351+BZ351+CA351-CB351,(BX351+BY351+BZ351+CA351-CB351)-(BW351+BV351),0),0)</f>
        <v>0</v>
      </c>
      <c r="CE351" s="224"/>
      <c r="CF351" s="226"/>
      <c r="CG351" s="87"/>
      <c r="CH351" s="87">
        <f t="shared" si="1110"/>
        <v>28</v>
      </c>
      <c r="CI351" s="227" t="str">
        <f t="shared" ref="CI351:CK352" si="1132">F351</f>
        <v>Tô Thái</v>
      </c>
      <c r="CJ351" s="227" t="str">
        <f t="shared" si="1132"/>
        <v>Hà</v>
      </c>
      <c r="CK351" s="87">
        <f t="shared" si="1132"/>
        <v>6</v>
      </c>
      <c r="CL351" s="227" t="str">
        <f>L351</f>
        <v>Pháp luật</v>
      </c>
      <c r="CM351" s="87" t="str">
        <f t="shared" si="1012"/>
        <v>CT2</v>
      </c>
      <c r="CN351" s="87">
        <f t="shared" si="1119"/>
        <v>270</v>
      </c>
      <c r="CO351" s="87">
        <f t="shared" si="1120"/>
        <v>60</v>
      </c>
      <c r="CP351" s="229">
        <f t="shared" si="1076"/>
        <v>0</v>
      </c>
      <c r="CQ351" s="229">
        <f t="shared" si="1077"/>
        <v>83.5</v>
      </c>
      <c r="CR351" s="229">
        <f t="shared" si="1078"/>
        <v>33.799999999999997</v>
      </c>
      <c r="CS351" s="229">
        <f t="shared" si="1079"/>
        <v>0</v>
      </c>
      <c r="CT351" s="229">
        <f t="shared" si="1080"/>
        <v>0</v>
      </c>
      <c r="CU351" s="229">
        <f t="shared" si="1081"/>
        <v>336</v>
      </c>
      <c r="CV351" s="229">
        <f t="shared" si="1082"/>
        <v>0</v>
      </c>
      <c r="CW351" s="229">
        <f t="shared" si="1083"/>
        <v>0</v>
      </c>
      <c r="CX351" s="229">
        <f t="shared" si="1084"/>
        <v>0</v>
      </c>
      <c r="CY351" s="229">
        <f t="shared" si="1085"/>
        <v>0</v>
      </c>
      <c r="CZ351" s="229">
        <f t="shared" si="1086"/>
        <v>0</v>
      </c>
      <c r="DA351" s="229">
        <f t="shared" si="1087"/>
        <v>0</v>
      </c>
      <c r="DB351" s="228">
        <f t="shared" si="1018"/>
        <v>453.3</v>
      </c>
      <c r="DC351" s="229"/>
      <c r="DD351" s="229"/>
      <c r="DE351" s="229"/>
      <c r="DF351" s="229"/>
      <c r="DG351" s="229"/>
      <c r="DH351" s="229"/>
      <c r="DI351" s="229"/>
      <c r="DJ351" s="229"/>
      <c r="DK351" s="229"/>
      <c r="DL351" s="229"/>
      <c r="DM351" s="229"/>
      <c r="DN351" s="229"/>
      <c r="DO351" s="228">
        <f t="shared" si="1029"/>
        <v>0</v>
      </c>
      <c r="DP351" s="228">
        <f t="shared" si="1030"/>
        <v>453.3</v>
      </c>
      <c r="DQ351" s="229">
        <f t="shared" si="1088"/>
        <v>0</v>
      </c>
      <c r="DR351" s="229">
        <f t="shared" si="1089"/>
        <v>0</v>
      </c>
      <c r="DS351" s="229">
        <f t="shared" si="1090"/>
        <v>0</v>
      </c>
      <c r="DT351" s="229">
        <f t="shared" si="1091"/>
        <v>0</v>
      </c>
      <c r="DU351" s="229">
        <f t="shared" si="1092"/>
        <v>0</v>
      </c>
      <c r="DV351" s="229">
        <f t="shared" si="1093"/>
        <v>0</v>
      </c>
      <c r="DW351" s="229">
        <f t="shared" si="1094"/>
        <v>0</v>
      </c>
      <c r="DX351" s="228">
        <f t="shared" si="1019"/>
        <v>0</v>
      </c>
      <c r="DY351" s="229"/>
      <c r="DZ351" s="229"/>
      <c r="EA351" s="229"/>
      <c r="EB351" s="229"/>
      <c r="EC351" s="229"/>
      <c r="ED351" s="229"/>
      <c r="EE351" s="229"/>
      <c r="EF351" s="228">
        <f t="shared" si="1072"/>
        <v>0</v>
      </c>
      <c r="EG351" s="228">
        <f t="shared" si="1031"/>
        <v>0</v>
      </c>
      <c r="EH351" s="229">
        <f t="shared" si="1073"/>
        <v>32.5</v>
      </c>
      <c r="EI351" s="229">
        <v>0</v>
      </c>
      <c r="EJ351" s="228">
        <f>SUM(EH351:EI351)</f>
        <v>32.5</v>
      </c>
      <c r="EK351" s="229"/>
      <c r="EL351" s="229"/>
      <c r="EM351" s="228">
        <f>SUM(EK351:EL351)</f>
        <v>0</v>
      </c>
      <c r="EN351" s="229">
        <f t="shared" si="1104"/>
        <v>32.5</v>
      </c>
      <c r="EO351" s="229">
        <f>EI351</f>
        <v>0</v>
      </c>
      <c r="EP351" s="228">
        <f>EM351+EJ351</f>
        <v>32.5</v>
      </c>
      <c r="EQ351" s="173">
        <f t="shared" si="1075"/>
        <v>0</v>
      </c>
      <c r="ER351" s="189">
        <v>0</v>
      </c>
      <c r="ES351" s="189">
        <v>83.5</v>
      </c>
      <c r="ET351" s="189">
        <v>33.799999999999997</v>
      </c>
      <c r="EU351" s="189">
        <v>0</v>
      </c>
      <c r="EV351" s="189">
        <v>0</v>
      </c>
      <c r="EW351" s="189">
        <v>336</v>
      </c>
      <c r="EX351" s="189">
        <v>0</v>
      </c>
      <c r="EY351" s="189">
        <v>0</v>
      </c>
      <c r="EZ351" s="189">
        <v>0</v>
      </c>
      <c r="FA351" s="189">
        <v>0</v>
      </c>
      <c r="FB351" s="189">
        <v>0</v>
      </c>
      <c r="FC351" s="189">
        <v>0</v>
      </c>
      <c r="FD351" s="189">
        <v>0</v>
      </c>
      <c r="FE351" s="189">
        <v>0</v>
      </c>
      <c r="FF351" s="189">
        <v>0</v>
      </c>
      <c r="FG351" s="189">
        <v>0</v>
      </c>
      <c r="FH351" s="189">
        <v>0</v>
      </c>
      <c r="FI351" s="189">
        <v>0</v>
      </c>
      <c r="FJ351" s="189">
        <v>0</v>
      </c>
      <c r="FK351" s="189">
        <v>453.3</v>
      </c>
      <c r="FL351" s="189">
        <v>320</v>
      </c>
      <c r="FN351" s="132">
        <v>32.5</v>
      </c>
    </row>
    <row r="352" spans="1:170" ht="30" customHeight="1">
      <c r="A352" s="88">
        <f>COUNTIF($H$12:H352,H352)</f>
        <v>29</v>
      </c>
      <c r="B352" s="88" t="s">
        <v>2588</v>
      </c>
      <c r="C352" s="88" t="s">
        <v>2049</v>
      </c>
      <c r="D352" s="88"/>
      <c r="E352" s="88"/>
      <c r="F352" s="301" t="s">
        <v>629</v>
      </c>
      <c r="G352" s="89" t="s">
        <v>2086</v>
      </c>
      <c r="H352" s="88">
        <v>6</v>
      </c>
      <c r="I352" s="88">
        <v>6</v>
      </c>
      <c r="J352" s="88">
        <v>6</v>
      </c>
      <c r="K352" s="90" t="s">
        <v>1093</v>
      </c>
      <c r="L352" s="90" t="s">
        <v>1093</v>
      </c>
      <c r="M352" s="214"/>
      <c r="N352" s="88" t="s">
        <v>37</v>
      </c>
      <c r="O352" s="216">
        <f t="shared" si="1128"/>
        <v>2.34</v>
      </c>
      <c r="P352" s="88" t="str">
        <f t="shared" si="1045"/>
        <v>B11_3</v>
      </c>
      <c r="Q352" s="88">
        <f t="shared" si="951"/>
        <v>270</v>
      </c>
      <c r="R352" s="88">
        <f t="shared" si="952"/>
        <v>60</v>
      </c>
      <c r="S352" s="231" t="s">
        <v>2950</v>
      </c>
      <c r="T352" s="214" t="s">
        <v>2961</v>
      </c>
      <c r="U352" s="88">
        <f>IF(RIGHT(T352,1)="K",(VLOOKUP(T352,ma_miengiam!$A$3:$B$80,2,0)*100)/2,VLOOKUP(T352,ma_miengiam!$A$3:$B$80,2,0)*100)</f>
        <v>100</v>
      </c>
      <c r="V352" s="88"/>
      <c r="W352" s="220">
        <f>IF(AND(T352="NTS",V352&gt;0),(Q352-(Q352*V352)/12)*VLOOKUP(T352,ma_miengiam!$A$3:$B$80,2,0)+(Q352-(Q352*(12-V352))/12),IF(AND(RIGHT(T352,1)="K",V352&gt;0),(VLOOKUP(T352,ma_miengiam!$A$3:$B$80,2,0)/2)*(Q352*V352)/12,IF(RIGHT(T352,1)="K",(VLOOKUP(T352,ma_miengiam!$A$3:$B$80,2,0)*Q352)/2,IF(V352&gt;0,VLOOKUP(T352,ma_miengiam!$A$3:$B$80,2,0)*Q352*V352/12,VLOOKUP(T352,ma_miengiam!$A$3:$B$80,2,0)*Q352))))</f>
        <v>270</v>
      </c>
      <c r="X352" s="220">
        <f>IF(T352="NTS",VLOOKUP(T352,ma_miengiam!$A$3:$B$80,2,0)*R352*V352,IF(AND(T352="NTS",V352=0),0,IF(AND(LEFT(T352,1)="K",V352=0),VLOOKUP(T352,ma_miengiam!$A$3:$B$80,2,0)*R352,IF(LEFT(T352,1)="K",(VLOOKUP(T352,ma_miengiam!$A$3:$B$80,2,0)*R352/12)*V352,IF(AND(LEFT(T352,1)="S",V352&gt;0),(R352/12)*V352,IF(AND(LEFT(T352,1)="S",V352=0),R352,IF(T352="DH",VLOOKUP(T352,ma_miengiam!$A$3:$B$80,2,0)*R352,0)))))))</f>
        <v>60</v>
      </c>
      <c r="Y352" s="220">
        <f t="shared" si="1107"/>
        <v>0</v>
      </c>
      <c r="Z352" s="220">
        <f t="shared" ref="Z352:Z359" si="1133">IF(AND(T352="SĐH",V352&gt;0),(R352/12)*V352-X352,IF(AND(T352="DH",V352&gt;0),(R352*V352/12),IF(AND(T352&lt;&gt;"NTS",V352&gt;0),(R352*V352/12)-X352,IF(AND(T352="NTS",V352&gt;0),R352-X352,R352-X352))))</f>
        <v>0</v>
      </c>
      <c r="AA352" s="220">
        <f t="shared" si="1129"/>
        <v>270</v>
      </c>
      <c r="AB352" s="220">
        <f t="shared" si="1129"/>
        <v>60</v>
      </c>
      <c r="AC352" s="220">
        <f t="shared" si="1131"/>
        <v>270</v>
      </c>
      <c r="AD352" s="220">
        <f t="shared" si="1131"/>
        <v>60</v>
      </c>
      <c r="AE352" s="220">
        <f t="shared" si="1131"/>
        <v>0</v>
      </c>
      <c r="AF352" s="220">
        <f t="shared" si="1131"/>
        <v>0</v>
      </c>
      <c r="AG352" s="220">
        <f t="shared" si="1114"/>
        <v>0</v>
      </c>
      <c r="AH352" s="220">
        <f t="shared" si="1115"/>
        <v>0</v>
      </c>
      <c r="AI352" s="220">
        <f t="shared" si="1116"/>
        <v>0</v>
      </c>
      <c r="AJ352" s="220">
        <f t="shared" si="1060"/>
        <v>0</v>
      </c>
      <c r="AK352" s="216">
        <f t="shared" si="1038"/>
        <v>0</v>
      </c>
      <c r="AL352" s="220">
        <f t="shared" si="1020"/>
        <v>0</v>
      </c>
      <c r="AM352" s="220">
        <f t="shared" si="1021"/>
        <v>0</v>
      </c>
      <c r="AN352" s="221">
        <f t="shared" si="1022"/>
        <v>0</v>
      </c>
      <c r="AO352" s="220">
        <f t="shared" si="1023"/>
        <v>0</v>
      </c>
      <c r="AP352" s="220">
        <f t="shared" si="1024"/>
        <v>0</v>
      </c>
      <c r="AQ352" s="220">
        <f t="shared" si="1025"/>
        <v>0</v>
      </c>
      <c r="AR352" s="220">
        <f t="shared" si="1026"/>
        <v>0</v>
      </c>
      <c r="AS352" s="220">
        <f t="shared" si="1027"/>
        <v>0</v>
      </c>
      <c r="AT352" s="216">
        <f t="shared" si="1028"/>
        <v>0</v>
      </c>
      <c r="AU352" s="222">
        <f t="shared" si="1117"/>
        <v>0</v>
      </c>
      <c r="AV352" s="220"/>
      <c r="AW352" s="220">
        <f t="shared" si="1006"/>
        <v>0</v>
      </c>
      <c r="AX352" s="216">
        <f t="shared" si="1046"/>
        <v>0</v>
      </c>
      <c r="AY352" s="220">
        <f t="shared" si="1013"/>
        <v>0</v>
      </c>
      <c r="AZ352" s="220">
        <f t="shared" si="1014"/>
        <v>0</v>
      </c>
      <c r="BA352" s="220">
        <f t="shared" si="1015"/>
        <v>0</v>
      </c>
      <c r="BB352" s="220">
        <f t="shared" si="1016"/>
        <v>0</v>
      </c>
      <c r="BC352" s="220">
        <f t="shared" si="1017"/>
        <v>0</v>
      </c>
      <c r="BD352" s="216">
        <f t="shared" si="988"/>
        <v>0</v>
      </c>
      <c r="BE352" s="220">
        <f t="shared" si="1007"/>
        <v>0</v>
      </c>
      <c r="BF352" s="220">
        <f t="shared" si="1008"/>
        <v>0</v>
      </c>
      <c r="BG352" s="220">
        <f t="shared" si="1009"/>
        <v>0</v>
      </c>
      <c r="BH352" s="220">
        <f t="shared" si="1010"/>
        <v>0</v>
      </c>
      <c r="BI352" s="220">
        <f t="shared" si="1011"/>
        <v>0</v>
      </c>
      <c r="BJ352" s="220" t="s">
        <v>3062</v>
      </c>
      <c r="BK352" s="220"/>
      <c r="BL352" s="223">
        <f t="shared" si="1004"/>
        <v>0</v>
      </c>
      <c r="BM352" s="220">
        <v>2.34</v>
      </c>
      <c r="BN352" s="220"/>
      <c r="BO352" s="220">
        <f t="shared" si="1118"/>
        <v>2.34</v>
      </c>
      <c r="BP352" s="220">
        <f>IF(AND(BL352&gt;0,BL352&lt;tiet!$D$1),BL352,IF(BL352&lt;=0,0,IF(BL352&gt;tiet!$C$1,tiet!$C$1)))</f>
        <v>0</v>
      </c>
      <c r="BQ352" s="87">
        <f t="shared" si="1047"/>
        <v>60000</v>
      </c>
      <c r="BR352" s="224">
        <f t="shared" si="1048"/>
        <v>0</v>
      </c>
      <c r="BS352" s="220">
        <f t="shared" si="1068"/>
        <v>0</v>
      </c>
      <c r="BT352" s="224">
        <f>VLOOKUP(N352,ma_dinhmuc!$A$1:$J$31,10,0)</f>
        <v>51000</v>
      </c>
      <c r="BU352" s="224">
        <f>ROUND(IF(BS352&gt;0,VLOOKUP(N352,ma_dinhmuc!$A$1:$J$31,10,0)*BS352,0),0)</f>
        <v>0</v>
      </c>
      <c r="BV352" s="224">
        <f t="shared" si="1049"/>
        <v>0</v>
      </c>
      <c r="BW352" s="224"/>
      <c r="BX352" s="224">
        <v>0</v>
      </c>
      <c r="BY352" s="224"/>
      <c r="BZ352" s="224"/>
      <c r="CA352" s="224"/>
      <c r="CB352" s="224"/>
      <c r="CC352" s="225">
        <f t="shared" si="1069"/>
        <v>0</v>
      </c>
      <c r="CD352" s="224">
        <f t="shared" si="1070"/>
        <v>0</v>
      </c>
      <c r="CE352" s="224"/>
      <c r="CF352" s="226"/>
      <c r="CG352" s="87"/>
      <c r="CH352" s="87">
        <f t="shared" si="1110"/>
        <v>29</v>
      </c>
      <c r="CI352" s="227" t="str">
        <f t="shared" si="1132"/>
        <v>Phạm Vân</v>
      </c>
      <c r="CJ352" s="227" t="str">
        <f t="shared" si="1132"/>
        <v>Anh</v>
      </c>
      <c r="CK352" s="87">
        <f t="shared" si="1132"/>
        <v>6</v>
      </c>
      <c r="CL352" s="227" t="str">
        <f t="shared" si="1112"/>
        <v>Pháp luật</v>
      </c>
      <c r="CM352" s="87" t="str">
        <f t="shared" si="1012"/>
        <v>CT2</v>
      </c>
      <c r="CN352" s="87">
        <f t="shared" si="1119"/>
        <v>270</v>
      </c>
      <c r="CO352" s="87">
        <f t="shared" si="1120"/>
        <v>60</v>
      </c>
      <c r="CP352" s="229">
        <f t="shared" si="1076"/>
        <v>0</v>
      </c>
      <c r="CQ352" s="229">
        <f t="shared" si="1077"/>
        <v>0</v>
      </c>
      <c r="CR352" s="229">
        <f t="shared" si="1078"/>
        <v>0</v>
      </c>
      <c r="CS352" s="229">
        <f t="shared" si="1079"/>
        <v>0</v>
      </c>
      <c r="CT352" s="229">
        <f t="shared" si="1080"/>
        <v>0</v>
      </c>
      <c r="CU352" s="229">
        <f t="shared" si="1081"/>
        <v>0</v>
      </c>
      <c r="CV352" s="229">
        <f t="shared" si="1082"/>
        <v>0</v>
      </c>
      <c r="CW352" s="229">
        <f t="shared" si="1083"/>
        <v>0</v>
      </c>
      <c r="CX352" s="229">
        <f t="shared" si="1084"/>
        <v>0</v>
      </c>
      <c r="CY352" s="229">
        <f t="shared" si="1085"/>
        <v>0</v>
      </c>
      <c r="CZ352" s="229">
        <f t="shared" si="1086"/>
        <v>0</v>
      </c>
      <c r="DA352" s="229">
        <f t="shared" si="1087"/>
        <v>0</v>
      </c>
      <c r="DB352" s="228">
        <f t="shared" si="1018"/>
        <v>0</v>
      </c>
      <c r="DC352" s="229"/>
      <c r="DD352" s="229"/>
      <c r="DE352" s="229"/>
      <c r="DF352" s="229"/>
      <c r="DG352" s="229"/>
      <c r="DH352" s="229"/>
      <c r="DI352" s="229"/>
      <c r="DJ352" s="229"/>
      <c r="DK352" s="229"/>
      <c r="DL352" s="229"/>
      <c r="DM352" s="229"/>
      <c r="DN352" s="229"/>
      <c r="DO352" s="228">
        <f t="shared" si="1029"/>
        <v>0</v>
      </c>
      <c r="DP352" s="228">
        <f t="shared" si="1030"/>
        <v>0</v>
      </c>
      <c r="DQ352" s="229">
        <f t="shared" si="1088"/>
        <v>0</v>
      </c>
      <c r="DR352" s="229">
        <f t="shared" si="1089"/>
        <v>0</v>
      </c>
      <c r="DS352" s="229">
        <f t="shared" si="1090"/>
        <v>0</v>
      </c>
      <c r="DT352" s="229">
        <f t="shared" si="1091"/>
        <v>0</v>
      </c>
      <c r="DU352" s="229">
        <f t="shared" si="1092"/>
        <v>0</v>
      </c>
      <c r="DV352" s="229">
        <f t="shared" si="1093"/>
        <v>0</v>
      </c>
      <c r="DW352" s="229">
        <f t="shared" si="1094"/>
        <v>0</v>
      </c>
      <c r="DX352" s="228">
        <f t="shared" si="1019"/>
        <v>0</v>
      </c>
      <c r="DY352" s="229"/>
      <c r="DZ352" s="229"/>
      <c r="EA352" s="229"/>
      <c r="EB352" s="229"/>
      <c r="EC352" s="229"/>
      <c r="ED352" s="229"/>
      <c r="EE352" s="229"/>
      <c r="EF352" s="228">
        <f t="shared" si="1072"/>
        <v>0</v>
      </c>
      <c r="EG352" s="228">
        <f t="shared" si="1031"/>
        <v>0</v>
      </c>
      <c r="EH352" s="229">
        <f t="shared" si="1073"/>
        <v>0</v>
      </c>
      <c r="EI352" s="229">
        <v>0</v>
      </c>
      <c r="EJ352" s="228">
        <f t="shared" si="1126"/>
        <v>0</v>
      </c>
      <c r="EK352" s="229"/>
      <c r="EL352" s="229"/>
      <c r="EM352" s="228">
        <f>SUM(EK352:EL352)</f>
        <v>0</v>
      </c>
      <c r="EN352" s="229">
        <f t="shared" si="1104"/>
        <v>0</v>
      </c>
      <c r="EO352" s="229">
        <f t="shared" si="1121"/>
        <v>0</v>
      </c>
      <c r="EP352" s="228">
        <f t="shared" si="1074"/>
        <v>0</v>
      </c>
      <c r="EQ352" s="173">
        <f t="shared" si="1075"/>
        <v>0</v>
      </c>
      <c r="ER352" s="189">
        <v>0</v>
      </c>
      <c r="ES352" s="189">
        <v>0</v>
      </c>
      <c r="ET352" s="189">
        <v>0</v>
      </c>
      <c r="EU352" s="189">
        <v>0</v>
      </c>
      <c r="EV352" s="189">
        <v>0</v>
      </c>
      <c r="EW352" s="189">
        <v>0</v>
      </c>
      <c r="EX352" s="189">
        <v>0</v>
      </c>
      <c r="EY352" s="189">
        <v>0</v>
      </c>
      <c r="EZ352" s="189">
        <v>0</v>
      </c>
      <c r="FA352" s="189">
        <v>0</v>
      </c>
      <c r="FB352" s="189">
        <v>0</v>
      </c>
      <c r="FC352" s="189">
        <v>0</v>
      </c>
      <c r="FD352" s="189">
        <v>0</v>
      </c>
      <c r="FE352" s="189">
        <v>0</v>
      </c>
      <c r="FF352" s="189">
        <v>0</v>
      </c>
      <c r="FG352" s="189">
        <v>0</v>
      </c>
      <c r="FH352" s="189">
        <v>0</v>
      </c>
      <c r="FI352" s="189">
        <v>0</v>
      </c>
      <c r="FJ352" s="189">
        <v>0</v>
      </c>
      <c r="FK352" s="189">
        <v>0</v>
      </c>
      <c r="FL352" s="189">
        <v>0</v>
      </c>
      <c r="FN352" s="132">
        <v>0</v>
      </c>
    </row>
    <row r="353" spans="1:170" ht="45">
      <c r="A353" s="88">
        <f>COUNTIF($H$12:H353,H353)</f>
        <v>30</v>
      </c>
      <c r="B353" s="88" t="s">
        <v>2589</v>
      </c>
      <c r="C353" s="88" t="s">
        <v>2050</v>
      </c>
      <c r="D353" s="88"/>
      <c r="E353" s="88"/>
      <c r="F353" s="301" t="s">
        <v>2209</v>
      </c>
      <c r="G353" s="89" t="s">
        <v>548</v>
      </c>
      <c r="H353" s="88">
        <v>6</v>
      </c>
      <c r="I353" s="88">
        <v>6</v>
      </c>
      <c r="J353" s="88">
        <v>6</v>
      </c>
      <c r="K353" s="90" t="s">
        <v>1094</v>
      </c>
      <c r="L353" s="90" t="s">
        <v>1094</v>
      </c>
      <c r="M353" s="214"/>
      <c r="N353" s="88" t="s">
        <v>1804</v>
      </c>
      <c r="O353" s="216">
        <f t="shared" si="1128"/>
        <v>3.33</v>
      </c>
      <c r="P353" s="88" t="str">
        <f>IF(BO353&lt;3.33,"B1_3",IF(AND(BO353&gt;=3.33,BO353&lt;4.65),"B1_4",IF(AND(BO353&gt;=4.65,BO353&lt;5.42),"B1_5",IF(AND(BO353&gt;=5.42,BO353&lt;6.44),"B1_6",IF(AND(BO353&gt;=6.44,BO353&lt;=6.92),"B1_7","B1_8")))))</f>
        <v>B1_4</v>
      </c>
      <c r="Q353" s="88">
        <f t="shared" si="951"/>
        <v>270</v>
      </c>
      <c r="R353" s="88">
        <f t="shared" si="952"/>
        <v>120</v>
      </c>
      <c r="S353" s="218" t="s">
        <v>2673</v>
      </c>
      <c r="T353" s="88" t="s">
        <v>3094</v>
      </c>
      <c r="U353" s="88">
        <f>IF(RIGHT(T353,1)="K",(VLOOKUP(T353,ma_miengiam!$A$3:$B$80,2,0)*100)/2,VLOOKUP(T353,ma_miengiam!$A$3:$B$80,2,0)*100)</f>
        <v>35</v>
      </c>
      <c r="V353" s="88">
        <v>9</v>
      </c>
      <c r="W353" s="220">
        <f>IF(AND(T353="NTS",V353&gt;0),(Q353-(Q353*V353)/12)*VLOOKUP(T353,ma_miengiam!$A$3:$B$80,2,0)+(Q353-(Q353*(12-V353))/12),IF(AND(RIGHT(T353,1)="K",V353&gt;0),(VLOOKUP(T353,ma_miengiam!$A$3:$B$80,2,0)/2)*(Q353*V353)/12,IF(RIGHT(T353,1)="K",(VLOOKUP(T353,ma_miengiam!$A$3:$B$80,2,0)*Q353)/2,IF(V353&gt;0,VLOOKUP(T353,ma_miengiam!$A$3:$B$80,2,0)*Q353*V353/12,VLOOKUP(T353,ma_miengiam!$A$3:$B$80,2,0)*Q353))))</f>
        <v>70.875</v>
      </c>
      <c r="X353" s="220">
        <f>IF(T353="NTS",VLOOKUP(T353,ma_miengiam!$A$3:$B$80,2,0)*R353*V353,IF(AND(T353="NTS",V353=0),0,IF(AND(LEFT(T353,1)="K",V353=0),VLOOKUP(T353,ma_miengiam!$A$3:$B$80,2,0)*R353,IF(LEFT(T353,1)="K",(VLOOKUP(T353,ma_miengiam!$A$3:$B$80,2,0)*R353/12)*V353,IF(AND(LEFT(T353,1)="S",V353&gt;0),(R353/12)*V353,IF(AND(LEFT(T353,1)="S",V353=0),R353,IF(T353="DH",VLOOKUP(T353,ma_miengiam!$A$3:$B$80,2,0)*R353,0)))))))</f>
        <v>0</v>
      </c>
      <c r="Y353" s="220">
        <f t="shared" si="1107"/>
        <v>131.625</v>
      </c>
      <c r="Z353" s="220">
        <f t="shared" si="1133"/>
        <v>90</v>
      </c>
      <c r="AA353" s="220">
        <f t="shared" ref="AA353:AB356" si="1134">Q353</f>
        <v>270</v>
      </c>
      <c r="AB353" s="220">
        <f t="shared" si="1134"/>
        <v>120</v>
      </c>
      <c r="AC353" s="220">
        <f t="shared" ref="AC353:AF356" si="1135">W353</f>
        <v>70.875</v>
      </c>
      <c r="AD353" s="220">
        <f t="shared" si="1135"/>
        <v>0</v>
      </c>
      <c r="AE353" s="220">
        <f t="shared" si="1135"/>
        <v>131.625</v>
      </c>
      <c r="AF353" s="220">
        <f t="shared" si="1135"/>
        <v>90</v>
      </c>
      <c r="AG353" s="220">
        <f t="shared" ref="AG353:AG367" si="1136">AH353+AI353</f>
        <v>295.02999999999997</v>
      </c>
      <c r="AH353" s="220">
        <f t="shared" ref="AH353:AH367" si="1137">EO353</f>
        <v>172.53</v>
      </c>
      <c r="AI353" s="220">
        <f t="shared" ref="AI353:AI367" si="1138">EN353</f>
        <v>122.5</v>
      </c>
      <c r="AJ353" s="220">
        <f t="shared" si="1060"/>
        <v>0</v>
      </c>
      <c r="AK353" s="216">
        <f t="shared" si="1038"/>
        <v>131.625</v>
      </c>
      <c r="AL353" s="220">
        <f t="shared" si="1020"/>
        <v>0</v>
      </c>
      <c r="AM353" s="220">
        <f t="shared" si="1021"/>
        <v>0</v>
      </c>
      <c r="AN353" s="221">
        <f t="shared" si="1022"/>
        <v>0</v>
      </c>
      <c r="AO353" s="220">
        <f t="shared" si="1023"/>
        <v>0</v>
      </c>
      <c r="AP353" s="220">
        <f t="shared" si="1024"/>
        <v>0</v>
      </c>
      <c r="AQ353" s="220">
        <f t="shared" si="1025"/>
        <v>0</v>
      </c>
      <c r="AR353" s="220">
        <f t="shared" si="1026"/>
        <v>0</v>
      </c>
      <c r="AS353" s="220">
        <f t="shared" si="1027"/>
        <v>0</v>
      </c>
      <c r="AT353" s="216">
        <f t="shared" si="1028"/>
        <v>0</v>
      </c>
      <c r="AU353" s="222">
        <f t="shared" si="1117"/>
        <v>-131.625</v>
      </c>
      <c r="AV353" s="220"/>
      <c r="AW353" s="220">
        <f t="shared" si="1006"/>
        <v>-131.625</v>
      </c>
      <c r="AX353" s="216">
        <f t="shared" si="1046"/>
        <v>-131.625</v>
      </c>
      <c r="AY353" s="220">
        <f t="shared" si="1013"/>
        <v>0</v>
      </c>
      <c r="AZ353" s="220">
        <f t="shared" si="1014"/>
        <v>0</v>
      </c>
      <c r="BA353" s="220">
        <f t="shared" si="1015"/>
        <v>0</v>
      </c>
      <c r="BB353" s="220">
        <f t="shared" si="1016"/>
        <v>0</v>
      </c>
      <c r="BC353" s="220">
        <f t="shared" si="1017"/>
        <v>0</v>
      </c>
      <c r="BD353" s="216">
        <f t="shared" si="988"/>
        <v>0</v>
      </c>
      <c r="BE353" s="220">
        <f t="shared" si="1007"/>
        <v>0</v>
      </c>
      <c r="BF353" s="220">
        <f t="shared" si="1008"/>
        <v>0</v>
      </c>
      <c r="BG353" s="220">
        <f t="shared" si="1009"/>
        <v>0</v>
      </c>
      <c r="BH353" s="220">
        <f t="shared" si="1010"/>
        <v>0</v>
      </c>
      <c r="BI353" s="220">
        <f t="shared" si="1011"/>
        <v>0</v>
      </c>
      <c r="BJ353" s="220" t="s">
        <v>3063</v>
      </c>
      <c r="BK353" s="220"/>
      <c r="BL353" s="223">
        <f t="shared" si="1004"/>
        <v>0</v>
      </c>
      <c r="BM353" s="220">
        <v>3.33</v>
      </c>
      <c r="BN353" s="220"/>
      <c r="BO353" s="220">
        <f t="shared" ref="BO353:BO367" si="1139">ROUND(BM353+(BM353*BN353),2)</f>
        <v>3.33</v>
      </c>
      <c r="BP353" s="220">
        <f>IF(AND(BL353&gt;0,BL353&lt;tiet!$D$1),BL353,IF(BL353&lt;=0,0,IF(BL353&gt;tiet!$C$1,tiet!$C$1)))</f>
        <v>0</v>
      </c>
      <c r="BQ353" s="87">
        <f t="shared" si="1047"/>
        <v>65000</v>
      </c>
      <c r="BR353" s="224">
        <f t="shared" si="1048"/>
        <v>0</v>
      </c>
      <c r="BS353" s="220">
        <f t="shared" si="1068"/>
        <v>0</v>
      </c>
      <c r="BT353" s="224">
        <f>VLOOKUP(N353,ma_dinhmuc!$A$1:$J$31,10,0)</f>
        <v>51000</v>
      </c>
      <c r="BU353" s="224">
        <f>ROUND(IF(BS353&gt;0,VLOOKUP(N353,ma_dinhmuc!$A$1:$J$31,10,0)*BS353,0),0)</f>
        <v>0</v>
      </c>
      <c r="BV353" s="224">
        <f t="shared" si="1049"/>
        <v>0</v>
      </c>
      <c r="BW353" s="224"/>
      <c r="BX353" s="224">
        <v>0</v>
      </c>
      <c r="BY353" s="224"/>
      <c r="BZ353" s="224"/>
      <c r="CA353" s="224"/>
      <c r="CB353" s="224"/>
      <c r="CC353" s="225">
        <f t="shared" si="1069"/>
        <v>0</v>
      </c>
      <c r="CD353" s="224">
        <f t="shared" si="1070"/>
        <v>0</v>
      </c>
      <c r="CE353" s="224"/>
      <c r="CF353" s="226"/>
      <c r="CG353" s="87"/>
      <c r="CH353" s="87">
        <f t="shared" ref="CH353:CH368" si="1140">A353</f>
        <v>30</v>
      </c>
      <c r="CI353" s="227" t="str">
        <f t="shared" ref="CI353:CJ355" si="1141">F353</f>
        <v>Nguyễn Thị Minh</v>
      </c>
      <c r="CJ353" s="227" t="str">
        <f t="shared" si="1141"/>
        <v>Khuê</v>
      </c>
      <c r="CK353" s="87">
        <f t="shared" ref="CK353:CK368" si="1142">H353</f>
        <v>6</v>
      </c>
      <c r="CL353" s="227" t="str">
        <f t="shared" si="1112"/>
        <v>Xã hội học</v>
      </c>
      <c r="CM353" s="87" t="str">
        <f t="shared" si="1012"/>
        <v>CS2</v>
      </c>
      <c r="CN353" s="87">
        <f t="shared" ref="CN353:CO358" si="1143">Q353</f>
        <v>270</v>
      </c>
      <c r="CO353" s="87">
        <f t="shared" si="1143"/>
        <v>120</v>
      </c>
      <c r="CP353" s="229">
        <f t="shared" si="1076"/>
        <v>0</v>
      </c>
      <c r="CQ353" s="229">
        <f t="shared" si="1077"/>
        <v>0</v>
      </c>
      <c r="CR353" s="229">
        <f t="shared" si="1078"/>
        <v>0</v>
      </c>
      <c r="CS353" s="229">
        <f t="shared" si="1079"/>
        <v>0</v>
      </c>
      <c r="CT353" s="229">
        <f t="shared" si="1080"/>
        <v>0</v>
      </c>
      <c r="CU353" s="229">
        <f t="shared" si="1081"/>
        <v>0</v>
      </c>
      <c r="CV353" s="229">
        <f t="shared" si="1082"/>
        <v>0</v>
      </c>
      <c r="CW353" s="229">
        <f t="shared" si="1083"/>
        <v>0</v>
      </c>
      <c r="CX353" s="229">
        <f t="shared" si="1084"/>
        <v>0</v>
      </c>
      <c r="CY353" s="229">
        <f t="shared" si="1085"/>
        <v>0</v>
      </c>
      <c r="CZ353" s="229">
        <f t="shared" si="1086"/>
        <v>0</v>
      </c>
      <c r="DA353" s="229">
        <f t="shared" si="1087"/>
        <v>0</v>
      </c>
      <c r="DB353" s="228">
        <f t="shared" si="1018"/>
        <v>0</v>
      </c>
      <c r="DC353" s="229"/>
      <c r="DD353" s="229"/>
      <c r="DE353" s="229"/>
      <c r="DF353" s="229"/>
      <c r="DG353" s="229"/>
      <c r="DH353" s="229"/>
      <c r="DI353" s="229"/>
      <c r="DJ353" s="229"/>
      <c r="DK353" s="229"/>
      <c r="DL353" s="229"/>
      <c r="DM353" s="229"/>
      <c r="DN353" s="229"/>
      <c r="DO353" s="228">
        <f t="shared" si="1029"/>
        <v>0</v>
      </c>
      <c r="DP353" s="228">
        <f t="shared" si="1030"/>
        <v>0</v>
      </c>
      <c r="DQ353" s="229">
        <f t="shared" si="1088"/>
        <v>0</v>
      </c>
      <c r="DR353" s="229">
        <f t="shared" si="1089"/>
        <v>0</v>
      </c>
      <c r="DS353" s="229">
        <f t="shared" si="1090"/>
        <v>0</v>
      </c>
      <c r="DT353" s="229">
        <f t="shared" si="1091"/>
        <v>0</v>
      </c>
      <c r="DU353" s="229">
        <f t="shared" si="1092"/>
        <v>0</v>
      </c>
      <c r="DV353" s="229">
        <f t="shared" si="1093"/>
        <v>0</v>
      </c>
      <c r="DW353" s="229">
        <f t="shared" si="1094"/>
        <v>0</v>
      </c>
      <c r="DX353" s="228">
        <f t="shared" si="1019"/>
        <v>0</v>
      </c>
      <c r="DY353" s="229"/>
      <c r="DZ353" s="229"/>
      <c r="EA353" s="229"/>
      <c r="EB353" s="229"/>
      <c r="EC353" s="229"/>
      <c r="ED353" s="229"/>
      <c r="EE353" s="229"/>
      <c r="EF353" s="228">
        <f t="shared" si="1072"/>
        <v>0</v>
      </c>
      <c r="EG353" s="228">
        <f t="shared" si="1031"/>
        <v>0</v>
      </c>
      <c r="EH353" s="229">
        <f t="shared" si="1073"/>
        <v>122.5</v>
      </c>
      <c r="EI353" s="229">
        <v>172.53</v>
      </c>
      <c r="EJ353" s="228">
        <f t="shared" si="1126"/>
        <v>295.02999999999997</v>
      </c>
      <c r="EK353" s="229"/>
      <c r="EL353" s="229"/>
      <c r="EM353" s="228">
        <f t="shared" si="1065"/>
        <v>0</v>
      </c>
      <c r="EN353" s="229">
        <f t="shared" si="1104"/>
        <v>122.5</v>
      </c>
      <c r="EO353" s="229">
        <f t="shared" si="1121"/>
        <v>172.53</v>
      </c>
      <c r="EP353" s="228">
        <f t="shared" si="1074"/>
        <v>295.02999999999997</v>
      </c>
      <c r="EQ353" s="173">
        <f t="shared" si="1075"/>
        <v>32.5</v>
      </c>
      <c r="ER353" s="189">
        <v>0</v>
      </c>
      <c r="ES353" s="189">
        <v>0</v>
      </c>
      <c r="ET353" s="189">
        <v>0</v>
      </c>
      <c r="EU353" s="189">
        <v>0</v>
      </c>
      <c r="EV353" s="189">
        <v>0</v>
      </c>
      <c r="EW353" s="189">
        <v>0</v>
      </c>
      <c r="EX353" s="189">
        <v>0</v>
      </c>
      <c r="EY353" s="189">
        <v>0</v>
      </c>
      <c r="EZ353" s="189">
        <v>0</v>
      </c>
      <c r="FA353" s="189">
        <v>0</v>
      </c>
      <c r="FB353" s="189">
        <v>0</v>
      </c>
      <c r="FC353" s="189">
        <v>0</v>
      </c>
      <c r="FD353" s="189">
        <v>0</v>
      </c>
      <c r="FE353" s="189">
        <v>0</v>
      </c>
      <c r="FF353" s="189">
        <v>0</v>
      </c>
      <c r="FG353" s="189">
        <v>0</v>
      </c>
      <c r="FH353" s="189">
        <v>0</v>
      </c>
      <c r="FI353" s="189">
        <v>0</v>
      </c>
      <c r="FJ353" s="189">
        <v>0</v>
      </c>
      <c r="FK353" s="189">
        <v>0</v>
      </c>
      <c r="FL353" s="189">
        <v>0</v>
      </c>
      <c r="FN353" s="132">
        <v>122.5</v>
      </c>
    </row>
    <row r="354" spans="1:170" ht="30" customHeight="1">
      <c r="A354" s="88">
        <f>COUNTIF($H$12:H354,H354)</f>
        <v>31</v>
      </c>
      <c r="B354" s="88" t="s">
        <v>2590</v>
      </c>
      <c r="C354" s="88" t="s">
        <v>2051</v>
      </c>
      <c r="D354" s="88"/>
      <c r="E354" s="88"/>
      <c r="F354" s="301" t="s">
        <v>1187</v>
      </c>
      <c r="G354" s="303" t="s">
        <v>1649</v>
      </c>
      <c r="H354" s="88">
        <v>6</v>
      </c>
      <c r="I354" s="88">
        <v>6</v>
      </c>
      <c r="J354" s="88">
        <v>6</v>
      </c>
      <c r="K354" s="90" t="s">
        <v>1094</v>
      </c>
      <c r="L354" s="90" t="s">
        <v>1094</v>
      </c>
      <c r="M354" s="214"/>
      <c r="N354" s="88" t="s">
        <v>1804</v>
      </c>
      <c r="O354" s="216">
        <f t="shared" si="1128"/>
        <v>3.66</v>
      </c>
      <c r="P354" s="88" t="str">
        <f t="shared" ref="P354:P370" si="1144">IF(BO354&lt;3.33,"B1_3",IF(AND(BO354&gt;=3.33,BO354&lt;4.65),"B1_4",IF(AND(BO354&gt;=4.65,BO354&lt;5.42),"B1_5",IF(AND(BO354&gt;=5.42,BO354&lt;6.44),"B1_6",IF(AND(BO354&gt;=6.44,BO354&lt;=6.92),"B1_7","B1_8")))))</f>
        <v>B1_4</v>
      </c>
      <c r="Q354" s="88">
        <f t="shared" si="951"/>
        <v>270</v>
      </c>
      <c r="R354" s="88">
        <f t="shared" si="952"/>
        <v>120</v>
      </c>
      <c r="S354" s="233" t="s">
        <v>3184</v>
      </c>
      <c r="T354" s="88" t="s">
        <v>1326</v>
      </c>
      <c r="U354" s="88">
        <f>IF(RIGHT(T354,1)="K",(VLOOKUP(T354,ma_miengiam!$A$3:$B$80,2,0)*100)/2,VLOOKUP(T354,ma_miengiam!$A$3:$B$80,2,0)*100)</f>
        <v>65</v>
      </c>
      <c r="V354" s="88"/>
      <c r="W354" s="220">
        <f>IF(AND(T354="NTS",V354&gt;0),(Q354-(Q354*V354)/12)*VLOOKUP(T354,ma_miengiam!$A$3:$B$80,2,0)+(Q354-(Q354*(12-V354))/12),IF(AND(RIGHT(T354,1)="K",V354&gt;0),(VLOOKUP(T354,ma_miengiam!$A$3:$B$80,2,0)/2)*(Q354*V354)/12,IF(RIGHT(T354,1)="K",(VLOOKUP(T354,ma_miengiam!$A$3:$B$80,2,0)*Q354)/2,IF(V354&gt;0,VLOOKUP(T354,ma_miengiam!$A$3:$B$80,2,0)*Q354*V354/12,VLOOKUP(T354,ma_miengiam!$A$3:$B$80,2,0)*Q354))))</f>
        <v>175.5</v>
      </c>
      <c r="X354" s="220">
        <f>IF(T354="NTS",VLOOKUP(T354,ma_miengiam!$A$3:$B$80,2,0)*R354*V354,IF(AND(T354="NTS",V354=0),0,IF(AND(LEFT(T354,1)="K",V354=0),VLOOKUP(T354,ma_miengiam!$A$3:$B$80,2,0)*R354,IF(LEFT(T354,1)="K",(VLOOKUP(T354,ma_miengiam!$A$3:$B$80,2,0)*R354/12)*V354,IF(AND(LEFT(T354,1)="S",V354&gt;0),(R354/12)*V354,IF(AND(LEFT(T354,1)="S",V354=0),R354,IF(T354="DH",VLOOKUP(T354,ma_miengiam!$A$3:$B$80,2,0)*R354,0)))))))</f>
        <v>120</v>
      </c>
      <c r="Y354" s="220">
        <f t="shared" si="1107"/>
        <v>94.5</v>
      </c>
      <c r="Z354" s="220">
        <f t="shared" si="1133"/>
        <v>0</v>
      </c>
      <c r="AA354" s="220">
        <f t="shared" si="1134"/>
        <v>270</v>
      </c>
      <c r="AB354" s="220">
        <f t="shared" si="1134"/>
        <v>120</v>
      </c>
      <c r="AC354" s="220">
        <f t="shared" si="1135"/>
        <v>175.5</v>
      </c>
      <c r="AD354" s="220">
        <f t="shared" si="1135"/>
        <v>120</v>
      </c>
      <c r="AE354" s="220">
        <f t="shared" si="1135"/>
        <v>94.5</v>
      </c>
      <c r="AF354" s="220">
        <f t="shared" si="1135"/>
        <v>0</v>
      </c>
      <c r="AG354" s="220">
        <f t="shared" si="1136"/>
        <v>247.53</v>
      </c>
      <c r="AH354" s="220">
        <f t="shared" si="1137"/>
        <v>172.53</v>
      </c>
      <c r="AI354" s="220">
        <f t="shared" si="1138"/>
        <v>75</v>
      </c>
      <c r="AJ354" s="220">
        <f t="shared" si="1060"/>
        <v>0</v>
      </c>
      <c r="AK354" s="216">
        <f t="shared" si="1038"/>
        <v>94.5</v>
      </c>
      <c r="AL354" s="220">
        <f t="shared" si="1020"/>
        <v>96.600000000000009</v>
      </c>
      <c r="AM354" s="220">
        <f t="shared" si="1021"/>
        <v>0</v>
      </c>
      <c r="AN354" s="216">
        <f t="shared" si="1022"/>
        <v>96.600000000000009</v>
      </c>
      <c r="AO354" s="220">
        <f t="shared" si="1023"/>
        <v>0</v>
      </c>
      <c r="AP354" s="220">
        <f t="shared" si="1024"/>
        <v>0</v>
      </c>
      <c r="AQ354" s="220">
        <f t="shared" si="1025"/>
        <v>60</v>
      </c>
      <c r="AR354" s="220">
        <f t="shared" si="1026"/>
        <v>0</v>
      </c>
      <c r="AS354" s="220">
        <f t="shared" si="1027"/>
        <v>0</v>
      </c>
      <c r="AT354" s="216">
        <f t="shared" si="1028"/>
        <v>156.60000000000002</v>
      </c>
      <c r="AU354" s="220">
        <f t="shared" si="1117"/>
        <v>2.1000000000000085</v>
      </c>
      <c r="AV354" s="220"/>
      <c r="AW354" s="220">
        <f t="shared" si="1006"/>
        <v>2.1000000000000085</v>
      </c>
      <c r="AX354" s="216">
        <f t="shared" si="1046"/>
        <v>0</v>
      </c>
      <c r="AY354" s="220">
        <f t="shared" si="1013"/>
        <v>0</v>
      </c>
      <c r="AZ354" s="220">
        <f t="shared" si="1014"/>
        <v>0</v>
      </c>
      <c r="BA354" s="220">
        <f t="shared" si="1015"/>
        <v>60</v>
      </c>
      <c r="BB354" s="220">
        <f t="shared" si="1016"/>
        <v>0</v>
      </c>
      <c r="BC354" s="220">
        <f t="shared" si="1017"/>
        <v>0</v>
      </c>
      <c r="BD354" s="216">
        <f t="shared" si="988"/>
        <v>60</v>
      </c>
      <c r="BE354" s="220">
        <f t="shared" si="1007"/>
        <v>0</v>
      </c>
      <c r="BF354" s="220">
        <f t="shared" si="1008"/>
        <v>0</v>
      </c>
      <c r="BG354" s="220">
        <f t="shared" si="1009"/>
        <v>0</v>
      </c>
      <c r="BH354" s="220">
        <f t="shared" si="1010"/>
        <v>0</v>
      </c>
      <c r="BI354" s="220">
        <f t="shared" si="1011"/>
        <v>0</v>
      </c>
      <c r="BJ354" s="220" t="s">
        <v>3063</v>
      </c>
      <c r="BK354" s="220"/>
      <c r="BL354" s="223">
        <f t="shared" si="1004"/>
        <v>2.1000000000000085</v>
      </c>
      <c r="BM354" s="220">
        <v>3.66</v>
      </c>
      <c r="BN354" s="220"/>
      <c r="BO354" s="220">
        <f t="shared" si="1139"/>
        <v>3.66</v>
      </c>
      <c r="BP354" s="220">
        <f>IF(AND(BL354&gt;0,BL354&lt;tiet!$D$1),BL354,IF(BL354&lt;=0,0,IF(BL354&gt;tiet!$C$1,tiet!$C$1)))</f>
        <v>2.1000000000000085</v>
      </c>
      <c r="BQ354" s="87">
        <f t="shared" si="1047"/>
        <v>65000</v>
      </c>
      <c r="BR354" s="224">
        <f t="shared" si="1048"/>
        <v>136500</v>
      </c>
      <c r="BS354" s="220">
        <f t="shared" si="1068"/>
        <v>0</v>
      </c>
      <c r="BT354" s="224">
        <f>VLOOKUP(N354,ma_dinhmuc!$A$1:$J$31,10,0)</f>
        <v>51000</v>
      </c>
      <c r="BU354" s="224">
        <f>ROUND(IF(BS354&gt;0,VLOOKUP(N354,ma_dinhmuc!$A$1:$J$31,10,0)*BS354,0),0)</f>
        <v>0</v>
      </c>
      <c r="BV354" s="224">
        <f t="shared" si="1049"/>
        <v>136500</v>
      </c>
      <c r="BW354" s="224"/>
      <c r="BX354" s="224">
        <v>0</v>
      </c>
      <c r="BY354" s="224"/>
      <c r="BZ354" s="224"/>
      <c r="CA354" s="224"/>
      <c r="CB354" s="224"/>
      <c r="CC354" s="225">
        <f t="shared" si="1069"/>
        <v>136500</v>
      </c>
      <c r="CD354" s="224">
        <f t="shared" si="1070"/>
        <v>0</v>
      </c>
      <c r="CE354" s="224"/>
      <c r="CF354" s="226"/>
      <c r="CG354" s="87"/>
      <c r="CH354" s="87">
        <f t="shared" si="1140"/>
        <v>31</v>
      </c>
      <c r="CI354" s="227" t="str">
        <f t="shared" si="1141"/>
        <v>Nguyễn Thị Lập</v>
      </c>
      <c r="CJ354" s="227" t="str">
        <f t="shared" si="1141"/>
        <v>Thu</v>
      </c>
      <c r="CK354" s="87">
        <f t="shared" si="1142"/>
        <v>6</v>
      </c>
      <c r="CL354" s="227" t="str">
        <f t="shared" si="1112"/>
        <v>Xã hội học</v>
      </c>
      <c r="CM354" s="87" t="str">
        <f t="shared" si="1012"/>
        <v>CS2</v>
      </c>
      <c r="CN354" s="87">
        <f t="shared" si="1143"/>
        <v>270</v>
      </c>
      <c r="CO354" s="87">
        <f t="shared" si="1143"/>
        <v>120</v>
      </c>
      <c r="CP354" s="229">
        <f t="shared" si="1076"/>
        <v>0</v>
      </c>
      <c r="CQ354" s="229">
        <f t="shared" si="1077"/>
        <v>16.899999999999999</v>
      </c>
      <c r="CR354" s="229">
        <f t="shared" si="1078"/>
        <v>6.8</v>
      </c>
      <c r="CS354" s="229">
        <f t="shared" si="1079"/>
        <v>0</v>
      </c>
      <c r="CT354" s="229">
        <f t="shared" si="1080"/>
        <v>0</v>
      </c>
      <c r="CU354" s="229">
        <f t="shared" si="1081"/>
        <v>72.900000000000006</v>
      </c>
      <c r="CV354" s="229">
        <f t="shared" si="1082"/>
        <v>0</v>
      </c>
      <c r="CW354" s="229">
        <f t="shared" si="1083"/>
        <v>0</v>
      </c>
      <c r="CX354" s="229">
        <f t="shared" si="1084"/>
        <v>0</v>
      </c>
      <c r="CY354" s="229">
        <f t="shared" si="1085"/>
        <v>0</v>
      </c>
      <c r="CZ354" s="229">
        <f t="shared" si="1086"/>
        <v>0</v>
      </c>
      <c r="DA354" s="229">
        <f t="shared" si="1087"/>
        <v>60</v>
      </c>
      <c r="DB354" s="228">
        <f t="shared" si="1018"/>
        <v>156.60000000000002</v>
      </c>
      <c r="DC354" s="229"/>
      <c r="DD354" s="229"/>
      <c r="DE354" s="229"/>
      <c r="DF354" s="229"/>
      <c r="DG354" s="229"/>
      <c r="DH354" s="229"/>
      <c r="DI354" s="229"/>
      <c r="DJ354" s="229"/>
      <c r="DK354" s="229"/>
      <c r="DL354" s="229"/>
      <c r="DM354" s="229"/>
      <c r="DN354" s="229"/>
      <c r="DO354" s="228">
        <f t="shared" si="1029"/>
        <v>0</v>
      </c>
      <c r="DP354" s="228">
        <f t="shared" si="1030"/>
        <v>156.60000000000002</v>
      </c>
      <c r="DQ354" s="229">
        <f t="shared" si="1088"/>
        <v>0</v>
      </c>
      <c r="DR354" s="229">
        <f t="shared" si="1089"/>
        <v>0</v>
      </c>
      <c r="DS354" s="229">
        <f t="shared" si="1090"/>
        <v>0</v>
      </c>
      <c r="DT354" s="229">
        <f t="shared" si="1091"/>
        <v>0</v>
      </c>
      <c r="DU354" s="229">
        <f t="shared" si="1092"/>
        <v>0</v>
      </c>
      <c r="DV354" s="229">
        <f t="shared" si="1093"/>
        <v>0</v>
      </c>
      <c r="DW354" s="229">
        <f t="shared" si="1094"/>
        <v>0</v>
      </c>
      <c r="DX354" s="228">
        <f t="shared" si="1019"/>
        <v>0</v>
      </c>
      <c r="DY354" s="229"/>
      <c r="DZ354" s="229"/>
      <c r="EA354" s="229"/>
      <c r="EB354" s="229"/>
      <c r="EC354" s="229"/>
      <c r="ED354" s="229"/>
      <c r="EE354" s="229"/>
      <c r="EF354" s="228">
        <f t="shared" si="1072"/>
        <v>0</v>
      </c>
      <c r="EG354" s="228">
        <f t="shared" si="1031"/>
        <v>0</v>
      </c>
      <c r="EH354" s="229">
        <f t="shared" si="1073"/>
        <v>75</v>
      </c>
      <c r="EI354" s="229">
        <v>172.53</v>
      </c>
      <c r="EJ354" s="228">
        <f t="shared" si="1126"/>
        <v>247.53</v>
      </c>
      <c r="EK354" s="229"/>
      <c r="EL354" s="229"/>
      <c r="EM354" s="228">
        <f t="shared" si="1065"/>
        <v>0</v>
      </c>
      <c r="EN354" s="229">
        <f t="shared" si="1104"/>
        <v>75</v>
      </c>
      <c r="EO354" s="229">
        <f t="shared" si="1121"/>
        <v>172.53</v>
      </c>
      <c r="EP354" s="228">
        <f t="shared" si="1074"/>
        <v>247.53</v>
      </c>
      <c r="EQ354" s="173">
        <f t="shared" si="1075"/>
        <v>75</v>
      </c>
      <c r="ER354" s="189">
        <v>0</v>
      </c>
      <c r="ES354" s="189">
        <v>16.899999999999999</v>
      </c>
      <c r="ET354" s="189">
        <v>6.8</v>
      </c>
      <c r="EU354" s="189">
        <v>0</v>
      </c>
      <c r="EV354" s="189">
        <v>0</v>
      </c>
      <c r="EW354" s="189">
        <v>72.900000000000006</v>
      </c>
      <c r="EX354" s="189">
        <v>0</v>
      </c>
      <c r="EY354" s="189">
        <v>0</v>
      </c>
      <c r="EZ354" s="189">
        <v>0</v>
      </c>
      <c r="FA354" s="189">
        <v>0</v>
      </c>
      <c r="FB354" s="189">
        <v>0</v>
      </c>
      <c r="FC354" s="189">
        <v>60</v>
      </c>
      <c r="FD354" s="189">
        <v>0</v>
      </c>
      <c r="FE354" s="189">
        <v>0</v>
      </c>
      <c r="FF354" s="189">
        <v>0</v>
      </c>
      <c r="FG354" s="189">
        <v>0</v>
      </c>
      <c r="FH354" s="189">
        <v>0</v>
      </c>
      <c r="FI354" s="189">
        <v>0</v>
      </c>
      <c r="FJ354" s="189">
        <v>0</v>
      </c>
      <c r="FK354" s="189">
        <v>156.6</v>
      </c>
      <c r="FL354" s="189">
        <v>124</v>
      </c>
      <c r="FN354" s="132">
        <v>75</v>
      </c>
    </row>
    <row r="355" spans="1:170" ht="30" customHeight="1">
      <c r="A355" s="88">
        <f>COUNTIF($H$12:H355,H355)</f>
        <v>32</v>
      </c>
      <c r="B355" s="88" t="s">
        <v>741</v>
      </c>
      <c r="C355" s="88" t="s">
        <v>2052</v>
      </c>
      <c r="D355" s="88"/>
      <c r="E355" s="88"/>
      <c r="F355" s="301" t="s">
        <v>2912</v>
      </c>
      <c r="G355" s="89" t="s">
        <v>17</v>
      </c>
      <c r="H355" s="88">
        <v>6</v>
      </c>
      <c r="I355" s="88">
        <v>6</v>
      </c>
      <c r="J355" s="88">
        <v>6</v>
      </c>
      <c r="K355" s="90" t="s">
        <v>1094</v>
      </c>
      <c r="L355" s="90" t="s">
        <v>1094</v>
      </c>
      <c r="M355" s="214"/>
      <c r="N355" s="88" t="s">
        <v>1804</v>
      </c>
      <c r="O355" s="216">
        <f t="shared" si="1128"/>
        <v>3.99</v>
      </c>
      <c r="P355" s="88" t="str">
        <f t="shared" si="1144"/>
        <v>B1_4</v>
      </c>
      <c r="Q355" s="88">
        <f t="shared" si="951"/>
        <v>270</v>
      </c>
      <c r="R355" s="88">
        <f t="shared" si="952"/>
        <v>120</v>
      </c>
      <c r="S355" s="234" t="s">
        <v>351</v>
      </c>
      <c r="T355" s="88" t="s">
        <v>3091</v>
      </c>
      <c r="U355" s="88">
        <f>IF(RIGHT(T355,1)="K",(VLOOKUP(T355,ma_miengiam!$A$3:$B$80,2,0)*100)/2,VLOOKUP(T355,ma_miengiam!$A$3:$B$80,2,0)*100)</f>
        <v>20</v>
      </c>
      <c r="V355" s="88"/>
      <c r="W355" s="220">
        <f>IF(AND(T355="NTS",V355&gt;0),(Q355-(Q355*V355)/12)*VLOOKUP(T355,ma_miengiam!$A$3:$B$80,2,0)+(Q355-(Q355*(12-V355))/12),IF(AND(RIGHT(T355,1)="K",V355&gt;0),(VLOOKUP(T355,ma_miengiam!$A$3:$B$80,2,0)/2)*(Q355*V355)/12,IF(RIGHT(T355,1)="K",(VLOOKUP(T355,ma_miengiam!$A$3:$B$80,2,0)*Q355)/2,IF(V355&gt;0,VLOOKUP(T355,ma_miengiam!$A$3:$B$80,2,0)*Q355*V355/12,VLOOKUP(T355,ma_miengiam!$A$3:$B$80,2,0)*Q355))))</f>
        <v>54</v>
      </c>
      <c r="X355" s="220">
        <f>IF(T355="NTS",VLOOKUP(T355,ma_miengiam!$A$3:$B$80,2,0)*R355*V355,IF(AND(T355="NTS",V355=0),0,IF(AND(LEFT(T355,1)="K",V355=0),VLOOKUP(T355,ma_miengiam!$A$3:$B$80,2,0)*R355,IF(LEFT(T355,1)="K",(VLOOKUP(T355,ma_miengiam!$A$3:$B$80,2,0)*R355/12)*V355,IF(AND(LEFT(T355,1)="S",V355&gt;0),(R355/12)*V355,IF(AND(LEFT(T355,1)="S",V355=0),R355,IF(T355="DH",VLOOKUP(T355,ma_miengiam!$A$3:$B$80,2,0)*R355,0)))))))</f>
        <v>0</v>
      </c>
      <c r="Y355" s="220">
        <f t="shared" si="1107"/>
        <v>216</v>
      </c>
      <c r="Z355" s="220">
        <f>IF(AND(T355="SĐH",V355&gt;0),(R355/12)*V355-X355,IF(AND(T355="DH",V355&gt;0),(R355*V355/12),IF(AND(T355&lt;&gt;"NTS",V355&gt;0),(R355*V355/12)-X355,IF(AND(T355="NTS",V355&gt;0),R355-X355,R355-X355))))</f>
        <v>120</v>
      </c>
      <c r="AA355" s="220">
        <f>Q355</f>
        <v>270</v>
      </c>
      <c r="AB355" s="220">
        <f>R355</f>
        <v>120</v>
      </c>
      <c r="AC355" s="220">
        <f>W355</f>
        <v>54</v>
      </c>
      <c r="AD355" s="220">
        <f>X355</f>
        <v>0</v>
      </c>
      <c r="AE355" s="220">
        <f>Y355</f>
        <v>216</v>
      </c>
      <c r="AF355" s="220">
        <f>Z355</f>
        <v>120</v>
      </c>
      <c r="AG355" s="220">
        <f>AH355+AI355</f>
        <v>226.67000000000002</v>
      </c>
      <c r="AH355" s="220">
        <f>EO355</f>
        <v>29.17</v>
      </c>
      <c r="AI355" s="220">
        <f>EN355</f>
        <v>197.5</v>
      </c>
      <c r="AJ355" s="220">
        <f>IF(AG355-Z355&gt;0,0,AG355-Z355)</f>
        <v>0</v>
      </c>
      <c r="AK355" s="216">
        <f t="shared" si="1038"/>
        <v>216</v>
      </c>
      <c r="AL355" s="220">
        <f t="shared" si="1020"/>
        <v>199.3</v>
      </c>
      <c r="AM355" s="220">
        <f t="shared" si="1021"/>
        <v>0</v>
      </c>
      <c r="AN355" s="221">
        <f t="shared" si="1022"/>
        <v>199.3</v>
      </c>
      <c r="AO355" s="220">
        <f t="shared" si="1023"/>
        <v>0</v>
      </c>
      <c r="AP355" s="220">
        <f t="shared" si="1024"/>
        <v>0</v>
      </c>
      <c r="AQ355" s="220">
        <f t="shared" si="1025"/>
        <v>100</v>
      </c>
      <c r="AR355" s="220">
        <f t="shared" si="1026"/>
        <v>0</v>
      </c>
      <c r="AS355" s="220">
        <f t="shared" si="1027"/>
        <v>0</v>
      </c>
      <c r="AT355" s="216">
        <f t="shared" si="1028"/>
        <v>299.3</v>
      </c>
      <c r="AU355" s="222">
        <f t="shared" si="1117"/>
        <v>-16.699999999999989</v>
      </c>
      <c r="AV355" s="220"/>
      <c r="AW355" s="220">
        <f t="shared" si="1006"/>
        <v>-16.699999999999989</v>
      </c>
      <c r="AX355" s="216">
        <f t="shared" si="1046"/>
        <v>-16.699999999999989</v>
      </c>
      <c r="AY355" s="220">
        <f t="shared" si="1013"/>
        <v>0</v>
      </c>
      <c r="AZ355" s="220">
        <f t="shared" si="1014"/>
        <v>0</v>
      </c>
      <c r="BA355" s="220">
        <f t="shared" si="1015"/>
        <v>83.300000000000011</v>
      </c>
      <c r="BB355" s="220">
        <f t="shared" si="1016"/>
        <v>0</v>
      </c>
      <c r="BC355" s="220">
        <f t="shared" si="1017"/>
        <v>0</v>
      </c>
      <c r="BD355" s="216">
        <f t="shared" si="988"/>
        <v>83.300000000000011</v>
      </c>
      <c r="BE355" s="220">
        <f t="shared" si="1007"/>
        <v>0</v>
      </c>
      <c r="BF355" s="220">
        <f t="shared" si="1008"/>
        <v>0</v>
      </c>
      <c r="BG355" s="220">
        <f t="shared" si="1009"/>
        <v>-16.699999999999989</v>
      </c>
      <c r="BH355" s="220">
        <f t="shared" si="1010"/>
        <v>0</v>
      </c>
      <c r="BI355" s="220">
        <f t="shared" si="1011"/>
        <v>0</v>
      </c>
      <c r="BJ355" s="220" t="s">
        <v>3063</v>
      </c>
      <c r="BK355" s="220"/>
      <c r="BL355" s="223">
        <f t="shared" si="1004"/>
        <v>0</v>
      </c>
      <c r="BM355" s="220">
        <v>3.99</v>
      </c>
      <c r="BN355" s="220"/>
      <c r="BO355" s="220">
        <f>ROUND(BM355+(BM355*BN355),2)</f>
        <v>3.99</v>
      </c>
      <c r="BP355" s="220">
        <f>IF(AND(BL355&gt;0,BL355&lt;tiet!$D$1),BL355,IF(BL355&lt;=0,0,IF(BL355&gt;tiet!$C$1,tiet!$C$1)))</f>
        <v>0</v>
      </c>
      <c r="BQ355" s="87">
        <f>VLOOKUP(P355,ma_dinhmuc_moi,4,0)</f>
        <v>65000</v>
      </c>
      <c r="BR355" s="224">
        <f>ROUND(BQ355*BP355,0)</f>
        <v>0</v>
      </c>
      <c r="BS355" s="220">
        <f t="shared" si="1068"/>
        <v>0</v>
      </c>
      <c r="BT355" s="224">
        <f>VLOOKUP(N355,ma_dinhmuc!$A$1:$J$31,10,0)</f>
        <v>51000</v>
      </c>
      <c r="BU355" s="224">
        <f>ROUND(IF(BS355&gt;0,VLOOKUP(N355,ma_dinhmuc!$A$1:$J$31,10,0)*BS355,0),0)</f>
        <v>0</v>
      </c>
      <c r="BV355" s="224">
        <f>ROUND(BU355+BR355,0)</f>
        <v>0</v>
      </c>
      <c r="BW355" s="224"/>
      <c r="BX355" s="224">
        <v>0</v>
      </c>
      <c r="BY355" s="224"/>
      <c r="BZ355" s="224"/>
      <c r="CA355" s="224"/>
      <c r="CB355" s="224"/>
      <c r="CC355" s="225">
        <f>ROUND(IF(BV355+BW355&gt;BX355+BY355+BZ355+CA355+CB355,(BW355+BV355)-(BX355+BY355+BZ355+CA355+CB355+CB355),0),0)</f>
        <v>0</v>
      </c>
      <c r="CD355" s="224">
        <f>ROUND(IF(BV355+BW355&lt;BX355+BY355+BZ355+CA355-CB355,(BX355+BY355+BZ355+CA355-CB355)-(BW355+BV355),0),0)</f>
        <v>0</v>
      </c>
      <c r="CE355" s="224"/>
      <c r="CF355" s="226"/>
      <c r="CG355" s="87"/>
      <c r="CH355" s="87">
        <f>A355</f>
        <v>32</v>
      </c>
      <c r="CI355" s="227" t="str">
        <f t="shared" si="1141"/>
        <v>Nguyễn Thị Thu</v>
      </c>
      <c r="CJ355" s="227" t="str">
        <f t="shared" si="1141"/>
        <v>Hà</v>
      </c>
      <c r="CK355" s="87">
        <f>H355</f>
        <v>6</v>
      </c>
      <c r="CL355" s="227" t="str">
        <f t="shared" si="1112"/>
        <v>Xã hội học</v>
      </c>
      <c r="CM355" s="87" t="str">
        <f t="shared" si="1012"/>
        <v>CS2</v>
      </c>
      <c r="CN355" s="87">
        <f>Q355</f>
        <v>270</v>
      </c>
      <c r="CO355" s="87">
        <f>R355</f>
        <v>120</v>
      </c>
      <c r="CP355" s="229">
        <f t="shared" si="1076"/>
        <v>0</v>
      </c>
      <c r="CQ355" s="229">
        <f t="shared" si="1077"/>
        <v>20.2</v>
      </c>
      <c r="CR355" s="229">
        <f t="shared" si="1078"/>
        <v>8.1</v>
      </c>
      <c r="CS355" s="229">
        <f t="shared" si="1079"/>
        <v>0</v>
      </c>
      <c r="CT355" s="229">
        <f t="shared" si="1080"/>
        <v>0</v>
      </c>
      <c r="CU355" s="229">
        <f t="shared" si="1081"/>
        <v>171</v>
      </c>
      <c r="CV355" s="229">
        <f t="shared" si="1082"/>
        <v>0</v>
      </c>
      <c r="CW355" s="229">
        <f t="shared" si="1083"/>
        <v>0</v>
      </c>
      <c r="CX355" s="229">
        <f t="shared" si="1084"/>
        <v>0</v>
      </c>
      <c r="CY355" s="229">
        <f t="shared" si="1085"/>
        <v>0</v>
      </c>
      <c r="CZ355" s="229">
        <f t="shared" si="1086"/>
        <v>0</v>
      </c>
      <c r="DA355" s="229">
        <f t="shared" si="1087"/>
        <v>100</v>
      </c>
      <c r="DB355" s="228">
        <f t="shared" si="1018"/>
        <v>299.3</v>
      </c>
      <c r="DC355" s="229"/>
      <c r="DD355" s="229"/>
      <c r="DE355" s="229"/>
      <c r="DF355" s="229"/>
      <c r="DG355" s="229"/>
      <c r="DH355" s="229"/>
      <c r="DI355" s="229"/>
      <c r="DJ355" s="229"/>
      <c r="DK355" s="229"/>
      <c r="DL355" s="229"/>
      <c r="DM355" s="229"/>
      <c r="DN355" s="229"/>
      <c r="DO355" s="228">
        <f t="shared" si="1029"/>
        <v>0</v>
      </c>
      <c r="DP355" s="228">
        <f t="shared" si="1030"/>
        <v>299.3</v>
      </c>
      <c r="DQ355" s="229">
        <f t="shared" si="1088"/>
        <v>0</v>
      </c>
      <c r="DR355" s="229">
        <f t="shared" si="1089"/>
        <v>0</v>
      </c>
      <c r="DS355" s="229">
        <f t="shared" si="1090"/>
        <v>0</v>
      </c>
      <c r="DT355" s="229">
        <f t="shared" si="1091"/>
        <v>0</v>
      </c>
      <c r="DU355" s="229">
        <f t="shared" si="1092"/>
        <v>0</v>
      </c>
      <c r="DV355" s="229">
        <f t="shared" si="1093"/>
        <v>0</v>
      </c>
      <c r="DW355" s="229">
        <f t="shared" si="1094"/>
        <v>0</v>
      </c>
      <c r="DX355" s="228">
        <f t="shared" si="1019"/>
        <v>0</v>
      </c>
      <c r="DY355" s="229"/>
      <c r="DZ355" s="229"/>
      <c r="EA355" s="229"/>
      <c r="EB355" s="229"/>
      <c r="EC355" s="229"/>
      <c r="ED355" s="229"/>
      <c r="EE355" s="229"/>
      <c r="EF355" s="228">
        <f t="shared" si="1072"/>
        <v>0</v>
      </c>
      <c r="EG355" s="228">
        <f t="shared" si="1031"/>
        <v>0</v>
      </c>
      <c r="EH355" s="229">
        <f t="shared" si="1073"/>
        <v>197.5</v>
      </c>
      <c r="EI355" s="229">
        <v>29.17</v>
      </c>
      <c r="EJ355" s="228">
        <f t="shared" si="1126"/>
        <v>226.67000000000002</v>
      </c>
      <c r="EK355" s="229"/>
      <c r="EL355" s="229"/>
      <c r="EM355" s="228">
        <f>SUM(EK355:EL355)</f>
        <v>0</v>
      </c>
      <c r="EN355" s="229">
        <f t="shared" si="1104"/>
        <v>197.5</v>
      </c>
      <c r="EO355" s="229">
        <f t="shared" si="1121"/>
        <v>29.17</v>
      </c>
      <c r="EP355" s="228">
        <f>EM355+EJ355</f>
        <v>226.67000000000002</v>
      </c>
      <c r="EQ355" s="173">
        <f t="shared" si="1075"/>
        <v>77.5</v>
      </c>
      <c r="ER355" s="189">
        <v>0</v>
      </c>
      <c r="ES355" s="189">
        <v>20.2</v>
      </c>
      <c r="ET355" s="189">
        <v>8.1</v>
      </c>
      <c r="EU355" s="189">
        <v>0</v>
      </c>
      <c r="EV355" s="189">
        <v>0</v>
      </c>
      <c r="EW355" s="189">
        <v>171</v>
      </c>
      <c r="EX355" s="189">
        <v>0</v>
      </c>
      <c r="EY355" s="189">
        <v>0</v>
      </c>
      <c r="EZ355" s="189">
        <v>0</v>
      </c>
      <c r="FA355" s="189">
        <v>0</v>
      </c>
      <c r="FB355" s="189">
        <v>0</v>
      </c>
      <c r="FC355" s="189">
        <v>100</v>
      </c>
      <c r="FD355" s="189">
        <v>0</v>
      </c>
      <c r="FE355" s="189">
        <v>0</v>
      </c>
      <c r="FF355" s="189">
        <v>0</v>
      </c>
      <c r="FG355" s="189">
        <v>0</v>
      </c>
      <c r="FH355" s="189">
        <v>0</v>
      </c>
      <c r="FI355" s="189">
        <v>0</v>
      </c>
      <c r="FJ355" s="189">
        <v>0</v>
      </c>
      <c r="FK355" s="189">
        <v>299.3</v>
      </c>
      <c r="FL355" s="189">
        <v>275</v>
      </c>
      <c r="FN355" s="132">
        <v>197.5</v>
      </c>
    </row>
    <row r="356" spans="1:170" ht="32.25" customHeight="1">
      <c r="A356" s="88">
        <f>COUNTIF($H$12:H356,H356)</f>
        <v>33</v>
      </c>
      <c r="B356" s="88" t="s">
        <v>952</v>
      </c>
      <c r="C356" s="88" t="s">
        <v>2053</v>
      </c>
      <c r="D356" s="88"/>
      <c r="E356" s="88"/>
      <c r="F356" s="301" t="s">
        <v>1188</v>
      </c>
      <c r="G356" s="89" t="s">
        <v>8</v>
      </c>
      <c r="H356" s="88">
        <v>6</v>
      </c>
      <c r="I356" s="88">
        <v>6</v>
      </c>
      <c r="J356" s="88">
        <v>6</v>
      </c>
      <c r="K356" s="90" t="s">
        <v>1094</v>
      </c>
      <c r="L356" s="90" t="s">
        <v>1094</v>
      </c>
      <c r="M356" s="214"/>
      <c r="N356" s="88" t="s">
        <v>1804</v>
      </c>
      <c r="O356" s="216">
        <f t="shared" si="1128"/>
        <v>4.32</v>
      </c>
      <c r="P356" s="88" t="str">
        <f t="shared" si="1144"/>
        <v>B1_4</v>
      </c>
      <c r="Q356" s="88">
        <f t="shared" si="951"/>
        <v>270</v>
      </c>
      <c r="R356" s="88">
        <f t="shared" si="952"/>
        <v>120</v>
      </c>
      <c r="S356" s="218" t="s">
        <v>1564</v>
      </c>
      <c r="T356" s="88" t="s">
        <v>2961</v>
      </c>
      <c r="U356" s="88">
        <f>IF(RIGHT(T356,1)="K",(VLOOKUP(T356,ma_miengiam!$A$3:$B$80,2,0)*100)/2,VLOOKUP(T356,ma_miengiam!$A$3:$B$80,2,0)*100)</f>
        <v>100</v>
      </c>
      <c r="V356" s="88"/>
      <c r="W356" s="220">
        <f>IF(AND(T356="NTS",V356&gt;0),(Q356-(Q356*V356)/12)*VLOOKUP(T356,ma_miengiam!$A$3:$B$80,2,0)+(Q356-(Q356*(12-V356))/12),IF(AND(RIGHT(T356,1)="K",V356&gt;0),(VLOOKUP(T356,ma_miengiam!$A$3:$B$80,2,0)/2)*(Q356*V356)/12,IF(RIGHT(T356,1)="K",(VLOOKUP(T356,ma_miengiam!$A$3:$B$80,2,0)*Q356)/2,IF(V356&gt;0,VLOOKUP(T356,ma_miengiam!$A$3:$B$80,2,0)*Q356*V356/12,VLOOKUP(T356,ma_miengiam!$A$3:$B$80,2,0)*Q356))))</f>
        <v>270</v>
      </c>
      <c r="X356" s="220">
        <f>IF(T356="NTS",VLOOKUP(T356,ma_miengiam!$A$3:$B$80,2,0)*R356*V356,IF(AND(T356="NTS",V356=0),0,IF(AND(LEFT(T356,1)="K",V356=0),VLOOKUP(T356,ma_miengiam!$A$3:$B$80,2,0)*R356,IF(LEFT(T356,1)="K",(VLOOKUP(T356,ma_miengiam!$A$3:$B$80,2,0)*R356/12)*V356,IF(AND(LEFT(T356,1)="S",V356&gt;0),(R356/12)*V356,IF(AND(LEFT(T356,1)="S",V356=0),R356,IF(T356="DH",VLOOKUP(T356,ma_miengiam!$A$3:$B$80,2,0)*R356,0)))))))</f>
        <v>120</v>
      </c>
      <c r="Y356" s="220">
        <f t="shared" si="1107"/>
        <v>0</v>
      </c>
      <c r="Z356" s="220">
        <f t="shared" si="1133"/>
        <v>0</v>
      </c>
      <c r="AA356" s="220">
        <f t="shared" si="1134"/>
        <v>270</v>
      </c>
      <c r="AB356" s="220">
        <f t="shared" si="1134"/>
        <v>120</v>
      </c>
      <c r="AC356" s="220">
        <f t="shared" si="1135"/>
        <v>270</v>
      </c>
      <c r="AD356" s="220">
        <f t="shared" si="1135"/>
        <v>120</v>
      </c>
      <c r="AE356" s="220">
        <f t="shared" si="1135"/>
        <v>0</v>
      </c>
      <c r="AF356" s="220">
        <f t="shared" si="1135"/>
        <v>0</v>
      </c>
      <c r="AG356" s="220">
        <f t="shared" si="1136"/>
        <v>172.53</v>
      </c>
      <c r="AH356" s="220">
        <f t="shared" si="1137"/>
        <v>172.53</v>
      </c>
      <c r="AI356" s="220">
        <f t="shared" si="1138"/>
        <v>0</v>
      </c>
      <c r="AJ356" s="220">
        <f t="shared" si="1060"/>
        <v>0</v>
      </c>
      <c r="AK356" s="216">
        <f t="shared" si="1038"/>
        <v>0</v>
      </c>
      <c r="AL356" s="220">
        <f t="shared" si="1020"/>
        <v>0</v>
      </c>
      <c r="AM356" s="220">
        <f t="shared" si="1021"/>
        <v>0</v>
      </c>
      <c r="AN356" s="221">
        <f t="shared" si="1022"/>
        <v>0</v>
      </c>
      <c r="AO356" s="220">
        <f t="shared" si="1023"/>
        <v>0</v>
      </c>
      <c r="AP356" s="220">
        <f t="shared" si="1024"/>
        <v>0</v>
      </c>
      <c r="AQ356" s="220">
        <f t="shared" si="1025"/>
        <v>0</v>
      </c>
      <c r="AR356" s="220">
        <f t="shared" si="1026"/>
        <v>0</v>
      </c>
      <c r="AS356" s="220">
        <f t="shared" si="1027"/>
        <v>0</v>
      </c>
      <c r="AT356" s="216">
        <f t="shared" si="1028"/>
        <v>0</v>
      </c>
      <c r="AU356" s="222">
        <f t="shared" si="1117"/>
        <v>0</v>
      </c>
      <c r="AV356" s="220"/>
      <c r="AW356" s="220">
        <f t="shared" si="1006"/>
        <v>0</v>
      </c>
      <c r="AX356" s="216">
        <f t="shared" si="1046"/>
        <v>0</v>
      </c>
      <c r="AY356" s="220">
        <f t="shared" si="1013"/>
        <v>0</v>
      </c>
      <c r="AZ356" s="220">
        <f t="shared" si="1014"/>
        <v>0</v>
      </c>
      <c r="BA356" s="220">
        <f t="shared" si="1015"/>
        <v>0</v>
      </c>
      <c r="BB356" s="220">
        <f t="shared" si="1016"/>
        <v>0</v>
      </c>
      <c r="BC356" s="220">
        <f t="shared" si="1017"/>
        <v>0</v>
      </c>
      <c r="BD356" s="216">
        <f t="shared" si="988"/>
        <v>0</v>
      </c>
      <c r="BE356" s="220">
        <f t="shared" si="1007"/>
        <v>0</v>
      </c>
      <c r="BF356" s="220">
        <f t="shared" si="1008"/>
        <v>0</v>
      </c>
      <c r="BG356" s="220">
        <f t="shared" si="1009"/>
        <v>0</v>
      </c>
      <c r="BH356" s="220">
        <f t="shared" si="1010"/>
        <v>0</v>
      </c>
      <c r="BI356" s="220">
        <f t="shared" si="1011"/>
        <v>0</v>
      </c>
      <c r="BJ356" s="220" t="s">
        <v>3063</v>
      </c>
      <c r="BK356" s="220"/>
      <c r="BL356" s="223">
        <f t="shared" si="1004"/>
        <v>0</v>
      </c>
      <c r="BM356" s="220">
        <v>4.32</v>
      </c>
      <c r="BN356" s="220"/>
      <c r="BO356" s="220">
        <f t="shared" si="1139"/>
        <v>4.32</v>
      </c>
      <c r="BP356" s="220">
        <f>IF(AND(BL356&gt;0,BL356&lt;tiet!$D$1),BL356,IF(BL356&lt;=0,0,IF(BL356&gt;tiet!$C$1,tiet!$C$1)))</f>
        <v>0</v>
      </c>
      <c r="BQ356" s="87">
        <f t="shared" si="1047"/>
        <v>65000</v>
      </c>
      <c r="BR356" s="224">
        <f t="shared" si="1048"/>
        <v>0</v>
      </c>
      <c r="BS356" s="220">
        <f t="shared" si="1068"/>
        <v>0</v>
      </c>
      <c r="BT356" s="224">
        <f>VLOOKUP(N356,ma_dinhmuc!$A$1:$J$31,10,0)</f>
        <v>51000</v>
      </c>
      <c r="BU356" s="224">
        <f>ROUND(IF(BS356&gt;0,VLOOKUP(N356,ma_dinhmuc!$A$1:$J$31,10,0)*BS356,0),0)</f>
        <v>0</v>
      </c>
      <c r="BV356" s="224">
        <f t="shared" si="1049"/>
        <v>0</v>
      </c>
      <c r="BW356" s="224"/>
      <c r="BX356" s="224">
        <v>0</v>
      </c>
      <c r="BY356" s="224"/>
      <c r="BZ356" s="224"/>
      <c r="CA356" s="224"/>
      <c r="CB356" s="224"/>
      <c r="CC356" s="225">
        <f t="shared" si="1069"/>
        <v>0</v>
      </c>
      <c r="CD356" s="224">
        <f t="shared" si="1070"/>
        <v>0</v>
      </c>
      <c r="CE356" s="224"/>
      <c r="CF356" s="226"/>
      <c r="CG356" s="87"/>
      <c r="CH356" s="87">
        <f t="shared" si="1140"/>
        <v>33</v>
      </c>
      <c r="CI356" s="227" t="str">
        <f t="shared" ref="CI356:CJ358" si="1145">F356</f>
        <v>Ngô Trung</v>
      </c>
      <c r="CJ356" s="227" t="str">
        <f t="shared" si="1145"/>
        <v>Thành</v>
      </c>
      <c r="CK356" s="87">
        <f t="shared" si="1142"/>
        <v>6</v>
      </c>
      <c r="CL356" s="227" t="str">
        <f t="shared" si="1112"/>
        <v>Xã hội học</v>
      </c>
      <c r="CM356" s="87" t="str">
        <f t="shared" si="1012"/>
        <v>CS2</v>
      </c>
      <c r="CN356" s="87">
        <f t="shared" si="1143"/>
        <v>270</v>
      </c>
      <c r="CO356" s="87">
        <f t="shared" si="1143"/>
        <v>120</v>
      </c>
      <c r="CP356" s="229">
        <f t="shared" si="1076"/>
        <v>0</v>
      </c>
      <c r="CQ356" s="229">
        <f t="shared" si="1077"/>
        <v>0</v>
      </c>
      <c r="CR356" s="229">
        <f t="shared" si="1078"/>
        <v>0</v>
      </c>
      <c r="CS356" s="229">
        <f t="shared" si="1079"/>
        <v>0</v>
      </c>
      <c r="CT356" s="229">
        <f t="shared" si="1080"/>
        <v>0</v>
      </c>
      <c r="CU356" s="229">
        <f t="shared" si="1081"/>
        <v>0</v>
      </c>
      <c r="CV356" s="229">
        <f t="shared" si="1082"/>
        <v>0</v>
      </c>
      <c r="CW356" s="229">
        <f t="shared" si="1083"/>
        <v>0</v>
      </c>
      <c r="CX356" s="229">
        <f t="shared" si="1084"/>
        <v>0</v>
      </c>
      <c r="CY356" s="229">
        <f t="shared" si="1085"/>
        <v>0</v>
      </c>
      <c r="CZ356" s="229">
        <f t="shared" si="1086"/>
        <v>0</v>
      </c>
      <c r="DA356" s="229">
        <f t="shared" si="1087"/>
        <v>0</v>
      </c>
      <c r="DB356" s="228">
        <f t="shared" si="1018"/>
        <v>0</v>
      </c>
      <c r="DC356" s="229"/>
      <c r="DD356" s="229"/>
      <c r="DE356" s="229"/>
      <c r="DF356" s="229"/>
      <c r="DG356" s="229"/>
      <c r="DH356" s="229"/>
      <c r="DI356" s="229"/>
      <c r="DJ356" s="229"/>
      <c r="DK356" s="229"/>
      <c r="DL356" s="229"/>
      <c r="DM356" s="229"/>
      <c r="DN356" s="229"/>
      <c r="DO356" s="228">
        <f t="shared" si="1029"/>
        <v>0</v>
      </c>
      <c r="DP356" s="228">
        <f t="shared" si="1030"/>
        <v>0</v>
      </c>
      <c r="DQ356" s="229">
        <f t="shared" si="1088"/>
        <v>0</v>
      </c>
      <c r="DR356" s="229">
        <f t="shared" si="1089"/>
        <v>0</v>
      </c>
      <c r="DS356" s="229">
        <f t="shared" si="1090"/>
        <v>0</v>
      </c>
      <c r="DT356" s="229">
        <f t="shared" si="1091"/>
        <v>0</v>
      </c>
      <c r="DU356" s="229">
        <f t="shared" si="1092"/>
        <v>0</v>
      </c>
      <c r="DV356" s="229">
        <f t="shared" si="1093"/>
        <v>0</v>
      </c>
      <c r="DW356" s="229">
        <f t="shared" si="1094"/>
        <v>0</v>
      </c>
      <c r="DX356" s="228">
        <f t="shared" si="1019"/>
        <v>0</v>
      </c>
      <c r="DY356" s="229"/>
      <c r="DZ356" s="229"/>
      <c r="EA356" s="229"/>
      <c r="EB356" s="229"/>
      <c r="EC356" s="229"/>
      <c r="ED356" s="229"/>
      <c r="EE356" s="229"/>
      <c r="EF356" s="228">
        <f t="shared" si="1072"/>
        <v>0</v>
      </c>
      <c r="EG356" s="228">
        <f t="shared" si="1031"/>
        <v>0</v>
      </c>
      <c r="EH356" s="229">
        <f t="shared" si="1073"/>
        <v>0</v>
      </c>
      <c r="EI356" s="229">
        <v>172.53</v>
      </c>
      <c r="EJ356" s="228">
        <f t="shared" si="1126"/>
        <v>172.53</v>
      </c>
      <c r="EK356" s="229"/>
      <c r="EL356" s="229"/>
      <c r="EM356" s="228">
        <f t="shared" si="1065"/>
        <v>0</v>
      </c>
      <c r="EN356" s="229">
        <f t="shared" si="1104"/>
        <v>0</v>
      </c>
      <c r="EO356" s="229">
        <f t="shared" si="1121"/>
        <v>172.53</v>
      </c>
      <c r="EP356" s="228">
        <f t="shared" ref="EP356:EP385" si="1146">EM356+EJ356</f>
        <v>172.53</v>
      </c>
      <c r="EQ356" s="173">
        <f t="shared" si="1075"/>
        <v>0</v>
      </c>
      <c r="ER356" s="189">
        <v>0</v>
      </c>
      <c r="ES356" s="189">
        <v>0</v>
      </c>
      <c r="ET356" s="189">
        <v>0</v>
      </c>
      <c r="EU356" s="189">
        <v>0</v>
      </c>
      <c r="EV356" s="189">
        <v>0</v>
      </c>
      <c r="EW356" s="189">
        <v>0</v>
      </c>
      <c r="EX356" s="189">
        <v>0</v>
      </c>
      <c r="EY356" s="189">
        <v>0</v>
      </c>
      <c r="EZ356" s="189">
        <v>0</v>
      </c>
      <c r="FA356" s="189">
        <v>0</v>
      </c>
      <c r="FB356" s="189">
        <v>0</v>
      </c>
      <c r="FC356" s="189">
        <v>0</v>
      </c>
      <c r="FD356" s="189">
        <v>0</v>
      </c>
      <c r="FE356" s="189">
        <v>0</v>
      </c>
      <c r="FF356" s="189">
        <v>0</v>
      </c>
      <c r="FG356" s="189">
        <v>0</v>
      </c>
      <c r="FH356" s="189">
        <v>0</v>
      </c>
      <c r="FI356" s="189">
        <v>0</v>
      </c>
      <c r="FJ356" s="189">
        <v>0</v>
      </c>
      <c r="FK356" s="189">
        <v>0</v>
      </c>
      <c r="FL356" s="189">
        <v>0</v>
      </c>
      <c r="FN356" s="132">
        <v>0</v>
      </c>
    </row>
    <row r="357" spans="1:170" ht="30" customHeight="1">
      <c r="A357" s="88">
        <f>COUNTIF($H$12:H357,H357)</f>
        <v>34</v>
      </c>
      <c r="B357" s="88" t="s">
        <v>742</v>
      </c>
      <c r="C357" s="88" t="s">
        <v>341</v>
      </c>
      <c r="D357" s="88"/>
      <c r="E357" s="88"/>
      <c r="F357" s="301" t="s">
        <v>1139</v>
      </c>
      <c r="G357" s="89" t="s">
        <v>1189</v>
      </c>
      <c r="H357" s="88">
        <v>6</v>
      </c>
      <c r="I357" s="88">
        <v>6</v>
      </c>
      <c r="J357" s="88">
        <v>6</v>
      </c>
      <c r="K357" s="90" t="s">
        <v>1094</v>
      </c>
      <c r="L357" s="90" t="s">
        <v>1094</v>
      </c>
      <c r="M357" s="214"/>
      <c r="N357" s="88" t="s">
        <v>605</v>
      </c>
      <c r="O357" s="216">
        <f t="shared" si="1128"/>
        <v>6.2</v>
      </c>
      <c r="P357" s="88" t="str">
        <f t="shared" si="1144"/>
        <v>B1_6</v>
      </c>
      <c r="Q357" s="88">
        <f t="shared" si="951"/>
        <v>270</v>
      </c>
      <c r="R357" s="88">
        <f t="shared" si="952"/>
        <v>170</v>
      </c>
      <c r="S357" s="218" t="s">
        <v>3185</v>
      </c>
      <c r="T357" s="219" t="s">
        <v>3093</v>
      </c>
      <c r="U357" s="88">
        <f>IF(RIGHT(T357,1)="K",(VLOOKUP(T357,ma_miengiam!$A$3:$B$80,2,0)*100)/2,VLOOKUP(T357,ma_miengiam!$A$3:$B$80,2,0)*100)</f>
        <v>30</v>
      </c>
      <c r="V357" s="88"/>
      <c r="W357" s="220">
        <f>IF(AND(T357="NTS",V357&gt;0),(Q357-(Q357*V357)/12)*VLOOKUP(T357,ma_miengiam!$A$3:$B$80,2,0)+(Q357-(Q357*(12-V357))/12),IF(AND(RIGHT(T357,1)="K",V357&gt;0),(VLOOKUP(T357,ma_miengiam!$A$3:$B$80,2,0)/2)*(Q357*V357)/12,IF(RIGHT(T357,1)="K",(VLOOKUP(T357,ma_miengiam!$A$3:$B$80,2,0)*Q357)/2,IF(V357&gt;0,VLOOKUP(T357,ma_miengiam!$A$3:$B$80,2,0)*Q357*V357/12,VLOOKUP(T357,ma_miengiam!$A$3:$B$80,2,0)*Q357))))</f>
        <v>81</v>
      </c>
      <c r="X357" s="220">
        <f>IF(T357="NTS",VLOOKUP(T357,ma_miengiam!$A$3:$B$80,2,0)*R357*V357,IF(AND(T357="NTS",V357=0),0,IF(AND(LEFT(T357,1)="K",V357=0),VLOOKUP(T357,ma_miengiam!$A$3:$B$80,2,0)*R357,IF(LEFT(T357,1)="K",(VLOOKUP(T357,ma_miengiam!$A$3:$B$80,2,0)*R357/12)*V357,IF(AND(LEFT(T357,1)="S",V357&gt;0),(R357/12)*V357,IF(AND(LEFT(T357,1)="S",V357=0),R357,IF(T357="DH",VLOOKUP(T357,ma_miengiam!$A$3:$B$80,2,0)*R357,0)))))))</f>
        <v>0</v>
      </c>
      <c r="Y357" s="220">
        <f t="shared" si="1107"/>
        <v>189</v>
      </c>
      <c r="Z357" s="220">
        <f t="shared" si="1133"/>
        <v>170</v>
      </c>
      <c r="AA357" s="220">
        <f t="shared" ref="AA357:AB359" si="1147">Q357</f>
        <v>270</v>
      </c>
      <c r="AB357" s="220">
        <f t="shared" si="1147"/>
        <v>170</v>
      </c>
      <c r="AC357" s="220">
        <f t="shared" ref="AC357:AF358" si="1148">W357</f>
        <v>81</v>
      </c>
      <c r="AD357" s="220">
        <f t="shared" si="1148"/>
        <v>0</v>
      </c>
      <c r="AE357" s="220">
        <f t="shared" si="1148"/>
        <v>189</v>
      </c>
      <c r="AF357" s="220">
        <f t="shared" si="1148"/>
        <v>170</v>
      </c>
      <c r="AG357" s="220">
        <f t="shared" si="1136"/>
        <v>196.92000000000002</v>
      </c>
      <c r="AH357" s="220">
        <f t="shared" si="1137"/>
        <v>74.42</v>
      </c>
      <c r="AI357" s="220">
        <f t="shared" si="1138"/>
        <v>122.5</v>
      </c>
      <c r="AJ357" s="220">
        <f t="shared" si="1060"/>
        <v>0</v>
      </c>
      <c r="AK357" s="216">
        <f t="shared" si="1038"/>
        <v>189</v>
      </c>
      <c r="AL357" s="220">
        <f t="shared" si="1020"/>
        <v>161.1</v>
      </c>
      <c r="AM357" s="220">
        <f t="shared" si="1021"/>
        <v>0</v>
      </c>
      <c r="AN357" s="221">
        <f t="shared" si="1022"/>
        <v>161.1</v>
      </c>
      <c r="AO357" s="220">
        <f t="shared" si="1023"/>
        <v>0</v>
      </c>
      <c r="AP357" s="220">
        <f t="shared" si="1024"/>
        <v>0</v>
      </c>
      <c r="AQ357" s="220">
        <f t="shared" si="1025"/>
        <v>0</v>
      </c>
      <c r="AR357" s="220">
        <f t="shared" si="1026"/>
        <v>40</v>
      </c>
      <c r="AS357" s="220">
        <f t="shared" si="1027"/>
        <v>0</v>
      </c>
      <c r="AT357" s="216">
        <f t="shared" si="1028"/>
        <v>201.1</v>
      </c>
      <c r="AU357" s="222">
        <f t="shared" si="1117"/>
        <v>-27.900000000000006</v>
      </c>
      <c r="AV357" s="220"/>
      <c r="AW357" s="220">
        <f t="shared" si="1006"/>
        <v>-27.900000000000006</v>
      </c>
      <c r="AX357" s="216">
        <f t="shared" si="1046"/>
        <v>-27.900000000000006</v>
      </c>
      <c r="AY357" s="220">
        <f t="shared" si="1013"/>
        <v>0</v>
      </c>
      <c r="AZ357" s="220">
        <f t="shared" si="1014"/>
        <v>0</v>
      </c>
      <c r="BA357" s="220">
        <f t="shared" si="1015"/>
        <v>0</v>
      </c>
      <c r="BB357" s="220">
        <f t="shared" si="1016"/>
        <v>12.099999999999994</v>
      </c>
      <c r="BC357" s="220">
        <f t="shared" si="1017"/>
        <v>0</v>
      </c>
      <c r="BD357" s="216">
        <f t="shared" si="988"/>
        <v>12.099999999999994</v>
      </c>
      <c r="BE357" s="220">
        <f t="shared" si="1007"/>
        <v>0</v>
      </c>
      <c r="BF357" s="220">
        <f t="shared" si="1008"/>
        <v>0</v>
      </c>
      <c r="BG357" s="220">
        <f t="shared" si="1009"/>
        <v>0</v>
      </c>
      <c r="BH357" s="220">
        <f t="shared" si="1010"/>
        <v>-27.900000000000006</v>
      </c>
      <c r="BI357" s="220">
        <f t="shared" si="1011"/>
        <v>0</v>
      </c>
      <c r="BJ357" s="220" t="s">
        <v>3063</v>
      </c>
      <c r="BK357" s="220"/>
      <c r="BL357" s="223">
        <f t="shared" si="1004"/>
        <v>0</v>
      </c>
      <c r="BM357" s="220">
        <v>6.2</v>
      </c>
      <c r="BN357" s="220"/>
      <c r="BO357" s="220">
        <f t="shared" si="1139"/>
        <v>6.2</v>
      </c>
      <c r="BP357" s="220">
        <f>IF(AND(BL357&gt;0,BL357&lt;tiet!$D$1),BL357,IF(BL357&lt;=0,0,IF(BL357&gt;tiet!$C$1,tiet!$C$1)))</f>
        <v>0</v>
      </c>
      <c r="BQ357" s="87">
        <f t="shared" si="1047"/>
        <v>75000</v>
      </c>
      <c r="BR357" s="224">
        <f t="shared" si="1048"/>
        <v>0</v>
      </c>
      <c r="BS357" s="220">
        <f t="shared" si="1068"/>
        <v>0</v>
      </c>
      <c r="BT357" s="224">
        <f>VLOOKUP(N357,ma_dinhmuc!$A$1:$J$31,10,0)</f>
        <v>65000</v>
      </c>
      <c r="BU357" s="224">
        <f>ROUND(IF(BS357&gt;0,VLOOKUP(N357,ma_dinhmuc!$A$1:$J$31,10,0)*BS357,0),0)</f>
        <v>0</v>
      </c>
      <c r="BV357" s="224">
        <f t="shared" si="1049"/>
        <v>0</v>
      </c>
      <c r="BW357" s="224"/>
      <c r="BX357" s="224">
        <v>0</v>
      </c>
      <c r="BY357" s="224"/>
      <c r="BZ357" s="224"/>
      <c r="CA357" s="224"/>
      <c r="CB357" s="224"/>
      <c r="CC357" s="225">
        <f t="shared" si="1069"/>
        <v>0</v>
      </c>
      <c r="CD357" s="224">
        <f t="shared" si="1070"/>
        <v>0</v>
      </c>
      <c r="CE357" s="224"/>
      <c r="CF357" s="226"/>
      <c r="CG357" s="87"/>
      <c r="CH357" s="87">
        <f t="shared" si="1140"/>
        <v>34</v>
      </c>
      <c r="CI357" s="227" t="str">
        <f t="shared" si="1145"/>
        <v>Nguyễn Thị</v>
      </c>
      <c r="CJ357" s="227" t="str">
        <f t="shared" si="1145"/>
        <v>Diễn</v>
      </c>
      <c r="CK357" s="87">
        <f t="shared" si="1142"/>
        <v>6</v>
      </c>
      <c r="CL357" s="227" t="str">
        <f t="shared" si="1112"/>
        <v>Xã hội học</v>
      </c>
      <c r="CM357" s="87" t="str">
        <f t="shared" si="1012"/>
        <v>CS4</v>
      </c>
      <c r="CN357" s="87">
        <f t="shared" si="1143"/>
        <v>270</v>
      </c>
      <c r="CO357" s="87">
        <f t="shared" si="1143"/>
        <v>170</v>
      </c>
      <c r="CP357" s="229">
        <f t="shared" si="1076"/>
        <v>0</v>
      </c>
      <c r="CQ357" s="229">
        <f t="shared" si="1077"/>
        <v>18.600000000000001</v>
      </c>
      <c r="CR357" s="229">
        <f t="shared" si="1078"/>
        <v>7.5</v>
      </c>
      <c r="CS357" s="229">
        <f t="shared" si="1079"/>
        <v>0</v>
      </c>
      <c r="CT357" s="229">
        <f t="shared" si="1080"/>
        <v>0</v>
      </c>
      <c r="CU357" s="229">
        <f t="shared" si="1081"/>
        <v>135</v>
      </c>
      <c r="CV357" s="229">
        <f t="shared" si="1082"/>
        <v>0</v>
      </c>
      <c r="CW357" s="229">
        <f t="shared" si="1083"/>
        <v>0</v>
      </c>
      <c r="CX357" s="229">
        <f t="shared" si="1084"/>
        <v>0</v>
      </c>
      <c r="CY357" s="229">
        <f t="shared" si="1085"/>
        <v>0</v>
      </c>
      <c r="CZ357" s="229">
        <f t="shared" si="1086"/>
        <v>0</v>
      </c>
      <c r="DA357" s="229">
        <f t="shared" si="1087"/>
        <v>0</v>
      </c>
      <c r="DB357" s="228">
        <f t="shared" si="1018"/>
        <v>161.1</v>
      </c>
      <c r="DC357" s="229"/>
      <c r="DD357" s="229"/>
      <c r="DE357" s="229"/>
      <c r="DF357" s="229"/>
      <c r="DG357" s="229"/>
      <c r="DH357" s="229"/>
      <c r="DI357" s="229"/>
      <c r="DJ357" s="229"/>
      <c r="DK357" s="229"/>
      <c r="DL357" s="229"/>
      <c r="DM357" s="229"/>
      <c r="DN357" s="229"/>
      <c r="DO357" s="228">
        <f t="shared" si="1029"/>
        <v>0</v>
      </c>
      <c r="DP357" s="228">
        <f t="shared" si="1030"/>
        <v>161.1</v>
      </c>
      <c r="DQ357" s="229">
        <f t="shared" si="1088"/>
        <v>0</v>
      </c>
      <c r="DR357" s="229">
        <f t="shared" si="1089"/>
        <v>0</v>
      </c>
      <c r="DS357" s="229">
        <f t="shared" si="1090"/>
        <v>0</v>
      </c>
      <c r="DT357" s="229">
        <f t="shared" si="1091"/>
        <v>0</v>
      </c>
      <c r="DU357" s="229">
        <f t="shared" si="1092"/>
        <v>0</v>
      </c>
      <c r="DV357" s="229">
        <f t="shared" si="1093"/>
        <v>40</v>
      </c>
      <c r="DW357" s="229">
        <f t="shared" si="1094"/>
        <v>0</v>
      </c>
      <c r="DX357" s="228">
        <f t="shared" si="1019"/>
        <v>40</v>
      </c>
      <c r="DY357" s="229"/>
      <c r="DZ357" s="229"/>
      <c r="EA357" s="229"/>
      <c r="EB357" s="229"/>
      <c r="EC357" s="229"/>
      <c r="ED357" s="229"/>
      <c r="EE357" s="229"/>
      <c r="EF357" s="228">
        <f t="shared" si="1072"/>
        <v>0</v>
      </c>
      <c r="EG357" s="228">
        <f t="shared" si="1031"/>
        <v>40</v>
      </c>
      <c r="EH357" s="229">
        <f t="shared" si="1073"/>
        <v>122.5</v>
      </c>
      <c r="EI357" s="229">
        <v>74.42</v>
      </c>
      <c r="EJ357" s="228">
        <f t="shared" si="1126"/>
        <v>196.92000000000002</v>
      </c>
      <c r="EK357" s="229"/>
      <c r="EL357" s="229"/>
      <c r="EM357" s="228">
        <f t="shared" si="1065"/>
        <v>0</v>
      </c>
      <c r="EN357" s="229">
        <f t="shared" si="1104"/>
        <v>122.5</v>
      </c>
      <c r="EO357" s="229">
        <f t="shared" si="1121"/>
        <v>74.42</v>
      </c>
      <c r="EP357" s="228">
        <f t="shared" si="1146"/>
        <v>196.92000000000002</v>
      </c>
      <c r="EQ357" s="173">
        <f t="shared" si="1075"/>
        <v>0</v>
      </c>
      <c r="ER357" s="189">
        <v>0</v>
      </c>
      <c r="ES357" s="189">
        <v>18.600000000000001</v>
      </c>
      <c r="ET357" s="189">
        <v>7.5</v>
      </c>
      <c r="EU357" s="189">
        <v>0</v>
      </c>
      <c r="EV357" s="189">
        <v>0</v>
      </c>
      <c r="EW357" s="189">
        <v>135</v>
      </c>
      <c r="EX357" s="189">
        <v>0</v>
      </c>
      <c r="EY357" s="189">
        <v>0</v>
      </c>
      <c r="EZ357" s="189">
        <v>0</v>
      </c>
      <c r="FA357" s="189">
        <v>0</v>
      </c>
      <c r="FB357" s="189">
        <v>0</v>
      </c>
      <c r="FC357" s="189">
        <v>0</v>
      </c>
      <c r="FD357" s="189">
        <v>0</v>
      </c>
      <c r="FE357" s="189">
        <v>0</v>
      </c>
      <c r="FF357" s="189">
        <v>0</v>
      </c>
      <c r="FG357" s="189">
        <v>0</v>
      </c>
      <c r="FH357" s="189">
        <v>40</v>
      </c>
      <c r="FI357" s="189">
        <v>0</v>
      </c>
      <c r="FJ357" s="189">
        <v>0</v>
      </c>
      <c r="FK357" s="189">
        <v>201.1</v>
      </c>
      <c r="FL357" s="189">
        <v>183</v>
      </c>
      <c r="FN357" s="132">
        <v>122.5</v>
      </c>
    </row>
    <row r="358" spans="1:170" ht="27" customHeight="1">
      <c r="A358" s="88">
        <f>COUNTIF($H$12:H358,H358)</f>
        <v>35</v>
      </c>
      <c r="B358" s="88" t="s">
        <v>743</v>
      </c>
      <c r="C358" s="88" t="s">
        <v>342</v>
      </c>
      <c r="D358" s="88"/>
      <c r="E358" s="88"/>
      <c r="F358" s="301" t="s">
        <v>2907</v>
      </c>
      <c r="G358" s="89" t="s">
        <v>963</v>
      </c>
      <c r="H358" s="88">
        <v>6</v>
      </c>
      <c r="I358" s="88">
        <v>6</v>
      </c>
      <c r="J358" s="88">
        <v>6</v>
      </c>
      <c r="K358" s="90" t="s">
        <v>1094</v>
      </c>
      <c r="L358" s="90" t="s">
        <v>1094</v>
      </c>
      <c r="M358" s="214"/>
      <c r="N358" s="88" t="s">
        <v>1804</v>
      </c>
      <c r="O358" s="216">
        <f t="shared" si="1128"/>
        <v>3.33</v>
      </c>
      <c r="P358" s="88" t="str">
        <f t="shared" si="1144"/>
        <v>B1_4</v>
      </c>
      <c r="Q358" s="88">
        <f t="shared" si="951"/>
        <v>270</v>
      </c>
      <c r="R358" s="88">
        <f t="shared" si="952"/>
        <v>120</v>
      </c>
      <c r="S358" s="218"/>
      <c r="T358" s="214" t="s">
        <v>3088</v>
      </c>
      <c r="U358" s="88">
        <f>IF(RIGHT(T358,1)="K",(VLOOKUP(T358,ma_miengiam!$A$3:$B$80,2,0)*100)/2,VLOOKUP(T358,ma_miengiam!$A$3:$B$80,2,0)*100)</f>
        <v>0</v>
      </c>
      <c r="V358" s="88"/>
      <c r="W358" s="220">
        <f>IF(AND(T358="NTS",V358&gt;0),(Q358-(Q358*V358)/12)*VLOOKUP(T358,ma_miengiam!$A$3:$B$80,2,0)+(Q358-(Q358*(12-V358))/12),IF(AND(RIGHT(T358,1)="K",V358&gt;0),(VLOOKUP(T358,ma_miengiam!$A$3:$B$80,2,0)/2)*(Q358*V358)/12,IF(RIGHT(T358,1)="K",(VLOOKUP(T358,ma_miengiam!$A$3:$B$80,2,0)*Q358)/2,IF(V358&gt;0,VLOOKUP(T358,ma_miengiam!$A$3:$B$80,2,0)*Q358*V358/12,VLOOKUP(T358,ma_miengiam!$A$3:$B$80,2,0)*Q358))))</f>
        <v>0</v>
      </c>
      <c r="X358" s="220">
        <f>IF(T358="NTS",VLOOKUP(T358,ma_miengiam!$A$3:$B$80,2,0)*R358*V358,IF(AND(T358="NTS",V358=0),0,IF(AND(LEFT(T358,1)="K",V358=0),VLOOKUP(T358,ma_miengiam!$A$3:$B$80,2,0)*R358,IF(LEFT(T358,1)="K",(VLOOKUP(T358,ma_miengiam!$A$3:$B$80,2,0)*R358/12)*V358,IF(AND(LEFT(T358,1)="S",V358&gt;0),(R358/12)*V358,IF(AND(LEFT(T358,1)="S",V358=0),R358,IF(T358="DH",VLOOKUP(T358,ma_miengiam!$A$3:$B$80,2,0)*R358,0)))))))</f>
        <v>0</v>
      </c>
      <c r="Y358" s="220">
        <f t="shared" si="1107"/>
        <v>270</v>
      </c>
      <c r="Z358" s="220">
        <f t="shared" si="1133"/>
        <v>120</v>
      </c>
      <c r="AA358" s="220">
        <f t="shared" si="1147"/>
        <v>270</v>
      </c>
      <c r="AB358" s="220">
        <f t="shared" si="1147"/>
        <v>120</v>
      </c>
      <c r="AC358" s="220">
        <f t="shared" si="1148"/>
        <v>0</v>
      </c>
      <c r="AD358" s="220">
        <f t="shared" si="1148"/>
        <v>0</v>
      </c>
      <c r="AE358" s="220">
        <f t="shared" si="1148"/>
        <v>270</v>
      </c>
      <c r="AF358" s="220">
        <f t="shared" si="1148"/>
        <v>120</v>
      </c>
      <c r="AG358" s="220">
        <f t="shared" si="1136"/>
        <v>238.78</v>
      </c>
      <c r="AH358" s="220">
        <f t="shared" si="1137"/>
        <v>43.78</v>
      </c>
      <c r="AI358" s="220">
        <f t="shared" si="1138"/>
        <v>195</v>
      </c>
      <c r="AJ358" s="220">
        <f t="shared" si="1060"/>
        <v>0</v>
      </c>
      <c r="AK358" s="216">
        <f t="shared" si="1038"/>
        <v>270</v>
      </c>
      <c r="AL358" s="220">
        <f t="shared" si="1020"/>
        <v>175.6</v>
      </c>
      <c r="AM358" s="220">
        <f t="shared" si="1021"/>
        <v>0</v>
      </c>
      <c r="AN358" s="221">
        <f t="shared" si="1022"/>
        <v>175.6</v>
      </c>
      <c r="AO358" s="220">
        <f t="shared" si="1023"/>
        <v>0</v>
      </c>
      <c r="AP358" s="220">
        <f t="shared" si="1024"/>
        <v>0</v>
      </c>
      <c r="AQ358" s="220">
        <f t="shared" si="1025"/>
        <v>40</v>
      </c>
      <c r="AR358" s="220">
        <f t="shared" si="1026"/>
        <v>0</v>
      </c>
      <c r="AS358" s="220">
        <f t="shared" si="1027"/>
        <v>0</v>
      </c>
      <c r="AT358" s="216">
        <f t="shared" si="1028"/>
        <v>215.6</v>
      </c>
      <c r="AU358" s="222">
        <f t="shared" si="1117"/>
        <v>-94.4</v>
      </c>
      <c r="AV358" s="220"/>
      <c r="AW358" s="220">
        <f t="shared" si="1006"/>
        <v>-94.4</v>
      </c>
      <c r="AX358" s="216">
        <f t="shared" si="1046"/>
        <v>-94.4</v>
      </c>
      <c r="AY358" s="220">
        <f t="shared" si="1013"/>
        <v>0</v>
      </c>
      <c r="AZ358" s="220">
        <f t="shared" si="1014"/>
        <v>0</v>
      </c>
      <c r="BA358" s="220">
        <f t="shared" si="1015"/>
        <v>0</v>
      </c>
      <c r="BB358" s="220">
        <f t="shared" si="1016"/>
        <v>0</v>
      </c>
      <c r="BC358" s="220">
        <f t="shared" si="1017"/>
        <v>0</v>
      </c>
      <c r="BD358" s="216">
        <f t="shared" si="988"/>
        <v>0</v>
      </c>
      <c r="BE358" s="220">
        <f t="shared" si="1007"/>
        <v>0</v>
      </c>
      <c r="BF358" s="220">
        <f t="shared" si="1008"/>
        <v>0</v>
      </c>
      <c r="BG358" s="220">
        <f t="shared" si="1009"/>
        <v>-40</v>
      </c>
      <c r="BH358" s="220">
        <f t="shared" si="1010"/>
        <v>0</v>
      </c>
      <c r="BI358" s="220">
        <f t="shared" si="1011"/>
        <v>0</v>
      </c>
      <c r="BJ358" s="220" t="s">
        <v>3063</v>
      </c>
      <c r="BK358" s="220"/>
      <c r="BL358" s="223">
        <f t="shared" si="1004"/>
        <v>0</v>
      </c>
      <c r="BM358" s="220">
        <v>3.33</v>
      </c>
      <c r="BN358" s="220"/>
      <c r="BO358" s="220">
        <f t="shared" si="1139"/>
        <v>3.33</v>
      </c>
      <c r="BP358" s="220">
        <f>IF(AND(BL358&gt;0,BL358&lt;tiet!$D$1),BL358,IF(BL358&lt;=0,0,IF(BL358&gt;tiet!$C$1,tiet!$C$1)))</f>
        <v>0</v>
      </c>
      <c r="BQ358" s="87">
        <f t="shared" si="1047"/>
        <v>65000</v>
      </c>
      <c r="BR358" s="224">
        <f t="shared" si="1048"/>
        <v>0</v>
      </c>
      <c r="BS358" s="220">
        <f t="shared" si="1068"/>
        <v>0</v>
      </c>
      <c r="BT358" s="224">
        <f>VLOOKUP(N358,ma_dinhmuc!$A$1:$J$31,10,0)</f>
        <v>51000</v>
      </c>
      <c r="BU358" s="224">
        <f>ROUND(IF(BS358&gt;0,VLOOKUP(N358,ma_dinhmuc!$A$1:$J$31,10,0)*BS358,0),0)</f>
        <v>0</v>
      </c>
      <c r="BV358" s="224">
        <f t="shared" si="1049"/>
        <v>0</v>
      </c>
      <c r="BW358" s="224"/>
      <c r="BX358" s="224">
        <v>0</v>
      </c>
      <c r="BY358" s="224"/>
      <c r="BZ358" s="224"/>
      <c r="CA358" s="224"/>
      <c r="CB358" s="224"/>
      <c r="CC358" s="225">
        <f t="shared" si="1069"/>
        <v>0</v>
      </c>
      <c r="CD358" s="224">
        <f t="shared" si="1070"/>
        <v>0</v>
      </c>
      <c r="CE358" s="224"/>
      <c r="CF358" s="226"/>
      <c r="CG358" s="87"/>
      <c r="CH358" s="87">
        <f t="shared" si="1140"/>
        <v>35</v>
      </c>
      <c r="CI358" s="227" t="str">
        <f t="shared" si="1145"/>
        <v>Trần Thanh</v>
      </c>
      <c r="CJ358" s="227" t="str">
        <f t="shared" si="1145"/>
        <v>Hương</v>
      </c>
      <c r="CK358" s="87">
        <f t="shared" si="1142"/>
        <v>6</v>
      </c>
      <c r="CL358" s="227" t="str">
        <f t="shared" si="1112"/>
        <v>Xã hội học</v>
      </c>
      <c r="CM358" s="87" t="str">
        <f t="shared" si="1012"/>
        <v>CS2</v>
      </c>
      <c r="CN358" s="87">
        <f t="shared" si="1143"/>
        <v>270</v>
      </c>
      <c r="CO358" s="87">
        <f t="shared" si="1143"/>
        <v>120</v>
      </c>
      <c r="CP358" s="229">
        <f t="shared" si="1076"/>
        <v>0</v>
      </c>
      <c r="CQ358" s="229">
        <f t="shared" si="1077"/>
        <v>18.2</v>
      </c>
      <c r="CR358" s="229">
        <f t="shared" si="1078"/>
        <v>7.4</v>
      </c>
      <c r="CS358" s="229">
        <f t="shared" si="1079"/>
        <v>0</v>
      </c>
      <c r="CT358" s="229">
        <f t="shared" si="1080"/>
        <v>0</v>
      </c>
      <c r="CU358" s="229">
        <f t="shared" si="1081"/>
        <v>150</v>
      </c>
      <c r="CV358" s="229">
        <f t="shared" si="1082"/>
        <v>0</v>
      </c>
      <c r="CW358" s="229">
        <f t="shared" si="1083"/>
        <v>0</v>
      </c>
      <c r="CX358" s="229">
        <f t="shared" si="1084"/>
        <v>0</v>
      </c>
      <c r="CY358" s="229">
        <f t="shared" si="1085"/>
        <v>0</v>
      </c>
      <c r="CZ358" s="229">
        <f t="shared" si="1086"/>
        <v>0</v>
      </c>
      <c r="DA358" s="229">
        <f t="shared" si="1087"/>
        <v>40</v>
      </c>
      <c r="DB358" s="228">
        <f t="shared" si="1018"/>
        <v>215.6</v>
      </c>
      <c r="DC358" s="229"/>
      <c r="DD358" s="229"/>
      <c r="DE358" s="229"/>
      <c r="DF358" s="229"/>
      <c r="DG358" s="229"/>
      <c r="DH358" s="229"/>
      <c r="DI358" s="229"/>
      <c r="DJ358" s="229"/>
      <c r="DK358" s="229"/>
      <c r="DL358" s="229"/>
      <c r="DM358" s="229"/>
      <c r="DN358" s="229"/>
      <c r="DO358" s="228">
        <f t="shared" si="1029"/>
        <v>0</v>
      </c>
      <c r="DP358" s="228">
        <f t="shared" si="1030"/>
        <v>215.6</v>
      </c>
      <c r="DQ358" s="229">
        <f t="shared" si="1088"/>
        <v>0</v>
      </c>
      <c r="DR358" s="229">
        <f t="shared" si="1089"/>
        <v>0</v>
      </c>
      <c r="DS358" s="229">
        <f t="shared" si="1090"/>
        <v>0</v>
      </c>
      <c r="DT358" s="229">
        <f t="shared" si="1091"/>
        <v>0</v>
      </c>
      <c r="DU358" s="229">
        <f t="shared" si="1092"/>
        <v>0</v>
      </c>
      <c r="DV358" s="229">
        <f t="shared" si="1093"/>
        <v>0</v>
      </c>
      <c r="DW358" s="229">
        <f t="shared" si="1094"/>
        <v>0</v>
      </c>
      <c r="DX358" s="228">
        <f t="shared" si="1019"/>
        <v>0</v>
      </c>
      <c r="DY358" s="229"/>
      <c r="DZ358" s="229"/>
      <c r="EA358" s="229"/>
      <c r="EB358" s="229"/>
      <c r="EC358" s="229"/>
      <c r="ED358" s="229"/>
      <c r="EE358" s="229"/>
      <c r="EF358" s="228">
        <f t="shared" si="1072"/>
        <v>0</v>
      </c>
      <c r="EG358" s="228">
        <f t="shared" si="1031"/>
        <v>0</v>
      </c>
      <c r="EH358" s="229">
        <f t="shared" si="1073"/>
        <v>195</v>
      </c>
      <c r="EI358" s="229">
        <v>43.78</v>
      </c>
      <c r="EJ358" s="228">
        <f t="shared" si="1126"/>
        <v>238.78</v>
      </c>
      <c r="EK358" s="229"/>
      <c r="EL358" s="229"/>
      <c r="EM358" s="228">
        <f t="shared" si="1065"/>
        <v>0</v>
      </c>
      <c r="EN358" s="229">
        <f t="shared" si="1104"/>
        <v>195</v>
      </c>
      <c r="EO358" s="229">
        <f t="shared" si="1121"/>
        <v>43.78</v>
      </c>
      <c r="EP358" s="228">
        <f t="shared" si="1146"/>
        <v>238.78</v>
      </c>
      <c r="EQ358" s="173">
        <f t="shared" si="1075"/>
        <v>75</v>
      </c>
      <c r="ER358" s="189">
        <v>0</v>
      </c>
      <c r="ES358" s="189">
        <v>18.2</v>
      </c>
      <c r="ET358" s="189">
        <v>7.4</v>
      </c>
      <c r="EU358" s="189">
        <v>0</v>
      </c>
      <c r="EV358" s="189">
        <v>0</v>
      </c>
      <c r="EW358" s="189">
        <v>150</v>
      </c>
      <c r="EX358" s="189">
        <v>0</v>
      </c>
      <c r="EY358" s="189">
        <v>0</v>
      </c>
      <c r="EZ358" s="189">
        <v>0</v>
      </c>
      <c r="FA358" s="189">
        <v>0</v>
      </c>
      <c r="FB358" s="189">
        <v>0</v>
      </c>
      <c r="FC358" s="189">
        <v>40</v>
      </c>
      <c r="FD358" s="189">
        <v>0</v>
      </c>
      <c r="FE358" s="189">
        <v>0</v>
      </c>
      <c r="FF358" s="189">
        <v>0</v>
      </c>
      <c r="FG358" s="189">
        <v>0</v>
      </c>
      <c r="FH358" s="189">
        <v>0</v>
      </c>
      <c r="FI358" s="189">
        <v>0</v>
      </c>
      <c r="FJ358" s="189">
        <v>0</v>
      </c>
      <c r="FK358" s="189">
        <v>215.6</v>
      </c>
      <c r="FL358" s="189">
        <v>200</v>
      </c>
      <c r="FN358" s="132">
        <v>195</v>
      </c>
    </row>
    <row r="359" spans="1:170" ht="30" customHeight="1">
      <c r="A359" s="88">
        <f>COUNTIF($H$12:H359,H359)</f>
        <v>36</v>
      </c>
      <c r="B359" s="88" t="s">
        <v>744</v>
      </c>
      <c r="C359" s="88" t="s">
        <v>343</v>
      </c>
      <c r="D359" s="88"/>
      <c r="E359" s="88"/>
      <c r="F359" s="301" t="s">
        <v>630</v>
      </c>
      <c r="G359" s="89" t="s">
        <v>17</v>
      </c>
      <c r="H359" s="88">
        <v>6</v>
      </c>
      <c r="I359" s="88">
        <v>6</v>
      </c>
      <c r="J359" s="88">
        <v>6</v>
      </c>
      <c r="K359" s="90" t="s">
        <v>1094</v>
      </c>
      <c r="L359" s="90" t="s">
        <v>1094</v>
      </c>
      <c r="M359" s="214"/>
      <c r="N359" s="88" t="s">
        <v>1804</v>
      </c>
      <c r="O359" s="216">
        <f t="shared" si="1128"/>
        <v>2.67</v>
      </c>
      <c r="P359" s="88" t="str">
        <f t="shared" si="1144"/>
        <v>B1_3</v>
      </c>
      <c r="Q359" s="88">
        <f t="shared" si="951"/>
        <v>270</v>
      </c>
      <c r="R359" s="88">
        <f t="shared" si="952"/>
        <v>100</v>
      </c>
      <c r="S359" s="231" t="s">
        <v>498</v>
      </c>
      <c r="T359" s="214" t="s">
        <v>3091</v>
      </c>
      <c r="U359" s="88">
        <f>IF(RIGHT(T359,1)="K",(VLOOKUP(T359,ma_miengiam!$A$3:$B$80,2,0)*100)/2,VLOOKUP(T359,ma_miengiam!$A$3:$B$80,2,0)*100)</f>
        <v>20</v>
      </c>
      <c r="V359" s="88"/>
      <c r="W359" s="220">
        <f>IF(AND(T359="NTS",V359&gt;0),(Q359-(Q359*V359)/12)*VLOOKUP(T359,ma_miengiam!$A$3:$B$80,2,0)+(Q359-(Q359*(12-V359))/12),IF(AND(RIGHT(T359,1)="K",V359&gt;0),(VLOOKUP(T359,ma_miengiam!$A$3:$B$80,2,0)/2)*(Q359*V359)/12,IF(RIGHT(T359,1)="K",(VLOOKUP(T359,ma_miengiam!$A$3:$B$80,2,0)*Q359)/2,IF(V359&gt;0,VLOOKUP(T359,ma_miengiam!$A$3:$B$80,2,0)*Q359*V359/12,VLOOKUP(T359,ma_miengiam!$A$3:$B$80,2,0)*Q359))))</f>
        <v>54</v>
      </c>
      <c r="X359" s="220">
        <f>IF(T359="NTS",VLOOKUP(T359,ma_miengiam!$A$3:$B$80,2,0)*R359*V359,IF(AND(T359="NTS",V359=0),0,IF(AND(LEFT(T359,1)="K",V359=0),VLOOKUP(T359,ma_miengiam!$A$3:$B$80,2,0)*R359,IF(LEFT(T359,1)="K",(VLOOKUP(T359,ma_miengiam!$A$3:$B$80,2,0)*R359/12)*V359,IF(AND(LEFT(T359,1)="S",V359&gt;0),(R359/12)*V359,IF(AND(LEFT(T359,1)="S",V359=0),R359,IF(T359="DH",VLOOKUP(T359,ma_miengiam!$A$3:$B$80,2,0)*R359,0)))))))</f>
        <v>0</v>
      </c>
      <c r="Y359" s="220">
        <f t="shared" si="1107"/>
        <v>216</v>
      </c>
      <c r="Z359" s="220">
        <f t="shared" si="1133"/>
        <v>100</v>
      </c>
      <c r="AA359" s="220">
        <f t="shared" si="1147"/>
        <v>270</v>
      </c>
      <c r="AB359" s="220">
        <f t="shared" si="1147"/>
        <v>100</v>
      </c>
      <c r="AC359" s="220">
        <f t="shared" ref="AC359:AF360" si="1149">W359</f>
        <v>54</v>
      </c>
      <c r="AD359" s="220">
        <f t="shared" si="1149"/>
        <v>0</v>
      </c>
      <c r="AE359" s="220">
        <f t="shared" si="1149"/>
        <v>216</v>
      </c>
      <c r="AF359" s="220">
        <f t="shared" si="1149"/>
        <v>100</v>
      </c>
      <c r="AG359" s="220">
        <f>AH359+AI359</f>
        <v>136.28</v>
      </c>
      <c r="AH359" s="220">
        <f>EO359</f>
        <v>93.78</v>
      </c>
      <c r="AI359" s="220">
        <f>EN359</f>
        <v>42.5</v>
      </c>
      <c r="AJ359" s="220">
        <f t="shared" si="1060"/>
        <v>0</v>
      </c>
      <c r="AK359" s="216">
        <f t="shared" si="1038"/>
        <v>216</v>
      </c>
      <c r="AL359" s="220">
        <f t="shared" si="1020"/>
        <v>85.7</v>
      </c>
      <c r="AM359" s="220">
        <f t="shared" si="1021"/>
        <v>0</v>
      </c>
      <c r="AN359" s="221">
        <f t="shared" si="1022"/>
        <v>85.7</v>
      </c>
      <c r="AO359" s="220">
        <f t="shared" si="1023"/>
        <v>0</v>
      </c>
      <c r="AP359" s="220">
        <f t="shared" si="1024"/>
        <v>0</v>
      </c>
      <c r="AQ359" s="220">
        <f t="shared" si="1025"/>
        <v>60</v>
      </c>
      <c r="AR359" s="220">
        <f t="shared" si="1026"/>
        <v>0</v>
      </c>
      <c r="AS359" s="220">
        <f t="shared" si="1027"/>
        <v>0</v>
      </c>
      <c r="AT359" s="216">
        <f t="shared" si="1028"/>
        <v>145.69999999999999</v>
      </c>
      <c r="AU359" s="222">
        <f t="shared" si="1117"/>
        <v>-130.30000000000001</v>
      </c>
      <c r="AV359" s="220"/>
      <c r="AW359" s="220">
        <f t="shared" si="1006"/>
        <v>-130.30000000000001</v>
      </c>
      <c r="AX359" s="216">
        <f t="shared" si="1046"/>
        <v>-130.30000000000001</v>
      </c>
      <c r="AY359" s="220">
        <f t="shared" si="1013"/>
        <v>0</v>
      </c>
      <c r="AZ359" s="220">
        <f t="shared" si="1014"/>
        <v>0</v>
      </c>
      <c r="BA359" s="220">
        <f t="shared" si="1015"/>
        <v>0</v>
      </c>
      <c r="BB359" s="220">
        <f t="shared" si="1016"/>
        <v>0</v>
      </c>
      <c r="BC359" s="220">
        <f t="shared" si="1017"/>
        <v>0</v>
      </c>
      <c r="BD359" s="216">
        <f t="shared" si="988"/>
        <v>0</v>
      </c>
      <c r="BE359" s="220">
        <f t="shared" si="1007"/>
        <v>0</v>
      </c>
      <c r="BF359" s="220">
        <f t="shared" si="1008"/>
        <v>0</v>
      </c>
      <c r="BG359" s="220">
        <f t="shared" si="1009"/>
        <v>-60</v>
      </c>
      <c r="BH359" s="220">
        <f t="shared" si="1010"/>
        <v>0</v>
      </c>
      <c r="BI359" s="220">
        <f t="shared" si="1011"/>
        <v>0</v>
      </c>
      <c r="BJ359" s="220" t="s">
        <v>3063</v>
      </c>
      <c r="BK359" s="220"/>
      <c r="BL359" s="223">
        <f t="shared" si="1004"/>
        <v>0</v>
      </c>
      <c r="BM359" s="220">
        <v>2.67</v>
      </c>
      <c r="BN359" s="220"/>
      <c r="BO359" s="220">
        <f t="shared" si="1139"/>
        <v>2.67</v>
      </c>
      <c r="BP359" s="220">
        <f>IF(AND(BL359&gt;0,BL359&lt;tiet!$D$1),BL359,IF(BL359&lt;=0,0,IF(BL359&gt;tiet!$C$1,tiet!$C$1)))</f>
        <v>0</v>
      </c>
      <c r="BQ359" s="87">
        <f t="shared" si="1047"/>
        <v>60000</v>
      </c>
      <c r="BR359" s="224">
        <f t="shared" si="1048"/>
        <v>0</v>
      </c>
      <c r="BS359" s="220">
        <f t="shared" si="1068"/>
        <v>0</v>
      </c>
      <c r="BT359" s="224">
        <f>VLOOKUP(N359,ma_dinhmuc!$A$1:$J$31,10,0)</f>
        <v>51000</v>
      </c>
      <c r="BU359" s="224">
        <f>ROUND(IF(BS359&gt;0,VLOOKUP(N359,ma_dinhmuc!$A$1:$J$31,10,0)*BS359,0),0)</f>
        <v>0</v>
      </c>
      <c r="BV359" s="224">
        <f t="shared" si="1049"/>
        <v>0</v>
      </c>
      <c r="BW359" s="224"/>
      <c r="BX359" s="224">
        <v>0</v>
      </c>
      <c r="BY359" s="224"/>
      <c r="BZ359" s="224"/>
      <c r="CA359" s="224"/>
      <c r="CB359" s="224"/>
      <c r="CC359" s="225">
        <f t="shared" si="1069"/>
        <v>0</v>
      </c>
      <c r="CD359" s="224">
        <f t="shared" si="1070"/>
        <v>0</v>
      </c>
      <c r="CE359" s="224"/>
      <c r="CF359" s="226"/>
      <c r="CG359" s="87"/>
      <c r="CH359" s="87">
        <f t="shared" si="1140"/>
        <v>36</v>
      </c>
      <c r="CI359" s="227" t="str">
        <f t="shared" ref="CI359:CK360" si="1150">F359</f>
        <v>Phạm Thị Thu</v>
      </c>
      <c r="CJ359" s="227" t="str">
        <f t="shared" si="1150"/>
        <v>Hà</v>
      </c>
      <c r="CK359" s="87">
        <f t="shared" si="1150"/>
        <v>6</v>
      </c>
      <c r="CL359" s="227" t="str">
        <f t="shared" si="1112"/>
        <v>Xã hội học</v>
      </c>
      <c r="CM359" s="87" t="str">
        <f t="shared" si="1012"/>
        <v>CS2</v>
      </c>
      <c r="CN359" s="87">
        <f t="shared" ref="CN359:CO362" si="1151">Q359</f>
        <v>270</v>
      </c>
      <c r="CO359" s="87">
        <f t="shared" si="1151"/>
        <v>100</v>
      </c>
      <c r="CP359" s="229">
        <f t="shared" si="1076"/>
        <v>0</v>
      </c>
      <c r="CQ359" s="229">
        <f t="shared" si="1077"/>
        <v>7.6</v>
      </c>
      <c r="CR359" s="229">
        <f t="shared" si="1078"/>
        <v>3.1</v>
      </c>
      <c r="CS359" s="229">
        <f t="shared" si="1079"/>
        <v>0</v>
      </c>
      <c r="CT359" s="229">
        <f t="shared" si="1080"/>
        <v>0</v>
      </c>
      <c r="CU359" s="229">
        <f t="shared" si="1081"/>
        <v>75</v>
      </c>
      <c r="CV359" s="229">
        <f t="shared" si="1082"/>
        <v>0</v>
      </c>
      <c r="CW359" s="229">
        <f t="shared" si="1083"/>
        <v>0</v>
      </c>
      <c r="CX359" s="229">
        <f t="shared" si="1084"/>
        <v>0</v>
      </c>
      <c r="CY359" s="229">
        <f t="shared" si="1085"/>
        <v>0</v>
      </c>
      <c r="CZ359" s="229">
        <f t="shared" si="1086"/>
        <v>0</v>
      </c>
      <c r="DA359" s="229">
        <f t="shared" si="1087"/>
        <v>60</v>
      </c>
      <c r="DB359" s="228">
        <f t="shared" si="1018"/>
        <v>145.69999999999999</v>
      </c>
      <c r="DC359" s="229"/>
      <c r="DD359" s="229"/>
      <c r="DE359" s="229"/>
      <c r="DF359" s="229"/>
      <c r="DG359" s="229"/>
      <c r="DH359" s="229"/>
      <c r="DI359" s="229"/>
      <c r="DJ359" s="229"/>
      <c r="DK359" s="229"/>
      <c r="DL359" s="229"/>
      <c r="DM359" s="229"/>
      <c r="DN359" s="229"/>
      <c r="DO359" s="228">
        <f t="shared" si="1029"/>
        <v>0</v>
      </c>
      <c r="DP359" s="228">
        <f t="shared" si="1030"/>
        <v>145.69999999999999</v>
      </c>
      <c r="DQ359" s="229">
        <f t="shared" si="1088"/>
        <v>0</v>
      </c>
      <c r="DR359" s="229">
        <f t="shared" si="1089"/>
        <v>0</v>
      </c>
      <c r="DS359" s="229">
        <f t="shared" si="1090"/>
        <v>0</v>
      </c>
      <c r="DT359" s="229">
        <f t="shared" si="1091"/>
        <v>0</v>
      </c>
      <c r="DU359" s="229">
        <f t="shared" si="1092"/>
        <v>0</v>
      </c>
      <c r="DV359" s="229">
        <f t="shared" si="1093"/>
        <v>0</v>
      </c>
      <c r="DW359" s="229">
        <f t="shared" si="1094"/>
        <v>0</v>
      </c>
      <c r="DX359" s="228">
        <f t="shared" si="1019"/>
        <v>0</v>
      </c>
      <c r="DY359" s="229"/>
      <c r="DZ359" s="229"/>
      <c r="EA359" s="229"/>
      <c r="EB359" s="229"/>
      <c r="EC359" s="229"/>
      <c r="ED359" s="229"/>
      <c r="EE359" s="229"/>
      <c r="EF359" s="228">
        <f t="shared" si="1072"/>
        <v>0</v>
      </c>
      <c r="EG359" s="228">
        <f t="shared" si="1031"/>
        <v>0</v>
      </c>
      <c r="EH359" s="229">
        <f t="shared" si="1073"/>
        <v>42.5</v>
      </c>
      <c r="EI359" s="229">
        <v>93.78</v>
      </c>
      <c r="EJ359" s="228">
        <f t="shared" si="1126"/>
        <v>136.28</v>
      </c>
      <c r="EK359" s="229"/>
      <c r="EL359" s="229"/>
      <c r="EM359" s="228">
        <f t="shared" ref="EM359:EM384" si="1152">SUM(EK359:EL359)</f>
        <v>0</v>
      </c>
      <c r="EN359" s="229">
        <f t="shared" si="1104"/>
        <v>42.5</v>
      </c>
      <c r="EO359" s="229">
        <f t="shared" si="1121"/>
        <v>93.78</v>
      </c>
      <c r="EP359" s="228">
        <f t="shared" si="1146"/>
        <v>136.28</v>
      </c>
      <c r="EQ359" s="173">
        <f t="shared" si="1075"/>
        <v>0</v>
      </c>
      <c r="ER359" s="189">
        <v>0</v>
      </c>
      <c r="ES359" s="189">
        <v>7.6</v>
      </c>
      <c r="ET359" s="189">
        <v>3.1</v>
      </c>
      <c r="EU359" s="189">
        <v>0</v>
      </c>
      <c r="EV359" s="189">
        <v>0</v>
      </c>
      <c r="EW359" s="189">
        <v>75</v>
      </c>
      <c r="EX359" s="189">
        <v>0</v>
      </c>
      <c r="EY359" s="189">
        <v>0</v>
      </c>
      <c r="EZ359" s="189">
        <v>0</v>
      </c>
      <c r="FA359" s="189">
        <v>0</v>
      </c>
      <c r="FB359" s="189">
        <v>0</v>
      </c>
      <c r="FC359" s="189">
        <v>60</v>
      </c>
      <c r="FD359" s="189">
        <v>0</v>
      </c>
      <c r="FE359" s="189">
        <v>0</v>
      </c>
      <c r="FF359" s="189">
        <v>0</v>
      </c>
      <c r="FG359" s="189">
        <v>0</v>
      </c>
      <c r="FH359" s="189">
        <v>0</v>
      </c>
      <c r="FI359" s="189">
        <v>0</v>
      </c>
      <c r="FJ359" s="189">
        <v>0</v>
      </c>
      <c r="FK359" s="189">
        <v>145.69999999999999</v>
      </c>
      <c r="FL359" s="189">
        <v>139</v>
      </c>
      <c r="FN359" s="132">
        <v>42.5</v>
      </c>
    </row>
    <row r="360" spans="1:170" ht="60">
      <c r="A360" s="88">
        <f>COUNTIF($H$12:H360,H360)</f>
        <v>1</v>
      </c>
      <c r="B360" s="88" t="s">
        <v>745</v>
      </c>
      <c r="C360" s="88" t="s">
        <v>344</v>
      </c>
      <c r="D360" s="88"/>
      <c r="E360" s="88"/>
      <c r="F360" s="301" t="s">
        <v>2449</v>
      </c>
      <c r="G360" s="89" t="s">
        <v>1431</v>
      </c>
      <c r="H360" s="88">
        <v>7</v>
      </c>
      <c r="I360" s="88">
        <v>7</v>
      </c>
      <c r="J360" s="88">
        <v>7</v>
      </c>
      <c r="K360" s="90" t="s">
        <v>1095</v>
      </c>
      <c r="L360" s="90" t="s">
        <v>1095</v>
      </c>
      <c r="M360" s="214"/>
      <c r="N360" s="88" t="s">
        <v>1804</v>
      </c>
      <c r="O360" s="216">
        <f t="shared" si="1128"/>
        <v>3.99</v>
      </c>
      <c r="P360" s="88" t="str">
        <f t="shared" si="1144"/>
        <v>B1_4</v>
      </c>
      <c r="Q360" s="88">
        <f t="shared" si="951"/>
        <v>270</v>
      </c>
      <c r="R360" s="88">
        <f t="shared" si="952"/>
        <v>120</v>
      </c>
      <c r="S360" s="231" t="s">
        <v>2375</v>
      </c>
      <c r="T360" s="215" t="s">
        <v>1754</v>
      </c>
      <c r="U360" s="88">
        <f>IF(RIGHT(T360,1)="K",(VLOOKUP(T360,ma_miengiam!$A$3:$B$80,2,0)*100)/2,VLOOKUP(T360,ma_miengiam!$A$3:$B$80,2,0)*100)</f>
        <v>75</v>
      </c>
      <c r="V360" s="88"/>
      <c r="W360" s="220">
        <f>IF(AND(T360="NTS",V360&gt;0),(Q360-(Q360*V360)/12)*VLOOKUP(T360,ma_miengiam!$A$3:$B$80,2,0)+(Q360-(Q360*(12-V360))/12),IF(AND(RIGHT(T360,1)="K",V360&gt;0),(VLOOKUP(T360,ma_miengiam!$A$3:$B$80,2,0)/2)*(Q360*V360)/12,IF(RIGHT(T360,1)="K",(VLOOKUP(T360,ma_miengiam!$A$3:$B$80,2,0)*Q360)/2,IF(V360&gt;0,VLOOKUP(T360,ma_miengiam!$A$3:$B$80,2,0)*Q360*V360/12,VLOOKUP(T360,ma_miengiam!$A$3:$B$80,2,0)*Q360))))</f>
        <v>202.5</v>
      </c>
      <c r="X360" s="220">
        <f>IF(T360="NTS",VLOOKUP(T360,ma_miengiam!$A$3:$B$80,2,0)*R360*V360,IF(AND(T360="NTS",V360=0),0,IF(AND(LEFT(T360,1)="K",V360=0),VLOOKUP(T360,ma_miengiam!$A$3:$B$80,2,0)*R360,IF(LEFT(T360,1)="K",(VLOOKUP(T360,ma_miengiam!$A$3:$B$80,2,0)*R360/12)*V360,IF(AND(LEFT(T360,1)="S",V360&gt;0),(R360/12)*V360,IF(AND(LEFT(T360,1)="S",V360=0),R360,IF(T360="DH",VLOOKUP(T360,ma_miengiam!$A$3:$B$80,2,0)*R360,0)))))))</f>
        <v>90</v>
      </c>
      <c r="Y360" s="220">
        <f t="shared" si="1107"/>
        <v>67.5</v>
      </c>
      <c r="Z360" s="220">
        <f>IF(AND(T360="SĐH",V360&gt;0),(R360/12)*V360-X360,IF(AND(T360="DH",V360&gt;0),(R360*V360/12),IF(AND(T360&lt;&gt;"NTS",V360&gt;0),(R360*V360/12)-X360,IF(AND(T360="NTS",V360&gt;0),R360-X360,R360-X360))))</f>
        <v>30</v>
      </c>
      <c r="AA360" s="220">
        <f>Q360</f>
        <v>270</v>
      </c>
      <c r="AB360" s="220">
        <f>R360</f>
        <v>120</v>
      </c>
      <c r="AC360" s="220">
        <f t="shared" si="1149"/>
        <v>202.5</v>
      </c>
      <c r="AD360" s="220">
        <f t="shared" si="1149"/>
        <v>90</v>
      </c>
      <c r="AE360" s="220">
        <f t="shared" si="1149"/>
        <v>67.5</v>
      </c>
      <c r="AF360" s="220">
        <f t="shared" si="1149"/>
        <v>30</v>
      </c>
      <c r="AG360" s="220">
        <f>AH360+AI360</f>
        <v>186.45</v>
      </c>
      <c r="AH360" s="220">
        <f>EO360</f>
        <v>106.45</v>
      </c>
      <c r="AI360" s="220">
        <f>EN360</f>
        <v>80</v>
      </c>
      <c r="AJ360" s="220">
        <f>IF(AG360-Z360&gt;0,0,AG360-Z360)</f>
        <v>0</v>
      </c>
      <c r="AK360" s="216">
        <f t="shared" si="1038"/>
        <v>67.5</v>
      </c>
      <c r="AL360" s="220">
        <f t="shared" si="1020"/>
        <v>64.7</v>
      </c>
      <c r="AM360" s="220">
        <f t="shared" si="1021"/>
        <v>0</v>
      </c>
      <c r="AN360" s="221">
        <f t="shared" si="1022"/>
        <v>64.7</v>
      </c>
      <c r="AO360" s="220">
        <f t="shared" si="1023"/>
        <v>0</v>
      </c>
      <c r="AP360" s="220">
        <f t="shared" si="1024"/>
        <v>0</v>
      </c>
      <c r="AQ360" s="220">
        <f t="shared" si="1025"/>
        <v>0</v>
      </c>
      <c r="AR360" s="220">
        <f t="shared" si="1026"/>
        <v>0</v>
      </c>
      <c r="AS360" s="220">
        <f t="shared" si="1027"/>
        <v>0</v>
      </c>
      <c r="AT360" s="216">
        <f t="shared" si="1028"/>
        <v>64.7</v>
      </c>
      <c r="AU360" s="222">
        <f t="shared" si="1117"/>
        <v>-2.7999999999999972</v>
      </c>
      <c r="AV360" s="220"/>
      <c r="AW360" s="220">
        <f t="shared" si="1006"/>
        <v>-2.7999999999999972</v>
      </c>
      <c r="AX360" s="216">
        <f t="shared" si="1046"/>
        <v>-2.7999999999999972</v>
      </c>
      <c r="AY360" s="220">
        <f t="shared" si="1013"/>
        <v>0</v>
      </c>
      <c r="AZ360" s="220">
        <f t="shared" si="1014"/>
        <v>0</v>
      </c>
      <c r="BA360" s="220">
        <f t="shared" si="1015"/>
        <v>0</v>
      </c>
      <c r="BB360" s="220">
        <f t="shared" si="1016"/>
        <v>0</v>
      </c>
      <c r="BC360" s="220">
        <f t="shared" si="1017"/>
        <v>0</v>
      </c>
      <c r="BD360" s="216">
        <f t="shared" si="988"/>
        <v>0</v>
      </c>
      <c r="BE360" s="220">
        <f t="shared" si="1007"/>
        <v>0</v>
      </c>
      <c r="BF360" s="220">
        <f t="shared" si="1008"/>
        <v>0</v>
      </c>
      <c r="BG360" s="220">
        <f t="shared" si="1009"/>
        <v>0</v>
      </c>
      <c r="BH360" s="220">
        <f t="shared" si="1010"/>
        <v>0</v>
      </c>
      <c r="BI360" s="220">
        <f t="shared" si="1011"/>
        <v>0</v>
      </c>
      <c r="BJ360" s="220" t="s">
        <v>953</v>
      </c>
      <c r="BK360" s="220"/>
      <c r="BL360" s="223">
        <f t="shared" si="1004"/>
        <v>0</v>
      </c>
      <c r="BM360" s="220">
        <v>3.99</v>
      </c>
      <c r="BN360" s="220"/>
      <c r="BO360" s="220">
        <f>ROUND(BM360+(BM360*BN360),2)</f>
        <v>3.99</v>
      </c>
      <c r="BP360" s="220">
        <f>IF(AND(BL360&gt;0,BL360&lt;tiet!$D$1),BL360,IF(BL360&lt;=0,0,IF(BL360&gt;tiet!$C$1,tiet!$C$1)))</f>
        <v>0</v>
      </c>
      <c r="BQ360" s="87">
        <f>VLOOKUP(P360,ma_dinhmuc_moi,4,0)</f>
        <v>65000</v>
      </c>
      <c r="BR360" s="224">
        <f>ROUND(BQ360*BP360,0)</f>
        <v>0</v>
      </c>
      <c r="BS360" s="220">
        <f t="shared" si="1068"/>
        <v>0</v>
      </c>
      <c r="BT360" s="224">
        <f>VLOOKUP(N360,ma_dinhmuc!$A$1:$J$31,10,0)</f>
        <v>51000</v>
      </c>
      <c r="BU360" s="224">
        <f>ROUND(IF(BS360&gt;0,VLOOKUP(N360,ma_dinhmuc!$A$1:$J$31,10,0)*BS360,0),0)</f>
        <v>0</v>
      </c>
      <c r="BV360" s="224">
        <f>ROUND(BU360+BR360,0)</f>
        <v>0</v>
      </c>
      <c r="BW360" s="224"/>
      <c r="BX360" s="224">
        <v>0</v>
      </c>
      <c r="BY360" s="224"/>
      <c r="BZ360" s="224"/>
      <c r="CA360" s="224"/>
      <c r="CB360" s="224"/>
      <c r="CC360" s="225">
        <f t="shared" si="1069"/>
        <v>0</v>
      </c>
      <c r="CD360" s="224">
        <f t="shared" si="1070"/>
        <v>0</v>
      </c>
      <c r="CE360" s="224"/>
      <c r="CF360" s="226"/>
      <c r="CG360" s="87"/>
      <c r="CH360" s="87">
        <f>A360</f>
        <v>1</v>
      </c>
      <c r="CI360" s="227" t="str">
        <f t="shared" si="1150"/>
        <v>Nguyễn Công</v>
      </c>
      <c r="CJ360" s="227" t="str">
        <f t="shared" si="1150"/>
        <v>Ước</v>
      </c>
      <c r="CK360" s="87">
        <f t="shared" si="1150"/>
        <v>7</v>
      </c>
      <c r="CL360" s="227" t="str">
        <f t="shared" si="1112"/>
        <v>Phương pháp giáo dục</v>
      </c>
      <c r="CM360" s="87" t="str">
        <f t="shared" si="1012"/>
        <v>CS2</v>
      </c>
      <c r="CN360" s="87">
        <f t="shared" si="1151"/>
        <v>270</v>
      </c>
      <c r="CO360" s="87">
        <f t="shared" si="1151"/>
        <v>120</v>
      </c>
      <c r="CP360" s="229">
        <f t="shared" si="1076"/>
        <v>0</v>
      </c>
      <c r="CQ360" s="229">
        <f t="shared" si="1077"/>
        <v>3.3</v>
      </c>
      <c r="CR360" s="229">
        <f t="shared" si="1078"/>
        <v>1.4</v>
      </c>
      <c r="CS360" s="229">
        <f t="shared" si="1079"/>
        <v>0</v>
      </c>
      <c r="CT360" s="229">
        <f t="shared" si="1080"/>
        <v>0</v>
      </c>
      <c r="CU360" s="229">
        <f t="shared" si="1081"/>
        <v>45</v>
      </c>
      <c r="CV360" s="229">
        <f t="shared" si="1082"/>
        <v>0</v>
      </c>
      <c r="CW360" s="229">
        <f t="shared" si="1083"/>
        <v>15</v>
      </c>
      <c r="CX360" s="229">
        <f t="shared" si="1084"/>
        <v>0</v>
      </c>
      <c r="CY360" s="229">
        <f t="shared" si="1085"/>
        <v>0</v>
      </c>
      <c r="CZ360" s="229">
        <f t="shared" si="1086"/>
        <v>0</v>
      </c>
      <c r="DA360" s="229">
        <f t="shared" si="1087"/>
        <v>0</v>
      </c>
      <c r="DB360" s="228">
        <f t="shared" si="1018"/>
        <v>64.7</v>
      </c>
      <c r="DC360" s="229"/>
      <c r="DD360" s="229"/>
      <c r="DE360" s="229"/>
      <c r="DF360" s="229"/>
      <c r="DG360" s="229"/>
      <c r="DH360" s="229"/>
      <c r="DI360" s="229"/>
      <c r="DJ360" s="229"/>
      <c r="DK360" s="229"/>
      <c r="DL360" s="229"/>
      <c r="DM360" s="229"/>
      <c r="DN360" s="229"/>
      <c r="DO360" s="228">
        <f t="shared" si="1029"/>
        <v>0</v>
      </c>
      <c r="DP360" s="228">
        <f t="shared" si="1030"/>
        <v>64.7</v>
      </c>
      <c r="DQ360" s="229">
        <f t="shared" si="1088"/>
        <v>0</v>
      </c>
      <c r="DR360" s="229">
        <f t="shared" si="1089"/>
        <v>0</v>
      </c>
      <c r="DS360" s="229">
        <f t="shared" si="1090"/>
        <v>0</v>
      </c>
      <c r="DT360" s="229">
        <f t="shared" si="1091"/>
        <v>0</v>
      </c>
      <c r="DU360" s="229">
        <f t="shared" si="1092"/>
        <v>0</v>
      </c>
      <c r="DV360" s="229">
        <f t="shared" si="1093"/>
        <v>0</v>
      </c>
      <c r="DW360" s="229">
        <f t="shared" si="1094"/>
        <v>0</v>
      </c>
      <c r="DX360" s="228">
        <f t="shared" si="1019"/>
        <v>0</v>
      </c>
      <c r="DY360" s="229"/>
      <c r="DZ360" s="229"/>
      <c r="EA360" s="229"/>
      <c r="EB360" s="229"/>
      <c r="EC360" s="229"/>
      <c r="ED360" s="229"/>
      <c r="EE360" s="229"/>
      <c r="EF360" s="228">
        <f t="shared" si="1072"/>
        <v>0</v>
      </c>
      <c r="EG360" s="228">
        <f t="shared" si="1031"/>
        <v>0</v>
      </c>
      <c r="EH360" s="229">
        <f t="shared" si="1073"/>
        <v>80</v>
      </c>
      <c r="EI360" s="229">
        <v>106.45</v>
      </c>
      <c r="EJ360" s="228">
        <f t="shared" ref="EJ360:EJ368" si="1153">SUM(EH360:EI360)</f>
        <v>186.45</v>
      </c>
      <c r="EK360" s="229"/>
      <c r="EL360" s="229"/>
      <c r="EM360" s="228">
        <f t="shared" si="1152"/>
        <v>0</v>
      </c>
      <c r="EN360" s="229">
        <f t="shared" si="1104"/>
        <v>80</v>
      </c>
      <c r="EO360" s="229">
        <f t="shared" si="1121"/>
        <v>106.45</v>
      </c>
      <c r="EP360" s="228">
        <f>EM360+EJ360</f>
        <v>186.45</v>
      </c>
      <c r="EQ360" s="173">
        <f t="shared" si="1075"/>
        <v>50</v>
      </c>
      <c r="ER360" s="189">
        <v>0</v>
      </c>
      <c r="ES360" s="189">
        <v>3.3</v>
      </c>
      <c r="ET360" s="189">
        <v>1.4</v>
      </c>
      <c r="EU360" s="189">
        <v>0</v>
      </c>
      <c r="EV360" s="189">
        <v>0</v>
      </c>
      <c r="EW360" s="189">
        <v>45</v>
      </c>
      <c r="EX360" s="189">
        <v>0</v>
      </c>
      <c r="EY360" s="189">
        <v>15</v>
      </c>
      <c r="EZ360" s="189">
        <v>0</v>
      </c>
      <c r="FA360" s="189">
        <v>0</v>
      </c>
      <c r="FB360" s="189">
        <v>0</v>
      </c>
      <c r="FC360" s="189">
        <v>0</v>
      </c>
      <c r="FD360" s="189">
        <v>0</v>
      </c>
      <c r="FE360" s="189">
        <v>0</v>
      </c>
      <c r="FF360" s="189">
        <v>0</v>
      </c>
      <c r="FG360" s="189">
        <v>0</v>
      </c>
      <c r="FH360" s="189">
        <v>0</v>
      </c>
      <c r="FI360" s="189">
        <v>0</v>
      </c>
      <c r="FJ360" s="189">
        <v>0</v>
      </c>
      <c r="FK360" s="189">
        <v>64.7</v>
      </c>
      <c r="FL360" s="189">
        <v>64</v>
      </c>
      <c r="FN360" s="132">
        <v>80</v>
      </c>
    </row>
    <row r="361" spans="1:170" ht="45">
      <c r="A361" s="88">
        <f>COUNTIF($H$12:H361,H361)</f>
        <v>2</v>
      </c>
      <c r="B361" s="88" t="s">
        <v>746</v>
      </c>
      <c r="C361" s="88" t="s">
        <v>345</v>
      </c>
      <c r="D361" s="88"/>
      <c r="E361" s="88"/>
      <c r="F361" s="301" t="s">
        <v>2853</v>
      </c>
      <c r="G361" s="89" t="s">
        <v>26</v>
      </c>
      <c r="H361" s="88">
        <v>7</v>
      </c>
      <c r="I361" s="88">
        <v>7</v>
      </c>
      <c r="J361" s="88">
        <v>7</v>
      </c>
      <c r="K361" s="90" t="s">
        <v>1095</v>
      </c>
      <c r="L361" s="90" t="s">
        <v>1095</v>
      </c>
      <c r="M361" s="214"/>
      <c r="N361" s="88" t="s">
        <v>606</v>
      </c>
      <c r="O361" s="216">
        <f t="shared" si="1128"/>
        <v>4.4000000000000004</v>
      </c>
      <c r="P361" s="88" t="str">
        <f t="shared" si="1144"/>
        <v>B1_4</v>
      </c>
      <c r="Q361" s="88">
        <f t="shared" ref="Q361:Q421" si="1154">IF(M361&gt;0,VLOOKUP(P361,ma_dinhmuc_moi,2,0)/2,VLOOKUP(P361,ma_dinhmuc_moi,2,0))</f>
        <v>270</v>
      </c>
      <c r="R361" s="88">
        <f t="shared" ref="R361:R421" si="1155">IF(M361&gt;0,VLOOKUP(P361,ma_dinhmuc_moi,3,0)/2,VLOOKUP(P361,ma_dinhmuc_moi,3,0))</f>
        <v>120</v>
      </c>
      <c r="S361" s="231" t="s">
        <v>2374</v>
      </c>
      <c r="T361" s="88" t="s">
        <v>1754</v>
      </c>
      <c r="U361" s="88">
        <f>IF(RIGHT(T361,1)="K",(VLOOKUP(T361,ma_miengiam!$A$3:$B$80,2,0)*100)/2,VLOOKUP(T361,ma_miengiam!$A$3:$B$80,2,0)*100)</f>
        <v>75</v>
      </c>
      <c r="V361" s="88"/>
      <c r="W361" s="220">
        <f>IF(AND(T361="NTS",V361&gt;0),(Q361-(Q361*V361)/12)*VLOOKUP(T361,ma_miengiam!$A$3:$B$80,2,0)+(Q361-(Q361*(12-V361))/12),IF(AND(RIGHT(T361,1)="K",V361&gt;0),(VLOOKUP(T361,ma_miengiam!$A$3:$B$80,2,0)/2)*(Q361*V361)/12,IF(RIGHT(T361,1)="K",(VLOOKUP(T361,ma_miengiam!$A$3:$B$80,2,0)*Q361)/2,IF(V361&gt;0,VLOOKUP(T361,ma_miengiam!$A$3:$B$80,2,0)*Q361*V361/12,VLOOKUP(T361,ma_miengiam!$A$3:$B$80,2,0)*Q361))))</f>
        <v>202.5</v>
      </c>
      <c r="X361" s="220">
        <f>IF(T361="NTS",VLOOKUP(T361,ma_miengiam!$A$3:$B$80,2,0)*R361*V361,IF(AND(T361="NTS",V361=0),0,IF(AND(LEFT(T361,1)="K",V361=0),VLOOKUP(T361,ma_miengiam!$A$3:$B$80,2,0)*R361,IF(LEFT(T361,1)="K",(VLOOKUP(T361,ma_miengiam!$A$3:$B$80,2,0)*R361/12)*V361,IF(AND(LEFT(T361,1)="S",V361&gt;0),(R361/12)*V361,IF(AND(LEFT(T361,1)="S",V361=0),R361,IF(T361="DH",VLOOKUP(T361,ma_miengiam!$A$3:$B$80,2,0)*R361,0)))))))</f>
        <v>90</v>
      </c>
      <c r="Y361" s="220">
        <f t="shared" si="1107"/>
        <v>67.5</v>
      </c>
      <c r="Z361" s="220">
        <f t="shared" ref="Z361:Z391" si="1156">IF(AND(T361="SĐH",V361&gt;0),(R361/12)*V361-X361,IF(AND(T361="DH",V361&gt;0),(R361*V361/12),IF(AND(T361&lt;&gt;"NTS",V361&gt;0),(R361*V361/12)-X361,IF(AND(T361="NTS",V361&gt;0),R361-X361,R361-X361))))</f>
        <v>30</v>
      </c>
      <c r="AA361" s="220">
        <f t="shared" ref="AA361:AB363" si="1157">Q361</f>
        <v>270</v>
      </c>
      <c r="AB361" s="220">
        <f t="shared" si="1157"/>
        <v>120</v>
      </c>
      <c r="AC361" s="220">
        <f t="shared" ref="AC361:AF362" si="1158">W361</f>
        <v>202.5</v>
      </c>
      <c r="AD361" s="220">
        <f t="shared" si="1158"/>
        <v>90</v>
      </c>
      <c r="AE361" s="220">
        <f t="shared" si="1158"/>
        <v>67.5</v>
      </c>
      <c r="AF361" s="220">
        <f t="shared" si="1158"/>
        <v>30</v>
      </c>
      <c r="AG361" s="220">
        <f t="shared" si="1136"/>
        <v>186.66</v>
      </c>
      <c r="AH361" s="220">
        <f t="shared" si="1137"/>
        <v>103.33</v>
      </c>
      <c r="AI361" s="220">
        <f t="shared" si="1138"/>
        <v>83.33</v>
      </c>
      <c r="AJ361" s="220">
        <f t="shared" si="1060"/>
        <v>0</v>
      </c>
      <c r="AK361" s="216">
        <f t="shared" si="1038"/>
        <v>67.5</v>
      </c>
      <c r="AL361" s="220">
        <f t="shared" si="1020"/>
        <v>0</v>
      </c>
      <c r="AM361" s="220">
        <f t="shared" si="1021"/>
        <v>0</v>
      </c>
      <c r="AN361" s="221">
        <f t="shared" si="1022"/>
        <v>0</v>
      </c>
      <c r="AO361" s="220">
        <f t="shared" si="1023"/>
        <v>0</v>
      </c>
      <c r="AP361" s="220">
        <f t="shared" si="1024"/>
        <v>0</v>
      </c>
      <c r="AQ361" s="220">
        <f t="shared" si="1025"/>
        <v>20</v>
      </c>
      <c r="AR361" s="220">
        <f t="shared" si="1026"/>
        <v>0</v>
      </c>
      <c r="AS361" s="220">
        <f t="shared" si="1027"/>
        <v>0</v>
      </c>
      <c r="AT361" s="216">
        <f t="shared" si="1028"/>
        <v>20</v>
      </c>
      <c r="AU361" s="222">
        <f t="shared" si="1117"/>
        <v>-67.5</v>
      </c>
      <c r="AV361" s="220"/>
      <c r="AW361" s="220">
        <f t="shared" si="1006"/>
        <v>-67.5</v>
      </c>
      <c r="AX361" s="216">
        <f t="shared" si="1046"/>
        <v>-67.5</v>
      </c>
      <c r="AY361" s="220">
        <f t="shared" si="1013"/>
        <v>0</v>
      </c>
      <c r="AZ361" s="220">
        <f t="shared" si="1014"/>
        <v>0</v>
      </c>
      <c r="BA361" s="220">
        <f t="shared" si="1015"/>
        <v>0</v>
      </c>
      <c r="BB361" s="220">
        <f t="shared" si="1016"/>
        <v>0</v>
      </c>
      <c r="BC361" s="220">
        <f t="shared" si="1017"/>
        <v>0</v>
      </c>
      <c r="BD361" s="216">
        <f t="shared" si="988"/>
        <v>0</v>
      </c>
      <c r="BE361" s="220">
        <f t="shared" si="1007"/>
        <v>0</v>
      </c>
      <c r="BF361" s="220">
        <f t="shared" si="1008"/>
        <v>0</v>
      </c>
      <c r="BG361" s="220">
        <f t="shared" si="1009"/>
        <v>-20</v>
      </c>
      <c r="BH361" s="220">
        <f t="shared" si="1010"/>
        <v>0</v>
      </c>
      <c r="BI361" s="220">
        <f t="shared" si="1011"/>
        <v>0</v>
      </c>
      <c r="BJ361" s="220" t="s">
        <v>953</v>
      </c>
      <c r="BK361" s="220"/>
      <c r="BL361" s="223">
        <f t="shared" si="1004"/>
        <v>0</v>
      </c>
      <c r="BM361" s="220">
        <v>4.4000000000000004</v>
      </c>
      <c r="BN361" s="220"/>
      <c r="BO361" s="220">
        <f t="shared" si="1139"/>
        <v>4.4000000000000004</v>
      </c>
      <c r="BP361" s="220">
        <f>IF(AND(BL361&gt;0,BL361&lt;tiet!$D$1),BL361,IF(BL361&lt;=0,0,IF(BL361&gt;tiet!$C$1,tiet!$C$1)))</f>
        <v>0</v>
      </c>
      <c r="BQ361" s="87">
        <f t="shared" si="1047"/>
        <v>65000</v>
      </c>
      <c r="BR361" s="224">
        <f t="shared" si="1048"/>
        <v>0</v>
      </c>
      <c r="BS361" s="220">
        <f t="shared" si="1068"/>
        <v>0</v>
      </c>
      <c r="BT361" s="224">
        <f>VLOOKUP(N361,ma_dinhmuc!$A$1:$J$31,10,0)</f>
        <v>55000</v>
      </c>
      <c r="BU361" s="224">
        <f>ROUND(IF(BS361&gt;0,VLOOKUP(N361,ma_dinhmuc!$A$1:$J$31,10,0)*BS361,0),0)</f>
        <v>0</v>
      </c>
      <c r="BV361" s="224">
        <f t="shared" si="1049"/>
        <v>0</v>
      </c>
      <c r="BW361" s="224"/>
      <c r="BX361" s="224">
        <v>0</v>
      </c>
      <c r="BY361" s="224"/>
      <c r="BZ361" s="224"/>
      <c r="CA361" s="224"/>
      <c r="CB361" s="224"/>
      <c r="CC361" s="225">
        <f t="shared" si="1069"/>
        <v>0</v>
      </c>
      <c r="CD361" s="224">
        <f t="shared" si="1070"/>
        <v>0</v>
      </c>
      <c r="CE361" s="224"/>
      <c r="CF361" s="226"/>
      <c r="CG361" s="87"/>
      <c r="CH361" s="87">
        <f t="shared" si="1140"/>
        <v>2</v>
      </c>
      <c r="CI361" s="227" t="str">
        <f t="shared" ref="CI361:CJ368" si="1159">F361</f>
        <v>Nguyễn Tất</v>
      </c>
      <c r="CJ361" s="227" t="str">
        <f t="shared" si="1159"/>
        <v>Thắng</v>
      </c>
      <c r="CK361" s="87">
        <f t="shared" si="1142"/>
        <v>7</v>
      </c>
      <c r="CL361" s="227" t="str">
        <f t="shared" ref="CL361:CL366" si="1160">L361</f>
        <v>Phương pháp giáo dục</v>
      </c>
      <c r="CM361" s="87" t="str">
        <f t="shared" si="1012"/>
        <v>CS3</v>
      </c>
      <c r="CN361" s="87">
        <f t="shared" si="1151"/>
        <v>270</v>
      </c>
      <c r="CO361" s="87">
        <f t="shared" si="1151"/>
        <v>120</v>
      </c>
      <c r="CP361" s="229">
        <f t="shared" si="1076"/>
        <v>0</v>
      </c>
      <c r="CQ361" s="229">
        <f t="shared" si="1077"/>
        <v>0</v>
      </c>
      <c r="CR361" s="229">
        <f t="shared" si="1078"/>
        <v>0</v>
      </c>
      <c r="CS361" s="229">
        <f t="shared" si="1079"/>
        <v>0</v>
      </c>
      <c r="CT361" s="229">
        <f t="shared" si="1080"/>
        <v>0</v>
      </c>
      <c r="CU361" s="229">
        <f t="shared" si="1081"/>
        <v>0</v>
      </c>
      <c r="CV361" s="229">
        <f t="shared" si="1082"/>
        <v>0</v>
      </c>
      <c r="CW361" s="229">
        <f t="shared" si="1083"/>
        <v>0</v>
      </c>
      <c r="CX361" s="229">
        <f t="shared" si="1084"/>
        <v>0</v>
      </c>
      <c r="CY361" s="229">
        <f t="shared" si="1085"/>
        <v>0</v>
      </c>
      <c r="CZ361" s="229">
        <f t="shared" si="1086"/>
        <v>0</v>
      </c>
      <c r="DA361" s="229">
        <f t="shared" si="1087"/>
        <v>20</v>
      </c>
      <c r="DB361" s="228">
        <f t="shared" si="1018"/>
        <v>20</v>
      </c>
      <c r="DC361" s="229"/>
      <c r="DD361" s="229"/>
      <c r="DE361" s="229"/>
      <c r="DF361" s="229"/>
      <c r="DG361" s="229"/>
      <c r="DH361" s="229"/>
      <c r="DI361" s="229"/>
      <c r="DJ361" s="229"/>
      <c r="DK361" s="229"/>
      <c r="DL361" s="229"/>
      <c r="DM361" s="229"/>
      <c r="DN361" s="229"/>
      <c r="DO361" s="228">
        <f t="shared" si="1029"/>
        <v>0</v>
      </c>
      <c r="DP361" s="228">
        <f t="shared" si="1030"/>
        <v>20</v>
      </c>
      <c r="DQ361" s="229">
        <f t="shared" si="1088"/>
        <v>0</v>
      </c>
      <c r="DR361" s="229">
        <f t="shared" si="1089"/>
        <v>0</v>
      </c>
      <c r="DS361" s="229">
        <f t="shared" si="1090"/>
        <v>0</v>
      </c>
      <c r="DT361" s="229">
        <f t="shared" si="1091"/>
        <v>0</v>
      </c>
      <c r="DU361" s="229">
        <f t="shared" si="1092"/>
        <v>0</v>
      </c>
      <c r="DV361" s="229">
        <f t="shared" si="1093"/>
        <v>0</v>
      </c>
      <c r="DW361" s="229">
        <f t="shared" si="1094"/>
        <v>0</v>
      </c>
      <c r="DX361" s="228">
        <f t="shared" si="1019"/>
        <v>0</v>
      </c>
      <c r="DY361" s="229"/>
      <c r="DZ361" s="229"/>
      <c r="EA361" s="229"/>
      <c r="EB361" s="229"/>
      <c r="EC361" s="229"/>
      <c r="ED361" s="229"/>
      <c r="EE361" s="229"/>
      <c r="EF361" s="228">
        <f t="shared" si="1072"/>
        <v>0</v>
      </c>
      <c r="EG361" s="228">
        <f t="shared" si="1031"/>
        <v>0</v>
      </c>
      <c r="EH361" s="229">
        <f t="shared" si="1073"/>
        <v>83.33</v>
      </c>
      <c r="EI361" s="229">
        <v>103.33</v>
      </c>
      <c r="EJ361" s="228">
        <f t="shared" si="1153"/>
        <v>186.66</v>
      </c>
      <c r="EK361" s="229"/>
      <c r="EL361" s="229"/>
      <c r="EM361" s="228">
        <f t="shared" si="1152"/>
        <v>0</v>
      </c>
      <c r="EN361" s="229">
        <f t="shared" si="1104"/>
        <v>83.33</v>
      </c>
      <c r="EO361" s="229">
        <f t="shared" si="1121"/>
        <v>103.33</v>
      </c>
      <c r="EP361" s="228">
        <f t="shared" si="1146"/>
        <v>186.66</v>
      </c>
      <c r="EQ361" s="173">
        <f t="shared" si="1075"/>
        <v>53.33</v>
      </c>
      <c r="ER361" s="189">
        <v>0</v>
      </c>
      <c r="ES361" s="189">
        <v>0</v>
      </c>
      <c r="ET361" s="189">
        <v>0</v>
      </c>
      <c r="EU361" s="189">
        <v>0</v>
      </c>
      <c r="EV361" s="189">
        <v>0</v>
      </c>
      <c r="EW361" s="189">
        <v>0</v>
      </c>
      <c r="EX361" s="189">
        <v>0</v>
      </c>
      <c r="EY361" s="189">
        <v>0</v>
      </c>
      <c r="EZ361" s="189">
        <v>0</v>
      </c>
      <c r="FA361" s="189">
        <v>0</v>
      </c>
      <c r="FB361" s="189">
        <v>0</v>
      </c>
      <c r="FC361" s="189">
        <v>20</v>
      </c>
      <c r="FD361" s="189">
        <v>0</v>
      </c>
      <c r="FE361" s="189">
        <v>0</v>
      </c>
      <c r="FF361" s="189">
        <v>0</v>
      </c>
      <c r="FG361" s="189">
        <v>0</v>
      </c>
      <c r="FH361" s="189">
        <v>0</v>
      </c>
      <c r="FI361" s="189">
        <v>0</v>
      </c>
      <c r="FJ361" s="189">
        <v>0</v>
      </c>
      <c r="FK361" s="189">
        <v>20</v>
      </c>
      <c r="FL361" s="189">
        <v>20</v>
      </c>
      <c r="FN361" s="132">
        <v>83.33</v>
      </c>
    </row>
    <row r="362" spans="1:170" ht="30">
      <c r="A362" s="88">
        <f>COUNTIF($H$12:H362,H362)</f>
        <v>3</v>
      </c>
      <c r="B362" s="88" t="s">
        <v>747</v>
      </c>
      <c r="C362" s="88" t="s">
        <v>346</v>
      </c>
      <c r="D362" s="88"/>
      <c r="E362" s="88"/>
      <c r="F362" s="301" t="s">
        <v>2897</v>
      </c>
      <c r="G362" s="89" t="s">
        <v>646</v>
      </c>
      <c r="H362" s="88">
        <v>7</v>
      </c>
      <c r="I362" s="88">
        <v>7</v>
      </c>
      <c r="J362" s="88">
        <v>7</v>
      </c>
      <c r="K362" s="90" t="s">
        <v>1095</v>
      </c>
      <c r="L362" s="90" t="s">
        <v>1095</v>
      </c>
      <c r="M362" s="214"/>
      <c r="N362" s="88" t="s">
        <v>1804</v>
      </c>
      <c r="O362" s="216">
        <f t="shared" si="1128"/>
        <v>3.33</v>
      </c>
      <c r="P362" s="88" t="str">
        <f t="shared" si="1144"/>
        <v>B1_4</v>
      </c>
      <c r="Q362" s="88">
        <f t="shared" si="1154"/>
        <v>270</v>
      </c>
      <c r="R362" s="88">
        <f t="shared" si="1155"/>
        <v>120</v>
      </c>
      <c r="S362" s="218" t="s">
        <v>2376</v>
      </c>
      <c r="T362" s="88" t="s">
        <v>3094</v>
      </c>
      <c r="U362" s="88">
        <f>IF(RIGHT(T362,1)="K",(VLOOKUP(T362,ma_miengiam!$A$3:$B$80,2,0)*100)/2,VLOOKUP(T362,ma_miengiam!$A$3:$B$80,2,0)*100)</f>
        <v>35</v>
      </c>
      <c r="V362" s="88"/>
      <c r="W362" s="220">
        <f>IF(AND(T362="NTS",V362&gt;0),(Q362-(Q362*V362)/12)*VLOOKUP(T362,ma_miengiam!$A$3:$B$80,2,0)+(Q362-(Q362*(12-V362))/12),IF(AND(RIGHT(T362,1)="K",V362&gt;0),(VLOOKUP(T362,ma_miengiam!$A$3:$B$80,2,0)/2)*(Q362*V362)/12,IF(RIGHT(T362,1)="K",(VLOOKUP(T362,ma_miengiam!$A$3:$B$80,2,0)*Q362)/2,IF(V362&gt;0,VLOOKUP(T362,ma_miengiam!$A$3:$B$80,2,0)*Q362*V362/12,VLOOKUP(T362,ma_miengiam!$A$3:$B$80,2,0)*Q362))))</f>
        <v>94.5</v>
      </c>
      <c r="X362" s="220">
        <f>IF(T362="NTS",VLOOKUP(T362,ma_miengiam!$A$3:$B$80,2,0)*R362*V362,IF(AND(T362="NTS",V362=0),0,IF(AND(LEFT(T362,1)="K",V362=0),VLOOKUP(T362,ma_miengiam!$A$3:$B$80,2,0)*R362,IF(LEFT(T362,1)="K",(VLOOKUP(T362,ma_miengiam!$A$3:$B$80,2,0)*R362/12)*V362,IF(AND(LEFT(T362,1)="S",V362&gt;0),(R362/12)*V362,IF(AND(LEFT(T362,1)="S",V362=0),R362,IF(T362="DH",VLOOKUP(T362,ma_miengiam!$A$3:$B$80,2,0)*R362,0)))))))</f>
        <v>0</v>
      </c>
      <c r="Y362" s="220">
        <f t="shared" si="1107"/>
        <v>175.5</v>
      </c>
      <c r="Z362" s="220">
        <f t="shared" si="1156"/>
        <v>120</v>
      </c>
      <c r="AA362" s="220">
        <f t="shared" si="1157"/>
        <v>270</v>
      </c>
      <c r="AB362" s="220">
        <f t="shared" si="1157"/>
        <v>120</v>
      </c>
      <c r="AC362" s="220">
        <f t="shared" si="1158"/>
        <v>94.5</v>
      </c>
      <c r="AD362" s="220">
        <f t="shared" si="1158"/>
        <v>0</v>
      </c>
      <c r="AE362" s="220">
        <f t="shared" si="1158"/>
        <v>175.5</v>
      </c>
      <c r="AF362" s="220">
        <f t="shared" si="1158"/>
        <v>120</v>
      </c>
      <c r="AG362" s="220">
        <f t="shared" si="1136"/>
        <v>177.91</v>
      </c>
      <c r="AH362" s="220">
        <f t="shared" si="1137"/>
        <v>165.41</v>
      </c>
      <c r="AI362" s="220">
        <f t="shared" si="1138"/>
        <v>12.5</v>
      </c>
      <c r="AJ362" s="220">
        <f t="shared" si="1060"/>
        <v>0</v>
      </c>
      <c r="AK362" s="216">
        <f t="shared" si="1038"/>
        <v>175.5</v>
      </c>
      <c r="AL362" s="220">
        <f t="shared" si="1020"/>
        <v>86.1</v>
      </c>
      <c r="AM362" s="220">
        <f t="shared" si="1021"/>
        <v>0</v>
      </c>
      <c r="AN362" s="221">
        <f t="shared" si="1022"/>
        <v>86.1</v>
      </c>
      <c r="AO362" s="220">
        <f t="shared" si="1023"/>
        <v>0</v>
      </c>
      <c r="AP362" s="220">
        <f t="shared" si="1024"/>
        <v>0</v>
      </c>
      <c r="AQ362" s="220">
        <f t="shared" si="1025"/>
        <v>0</v>
      </c>
      <c r="AR362" s="220">
        <f t="shared" si="1026"/>
        <v>0</v>
      </c>
      <c r="AS362" s="220">
        <f t="shared" si="1027"/>
        <v>0</v>
      </c>
      <c r="AT362" s="216">
        <f t="shared" si="1028"/>
        <v>86.1</v>
      </c>
      <c r="AU362" s="222">
        <f t="shared" si="1117"/>
        <v>-89.4</v>
      </c>
      <c r="AV362" s="220"/>
      <c r="AW362" s="220">
        <f t="shared" si="1006"/>
        <v>-89.4</v>
      </c>
      <c r="AX362" s="216">
        <f t="shared" si="1046"/>
        <v>-89.4</v>
      </c>
      <c r="AY362" s="220">
        <f t="shared" si="1013"/>
        <v>0</v>
      </c>
      <c r="AZ362" s="220">
        <f t="shared" si="1014"/>
        <v>0</v>
      </c>
      <c r="BA362" s="220">
        <f t="shared" si="1015"/>
        <v>0</v>
      </c>
      <c r="BB362" s="220">
        <f t="shared" si="1016"/>
        <v>0</v>
      </c>
      <c r="BC362" s="220">
        <f t="shared" si="1017"/>
        <v>0</v>
      </c>
      <c r="BD362" s="216">
        <f t="shared" si="988"/>
        <v>0</v>
      </c>
      <c r="BE362" s="220">
        <f t="shared" si="1007"/>
        <v>0</v>
      </c>
      <c r="BF362" s="220">
        <f t="shared" si="1008"/>
        <v>0</v>
      </c>
      <c r="BG362" s="220">
        <f t="shared" si="1009"/>
        <v>0</v>
      </c>
      <c r="BH362" s="220">
        <f t="shared" si="1010"/>
        <v>0</v>
      </c>
      <c r="BI362" s="220">
        <f t="shared" si="1011"/>
        <v>0</v>
      </c>
      <c r="BJ362" s="220" t="s">
        <v>953</v>
      </c>
      <c r="BK362" s="220"/>
      <c r="BL362" s="223">
        <f t="shared" si="1004"/>
        <v>0</v>
      </c>
      <c r="BM362" s="220">
        <v>3.33</v>
      </c>
      <c r="BN362" s="220"/>
      <c r="BO362" s="220">
        <f t="shared" si="1139"/>
        <v>3.33</v>
      </c>
      <c r="BP362" s="220">
        <f>IF(AND(BL362&gt;0,BL362&lt;tiet!$D$1),BL362,IF(BL362&lt;=0,0,IF(BL362&gt;tiet!$C$1,tiet!$C$1)))</f>
        <v>0</v>
      </c>
      <c r="BQ362" s="87">
        <f t="shared" si="1047"/>
        <v>65000</v>
      </c>
      <c r="BR362" s="224">
        <f t="shared" si="1048"/>
        <v>0</v>
      </c>
      <c r="BS362" s="220">
        <f t="shared" si="1068"/>
        <v>0</v>
      </c>
      <c r="BT362" s="224">
        <f>VLOOKUP(N362,ma_dinhmuc!$A$1:$J$31,10,0)</f>
        <v>51000</v>
      </c>
      <c r="BU362" s="224">
        <f>ROUND(IF(BS362&gt;0,VLOOKUP(N362,ma_dinhmuc!$A$1:$J$31,10,0)*BS362,0),0)</f>
        <v>0</v>
      </c>
      <c r="BV362" s="224">
        <f t="shared" si="1049"/>
        <v>0</v>
      </c>
      <c r="BW362" s="224"/>
      <c r="BX362" s="224">
        <v>0</v>
      </c>
      <c r="BY362" s="224"/>
      <c r="BZ362" s="224"/>
      <c r="CA362" s="224"/>
      <c r="CB362" s="224"/>
      <c r="CC362" s="225">
        <f t="shared" si="1069"/>
        <v>0</v>
      </c>
      <c r="CD362" s="224">
        <f t="shared" si="1070"/>
        <v>0</v>
      </c>
      <c r="CE362" s="224"/>
      <c r="CF362" s="226"/>
      <c r="CG362" s="87"/>
      <c r="CH362" s="87">
        <f t="shared" si="1140"/>
        <v>3</v>
      </c>
      <c r="CI362" s="227" t="str">
        <f t="shared" si="1159"/>
        <v>Nguyễn Thị Thanh</v>
      </c>
      <c r="CJ362" s="227" t="str">
        <f t="shared" si="1159"/>
        <v>Hiền</v>
      </c>
      <c r="CK362" s="87">
        <f t="shared" si="1142"/>
        <v>7</v>
      </c>
      <c r="CL362" s="227" t="str">
        <f t="shared" si="1160"/>
        <v>Phương pháp giáo dục</v>
      </c>
      <c r="CM362" s="87" t="str">
        <f t="shared" si="1012"/>
        <v>CS2</v>
      </c>
      <c r="CN362" s="87">
        <f t="shared" si="1151"/>
        <v>270</v>
      </c>
      <c r="CO362" s="87">
        <f t="shared" si="1151"/>
        <v>120</v>
      </c>
      <c r="CP362" s="229">
        <f t="shared" si="1076"/>
        <v>0</v>
      </c>
      <c r="CQ362" s="229">
        <f t="shared" si="1077"/>
        <v>7.9</v>
      </c>
      <c r="CR362" s="229">
        <f t="shared" si="1078"/>
        <v>3.2</v>
      </c>
      <c r="CS362" s="229">
        <f t="shared" si="1079"/>
        <v>0</v>
      </c>
      <c r="CT362" s="229">
        <f t="shared" si="1080"/>
        <v>0</v>
      </c>
      <c r="CU362" s="229">
        <f t="shared" si="1081"/>
        <v>30</v>
      </c>
      <c r="CV362" s="229">
        <f t="shared" si="1082"/>
        <v>0</v>
      </c>
      <c r="CW362" s="229">
        <f t="shared" si="1083"/>
        <v>45</v>
      </c>
      <c r="CX362" s="229">
        <f t="shared" si="1084"/>
        <v>0</v>
      </c>
      <c r="CY362" s="229">
        <f t="shared" si="1085"/>
        <v>0</v>
      </c>
      <c r="CZ362" s="229">
        <f t="shared" si="1086"/>
        <v>0</v>
      </c>
      <c r="DA362" s="229">
        <f t="shared" si="1087"/>
        <v>0</v>
      </c>
      <c r="DB362" s="228">
        <f t="shared" si="1018"/>
        <v>86.1</v>
      </c>
      <c r="DC362" s="229"/>
      <c r="DD362" s="229"/>
      <c r="DE362" s="229"/>
      <c r="DF362" s="229"/>
      <c r="DG362" s="229"/>
      <c r="DH362" s="229"/>
      <c r="DI362" s="229"/>
      <c r="DJ362" s="229"/>
      <c r="DK362" s="229"/>
      <c r="DL362" s="229"/>
      <c r="DM362" s="229"/>
      <c r="DN362" s="229"/>
      <c r="DO362" s="228">
        <f t="shared" si="1029"/>
        <v>0</v>
      </c>
      <c r="DP362" s="228">
        <f t="shared" si="1030"/>
        <v>86.1</v>
      </c>
      <c r="DQ362" s="229">
        <f t="shared" si="1088"/>
        <v>0</v>
      </c>
      <c r="DR362" s="229">
        <f t="shared" si="1089"/>
        <v>0</v>
      </c>
      <c r="DS362" s="229">
        <f t="shared" si="1090"/>
        <v>0</v>
      </c>
      <c r="DT362" s="229">
        <f t="shared" si="1091"/>
        <v>0</v>
      </c>
      <c r="DU362" s="229">
        <f t="shared" si="1092"/>
        <v>0</v>
      </c>
      <c r="DV362" s="229">
        <f t="shared" si="1093"/>
        <v>0</v>
      </c>
      <c r="DW362" s="229">
        <f t="shared" si="1094"/>
        <v>0</v>
      </c>
      <c r="DX362" s="228">
        <f t="shared" si="1019"/>
        <v>0</v>
      </c>
      <c r="DY362" s="229"/>
      <c r="DZ362" s="229"/>
      <c r="EA362" s="229"/>
      <c r="EB362" s="229"/>
      <c r="EC362" s="229"/>
      <c r="ED362" s="229"/>
      <c r="EE362" s="229"/>
      <c r="EF362" s="228">
        <f t="shared" si="1072"/>
        <v>0</v>
      </c>
      <c r="EG362" s="228">
        <f t="shared" si="1031"/>
        <v>0</v>
      </c>
      <c r="EH362" s="229">
        <f t="shared" si="1073"/>
        <v>12.5</v>
      </c>
      <c r="EI362" s="229">
        <v>165.41</v>
      </c>
      <c r="EJ362" s="228">
        <f t="shared" si="1153"/>
        <v>177.91</v>
      </c>
      <c r="EK362" s="229"/>
      <c r="EL362" s="229"/>
      <c r="EM362" s="228">
        <f t="shared" si="1152"/>
        <v>0</v>
      </c>
      <c r="EN362" s="229">
        <f t="shared" si="1104"/>
        <v>12.5</v>
      </c>
      <c r="EO362" s="229">
        <f t="shared" si="1121"/>
        <v>165.41</v>
      </c>
      <c r="EP362" s="228">
        <f t="shared" si="1146"/>
        <v>177.91</v>
      </c>
      <c r="EQ362" s="173">
        <f t="shared" si="1075"/>
        <v>0</v>
      </c>
      <c r="ER362" s="189">
        <v>0</v>
      </c>
      <c r="ES362" s="189">
        <v>7.9</v>
      </c>
      <c r="ET362" s="189">
        <v>3.2</v>
      </c>
      <c r="EU362" s="189">
        <v>0</v>
      </c>
      <c r="EV362" s="189">
        <v>0</v>
      </c>
      <c r="EW362" s="189">
        <v>30</v>
      </c>
      <c r="EX362" s="189">
        <v>0</v>
      </c>
      <c r="EY362" s="189">
        <v>45</v>
      </c>
      <c r="EZ362" s="189">
        <v>0</v>
      </c>
      <c r="FA362" s="189">
        <v>0</v>
      </c>
      <c r="FB362" s="189">
        <v>0</v>
      </c>
      <c r="FC362" s="189">
        <v>0</v>
      </c>
      <c r="FD362" s="189">
        <v>0</v>
      </c>
      <c r="FE362" s="189">
        <v>0</v>
      </c>
      <c r="FF362" s="189">
        <v>0</v>
      </c>
      <c r="FG362" s="189">
        <v>0</v>
      </c>
      <c r="FH362" s="189">
        <v>0</v>
      </c>
      <c r="FI362" s="189">
        <v>0</v>
      </c>
      <c r="FJ362" s="189">
        <v>0</v>
      </c>
      <c r="FK362" s="189">
        <v>86.1</v>
      </c>
      <c r="FL362" s="189">
        <v>79</v>
      </c>
      <c r="FN362" s="132">
        <v>12.5</v>
      </c>
    </row>
    <row r="363" spans="1:170" ht="33.75" customHeight="1">
      <c r="A363" s="88">
        <f>COUNTIF($H$12:H363,H363)</f>
        <v>4</v>
      </c>
      <c r="B363" s="88" t="s">
        <v>748</v>
      </c>
      <c r="C363" s="88" t="s">
        <v>706</v>
      </c>
      <c r="D363" s="88"/>
      <c r="E363" s="88"/>
      <c r="F363" s="301" t="s">
        <v>1190</v>
      </c>
      <c r="G363" s="89" t="s">
        <v>917</v>
      </c>
      <c r="H363" s="88">
        <v>7</v>
      </c>
      <c r="I363" s="88">
        <v>7</v>
      </c>
      <c r="J363" s="88">
        <v>7</v>
      </c>
      <c r="K363" s="90" t="s">
        <v>1095</v>
      </c>
      <c r="L363" s="90" t="s">
        <v>1095</v>
      </c>
      <c r="M363" s="214"/>
      <c r="N363" s="88" t="s">
        <v>1804</v>
      </c>
      <c r="O363" s="216">
        <f t="shared" si="1128"/>
        <v>3</v>
      </c>
      <c r="P363" s="88" t="str">
        <f t="shared" si="1144"/>
        <v>B1_3</v>
      </c>
      <c r="Q363" s="88">
        <f t="shared" si="1154"/>
        <v>270</v>
      </c>
      <c r="R363" s="88">
        <f t="shared" si="1155"/>
        <v>100</v>
      </c>
      <c r="S363" s="218" t="s">
        <v>921</v>
      </c>
      <c r="T363" s="88" t="s">
        <v>3091</v>
      </c>
      <c r="U363" s="88">
        <f>IF(RIGHT(T363,1)="K",(VLOOKUP(T363,ma_miengiam!$A$3:$B$80,2,0)*100)/2,VLOOKUP(T363,ma_miengiam!$A$3:$B$80,2,0)*100)</f>
        <v>20</v>
      </c>
      <c r="V363" s="88"/>
      <c r="W363" s="220">
        <f>IF(AND(T363="NTS",V363&gt;0),(Q363-(Q363*V363)/12)*VLOOKUP(T363,ma_miengiam!$A$3:$B$80,2,0)+(Q363-(Q363*(12-V363))/12),IF(AND(RIGHT(T363,1)="K",V363&gt;0),(VLOOKUP(T363,ma_miengiam!$A$3:$B$80,2,0)/2)*(Q363*V363)/12,IF(RIGHT(T363,1)="K",(VLOOKUP(T363,ma_miengiam!$A$3:$B$80,2,0)*Q363)/2,IF(V363&gt;0,VLOOKUP(T363,ma_miengiam!$A$3:$B$80,2,0)*Q363*V363/12,VLOOKUP(T363,ma_miengiam!$A$3:$B$80,2,0)*Q363))))</f>
        <v>54</v>
      </c>
      <c r="X363" s="220">
        <f>IF(T363="NTS",VLOOKUP(T363,ma_miengiam!$A$3:$B$80,2,0)*R363*V363,IF(AND(T363="NTS",V363=0),0,IF(AND(LEFT(T363,1)="K",V363=0),VLOOKUP(T363,ma_miengiam!$A$3:$B$80,2,0)*R363,IF(LEFT(T363,1)="K",(VLOOKUP(T363,ma_miengiam!$A$3:$B$80,2,0)*R363/12)*V363,IF(AND(LEFT(T363,1)="S",V363&gt;0),(R363/12)*V363,IF(AND(LEFT(T363,1)="S",V363=0),R363,IF(T363="DH",VLOOKUP(T363,ma_miengiam!$A$3:$B$80,2,0)*R363,0)))))))</f>
        <v>0</v>
      </c>
      <c r="Y363" s="220">
        <f t="shared" si="1107"/>
        <v>216</v>
      </c>
      <c r="Z363" s="220">
        <f t="shared" si="1156"/>
        <v>100</v>
      </c>
      <c r="AA363" s="220">
        <f t="shared" si="1157"/>
        <v>270</v>
      </c>
      <c r="AB363" s="220">
        <f t="shared" si="1157"/>
        <v>100</v>
      </c>
      <c r="AC363" s="220">
        <f t="shared" ref="AC363:AF364" si="1161">W363</f>
        <v>54</v>
      </c>
      <c r="AD363" s="220">
        <f t="shared" si="1161"/>
        <v>0</v>
      </c>
      <c r="AE363" s="220">
        <f t="shared" si="1161"/>
        <v>216</v>
      </c>
      <c r="AF363" s="220">
        <f t="shared" si="1161"/>
        <v>100</v>
      </c>
      <c r="AG363" s="220">
        <f t="shared" si="1136"/>
        <v>184.16</v>
      </c>
      <c r="AH363" s="220">
        <f t="shared" si="1137"/>
        <v>75.83</v>
      </c>
      <c r="AI363" s="220">
        <f t="shared" si="1138"/>
        <v>108.33</v>
      </c>
      <c r="AJ363" s="220">
        <f t="shared" si="1060"/>
        <v>0</v>
      </c>
      <c r="AK363" s="216">
        <f t="shared" si="1038"/>
        <v>216</v>
      </c>
      <c r="AL363" s="220">
        <f t="shared" si="1020"/>
        <v>155.80000000000001</v>
      </c>
      <c r="AM363" s="220">
        <f t="shared" si="1021"/>
        <v>0</v>
      </c>
      <c r="AN363" s="221">
        <f t="shared" si="1022"/>
        <v>155.80000000000001</v>
      </c>
      <c r="AO363" s="220">
        <f t="shared" si="1023"/>
        <v>0</v>
      </c>
      <c r="AP363" s="220">
        <f t="shared" si="1024"/>
        <v>0</v>
      </c>
      <c r="AQ363" s="220">
        <f t="shared" si="1025"/>
        <v>0</v>
      </c>
      <c r="AR363" s="220">
        <f t="shared" si="1026"/>
        <v>0</v>
      </c>
      <c r="AS363" s="220">
        <f t="shared" si="1027"/>
        <v>0</v>
      </c>
      <c r="AT363" s="216">
        <f t="shared" si="1028"/>
        <v>155.80000000000001</v>
      </c>
      <c r="AU363" s="222">
        <f t="shared" si="1117"/>
        <v>-60.199999999999989</v>
      </c>
      <c r="AV363" s="220"/>
      <c r="AW363" s="220">
        <f t="shared" si="1006"/>
        <v>-60.199999999999989</v>
      </c>
      <c r="AX363" s="216">
        <f t="shared" si="1046"/>
        <v>-60.199999999999989</v>
      </c>
      <c r="AY363" s="220">
        <f t="shared" si="1013"/>
        <v>0</v>
      </c>
      <c r="AZ363" s="220">
        <f t="shared" si="1014"/>
        <v>0</v>
      </c>
      <c r="BA363" s="220">
        <f t="shared" si="1015"/>
        <v>0</v>
      </c>
      <c r="BB363" s="220">
        <f t="shared" si="1016"/>
        <v>0</v>
      </c>
      <c r="BC363" s="220">
        <f t="shared" si="1017"/>
        <v>0</v>
      </c>
      <c r="BD363" s="216">
        <f t="shared" si="988"/>
        <v>0</v>
      </c>
      <c r="BE363" s="220">
        <f t="shared" si="1007"/>
        <v>0</v>
      </c>
      <c r="BF363" s="220">
        <f t="shared" si="1008"/>
        <v>0</v>
      </c>
      <c r="BG363" s="220">
        <f t="shared" si="1009"/>
        <v>0</v>
      </c>
      <c r="BH363" s="220">
        <f t="shared" si="1010"/>
        <v>0</v>
      </c>
      <c r="BI363" s="220">
        <f t="shared" si="1011"/>
        <v>0</v>
      </c>
      <c r="BJ363" s="220" t="s">
        <v>953</v>
      </c>
      <c r="BK363" s="220"/>
      <c r="BL363" s="223">
        <f t="shared" si="1004"/>
        <v>0</v>
      </c>
      <c r="BM363" s="220">
        <v>3</v>
      </c>
      <c r="BN363" s="220"/>
      <c r="BO363" s="220">
        <f t="shared" si="1139"/>
        <v>3</v>
      </c>
      <c r="BP363" s="220">
        <f>IF(AND(BL363&gt;0,BL363&lt;tiet!$D$1),BL363,IF(BL363&lt;=0,0,IF(BL363&gt;tiet!$C$1,tiet!$C$1)))</f>
        <v>0</v>
      </c>
      <c r="BQ363" s="87">
        <f t="shared" si="1047"/>
        <v>60000</v>
      </c>
      <c r="BR363" s="224">
        <f t="shared" si="1048"/>
        <v>0</v>
      </c>
      <c r="BS363" s="220">
        <f t="shared" si="1068"/>
        <v>0</v>
      </c>
      <c r="BT363" s="224">
        <f>VLOOKUP(N363,ma_dinhmuc!$A$1:$J$31,10,0)</f>
        <v>51000</v>
      </c>
      <c r="BU363" s="224">
        <f>ROUND(IF(BS363&gt;0,VLOOKUP(N363,ma_dinhmuc!$A$1:$J$31,10,0)*BS363,0),0)</f>
        <v>0</v>
      </c>
      <c r="BV363" s="224">
        <f t="shared" si="1049"/>
        <v>0</v>
      </c>
      <c r="BW363" s="224"/>
      <c r="BX363" s="224">
        <v>0</v>
      </c>
      <c r="BY363" s="224"/>
      <c r="BZ363" s="224"/>
      <c r="CA363" s="224"/>
      <c r="CB363" s="224"/>
      <c r="CC363" s="225">
        <f t="shared" si="1069"/>
        <v>0</v>
      </c>
      <c r="CD363" s="224">
        <f t="shared" si="1070"/>
        <v>0</v>
      </c>
      <c r="CE363" s="224"/>
      <c r="CF363" s="226"/>
      <c r="CG363" s="87"/>
      <c r="CH363" s="87">
        <f t="shared" si="1140"/>
        <v>4</v>
      </c>
      <c r="CI363" s="227" t="str">
        <f t="shared" si="1159"/>
        <v>Bùi Thị Hải</v>
      </c>
      <c r="CJ363" s="227" t="str">
        <f t="shared" si="1159"/>
        <v>Yến</v>
      </c>
      <c r="CK363" s="87">
        <f t="shared" si="1142"/>
        <v>7</v>
      </c>
      <c r="CL363" s="227" t="str">
        <f>L363</f>
        <v>Phương pháp giáo dục</v>
      </c>
      <c r="CM363" s="87" t="str">
        <f t="shared" si="1012"/>
        <v>CS2</v>
      </c>
      <c r="CN363" s="87">
        <f t="shared" ref="CN363:CO366" si="1162">Q363</f>
        <v>270</v>
      </c>
      <c r="CO363" s="87">
        <f t="shared" si="1162"/>
        <v>100</v>
      </c>
      <c r="CP363" s="229">
        <f t="shared" si="1076"/>
        <v>0</v>
      </c>
      <c r="CQ363" s="229">
        <f t="shared" si="1077"/>
        <v>11.3</v>
      </c>
      <c r="CR363" s="229">
        <f t="shared" si="1078"/>
        <v>4.5</v>
      </c>
      <c r="CS363" s="229">
        <f t="shared" si="1079"/>
        <v>0</v>
      </c>
      <c r="CT363" s="229">
        <f t="shared" si="1080"/>
        <v>0</v>
      </c>
      <c r="CU363" s="229">
        <f t="shared" si="1081"/>
        <v>30</v>
      </c>
      <c r="CV363" s="229">
        <f t="shared" si="1082"/>
        <v>0</v>
      </c>
      <c r="CW363" s="229">
        <f t="shared" si="1083"/>
        <v>110</v>
      </c>
      <c r="CX363" s="229">
        <f t="shared" si="1084"/>
        <v>0</v>
      </c>
      <c r="CY363" s="229">
        <f t="shared" si="1085"/>
        <v>0</v>
      </c>
      <c r="CZ363" s="229">
        <f t="shared" si="1086"/>
        <v>0</v>
      </c>
      <c r="DA363" s="229">
        <f t="shared" si="1087"/>
        <v>0</v>
      </c>
      <c r="DB363" s="228">
        <f t="shared" si="1018"/>
        <v>155.80000000000001</v>
      </c>
      <c r="DC363" s="229"/>
      <c r="DD363" s="229"/>
      <c r="DE363" s="229"/>
      <c r="DF363" s="229"/>
      <c r="DG363" s="229"/>
      <c r="DH363" s="229"/>
      <c r="DI363" s="229"/>
      <c r="DJ363" s="229"/>
      <c r="DK363" s="229"/>
      <c r="DL363" s="229"/>
      <c r="DM363" s="229"/>
      <c r="DN363" s="229"/>
      <c r="DO363" s="228">
        <f t="shared" si="1029"/>
        <v>0</v>
      </c>
      <c r="DP363" s="228">
        <f t="shared" si="1030"/>
        <v>155.80000000000001</v>
      </c>
      <c r="DQ363" s="229">
        <f t="shared" si="1088"/>
        <v>0</v>
      </c>
      <c r="DR363" s="229">
        <f t="shared" si="1089"/>
        <v>0</v>
      </c>
      <c r="DS363" s="229">
        <f t="shared" si="1090"/>
        <v>0</v>
      </c>
      <c r="DT363" s="229">
        <f t="shared" si="1091"/>
        <v>0</v>
      </c>
      <c r="DU363" s="229">
        <f t="shared" si="1092"/>
        <v>0</v>
      </c>
      <c r="DV363" s="229">
        <f t="shared" si="1093"/>
        <v>0</v>
      </c>
      <c r="DW363" s="229">
        <f t="shared" si="1094"/>
        <v>0</v>
      </c>
      <c r="DX363" s="228">
        <f t="shared" si="1019"/>
        <v>0</v>
      </c>
      <c r="DY363" s="229"/>
      <c r="DZ363" s="229"/>
      <c r="EA363" s="229"/>
      <c r="EB363" s="229"/>
      <c r="EC363" s="229"/>
      <c r="ED363" s="229"/>
      <c r="EE363" s="229"/>
      <c r="EF363" s="228">
        <f t="shared" si="1072"/>
        <v>0</v>
      </c>
      <c r="EG363" s="228">
        <f t="shared" si="1031"/>
        <v>0</v>
      </c>
      <c r="EH363" s="229">
        <f t="shared" si="1073"/>
        <v>108.33</v>
      </c>
      <c r="EI363" s="229">
        <v>75.83</v>
      </c>
      <c r="EJ363" s="228">
        <f t="shared" si="1153"/>
        <v>184.16</v>
      </c>
      <c r="EK363" s="229"/>
      <c r="EL363" s="229"/>
      <c r="EM363" s="228">
        <f t="shared" si="1152"/>
        <v>0</v>
      </c>
      <c r="EN363" s="229">
        <f t="shared" si="1104"/>
        <v>108.33</v>
      </c>
      <c r="EO363" s="229">
        <f t="shared" si="1121"/>
        <v>75.83</v>
      </c>
      <c r="EP363" s="228">
        <f t="shared" si="1146"/>
        <v>184.16</v>
      </c>
      <c r="EQ363" s="173">
        <f t="shared" si="1075"/>
        <v>8.3299999999999983</v>
      </c>
      <c r="ER363" s="189">
        <v>0</v>
      </c>
      <c r="ES363" s="189">
        <v>11.3</v>
      </c>
      <c r="ET363" s="189">
        <v>4.5</v>
      </c>
      <c r="EU363" s="189">
        <v>0</v>
      </c>
      <c r="EV363" s="189">
        <v>0</v>
      </c>
      <c r="EW363" s="189">
        <v>30</v>
      </c>
      <c r="EX363" s="189">
        <v>0</v>
      </c>
      <c r="EY363" s="189">
        <v>110</v>
      </c>
      <c r="EZ363" s="189">
        <v>0</v>
      </c>
      <c r="FA363" s="189">
        <v>0</v>
      </c>
      <c r="FB363" s="189">
        <v>0</v>
      </c>
      <c r="FC363" s="189">
        <v>0</v>
      </c>
      <c r="FD363" s="189">
        <v>0</v>
      </c>
      <c r="FE363" s="189">
        <v>0</v>
      </c>
      <c r="FF363" s="189">
        <v>0</v>
      </c>
      <c r="FG363" s="189">
        <v>0</v>
      </c>
      <c r="FH363" s="189">
        <v>0</v>
      </c>
      <c r="FI363" s="189">
        <v>0</v>
      </c>
      <c r="FJ363" s="189">
        <v>0</v>
      </c>
      <c r="FK363" s="189">
        <v>155.80000000000001</v>
      </c>
      <c r="FL363" s="189">
        <v>109</v>
      </c>
      <c r="FN363" s="132">
        <v>108.33</v>
      </c>
    </row>
    <row r="364" spans="1:170" ht="36" customHeight="1">
      <c r="A364" s="88">
        <f>COUNTIF($H$12:H364,H364)</f>
        <v>5</v>
      </c>
      <c r="B364" s="88" t="s">
        <v>749</v>
      </c>
      <c r="C364" s="88" t="s">
        <v>707</v>
      </c>
      <c r="D364" s="88"/>
      <c r="E364" s="88"/>
      <c r="F364" s="301" t="s">
        <v>915</v>
      </c>
      <c r="G364" s="89" t="s">
        <v>631</v>
      </c>
      <c r="H364" s="88">
        <v>7</v>
      </c>
      <c r="I364" s="88">
        <v>7</v>
      </c>
      <c r="J364" s="88">
        <v>7</v>
      </c>
      <c r="K364" s="90" t="s">
        <v>1095</v>
      </c>
      <c r="L364" s="90" t="s">
        <v>1095</v>
      </c>
      <c r="M364" s="214"/>
      <c r="N364" s="88" t="s">
        <v>1804</v>
      </c>
      <c r="O364" s="216">
        <f t="shared" si="1128"/>
        <v>2.67</v>
      </c>
      <c r="P364" s="88" t="str">
        <f t="shared" si="1144"/>
        <v>B1_3</v>
      </c>
      <c r="Q364" s="88">
        <f t="shared" si="1154"/>
        <v>270</v>
      </c>
      <c r="R364" s="88">
        <f t="shared" si="1155"/>
        <v>100</v>
      </c>
      <c r="S364" s="231" t="s">
        <v>2642</v>
      </c>
      <c r="T364" s="88" t="s">
        <v>3091</v>
      </c>
      <c r="U364" s="88">
        <f>IF(RIGHT(T364,1)="K",(VLOOKUP(T364,ma_miengiam!$A$3:$B$80,2,0)*100)/2,VLOOKUP(T364,ma_miengiam!$A$3:$B$80,2,0)*100)</f>
        <v>20</v>
      </c>
      <c r="V364" s="88">
        <v>6</v>
      </c>
      <c r="W364" s="220">
        <f>IF(AND(T364="NTS",V364&gt;0),(Q364-(Q364*V364)/12)*VLOOKUP(T364,ma_miengiam!$A$3:$B$80,2,0)+(Q364-(Q364*(12-V364))/12),IF(AND(RIGHT(T364,1)="K",V364&gt;0),(VLOOKUP(T364,ma_miengiam!$A$3:$B$80,2,0)/2)*(Q364*V364)/12,IF(RIGHT(T364,1)="K",(VLOOKUP(T364,ma_miengiam!$A$3:$B$80,2,0)*Q364)/2,IF(V364&gt;0,VLOOKUP(T364,ma_miengiam!$A$3:$B$80,2,0)*Q364*V364/12,VLOOKUP(T364,ma_miengiam!$A$3:$B$80,2,0)*Q364))))</f>
        <v>27</v>
      </c>
      <c r="X364" s="220">
        <f>IF(T364="NTS",VLOOKUP(T364,ma_miengiam!$A$3:$B$80,2,0)*R364*V364,IF(AND(T364="NTS",V364=0),0,IF(AND(LEFT(T364,1)="K",V364=0),VLOOKUP(T364,ma_miengiam!$A$3:$B$80,2,0)*R364,IF(LEFT(T364,1)="K",(VLOOKUP(T364,ma_miengiam!$A$3:$B$80,2,0)*R364/12)*V364,IF(AND(LEFT(T364,1)="S",V364&gt;0),(R364/12)*V364,IF(AND(LEFT(T364,1)="S",V364=0),R364,IF(T364="DH",VLOOKUP(T364,ma_miengiam!$A$3:$B$80,2,0)*R364,0)))))))</f>
        <v>0</v>
      </c>
      <c r="Y364" s="220">
        <f t="shared" si="1107"/>
        <v>108</v>
      </c>
      <c r="Z364" s="220">
        <f t="shared" si="1156"/>
        <v>50</v>
      </c>
      <c r="AA364" s="220">
        <f>Q364</f>
        <v>270</v>
      </c>
      <c r="AB364" s="220">
        <f>R364</f>
        <v>100</v>
      </c>
      <c r="AC364" s="220">
        <f t="shared" si="1161"/>
        <v>27</v>
      </c>
      <c r="AD364" s="220">
        <f t="shared" si="1161"/>
        <v>0</v>
      </c>
      <c r="AE364" s="220">
        <f t="shared" si="1161"/>
        <v>108</v>
      </c>
      <c r="AF364" s="220">
        <f t="shared" si="1161"/>
        <v>50</v>
      </c>
      <c r="AG364" s="220">
        <f>AH364+AI364</f>
        <v>51.25</v>
      </c>
      <c r="AH364" s="220">
        <f>EO364</f>
        <v>38.75</v>
      </c>
      <c r="AI364" s="220">
        <f>EN364</f>
        <v>12.5</v>
      </c>
      <c r="AJ364" s="220">
        <f t="shared" si="1060"/>
        <v>0</v>
      </c>
      <c r="AK364" s="216">
        <f t="shared" si="1038"/>
        <v>108</v>
      </c>
      <c r="AL364" s="220">
        <f t="shared" si="1020"/>
        <v>30.4</v>
      </c>
      <c r="AM364" s="220">
        <f t="shared" si="1021"/>
        <v>0</v>
      </c>
      <c r="AN364" s="221">
        <f t="shared" si="1022"/>
        <v>30.4</v>
      </c>
      <c r="AO364" s="220">
        <f t="shared" si="1023"/>
        <v>0</v>
      </c>
      <c r="AP364" s="220">
        <f t="shared" si="1024"/>
        <v>0</v>
      </c>
      <c r="AQ364" s="220">
        <f t="shared" si="1025"/>
        <v>0</v>
      </c>
      <c r="AR364" s="220">
        <f t="shared" si="1026"/>
        <v>0</v>
      </c>
      <c r="AS364" s="220">
        <f t="shared" si="1027"/>
        <v>0</v>
      </c>
      <c r="AT364" s="216">
        <f t="shared" si="1028"/>
        <v>30.4</v>
      </c>
      <c r="AU364" s="222">
        <f t="shared" si="1117"/>
        <v>-77.599999999999994</v>
      </c>
      <c r="AV364" s="220"/>
      <c r="AW364" s="220">
        <f t="shared" si="1006"/>
        <v>-77.599999999999994</v>
      </c>
      <c r="AX364" s="216">
        <f t="shared" si="1046"/>
        <v>-77.599999999999994</v>
      </c>
      <c r="AY364" s="220">
        <f t="shared" si="1013"/>
        <v>0</v>
      </c>
      <c r="AZ364" s="220">
        <f t="shared" si="1014"/>
        <v>0</v>
      </c>
      <c r="BA364" s="220">
        <f t="shared" si="1015"/>
        <v>0</v>
      </c>
      <c r="BB364" s="220">
        <f t="shared" si="1016"/>
        <v>0</v>
      </c>
      <c r="BC364" s="220">
        <f t="shared" si="1017"/>
        <v>0</v>
      </c>
      <c r="BD364" s="216">
        <f t="shared" si="988"/>
        <v>0</v>
      </c>
      <c r="BE364" s="220">
        <f t="shared" si="1007"/>
        <v>0</v>
      </c>
      <c r="BF364" s="220">
        <f t="shared" si="1008"/>
        <v>0</v>
      </c>
      <c r="BG364" s="220">
        <f t="shared" si="1009"/>
        <v>0</v>
      </c>
      <c r="BH364" s="220">
        <f t="shared" si="1010"/>
        <v>0</v>
      </c>
      <c r="BI364" s="220">
        <f t="shared" si="1011"/>
        <v>0</v>
      </c>
      <c r="BJ364" s="220" t="s">
        <v>953</v>
      </c>
      <c r="BK364" s="220"/>
      <c r="BL364" s="223">
        <f t="shared" si="1004"/>
        <v>0</v>
      </c>
      <c r="BM364" s="220">
        <v>2.67</v>
      </c>
      <c r="BN364" s="220"/>
      <c r="BO364" s="220">
        <f t="shared" si="1139"/>
        <v>2.67</v>
      </c>
      <c r="BP364" s="220">
        <f>IF(AND(BL364&gt;0,BL364&lt;tiet!$D$1),BL364,IF(BL364&lt;=0,0,IF(BL364&gt;tiet!$C$1,tiet!$C$1)))</f>
        <v>0</v>
      </c>
      <c r="BQ364" s="87">
        <f t="shared" si="1047"/>
        <v>60000</v>
      </c>
      <c r="BR364" s="224">
        <f t="shared" si="1048"/>
        <v>0</v>
      </c>
      <c r="BS364" s="220">
        <f t="shared" si="1068"/>
        <v>0</v>
      </c>
      <c r="BT364" s="224">
        <f>VLOOKUP(N364,ma_dinhmuc!$A$1:$J$31,10,0)</f>
        <v>51000</v>
      </c>
      <c r="BU364" s="224">
        <f>ROUND(IF(BS364&gt;0,VLOOKUP(N364,ma_dinhmuc!$A$1:$J$31,10,0)*BS364,0),0)</f>
        <v>0</v>
      </c>
      <c r="BV364" s="224">
        <f t="shared" si="1049"/>
        <v>0</v>
      </c>
      <c r="BW364" s="224"/>
      <c r="BX364" s="224">
        <v>0</v>
      </c>
      <c r="BY364" s="224"/>
      <c r="BZ364" s="224"/>
      <c r="CA364" s="224"/>
      <c r="CB364" s="224"/>
      <c r="CC364" s="225">
        <f t="shared" si="1069"/>
        <v>0</v>
      </c>
      <c r="CD364" s="224">
        <f t="shared" si="1070"/>
        <v>0</v>
      </c>
      <c r="CE364" s="224"/>
      <c r="CF364" s="226"/>
      <c r="CG364" s="87"/>
      <c r="CH364" s="87">
        <f t="shared" si="1140"/>
        <v>5</v>
      </c>
      <c r="CI364" s="227" t="str">
        <f t="shared" si="1159"/>
        <v>Lê Thị Kim</v>
      </c>
      <c r="CJ364" s="227" t="str">
        <f t="shared" si="1159"/>
        <v>Thư</v>
      </c>
      <c r="CK364" s="87">
        <f>H364</f>
        <v>7</v>
      </c>
      <c r="CL364" s="227" t="str">
        <f>L364</f>
        <v>Phương pháp giáo dục</v>
      </c>
      <c r="CM364" s="87" t="str">
        <f t="shared" si="1012"/>
        <v>CS2</v>
      </c>
      <c r="CN364" s="87">
        <f>Q364</f>
        <v>270</v>
      </c>
      <c r="CO364" s="87">
        <f>R364</f>
        <v>100</v>
      </c>
      <c r="CP364" s="229">
        <f t="shared" si="1076"/>
        <v>0</v>
      </c>
      <c r="CQ364" s="229">
        <f t="shared" si="1077"/>
        <v>0.4</v>
      </c>
      <c r="CR364" s="229">
        <f t="shared" si="1078"/>
        <v>0</v>
      </c>
      <c r="CS364" s="229">
        <f t="shared" si="1079"/>
        <v>0</v>
      </c>
      <c r="CT364" s="229">
        <f t="shared" si="1080"/>
        <v>0</v>
      </c>
      <c r="CU364" s="229">
        <f t="shared" si="1081"/>
        <v>0</v>
      </c>
      <c r="CV364" s="229">
        <f t="shared" si="1082"/>
        <v>0</v>
      </c>
      <c r="CW364" s="229">
        <f t="shared" si="1083"/>
        <v>30</v>
      </c>
      <c r="CX364" s="229">
        <f t="shared" si="1084"/>
        <v>0</v>
      </c>
      <c r="CY364" s="229">
        <f t="shared" si="1085"/>
        <v>0</v>
      </c>
      <c r="CZ364" s="229">
        <f t="shared" si="1086"/>
        <v>0</v>
      </c>
      <c r="DA364" s="229">
        <f t="shared" si="1087"/>
        <v>0</v>
      </c>
      <c r="DB364" s="228">
        <f t="shared" si="1018"/>
        <v>30.4</v>
      </c>
      <c r="DC364" s="229"/>
      <c r="DD364" s="229"/>
      <c r="DE364" s="229"/>
      <c r="DF364" s="229"/>
      <c r="DG364" s="229"/>
      <c r="DH364" s="229"/>
      <c r="DI364" s="229"/>
      <c r="DJ364" s="229"/>
      <c r="DK364" s="229"/>
      <c r="DL364" s="229"/>
      <c r="DM364" s="229"/>
      <c r="DN364" s="229"/>
      <c r="DO364" s="228">
        <f t="shared" si="1029"/>
        <v>0</v>
      </c>
      <c r="DP364" s="228">
        <f t="shared" si="1030"/>
        <v>30.4</v>
      </c>
      <c r="DQ364" s="229">
        <f t="shared" si="1088"/>
        <v>0</v>
      </c>
      <c r="DR364" s="229">
        <f t="shared" si="1089"/>
        <v>0</v>
      </c>
      <c r="DS364" s="229">
        <f t="shared" si="1090"/>
        <v>0</v>
      </c>
      <c r="DT364" s="229">
        <f t="shared" si="1091"/>
        <v>0</v>
      </c>
      <c r="DU364" s="229">
        <f t="shared" si="1092"/>
        <v>0</v>
      </c>
      <c r="DV364" s="229">
        <f t="shared" si="1093"/>
        <v>0</v>
      </c>
      <c r="DW364" s="229">
        <f t="shared" si="1094"/>
        <v>0</v>
      </c>
      <c r="DX364" s="228">
        <f t="shared" si="1019"/>
        <v>0</v>
      </c>
      <c r="DY364" s="229"/>
      <c r="DZ364" s="229"/>
      <c r="EA364" s="229"/>
      <c r="EB364" s="229"/>
      <c r="EC364" s="229"/>
      <c r="ED364" s="229"/>
      <c r="EE364" s="229"/>
      <c r="EF364" s="228">
        <f t="shared" si="1072"/>
        <v>0</v>
      </c>
      <c r="EG364" s="228">
        <f t="shared" si="1031"/>
        <v>0</v>
      </c>
      <c r="EH364" s="229">
        <f t="shared" si="1073"/>
        <v>12.5</v>
      </c>
      <c r="EI364" s="229">
        <v>38.75</v>
      </c>
      <c r="EJ364" s="228">
        <f t="shared" si="1153"/>
        <v>51.25</v>
      </c>
      <c r="EK364" s="229"/>
      <c r="EL364" s="229"/>
      <c r="EM364" s="228">
        <f t="shared" si="1152"/>
        <v>0</v>
      </c>
      <c r="EN364" s="229">
        <f t="shared" si="1104"/>
        <v>12.5</v>
      </c>
      <c r="EO364" s="229">
        <f t="shared" si="1121"/>
        <v>38.75</v>
      </c>
      <c r="EP364" s="228">
        <f t="shared" si="1146"/>
        <v>51.25</v>
      </c>
      <c r="EQ364" s="173">
        <f t="shared" si="1075"/>
        <v>0</v>
      </c>
      <c r="ER364" s="189">
        <v>0</v>
      </c>
      <c r="ES364" s="189">
        <v>0.4</v>
      </c>
      <c r="ET364" s="189">
        <v>0</v>
      </c>
      <c r="EU364" s="189">
        <v>0</v>
      </c>
      <c r="EV364" s="189">
        <v>0</v>
      </c>
      <c r="EW364" s="189">
        <v>0</v>
      </c>
      <c r="EX364" s="189">
        <v>0</v>
      </c>
      <c r="EY364" s="189">
        <v>30</v>
      </c>
      <c r="EZ364" s="189">
        <v>0</v>
      </c>
      <c r="FA364" s="189">
        <v>0</v>
      </c>
      <c r="FB364" s="189">
        <v>0</v>
      </c>
      <c r="FC364" s="189">
        <v>0</v>
      </c>
      <c r="FD364" s="189">
        <v>0</v>
      </c>
      <c r="FE364" s="189">
        <v>0</v>
      </c>
      <c r="FF364" s="189">
        <v>0</v>
      </c>
      <c r="FG364" s="189">
        <v>0</v>
      </c>
      <c r="FH364" s="189">
        <v>0</v>
      </c>
      <c r="FI364" s="189">
        <v>0</v>
      </c>
      <c r="FJ364" s="189">
        <v>0</v>
      </c>
      <c r="FK364" s="189">
        <v>30.4</v>
      </c>
      <c r="FL364" s="189">
        <v>31</v>
      </c>
      <c r="FN364" s="132">
        <v>12.5</v>
      </c>
    </row>
    <row r="365" spans="1:170" ht="31.5" customHeight="1">
      <c r="A365" s="88">
        <f>COUNTIF($H$12:H365,H365)</f>
        <v>6</v>
      </c>
      <c r="B365" s="88" t="s">
        <v>750</v>
      </c>
      <c r="C365" s="88" t="s">
        <v>708</v>
      </c>
      <c r="D365" s="88"/>
      <c r="E365" s="88"/>
      <c r="F365" s="301" t="s">
        <v>1191</v>
      </c>
      <c r="G365" s="89" t="s">
        <v>2815</v>
      </c>
      <c r="H365" s="88">
        <v>7</v>
      </c>
      <c r="I365" s="88">
        <v>7</v>
      </c>
      <c r="J365" s="88">
        <v>7</v>
      </c>
      <c r="K365" s="90" t="s">
        <v>1096</v>
      </c>
      <c r="L365" s="90" t="s">
        <v>1096</v>
      </c>
      <c r="M365" s="214"/>
      <c r="N365" s="88" t="s">
        <v>1804</v>
      </c>
      <c r="O365" s="216">
        <f t="shared" si="1128"/>
        <v>4.32</v>
      </c>
      <c r="P365" s="88" t="str">
        <f t="shared" si="1144"/>
        <v>B1_4</v>
      </c>
      <c r="Q365" s="88">
        <f t="shared" si="1154"/>
        <v>270</v>
      </c>
      <c r="R365" s="88">
        <f t="shared" si="1155"/>
        <v>120</v>
      </c>
      <c r="S365" s="231" t="s">
        <v>684</v>
      </c>
      <c r="T365" s="88" t="s">
        <v>3092</v>
      </c>
      <c r="U365" s="88">
        <f>IF(RIGHT(T365,1)="K",(VLOOKUP(T365,ma_miengiam!$A$3:$B$80,2,0)*100)/2,VLOOKUP(T365,ma_miengiam!$A$3:$B$80,2,0)*100)</f>
        <v>25</v>
      </c>
      <c r="V365" s="88"/>
      <c r="W365" s="220">
        <f>IF(AND(T365="NTS",V365&gt;0),(Q365-(Q365*V365)/12)*VLOOKUP(T365,ma_miengiam!$A$3:$B$80,2,0)+(Q365-(Q365*(12-V365))/12),IF(AND(RIGHT(T365,1)="K",V365&gt;0),(VLOOKUP(T365,ma_miengiam!$A$3:$B$80,2,0)/2)*(Q365*V365)/12,IF(RIGHT(T365,1)="K",(VLOOKUP(T365,ma_miengiam!$A$3:$B$80,2,0)*Q365)/2,IF(V365&gt;0,VLOOKUP(T365,ma_miengiam!$A$3:$B$80,2,0)*Q365*V365/12,VLOOKUP(T365,ma_miengiam!$A$3:$B$80,2,0)*Q365))))</f>
        <v>67.5</v>
      </c>
      <c r="X365" s="220">
        <f>IF(T365="NTS",VLOOKUP(T365,ma_miengiam!$A$3:$B$80,2,0)*R365*V365,IF(AND(T365="NTS",V365=0),0,IF(AND(LEFT(T365,1)="K",V365=0),VLOOKUP(T365,ma_miengiam!$A$3:$B$80,2,0)*R365,IF(LEFT(T365,1)="K",(VLOOKUP(T365,ma_miengiam!$A$3:$B$80,2,0)*R365/12)*V365,IF(AND(LEFT(T365,1)="S",V365&gt;0),(R365/12)*V365,IF(AND(LEFT(T365,1)="S",V365=0),R365,IF(T365="DH",VLOOKUP(T365,ma_miengiam!$A$3:$B$80,2,0)*R365,0)))))))</f>
        <v>0</v>
      </c>
      <c r="Y365" s="220">
        <f t="shared" si="1107"/>
        <v>202.5</v>
      </c>
      <c r="Z365" s="220">
        <f t="shared" si="1156"/>
        <v>120</v>
      </c>
      <c r="AA365" s="220">
        <f t="shared" ref="AA365:AB367" si="1163">Q365</f>
        <v>270</v>
      </c>
      <c r="AB365" s="220">
        <f t="shared" si="1163"/>
        <v>120</v>
      </c>
      <c r="AC365" s="220">
        <f t="shared" ref="AC365:AF367" si="1164">W365</f>
        <v>67.5</v>
      </c>
      <c r="AD365" s="220">
        <f t="shared" si="1164"/>
        <v>0</v>
      </c>
      <c r="AE365" s="220">
        <f t="shared" si="1164"/>
        <v>202.5</v>
      </c>
      <c r="AF365" s="220">
        <f t="shared" si="1164"/>
        <v>120</v>
      </c>
      <c r="AG365" s="220">
        <f t="shared" si="1136"/>
        <v>147.5</v>
      </c>
      <c r="AH365" s="220">
        <f t="shared" si="1137"/>
        <v>147.5</v>
      </c>
      <c r="AI365" s="220">
        <f t="shared" si="1138"/>
        <v>0</v>
      </c>
      <c r="AJ365" s="220">
        <f t="shared" si="1060"/>
        <v>0</v>
      </c>
      <c r="AK365" s="216">
        <f t="shared" si="1038"/>
        <v>202.5</v>
      </c>
      <c r="AL365" s="220">
        <f t="shared" si="1020"/>
        <v>77.099999999999994</v>
      </c>
      <c r="AM365" s="220">
        <f t="shared" si="1021"/>
        <v>0</v>
      </c>
      <c r="AN365" s="221">
        <f t="shared" si="1022"/>
        <v>77.099999999999994</v>
      </c>
      <c r="AO365" s="220">
        <f t="shared" si="1023"/>
        <v>0</v>
      </c>
      <c r="AP365" s="220">
        <f t="shared" si="1024"/>
        <v>0</v>
      </c>
      <c r="AQ365" s="220">
        <f t="shared" si="1025"/>
        <v>0</v>
      </c>
      <c r="AR365" s="220">
        <f t="shared" si="1026"/>
        <v>0</v>
      </c>
      <c r="AS365" s="220">
        <f t="shared" si="1027"/>
        <v>0</v>
      </c>
      <c r="AT365" s="216">
        <f t="shared" si="1028"/>
        <v>77.099999999999994</v>
      </c>
      <c r="AU365" s="222">
        <f t="shared" si="1117"/>
        <v>-125.4</v>
      </c>
      <c r="AV365" s="220"/>
      <c r="AW365" s="220">
        <f t="shared" si="1006"/>
        <v>-125.4</v>
      </c>
      <c r="AX365" s="216">
        <f t="shared" si="1046"/>
        <v>-125.4</v>
      </c>
      <c r="AY365" s="220">
        <f t="shared" si="1013"/>
        <v>0</v>
      </c>
      <c r="AZ365" s="220">
        <f t="shared" si="1014"/>
        <v>0</v>
      </c>
      <c r="BA365" s="220">
        <f t="shared" si="1015"/>
        <v>0</v>
      </c>
      <c r="BB365" s="220">
        <f t="shared" si="1016"/>
        <v>0</v>
      </c>
      <c r="BC365" s="220">
        <f t="shared" si="1017"/>
        <v>0</v>
      </c>
      <c r="BD365" s="216">
        <f t="shared" si="988"/>
        <v>0</v>
      </c>
      <c r="BE365" s="220">
        <f t="shared" si="1007"/>
        <v>0</v>
      </c>
      <c r="BF365" s="220">
        <f t="shared" si="1008"/>
        <v>0</v>
      </c>
      <c r="BG365" s="220">
        <f t="shared" si="1009"/>
        <v>0</v>
      </c>
      <c r="BH365" s="220">
        <f t="shared" si="1010"/>
        <v>0</v>
      </c>
      <c r="BI365" s="220">
        <f t="shared" si="1011"/>
        <v>0</v>
      </c>
      <c r="BJ365" s="220" t="s">
        <v>1793</v>
      </c>
      <c r="BK365" s="220"/>
      <c r="BL365" s="223">
        <f t="shared" si="1004"/>
        <v>0</v>
      </c>
      <c r="BM365" s="220">
        <v>4.32</v>
      </c>
      <c r="BN365" s="220"/>
      <c r="BO365" s="220">
        <f t="shared" si="1139"/>
        <v>4.32</v>
      </c>
      <c r="BP365" s="220">
        <f>IF(AND(BL365&gt;0,BL365&lt;tiet!$D$1),BL365,IF(BL365&lt;=0,0,IF(BL365&gt;tiet!$C$1,tiet!$C$1)))</f>
        <v>0</v>
      </c>
      <c r="BQ365" s="87">
        <f t="shared" si="1047"/>
        <v>65000</v>
      </c>
      <c r="BR365" s="224">
        <f t="shared" si="1048"/>
        <v>0</v>
      </c>
      <c r="BS365" s="220">
        <f t="shared" si="1068"/>
        <v>0</v>
      </c>
      <c r="BT365" s="224">
        <f>VLOOKUP(N365,ma_dinhmuc!$A$1:$J$31,10,0)</f>
        <v>51000</v>
      </c>
      <c r="BU365" s="224">
        <f>ROUND(IF(BS365&gt;0,VLOOKUP(N365,ma_dinhmuc!$A$1:$J$31,10,0)*BS365,0),0)</f>
        <v>0</v>
      </c>
      <c r="BV365" s="224">
        <f t="shared" si="1049"/>
        <v>0</v>
      </c>
      <c r="BW365" s="224"/>
      <c r="BX365" s="224">
        <v>0</v>
      </c>
      <c r="BY365" s="224"/>
      <c r="BZ365" s="224"/>
      <c r="CA365" s="224"/>
      <c r="CB365" s="224"/>
      <c r="CC365" s="225">
        <f t="shared" si="1069"/>
        <v>0</v>
      </c>
      <c r="CD365" s="224">
        <f t="shared" si="1070"/>
        <v>0</v>
      </c>
      <c r="CE365" s="224"/>
      <c r="CF365" s="226"/>
      <c r="CG365" s="87"/>
      <c r="CH365" s="87">
        <f t="shared" si="1140"/>
        <v>6</v>
      </c>
      <c r="CI365" s="227" t="str">
        <f t="shared" si="1159"/>
        <v>Trần Thị Hà</v>
      </c>
      <c r="CJ365" s="227" t="str">
        <f t="shared" si="1159"/>
        <v>Nghĩa</v>
      </c>
      <c r="CK365" s="87">
        <f t="shared" si="1142"/>
        <v>7</v>
      </c>
      <c r="CL365" s="227" t="str">
        <f t="shared" si="1160"/>
        <v>Tâm lý</v>
      </c>
      <c r="CM365" s="87" t="str">
        <f t="shared" si="1012"/>
        <v>CS2</v>
      </c>
      <c r="CN365" s="87">
        <f t="shared" si="1162"/>
        <v>270</v>
      </c>
      <c r="CO365" s="87">
        <f t="shared" si="1162"/>
        <v>120</v>
      </c>
      <c r="CP365" s="229">
        <f t="shared" si="1076"/>
        <v>0</v>
      </c>
      <c r="CQ365" s="229">
        <f t="shared" si="1077"/>
        <v>12.2</v>
      </c>
      <c r="CR365" s="229">
        <f t="shared" si="1078"/>
        <v>4.9000000000000004</v>
      </c>
      <c r="CS365" s="229">
        <f t="shared" si="1079"/>
        <v>0</v>
      </c>
      <c r="CT365" s="229">
        <f t="shared" si="1080"/>
        <v>0</v>
      </c>
      <c r="CU365" s="229">
        <f t="shared" si="1081"/>
        <v>60</v>
      </c>
      <c r="CV365" s="229">
        <f t="shared" si="1082"/>
        <v>0</v>
      </c>
      <c r="CW365" s="229">
        <f t="shared" si="1083"/>
        <v>0</v>
      </c>
      <c r="CX365" s="229">
        <f t="shared" si="1084"/>
        <v>0</v>
      </c>
      <c r="CY365" s="229">
        <f t="shared" si="1085"/>
        <v>0</v>
      </c>
      <c r="CZ365" s="229">
        <f t="shared" si="1086"/>
        <v>0</v>
      </c>
      <c r="DA365" s="229">
        <f t="shared" si="1087"/>
        <v>0</v>
      </c>
      <c r="DB365" s="228">
        <f t="shared" si="1018"/>
        <v>77.099999999999994</v>
      </c>
      <c r="DC365" s="229"/>
      <c r="DD365" s="229"/>
      <c r="DE365" s="229"/>
      <c r="DF365" s="229"/>
      <c r="DG365" s="229"/>
      <c r="DH365" s="229"/>
      <c r="DI365" s="229"/>
      <c r="DJ365" s="229"/>
      <c r="DK365" s="229"/>
      <c r="DL365" s="229"/>
      <c r="DM365" s="229"/>
      <c r="DN365" s="229"/>
      <c r="DO365" s="228">
        <f t="shared" si="1029"/>
        <v>0</v>
      </c>
      <c r="DP365" s="228">
        <f t="shared" si="1030"/>
        <v>77.099999999999994</v>
      </c>
      <c r="DQ365" s="229">
        <f t="shared" si="1088"/>
        <v>0</v>
      </c>
      <c r="DR365" s="229">
        <f t="shared" si="1089"/>
        <v>0</v>
      </c>
      <c r="DS365" s="229">
        <f t="shared" si="1090"/>
        <v>0</v>
      </c>
      <c r="DT365" s="229">
        <f t="shared" si="1091"/>
        <v>0</v>
      </c>
      <c r="DU365" s="229">
        <f t="shared" si="1092"/>
        <v>0</v>
      </c>
      <c r="DV365" s="229">
        <f t="shared" si="1093"/>
        <v>0</v>
      </c>
      <c r="DW365" s="229">
        <f t="shared" si="1094"/>
        <v>0</v>
      </c>
      <c r="DX365" s="228">
        <f t="shared" si="1019"/>
        <v>0</v>
      </c>
      <c r="DY365" s="229"/>
      <c r="DZ365" s="229"/>
      <c r="EA365" s="229"/>
      <c r="EB365" s="229"/>
      <c r="EC365" s="229"/>
      <c r="ED365" s="229"/>
      <c r="EE365" s="229"/>
      <c r="EF365" s="228">
        <f t="shared" si="1072"/>
        <v>0</v>
      </c>
      <c r="EG365" s="228">
        <f t="shared" si="1031"/>
        <v>0</v>
      </c>
      <c r="EH365" s="229">
        <f t="shared" si="1073"/>
        <v>0</v>
      </c>
      <c r="EI365" s="229">
        <v>147.5</v>
      </c>
      <c r="EJ365" s="228">
        <f t="shared" si="1153"/>
        <v>147.5</v>
      </c>
      <c r="EK365" s="229"/>
      <c r="EL365" s="229"/>
      <c r="EM365" s="228">
        <f t="shared" si="1152"/>
        <v>0</v>
      </c>
      <c r="EN365" s="229">
        <f t="shared" si="1104"/>
        <v>0</v>
      </c>
      <c r="EO365" s="229">
        <f t="shared" si="1121"/>
        <v>147.5</v>
      </c>
      <c r="EP365" s="228">
        <f t="shared" si="1146"/>
        <v>147.5</v>
      </c>
      <c r="EQ365" s="173">
        <f t="shared" si="1075"/>
        <v>0</v>
      </c>
      <c r="ER365" s="189">
        <v>0</v>
      </c>
      <c r="ES365" s="189">
        <v>12.2</v>
      </c>
      <c r="ET365" s="189">
        <v>4.9000000000000004</v>
      </c>
      <c r="EU365" s="189">
        <v>0</v>
      </c>
      <c r="EV365" s="189">
        <v>0</v>
      </c>
      <c r="EW365" s="189">
        <v>60</v>
      </c>
      <c r="EX365" s="189">
        <v>0</v>
      </c>
      <c r="EY365" s="189">
        <v>0</v>
      </c>
      <c r="EZ365" s="189">
        <v>0</v>
      </c>
      <c r="FA365" s="189">
        <v>0</v>
      </c>
      <c r="FB365" s="189">
        <v>0</v>
      </c>
      <c r="FC365" s="189">
        <v>0</v>
      </c>
      <c r="FD365" s="189">
        <v>0</v>
      </c>
      <c r="FE365" s="189">
        <v>0</v>
      </c>
      <c r="FF365" s="189">
        <v>0</v>
      </c>
      <c r="FG365" s="189">
        <v>0</v>
      </c>
      <c r="FH365" s="189">
        <v>0</v>
      </c>
      <c r="FI365" s="189">
        <v>0</v>
      </c>
      <c r="FJ365" s="189">
        <v>0</v>
      </c>
      <c r="FK365" s="189">
        <v>77.099999999999994</v>
      </c>
      <c r="FL365" s="189">
        <v>64</v>
      </c>
      <c r="FN365" s="132">
        <v>0</v>
      </c>
    </row>
    <row r="366" spans="1:170" ht="30.75" customHeight="1">
      <c r="A366" s="88">
        <f>COUNTIF($H$12:H366,H366)</f>
        <v>7</v>
      </c>
      <c r="B366" s="88" t="s">
        <v>751</v>
      </c>
      <c r="C366" s="88" t="s">
        <v>709</v>
      </c>
      <c r="D366" s="88"/>
      <c r="E366" s="88"/>
      <c r="F366" s="301" t="s">
        <v>1127</v>
      </c>
      <c r="G366" s="89" t="s">
        <v>646</v>
      </c>
      <c r="H366" s="88">
        <v>7</v>
      </c>
      <c r="I366" s="88">
        <v>7</v>
      </c>
      <c r="J366" s="88">
        <v>7</v>
      </c>
      <c r="K366" s="90" t="s">
        <v>1096</v>
      </c>
      <c r="L366" s="90" t="s">
        <v>1096</v>
      </c>
      <c r="M366" s="214"/>
      <c r="N366" s="88" t="s">
        <v>1804</v>
      </c>
      <c r="O366" s="216">
        <f t="shared" si="1128"/>
        <v>3</v>
      </c>
      <c r="P366" s="88" t="str">
        <f t="shared" si="1144"/>
        <v>B1_3</v>
      </c>
      <c r="Q366" s="88">
        <f t="shared" si="1154"/>
        <v>270</v>
      </c>
      <c r="R366" s="88">
        <f t="shared" si="1155"/>
        <v>100</v>
      </c>
      <c r="S366" s="231"/>
      <c r="T366" s="214" t="s">
        <v>3088</v>
      </c>
      <c r="U366" s="88">
        <f>IF(RIGHT(T366,1)="K",(VLOOKUP(T366,ma_miengiam!$A$3:$B$80,2,0)*100)/2,VLOOKUP(T366,ma_miengiam!$A$3:$B$80,2,0)*100)</f>
        <v>0</v>
      </c>
      <c r="V366" s="88"/>
      <c r="W366" s="220">
        <f>IF(AND(T366="NTS",V366&gt;0),(Q366-(Q366*V366)/12)*VLOOKUP(T366,ma_miengiam!$A$3:$B$80,2,0)+(Q366-(Q366*(12-V366))/12),IF(AND(RIGHT(T366,1)="K",V366&gt;0),(VLOOKUP(T366,ma_miengiam!$A$3:$B$80,2,0)/2)*(Q366*V366)/12,IF(RIGHT(T366,1)="K",(VLOOKUP(T366,ma_miengiam!$A$3:$B$80,2,0)*Q366)/2,IF(V366&gt;0,VLOOKUP(T366,ma_miengiam!$A$3:$B$80,2,0)*Q366*V366/12,VLOOKUP(T366,ma_miengiam!$A$3:$B$80,2,0)*Q366))))</f>
        <v>0</v>
      </c>
      <c r="X366" s="220">
        <f>IF(T366="NTS",VLOOKUP(T366,ma_miengiam!$A$3:$B$80,2,0)*R366*V366,IF(AND(T366="NTS",V366=0),0,IF(AND(LEFT(T366,1)="K",V366=0),VLOOKUP(T366,ma_miengiam!$A$3:$B$80,2,0)*R366,IF(LEFT(T366,1)="K",(VLOOKUP(T366,ma_miengiam!$A$3:$B$80,2,0)*R366/12)*V366,IF(AND(LEFT(T366,1)="S",V366&gt;0),(R366/12)*V366,IF(AND(LEFT(T366,1)="S",V366=0),R366,IF(T366="DH",VLOOKUP(T366,ma_miengiam!$A$3:$B$80,2,0)*R366,0)))))))</f>
        <v>0</v>
      </c>
      <c r="Y366" s="220">
        <f t="shared" si="1107"/>
        <v>270</v>
      </c>
      <c r="Z366" s="220">
        <f t="shared" si="1156"/>
        <v>100</v>
      </c>
      <c r="AA366" s="220">
        <f t="shared" si="1163"/>
        <v>270</v>
      </c>
      <c r="AB366" s="220">
        <f t="shared" si="1163"/>
        <v>100</v>
      </c>
      <c r="AC366" s="220">
        <f t="shared" si="1164"/>
        <v>0</v>
      </c>
      <c r="AD366" s="220">
        <f t="shared" si="1164"/>
        <v>0</v>
      </c>
      <c r="AE366" s="220">
        <f t="shared" si="1164"/>
        <v>270</v>
      </c>
      <c r="AF366" s="220">
        <f t="shared" si="1164"/>
        <v>100</v>
      </c>
      <c r="AG366" s="220">
        <f t="shared" si="1136"/>
        <v>100</v>
      </c>
      <c r="AH366" s="220">
        <f t="shared" si="1137"/>
        <v>0</v>
      </c>
      <c r="AI366" s="220">
        <f t="shared" si="1138"/>
        <v>100</v>
      </c>
      <c r="AJ366" s="220">
        <f t="shared" si="1060"/>
        <v>0</v>
      </c>
      <c r="AK366" s="216">
        <f t="shared" si="1038"/>
        <v>270</v>
      </c>
      <c r="AL366" s="220">
        <f t="shared" si="1020"/>
        <v>154.1</v>
      </c>
      <c r="AM366" s="220">
        <f t="shared" si="1021"/>
        <v>0</v>
      </c>
      <c r="AN366" s="221">
        <f t="shared" si="1022"/>
        <v>154.1</v>
      </c>
      <c r="AO366" s="220">
        <f t="shared" si="1023"/>
        <v>0</v>
      </c>
      <c r="AP366" s="220">
        <f t="shared" si="1024"/>
        <v>0</v>
      </c>
      <c r="AQ366" s="220">
        <f t="shared" si="1025"/>
        <v>0</v>
      </c>
      <c r="AR366" s="220">
        <f t="shared" si="1026"/>
        <v>0</v>
      </c>
      <c r="AS366" s="220">
        <f t="shared" si="1027"/>
        <v>0</v>
      </c>
      <c r="AT366" s="216">
        <f t="shared" si="1028"/>
        <v>154.1</v>
      </c>
      <c r="AU366" s="222">
        <f t="shared" si="1117"/>
        <v>-115.9</v>
      </c>
      <c r="AV366" s="220"/>
      <c r="AW366" s="220">
        <f t="shared" si="1006"/>
        <v>-115.9</v>
      </c>
      <c r="AX366" s="216">
        <f t="shared" si="1046"/>
        <v>-115.9</v>
      </c>
      <c r="AY366" s="220">
        <f t="shared" si="1013"/>
        <v>0</v>
      </c>
      <c r="AZ366" s="220">
        <f t="shared" si="1014"/>
        <v>0</v>
      </c>
      <c r="BA366" s="220">
        <f t="shared" si="1015"/>
        <v>0</v>
      </c>
      <c r="BB366" s="220">
        <f t="shared" si="1016"/>
        <v>0</v>
      </c>
      <c r="BC366" s="220">
        <f t="shared" si="1017"/>
        <v>0</v>
      </c>
      <c r="BD366" s="216">
        <f t="shared" si="988"/>
        <v>0</v>
      </c>
      <c r="BE366" s="220">
        <f t="shared" si="1007"/>
        <v>0</v>
      </c>
      <c r="BF366" s="220">
        <f t="shared" si="1008"/>
        <v>0</v>
      </c>
      <c r="BG366" s="220">
        <f t="shared" si="1009"/>
        <v>0</v>
      </c>
      <c r="BH366" s="220">
        <f t="shared" si="1010"/>
        <v>0</v>
      </c>
      <c r="BI366" s="220">
        <f t="shared" si="1011"/>
        <v>0</v>
      </c>
      <c r="BJ366" s="220" t="s">
        <v>1793</v>
      </c>
      <c r="BK366" s="220"/>
      <c r="BL366" s="223">
        <f t="shared" si="1004"/>
        <v>0</v>
      </c>
      <c r="BM366" s="220">
        <v>3</v>
      </c>
      <c r="BN366" s="220"/>
      <c r="BO366" s="220">
        <f t="shared" si="1139"/>
        <v>3</v>
      </c>
      <c r="BP366" s="220">
        <f>IF(AND(BL366&gt;0,BL366&lt;tiet!$D$1),BL366,IF(BL366&lt;=0,0,IF(BL366&gt;tiet!$C$1,tiet!$C$1)))</f>
        <v>0</v>
      </c>
      <c r="BQ366" s="87">
        <f t="shared" si="1047"/>
        <v>60000</v>
      </c>
      <c r="BR366" s="224">
        <f t="shared" si="1048"/>
        <v>0</v>
      </c>
      <c r="BS366" s="220">
        <f t="shared" si="1068"/>
        <v>0</v>
      </c>
      <c r="BT366" s="224">
        <f>VLOOKUP(N366,ma_dinhmuc!$A$1:$J$31,10,0)</f>
        <v>51000</v>
      </c>
      <c r="BU366" s="224">
        <f>ROUND(IF(BS366&gt;0,VLOOKUP(N366,ma_dinhmuc!$A$1:$J$31,10,0)*BS366,0),0)</f>
        <v>0</v>
      </c>
      <c r="BV366" s="224">
        <f t="shared" si="1049"/>
        <v>0</v>
      </c>
      <c r="BW366" s="224"/>
      <c r="BX366" s="224">
        <v>0</v>
      </c>
      <c r="BY366" s="224"/>
      <c r="BZ366" s="224"/>
      <c r="CA366" s="224"/>
      <c r="CB366" s="224"/>
      <c r="CC366" s="225">
        <f t="shared" si="1069"/>
        <v>0</v>
      </c>
      <c r="CD366" s="224">
        <f t="shared" si="1070"/>
        <v>0</v>
      </c>
      <c r="CE366" s="224"/>
      <c r="CF366" s="226"/>
      <c r="CG366" s="87"/>
      <c r="CH366" s="87">
        <f t="shared" si="1140"/>
        <v>7</v>
      </c>
      <c r="CI366" s="227" t="str">
        <f t="shared" si="1159"/>
        <v>Lý Thanh</v>
      </c>
      <c r="CJ366" s="227" t="str">
        <f t="shared" si="1159"/>
        <v>Hiền</v>
      </c>
      <c r="CK366" s="87">
        <f t="shared" si="1142"/>
        <v>7</v>
      </c>
      <c r="CL366" s="227" t="str">
        <f t="shared" si="1160"/>
        <v>Tâm lý</v>
      </c>
      <c r="CM366" s="87" t="str">
        <f t="shared" si="1012"/>
        <v>CS2</v>
      </c>
      <c r="CN366" s="87">
        <f t="shared" si="1162"/>
        <v>270</v>
      </c>
      <c r="CO366" s="87">
        <f t="shared" si="1162"/>
        <v>100</v>
      </c>
      <c r="CP366" s="229">
        <f t="shared" si="1076"/>
        <v>0</v>
      </c>
      <c r="CQ366" s="229">
        <f t="shared" si="1077"/>
        <v>20</v>
      </c>
      <c r="CR366" s="229">
        <f t="shared" si="1078"/>
        <v>8.1</v>
      </c>
      <c r="CS366" s="229">
        <f t="shared" si="1079"/>
        <v>0</v>
      </c>
      <c r="CT366" s="229">
        <f t="shared" si="1080"/>
        <v>0</v>
      </c>
      <c r="CU366" s="229">
        <f t="shared" si="1081"/>
        <v>126</v>
      </c>
      <c r="CV366" s="229">
        <f t="shared" si="1082"/>
        <v>0</v>
      </c>
      <c r="CW366" s="229">
        <f t="shared" si="1083"/>
        <v>0</v>
      </c>
      <c r="CX366" s="229">
        <f t="shared" si="1084"/>
        <v>0</v>
      </c>
      <c r="CY366" s="229">
        <f t="shared" si="1085"/>
        <v>0</v>
      </c>
      <c r="CZ366" s="229">
        <f t="shared" si="1086"/>
        <v>0</v>
      </c>
      <c r="DA366" s="229">
        <f t="shared" si="1087"/>
        <v>0</v>
      </c>
      <c r="DB366" s="228">
        <f t="shared" si="1018"/>
        <v>154.1</v>
      </c>
      <c r="DC366" s="229"/>
      <c r="DD366" s="229"/>
      <c r="DE366" s="229"/>
      <c r="DF366" s="229"/>
      <c r="DG366" s="229"/>
      <c r="DH366" s="229"/>
      <c r="DI366" s="229"/>
      <c r="DJ366" s="229"/>
      <c r="DK366" s="229"/>
      <c r="DL366" s="229"/>
      <c r="DM366" s="229"/>
      <c r="DN366" s="229"/>
      <c r="DO366" s="228">
        <f t="shared" si="1029"/>
        <v>0</v>
      </c>
      <c r="DP366" s="228">
        <f t="shared" si="1030"/>
        <v>154.1</v>
      </c>
      <c r="DQ366" s="229">
        <f t="shared" si="1088"/>
        <v>0</v>
      </c>
      <c r="DR366" s="229">
        <f t="shared" si="1089"/>
        <v>0</v>
      </c>
      <c r="DS366" s="229">
        <f t="shared" si="1090"/>
        <v>0</v>
      </c>
      <c r="DT366" s="229">
        <f t="shared" si="1091"/>
        <v>0</v>
      </c>
      <c r="DU366" s="229">
        <f t="shared" si="1092"/>
        <v>0</v>
      </c>
      <c r="DV366" s="229">
        <f t="shared" si="1093"/>
        <v>0</v>
      </c>
      <c r="DW366" s="229">
        <f t="shared" si="1094"/>
        <v>0</v>
      </c>
      <c r="DX366" s="228">
        <f t="shared" si="1019"/>
        <v>0</v>
      </c>
      <c r="DY366" s="229"/>
      <c r="DZ366" s="229"/>
      <c r="EA366" s="229"/>
      <c r="EB366" s="229"/>
      <c r="EC366" s="229"/>
      <c r="ED366" s="229"/>
      <c r="EE366" s="229"/>
      <c r="EF366" s="228">
        <f t="shared" si="1072"/>
        <v>0</v>
      </c>
      <c r="EG366" s="228">
        <f t="shared" si="1031"/>
        <v>0</v>
      </c>
      <c r="EH366" s="229">
        <f t="shared" si="1073"/>
        <v>100</v>
      </c>
      <c r="EI366" s="229">
        <v>0</v>
      </c>
      <c r="EJ366" s="228">
        <f t="shared" si="1153"/>
        <v>100</v>
      </c>
      <c r="EK366" s="229"/>
      <c r="EL366" s="229"/>
      <c r="EM366" s="228">
        <f t="shared" si="1152"/>
        <v>0</v>
      </c>
      <c r="EN366" s="229">
        <f t="shared" si="1104"/>
        <v>100</v>
      </c>
      <c r="EO366" s="229">
        <f t="shared" si="1121"/>
        <v>0</v>
      </c>
      <c r="EP366" s="228">
        <f t="shared" si="1146"/>
        <v>100</v>
      </c>
      <c r="EQ366" s="173">
        <f t="shared" si="1075"/>
        <v>0</v>
      </c>
      <c r="ER366" s="189">
        <v>0</v>
      </c>
      <c r="ES366" s="189">
        <v>20</v>
      </c>
      <c r="ET366" s="189">
        <v>8.1</v>
      </c>
      <c r="EU366" s="189">
        <v>0</v>
      </c>
      <c r="EV366" s="189">
        <v>0</v>
      </c>
      <c r="EW366" s="189">
        <v>126</v>
      </c>
      <c r="EX366" s="189">
        <v>0</v>
      </c>
      <c r="EY366" s="189">
        <v>0</v>
      </c>
      <c r="EZ366" s="189">
        <v>0</v>
      </c>
      <c r="FA366" s="189">
        <v>0</v>
      </c>
      <c r="FB366" s="189">
        <v>0</v>
      </c>
      <c r="FC366" s="189">
        <v>0</v>
      </c>
      <c r="FD366" s="189">
        <v>0</v>
      </c>
      <c r="FE366" s="189">
        <v>0</v>
      </c>
      <c r="FF366" s="189">
        <v>0</v>
      </c>
      <c r="FG366" s="189">
        <v>0</v>
      </c>
      <c r="FH366" s="189">
        <v>0</v>
      </c>
      <c r="FI366" s="189">
        <v>0</v>
      </c>
      <c r="FJ366" s="189">
        <v>0</v>
      </c>
      <c r="FK366" s="189">
        <v>154.1</v>
      </c>
      <c r="FL366" s="189">
        <v>128</v>
      </c>
      <c r="FN366" s="132">
        <v>100</v>
      </c>
    </row>
    <row r="367" spans="1:170" ht="30" customHeight="1">
      <c r="A367" s="88">
        <f>COUNTIF($H$12:H367,H367)</f>
        <v>8</v>
      </c>
      <c r="B367" s="88" t="s">
        <v>752</v>
      </c>
      <c r="C367" s="88" t="s">
        <v>710</v>
      </c>
      <c r="D367" s="88"/>
      <c r="E367" s="88"/>
      <c r="F367" s="301" t="s">
        <v>1192</v>
      </c>
      <c r="G367" s="89" t="s">
        <v>1277</v>
      </c>
      <c r="H367" s="88">
        <v>7</v>
      </c>
      <c r="I367" s="88">
        <v>7</v>
      </c>
      <c r="J367" s="88">
        <v>7</v>
      </c>
      <c r="K367" s="90" t="s">
        <v>1096</v>
      </c>
      <c r="L367" s="90" t="s">
        <v>1096</v>
      </c>
      <c r="M367" s="214"/>
      <c r="N367" s="88" t="s">
        <v>606</v>
      </c>
      <c r="O367" s="216">
        <f t="shared" si="1128"/>
        <v>4.4000000000000004</v>
      </c>
      <c r="P367" s="88" t="str">
        <f t="shared" si="1144"/>
        <v>B1_4</v>
      </c>
      <c r="Q367" s="88">
        <f t="shared" si="1154"/>
        <v>270</v>
      </c>
      <c r="R367" s="88">
        <f t="shared" si="1155"/>
        <v>120</v>
      </c>
      <c r="S367" s="231"/>
      <c r="T367" s="88" t="s">
        <v>3088</v>
      </c>
      <c r="U367" s="88">
        <f>IF(RIGHT(T367,1)="K",(VLOOKUP(T367,ma_miengiam!$A$3:$B$80,2,0)*100)/2,VLOOKUP(T367,ma_miengiam!$A$3:$B$80,2,0)*100)</f>
        <v>0</v>
      </c>
      <c r="V367" s="88"/>
      <c r="W367" s="220">
        <f>IF(AND(T367="NTS",V367&gt;0),(Q367-(Q367*V367)/12)*VLOOKUP(T367,ma_miengiam!$A$3:$B$80,2,0)+(Q367-(Q367*(12-V367))/12),IF(AND(RIGHT(T367,1)="K",V367&gt;0),(VLOOKUP(T367,ma_miengiam!$A$3:$B$80,2,0)/2)*(Q367*V367)/12,IF(RIGHT(T367,1)="K",(VLOOKUP(T367,ma_miengiam!$A$3:$B$80,2,0)*Q367)/2,IF(V367&gt;0,VLOOKUP(T367,ma_miengiam!$A$3:$B$80,2,0)*Q367*V367/12,VLOOKUP(T367,ma_miengiam!$A$3:$B$80,2,0)*Q367))))</f>
        <v>0</v>
      </c>
      <c r="X367" s="220">
        <f>IF(T367="NTS",VLOOKUP(T367,ma_miengiam!$A$3:$B$80,2,0)*R367*V367,IF(AND(T367="NTS",V367=0),0,IF(AND(LEFT(T367,1)="K",V367=0),VLOOKUP(T367,ma_miengiam!$A$3:$B$80,2,0)*R367,IF(LEFT(T367,1)="K",(VLOOKUP(T367,ma_miengiam!$A$3:$B$80,2,0)*R367/12)*V367,IF(AND(LEFT(T367,1)="S",V367&gt;0),(R367/12)*V367,IF(AND(LEFT(T367,1)="S",V367=0),R367,IF(T367="DH",VLOOKUP(T367,ma_miengiam!$A$3:$B$80,2,0)*R367,0)))))))</f>
        <v>0</v>
      </c>
      <c r="Y367" s="220">
        <f t="shared" si="1107"/>
        <v>270</v>
      </c>
      <c r="Z367" s="220">
        <f t="shared" si="1156"/>
        <v>120</v>
      </c>
      <c r="AA367" s="220">
        <f t="shared" si="1163"/>
        <v>270</v>
      </c>
      <c r="AB367" s="220">
        <f t="shared" si="1163"/>
        <v>120</v>
      </c>
      <c r="AC367" s="220">
        <f t="shared" si="1164"/>
        <v>0</v>
      </c>
      <c r="AD367" s="220">
        <f t="shared" si="1164"/>
        <v>0</v>
      </c>
      <c r="AE367" s="220">
        <f t="shared" si="1164"/>
        <v>270</v>
      </c>
      <c r="AF367" s="220">
        <f t="shared" si="1164"/>
        <v>120</v>
      </c>
      <c r="AG367" s="220">
        <f t="shared" si="1136"/>
        <v>212.5</v>
      </c>
      <c r="AH367" s="220">
        <f t="shared" si="1137"/>
        <v>12.5</v>
      </c>
      <c r="AI367" s="220">
        <f t="shared" si="1138"/>
        <v>200</v>
      </c>
      <c r="AJ367" s="220">
        <f t="shared" si="1060"/>
        <v>0</v>
      </c>
      <c r="AK367" s="216">
        <f t="shared" si="1038"/>
        <v>270</v>
      </c>
      <c r="AL367" s="220">
        <f t="shared" si="1020"/>
        <v>104.4</v>
      </c>
      <c r="AM367" s="220">
        <f t="shared" si="1021"/>
        <v>0</v>
      </c>
      <c r="AN367" s="221">
        <f t="shared" si="1022"/>
        <v>104.4</v>
      </c>
      <c r="AO367" s="220">
        <f t="shared" si="1023"/>
        <v>0</v>
      </c>
      <c r="AP367" s="220">
        <f t="shared" si="1024"/>
        <v>0</v>
      </c>
      <c r="AQ367" s="220">
        <f t="shared" si="1025"/>
        <v>0</v>
      </c>
      <c r="AR367" s="220">
        <f t="shared" si="1026"/>
        <v>0</v>
      </c>
      <c r="AS367" s="220">
        <f t="shared" si="1027"/>
        <v>0</v>
      </c>
      <c r="AT367" s="216">
        <f t="shared" si="1028"/>
        <v>104.4</v>
      </c>
      <c r="AU367" s="222">
        <f t="shared" si="1117"/>
        <v>-165.6</v>
      </c>
      <c r="AV367" s="220"/>
      <c r="AW367" s="220">
        <f t="shared" ref="AW367:AW422" si="1165">IF(AU367&gt;0,AU367,AV367+AU367)</f>
        <v>-165.6</v>
      </c>
      <c r="AX367" s="216">
        <f t="shared" si="1046"/>
        <v>-165.6</v>
      </c>
      <c r="AY367" s="220">
        <f t="shared" si="1013"/>
        <v>0</v>
      </c>
      <c r="AZ367" s="220">
        <f t="shared" si="1014"/>
        <v>0</v>
      </c>
      <c r="BA367" s="220">
        <f t="shared" si="1015"/>
        <v>0</v>
      </c>
      <c r="BB367" s="220">
        <f t="shared" si="1016"/>
        <v>0</v>
      </c>
      <c r="BC367" s="220">
        <f t="shared" si="1017"/>
        <v>0</v>
      </c>
      <c r="BD367" s="216">
        <f t="shared" si="988"/>
        <v>0</v>
      </c>
      <c r="BE367" s="220">
        <f t="shared" ref="BE367:BE422" si="1166">AY367-AO367</f>
        <v>0</v>
      </c>
      <c r="BF367" s="220">
        <f t="shared" ref="BF367:BF422" si="1167">AZ367-AP367</f>
        <v>0</v>
      </c>
      <c r="BG367" s="220">
        <f t="shared" ref="BG367:BG422" si="1168">BA367-AQ367</f>
        <v>0</v>
      </c>
      <c r="BH367" s="220">
        <f t="shared" ref="BH367:BH422" si="1169">BB367-AR367</f>
        <v>0</v>
      </c>
      <c r="BI367" s="220">
        <f t="shared" ref="BI367:BI422" si="1170">BC367-AS367</f>
        <v>0</v>
      </c>
      <c r="BJ367" s="220" t="s">
        <v>1793</v>
      </c>
      <c r="BK367" s="220"/>
      <c r="BL367" s="223">
        <f t="shared" si="1004"/>
        <v>0</v>
      </c>
      <c r="BM367" s="220">
        <v>4.4000000000000004</v>
      </c>
      <c r="BN367" s="220"/>
      <c r="BO367" s="220">
        <f t="shared" si="1139"/>
        <v>4.4000000000000004</v>
      </c>
      <c r="BP367" s="220">
        <f>IF(AND(BL367&gt;0,BL367&lt;tiet!$D$1),BL367,IF(BL367&lt;=0,0,IF(BL367&gt;tiet!$C$1,tiet!$C$1)))</f>
        <v>0</v>
      </c>
      <c r="BQ367" s="87">
        <f t="shared" si="1047"/>
        <v>65000</v>
      </c>
      <c r="BR367" s="224">
        <f t="shared" si="1048"/>
        <v>0</v>
      </c>
      <c r="BS367" s="220">
        <f t="shared" si="1068"/>
        <v>0</v>
      </c>
      <c r="BT367" s="224">
        <f>VLOOKUP(N367,ma_dinhmuc!$A$1:$J$31,10,0)</f>
        <v>55000</v>
      </c>
      <c r="BU367" s="224">
        <f>ROUND(IF(BS367&gt;0,VLOOKUP(N367,ma_dinhmuc!$A$1:$J$31,10,0)*BS367,0),0)</f>
        <v>0</v>
      </c>
      <c r="BV367" s="224">
        <f t="shared" si="1049"/>
        <v>0</v>
      </c>
      <c r="BW367" s="224"/>
      <c r="BX367" s="224">
        <v>0</v>
      </c>
      <c r="BY367" s="224"/>
      <c r="BZ367" s="224"/>
      <c r="CA367" s="224"/>
      <c r="CB367" s="224"/>
      <c r="CC367" s="225">
        <f t="shared" si="1069"/>
        <v>0</v>
      </c>
      <c r="CD367" s="224">
        <f t="shared" si="1070"/>
        <v>0</v>
      </c>
      <c r="CE367" s="224"/>
      <c r="CF367" s="226"/>
      <c r="CG367" s="87"/>
      <c r="CH367" s="87">
        <f t="shared" si="1140"/>
        <v>8</v>
      </c>
      <c r="CI367" s="227" t="str">
        <f t="shared" si="1159"/>
        <v>Nguyễn Huyền</v>
      </c>
      <c r="CJ367" s="227" t="str">
        <f t="shared" si="1159"/>
        <v>Thương</v>
      </c>
      <c r="CK367" s="87">
        <f t="shared" si="1142"/>
        <v>7</v>
      </c>
      <c r="CL367" s="227" t="str">
        <f t="shared" ref="CL367:CL384" si="1171">L367</f>
        <v>Tâm lý</v>
      </c>
      <c r="CM367" s="87" t="str">
        <f t="shared" ref="CM367:CM422" si="1172">N367</f>
        <v>CS3</v>
      </c>
      <c r="CN367" s="87">
        <f t="shared" ref="CN367:CN383" si="1173">Q367</f>
        <v>270</v>
      </c>
      <c r="CO367" s="87">
        <f t="shared" ref="CO367:CO383" si="1174">R367</f>
        <v>120</v>
      </c>
      <c r="CP367" s="229">
        <f t="shared" si="1076"/>
        <v>0</v>
      </c>
      <c r="CQ367" s="229">
        <f t="shared" si="1077"/>
        <v>10.199999999999999</v>
      </c>
      <c r="CR367" s="229">
        <f t="shared" si="1078"/>
        <v>4.2</v>
      </c>
      <c r="CS367" s="229">
        <f t="shared" si="1079"/>
        <v>0</v>
      </c>
      <c r="CT367" s="229">
        <f t="shared" si="1080"/>
        <v>0</v>
      </c>
      <c r="CU367" s="229">
        <f t="shared" si="1081"/>
        <v>90</v>
      </c>
      <c r="CV367" s="229">
        <f t="shared" si="1082"/>
        <v>0</v>
      </c>
      <c r="CW367" s="229">
        <f t="shared" si="1083"/>
        <v>0</v>
      </c>
      <c r="CX367" s="229">
        <f t="shared" si="1084"/>
        <v>0</v>
      </c>
      <c r="CY367" s="229">
        <f t="shared" si="1085"/>
        <v>0</v>
      </c>
      <c r="CZ367" s="229">
        <f t="shared" si="1086"/>
        <v>0</v>
      </c>
      <c r="DA367" s="229">
        <f t="shared" si="1087"/>
        <v>0</v>
      </c>
      <c r="DB367" s="228">
        <f t="shared" si="1018"/>
        <v>104.4</v>
      </c>
      <c r="DC367" s="229"/>
      <c r="DD367" s="229"/>
      <c r="DE367" s="229"/>
      <c r="DF367" s="229"/>
      <c r="DG367" s="229"/>
      <c r="DH367" s="229"/>
      <c r="DI367" s="229"/>
      <c r="DJ367" s="229"/>
      <c r="DK367" s="229"/>
      <c r="DL367" s="229"/>
      <c r="DM367" s="229"/>
      <c r="DN367" s="229"/>
      <c r="DO367" s="228">
        <f t="shared" si="1029"/>
        <v>0</v>
      </c>
      <c r="DP367" s="228">
        <f t="shared" si="1030"/>
        <v>104.4</v>
      </c>
      <c r="DQ367" s="229">
        <f t="shared" si="1088"/>
        <v>0</v>
      </c>
      <c r="DR367" s="229">
        <f t="shared" si="1089"/>
        <v>0</v>
      </c>
      <c r="DS367" s="229">
        <f t="shared" si="1090"/>
        <v>0</v>
      </c>
      <c r="DT367" s="229">
        <f t="shared" si="1091"/>
        <v>0</v>
      </c>
      <c r="DU367" s="229">
        <f t="shared" si="1092"/>
        <v>0</v>
      </c>
      <c r="DV367" s="229">
        <f t="shared" si="1093"/>
        <v>0</v>
      </c>
      <c r="DW367" s="229">
        <f t="shared" si="1094"/>
        <v>0</v>
      </c>
      <c r="DX367" s="228">
        <f t="shared" si="1019"/>
        <v>0</v>
      </c>
      <c r="DY367" s="229"/>
      <c r="DZ367" s="229"/>
      <c r="EA367" s="229"/>
      <c r="EB367" s="229"/>
      <c r="EC367" s="229"/>
      <c r="ED367" s="229"/>
      <c r="EE367" s="229"/>
      <c r="EF367" s="228">
        <f t="shared" si="1072"/>
        <v>0</v>
      </c>
      <c r="EG367" s="228">
        <f t="shared" si="1031"/>
        <v>0</v>
      </c>
      <c r="EH367" s="229">
        <f t="shared" si="1073"/>
        <v>200</v>
      </c>
      <c r="EI367" s="229">
        <v>12.5</v>
      </c>
      <c r="EJ367" s="228">
        <f t="shared" si="1153"/>
        <v>212.5</v>
      </c>
      <c r="EK367" s="229"/>
      <c r="EL367" s="229"/>
      <c r="EM367" s="228">
        <f t="shared" si="1152"/>
        <v>0</v>
      </c>
      <c r="EN367" s="229">
        <f t="shared" si="1104"/>
        <v>200</v>
      </c>
      <c r="EO367" s="229">
        <f t="shared" si="1121"/>
        <v>12.5</v>
      </c>
      <c r="EP367" s="228">
        <f t="shared" si="1146"/>
        <v>212.5</v>
      </c>
      <c r="EQ367" s="173">
        <f t="shared" si="1075"/>
        <v>80</v>
      </c>
      <c r="ER367" s="189">
        <v>0</v>
      </c>
      <c r="ES367" s="189">
        <v>10.199999999999999</v>
      </c>
      <c r="ET367" s="189">
        <v>4.2</v>
      </c>
      <c r="EU367" s="189">
        <v>0</v>
      </c>
      <c r="EV367" s="189">
        <v>0</v>
      </c>
      <c r="EW367" s="189">
        <v>90</v>
      </c>
      <c r="EX367" s="189">
        <v>0</v>
      </c>
      <c r="EY367" s="189">
        <v>0</v>
      </c>
      <c r="EZ367" s="189">
        <v>0</v>
      </c>
      <c r="FA367" s="189">
        <v>0</v>
      </c>
      <c r="FB367" s="189">
        <v>0</v>
      </c>
      <c r="FC367" s="189">
        <v>0</v>
      </c>
      <c r="FD367" s="189">
        <v>0</v>
      </c>
      <c r="FE367" s="189">
        <v>0</v>
      </c>
      <c r="FF367" s="189">
        <v>0</v>
      </c>
      <c r="FG367" s="189">
        <v>0</v>
      </c>
      <c r="FH367" s="189">
        <v>0</v>
      </c>
      <c r="FI367" s="189">
        <v>0</v>
      </c>
      <c r="FJ367" s="189">
        <v>0</v>
      </c>
      <c r="FK367" s="189">
        <v>104.4</v>
      </c>
      <c r="FL367" s="189">
        <v>96</v>
      </c>
      <c r="FN367" s="132">
        <v>200</v>
      </c>
    </row>
    <row r="368" spans="1:170" ht="30" customHeight="1">
      <c r="A368" s="88">
        <f>COUNTIF($H$12:H368,H368)</f>
        <v>9</v>
      </c>
      <c r="B368" s="88" t="s">
        <v>753</v>
      </c>
      <c r="C368" s="88" t="s">
        <v>711</v>
      </c>
      <c r="D368" s="88"/>
      <c r="E368" s="88"/>
      <c r="F368" s="301" t="s">
        <v>1905</v>
      </c>
      <c r="G368" s="89" t="s">
        <v>1789</v>
      </c>
      <c r="H368" s="88">
        <v>7</v>
      </c>
      <c r="I368" s="88">
        <v>7</v>
      </c>
      <c r="J368" s="88">
        <v>7</v>
      </c>
      <c r="K368" s="90" t="s">
        <v>1096</v>
      </c>
      <c r="L368" s="90" t="s">
        <v>1096</v>
      </c>
      <c r="M368" s="214"/>
      <c r="N368" s="88" t="s">
        <v>605</v>
      </c>
      <c r="O368" s="216">
        <f t="shared" si="1128"/>
        <v>6.2</v>
      </c>
      <c r="P368" s="88" t="str">
        <f t="shared" si="1144"/>
        <v>B1_6</v>
      </c>
      <c r="Q368" s="88">
        <f t="shared" si="1154"/>
        <v>270</v>
      </c>
      <c r="R368" s="88">
        <f t="shared" si="1155"/>
        <v>170</v>
      </c>
      <c r="S368" s="231" t="s">
        <v>352</v>
      </c>
      <c r="T368" s="88" t="s">
        <v>3090</v>
      </c>
      <c r="U368" s="88">
        <f>IF(RIGHT(T368,1)="K",(VLOOKUP(T368,ma_miengiam!$A$3:$B$80,2,0)*100)/2,VLOOKUP(T368,ma_miengiam!$A$3:$B$80,2,0)*100)</f>
        <v>15</v>
      </c>
      <c r="V368" s="88"/>
      <c r="W368" s="220">
        <f>IF(AND(T368="NTS",V368&gt;0),(Q368-(Q368*V368)/12)*VLOOKUP(T368,ma_miengiam!$A$3:$B$80,2,0)+(Q368-(Q368*(12-V368))/12),IF(AND(RIGHT(T368,1)="K",V368&gt;0),(VLOOKUP(T368,ma_miengiam!$A$3:$B$80,2,0)/2)*(Q368*V368)/12,IF(RIGHT(T368,1)="K",(VLOOKUP(T368,ma_miengiam!$A$3:$B$80,2,0)*Q368)/2,IF(V368&gt;0,VLOOKUP(T368,ma_miengiam!$A$3:$B$80,2,0)*Q368*V368/12,VLOOKUP(T368,ma_miengiam!$A$3:$B$80,2,0)*Q368))))</f>
        <v>40.5</v>
      </c>
      <c r="X368" s="220">
        <f>IF(T368="NTS",VLOOKUP(T368,ma_miengiam!$A$3:$B$80,2,0)*R368*V368,IF(AND(T368="NTS",V368=0),0,IF(AND(LEFT(T368,1)="K",V368=0),VLOOKUP(T368,ma_miengiam!$A$3:$B$80,2,0)*R368,IF(LEFT(T368,1)="K",(VLOOKUP(T368,ma_miengiam!$A$3:$B$80,2,0)*R368/12)*V368,IF(AND(LEFT(T368,1)="S",V368&gt;0),(R368/12)*V368,IF(AND(LEFT(T368,1)="S",V368=0),R368,IF(T368="DH",VLOOKUP(T368,ma_miengiam!$A$3:$B$80,2,0)*R368,0)))))))</f>
        <v>0</v>
      </c>
      <c r="Y368" s="220">
        <f t="shared" si="1107"/>
        <v>229.5</v>
      </c>
      <c r="Z368" s="220">
        <f t="shared" si="1156"/>
        <v>170</v>
      </c>
      <c r="AA368" s="220">
        <f>Q368</f>
        <v>270</v>
      </c>
      <c r="AB368" s="220">
        <f>R368</f>
        <v>170</v>
      </c>
      <c r="AC368" s="220">
        <f t="shared" ref="AC368:AF369" si="1175">W368</f>
        <v>40.5</v>
      </c>
      <c r="AD368" s="220">
        <f t="shared" si="1175"/>
        <v>0</v>
      </c>
      <c r="AE368" s="220">
        <f t="shared" si="1175"/>
        <v>229.5</v>
      </c>
      <c r="AF368" s="220">
        <f t="shared" si="1175"/>
        <v>170</v>
      </c>
      <c r="AG368" s="220">
        <f t="shared" ref="AG368:AG375" si="1176">AH368+AI368</f>
        <v>223.31</v>
      </c>
      <c r="AH368" s="220">
        <f t="shared" ref="AH368:AH375" si="1177">EO368</f>
        <v>23.31</v>
      </c>
      <c r="AI368" s="220">
        <f t="shared" ref="AI368:AI375" si="1178">EN368</f>
        <v>200</v>
      </c>
      <c r="AJ368" s="220">
        <f t="shared" si="1060"/>
        <v>0</v>
      </c>
      <c r="AK368" s="216">
        <f t="shared" si="1038"/>
        <v>229.5</v>
      </c>
      <c r="AL368" s="220">
        <f t="shared" si="1020"/>
        <v>85.1</v>
      </c>
      <c r="AM368" s="220">
        <f t="shared" si="1021"/>
        <v>0</v>
      </c>
      <c r="AN368" s="221">
        <f t="shared" si="1022"/>
        <v>85.1</v>
      </c>
      <c r="AO368" s="220">
        <f t="shared" si="1023"/>
        <v>0</v>
      </c>
      <c r="AP368" s="220">
        <f t="shared" si="1024"/>
        <v>0</v>
      </c>
      <c r="AQ368" s="220">
        <f t="shared" si="1025"/>
        <v>0</v>
      </c>
      <c r="AR368" s="220">
        <f t="shared" si="1026"/>
        <v>0</v>
      </c>
      <c r="AS368" s="220">
        <f t="shared" si="1027"/>
        <v>0</v>
      </c>
      <c r="AT368" s="216">
        <f t="shared" si="1028"/>
        <v>85.1</v>
      </c>
      <c r="AU368" s="222">
        <f t="shared" si="1117"/>
        <v>-144.4</v>
      </c>
      <c r="AV368" s="220"/>
      <c r="AW368" s="220">
        <f t="shared" si="1165"/>
        <v>-144.4</v>
      </c>
      <c r="AX368" s="216">
        <f t="shared" si="1046"/>
        <v>-144.4</v>
      </c>
      <c r="AY368" s="220">
        <f t="shared" ref="AY368:AY423" si="1179">IF(AN368&gt;=AK368,AO368,IF(AN368+AO368-AK368&gt;=0,AN368+AO368-AK368,0))</f>
        <v>0</v>
      </c>
      <c r="AZ368" s="220">
        <f t="shared" ref="AZ368:AZ423" si="1180">IF(OR(AN368&gt;=AK368,AN368+AO368&gt;=AK368),AP368,IF(AN368+AO368+AP368&gt;AK368,AN368+AO368+AP368-AK368,0))</f>
        <v>0</v>
      </c>
      <c r="BA368" s="220">
        <f t="shared" ref="BA368:BA423" si="1181">IF(OR(AN368&gt;=AK368,AN368+AO368&gt;=AK368,AN368+AO368+AP368&gt;=AK368),AQ368,IF(AN368+AO368+AP368+AQ368&gt;=AK368,AN368+AO368+AP368+AQ368-AK368,0))</f>
        <v>0</v>
      </c>
      <c r="BB368" s="220">
        <f t="shared" ref="BB368:BB423" si="1182">IF(OR(AN368&gt;=AK368,AN368+AO368&gt;=AK368,AN368+AO368+AP368&gt;=AK368,AN368+AO368+AP368+AQ368&gt;=AK368),AR368,IF(AN368+AO368+AP368+AQ368+AR368&gt;=AK368,AN368+AO368+AP368+AQ368+AR368-AK368,0))</f>
        <v>0</v>
      </c>
      <c r="BC368" s="220">
        <f t="shared" ref="BC368:BC423" si="1183">IF(OR(AN368&gt;=AK368,AN368+AO368&gt;=AK368,AN368+AO368+AP368&gt;=AK368,AN368+AO368+AP368+AQ368&gt;=AK368,AN368+AO368+AP368+AQ368+AR368&gt;=AK368),AS368,IF(AN368+AO368+AP368+AQ368+AR368+AS368&gt;=AK368,AN368+AO368+AP368+AQ368+AR368+AS368-AK368,0))</f>
        <v>0</v>
      </c>
      <c r="BD368" s="216">
        <f t="shared" si="988"/>
        <v>0</v>
      </c>
      <c r="BE368" s="220">
        <f t="shared" si="1166"/>
        <v>0</v>
      </c>
      <c r="BF368" s="220">
        <f t="shared" si="1167"/>
        <v>0</v>
      </c>
      <c r="BG368" s="220">
        <f t="shared" si="1168"/>
        <v>0</v>
      </c>
      <c r="BH368" s="220">
        <f t="shared" si="1169"/>
        <v>0</v>
      </c>
      <c r="BI368" s="220">
        <f t="shared" si="1170"/>
        <v>0</v>
      </c>
      <c r="BJ368" s="220" t="s">
        <v>1793</v>
      </c>
      <c r="BK368" s="220"/>
      <c r="BL368" s="223">
        <f t="shared" si="1004"/>
        <v>0</v>
      </c>
      <c r="BM368" s="220">
        <v>6.2</v>
      </c>
      <c r="BN368" s="220"/>
      <c r="BO368" s="220">
        <f t="shared" ref="BO368:BO392" si="1184">ROUND(BM368+(BM368*BN368),2)</f>
        <v>6.2</v>
      </c>
      <c r="BP368" s="220">
        <f>IF(AND(BL368&gt;0,BL368&lt;tiet!$D$1),BL368,IF(BL368&lt;=0,0,IF(BL368&gt;tiet!$C$1,tiet!$C$1)))</f>
        <v>0</v>
      </c>
      <c r="BQ368" s="87">
        <f t="shared" si="1047"/>
        <v>75000</v>
      </c>
      <c r="BR368" s="224">
        <f t="shared" si="1048"/>
        <v>0</v>
      </c>
      <c r="BS368" s="220">
        <f t="shared" si="1068"/>
        <v>0</v>
      </c>
      <c r="BT368" s="224">
        <f>VLOOKUP(N368,ma_dinhmuc!$A$1:$J$31,10,0)</f>
        <v>65000</v>
      </c>
      <c r="BU368" s="224">
        <f>ROUND(IF(BS368&gt;0,VLOOKUP(N368,ma_dinhmuc!$A$1:$J$31,10,0)*BS368,0),0)</f>
        <v>0</v>
      </c>
      <c r="BV368" s="224">
        <f t="shared" si="1049"/>
        <v>0</v>
      </c>
      <c r="BW368" s="224"/>
      <c r="BX368" s="224">
        <v>0</v>
      </c>
      <c r="BY368" s="224"/>
      <c r="BZ368" s="224"/>
      <c r="CA368" s="224"/>
      <c r="CB368" s="224"/>
      <c r="CC368" s="225">
        <f t="shared" si="1069"/>
        <v>0</v>
      </c>
      <c r="CD368" s="224">
        <f t="shared" si="1070"/>
        <v>0</v>
      </c>
      <c r="CE368" s="224"/>
      <c r="CF368" s="226"/>
      <c r="CG368" s="87"/>
      <c r="CH368" s="87">
        <f t="shared" si="1140"/>
        <v>9</v>
      </c>
      <c r="CI368" s="227" t="str">
        <f t="shared" si="1159"/>
        <v>Đặng Thị</v>
      </c>
      <c r="CJ368" s="227" t="str">
        <f t="shared" si="1159"/>
        <v>Vân</v>
      </c>
      <c r="CK368" s="87">
        <f t="shared" si="1142"/>
        <v>7</v>
      </c>
      <c r="CL368" s="227" t="str">
        <f t="shared" si="1171"/>
        <v>Tâm lý</v>
      </c>
      <c r="CM368" s="87" t="str">
        <f t="shared" si="1172"/>
        <v>CS4</v>
      </c>
      <c r="CN368" s="87">
        <f t="shared" si="1173"/>
        <v>270</v>
      </c>
      <c r="CO368" s="87">
        <f t="shared" si="1174"/>
        <v>170</v>
      </c>
      <c r="CP368" s="229">
        <f t="shared" si="1076"/>
        <v>0</v>
      </c>
      <c r="CQ368" s="229">
        <f t="shared" si="1077"/>
        <v>12.7</v>
      </c>
      <c r="CR368" s="229">
        <f t="shared" si="1078"/>
        <v>5.0999999999999996</v>
      </c>
      <c r="CS368" s="229">
        <f t="shared" si="1079"/>
        <v>0</v>
      </c>
      <c r="CT368" s="229">
        <f t="shared" si="1080"/>
        <v>0</v>
      </c>
      <c r="CU368" s="229">
        <f t="shared" si="1081"/>
        <v>67.3</v>
      </c>
      <c r="CV368" s="229">
        <f t="shared" si="1082"/>
        <v>0</v>
      </c>
      <c r="CW368" s="229">
        <f t="shared" si="1083"/>
        <v>0</v>
      </c>
      <c r="CX368" s="229">
        <f t="shared" si="1084"/>
        <v>0</v>
      </c>
      <c r="CY368" s="229">
        <f t="shared" si="1085"/>
        <v>0</v>
      </c>
      <c r="CZ368" s="229">
        <f t="shared" si="1086"/>
        <v>0</v>
      </c>
      <c r="DA368" s="229">
        <f t="shared" si="1087"/>
        <v>0</v>
      </c>
      <c r="DB368" s="228">
        <f t="shared" si="1018"/>
        <v>85.1</v>
      </c>
      <c r="DC368" s="229"/>
      <c r="DD368" s="229"/>
      <c r="DE368" s="229"/>
      <c r="DF368" s="229"/>
      <c r="DG368" s="229"/>
      <c r="DH368" s="229"/>
      <c r="DI368" s="229"/>
      <c r="DJ368" s="229"/>
      <c r="DK368" s="229"/>
      <c r="DL368" s="229"/>
      <c r="DM368" s="229"/>
      <c r="DN368" s="229"/>
      <c r="DO368" s="228">
        <f t="shared" si="1029"/>
        <v>0</v>
      </c>
      <c r="DP368" s="228">
        <f t="shared" si="1030"/>
        <v>85.1</v>
      </c>
      <c r="DQ368" s="229">
        <f t="shared" si="1088"/>
        <v>0</v>
      </c>
      <c r="DR368" s="229">
        <f t="shared" si="1089"/>
        <v>0</v>
      </c>
      <c r="DS368" s="229">
        <f t="shared" si="1090"/>
        <v>0</v>
      </c>
      <c r="DT368" s="229">
        <f t="shared" si="1091"/>
        <v>0</v>
      </c>
      <c r="DU368" s="229">
        <f t="shared" si="1092"/>
        <v>0</v>
      </c>
      <c r="DV368" s="229">
        <f t="shared" si="1093"/>
        <v>0</v>
      </c>
      <c r="DW368" s="229">
        <f t="shared" si="1094"/>
        <v>0</v>
      </c>
      <c r="DX368" s="228">
        <f t="shared" si="1019"/>
        <v>0</v>
      </c>
      <c r="DY368" s="229"/>
      <c r="DZ368" s="229"/>
      <c r="EA368" s="229"/>
      <c r="EB368" s="229"/>
      <c r="EC368" s="229"/>
      <c r="ED368" s="229"/>
      <c r="EE368" s="229"/>
      <c r="EF368" s="228">
        <f t="shared" si="1072"/>
        <v>0</v>
      </c>
      <c r="EG368" s="228">
        <f t="shared" si="1031"/>
        <v>0</v>
      </c>
      <c r="EH368" s="229">
        <f t="shared" si="1073"/>
        <v>200</v>
      </c>
      <c r="EI368" s="229">
        <v>23.31</v>
      </c>
      <c r="EJ368" s="228">
        <f t="shared" si="1153"/>
        <v>223.31</v>
      </c>
      <c r="EK368" s="229"/>
      <c r="EL368" s="229"/>
      <c r="EM368" s="228">
        <f t="shared" si="1152"/>
        <v>0</v>
      </c>
      <c r="EN368" s="229">
        <f t="shared" si="1104"/>
        <v>200</v>
      </c>
      <c r="EO368" s="229">
        <f t="shared" si="1121"/>
        <v>23.31</v>
      </c>
      <c r="EP368" s="228">
        <f t="shared" si="1146"/>
        <v>223.31</v>
      </c>
      <c r="EQ368" s="173">
        <f t="shared" si="1075"/>
        <v>30</v>
      </c>
      <c r="ER368" s="189">
        <v>0</v>
      </c>
      <c r="ES368" s="189">
        <v>12.7</v>
      </c>
      <c r="ET368" s="189">
        <v>5.0999999999999996</v>
      </c>
      <c r="EU368" s="189">
        <v>0</v>
      </c>
      <c r="EV368" s="189">
        <v>0</v>
      </c>
      <c r="EW368" s="189">
        <v>67.3</v>
      </c>
      <c r="EX368" s="189">
        <v>0</v>
      </c>
      <c r="EY368" s="189">
        <v>0</v>
      </c>
      <c r="EZ368" s="189">
        <v>0</v>
      </c>
      <c r="FA368" s="189">
        <v>0</v>
      </c>
      <c r="FB368" s="189">
        <v>0</v>
      </c>
      <c r="FC368" s="189">
        <v>0</v>
      </c>
      <c r="FD368" s="189">
        <v>0</v>
      </c>
      <c r="FE368" s="189">
        <v>0</v>
      </c>
      <c r="FF368" s="189">
        <v>0</v>
      </c>
      <c r="FG368" s="189">
        <v>0</v>
      </c>
      <c r="FH368" s="189">
        <v>0</v>
      </c>
      <c r="FI368" s="189">
        <v>0</v>
      </c>
      <c r="FJ368" s="189">
        <v>0</v>
      </c>
      <c r="FK368" s="189">
        <v>85.1</v>
      </c>
      <c r="FL368" s="189">
        <v>64</v>
      </c>
      <c r="FN368" s="132">
        <v>200</v>
      </c>
    </row>
    <row r="369" spans="1:170" ht="32.25" customHeight="1">
      <c r="A369" s="88">
        <f>COUNTIF($H$12:H369,H369)</f>
        <v>10</v>
      </c>
      <c r="B369" s="88" t="s">
        <v>754</v>
      </c>
      <c r="C369" s="88" t="s">
        <v>712</v>
      </c>
      <c r="D369" s="88"/>
      <c r="E369" s="88"/>
      <c r="F369" s="301" t="s">
        <v>1612</v>
      </c>
      <c r="G369" s="89" t="s">
        <v>172</v>
      </c>
      <c r="H369" s="88">
        <v>7</v>
      </c>
      <c r="I369" s="88">
        <v>7</v>
      </c>
      <c r="J369" s="88">
        <v>7</v>
      </c>
      <c r="K369" s="90" t="s">
        <v>1096</v>
      </c>
      <c r="L369" s="90" t="s">
        <v>1096</v>
      </c>
      <c r="M369" s="214"/>
      <c r="N369" s="88" t="s">
        <v>1804</v>
      </c>
      <c r="O369" s="216">
        <f t="shared" si="1128"/>
        <v>2.67</v>
      </c>
      <c r="P369" s="88" t="str">
        <f t="shared" si="1144"/>
        <v>B1_3</v>
      </c>
      <c r="Q369" s="88">
        <f t="shared" si="1154"/>
        <v>270</v>
      </c>
      <c r="R369" s="88">
        <f t="shared" si="1155"/>
        <v>100</v>
      </c>
      <c r="S369" s="218" t="s">
        <v>2377</v>
      </c>
      <c r="T369" s="88" t="s">
        <v>3091</v>
      </c>
      <c r="U369" s="88">
        <f>IF(RIGHT(T369,1)="K",(VLOOKUP(T369,ma_miengiam!$A$3:$B$80,2,0)*100)/2,VLOOKUP(T369,ma_miengiam!$A$3:$B$80,2,0)*100)</f>
        <v>20</v>
      </c>
      <c r="V369" s="88"/>
      <c r="W369" s="220">
        <f>IF(AND(T369="NTS",V369&gt;0),(Q369-(Q369*V369)/12)*VLOOKUP(T369,ma_miengiam!$A$3:$B$80,2,0)+(Q369-(Q369*(12-V369))/12),IF(AND(RIGHT(T369,1)="K",V369&gt;0),(VLOOKUP(T369,ma_miengiam!$A$3:$B$80,2,0)/2)*(Q369*V369)/12,IF(RIGHT(T369,1)="K",(VLOOKUP(T369,ma_miengiam!$A$3:$B$80,2,0)*Q369)/2,IF(V369&gt;0,VLOOKUP(T369,ma_miengiam!$A$3:$B$80,2,0)*Q369*V369/12,VLOOKUP(T369,ma_miengiam!$A$3:$B$80,2,0)*Q369))))</f>
        <v>54</v>
      </c>
      <c r="X369" s="220">
        <f>IF(T369="NTS",VLOOKUP(T369,ma_miengiam!$A$3:$B$80,2,0)*R369*V369,IF(AND(T369="NTS",V369=0),0,IF(AND(LEFT(T369,1)="K",V369=0),VLOOKUP(T369,ma_miengiam!$A$3:$B$80,2,0)*R369,IF(LEFT(T369,1)="K",(VLOOKUP(T369,ma_miengiam!$A$3:$B$80,2,0)*R369/12)*V369,IF(AND(LEFT(T369,1)="S",V369&gt;0),(R369/12)*V369,IF(AND(LEFT(T369,1)="S",V369=0),R369,IF(T369="DH",VLOOKUP(T369,ma_miengiam!$A$3:$B$80,2,0)*R369,0)))))))</f>
        <v>0</v>
      </c>
      <c r="Y369" s="220">
        <f t="shared" si="1107"/>
        <v>216</v>
      </c>
      <c r="Z369" s="220">
        <f>IF(AND(T369="SĐH",V369&gt;0),(R369/12)*V369-X369,IF(AND(T369="DH",V369&gt;0),(R369*V369/12),IF(AND(T369&lt;&gt;"NTS",V369&gt;0),(R369*V369/12)-X369,IF(AND(T369="NTS",V369&gt;0),R369-X369,R369-X369))))</f>
        <v>100</v>
      </c>
      <c r="AA369" s="220">
        <f>Q369</f>
        <v>270</v>
      </c>
      <c r="AB369" s="220">
        <f>R369</f>
        <v>100</v>
      </c>
      <c r="AC369" s="220">
        <f t="shared" si="1175"/>
        <v>54</v>
      </c>
      <c r="AD369" s="220">
        <f t="shared" si="1175"/>
        <v>0</v>
      </c>
      <c r="AE369" s="220">
        <f t="shared" si="1175"/>
        <v>216</v>
      </c>
      <c r="AF369" s="220">
        <f t="shared" si="1175"/>
        <v>100</v>
      </c>
      <c r="AG369" s="220">
        <f t="shared" si="1176"/>
        <v>119.16</v>
      </c>
      <c r="AH369" s="220">
        <f t="shared" si="1177"/>
        <v>119.16</v>
      </c>
      <c r="AI369" s="220">
        <f t="shared" si="1178"/>
        <v>0</v>
      </c>
      <c r="AJ369" s="220">
        <f>IF(AG369-Z369&gt;0,0,AG369-Z369)</f>
        <v>0</v>
      </c>
      <c r="AK369" s="216">
        <f t="shared" si="1038"/>
        <v>216</v>
      </c>
      <c r="AL369" s="220">
        <f t="shared" si="1020"/>
        <v>83.5</v>
      </c>
      <c r="AM369" s="220">
        <f t="shared" si="1021"/>
        <v>0</v>
      </c>
      <c r="AN369" s="221">
        <f t="shared" si="1022"/>
        <v>83.5</v>
      </c>
      <c r="AO369" s="220">
        <f t="shared" si="1023"/>
        <v>0</v>
      </c>
      <c r="AP369" s="220">
        <f t="shared" si="1024"/>
        <v>0</v>
      </c>
      <c r="AQ369" s="220">
        <f t="shared" si="1025"/>
        <v>0</v>
      </c>
      <c r="AR369" s="220">
        <f t="shared" si="1026"/>
        <v>0</v>
      </c>
      <c r="AS369" s="220">
        <f t="shared" si="1027"/>
        <v>0</v>
      </c>
      <c r="AT369" s="216">
        <f t="shared" si="1028"/>
        <v>83.5</v>
      </c>
      <c r="AU369" s="222">
        <f t="shared" si="1117"/>
        <v>-132.5</v>
      </c>
      <c r="AV369" s="220"/>
      <c r="AW369" s="220">
        <f t="shared" si="1165"/>
        <v>-132.5</v>
      </c>
      <c r="AX369" s="216">
        <f t="shared" si="1046"/>
        <v>-132.5</v>
      </c>
      <c r="AY369" s="220">
        <f t="shared" si="1179"/>
        <v>0</v>
      </c>
      <c r="AZ369" s="220">
        <f t="shared" si="1180"/>
        <v>0</v>
      </c>
      <c r="BA369" s="220">
        <f t="shared" si="1181"/>
        <v>0</v>
      </c>
      <c r="BB369" s="220">
        <f t="shared" si="1182"/>
        <v>0</v>
      </c>
      <c r="BC369" s="220">
        <f t="shared" si="1183"/>
        <v>0</v>
      </c>
      <c r="BD369" s="216">
        <f t="shared" si="988"/>
        <v>0</v>
      </c>
      <c r="BE369" s="220">
        <f t="shared" si="1166"/>
        <v>0</v>
      </c>
      <c r="BF369" s="220">
        <f t="shared" si="1167"/>
        <v>0</v>
      </c>
      <c r="BG369" s="220">
        <f t="shared" si="1168"/>
        <v>0</v>
      </c>
      <c r="BH369" s="220">
        <f t="shared" si="1169"/>
        <v>0</v>
      </c>
      <c r="BI369" s="220">
        <f t="shared" si="1170"/>
        <v>0</v>
      </c>
      <c r="BJ369" s="220" t="s">
        <v>1793</v>
      </c>
      <c r="BK369" s="220"/>
      <c r="BL369" s="223">
        <f t="shared" si="1004"/>
        <v>0</v>
      </c>
      <c r="BM369" s="220">
        <v>2.67</v>
      </c>
      <c r="BN369" s="220"/>
      <c r="BO369" s="220">
        <f t="shared" si="1184"/>
        <v>2.67</v>
      </c>
      <c r="BP369" s="220">
        <f>IF(AND(BL369&gt;0,BL369&lt;tiet!$D$1),BL369,IF(BL369&lt;=0,0,IF(BL369&gt;tiet!$C$1,tiet!$C$1)))</f>
        <v>0</v>
      </c>
      <c r="BQ369" s="87">
        <f>VLOOKUP(P369,ma_dinhmuc_moi,4,0)</f>
        <v>60000</v>
      </c>
      <c r="BR369" s="224">
        <f>ROUND(BQ369*BP369,0)</f>
        <v>0</v>
      </c>
      <c r="BS369" s="220">
        <f t="shared" si="1068"/>
        <v>0</v>
      </c>
      <c r="BT369" s="224">
        <f>VLOOKUP(N369,ma_dinhmuc!$A$1:$J$31,10,0)</f>
        <v>51000</v>
      </c>
      <c r="BU369" s="224">
        <f>ROUND(IF(BS369&gt;0,VLOOKUP(N369,ma_dinhmuc!$A$1:$J$31,10,0)*BS369,0),0)</f>
        <v>0</v>
      </c>
      <c r="BV369" s="224">
        <f>ROUND(BU369+BR369,0)</f>
        <v>0</v>
      </c>
      <c r="BW369" s="224"/>
      <c r="BX369" s="224">
        <v>0</v>
      </c>
      <c r="BY369" s="224"/>
      <c r="BZ369" s="224"/>
      <c r="CA369" s="224"/>
      <c r="CB369" s="224"/>
      <c r="CC369" s="225">
        <f t="shared" si="1069"/>
        <v>0</v>
      </c>
      <c r="CD369" s="224">
        <f t="shared" si="1070"/>
        <v>0</v>
      </c>
      <c r="CE369" s="224"/>
      <c r="CF369" s="226"/>
      <c r="CG369" s="87"/>
      <c r="CH369" s="87">
        <f>A369</f>
        <v>10</v>
      </c>
      <c r="CI369" s="227" t="str">
        <f t="shared" ref="CI369:CJ373" si="1185">F369</f>
        <v>Đỗ Ngọc</v>
      </c>
      <c r="CJ369" s="227" t="str">
        <f t="shared" si="1185"/>
        <v>Bích</v>
      </c>
      <c r="CK369" s="87">
        <f>H369</f>
        <v>7</v>
      </c>
      <c r="CL369" s="227" t="str">
        <f t="shared" si="1171"/>
        <v>Tâm lý</v>
      </c>
      <c r="CM369" s="87" t="str">
        <f t="shared" si="1172"/>
        <v>CS2</v>
      </c>
      <c r="CN369" s="87">
        <f t="shared" si="1173"/>
        <v>270</v>
      </c>
      <c r="CO369" s="87">
        <f t="shared" si="1174"/>
        <v>100</v>
      </c>
      <c r="CP369" s="229">
        <f t="shared" si="1076"/>
        <v>0</v>
      </c>
      <c r="CQ369" s="229">
        <f t="shared" si="1077"/>
        <v>11.4</v>
      </c>
      <c r="CR369" s="229">
        <f t="shared" si="1078"/>
        <v>4.5999999999999996</v>
      </c>
      <c r="CS369" s="229">
        <f t="shared" si="1079"/>
        <v>0</v>
      </c>
      <c r="CT369" s="229">
        <f t="shared" si="1080"/>
        <v>0</v>
      </c>
      <c r="CU369" s="229">
        <f t="shared" si="1081"/>
        <v>45</v>
      </c>
      <c r="CV369" s="229">
        <f t="shared" si="1082"/>
        <v>0</v>
      </c>
      <c r="CW369" s="229">
        <f t="shared" si="1083"/>
        <v>22.5</v>
      </c>
      <c r="CX369" s="229">
        <f t="shared" si="1084"/>
        <v>0</v>
      </c>
      <c r="CY369" s="229">
        <f t="shared" si="1085"/>
        <v>0</v>
      </c>
      <c r="CZ369" s="229">
        <f t="shared" si="1086"/>
        <v>0</v>
      </c>
      <c r="DA369" s="229">
        <f t="shared" si="1087"/>
        <v>0</v>
      </c>
      <c r="DB369" s="228">
        <f t="shared" si="1018"/>
        <v>83.5</v>
      </c>
      <c r="DC369" s="229"/>
      <c r="DD369" s="229"/>
      <c r="DE369" s="229"/>
      <c r="DF369" s="229"/>
      <c r="DG369" s="229"/>
      <c r="DH369" s="229"/>
      <c r="DI369" s="229"/>
      <c r="DJ369" s="229"/>
      <c r="DK369" s="229"/>
      <c r="DL369" s="229"/>
      <c r="DM369" s="229"/>
      <c r="DN369" s="229"/>
      <c r="DO369" s="228">
        <f t="shared" si="1029"/>
        <v>0</v>
      </c>
      <c r="DP369" s="228">
        <f t="shared" si="1030"/>
        <v>83.5</v>
      </c>
      <c r="DQ369" s="229">
        <f t="shared" si="1088"/>
        <v>0</v>
      </c>
      <c r="DR369" s="229">
        <f t="shared" si="1089"/>
        <v>0</v>
      </c>
      <c r="DS369" s="229">
        <f t="shared" si="1090"/>
        <v>0</v>
      </c>
      <c r="DT369" s="229">
        <f t="shared" si="1091"/>
        <v>0</v>
      </c>
      <c r="DU369" s="229">
        <f t="shared" si="1092"/>
        <v>0</v>
      </c>
      <c r="DV369" s="229">
        <f t="shared" si="1093"/>
        <v>0</v>
      </c>
      <c r="DW369" s="229">
        <f t="shared" si="1094"/>
        <v>0</v>
      </c>
      <c r="DX369" s="228">
        <f t="shared" si="1019"/>
        <v>0</v>
      </c>
      <c r="DY369" s="229"/>
      <c r="DZ369" s="229"/>
      <c r="EA369" s="229"/>
      <c r="EB369" s="229"/>
      <c r="EC369" s="229"/>
      <c r="ED369" s="229"/>
      <c r="EE369" s="229"/>
      <c r="EF369" s="228">
        <f t="shared" si="1072"/>
        <v>0</v>
      </c>
      <c r="EG369" s="228">
        <f t="shared" si="1031"/>
        <v>0</v>
      </c>
      <c r="EH369" s="229">
        <f t="shared" si="1073"/>
        <v>0</v>
      </c>
      <c r="EI369" s="229">
        <v>119.16</v>
      </c>
      <c r="EJ369" s="228">
        <f t="shared" ref="EJ369:EJ387" si="1186">SUM(EH369:EI369)</f>
        <v>119.16</v>
      </c>
      <c r="EK369" s="229"/>
      <c r="EL369" s="229"/>
      <c r="EM369" s="228">
        <f t="shared" si="1152"/>
        <v>0</v>
      </c>
      <c r="EN369" s="229">
        <f t="shared" si="1104"/>
        <v>0</v>
      </c>
      <c r="EO369" s="229">
        <f t="shared" si="1121"/>
        <v>119.16</v>
      </c>
      <c r="EP369" s="228">
        <f>EM369+EJ369</f>
        <v>119.16</v>
      </c>
      <c r="EQ369" s="173">
        <f t="shared" si="1075"/>
        <v>0</v>
      </c>
      <c r="ER369" s="189">
        <v>0</v>
      </c>
      <c r="ES369" s="189">
        <v>11.4</v>
      </c>
      <c r="ET369" s="189">
        <v>4.5999999999999996</v>
      </c>
      <c r="EU369" s="189">
        <v>0</v>
      </c>
      <c r="EV369" s="189">
        <v>0</v>
      </c>
      <c r="EW369" s="189">
        <v>45</v>
      </c>
      <c r="EX369" s="189">
        <v>0</v>
      </c>
      <c r="EY369" s="189">
        <v>22.5</v>
      </c>
      <c r="EZ369" s="189">
        <v>0</v>
      </c>
      <c r="FA369" s="189">
        <v>0</v>
      </c>
      <c r="FB369" s="189">
        <v>0</v>
      </c>
      <c r="FC369" s="189">
        <v>0</v>
      </c>
      <c r="FD369" s="189">
        <v>0</v>
      </c>
      <c r="FE369" s="189">
        <v>0</v>
      </c>
      <c r="FF369" s="189">
        <v>0</v>
      </c>
      <c r="FG369" s="189">
        <v>0</v>
      </c>
      <c r="FH369" s="189">
        <v>0</v>
      </c>
      <c r="FI369" s="189">
        <v>0</v>
      </c>
      <c r="FJ369" s="189">
        <v>0</v>
      </c>
      <c r="FK369" s="189">
        <v>83.5</v>
      </c>
      <c r="FL369" s="189">
        <v>64</v>
      </c>
      <c r="FN369" s="132">
        <v>0</v>
      </c>
    </row>
    <row r="370" spans="1:170" ht="30" customHeight="1">
      <c r="A370" s="88">
        <f>COUNTIF($H$12:H370,H370)</f>
        <v>11</v>
      </c>
      <c r="B370" s="88" t="s">
        <v>755</v>
      </c>
      <c r="C370" s="88" t="s">
        <v>713</v>
      </c>
      <c r="D370" s="88"/>
      <c r="E370" s="88"/>
      <c r="F370" s="301" t="s">
        <v>3047</v>
      </c>
      <c r="G370" s="89" t="s">
        <v>1194</v>
      </c>
      <c r="H370" s="88">
        <v>7</v>
      </c>
      <c r="I370" s="88">
        <v>7</v>
      </c>
      <c r="J370" s="88">
        <v>7</v>
      </c>
      <c r="K370" s="90" t="s">
        <v>1096</v>
      </c>
      <c r="L370" s="90" t="s">
        <v>1096</v>
      </c>
      <c r="M370" s="214"/>
      <c r="N370" s="88" t="s">
        <v>1804</v>
      </c>
      <c r="O370" s="216">
        <f>BO370</f>
        <v>3</v>
      </c>
      <c r="P370" s="88" t="str">
        <f t="shared" si="1144"/>
        <v>B1_3</v>
      </c>
      <c r="Q370" s="88">
        <f t="shared" si="1154"/>
        <v>270</v>
      </c>
      <c r="R370" s="88">
        <f t="shared" si="1155"/>
        <v>100</v>
      </c>
      <c r="S370" s="218" t="s">
        <v>1344</v>
      </c>
      <c r="T370" s="88" t="s">
        <v>3095</v>
      </c>
      <c r="U370" s="88">
        <f>IF(RIGHT(T370,1)="K",(VLOOKUP(T370,ma_miengiam!$A$3:$B$80,2,0)*100)/2,VLOOKUP(T370,ma_miengiam!$A$3:$B$80,2,0)*100)</f>
        <v>40</v>
      </c>
      <c r="V370" s="88"/>
      <c r="W370" s="220">
        <f>IF(AND(T370="NTS",V370&gt;0),(Q370-(Q370*V370)/12)*VLOOKUP(T370,ma_miengiam!$A$3:$B$80,2,0)+(Q370-(Q370*(12-V370))/12),IF(AND(RIGHT(T370,1)="K",V370&gt;0),(VLOOKUP(T370,ma_miengiam!$A$3:$B$80,2,0)/2)*(Q370*V370)/12,IF(RIGHT(T370,1)="K",(VLOOKUP(T370,ma_miengiam!$A$3:$B$80,2,0)*Q370)/2,IF(V370&gt;0,VLOOKUP(T370,ma_miengiam!$A$3:$B$80,2,0)*Q370*V370/12,VLOOKUP(T370,ma_miengiam!$A$3:$B$80,2,0)*Q370))))</f>
        <v>108</v>
      </c>
      <c r="X370" s="220">
        <f>IF(T370="NTS",VLOOKUP(T370,ma_miengiam!$A$3:$B$80,2,0)*R370*V370,IF(AND(T370="NTS",V370=0),0,IF(AND(LEFT(T370,1)="K",V370=0),VLOOKUP(T370,ma_miengiam!$A$3:$B$80,2,0)*R370,IF(LEFT(T370,1)="K",(VLOOKUP(T370,ma_miengiam!$A$3:$B$80,2,0)*R370/12)*V370,IF(AND(LEFT(T370,1)="S",V370&gt;0),(R370/12)*V370,IF(AND(LEFT(T370,1)="S",V370=0),R370,IF(T370="DH",VLOOKUP(T370,ma_miengiam!$A$3:$B$80,2,0)*R370,0)))))))</f>
        <v>0</v>
      </c>
      <c r="Y370" s="220">
        <f>IF(AND(T370="DH",V370&gt;0),(S370*V370/12),IF(AND(T370&lt;&gt;"NTS",V370&gt;0),(Q370*V370/12)-W370,IF(AND(T370="NTS",V370&gt;0),Q370-W370,Q370-W370)))</f>
        <v>162</v>
      </c>
      <c r="Z370" s="220">
        <f>IF(AND(T370="SĐH",V370&gt;0),(R370/12)*V370-X370,IF(AND(T370="DH",V370&gt;0),(R370*V370/12),IF(AND(T370&lt;&gt;"NTS",V370&gt;0),(R370*V370/12)-X370,IF(AND(T370="NTS",V370&gt;0),R370-X370,R370-X370))))</f>
        <v>100</v>
      </c>
      <c r="AA370" s="220">
        <f t="shared" ref="AA370:AB372" si="1187">Q370</f>
        <v>270</v>
      </c>
      <c r="AB370" s="220">
        <f t="shared" si="1187"/>
        <v>100</v>
      </c>
      <c r="AC370" s="220">
        <f>W370</f>
        <v>108</v>
      </c>
      <c r="AD370" s="220">
        <f>X370</f>
        <v>0</v>
      </c>
      <c r="AE370" s="220">
        <f>Y370</f>
        <v>162</v>
      </c>
      <c r="AF370" s="220">
        <f>Z370</f>
        <v>100</v>
      </c>
      <c r="AG370" s="220">
        <f t="shared" si="1176"/>
        <v>64.16</v>
      </c>
      <c r="AH370" s="220">
        <f t="shared" si="1177"/>
        <v>64.16</v>
      </c>
      <c r="AI370" s="220">
        <f t="shared" si="1178"/>
        <v>0</v>
      </c>
      <c r="AJ370" s="220">
        <f>IF(AG370-Z370&gt;0,0,AG370-Z370)</f>
        <v>-35.840000000000003</v>
      </c>
      <c r="AK370" s="216">
        <f t="shared" si="1038"/>
        <v>197.84</v>
      </c>
      <c r="AL370" s="220">
        <f>SUM(CP370:CX370)+SUM(DC370:DK370)</f>
        <v>101.4</v>
      </c>
      <c r="AM370" s="220">
        <f>SUM(DQ370:DU370)+SUM(DY370:EC370)</f>
        <v>0</v>
      </c>
      <c r="AN370" s="221">
        <f>AM370+AL370</f>
        <v>101.4</v>
      </c>
      <c r="AO370" s="220">
        <f>CY370+DL370</f>
        <v>0</v>
      </c>
      <c r="AP370" s="220">
        <f>CZ370+DM370</f>
        <v>0</v>
      </c>
      <c r="AQ370" s="220">
        <f>DA370+DN370</f>
        <v>0</v>
      </c>
      <c r="AR370" s="220">
        <f>DV370+ED370</f>
        <v>0</v>
      </c>
      <c r="AS370" s="220">
        <f>DW370+EE370</f>
        <v>0</v>
      </c>
      <c r="AT370" s="216">
        <f>AN370+SUM(AO370:AS370)</f>
        <v>101.4</v>
      </c>
      <c r="AU370" s="222">
        <f>AN370-AK370</f>
        <v>-96.44</v>
      </c>
      <c r="AV370" s="220"/>
      <c r="AW370" s="220">
        <f>IF(AU370&gt;0,AU370,AV370+AU370)</f>
        <v>-96.44</v>
      </c>
      <c r="AX370" s="216">
        <f t="shared" si="1046"/>
        <v>-96.44</v>
      </c>
      <c r="AY370" s="220">
        <f>IF(AN370&gt;=AK370,AO370,IF(AN370+AO370-AK370&gt;=0,AN370+AO370-AK370,0))</f>
        <v>0</v>
      </c>
      <c r="AZ370" s="220">
        <f>IF(OR(AN370&gt;=AK370,AN370+AO370&gt;=AK370),AP370,IF(AN370+AO370+AP370&gt;AK370,AN370+AO370+AP370-AK370,0))</f>
        <v>0</v>
      </c>
      <c r="BA370" s="220">
        <f>IF(OR(AN370&gt;=AK370,AN370+AO370&gt;=AK370,AN370+AO370+AP370&gt;=AK370),AQ370,IF(AN370+AO370+AP370+AQ370&gt;=AK370,AN370+AO370+AP370+AQ370-AK370,0))</f>
        <v>0</v>
      </c>
      <c r="BB370" s="220">
        <f>IF(OR(AN370&gt;=AK370,AN370+AO370&gt;=AK370,AN370+AO370+AP370&gt;=AK370,AN370+AO370+AP370+AQ370&gt;=AK370),AR370,IF(AN370+AO370+AP370+AQ370+AR370&gt;=AK370,AN370+AO370+AP370+AQ370+AR370-AK370,0))</f>
        <v>0</v>
      </c>
      <c r="BC370" s="220">
        <f>IF(OR(AN370&gt;=AK370,AN370+AO370&gt;=AK370,AN370+AO370+AP370&gt;=AK370,AN370+AO370+AP370+AQ370&gt;=AK370,AN370+AO370+AP370+AQ370+AR370&gt;=AK370),AS370,IF(AN370+AO370+AP370+AQ370+AR370+AS370&gt;=AK370,AN370+AO370+AP370+AQ370+AR370+AS370-AK370,0))</f>
        <v>0</v>
      </c>
      <c r="BD370" s="216">
        <f t="shared" si="988"/>
        <v>0</v>
      </c>
      <c r="BE370" s="220">
        <f>AY370-AO370</f>
        <v>0</v>
      </c>
      <c r="BF370" s="220">
        <f>AZ370-AP370</f>
        <v>0</v>
      </c>
      <c r="BG370" s="220">
        <f>BA370-AQ370</f>
        <v>0</v>
      </c>
      <c r="BH370" s="220">
        <f>BB370-AR370</f>
        <v>0</v>
      </c>
      <c r="BI370" s="220">
        <f>BC370-AS370</f>
        <v>0</v>
      </c>
      <c r="BJ370" s="220" t="s">
        <v>1793</v>
      </c>
      <c r="BK370" s="220"/>
      <c r="BL370" s="223">
        <f t="shared" si="1004"/>
        <v>0</v>
      </c>
      <c r="BM370" s="220">
        <v>3</v>
      </c>
      <c r="BN370" s="220"/>
      <c r="BO370" s="220">
        <f>ROUND(BM370+(BM370*BN370),2)</f>
        <v>3</v>
      </c>
      <c r="BP370" s="220">
        <f>IF(AND(BL370&gt;0,BL370&lt;tiet!$D$1),BL370,IF(BL370&lt;=0,0,IF(BL370&gt;tiet!$C$1,tiet!$C$1)))</f>
        <v>0</v>
      </c>
      <c r="BQ370" s="87">
        <f>VLOOKUP(P370,ma_dinhmuc_moi,4,0)</f>
        <v>60000</v>
      </c>
      <c r="BR370" s="224">
        <f>ROUND(BQ370*BP370,0)</f>
        <v>0</v>
      </c>
      <c r="BS370" s="220">
        <f t="shared" si="1068"/>
        <v>0</v>
      </c>
      <c r="BT370" s="224">
        <f>VLOOKUP(N370,ma_dinhmuc!$A$1:$J$31,10,0)</f>
        <v>51000</v>
      </c>
      <c r="BU370" s="224">
        <f>ROUND(IF(BS370&gt;0,VLOOKUP(N370,ma_dinhmuc!$A$1:$J$31,10,0)*BS370,0),0)</f>
        <v>0</v>
      </c>
      <c r="BV370" s="224">
        <f>ROUND(BU370+BR370,0)</f>
        <v>0</v>
      </c>
      <c r="BW370" s="224"/>
      <c r="BX370" s="224">
        <v>0</v>
      </c>
      <c r="BY370" s="224"/>
      <c r="BZ370" s="224"/>
      <c r="CA370" s="224"/>
      <c r="CB370" s="224"/>
      <c r="CC370" s="225">
        <f>ROUND(IF(BV370+BW370&gt;BX370+BY370+BZ370+CA370+CB370,(BW370+BV370)-(BX370+BY370+BZ370+CA370+CB370+CB370),0),0)</f>
        <v>0</v>
      </c>
      <c r="CD370" s="224">
        <f>ROUND(IF(BV370+BW370&lt;BX370+BY370+BZ370+CA370-CB370,(BX370+BY370+BZ370+CA370-CB370)-(BW370+BV370),0),0)</f>
        <v>0</v>
      </c>
      <c r="CE370" s="224"/>
      <c r="CF370" s="226"/>
      <c r="CG370" s="87"/>
      <c r="CH370" s="87">
        <f>A370</f>
        <v>11</v>
      </c>
      <c r="CI370" s="227" t="str">
        <f t="shared" si="1185"/>
        <v>Trần Thị Thanh</v>
      </c>
      <c r="CJ370" s="227" t="str">
        <f t="shared" si="1185"/>
        <v>Tâm</v>
      </c>
      <c r="CK370" s="87">
        <f>H370</f>
        <v>7</v>
      </c>
      <c r="CL370" s="227" t="str">
        <f>L370</f>
        <v>Tâm lý</v>
      </c>
      <c r="CM370" s="87" t="str">
        <f>N370</f>
        <v>CS2</v>
      </c>
      <c r="CN370" s="87">
        <f>Q370</f>
        <v>270</v>
      </c>
      <c r="CO370" s="87">
        <f>R370</f>
        <v>100</v>
      </c>
      <c r="CP370" s="229">
        <f t="shared" si="1076"/>
        <v>0</v>
      </c>
      <c r="CQ370" s="229">
        <f t="shared" si="1077"/>
        <v>8.1</v>
      </c>
      <c r="CR370" s="229">
        <f t="shared" si="1078"/>
        <v>3.3</v>
      </c>
      <c r="CS370" s="229">
        <f t="shared" si="1079"/>
        <v>0</v>
      </c>
      <c r="CT370" s="229">
        <f t="shared" si="1080"/>
        <v>0</v>
      </c>
      <c r="CU370" s="229">
        <f t="shared" si="1081"/>
        <v>30</v>
      </c>
      <c r="CV370" s="229">
        <f t="shared" si="1082"/>
        <v>0</v>
      </c>
      <c r="CW370" s="229">
        <f t="shared" si="1083"/>
        <v>60</v>
      </c>
      <c r="CX370" s="229">
        <f t="shared" si="1084"/>
        <v>0</v>
      </c>
      <c r="CY370" s="229">
        <f t="shared" si="1085"/>
        <v>0</v>
      </c>
      <c r="CZ370" s="229">
        <f t="shared" si="1086"/>
        <v>0</v>
      </c>
      <c r="DA370" s="229">
        <f t="shared" si="1087"/>
        <v>0</v>
      </c>
      <c r="DB370" s="228">
        <f>SUM(CP370:DA370)</f>
        <v>101.4</v>
      </c>
      <c r="DC370" s="229"/>
      <c r="DD370" s="229"/>
      <c r="DE370" s="229"/>
      <c r="DF370" s="229"/>
      <c r="DG370" s="229"/>
      <c r="DH370" s="229"/>
      <c r="DI370" s="229"/>
      <c r="DJ370" s="229"/>
      <c r="DK370" s="229"/>
      <c r="DL370" s="229"/>
      <c r="DM370" s="229"/>
      <c r="DN370" s="229"/>
      <c r="DO370" s="228">
        <f>SUM(DC370:DN370)</f>
        <v>0</v>
      </c>
      <c r="DP370" s="228">
        <f>DO370+DB370</f>
        <v>101.4</v>
      </c>
      <c r="DQ370" s="229">
        <f t="shared" si="1088"/>
        <v>0</v>
      </c>
      <c r="DR370" s="229">
        <f t="shared" si="1089"/>
        <v>0</v>
      </c>
      <c r="DS370" s="229">
        <f t="shared" si="1090"/>
        <v>0</v>
      </c>
      <c r="DT370" s="229">
        <f t="shared" si="1091"/>
        <v>0</v>
      </c>
      <c r="DU370" s="229">
        <f t="shared" si="1092"/>
        <v>0</v>
      </c>
      <c r="DV370" s="229">
        <f t="shared" si="1093"/>
        <v>0</v>
      </c>
      <c r="DW370" s="229">
        <f t="shared" si="1094"/>
        <v>0</v>
      </c>
      <c r="DX370" s="228">
        <f>SUM(DQ370:DW370)</f>
        <v>0</v>
      </c>
      <c r="DY370" s="229"/>
      <c r="DZ370" s="229"/>
      <c r="EA370" s="229"/>
      <c r="EB370" s="229"/>
      <c r="EC370" s="229"/>
      <c r="ED370" s="229"/>
      <c r="EE370" s="229"/>
      <c r="EF370" s="228">
        <f t="shared" si="1072"/>
        <v>0</v>
      </c>
      <c r="EG370" s="228">
        <f>EF370+DX370</f>
        <v>0</v>
      </c>
      <c r="EH370" s="229">
        <f t="shared" si="1073"/>
        <v>0</v>
      </c>
      <c r="EI370" s="229">
        <v>64.16</v>
      </c>
      <c r="EJ370" s="228">
        <f>SUM(EH370:EI370)</f>
        <v>64.16</v>
      </c>
      <c r="EK370" s="229"/>
      <c r="EL370" s="229"/>
      <c r="EM370" s="228">
        <f>SUM(EK370:EL370)</f>
        <v>0</v>
      </c>
      <c r="EN370" s="229">
        <f>EK370+EH370+EL370</f>
        <v>0</v>
      </c>
      <c r="EO370" s="229">
        <f>EI370</f>
        <v>64.16</v>
      </c>
      <c r="EP370" s="228">
        <v>6</v>
      </c>
      <c r="EQ370" s="173">
        <f t="shared" si="1075"/>
        <v>0</v>
      </c>
      <c r="ER370" s="189">
        <v>0</v>
      </c>
      <c r="ES370" s="189">
        <v>8.1</v>
      </c>
      <c r="ET370" s="189">
        <v>3.3</v>
      </c>
      <c r="EU370" s="189">
        <v>0</v>
      </c>
      <c r="EV370" s="189">
        <v>0</v>
      </c>
      <c r="EW370" s="189">
        <v>30</v>
      </c>
      <c r="EX370" s="189">
        <v>0</v>
      </c>
      <c r="EY370" s="189">
        <v>60</v>
      </c>
      <c r="EZ370" s="189">
        <v>0</v>
      </c>
      <c r="FA370" s="189">
        <v>0</v>
      </c>
      <c r="FB370" s="189">
        <v>0</v>
      </c>
      <c r="FC370" s="189">
        <v>0</v>
      </c>
      <c r="FD370" s="189">
        <v>0</v>
      </c>
      <c r="FE370" s="189">
        <v>0</v>
      </c>
      <c r="FF370" s="189">
        <v>0</v>
      </c>
      <c r="FG370" s="189">
        <v>0</v>
      </c>
      <c r="FH370" s="189">
        <v>0</v>
      </c>
      <c r="FI370" s="189">
        <v>0</v>
      </c>
      <c r="FJ370" s="189">
        <v>0</v>
      </c>
      <c r="FK370" s="189">
        <v>101.4</v>
      </c>
      <c r="FL370" s="189">
        <v>79</v>
      </c>
      <c r="FN370" s="132">
        <v>0</v>
      </c>
    </row>
    <row r="371" spans="1:170" ht="30" customHeight="1">
      <c r="A371" s="88">
        <f>COUNTIF($H$12:H371,H371)</f>
        <v>12</v>
      </c>
      <c r="B371" s="88" t="s">
        <v>756</v>
      </c>
      <c r="C371" s="88" t="s">
        <v>714</v>
      </c>
      <c r="D371" s="88"/>
      <c r="E371" s="88"/>
      <c r="F371" s="301" t="s">
        <v>2209</v>
      </c>
      <c r="G371" s="89" t="s">
        <v>1194</v>
      </c>
      <c r="H371" s="88">
        <v>7</v>
      </c>
      <c r="I371" s="88">
        <v>7</v>
      </c>
      <c r="J371" s="88">
        <v>7</v>
      </c>
      <c r="K371" s="90" t="s">
        <v>1163</v>
      </c>
      <c r="L371" s="90" t="s">
        <v>1163</v>
      </c>
      <c r="M371" s="214"/>
      <c r="N371" s="88" t="s">
        <v>1179</v>
      </c>
      <c r="O371" s="216">
        <f t="shared" si="1128"/>
        <v>3.99</v>
      </c>
      <c r="P371" s="88" t="str">
        <f t="shared" ref="P371:P381" si="1188">IF(BO371&lt;3.33,"B11_3",IF(AND(BO371&gt;=3.33,BO371&lt;4.65),"B11_4",IF(AND(BO371&gt;=4.65,BO371&lt;5.42),"B11_5",IF(AND(BO371&gt;=5.42,BO371&lt;6.44),"B11_6",IF(AND(BO371&gt;=6.44,BO371&lt;=6.92),"B11_7","B11_8")))))</f>
        <v>B11_4</v>
      </c>
      <c r="Q371" s="88">
        <f t="shared" si="1154"/>
        <v>270</v>
      </c>
      <c r="R371" s="88">
        <f t="shared" si="1155"/>
        <v>80</v>
      </c>
      <c r="S371" s="230"/>
      <c r="T371" s="88" t="s">
        <v>3088</v>
      </c>
      <c r="U371" s="88">
        <f>IF(RIGHT(T371,1)="K",(VLOOKUP(T371,ma_miengiam!$A$3:$B$80,2,0)*100)/2,VLOOKUP(T371,ma_miengiam!$A$3:$B$80,2,0)*100)</f>
        <v>0</v>
      </c>
      <c r="V371" s="88"/>
      <c r="W371" s="220">
        <f>IF(AND(T371="NTS",V371&gt;0),(Q371-(Q371*V371)/12)*VLOOKUP(T371,ma_miengiam!$A$3:$B$80,2,0)+(Q371-(Q371*(12-V371))/12),IF(AND(RIGHT(T371,1)="K",V371&gt;0),(VLOOKUP(T371,ma_miengiam!$A$3:$B$80,2,0)/2)*(Q371*V371)/12,IF(RIGHT(T371,1)="K",(VLOOKUP(T371,ma_miengiam!$A$3:$B$80,2,0)*Q371)/2,IF(V371&gt;0,VLOOKUP(T371,ma_miengiam!$A$3:$B$80,2,0)*Q371*V371/12,VLOOKUP(T371,ma_miengiam!$A$3:$B$80,2,0)*Q371))))</f>
        <v>0</v>
      </c>
      <c r="X371" s="220">
        <f>IF(T371="NTS",VLOOKUP(T371,ma_miengiam!$A$3:$B$80,2,0)*R371*V371,IF(AND(T371="NTS",V371=0),0,IF(AND(LEFT(T371,1)="K",V371=0),VLOOKUP(T371,ma_miengiam!$A$3:$B$80,2,0)*R371,IF(LEFT(T371,1)="K",(VLOOKUP(T371,ma_miengiam!$A$3:$B$80,2,0)*R371/12)*V371,IF(AND(LEFT(T371,1)="S",V371&gt;0),(R371/12)*V371,IF(AND(LEFT(T371,1)="S",V371=0),R371,IF(T371="DH",VLOOKUP(T371,ma_miengiam!$A$3:$B$80,2,0)*R371,0)))))))</f>
        <v>0</v>
      </c>
      <c r="Y371" s="220">
        <f t="shared" si="1107"/>
        <v>270</v>
      </c>
      <c r="Z371" s="220">
        <f t="shared" si="1156"/>
        <v>80</v>
      </c>
      <c r="AA371" s="220">
        <f t="shared" si="1187"/>
        <v>270</v>
      </c>
      <c r="AB371" s="220">
        <f t="shared" si="1187"/>
        <v>80</v>
      </c>
      <c r="AC371" s="220">
        <f t="shared" ref="AC371:AF372" si="1189">W371</f>
        <v>0</v>
      </c>
      <c r="AD371" s="220">
        <f t="shared" si="1189"/>
        <v>0</v>
      </c>
      <c r="AE371" s="220">
        <f t="shared" si="1189"/>
        <v>270</v>
      </c>
      <c r="AF371" s="220">
        <f t="shared" si="1189"/>
        <v>80</v>
      </c>
      <c r="AG371" s="220">
        <f t="shared" si="1176"/>
        <v>186.67</v>
      </c>
      <c r="AH371" s="220">
        <f t="shared" si="1177"/>
        <v>186.67</v>
      </c>
      <c r="AI371" s="220">
        <f t="shared" si="1178"/>
        <v>0</v>
      </c>
      <c r="AJ371" s="220">
        <f t="shared" ref="AJ371:AJ425" si="1190">IF(AG371-Z371&gt;0,0,AG371-Z371)</f>
        <v>0</v>
      </c>
      <c r="AK371" s="216">
        <f t="shared" si="1038"/>
        <v>270</v>
      </c>
      <c r="AL371" s="220">
        <f t="shared" si="1020"/>
        <v>651</v>
      </c>
      <c r="AM371" s="220">
        <f t="shared" si="1021"/>
        <v>0</v>
      </c>
      <c r="AN371" s="221">
        <f t="shared" si="1022"/>
        <v>651</v>
      </c>
      <c r="AO371" s="220">
        <f t="shared" si="1023"/>
        <v>0</v>
      </c>
      <c r="AP371" s="220">
        <f t="shared" si="1024"/>
        <v>0</v>
      </c>
      <c r="AQ371" s="220">
        <f t="shared" si="1025"/>
        <v>0</v>
      </c>
      <c r="AR371" s="220">
        <f t="shared" si="1026"/>
        <v>0</v>
      </c>
      <c r="AS371" s="220">
        <f t="shared" si="1027"/>
        <v>0</v>
      </c>
      <c r="AT371" s="216">
        <f t="shared" si="1028"/>
        <v>651</v>
      </c>
      <c r="AU371" s="222">
        <f t="shared" si="1117"/>
        <v>381</v>
      </c>
      <c r="AV371" s="220"/>
      <c r="AW371" s="220">
        <f t="shared" si="1165"/>
        <v>381</v>
      </c>
      <c r="AX371" s="216">
        <f t="shared" si="1046"/>
        <v>0</v>
      </c>
      <c r="AY371" s="220">
        <f t="shared" si="1179"/>
        <v>0</v>
      </c>
      <c r="AZ371" s="220">
        <f t="shared" si="1180"/>
        <v>0</v>
      </c>
      <c r="BA371" s="220">
        <f t="shared" si="1181"/>
        <v>0</v>
      </c>
      <c r="BB371" s="220">
        <f t="shared" si="1182"/>
        <v>0</v>
      </c>
      <c r="BC371" s="220">
        <f t="shared" si="1183"/>
        <v>0</v>
      </c>
      <c r="BD371" s="216">
        <f t="shared" si="988"/>
        <v>0</v>
      </c>
      <c r="BE371" s="220">
        <f t="shared" si="1166"/>
        <v>0</v>
      </c>
      <c r="BF371" s="220">
        <f t="shared" si="1167"/>
        <v>0</v>
      </c>
      <c r="BG371" s="220">
        <f t="shared" si="1168"/>
        <v>0</v>
      </c>
      <c r="BH371" s="220">
        <f t="shared" si="1169"/>
        <v>0</v>
      </c>
      <c r="BI371" s="220">
        <f t="shared" si="1170"/>
        <v>0</v>
      </c>
      <c r="BJ371" s="220" t="s">
        <v>1566</v>
      </c>
      <c r="BK371" s="220"/>
      <c r="BL371" s="223">
        <f t="shared" si="1004"/>
        <v>381</v>
      </c>
      <c r="BM371" s="220">
        <v>3.99</v>
      </c>
      <c r="BN371" s="220"/>
      <c r="BO371" s="220">
        <f t="shared" si="1184"/>
        <v>3.99</v>
      </c>
      <c r="BP371" s="220">
        <f>IF(AND(BL371&gt;0,BL371&lt;tiet!$D$1),BL371,IF(BL371&lt;=0,0,IF(BL371&gt;tiet!$C$1,tiet!$C$1)))</f>
        <v>200</v>
      </c>
      <c r="BQ371" s="87">
        <f t="shared" ref="BQ371:BQ425" si="1191">VLOOKUP(P371,ma_dinhmuc_moi,4,0)</f>
        <v>65000</v>
      </c>
      <c r="BR371" s="224">
        <f t="shared" ref="BR371:BR424" si="1192">ROUND(BQ371*BP371,0)</f>
        <v>13000000</v>
      </c>
      <c r="BS371" s="220">
        <f t="shared" si="1068"/>
        <v>181</v>
      </c>
      <c r="BT371" s="224">
        <f>VLOOKUP(N371,ma_dinhmuc!$A$1:$J$31,10,0)</f>
        <v>51000</v>
      </c>
      <c r="BU371" s="224">
        <f>ROUND(IF(BS371&gt;0,VLOOKUP(N371,ma_dinhmuc!$A$1:$J$31,10,0)*BS371,0),0)</f>
        <v>9231000</v>
      </c>
      <c r="BV371" s="224">
        <f t="shared" ref="BV371:BV424" si="1193">ROUND(BU371+BR371,0)</f>
        <v>22231000</v>
      </c>
      <c r="BW371" s="224"/>
      <c r="BX371" s="224">
        <v>0</v>
      </c>
      <c r="BY371" s="224"/>
      <c r="BZ371" s="224"/>
      <c r="CA371" s="224"/>
      <c r="CB371" s="224"/>
      <c r="CC371" s="225">
        <f t="shared" si="1069"/>
        <v>22231000</v>
      </c>
      <c r="CD371" s="224">
        <f t="shared" si="1070"/>
        <v>0</v>
      </c>
      <c r="CE371" s="224"/>
      <c r="CF371" s="226"/>
      <c r="CG371" s="87"/>
      <c r="CH371" s="87">
        <f t="shared" ref="CH371:CH392" si="1194">A371</f>
        <v>12</v>
      </c>
      <c r="CI371" s="227" t="str">
        <f t="shared" si="1185"/>
        <v>Nguyễn Thị Minh</v>
      </c>
      <c r="CJ371" s="227" t="str">
        <f t="shared" si="1185"/>
        <v>Tâm</v>
      </c>
      <c r="CK371" s="87">
        <f>H371</f>
        <v>7</v>
      </c>
      <c r="CL371" s="227" t="str">
        <f t="shared" si="1171"/>
        <v>Tiếng Anh cơ bản</v>
      </c>
      <c r="CM371" s="87" t="str">
        <f t="shared" si="1172"/>
        <v>CB2</v>
      </c>
      <c r="CN371" s="87">
        <f t="shared" si="1173"/>
        <v>270</v>
      </c>
      <c r="CO371" s="87">
        <f t="shared" si="1174"/>
        <v>80</v>
      </c>
      <c r="CP371" s="229">
        <f t="shared" si="1076"/>
        <v>0</v>
      </c>
      <c r="CQ371" s="229">
        <f t="shared" si="1077"/>
        <v>67.7</v>
      </c>
      <c r="CR371" s="229">
        <f t="shared" si="1078"/>
        <v>27.3</v>
      </c>
      <c r="CS371" s="229">
        <f t="shared" si="1079"/>
        <v>0</v>
      </c>
      <c r="CT371" s="229">
        <f t="shared" si="1080"/>
        <v>0</v>
      </c>
      <c r="CU371" s="229">
        <f t="shared" si="1081"/>
        <v>556</v>
      </c>
      <c r="CV371" s="229">
        <f t="shared" si="1082"/>
        <v>0</v>
      </c>
      <c r="CW371" s="229">
        <f t="shared" si="1083"/>
        <v>0</v>
      </c>
      <c r="CX371" s="229">
        <f t="shared" si="1084"/>
        <v>0</v>
      </c>
      <c r="CY371" s="229">
        <f t="shared" si="1085"/>
        <v>0</v>
      </c>
      <c r="CZ371" s="229">
        <f t="shared" si="1086"/>
        <v>0</v>
      </c>
      <c r="DA371" s="229">
        <f t="shared" si="1087"/>
        <v>0</v>
      </c>
      <c r="DB371" s="228">
        <f t="shared" si="1018"/>
        <v>651</v>
      </c>
      <c r="DC371" s="229"/>
      <c r="DD371" s="229"/>
      <c r="DE371" s="229"/>
      <c r="DF371" s="229"/>
      <c r="DG371" s="229"/>
      <c r="DH371" s="229"/>
      <c r="DI371" s="229"/>
      <c r="DJ371" s="229"/>
      <c r="DK371" s="229"/>
      <c r="DL371" s="229"/>
      <c r="DM371" s="229"/>
      <c r="DN371" s="229"/>
      <c r="DO371" s="228">
        <f t="shared" si="1029"/>
        <v>0</v>
      </c>
      <c r="DP371" s="228">
        <f t="shared" si="1030"/>
        <v>651</v>
      </c>
      <c r="DQ371" s="229">
        <f t="shared" si="1088"/>
        <v>0</v>
      </c>
      <c r="DR371" s="229">
        <f t="shared" si="1089"/>
        <v>0</v>
      </c>
      <c r="DS371" s="229">
        <f t="shared" si="1090"/>
        <v>0</v>
      </c>
      <c r="DT371" s="229">
        <f t="shared" si="1091"/>
        <v>0</v>
      </c>
      <c r="DU371" s="229">
        <f t="shared" si="1092"/>
        <v>0</v>
      </c>
      <c r="DV371" s="229">
        <f t="shared" si="1093"/>
        <v>0</v>
      </c>
      <c r="DW371" s="229">
        <f t="shared" si="1094"/>
        <v>0</v>
      </c>
      <c r="DX371" s="228">
        <f t="shared" si="1019"/>
        <v>0</v>
      </c>
      <c r="DY371" s="229"/>
      <c r="DZ371" s="229"/>
      <c r="EA371" s="229"/>
      <c r="EB371" s="229"/>
      <c r="EC371" s="229"/>
      <c r="ED371" s="229"/>
      <c r="EE371" s="229"/>
      <c r="EF371" s="228">
        <f t="shared" si="1072"/>
        <v>0</v>
      </c>
      <c r="EG371" s="228">
        <f t="shared" si="1031"/>
        <v>0</v>
      </c>
      <c r="EH371" s="229">
        <f t="shared" si="1073"/>
        <v>0</v>
      </c>
      <c r="EI371" s="229">
        <v>186.67</v>
      </c>
      <c r="EJ371" s="228">
        <f t="shared" si="1186"/>
        <v>186.67</v>
      </c>
      <c r="EK371" s="229"/>
      <c r="EL371" s="229"/>
      <c r="EM371" s="228">
        <f t="shared" si="1152"/>
        <v>0</v>
      </c>
      <c r="EN371" s="229">
        <f t="shared" si="1104"/>
        <v>0</v>
      </c>
      <c r="EO371" s="229">
        <f t="shared" si="1121"/>
        <v>186.67</v>
      </c>
      <c r="EP371" s="228">
        <f t="shared" si="1146"/>
        <v>186.67</v>
      </c>
      <c r="EQ371" s="173">
        <f t="shared" si="1075"/>
        <v>0</v>
      </c>
      <c r="ER371" s="189">
        <v>0</v>
      </c>
      <c r="ES371" s="189">
        <v>67.7</v>
      </c>
      <c r="ET371" s="189">
        <v>27.3</v>
      </c>
      <c r="EU371" s="189">
        <v>0</v>
      </c>
      <c r="EV371" s="189">
        <v>0</v>
      </c>
      <c r="EW371" s="189">
        <v>556</v>
      </c>
      <c r="EX371" s="189">
        <v>0</v>
      </c>
      <c r="EY371" s="189">
        <v>0</v>
      </c>
      <c r="EZ371" s="189">
        <v>0</v>
      </c>
      <c r="FA371" s="189">
        <v>0</v>
      </c>
      <c r="FB371" s="189">
        <v>0</v>
      </c>
      <c r="FC371" s="189">
        <v>0</v>
      </c>
      <c r="FD371" s="189">
        <v>0</v>
      </c>
      <c r="FE371" s="189">
        <v>0</v>
      </c>
      <c r="FF371" s="189">
        <v>0</v>
      </c>
      <c r="FG371" s="189">
        <v>0</v>
      </c>
      <c r="FH371" s="189">
        <v>0</v>
      </c>
      <c r="FI371" s="189">
        <v>0</v>
      </c>
      <c r="FJ371" s="189">
        <v>0</v>
      </c>
      <c r="FK371" s="189">
        <v>651</v>
      </c>
      <c r="FL371" s="189">
        <v>380</v>
      </c>
      <c r="FN371" s="132">
        <v>0</v>
      </c>
    </row>
    <row r="372" spans="1:170" ht="30">
      <c r="A372" s="88">
        <f>COUNTIF($H$12:H372,H372)</f>
        <v>13</v>
      </c>
      <c r="B372" s="88" t="s">
        <v>757</v>
      </c>
      <c r="C372" s="88" t="s">
        <v>715</v>
      </c>
      <c r="D372" s="88"/>
      <c r="E372" s="88"/>
      <c r="F372" s="301" t="s">
        <v>816</v>
      </c>
      <c r="G372" s="89" t="s">
        <v>1194</v>
      </c>
      <c r="H372" s="88">
        <v>7</v>
      </c>
      <c r="I372" s="88">
        <v>7</v>
      </c>
      <c r="J372" s="88">
        <v>7</v>
      </c>
      <c r="K372" s="90" t="s">
        <v>1163</v>
      </c>
      <c r="L372" s="90" t="s">
        <v>1163</v>
      </c>
      <c r="M372" s="214"/>
      <c r="N372" s="88" t="s">
        <v>1178</v>
      </c>
      <c r="O372" s="216">
        <f t="shared" si="1128"/>
        <v>5.76</v>
      </c>
      <c r="P372" s="88" t="str">
        <f t="shared" si="1188"/>
        <v>B11_6</v>
      </c>
      <c r="Q372" s="88">
        <f t="shared" si="1154"/>
        <v>270</v>
      </c>
      <c r="R372" s="88">
        <f t="shared" si="1155"/>
        <v>120</v>
      </c>
      <c r="S372" s="230" t="s">
        <v>353</v>
      </c>
      <c r="T372" s="215" t="s">
        <v>3092</v>
      </c>
      <c r="U372" s="88">
        <f>IF(RIGHT(T372,1)="K",(VLOOKUP(T372,ma_miengiam!$A$3:$B$80,2,0)*100)/2,VLOOKUP(T372,ma_miengiam!$A$3:$B$80,2,0)*100)</f>
        <v>25</v>
      </c>
      <c r="V372" s="88"/>
      <c r="W372" s="220">
        <f>IF(AND(T372="NTS",V372&gt;0),(Q372-(Q372*V372)/12)*VLOOKUP(T372,ma_miengiam!$A$3:$B$80,2,0)+(Q372-(Q372*(12-V372))/12),IF(AND(RIGHT(T372,1)="K",V372&gt;0),(VLOOKUP(T372,ma_miengiam!$A$3:$B$80,2,0)/2)*(Q372*V372)/12,IF(RIGHT(T372,1)="K",(VLOOKUP(T372,ma_miengiam!$A$3:$B$80,2,0)*Q372)/2,IF(V372&gt;0,VLOOKUP(T372,ma_miengiam!$A$3:$B$80,2,0)*Q372*V372/12,VLOOKUP(T372,ma_miengiam!$A$3:$B$80,2,0)*Q372))))</f>
        <v>67.5</v>
      </c>
      <c r="X372" s="220">
        <f>IF(T372="NTS",VLOOKUP(T372,ma_miengiam!$A$3:$B$80,2,0)*R372*V372,IF(AND(T372="NTS",V372=0),0,IF(AND(LEFT(T372,1)="K",V372=0),VLOOKUP(T372,ma_miengiam!$A$3:$B$80,2,0)*R372,IF(LEFT(T372,1)="K",(VLOOKUP(T372,ma_miengiam!$A$3:$B$80,2,0)*R372/12)*V372,IF(AND(LEFT(T372,1)="S",V372&gt;0),(R372/12)*V372,IF(AND(LEFT(T372,1)="S",V372=0),R372,IF(T372="DH",VLOOKUP(T372,ma_miengiam!$A$3:$B$80,2,0)*R372,0)))))))</f>
        <v>0</v>
      </c>
      <c r="Y372" s="220">
        <f t="shared" si="1107"/>
        <v>202.5</v>
      </c>
      <c r="Z372" s="220">
        <f>IF(AND(T372="SĐH",V372&gt;0),(R372/12)*V372-X372,IF(AND(T372="DH",V372&gt;0),(R372*V372/12),IF(AND(T372&lt;&gt;"NTS",V372&gt;0),(R372*V372/12)-X372,IF(AND(T372="NTS",V372&gt;0),R372-X372,R372-X372))))</f>
        <v>120</v>
      </c>
      <c r="AA372" s="220">
        <f t="shared" si="1187"/>
        <v>270</v>
      </c>
      <c r="AB372" s="220">
        <f t="shared" si="1187"/>
        <v>120</v>
      </c>
      <c r="AC372" s="220">
        <f t="shared" si="1189"/>
        <v>67.5</v>
      </c>
      <c r="AD372" s="220">
        <f t="shared" si="1189"/>
        <v>0</v>
      </c>
      <c r="AE372" s="220">
        <f t="shared" si="1189"/>
        <v>202.5</v>
      </c>
      <c r="AF372" s="220">
        <f t="shared" si="1189"/>
        <v>120</v>
      </c>
      <c r="AG372" s="220">
        <f t="shared" si="1176"/>
        <v>35.200000000000003</v>
      </c>
      <c r="AH372" s="220">
        <f t="shared" si="1177"/>
        <v>16.45</v>
      </c>
      <c r="AI372" s="220">
        <f t="shared" si="1178"/>
        <v>18.75</v>
      </c>
      <c r="AJ372" s="220">
        <f>IF(AG372-Z372&gt;0,0,AG372-Z372)</f>
        <v>-84.8</v>
      </c>
      <c r="AK372" s="216">
        <f t="shared" si="1038"/>
        <v>287.3</v>
      </c>
      <c r="AL372" s="220">
        <f t="shared" si="1020"/>
        <v>868.5</v>
      </c>
      <c r="AM372" s="220">
        <f t="shared" si="1021"/>
        <v>0</v>
      </c>
      <c r="AN372" s="221">
        <f t="shared" si="1022"/>
        <v>868.5</v>
      </c>
      <c r="AO372" s="220">
        <f t="shared" si="1023"/>
        <v>0</v>
      </c>
      <c r="AP372" s="220">
        <f t="shared" si="1024"/>
        <v>0</v>
      </c>
      <c r="AQ372" s="220">
        <f t="shared" si="1025"/>
        <v>0</v>
      </c>
      <c r="AR372" s="220">
        <f t="shared" si="1026"/>
        <v>0</v>
      </c>
      <c r="AS372" s="220">
        <f t="shared" si="1027"/>
        <v>0</v>
      </c>
      <c r="AT372" s="216">
        <f t="shared" si="1028"/>
        <v>868.5</v>
      </c>
      <c r="AU372" s="222">
        <f>AN372-AK372</f>
        <v>581.20000000000005</v>
      </c>
      <c r="AV372" s="220"/>
      <c r="AW372" s="220">
        <f t="shared" si="1165"/>
        <v>581.20000000000005</v>
      </c>
      <c r="AX372" s="216">
        <f t="shared" si="1046"/>
        <v>0</v>
      </c>
      <c r="AY372" s="220">
        <f t="shared" si="1179"/>
        <v>0</v>
      </c>
      <c r="AZ372" s="220">
        <f t="shared" si="1180"/>
        <v>0</v>
      </c>
      <c r="BA372" s="220">
        <f t="shared" si="1181"/>
        <v>0</v>
      </c>
      <c r="BB372" s="220">
        <f t="shared" si="1182"/>
        <v>0</v>
      </c>
      <c r="BC372" s="220">
        <f t="shared" si="1183"/>
        <v>0</v>
      </c>
      <c r="BD372" s="216">
        <f t="shared" ref="BD372:BD434" si="1195">SUM(AY372:BC372)</f>
        <v>0</v>
      </c>
      <c r="BE372" s="220">
        <f t="shared" si="1166"/>
        <v>0</v>
      </c>
      <c r="BF372" s="220">
        <f t="shared" si="1167"/>
        <v>0</v>
      </c>
      <c r="BG372" s="220">
        <f t="shared" si="1168"/>
        <v>0</v>
      </c>
      <c r="BH372" s="220">
        <f t="shared" si="1169"/>
        <v>0</v>
      </c>
      <c r="BI372" s="220">
        <f t="shared" si="1170"/>
        <v>0</v>
      </c>
      <c r="BJ372" s="220" t="s">
        <v>1566</v>
      </c>
      <c r="BK372" s="220"/>
      <c r="BL372" s="223">
        <f t="shared" si="1004"/>
        <v>581.20000000000005</v>
      </c>
      <c r="BM372" s="220">
        <v>5.76</v>
      </c>
      <c r="BN372" s="220"/>
      <c r="BO372" s="220">
        <f t="shared" si="1184"/>
        <v>5.76</v>
      </c>
      <c r="BP372" s="220">
        <f>IF(AND(BL372&gt;0,BL372&lt;tiet!$D$1),BL372,IF(BL372&lt;=0,0,IF(BL372&gt;tiet!$C$1,tiet!$C$1)))</f>
        <v>200</v>
      </c>
      <c r="BQ372" s="87">
        <f>VLOOKUP(P372,ma_dinhmuc_moi,4,0)</f>
        <v>75000</v>
      </c>
      <c r="BR372" s="224">
        <f>ROUND(BQ372*BP372,0)</f>
        <v>15000000</v>
      </c>
      <c r="BS372" s="220">
        <f t="shared" si="1068"/>
        <v>381.20000000000005</v>
      </c>
      <c r="BT372" s="224">
        <f>VLOOKUP(N372,ma_dinhmuc!$A$1:$J$31,10,0)</f>
        <v>55000</v>
      </c>
      <c r="BU372" s="224">
        <f>ROUND(IF(BS372&gt;0,VLOOKUP(N372,ma_dinhmuc!$A$1:$J$31,10,0)*BS372,0),0)</f>
        <v>20966000</v>
      </c>
      <c r="BV372" s="224">
        <f>ROUND(BU372+BR372,0)</f>
        <v>35966000</v>
      </c>
      <c r="BW372" s="224"/>
      <c r="BX372" s="224">
        <v>0</v>
      </c>
      <c r="BY372" s="224"/>
      <c r="BZ372" s="224"/>
      <c r="CA372" s="224"/>
      <c r="CB372" s="224"/>
      <c r="CC372" s="225">
        <f>ROUND(IF(BV372+BW372&gt;BX372+BY372+BZ372+CA372+CB372,(BW372+BV372)-(BX372+BY372+BZ372+CA372+CB372+CB372),0),0)</f>
        <v>35966000</v>
      </c>
      <c r="CD372" s="224">
        <f>ROUND(IF(BV372+BW372&lt;BX372+BY372+BZ372+CA372-CB372,(BX372+BY372+BZ372+CA372-CB372)-(BW372+BV372),0),0)</f>
        <v>0</v>
      </c>
      <c r="CE372" s="224"/>
      <c r="CF372" s="226"/>
      <c r="CG372" s="87"/>
      <c r="CH372" s="87">
        <f t="shared" si="1194"/>
        <v>13</v>
      </c>
      <c r="CI372" s="227" t="str">
        <f t="shared" si="1185"/>
        <v>Ngô Thị Thanh</v>
      </c>
      <c r="CJ372" s="227" t="str">
        <f t="shared" si="1185"/>
        <v>Tâm</v>
      </c>
      <c r="CK372" s="87">
        <f>H372</f>
        <v>7</v>
      </c>
      <c r="CL372" s="227" t="str">
        <f t="shared" si="1171"/>
        <v>Tiếng Anh cơ bản</v>
      </c>
      <c r="CM372" s="87" t="str">
        <f t="shared" si="1172"/>
        <v>CB3</v>
      </c>
      <c r="CN372" s="87">
        <f t="shared" si="1173"/>
        <v>270</v>
      </c>
      <c r="CO372" s="87">
        <f t="shared" si="1174"/>
        <v>120</v>
      </c>
      <c r="CP372" s="229">
        <f t="shared" si="1076"/>
        <v>0</v>
      </c>
      <c r="CQ372" s="229">
        <f t="shared" si="1077"/>
        <v>67</v>
      </c>
      <c r="CR372" s="229">
        <f t="shared" si="1078"/>
        <v>31.9</v>
      </c>
      <c r="CS372" s="229">
        <f t="shared" si="1079"/>
        <v>0</v>
      </c>
      <c r="CT372" s="229">
        <f t="shared" si="1080"/>
        <v>0</v>
      </c>
      <c r="CU372" s="229">
        <f t="shared" si="1081"/>
        <v>769.6</v>
      </c>
      <c r="CV372" s="229">
        <f t="shared" si="1082"/>
        <v>0</v>
      </c>
      <c r="CW372" s="229">
        <f t="shared" si="1083"/>
        <v>0</v>
      </c>
      <c r="CX372" s="229">
        <f t="shared" si="1084"/>
        <v>0</v>
      </c>
      <c r="CY372" s="229">
        <f t="shared" si="1085"/>
        <v>0</v>
      </c>
      <c r="CZ372" s="229">
        <f t="shared" si="1086"/>
        <v>0</v>
      </c>
      <c r="DA372" s="229">
        <f t="shared" si="1087"/>
        <v>0</v>
      </c>
      <c r="DB372" s="228">
        <f t="shared" si="1018"/>
        <v>868.5</v>
      </c>
      <c r="DC372" s="229"/>
      <c r="DD372" s="229"/>
      <c r="DE372" s="229"/>
      <c r="DF372" s="229"/>
      <c r="DG372" s="229"/>
      <c r="DH372" s="229"/>
      <c r="DI372" s="229"/>
      <c r="DJ372" s="229"/>
      <c r="DK372" s="229"/>
      <c r="DL372" s="229"/>
      <c r="DM372" s="229"/>
      <c r="DN372" s="229"/>
      <c r="DO372" s="228">
        <f t="shared" si="1029"/>
        <v>0</v>
      </c>
      <c r="DP372" s="228">
        <f t="shared" si="1030"/>
        <v>868.5</v>
      </c>
      <c r="DQ372" s="229">
        <f t="shared" si="1088"/>
        <v>0</v>
      </c>
      <c r="DR372" s="229">
        <f t="shared" si="1089"/>
        <v>0</v>
      </c>
      <c r="DS372" s="229">
        <f t="shared" si="1090"/>
        <v>0</v>
      </c>
      <c r="DT372" s="229">
        <f t="shared" si="1091"/>
        <v>0</v>
      </c>
      <c r="DU372" s="229">
        <f t="shared" si="1092"/>
        <v>0</v>
      </c>
      <c r="DV372" s="229">
        <f t="shared" si="1093"/>
        <v>0</v>
      </c>
      <c r="DW372" s="229">
        <f t="shared" si="1094"/>
        <v>0</v>
      </c>
      <c r="DX372" s="228">
        <f t="shared" si="1019"/>
        <v>0</v>
      </c>
      <c r="DY372" s="229"/>
      <c r="DZ372" s="229"/>
      <c r="EA372" s="229"/>
      <c r="EB372" s="229"/>
      <c r="EC372" s="229"/>
      <c r="ED372" s="229"/>
      <c r="EE372" s="229"/>
      <c r="EF372" s="228">
        <f t="shared" si="1072"/>
        <v>0</v>
      </c>
      <c r="EG372" s="228">
        <f t="shared" si="1031"/>
        <v>0</v>
      </c>
      <c r="EH372" s="229">
        <f t="shared" si="1073"/>
        <v>18.75</v>
      </c>
      <c r="EI372" s="229">
        <v>16.45</v>
      </c>
      <c r="EJ372" s="228">
        <f t="shared" si="1186"/>
        <v>35.200000000000003</v>
      </c>
      <c r="EK372" s="229"/>
      <c r="EL372" s="229"/>
      <c r="EM372" s="228">
        <f t="shared" si="1152"/>
        <v>0</v>
      </c>
      <c r="EN372" s="229">
        <f t="shared" si="1104"/>
        <v>18.75</v>
      </c>
      <c r="EO372" s="229">
        <f>EI372</f>
        <v>16.45</v>
      </c>
      <c r="EP372" s="228">
        <f>EM372+EJ372</f>
        <v>35.200000000000003</v>
      </c>
      <c r="EQ372" s="173">
        <f t="shared" si="1075"/>
        <v>0</v>
      </c>
      <c r="ER372" s="189">
        <v>0</v>
      </c>
      <c r="ES372" s="189">
        <v>67</v>
      </c>
      <c r="ET372" s="189">
        <v>31.9</v>
      </c>
      <c r="EU372" s="189">
        <v>0</v>
      </c>
      <c r="EV372" s="189">
        <v>0</v>
      </c>
      <c r="EW372" s="189">
        <v>769.6</v>
      </c>
      <c r="EX372" s="189">
        <v>0</v>
      </c>
      <c r="EY372" s="189">
        <v>0</v>
      </c>
      <c r="EZ372" s="189">
        <v>0</v>
      </c>
      <c r="FA372" s="189">
        <v>0</v>
      </c>
      <c r="FB372" s="189">
        <v>0</v>
      </c>
      <c r="FC372" s="189">
        <v>0</v>
      </c>
      <c r="FD372" s="189">
        <v>0</v>
      </c>
      <c r="FE372" s="189">
        <v>0</v>
      </c>
      <c r="FF372" s="189">
        <v>0</v>
      </c>
      <c r="FG372" s="189">
        <v>0</v>
      </c>
      <c r="FH372" s="189">
        <v>0</v>
      </c>
      <c r="FI372" s="189">
        <v>0</v>
      </c>
      <c r="FJ372" s="189">
        <v>0</v>
      </c>
      <c r="FK372" s="189">
        <v>868.5</v>
      </c>
      <c r="FL372" s="189">
        <v>626</v>
      </c>
      <c r="FN372" s="132">
        <v>18.75</v>
      </c>
    </row>
    <row r="373" spans="1:170" ht="30.75" customHeight="1">
      <c r="A373" s="88">
        <f>COUNTIF($H$12:H373,H373)</f>
        <v>14</v>
      </c>
      <c r="B373" s="88" t="s">
        <v>1056</v>
      </c>
      <c r="C373" s="88" t="s">
        <v>718</v>
      </c>
      <c r="D373" s="88"/>
      <c r="E373" s="88"/>
      <c r="F373" s="301" t="s">
        <v>819</v>
      </c>
      <c r="G373" s="303" t="s">
        <v>1773</v>
      </c>
      <c r="H373" s="88">
        <v>7</v>
      </c>
      <c r="I373" s="88">
        <v>7</v>
      </c>
      <c r="J373" s="88">
        <v>7</v>
      </c>
      <c r="K373" s="90" t="s">
        <v>1163</v>
      </c>
      <c r="L373" s="90" t="s">
        <v>1163</v>
      </c>
      <c r="M373" s="214"/>
      <c r="N373" s="88" t="s">
        <v>1179</v>
      </c>
      <c r="O373" s="216">
        <f>BO373</f>
        <v>3.33</v>
      </c>
      <c r="P373" s="88" t="str">
        <f>IF(BO373&lt;3.33,"B11_3",IF(AND(BO373&gt;=3.33,BO373&lt;4.65),"B11_4",IF(AND(BO373&gt;=4.65,BO373&lt;5.42),"B11_5",IF(AND(BO373&gt;=5.42,BO373&lt;6.44),"B11_6",IF(AND(BO373&gt;=6.44,BO373&lt;=6.92),"B11_7","B11_8")))))</f>
        <v>B11_4</v>
      </c>
      <c r="Q373" s="88">
        <f t="shared" si="1154"/>
        <v>270</v>
      </c>
      <c r="R373" s="88">
        <f t="shared" si="1155"/>
        <v>80</v>
      </c>
      <c r="S373" s="218" t="s">
        <v>422</v>
      </c>
      <c r="T373" s="88" t="s">
        <v>3090</v>
      </c>
      <c r="U373" s="88">
        <f>IF(RIGHT(T373,1)="K",(VLOOKUP(T373,ma_miengiam!$A$3:$B$80,2,0)*100)/2,VLOOKUP(T373,ma_miengiam!$A$3:$B$80,2,0)*100)</f>
        <v>15</v>
      </c>
      <c r="V373" s="88"/>
      <c r="W373" s="220">
        <f>IF(AND(T373="NTS",V373&gt;0),(Q373-(Q373*V373)/12)*VLOOKUP(T373,ma_miengiam!$A$3:$B$80,2,0)+(Q373-(Q373*(12-V373))/12),IF(AND(RIGHT(T373,1)="K",V373&gt;0),(VLOOKUP(T373,ma_miengiam!$A$3:$B$80,2,0)/2)*(Q373*V373)/12,IF(RIGHT(T373,1)="K",(VLOOKUP(T373,ma_miengiam!$A$3:$B$80,2,0)*Q373)/2,IF(V373&gt;0,VLOOKUP(T373,ma_miengiam!$A$3:$B$80,2,0)*Q373*V373/12,VLOOKUP(T373,ma_miengiam!$A$3:$B$80,2,0)*Q373))))</f>
        <v>40.5</v>
      </c>
      <c r="X373" s="220">
        <f>IF(T373="NTS",VLOOKUP(T373,ma_miengiam!$A$3:$B$80,2,0)*R373*V373,IF(AND(T373="NTS",V373=0),0,IF(AND(LEFT(T373,1)="K",V373=0),VLOOKUP(T373,ma_miengiam!$A$3:$B$80,2,0)*R373,IF(LEFT(T373,1)="K",(VLOOKUP(T373,ma_miengiam!$A$3:$B$80,2,0)*R373/12)*V373,IF(AND(LEFT(T373,1)="S",V373&gt;0),(R373/12)*V373,IF(AND(LEFT(T373,1)="S",V373=0),R373,IF(T373="DH",VLOOKUP(T373,ma_miengiam!$A$3:$B$80,2,0)*R373,0)))))))</f>
        <v>0</v>
      </c>
      <c r="Y373" s="220">
        <f>IF(AND(T373="DH",V373&gt;0),(S373*V373/12),IF(AND(T373&lt;&gt;"NTS",V373&gt;0),(Q373*V373/12)-W373,IF(AND(T373="NTS",V373&gt;0),Q373-W373,Q373-W373)))</f>
        <v>229.5</v>
      </c>
      <c r="Z373" s="220">
        <f>IF(AND(T373="SĐH",V373&gt;0),(R373/12)*V373-X373,IF(AND(T373="DH",V373&gt;0),(R373*V373/12),IF(AND(T373&lt;&gt;"NTS",V373&gt;0),(R373*V373/12)-X373,IF(AND(T373="NTS",V373&gt;0),R373-X373,R373-X373))))</f>
        <v>80</v>
      </c>
      <c r="AA373" s="220">
        <f t="shared" ref="AA373:AB375" si="1196">Q373</f>
        <v>270</v>
      </c>
      <c r="AB373" s="220">
        <f t="shared" si="1196"/>
        <v>80</v>
      </c>
      <c r="AC373" s="220">
        <f>W373</f>
        <v>40.5</v>
      </c>
      <c r="AD373" s="220">
        <f>X373</f>
        <v>0</v>
      </c>
      <c r="AE373" s="220">
        <f>Y373</f>
        <v>229.5</v>
      </c>
      <c r="AF373" s="220">
        <f>Z373</f>
        <v>80</v>
      </c>
      <c r="AG373" s="220">
        <f t="shared" si="1176"/>
        <v>88.23</v>
      </c>
      <c r="AH373" s="220">
        <f t="shared" si="1177"/>
        <v>8.23</v>
      </c>
      <c r="AI373" s="220">
        <f t="shared" si="1178"/>
        <v>80</v>
      </c>
      <c r="AJ373" s="220">
        <f>IF(AG373-Z373&gt;0,0,AG373-Z373)</f>
        <v>0</v>
      </c>
      <c r="AK373" s="216">
        <f>IF(AJ373&gt;=0,Y373,Y373-AJ373)</f>
        <v>229.5</v>
      </c>
      <c r="AL373" s="220">
        <f>SUM(CP373:CX373)+SUM(DC373:DK373)</f>
        <v>758.80000000000007</v>
      </c>
      <c r="AM373" s="220">
        <f>SUM(DQ373:DU373)+SUM(DY373:EC373)</f>
        <v>0</v>
      </c>
      <c r="AN373" s="221">
        <f>AM373+AL373</f>
        <v>758.80000000000007</v>
      </c>
      <c r="AO373" s="220">
        <f>CY373+DL373</f>
        <v>0</v>
      </c>
      <c r="AP373" s="220">
        <f>CZ373+DM373</f>
        <v>0</v>
      </c>
      <c r="AQ373" s="220">
        <f>DA373+DN373</f>
        <v>0</v>
      </c>
      <c r="AR373" s="220">
        <f>DV373+ED373</f>
        <v>0</v>
      </c>
      <c r="AS373" s="220">
        <f>DW373+EE373</f>
        <v>0</v>
      </c>
      <c r="AT373" s="216">
        <f>AN373+SUM(AO373:AS373)</f>
        <v>758.80000000000007</v>
      </c>
      <c r="AU373" s="222">
        <f>AN373-AK373</f>
        <v>529.30000000000007</v>
      </c>
      <c r="AV373" s="220"/>
      <c r="AW373" s="220">
        <f>IF(AU373&gt;0,AU373,AV373+AU373)</f>
        <v>529.30000000000007</v>
      </c>
      <c r="AX373" s="216">
        <f t="shared" si="1046"/>
        <v>0</v>
      </c>
      <c r="AY373" s="220">
        <f>IF(AN373&gt;=AK373,AO373,IF(AN373+AO373-AK373&gt;=0,AN373+AO373-AK373,0))</f>
        <v>0</v>
      </c>
      <c r="AZ373" s="220">
        <f>IF(OR(AN373&gt;=AK373,AN373+AO373&gt;=AK373),AP373,IF(AN373+AO373+AP373&gt;AK373,AN373+AO373+AP373-AK373,0))</f>
        <v>0</v>
      </c>
      <c r="BA373" s="220">
        <f>IF(OR(AN373&gt;=AK373,AN373+AO373&gt;=AK373,AN373+AO373+AP373&gt;=AK373),AQ373,IF(AN373+AO373+AP373+AQ373&gt;=AK373,AN373+AO373+AP373+AQ373-AK373,0))</f>
        <v>0</v>
      </c>
      <c r="BB373" s="220">
        <f>IF(OR(AN373&gt;=AK373,AN373+AO373&gt;=AK373,AN373+AO373+AP373&gt;=AK373,AN373+AO373+AP373+AQ373&gt;=AK373),AR373,IF(AN373+AO373+AP373+AQ373+AR373&gt;=AK373,AN373+AO373+AP373+AQ373+AR373-AK373,0))</f>
        <v>0</v>
      </c>
      <c r="BC373" s="220">
        <f>IF(OR(AN373&gt;=AK373,AN373+AO373&gt;=AK373,AN373+AO373+AP373&gt;=AK373,AN373+AO373+AP373+AQ373&gt;=AK373,AN373+AO373+AP373+AQ373+AR373&gt;=AK373),AS373,IF(AN373+AO373+AP373+AQ373+AR373+AS373&gt;=AK373,AN373+AO373+AP373+AQ373+AR373+AS373-AK373,0))</f>
        <v>0</v>
      </c>
      <c r="BD373" s="216">
        <f t="shared" si="1195"/>
        <v>0</v>
      </c>
      <c r="BE373" s="220">
        <f>AY373-AO373</f>
        <v>0</v>
      </c>
      <c r="BF373" s="220">
        <f>AZ373-AP373</f>
        <v>0</v>
      </c>
      <c r="BG373" s="220">
        <f>BA373-AQ373</f>
        <v>0</v>
      </c>
      <c r="BH373" s="220">
        <f>BB373-AR373</f>
        <v>0</v>
      </c>
      <c r="BI373" s="220">
        <f>BC373-AS373</f>
        <v>0</v>
      </c>
      <c r="BJ373" s="220" t="s">
        <v>1566</v>
      </c>
      <c r="BK373" s="220"/>
      <c r="BL373" s="223">
        <f t="shared" si="1004"/>
        <v>529.30000000000007</v>
      </c>
      <c r="BM373" s="220">
        <v>3.33</v>
      </c>
      <c r="BN373" s="220"/>
      <c r="BO373" s="220">
        <f>ROUND(BM373+(BM373*BN373),2)</f>
        <v>3.33</v>
      </c>
      <c r="BP373" s="220">
        <f>IF(AND(BL373&gt;0,BL373&lt;tiet!$D$1),BL373,IF(BL373&lt;=0,0,IF(BL373&gt;tiet!$C$1,tiet!$C$1)))</f>
        <v>200</v>
      </c>
      <c r="BQ373" s="87">
        <f>VLOOKUP(P373,ma_dinhmuc_moi,4,0)</f>
        <v>65000</v>
      </c>
      <c r="BR373" s="224">
        <f>ROUND(BQ373*BP373,0)</f>
        <v>13000000</v>
      </c>
      <c r="BS373" s="220">
        <f t="shared" si="1068"/>
        <v>329.30000000000007</v>
      </c>
      <c r="BT373" s="224">
        <f>VLOOKUP(N373,ma_dinhmuc!$A$1:$J$31,10,0)</f>
        <v>51000</v>
      </c>
      <c r="BU373" s="224">
        <f>ROUND(IF(BS373&gt;0,VLOOKUP(N373,ma_dinhmuc!$A$1:$J$31,10,0)*BS373,0),0)</f>
        <v>16794300</v>
      </c>
      <c r="BV373" s="224">
        <f>ROUND(BU373+BR373,0)</f>
        <v>29794300</v>
      </c>
      <c r="BW373" s="224"/>
      <c r="BX373" s="224">
        <v>0</v>
      </c>
      <c r="BY373" s="224"/>
      <c r="BZ373" s="224"/>
      <c r="CA373" s="224"/>
      <c r="CB373" s="224"/>
      <c r="CC373" s="225">
        <f>ROUND(IF(BV373+BW373&gt;BX373+BY373+BZ373+CA373+CB373,(BW373+BV373)-(BX373+BY373+BZ373+CA373+CB373+CB373),0),0)</f>
        <v>29794300</v>
      </c>
      <c r="CD373" s="224">
        <f>ROUND(IF(BV373+BW373&lt;BX373+BY373+BZ373+CA373-CB373,(BX373+BY373+BZ373+CA373-CB373)-(BW373+BV373),0),0)</f>
        <v>0</v>
      </c>
      <c r="CE373" s="224"/>
      <c r="CF373" s="226"/>
      <c r="CG373" s="87"/>
      <c r="CH373" s="87">
        <f>A373</f>
        <v>14</v>
      </c>
      <c r="CI373" s="227" t="str">
        <f t="shared" si="1185"/>
        <v>Phạm Hương</v>
      </c>
      <c r="CJ373" s="227" t="str">
        <f t="shared" si="1185"/>
        <v>Lan</v>
      </c>
      <c r="CK373" s="87">
        <f>H373</f>
        <v>7</v>
      </c>
      <c r="CL373" s="227" t="str">
        <f>L373</f>
        <v>Tiếng Anh cơ bản</v>
      </c>
      <c r="CM373" s="87" t="str">
        <f>N373</f>
        <v>CB2</v>
      </c>
      <c r="CN373" s="87">
        <f>Q373</f>
        <v>270</v>
      </c>
      <c r="CO373" s="87">
        <f>R373</f>
        <v>80</v>
      </c>
      <c r="CP373" s="229">
        <f t="shared" si="1076"/>
        <v>0</v>
      </c>
      <c r="CQ373" s="229">
        <f t="shared" si="1077"/>
        <v>60.6</v>
      </c>
      <c r="CR373" s="229">
        <f t="shared" si="1078"/>
        <v>24.5</v>
      </c>
      <c r="CS373" s="229">
        <f t="shared" si="1079"/>
        <v>0</v>
      </c>
      <c r="CT373" s="229">
        <f t="shared" si="1080"/>
        <v>0</v>
      </c>
      <c r="CU373" s="229">
        <f t="shared" si="1081"/>
        <v>673.7</v>
      </c>
      <c r="CV373" s="229">
        <f t="shared" si="1082"/>
        <v>0</v>
      </c>
      <c r="CW373" s="229">
        <f t="shared" si="1083"/>
        <v>0</v>
      </c>
      <c r="CX373" s="229">
        <f t="shared" si="1084"/>
        <v>0</v>
      </c>
      <c r="CY373" s="229">
        <f t="shared" si="1085"/>
        <v>0</v>
      </c>
      <c r="CZ373" s="229">
        <f t="shared" si="1086"/>
        <v>0</v>
      </c>
      <c r="DA373" s="229">
        <f t="shared" si="1087"/>
        <v>0</v>
      </c>
      <c r="DB373" s="228">
        <f>SUM(CP373:DA373)</f>
        <v>758.80000000000007</v>
      </c>
      <c r="DC373" s="229"/>
      <c r="DD373" s="229"/>
      <c r="DE373" s="229"/>
      <c r="DF373" s="229"/>
      <c r="DG373" s="229"/>
      <c r="DH373" s="229"/>
      <c r="DI373" s="229"/>
      <c r="DJ373" s="229"/>
      <c r="DK373" s="229"/>
      <c r="DL373" s="229"/>
      <c r="DM373" s="229"/>
      <c r="DN373" s="229"/>
      <c r="DO373" s="228">
        <f>SUM(DC373:DN373)</f>
        <v>0</v>
      </c>
      <c r="DP373" s="228">
        <f>DO373+DB373</f>
        <v>758.80000000000007</v>
      </c>
      <c r="DQ373" s="229">
        <f t="shared" si="1088"/>
        <v>0</v>
      </c>
      <c r="DR373" s="229">
        <f t="shared" si="1089"/>
        <v>0</v>
      </c>
      <c r="DS373" s="229">
        <f t="shared" si="1090"/>
        <v>0</v>
      </c>
      <c r="DT373" s="229">
        <f t="shared" si="1091"/>
        <v>0</v>
      </c>
      <c r="DU373" s="229">
        <f t="shared" si="1092"/>
        <v>0</v>
      </c>
      <c r="DV373" s="229">
        <f t="shared" si="1093"/>
        <v>0</v>
      </c>
      <c r="DW373" s="229">
        <f t="shared" si="1094"/>
        <v>0</v>
      </c>
      <c r="DX373" s="228">
        <f>SUM(DQ373:DW373)</f>
        <v>0</v>
      </c>
      <c r="DY373" s="229"/>
      <c r="DZ373" s="229"/>
      <c r="EA373" s="229"/>
      <c r="EB373" s="229"/>
      <c r="EC373" s="229"/>
      <c r="ED373" s="229"/>
      <c r="EE373" s="229"/>
      <c r="EF373" s="228">
        <f t="shared" si="1072"/>
        <v>0</v>
      </c>
      <c r="EG373" s="228">
        <f>EF373+DX373</f>
        <v>0</v>
      </c>
      <c r="EH373" s="229">
        <f t="shared" si="1073"/>
        <v>80</v>
      </c>
      <c r="EI373" s="229">
        <v>8.23</v>
      </c>
      <c r="EJ373" s="228">
        <f>SUM(EH373:EI373)</f>
        <v>88.23</v>
      </c>
      <c r="EK373" s="229"/>
      <c r="EL373" s="229"/>
      <c r="EM373" s="228">
        <f>SUM(EK373:EL373)</f>
        <v>0</v>
      </c>
      <c r="EN373" s="229">
        <f>EK373+EH373+EL373</f>
        <v>80</v>
      </c>
      <c r="EO373" s="229">
        <f>EI373</f>
        <v>8.23</v>
      </c>
      <c r="EP373" s="228">
        <f>EM373+EJ373</f>
        <v>88.23</v>
      </c>
      <c r="EQ373" s="173">
        <f t="shared" si="1075"/>
        <v>0</v>
      </c>
      <c r="ER373" s="189">
        <v>0</v>
      </c>
      <c r="ES373" s="189">
        <v>60.6</v>
      </c>
      <c r="ET373" s="189">
        <v>24.5</v>
      </c>
      <c r="EU373" s="189">
        <v>0</v>
      </c>
      <c r="EV373" s="189">
        <v>0</v>
      </c>
      <c r="EW373" s="189">
        <v>673.7</v>
      </c>
      <c r="EX373" s="189">
        <v>0</v>
      </c>
      <c r="EY373" s="189">
        <v>0</v>
      </c>
      <c r="EZ373" s="189">
        <v>0</v>
      </c>
      <c r="FA373" s="189">
        <v>0</v>
      </c>
      <c r="FB373" s="189">
        <v>0</v>
      </c>
      <c r="FC373" s="189">
        <v>0</v>
      </c>
      <c r="FD373" s="189">
        <v>0</v>
      </c>
      <c r="FE373" s="189">
        <v>0</v>
      </c>
      <c r="FF373" s="189">
        <v>0</v>
      </c>
      <c r="FG373" s="189">
        <v>0</v>
      </c>
      <c r="FH373" s="189">
        <v>0</v>
      </c>
      <c r="FI373" s="189">
        <v>0</v>
      </c>
      <c r="FJ373" s="189">
        <v>0</v>
      </c>
      <c r="FK373" s="189">
        <v>758.8</v>
      </c>
      <c r="FL373" s="189">
        <v>470</v>
      </c>
      <c r="FN373" s="132">
        <v>80</v>
      </c>
    </row>
    <row r="374" spans="1:170" ht="30" customHeight="1">
      <c r="A374" s="88">
        <f>COUNTIF($H$12:H374,H374)</f>
        <v>15</v>
      </c>
      <c r="B374" s="88" t="s">
        <v>1057</v>
      </c>
      <c r="C374" s="88" t="s">
        <v>846</v>
      </c>
      <c r="D374" s="88"/>
      <c r="E374" s="88"/>
      <c r="F374" s="301" t="s">
        <v>2977</v>
      </c>
      <c r="G374" s="89" t="s">
        <v>1773</v>
      </c>
      <c r="H374" s="88">
        <v>7</v>
      </c>
      <c r="I374" s="88">
        <v>7</v>
      </c>
      <c r="J374" s="88">
        <v>7</v>
      </c>
      <c r="K374" s="90" t="s">
        <v>1163</v>
      </c>
      <c r="L374" s="90" t="s">
        <v>1163</v>
      </c>
      <c r="M374" s="214"/>
      <c r="N374" s="88" t="s">
        <v>1179</v>
      </c>
      <c r="O374" s="216">
        <f t="shared" si="1128"/>
        <v>2.67</v>
      </c>
      <c r="P374" s="88" t="str">
        <f t="shared" si="1188"/>
        <v>B11_3</v>
      </c>
      <c r="Q374" s="88">
        <f t="shared" si="1154"/>
        <v>270</v>
      </c>
      <c r="R374" s="88">
        <f t="shared" si="1155"/>
        <v>60</v>
      </c>
      <c r="S374" s="218" t="s">
        <v>921</v>
      </c>
      <c r="T374" s="88" t="s">
        <v>3091</v>
      </c>
      <c r="U374" s="88">
        <f>IF(RIGHT(T374,1)="K",(VLOOKUP(T374,ma_miengiam!$A$3:$B$80,2,0)*100)/2,VLOOKUP(T374,ma_miengiam!$A$3:$B$80,2,0)*100)</f>
        <v>20</v>
      </c>
      <c r="V374" s="88"/>
      <c r="W374" s="220">
        <f>IF(AND(T374="NTS",V374&gt;0),(Q374-(Q374*V374)/12)*VLOOKUP(T374,ma_miengiam!$A$3:$B$80,2,0)+(Q374-(Q374*(12-V374))/12),IF(AND(RIGHT(T374,1)="K",V374&gt;0),(VLOOKUP(T374,ma_miengiam!$A$3:$B$80,2,0)/2)*(Q374*V374)/12,IF(RIGHT(T374,1)="K",(VLOOKUP(T374,ma_miengiam!$A$3:$B$80,2,0)*Q374)/2,IF(V374&gt;0,VLOOKUP(T374,ma_miengiam!$A$3:$B$80,2,0)*Q374*V374/12,VLOOKUP(T374,ma_miengiam!$A$3:$B$80,2,0)*Q374))))</f>
        <v>54</v>
      </c>
      <c r="X374" s="220">
        <f>IF(T374="NTS",VLOOKUP(T374,ma_miengiam!$A$3:$B$80,2,0)*R374*V374,IF(AND(T374="NTS",V374=0),0,IF(AND(LEFT(T374,1)="K",V374=0),VLOOKUP(T374,ma_miengiam!$A$3:$B$80,2,0)*R374,IF(LEFT(T374,1)="K",(VLOOKUP(T374,ma_miengiam!$A$3:$B$80,2,0)*R374/12)*V374,IF(AND(LEFT(T374,1)="S",V374&gt;0),(R374/12)*V374,IF(AND(LEFT(T374,1)="S",V374=0),R374,IF(T374="DH",VLOOKUP(T374,ma_miengiam!$A$3:$B$80,2,0)*R374,0)))))))</f>
        <v>0</v>
      </c>
      <c r="Y374" s="220">
        <f t="shared" si="1107"/>
        <v>216</v>
      </c>
      <c r="Z374" s="220">
        <f>IF(AND(T374="SĐH",V374&gt;0),(R374/12)*V374-X374,IF(AND(T374="DH",V374&gt;0),(R374*V374/12),IF(AND(T374&lt;&gt;"NTS",V374&gt;0),(R374*V374/12)-X374,IF(AND(T374="NTS",V374&gt;0),R374-X374,R374-X374))))</f>
        <v>60</v>
      </c>
      <c r="AA374" s="220">
        <f t="shared" si="1196"/>
        <v>270</v>
      </c>
      <c r="AB374" s="220">
        <f t="shared" si="1196"/>
        <v>60</v>
      </c>
      <c r="AC374" s="220">
        <f t="shared" ref="AC374:AF381" si="1197">W374</f>
        <v>54</v>
      </c>
      <c r="AD374" s="220">
        <f t="shared" si="1197"/>
        <v>0</v>
      </c>
      <c r="AE374" s="220">
        <f t="shared" si="1197"/>
        <v>216</v>
      </c>
      <c r="AF374" s="220">
        <f t="shared" si="1197"/>
        <v>60</v>
      </c>
      <c r="AG374" s="220">
        <f t="shared" si="1176"/>
        <v>25</v>
      </c>
      <c r="AH374" s="220">
        <f t="shared" si="1177"/>
        <v>0</v>
      </c>
      <c r="AI374" s="220">
        <f t="shared" si="1178"/>
        <v>25</v>
      </c>
      <c r="AJ374" s="220">
        <f>IF(AG374-Z374&gt;0,0,AG374-Z374)</f>
        <v>-35</v>
      </c>
      <c r="AK374" s="216">
        <f t="shared" si="1038"/>
        <v>251</v>
      </c>
      <c r="AL374" s="220">
        <f t="shared" si="1020"/>
        <v>1201.5</v>
      </c>
      <c r="AM374" s="220">
        <f t="shared" si="1021"/>
        <v>0</v>
      </c>
      <c r="AN374" s="221">
        <f t="shared" si="1022"/>
        <v>1201.5</v>
      </c>
      <c r="AO374" s="220">
        <f t="shared" si="1023"/>
        <v>0</v>
      </c>
      <c r="AP374" s="220">
        <f t="shared" si="1024"/>
        <v>0</v>
      </c>
      <c r="AQ374" s="220">
        <f t="shared" si="1025"/>
        <v>0</v>
      </c>
      <c r="AR374" s="220">
        <f t="shared" si="1026"/>
        <v>0</v>
      </c>
      <c r="AS374" s="220">
        <f t="shared" si="1027"/>
        <v>0</v>
      </c>
      <c r="AT374" s="216">
        <f t="shared" si="1028"/>
        <v>1201.5</v>
      </c>
      <c r="AU374" s="222">
        <f>AN374-AK374</f>
        <v>950.5</v>
      </c>
      <c r="AV374" s="220"/>
      <c r="AW374" s="220">
        <f t="shared" si="1165"/>
        <v>950.5</v>
      </c>
      <c r="AX374" s="216">
        <f t="shared" si="1046"/>
        <v>0</v>
      </c>
      <c r="AY374" s="220">
        <f t="shared" si="1179"/>
        <v>0</v>
      </c>
      <c r="AZ374" s="220">
        <f t="shared" si="1180"/>
        <v>0</v>
      </c>
      <c r="BA374" s="220">
        <f t="shared" si="1181"/>
        <v>0</v>
      </c>
      <c r="BB374" s="220">
        <f t="shared" si="1182"/>
        <v>0</v>
      </c>
      <c r="BC374" s="220">
        <f t="shared" si="1183"/>
        <v>0</v>
      </c>
      <c r="BD374" s="216">
        <f t="shared" si="1195"/>
        <v>0</v>
      </c>
      <c r="BE374" s="220">
        <f t="shared" si="1166"/>
        <v>0</v>
      </c>
      <c r="BF374" s="220">
        <f t="shared" si="1167"/>
        <v>0</v>
      </c>
      <c r="BG374" s="220">
        <f t="shared" si="1168"/>
        <v>0</v>
      </c>
      <c r="BH374" s="220">
        <f t="shared" si="1169"/>
        <v>0</v>
      </c>
      <c r="BI374" s="220">
        <f t="shared" si="1170"/>
        <v>0</v>
      </c>
      <c r="BJ374" s="220" t="s">
        <v>1566</v>
      </c>
      <c r="BK374" s="220"/>
      <c r="BL374" s="223">
        <f t="shared" si="1004"/>
        <v>950.5</v>
      </c>
      <c r="BM374" s="220">
        <v>2.67</v>
      </c>
      <c r="BN374" s="220"/>
      <c r="BO374" s="220">
        <f t="shared" si="1184"/>
        <v>2.67</v>
      </c>
      <c r="BP374" s="220">
        <f>IF(AND(BL374&gt;0,BL374&lt;tiet!$D$1),BL374,IF(BL374&lt;=0,0,IF(BL374&gt;tiet!$C$1,tiet!$C$1)))</f>
        <v>200</v>
      </c>
      <c r="BQ374" s="87">
        <f>VLOOKUP(P374,ma_dinhmuc_moi,4,0)</f>
        <v>60000</v>
      </c>
      <c r="BR374" s="224">
        <f>ROUND(BQ374*BP374,0)</f>
        <v>12000000</v>
      </c>
      <c r="BS374" s="220">
        <f t="shared" si="1068"/>
        <v>750.5</v>
      </c>
      <c r="BT374" s="224">
        <f>VLOOKUP(N374,ma_dinhmuc!$A$1:$J$31,10,0)</f>
        <v>51000</v>
      </c>
      <c r="BU374" s="224">
        <f>ROUND(IF(BS374&gt;0,VLOOKUP(N374,ma_dinhmuc!$A$1:$J$31,10,0)*BS374,0),0)</f>
        <v>38275500</v>
      </c>
      <c r="BV374" s="224">
        <f>ROUND(BU374+BR374,0)</f>
        <v>50275500</v>
      </c>
      <c r="BW374" s="224"/>
      <c r="BX374" s="224">
        <v>0</v>
      </c>
      <c r="BY374" s="224"/>
      <c r="BZ374" s="224"/>
      <c r="CA374" s="224"/>
      <c r="CB374" s="224"/>
      <c r="CC374" s="225">
        <f>ROUND(IF(BV374+BW374&gt;BX374+BY374+BZ374+CA374+CB374,(BW374+BV374)-(BX374+BY374+BZ374+CA374+CB374+CB374),0),0)</f>
        <v>50275500</v>
      </c>
      <c r="CD374" s="224">
        <f>ROUND(IF(BV374+BW374&lt;BX374+BY374+BZ374+CA374-CB374,(BX374+BY374+BZ374+CA374-CB374)-(BW374+BV374),0),0)</f>
        <v>0</v>
      </c>
      <c r="CE374" s="224"/>
      <c r="CF374" s="226"/>
      <c r="CG374" s="87"/>
      <c r="CH374" s="87">
        <f t="shared" si="1194"/>
        <v>15</v>
      </c>
      <c r="CI374" s="227" t="str">
        <f t="shared" ref="CI374:CI387" si="1198">F374</f>
        <v>Nguyễn Thị Thúy</v>
      </c>
      <c r="CJ374" s="227" t="str">
        <f t="shared" ref="CJ374:CJ387" si="1199">G374</f>
        <v>Lan</v>
      </c>
      <c r="CK374" s="87">
        <f t="shared" ref="CK374:CK387" si="1200">H374</f>
        <v>7</v>
      </c>
      <c r="CL374" s="227" t="str">
        <f t="shared" si="1171"/>
        <v>Tiếng Anh cơ bản</v>
      </c>
      <c r="CM374" s="87" t="str">
        <f t="shared" si="1172"/>
        <v>CB2</v>
      </c>
      <c r="CN374" s="87">
        <f t="shared" si="1173"/>
        <v>270</v>
      </c>
      <c r="CO374" s="87">
        <f t="shared" si="1174"/>
        <v>60</v>
      </c>
      <c r="CP374" s="229">
        <f t="shared" si="1076"/>
        <v>0</v>
      </c>
      <c r="CQ374" s="229">
        <f t="shared" si="1077"/>
        <v>112.1</v>
      </c>
      <c r="CR374" s="229">
        <f t="shared" si="1078"/>
        <v>45.1</v>
      </c>
      <c r="CS374" s="229">
        <f t="shared" si="1079"/>
        <v>0</v>
      </c>
      <c r="CT374" s="229">
        <f t="shared" si="1080"/>
        <v>0</v>
      </c>
      <c r="CU374" s="229">
        <f t="shared" si="1081"/>
        <v>1044.3</v>
      </c>
      <c r="CV374" s="229">
        <f t="shared" si="1082"/>
        <v>0</v>
      </c>
      <c r="CW374" s="229">
        <f t="shared" si="1083"/>
        <v>0</v>
      </c>
      <c r="CX374" s="229">
        <f t="shared" si="1084"/>
        <v>0</v>
      </c>
      <c r="CY374" s="229">
        <f t="shared" si="1085"/>
        <v>0</v>
      </c>
      <c r="CZ374" s="229">
        <f t="shared" si="1086"/>
        <v>0</v>
      </c>
      <c r="DA374" s="229">
        <f t="shared" si="1087"/>
        <v>0</v>
      </c>
      <c r="DB374" s="228">
        <f t="shared" si="1018"/>
        <v>1201.5</v>
      </c>
      <c r="DC374" s="229"/>
      <c r="DD374" s="229"/>
      <c r="DE374" s="229"/>
      <c r="DF374" s="229"/>
      <c r="DG374" s="229"/>
      <c r="DH374" s="229"/>
      <c r="DI374" s="229"/>
      <c r="DJ374" s="229"/>
      <c r="DK374" s="229"/>
      <c r="DL374" s="229"/>
      <c r="DM374" s="229"/>
      <c r="DN374" s="229"/>
      <c r="DO374" s="228">
        <f t="shared" si="1029"/>
        <v>0</v>
      </c>
      <c r="DP374" s="228">
        <f t="shared" si="1030"/>
        <v>1201.5</v>
      </c>
      <c r="DQ374" s="229">
        <f t="shared" si="1088"/>
        <v>0</v>
      </c>
      <c r="DR374" s="229">
        <f t="shared" si="1089"/>
        <v>0</v>
      </c>
      <c r="DS374" s="229">
        <f t="shared" si="1090"/>
        <v>0</v>
      </c>
      <c r="DT374" s="229">
        <f t="shared" si="1091"/>
        <v>0</v>
      </c>
      <c r="DU374" s="229">
        <f t="shared" si="1092"/>
        <v>0</v>
      </c>
      <c r="DV374" s="229">
        <f t="shared" si="1093"/>
        <v>0</v>
      </c>
      <c r="DW374" s="229">
        <f t="shared" si="1094"/>
        <v>0</v>
      </c>
      <c r="DX374" s="228">
        <f t="shared" si="1019"/>
        <v>0</v>
      </c>
      <c r="DY374" s="229"/>
      <c r="DZ374" s="229"/>
      <c r="EA374" s="229"/>
      <c r="EB374" s="229"/>
      <c r="EC374" s="229"/>
      <c r="ED374" s="229"/>
      <c r="EE374" s="229"/>
      <c r="EF374" s="228">
        <f t="shared" si="1072"/>
        <v>0</v>
      </c>
      <c r="EG374" s="228">
        <f t="shared" si="1031"/>
        <v>0</v>
      </c>
      <c r="EH374" s="229">
        <f t="shared" si="1073"/>
        <v>25</v>
      </c>
      <c r="EI374" s="229">
        <v>0</v>
      </c>
      <c r="EJ374" s="228">
        <f t="shared" si="1186"/>
        <v>25</v>
      </c>
      <c r="EK374" s="229"/>
      <c r="EL374" s="229"/>
      <c r="EM374" s="228">
        <f t="shared" si="1152"/>
        <v>0</v>
      </c>
      <c r="EN374" s="229">
        <f t="shared" si="1104"/>
        <v>25</v>
      </c>
      <c r="EO374" s="229">
        <f>EI374</f>
        <v>0</v>
      </c>
      <c r="EP374" s="228">
        <f>EM374+EJ374</f>
        <v>25</v>
      </c>
      <c r="EQ374" s="173">
        <f t="shared" si="1075"/>
        <v>0</v>
      </c>
      <c r="ER374" s="189">
        <v>0</v>
      </c>
      <c r="ES374" s="189">
        <v>112.1</v>
      </c>
      <c r="ET374" s="189">
        <v>45.1</v>
      </c>
      <c r="EU374" s="189">
        <v>0</v>
      </c>
      <c r="EV374" s="189">
        <v>0</v>
      </c>
      <c r="EW374" s="189">
        <v>1044.3</v>
      </c>
      <c r="EX374" s="189">
        <v>0</v>
      </c>
      <c r="EY374" s="189">
        <v>0</v>
      </c>
      <c r="EZ374" s="189">
        <v>0</v>
      </c>
      <c r="FA374" s="189">
        <v>0</v>
      </c>
      <c r="FB374" s="189">
        <v>0</v>
      </c>
      <c r="FC374" s="189">
        <v>0</v>
      </c>
      <c r="FD374" s="189">
        <v>0</v>
      </c>
      <c r="FE374" s="189">
        <v>0</v>
      </c>
      <c r="FF374" s="189">
        <v>0</v>
      </c>
      <c r="FG374" s="189">
        <v>0</v>
      </c>
      <c r="FH374" s="189">
        <v>0</v>
      </c>
      <c r="FI374" s="189">
        <v>0</v>
      </c>
      <c r="FJ374" s="189">
        <v>0</v>
      </c>
      <c r="FK374" s="189">
        <v>1201.5</v>
      </c>
      <c r="FL374" s="189">
        <v>737</v>
      </c>
      <c r="FN374" s="132">
        <v>25</v>
      </c>
    </row>
    <row r="375" spans="1:170" ht="30" customHeight="1">
      <c r="A375" s="88">
        <f>COUNTIF($H$12:H375,H375)</f>
        <v>16</v>
      </c>
      <c r="B375" s="88" t="s">
        <v>1059</v>
      </c>
      <c r="C375" s="88" t="s">
        <v>848</v>
      </c>
      <c r="D375" s="88"/>
      <c r="E375" s="88"/>
      <c r="F375" s="301" t="s">
        <v>1908</v>
      </c>
      <c r="G375" s="89" t="s">
        <v>1600</v>
      </c>
      <c r="H375" s="88">
        <v>7</v>
      </c>
      <c r="I375" s="88">
        <v>7</v>
      </c>
      <c r="J375" s="88">
        <v>7</v>
      </c>
      <c r="K375" s="90" t="s">
        <v>1163</v>
      </c>
      <c r="L375" s="90" t="s">
        <v>1163</v>
      </c>
      <c r="M375" s="214"/>
      <c r="N375" s="88" t="s">
        <v>1179</v>
      </c>
      <c r="O375" s="216">
        <f t="shared" si="1128"/>
        <v>2.67</v>
      </c>
      <c r="P375" s="88" t="str">
        <f t="shared" si="1188"/>
        <v>B11_3</v>
      </c>
      <c r="Q375" s="88">
        <f t="shared" si="1154"/>
        <v>270</v>
      </c>
      <c r="R375" s="88">
        <f t="shared" si="1155"/>
        <v>60</v>
      </c>
      <c r="S375" s="218"/>
      <c r="T375" s="214" t="s">
        <v>3088</v>
      </c>
      <c r="U375" s="88">
        <f>IF(RIGHT(T375,1)="K",(VLOOKUP(T375,ma_miengiam!$A$3:$B$80,2,0)*100)/2,VLOOKUP(T375,ma_miengiam!$A$3:$B$80,2,0)*100)</f>
        <v>0</v>
      </c>
      <c r="V375" s="88"/>
      <c r="W375" s="220">
        <f>IF(AND(T375="NTS",V375&gt;0),(Q375-(Q375*V375)/12)*VLOOKUP(T375,ma_miengiam!$A$3:$B$80,2,0)+(Q375-(Q375*(12-V375))/12),IF(AND(RIGHT(T375,1)="K",V375&gt;0),(VLOOKUP(T375,ma_miengiam!$A$3:$B$80,2,0)/2)*(Q375*V375)/12,IF(RIGHT(T375,1)="K",(VLOOKUP(T375,ma_miengiam!$A$3:$B$80,2,0)*Q375)/2,IF(V375&gt;0,VLOOKUP(T375,ma_miengiam!$A$3:$B$80,2,0)*Q375*V375/12,VLOOKUP(T375,ma_miengiam!$A$3:$B$80,2,0)*Q375))))</f>
        <v>0</v>
      </c>
      <c r="X375" s="220">
        <f>IF(T375="NTS",VLOOKUP(T375,ma_miengiam!$A$3:$B$80,2,0)*R375*V375,IF(AND(T375="NTS",V375=0),0,IF(AND(LEFT(T375,1)="K",V375=0),VLOOKUP(T375,ma_miengiam!$A$3:$B$80,2,0)*R375,IF(LEFT(T375,1)="K",(VLOOKUP(T375,ma_miengiam!$A$3:$B$80,2,0)*R375/12)*V375,IF(AND(LEFT(T375,1)="S",V375&gt;0),(R375/12)*V375,IF(AND(LEFT(T375,1)="S",V375=0),R375,IF(T375="DH",VLOOKUP(T375,ma_miengiam!$A$3:$B$80,2,0)*R375,0)))))))</f>
        <v>0</v>
      </c>
      <c r="Y375" s="220">
        <f t="shared" si="1107"/>
        <v>270</v>
      </c>
      <c r="Z375" s="220">
        <f>IF(AND(T375="SĐH",V375&gt;0),(R375/12)*V375-X375,IF(AND(T375="DH",V375&gt;0),(R375*V375/12),IF(AND(T375&lt;&gt;"NTS",V375&gt;0),(R375*V375/12)-X375,IF(AND(T375="NTS",V375&gt;0),R375-X375,R375-X375))))</f>
        <v>60</v>
      </c>
      <c r="AA375" s="220">
        <f t="shared" si="1196"/>
        <v>270</v>
      </c>
      <c r="AB375" s="220">
        <f t="shared" si="1196"/>
        <v>60</v>
      </c>
      <c r="AC375" s="220">
        <f t="shared" si="1197"/>
        <v>0</v>
      </c>
      <c r="AD375" s="220">
        <f t="shared" si="1197"/>
        <v>0</v>
      </c>
      <c r="AE375" s="220">
        <f t="shared" si="1197"/>
        <v>270</v>
      </c>
      <c r="AF375" s="220">
        <f t="shared" si="1197"/>
        <v>60</v>
      </c>
      <c r="AG375" s="220">
        <f t="shared" si="1176"/>
        <v>8.23</v>
      </c>
      <c r="AH375" s="220">
        <f t="shared" si="1177"/>
        <v>8.23</v>
      </c>
      <c r="AI375" s="220">
        <f t="shared" si="1178"/>
        <v>0</v>
      </c>
      <c r="AJ375" s="220">
        <f>IF(AG375-Z375&gt;0,0,AG375-Z375)</f>
        <v>-51.769999999999996</v>
      </c>
      <c r="AK375" s="216">
        <f t="shared" si="1038"/>
        <v>321.77</v>
      </c>
      <c r="AL375" s="220">
        <f t="shared" si="1020"/>
        <v>640.29999999999995</v>
      </c>
      <c r="AM375" s="220">
        <f t="shared" si="1021"/>
        <v>0</v>
      </c>
      <c r="AN375" s="221">
        <f t="shared" si="1022"/>
        <v>640.29999999999995</v>
      </c>
      <c r="AO375" s="220">
        <f t="shared" si="1023"/>
        <v>0</v>
      </c>
      <c r="AP375" s="220">
        <f t="shared" si="1024"/>
        <v>0</v>
      </c>
      <c r="AQ375" s="220">
        <f t="shared" si="1025"/>
        <v>0</v>
      </c>
      <c r="AR375" s="220">
        <f t="shared" si="1026"/>
        <v>0</v>
      </c>
      <c r="AS375" s="220">
        <f t="shared" si="1027"/>
        <v>0</v>
      </c>
      <c r="AT375" s="216">
        <f t="shared" si="1028"/>
        <v>640.29999999999995</v>
      </c>
      <c r="AU375" s="222">
        <f>AN375-AK375</f>
        <v>318.52999999999997</v>
      </c>
      <c r="AV375" s="220"/>
      <c r="AW375" s="220">
        <f t="shared" si="1165"/>
        <v>318.52999999999997</v>
      </c>
      <c r="AX375" s="216">
        <f t="shared" si="1046"/>
        <v>0</v>
      </c>
      <c r="AY375" s="220">
        <f t="shared" si="1179"/>
        <v>0</v>
      </c>
      <c r="AZ375" s="220">
        <f t="shared" si="1180"/>
        <v>0</v>
      </c>
      <c r="BA375" s="220">
        <f t="shared" si="1181"/>
        <v>0</v>
      </c>
      <c r="BB375" s="220">
        <f t="shared" si="1182"/>
        <v>0</v>
      </c>
      <c r="BC375" s="220">
        <f t="shared" si="1183"/>
        <v>0</v>
      </c>
      <c r="BD375" s="216">
        <f t="shared" si="1195"/>
        <v>0</v>
      </c>
      <c r="BE375" s="220">
        <f t="shared" si="1166"/>
        <v>0</v>
      </c>
      <c r="BF375" s="220">
        <f t="shared" si="1167"/>
        <v>0</v>
      </c>
      <c r="BG375" s="220">
        <f t="shared" si="1168"/>
        <v>0</v>
      </c>
      <c r="BH375" s="220">
        <f t="shared" si="1169"/>
        <v>0</v>
      </c>
      <c r="BI375" s="220">
        <f t="shared" si="1170"/>
        <v>0</v>
      </c>
      <c r="BJ375" s="220" t="s">
        <v>1611</v>
      </c>
      <c r="BK375" s="220"/>
      <c r="BL375" s="223">
        <f t="shared" ref="BL375:BL437" si="1201">IF(AW375&lt;BK375,0,IF(AND(BK375=0,AW375&gt;0),AW375,IF(AW375&lt;0,0,IF(BK375&gt;0,AW375-BK375,IF(BK375&lt;0,0,AW375)))))</f>
        <v>318.52999999999997</v>
      </c>
      <c r="BM375" s="220">
        <v>2.67</v>
      </c>
      <c r="BN375" s="220"/>
      <c r="BO375" s="220">
        <f t="shared" si="1184"/>
        <v>2.67</v>
      </c>
      <c r="BP375" s="220">
        <f>IF(AND(BL375&gt;0,BL375&lt;tiet!$D$1),BL375,IF(BL375&lt;=0,0,IF(BL375&gt;tiet!$C$1,tiet!$C$1)))</f>
        <v>200</v>
      </c>
      <c r="BQ375" s="87">
        <f>VLOOKUP(P375,ma_dinhmuc_moi,4,0)</f>
        <v>60000</v>
      </c>
      <c r="BR375" s="224">
        <f>ROUND(BQ375*BP375,0)</f>
        <v>12000000</v>
      </c>
      <c r="BS375" s="220">
        <f t="shared" si="1068"/>
        <v>118.52999999999997</v>
      </c>
      <c r="BT375" s="224">
        <f>VLOOKUP(N375,ma_dinhmuc!$A$1:$J$31,10,0)</f>
        <v>51000</v>
      </c>
      <c r="BU375" s="224">
        <f>ROUND(IF(BS375&gt;0,VLOOKUP(N375,ma_dinhmuc!$A$1:$J$31,10,0)*BS375,0),0)</f>
        <v>6045030</v>
      </c>
      <c r="BV375" s="224">
        <f>ROUND(BU375+BR375,0)</f>
        <v>18045030</v>
      </c>
      <c r="BW375" s="224"/>
      <c r="BX375" s="224">
        <v>0</v>
      </c>
      <c r="BY375" s="224"/>
      <c r="BZ375" s="224"/>
      <c r="CA375" s="224"/>
      <c r="CB375" s="224"/>
      <c r="CC375" s="225">
        <f>ROUND(IF(BV375+BW375&gt;BX375+BY375+BZ375+CA375+CB375,(BW375+BV375)-(BX375+BY375+BZ375+CA375+CB375+CB375),0),0)</f>
        <v>18045030</v>
      </c>
      <c r="CD375" s="224">
        <f>ROUND(IF(BV375+BW375&lt;BX375+BY375+BZ375+CA375-CB375,(BX375+BY375+BZ375+CA375-CB375)-(BW375+BV375),0),0)</f>
        <v>0</v>
      </c>
      <c r="CE375" s="224"/>
      <c r="CF375" s="226"/>
      <c r="CG375" s="87"/>
      <c r="CH375" s="87">
        <f t="shared" si="1194"/>
        <v>16</v>
      </c>
      <c r="CI375" s="227" t="str">
        <f t="shared" si="1198"/>
        <v>Phạm Thị</v>
      </c>
      <c r="CJ375" s="227" t="str">
        <f t="shared" si="1199"/>
        <v>Hạnh</v>
      </c>
      <c r="CK375" s="87">
        <f t="shared" si="1200"/>
        <v>7</v>
      </c>
      <c r="CL375" s="227" t="str">
        <f t="shared" si="1171"/>
        <v>Tiếng Anh cơ bản</v>
      </c>
      <c r="CM375" s="87" t="str">
        <f t="shared" si="1172"/>
        <v>CB2</v>
      </c>
      <c r="CN375" s="87">
        <f t="shared" si="1173"/>
        <v>270</v>
      </c>
      <c r="CO375" s="87">
        <f t="shared" si="1174"/>
        <v>60</v>
      </c>
      <c r="CP375" s="229">
        <f t="shared" si="1076"/>
        <v>0</v>
      </c>
      <c r="CQ375" s="229">
        <f t="shared" si="1077"/>
        <v>68.2</v>
      </c>
      <c r="CR375" s="229">
        <f t="shared" si="1078"/>
        <v>27.6</v>
      </c>
      <c r="CS375" s="229">
        <f t="shared" si="1079"/>
        <v>0</v>
      </c>
      <c r="CT375" s="229">
        <f t="shared" si="1080"/>
        <v>0</v>
      </c>
      <c r="CU375" s="229">
        <f t="shared" si="1081"/>
        <v>544.5</v>
      </c>
      <c r="CV375" s="229">
        <f t="shared" si="1082"/>
        <v>0</v>
      </c>
      <c r="CW375" s="229">
        <f t="shared" si="1083"/>
        <v>0</v>
      </c>
      <c r="CX375" s="229">
        <f t="shared" si="1084"/>
        <v>0</v>
      </c>
      <c r="CY375" s="229">
        <f t="shared" si="1085"/>
        <v>0</v>
      </c>
      <c r="CZ375" s="229">
        <f t="shared" si="1086"/>
        <v>0</v>
      </c>
      <c r="DA375" s="229">
        <f t="shared" si="1087"/>
        <v>0</v>
      </c>
      <c r="DB375" s="228">
        <f t="shared" si="1018"/>
        <v>640.29999999999995</v>
      </c>
      <c r="DC375" s="229"/>
      <c r="DD375" s="229"/>
      <c r="DE375" s="229"/>
      <c r="DF375" s="229"/>
      <c r="DG375" s="229"/>
      <c r="DH375" s="229"/>
      <c r="DI375" s="229"/>
      <c r="DJ375" s="229"/>
      <c r="DK375" s="229"/>
      <c r="DL375" s="229"/>
      <c r="DM375" s="229"/>
      <c r="DN375" s="229"/>
      <c r="DO375" s="228">
        <f t="shared" si="1029"/>
        <v>0</v>
      </c>
      <c r="DP375" s="228">
        <f t="shared" si="1030"/>
        <v>640.29999999999995</v>
      </c>
      <c r="DQ375" s="229">
        <f t="shared" si="1088"/>
        <v>0</v>
      </c>
      <c r="DR375" s="229">
        <f t="shared" si="1089"/>
        <v>0</v>
      </c>
      <c r="DS375" s="229">
        <f t="shared" si="1090"/>
        <v>0</v>
      </c>
      <c r="DT375" s="229">
        <f t="shared" si="1091"/>
        <v>0</v>
      </c>
      <c r="DU375" s="229">
        <f t="shared" si="1092"/>
        <v>0</v>
      </c>
      <c r="DV375" s="229">
        <f t="shared" si="1093"/>
        <v>0</v>
      </c>
      <c r="DW375" s="229">
        <f t="shared" si="1094"/>
        <v>0</v>
      </c>
      <c r="DX375" s="228">
        <f t="shared" si="1019"/>
        <v>0</v>
      </c>
      <c r="DY375" s="229"/>
      <c r="DZ375" s="229"/>
      <c r="EA375" s="229"/>
      <c r="EB375" s="229"/>
      <c r="EC375" s="229"/>
      <c r="ED375" s="229"/>
      <c r="EE375" s="229"/>
      <c r="EF375" s="228">
        <f t="shared" si="1072"/>
        <v>0</v>
      </c>
      <c r="EG375" s="228">
        <f t="shared" si="1031"/>
        <v>0</v>
      </c>
      <c r="EH375" s="229">
        <f t="shared" si="1073"/>
        <v>0</v>
      </c>
      <c r="EI375" s="229">
        <v>8.23</v>
      </c>
      <c r="EJ375" s="228">
        <f t="shared" si="1186"/>
        <v>8.23</v>
      </c>
      <c r="EK375" s="229"/>
      <c r="EL375" s="229"/>
      <c r="EM375" s="228">
        <f t="shared" si="1152"/>
        <v>0</v>
      </c>
      <c r="EN375" s="229">
        <f t="shared" si="1104"/>
        <v>0</v>
      </c>
      <c r="EO375" s="229">
        <f>EI375</f>
        <v>8.23</v>
      </c>
      <c r="EP375" s="228">
        <f>EM375+EJ375</f>
        <v>8.23</v>
      </c>
      <c r="EQ375" s="173">
        <f t="shared" si="1075"/>
        <v>0</v>
      </c>
      <c r="ER375" s="189">
        <v>0</v>
      </c>
      <c r="ES375" s="189">
        <v>68.2</v>
      </c>
      <c r="ET375" s="189">
        <v>27.6</v>
      </c>
      <c r="EU375" s="189">
        <v>0</v>
      </c>
      <c r="EV375" s="189">
        <v>0</v>
      </c>
      <c r="EW375" s="189">
        <v>544.5</v>
      </c>
      <c r="EX375" s="189">
        <v>0</v>
      </c>
      <c r="EY375" s="189">
        <v>0</v>
      </c>
      <c r="EZ375" s="189">
        <v>0</v>
      </c>
      <c r="FA375" s="189">
        <v>0</v>
      </c>
      <c r="FB375" s="189">
        <v>0</v>
      </c>
      <c r="FC375" s="189">
        <v>0</v>
      </c>
      <c r="FD375" s="189">
        <v>0</v>
      </c>
      <c r="FE375" s="189">
        <v>0</v>
      </c>
      <c r="FF375" s="189">
        <v>0</v>
      </c>
      <c r="FG375" s="189">
        <v>0</v>
      </c>
      <c r="FH375" s="189">
        <v>0</v>
      </c>
      <c r="FI375" s="189">
        <v>0</v>
      </c>
      <c r="FJ375" s="189">
        <v>0</v>
      </c>
      <c r="FK375" s="189">
        <v>640.29999999999995</v>
      </c>
      <c r="FL375" s="189">
        <v>444</v>
      </c>
      <c r="FN375" s="132">
        <v>0</v>
      </c>
    </row>
    <row r="376" spans="1:170" ht="27.75" customHeight="1">
      <c r="A376" s="88">
        <f>COUNTIF($H$12:H376,H376)</f>
        <v>17</v>
      </c>
      <c r="B376" s="88" t="s">
        <v>1061</v>
      </c>
      <c r="C376" s="88" t="s">
        <v>850</v>
      </c>
      <c r="D376" s="88"/>
      <c r="E376" s="88"/>
      <c r="F376" s="301" t="s">
        <v>1139</v>
      </c>
      <c r="G376" s="89" t="s">
        <v>2818</v>
      </c>
      <c r="H376" s="88">
        <v>7</v>
      </c>
      <c r="I376" s="88">
        <v>7</v>
      </c>
      <c r="J376" s="88">
        <v>7</v>
      </c>
      <c r="K376" s="90" t="s">
        <v>1163</v>
      </c>
      <c r="L376" s="90" t="s">
        <v>1163</v>
      </c>
      <c r="M376" s="214"/>
      <c r="N376" s="88" t="s">
        <v>1179</v>
      </c>
      <c r="O376" s="216">
        <f t="shared" ref="O376:O381" si="1202">BO376</f>
        <v>2.67</v>
      </c>
      <c r="P376" s="88" t="str">
        <f t="shared" si="1188"/>
        <v>B11_3</v>
      </c>
      <c r="Q376" s="88">
        <f t="shared" si="1154"/>
        <v>270</v>
      </c>
      <c r="R376" s="88">
        <f t="shared" si="1155"/>
        <v>60</v>
      </c>
      <c r="S376" s="231" t="s">
        <v>501</v>
      </c>
      <c r="T376" s="88" t="s">
        <v>3091</v>
      </c>
      <c r="U376" s="88">
        <f>IF(RIGHT(T376,1)="K",(VLOOKUP(T376,ma_miengiam!$A$3:$B$80,2,0)*100)/2,VLOOKUP(T376,ma_miengiam!$A$3:$B$80,2,0)*100)</f>
        <v>20</v>
      </c>
      <c r="V376" s="88"/>
      <c r="W376" s="220">
        <f>IF(AND(T376="NTS",V376&gt;0),(Q376-(Q376*V376)/12)*VLOOKUP(T376,ma_miengiam!$A$3:$B$80,2,0)+(Q376-(Q376*(12-V376))/12),IF(AND(RIGHT(T376,1)="K",V376&gt;0),(VLOOKUP(T376,ma_miengiam!$A$3:$B$80,2,0)/2)*(Q376*V376)/12,IF(RIGHT(T376,1)="K",(VLOOKUP(T376,ma_miengiam!$A$3:$B$80,2,0)*Q376)/2,IF(V376&gt;0,VLOOKUP(T376,ma_miengiam!$A$3:$B$80,2,0)*Q376*V376/12,VLOOKUP(T376,ma_miengiam!$A$3:$B$80,2,0)*Q376))))</f>
        <v>54</v>
      </c>
      <c r="X376" s="220">
        <f>IF(T376="NTS",VLOOKUP(T376,ma_miengiam!$A$3:$B$80,2,0)*R376*V376,IF(AND(T376="NTS",V376=0),0,IF(AND(LEFT(T376,1)="K",V376=0),VLOOKUP(T376,ma_miengiam!$A$3:$B$80,2,0)*R376,IF(LEFT(T376,1)="K",(VLOOKUP(T376,ma_miengiam!$A$3:$B$80,2,0)*R376/12)*V376,IF(AND(LEFT(T376,1)="S",V376&gt;0),(R376/12)*V376,IF(AND(LEFT(T376,1)="S",V376=0),R376,IF(T376="DH",VLOOKUP(T376,ma_miengiam!$A$3:$B$80,2,0)*R376,0)))))))</f>
        <v>0</v>
      </c>
      <c r="Y376" s="220">
        <f t="shared" ref="Y376:Y381" si="1203">IF(AND(T376="DH",V376&gt;0),(S376*V376/12),IF(AND(T376&lt;&gt;"NTS",V376&gt;0),(Q376*V376/12)-W376,IF(AND(T376="NTS",V376&gt;0),Q376-W376,Q376-W376)))</f>
        <v>216</v>
      </c>
      <c r="Z376" s="220">
        <f t="shared" ref="Z376:Z381" si="1204">IF(AND(T376="SĐH",V376&gt;0),(R376/12)*V376-X376,IF(AND(T376="DH",V376&gt;0),(R376*V376/12),IF(AND(T376&lt;&gt;"NTS",V376&gt;0),(R376*V376/12)-X376,IF(AND(T376="NTS",V376&gt;0),R376-X376,R376-X376))))</f>
        <v>60</v>
      </c>
      <c r="AA376" s="220">
        <f t="shared" ref="AA376:AB381" si="1205">Q376</f>
        <v>270</v>
      </c>
      <c r="AB376" s="220">
        <f t="shared" si="1205"/>
        <v>60</v>
      </c>
      <c r="AC376" s="220">
        <f t="shared" si="1197"/>
        <v>54</v>
      </c>
      <c r="AD376" s="220">
        <f t="shared" si="1197"/>
        <v>0</v>
      </c>
      <c r="AE376" s="220">
        <f t="shared" si="1197"/>
        <v>216</v>
      </c>
      <c r="AF376" s="220">
        <f t="shared" si="1197"/>
        <v>60</v>
      </c>
      <c r="AG376" s="220">
        <f t="shared" ref="AG376:AG381" si="1206">AH376+AI376</f>
        <v>138.22999999999999</v>
      </c>
      <c r="AH376" s="220">
        <f t="shared" ref="AH376:AH381" si="1207">EO376</f>
        <v>38.229999999999997</v>
      </c>
      <c r="AI376" s="220">
        <f t="shared" ref="AI376:AI381" si="1208">EN376</f>
        <v>100</v>
      </c>
      <c r="AJ376" s="220">
        <f t="shared" ref="AJ376:AJ381" si="1209">IF(AG376-Z376&gt;0,0,AG376-Z376)</f>
        <v>0</v>
      </c>
      <c r="AK376" s="216">
        <f t="shared" si="1038"/>
        <v>216</v>
      </c>
      <c r="AL376" s="220">
        <f t="shared" ref="AL376:AL381" si="1210">SUM(CP376:CX376)+SUM(DC376:DK376)</f>
        <v>569.29999999999995</v>
      </c>
      <c r="AM376" s="220">
        <f t="shared" ref="AM376:AM381" si="1211">SUM(DQ376:DU376)+SUM(DY376:EC376)</f>
        <v>0</v>
      </c>
      <c r="AN376" s="221">
        <f t="shared" ref="AN376:AN381" si="1212">AM376+AL376</f>
        <v>569.29999999999995</v>
      </c>
      <c r="AO376" s="220">
        <f t="shared" ref="AO376:AQ381" si="1213">CY376+DL376</f>
        <v>0</v>
      </c>
      <c r="AP376" s="220">
        <f t="shared" si="1213"/>
        <v>0</v>
      </c>
      <c r="AQ376" s="220">
        <f t="shared" si="1213"/>
        <v>0</v>
      </c>
      <c r="AR376" s="220">
        <f t="shared" ref="AR376:AS381" si="1214">DV376+ED376</f>
        <v>0</v>
      </c>
      <c r="AS376" s="220">
        <f t="shared" si="1214"/>
        <v>0</v>
      </c>
      <c r="AT376" s="216">
        <f t="shared" ref="AT376:AT381" si="1215">AN376+SUM(AO376:AS376)</f>
        <v>569.29999999999995</v>
      </c>
      <c r="AU376" s="222">
        <f t="shared" ref="AU376:AU381" si="1216">AN376-AK376</f>
        <v>353.29999999999995</v>
      </c>
      <c r="AV376" s="220"/>
      <c r="AW376" s="220">
        <f t="shared" ref="AW376:AW381" si="1217">IF(AU376&gt;0,AU376,AV376+AU376)</f>
        <v>353.29999999999995</v>
      </c>
      <c r="AX376" s="216">
        <f t="shared" si="1046"/>
        <v>0</v>
      </c>
      <c r="AY376" s="220">
        <f t="shared" ref="AY376:AY381" si="1218">IF(AN376&gt;=AK376,AO376,IF(AN376+AO376-AK376&gt;=0,AN376+AO376-AK376,0))</f>
        <v>0</v>
      </c>
      <c r="AZ376" s="220">
        <f t="shared" ref="AZ376:AZ381" si="1219">IF(OR(AN376&gt;=AK376,AN376+AO376&gt;=AK376),AP376,IF(AN376+AO376+AP376&gt;AK376,AN376+AO376+AP376-AK376,0))</f>
        <v>0</v>
      </c>
      <c r="BA376" s="220">
        <f t="shared" ref="BA376:BA381" si="1220">IF(OR(AN376&gt;=AK376,AN376+AO376&gt;=AK376,AN376+AO376+AP376&gt;=AK376),AQ376,IF(AN376+AO376+AP376+AQ376&gt;=AK376,AN376+AO376+AP376+AQ376-AK376,0))</f>
        <v>0</v>
      </c>
      <c r="BB376" s="220">
        <f t="shared" ref="BB376:BB381" si="1221">IF(OR(AN376&gt;=AK376,AN376+AO376&gt;=AK376,AN376+AO376+AP376&gt;=AK376,AN376+AO376+AP376+AQ376&gt;=AK376),AR376,IF(AN376+AO376+AP376+AQ376+AR376&gt;=AK376,AN376+AO376+AP376+AQ376+AR376-AK376,0))</f>
        <v>0</v>
      </c>
      <c r="BC376" s="220">
        <f t="shared" ref="BC376:BC381" si="1222">IF(OR(AN376&gt;=AK376,AN376+AO376&gt;=AK376,AN376+AO376+AP376&gt;=AK376,AN376+AO376+AP376+AQ376&gt;=AK376,AN376+AO376+AP376+AQ376+AR376&gt;=AK376),AS376,IF(AN376+AO376+AP376+AQ376+AR376+AS376&gt;=AK376,AN376+AO376+AP376+AQ376+AR376+AS376-AK376,0))</f>
        <v>0</v>
      </c>
      <c r="BD376" s="216">
        <f t="shared" si="1195"/>
        <v>0</v>
      </c>
      <c r="BE376" s="220">
        <f t="shared" ref="BE376:BI381" si="1223">AY376-AO376</f>
        <v>0</v>
      </c>
      <c r="BF376" s="220">
        <f t="shared" si="1223"/>
        <v>0</v>
      </c>
      <c r="BG376" s="220">
        <f t="shared" si="1223"/>
        <v>0</v>
      </c>
      <c r="BH376" s="220">
        <f t="shared" si="1223"/>
        <v>0</v>
      </c>
      <c r="BI376" s="220">
        <f t="shared" si="1223"/>
        <v>0</v>
      </c>
      <c r="BJ376" s="220" t="s">
        <v>1566</v>
      </c>
      <c r="BK376" s="220"/>
      <c r="BL376" s="223">
        <f t="shared" si="1201"/>
        <v>353.29999999999995</v>
      </c>
      <c r="BM376" s="220">
        <v>2.67</v>
      </c>
      <c r="BN376" s="220"/>
      <c r="BO376" s="220">
        <f t="shared" ref="BO376:BO381" si="1224">ROUND(BM376+(BM376*BN376),2)</f>
        <v>2.67</v>
      </c>
      <c r="BP376" s="220">
        <f>IF(AND(BL376&gt;0,BL376&lt;tiet!$D$1),BL376,IF(BL376&lt;=0,0,IF(BL376&gt;tiet!$C$1,tiet!$C$1)))</f>
        <v>200</v>
      </c>
      <c r="BQ376" s="87">
        <f t="shared" ref="BQ376:BQ381" si="1225">VLOOKUP(P376,ma_dinhmuc_moi,4,0)</f>
        <v>60000</v>
      </c>
      <c r="BR376" s="224">
        <f t="shared" ref="BR376:BR381" si="1226">ROUND(BQ376*BP376,0)</f>
        <v>12000000</v>
      </c>
      <c r="BS376" s="220">
        <f t="shared" si="1068"/>
        <v>153.29999999999995</v>
      </c>
      <c r="BT376" s="224">
        <f>VLOOKUP(N376,ma_dinhmuc!$A$1:$J$31,10,0)</f>
        <v>51000</v>
      </c>
      <c r="BU376" s="224">
        <f>ROUND(IF(BS376&gt;0,VLOOKUP(N376,ma_dinhmuc!$A$1:$J$31,10,0)*BS376,0),0)</f>
        <v>7818300</v>
      </c>
      <c r="BV376" s="224">
        <f t="shared" ref="BV376:BV381" si="1227">ROUND(BU376+BR376,0)</f>
        <v>19818300</v>
      </c>
      <c r="BW376" s="224"/>
      <c r="BX376" s="224">
        <v>0</v>
      </c>
      <c r="BY376" s="224"/>
      <c r="BZ376" s="224"/>
      <c r="CA376" s="224"/>
      <c r="CB376" s="224"/>
      <c r="CC376" s="225">
        <f t="shared" ref="CC376:CC381" si="1228">ROUND(IF(BV376+BW376&gt;BX376+BY376+BZ376+CA376+CB376,(BW376+BV376)-(BX376+BY376+BZ376+CA376+CB376+CB376),0),0)</f>
        <v>19818300</v>
      </c>
      <c r="CD376" s="224">
        <f t="shared" ref="CD376:CD381" si="1229">ROUND(IF(BV376+BW376&lt;BX376+BY376+BZ376+CA376-CB376,(BX376+BY376+BZ376+CA376-CB376)-(BW376+BV376),0),0)</f>
        <v>0</v>
      </c>
      <c r="CE376" s="224"/>
      <c r="CF376" s="226"/>
      <c r="CG376" s="87"/>
      <c r="CH376" s="87">
        <f t="shared" ref="CH376:CH381" si="1230">A376</f>
        <v>17</v>
      </c>
      <c r="CI376" s="227" t="str">
        <f t="shared" ref="CI376:CJ381" si="1231">F376</f>
        <v>Nguyễn Thị</v>
      </c>
      <c r="CJ376" s="227" t="str">
        <f t="shared" si="1231"/>
        <v>Hường</v>
      </c>
      <c r="CK376" s="87">
        <f t="shared" ref="CK376:CK381" si="1232">H376</f>
        <v>7</v>
      </c>
      <c r="CL376" s="227" t="str">
        <f t="shared" ref="CL376:CL381" si="1233">L376</f>
        <v>Tiếng Anh cơ bản</v>
      </c>
      <c r="CM376" s="87" t="str">
        <f t="shared" ref="CM376:CM381" si="1234">N376</f>
        <v>CB2</v>
      </c>
      <c r="CN376" s="87">
        <f t="shared" ref="CN376:CO381" si="1235">Q376</f>
        <v>270</v>
      </c>
      <c r="CO376" s="87">
        <f t="shared" si="1235"/>
        <v>60</v>
      </c>
      <c r="CP376" s="229">
        <f t="shared" si="1076"/>
        <v>0</v>
      </c>
      <c r="CQ376" s="229">
        <f t="shared" si="1077"/>
        <v>41.2</v>
      </c>
      <c r="CR376" s="229">
        <f t="shared" si="1078"/>
        <v>16.600000000000001</v>
      </c>
      <c r="CS376" s="229">
        <f t="shared" si="1079"/>
        <v>0</v>
      </c>
      <c r="CT376" s="229">
        <f t="shared" si="1080"/>
        <v>0</v>
      </c>
      <c r="CU376" s="229">
        <f t="shared" si="1081"/>
        <v>511.5</v>
      </c>
      <c r="CV376" s="229">
        <f t="shared" si="1082"/>
        <v>0</v>
      </c>
      <c r="CW376" s="229">
        <f t="shared" si="1083"/>
        <v>0</v>
      </c>
      <c r="CX376" s="229">
        <f t="shared" si="1084"/>
        <v>0</v>
      </c>
      <c r="CY376" s="229">
        <f t="shared" si="1085"/>
        <v>0</v>
      </c>
      <c r="CZ376" s="229">
        <f t="shared" si="1086"/>
        <v>0</v>
      </c>
      <c r="DA376" s="229">
        <f t="shared" si="1087"/>
        <v>0</v>
      </c>
      <c r="DB376" s="228">
        <f t="shared" ref="DB376:DB381" si="1236">SUM(CP376:DA376)</f>
        <v>569.29999999999995</v>
      </c>
      <c r="DC376" s="229"/>
      <c r="DD376" s="229"/>
      <c r="DE376" s="229"/>
      <c r="DF376" s="229"/>
      <c r="DG376" s="229"/>
      <c r="DH376" s="229"/>
      <c r="DI376" s="229"/>
      <c r="DJ376" s="229"/>
      <c r="DK376" s="229"/>
      <c r="DL376" s="229"/>
      <c r="DM376" s="229"/>
      <c r="DN376" s="229"/>
      <c r="DO376" s="228">
        <f t="shared" ref="DO376:DO381" si="1237">SUM(DC376:DN376)</f>
        <v>0</v>
      </c>
      <c r="DP376" s="228">
        <f t="shared" ref="DP376:DP381" si="1238">DO376+DB376</f>
        <v>569.29999999999995</v>
      </c>
      <c r="DQ376" s="229">
        <f t="shared" si="1088"/>
        <v>0</v>
      </c>
      <c r="DR376" s="229">
        <f t="shared" si="1089"/>
        <v>0</v>
      </c>
      <c r="DS376" s="229">
        <f t="shared" si="1090"/>
        <v>0</v>
      </c>
      <c r="DT376" s="229">
        <f t="shared" si="1091"/>
        <v>0</v>
      </c>
      <c r="DU376" s="229">
        <f t="shared" si="1092"/>
        <v>0</v>
      </c>
      <c r="DV376" s="229">
        <f t="shared" si="1093"/>
        <v>0</v>
      </c>
      <c r="DW376" s="229">
        <f t="shared" si="1094"/>
        <v>0</v>
      </c>
      <c r="DX376" s="228">
        <f t="shared" ref="DX376:DX381" si="1239">SUM(DQ376:DW376)</f>
        <v>0</v>
      </c>
      <c r="DY376" s="229"/>
      <c r="DZ376" s="229"/>
      <c r="EA376" s="229"/>
      <c r="EB376" s="229"/>
      <c r="EC376" s="229"/>
      <c r="ED376" s="229"/>
      <c r="EE376" s="229"/>
      <c r="EF376" s="228">
        <f t="shared" si="1072"/>
        <v>0</v>
      </c>
      <c r="EG376" s="228">
        <f t="shared" ref="EG376:EG381" si="1240">EF376+DX376</f>
        <v>0</v>
      </c>
      <c r="EH376" s="229">
        <f t="shared" si="1073"/>
        <v>100</v>
      </c>
      <c r="EI376" s="229">
        <v>38.229999999999997</v>
      </c>
      <c r="EJ376" s="228">
        <f t="shared" ref="EJ376:EJ381" si="1241">SUM(EH376:EI376)</f>
        <v>138.22999999999999</v>
      </c>
      <c r="EK376" s="229"/>
      <c r="EL376" s="229"/>
      <c r="EM376" s="228">
        <f t="shared" ref="EM376:EM381" si="1242">SUM(EK376:EL376)</f>
        <v>0</v>
      </c>
      <c r="EN376" s="229">
        <f t="shared" ref="EN376:EN381" si="1243">EK376+EH376+EL376</f>
        <v>100</v>
      </c>
      <c r="EO376" s="229">
        <f t="shared" ref="EO376:EO381" si="1244">EI376</f>
        <v>38.229999999999997</v>
      </c>
      <c r="EP376" s="228">
        <f t="shared" ref="EP376:EP381" si="1245">EM376+EJ376</f>
        <v>138.22999999999999</v>
      </c>
      <c r="EQ376" s="173">
        <f t="shared" si="1075"/>
        <v>40</v>
      </c>
      <c r="ER376" s="189">
        <v>0</v>
      </c>
      <c r="ES376" s="189">
        <v>41.2</v>
      </c>
      <c r="ET376" s="189">
        <v>16.600000000000001</v>
      </c>
      <c r="EU376" s="189">
        <v>0</v>
      </c>
      <c r="EV376" s="189">
        <v>0</v>
      </c>
      <c r="EW376" s="189">
        <v>511.5</v>
      </c>
      <c r="EX376" s="189">
        <v>0</v>
      </c>
      <c r="EY376" s="189">
        <v>0</v>
      </c>
      <c r="EZ376" s="189">
        <v>0</v>
      </c>
      <c r="FA376" s="189">
        <v>0</v>
      </c>
      <c r="FB376" s="189">
        <v>0</v>
      </c>
      <c r="FC376" s="189">
        <v>0</v>
      </c>
      <c r="FD376" s="189">
        <v>0</v>
      </c>
      <c r="FE376" s="189">
        <v>0</v>
      </c>
      <c r="FF376" s="189">
        <v>0</v>
      </c>
      <c r="FG376" s="189">
        <v>0</v>
      </c>
      <c r="FH376" s="189">
        <v>0</v>
      </c>
      <c r="FI376" s="189">
        <v>0</v>
      </c>
      <c r="FJ376" s="189">
        <v>0</v>
      </c>
      <c r="FK376" s="189">
        <v>569.29999999999995</v>
      </c>
      <c r="FL376" s="189">
        <v>393</v>
      </c>
      <c r="FN376" s="132">
        <v>100</v>
      </c>
    </row>
    <row r="377" spans="1:170" ht="27" customHeight="1">
      <c r="A377" s="88">
        <f>COUNTIF($H$12:H391,H377)</f>
        <v>32</v>
      </c>
      <c r="B377" s="88" t="s">
        <v>1062</v>
      </c>
      <c r="C377" s="88" t="s">
        <v>851</v>
      </c>
      <c r="D377" s="88"/>
      <c r="E377" s="88"/>
      <c r="F377" s="301" t="s">
        <v>2813</v>
      </c>
      <c r="G377" s="89" t="s">
        <v>1649</v>
      </c>
      <c r="H377" s="88">
        <v>7</v>
      </c>
      <c r="I377" s="88">
        <v>7</v>
      </c>
      <c r="J377" s="88">
        <v>7</v>
      </c>
      <c r="K377" s="90" t="s">
        <v>1163</v>
      </c>
      <c r="L377" s="90" t="s">
        <v>1163</v>
      </c>
      <c r="M377" s="214"/>
      <c r="N377" s="88" t="s">
        <v>1179</v>
      </c>
      <c r="O377" s="216">
        <f t="shared" si="1202"/>
        <v>3</v>
      </c>
      <c r="P377" s="88" t="str">
        <f t="shared" si="1188"/>
        <v>B11_3</v>
      </c>
      <c r="Q377" s="88">
        <f t="shared" si="1154"/>
        <v>270</v>
      </c>
      <c r="R377" s="88">
        <f t="shared" si="1155"/>
        <v>60</v>
      </c>
      <c r="S377" s="231"/>
      <c r="T377" s="88" t="s">
        <v>3088</v>
      </c>
      <c r="U377" s="88">
        <f>IF(RIGHT(T377,1)="K",(VLOOKUP(T377,ma_miengiam!$A$3:$B$80,2,0)*100)/2,VLOOKUP(T377,ma_miengiam!$A$3:$B$80,2,0)*100)</f>
        <v>0</v>
      </c>
      <c r="V377" s="88"/>
      <c r="W377" s="220">
        <f>IF(AND(T377="NTS",V377&gt;0),(Q377-(Q377*V377)/12)*VLOOKUP(T377,ma_miengiam!$A$3:$B$80,2,0)+(Q377-(Q377*(12-V377))/12),IF(AND(RIGHT(T377,1)="K",V377&gt;0),(VLOOKUP(T377,ma_miengiam!$A$3:$B$80,2,0)/2)*(Q377*V377)/12,IF(RIGHT(T377,1)="K",(VLOOKUP(T377,ma_miengiam!$A$3:$B$80,2,0)*Q377)/2,IF(V377&gt;0,VLOOKUP(T377,ma_miengiam!$A$3:$B$80,2,0)*Q377*V377/12,VLOOKUP(T377,ma_miengiam!$A$3:$B$80,2,0)*Q377))))</f>
        <v>0</v>
      </c>
      <c r="X377" s="220">
        <f>IF(T377="NTS",VLOOKUP(T377,ma_miengiam!$A$3:$B$80,2,0)*R377*V377,IF(AND(T377="NTS",V377=0),0,IF(AND(LEFT(T377,1)="K",V377=0),VLOOKUP(T377,ma_miengiam!$A$3:$B$80,2,0)*R377,IF(LEFT(T377,1)="K",(VLOOKUP(T377,ma_miengiam!$A$3:$B$80,2,0)*R377/12)*V377,IF(AND(LEFT(T377,1)="S",V377&gt;0),(R377/12)*V377,IF(AND(LEFT(T377,1)="S",V377=0),R377,IF(T377="DH",VLOOKUP(T377,ma_miengiam!$A$3:$B$80,2,0)*R377,0)))))))</f>
        <v>0</v>
      </c>
      <c r="Y377" s="220">
        <f t="shared" si="1203"/>
        <v>270</v>
      </c>
      <c r="Z377" s="220">
        <f t="shared" si="1204"/>
        <v>60</v>
      </c>
      <c r="AA377" s="220">
        <f t="shared" si="1205"/>
        <v>270</v>
      </c>
      <c r="AB377" s="220">
        <f t="shared" si="1205"/>
        <v>60</v>
      </c>
      <c r="AC377" s="220">
        <f t="shared" si="1197"/>
        <v>0</v>
      </c>
      <c r="AD377" s="220">
        <f t="shared" si="1197"/>
        <v>0</v>
      </c>
      <c r="AE377" s="220">
        <f t="shared" si="1197"/>
        <v>270</v>
      </c>
      <c r="AF377" s="220">
        <f t="shared" si="1197"/>
        <v>60</v>
      </c>
      <c r="AG377" s="220">
        <f t="shared" si="1206"/>
        <v>8.23</v>
      </c>
      <c r="AH377" s="220">
        <f t="shared" si="1207"/>
        <v>8.23</v>
      </c>
      <c r="AI377" s="220">
        <f t="shared" si="1208"/>
        <v>0</v>
      </c>
      <c r="AJ377" s="220">
        <f t="shared" si="1209"/>
        <v>-51.769999999999996</v>
      </c>
      <c r="AK377" s="216">
        <f t="shared" si="1038"/>
        <v>321.77</v>
      </c>
      <c r="AL377" s="220">
        <f t="shared" si="1210"/>
        <v>1127.3</v>
      </c>
      <c r="AM377" s="220">
        <f t="shared" si="1211"/>
        <v>0</v>
      </c>
      <c r="AN377" s="221">
        <f t="shared" si="1212"/>
        <v>1127.3</v>
      </c>
      <c r="AO377" s="220">
        <f t="shared" si="1213"/>
        <v>0</v>
      </c>
      <c r="AP377" s="220">
        <f t="shared" si="1213"/>
        <v>0</v>
      </c>
      <c r="AQ377" s="220">
        <f t="shared" si="1213"/>
        <v>0</v>
      </c>
      <c r="AR377" s="220">
        <f t="shared" si="1214"/>
        <v>0</v>
      </c>
      <c r="AS377" s="220">
        <f t="shared" si="1214"/>
        <v>0</v>
      </c>
      <c r="AT377" s="216">
        <f t="shared" si="1215"/>
        <v>1127.3</v>
      </c>
      <c r="AU377" s="222">
        <f t="shared" si="1216"/>
        <v>805.53</v>
      </c>
      <c r="AV377" s="220"/>
      <c r="AW377" s="220">
        <f t="shared" si="1217"/>
        <v>805.53</v>
      </c>
      <c r="AX377" s="216">
        <f t="shared" si="1046"/>
        <v>0</v>
      </c>
      <c r="AY377" s="220">
        <f t="shared" si="1218"/>
        <v>0</v>
      </c>
      <c r="AZ377" s="220">
        <f t="shared" si="1219"/>
        <v>0</v>
      </c>
      <c r="BA377" s="220">
        <f t="shared" si="1220"/>
        <v>0</v>
      </c>
      <c r="BB377" s="220">
        <f t="shared" si="1221"/>
        <v>0</v>
      </c>
      <c r="BC377" s="220">
        <f t="shared" si="1222"/>
        <v>0</v>
      </c>
      <c r="BD377" s="216">
        <f t="shared" si="1195"/>
        <v>0</v>
      </c>
      <c r="BE377" s="220">
        <f t="shared" si="1223"/>
        <v>0</v>
      </c>
      <c r="BF377" s="220">
        <f t="shared" si="1223"/>
        <v>0</v>
      </c>
      <c r="BG377" s="220">
        <f t="shared" si="1223"/>
        <v>0</v>
      </c>
      <c r="BH377" s="220">
        <f t="shared" si="1223"/>
        <v>0</v>
      </c>
      <c r="BI377" s="220">
        <f t="shared" si="1223"/>
        <v>0</v>
      </c>
      <c r="BJ377" s="220" t="s">
        <v>1566</v>
      </c>
      <c r="BK377" s="220"/>
      <c r="BL377" s="223">
        <f t="shared" si="1201"/>
        <v>805.53</v>
      </c>
      <c r="BM377" s="220">
        <v>3</v>
      </c>
      <c r="BN377" s="220"/>
      <c r="BO377" s="220">
        <f t="shared" si="1224"/>
        <v>3</v>
      </c>
      <c r="BP377" s="220">
        <f>IF(AND(BL377&gt;0,BL377&lt;tiet!$D$1),BL377,IF(BL377&lt;=0,0,IF(BL377&gt;tiet!$C$1,tiet!$C$1)))</f>
        <v>200</v>
      </c>
      <c r="BQ377" s="87">
        <f t="shared" si="1225"/>
        <v>60000</v>
      </c>
      <c r="BR377" s="224">
        <f t="shared" si="1226"/>
        <v>12000000</v>
      </c>
      <c r="BS377" s="220">
        <f t="shared" si="1068"/>
        <v>605.53</v>
      </c>
      <c r="BT377" s="224">
        <f>VLOOKUP(N377,ma_dinhmuc!$A$1:$J$31,10,0)</f>
        <v>51000</v>
      </c>
      <c r="BU377" s="224">
        <f>ROUND(IF(BS377&gt;0,VLOOKUP(N377,ma_dinhmuc!$A$1:$J$31,10,0)*BS377,0),0)</f>
        <v>30882030</v>
      </c>
      <c r="BV377" s="224">
        <f t="shared" si="1227"/>
        <v>42882030</v>
      </c>
      <c r="BW377" s="224"/>
      <c r="BX377" s="224">
        <v>0</v>
      </c>
      <c r="BY377" s="224"/>
      <c r="BZ377" s="224"/>
      <c r="CA377" s="224"/>
      <c r="CB377" s="224"/>
      <c r="CC377" s="225">
        <f t="shared" si="1228"/>
        <v>42882030</v>
      </c>
      <c r="CD377" s="224">
        <f t="shared" si="1229"/>
        <v>0</v>
      </c>
      <c r="CE377" s="224"/>
      <c r="CF377" s="226"/>
      <c r="CG377" s="87"/>
      <c r="CH377" s="87">
        <f t="shared" si="1230"/>
        <v>32</v>
      </c>
      <c r="CI377" s="227" t="str">
        <f t="shared" si="1231"/>
        <v>Nguyễn Thị Ngọc</v>
      </c>
      <c r="CJ377" s="227" t="str">
        <f t="shared" si="1231"/>
        <v>Thu</v>
      </c>
      <c r="CK377" s="87">
        <f t="shared" si="1232"/>
        <v>7</v>
      </c>
      <c r="CL377" s="227" t="str">
        <f t="shared" si="1233"/>
        <v>Tiếng Anh cơ bản</v>
      </c>
      <c r="CM377" s="87" t="str">
        <f t="shared" si="1234"/>
        <v>CB2</v>
      </c>
      <c r="CN377" s="87">
        <f t="shared" si="1235"/>
        <v>270</v>
      </c>
      <c r="CO377" s="87">
        <f t="shared" si="1235"/>
        <v>60</v>
      </c>
      <c r="CP377" s="229">
        <f t="shared" si="1076"/>
        <v>0</v>
      </c>
      <c r="CQ377" s="229">
        <f t="shared" si="1077"/>
        <v>72.3</v>
      </c>
      <c r="CR377" s="229">
        <f t="shared" si="1078"/>
        <v>29.3</v>
      </c>
      <c r="CS377" s="229">
        <f t="shared" si="1079"/>
        <v>0</v>
      </c>
      <c r="CT377" s="229">
        <f t="shared" si="1080"/>
        <v>0</v>
      </c>
      <c r="CU377" s="229">
        <f t="shared" si="1081"/>
        <v>1025.7</v>
      </c>
      <c r="CV377" s="229">
        <f t="shared" si="1082"/>
        <v>0</v>
      </c>
      <c r="CW377" s="229">
        <f t="shared" si="1083"/>
        <v>0</v>
      </c>
      <c r="CX377" s="229">
        <f t="shared" si="1084"/>
        <v>0</v>
      </c>
      <c r="CY377" s="229">
        <f t="shared" si="1085"/>
        <v>0</v>
      </c>
      <c r="CZ377" s="229">
        <f t="shared" si="1086"/>
        <v>0</v>
      </c>
      <c r="DA377" s="229">
        <f t="shared" si="1087"/>
        <v>0</v>
      </c>
      <c r="DB377" s="228">
        <f t="shared" si="1236"/>
        <v>1127.3</v>
      </c>
      <c r="DC377" s="229"/>
      <c r="DD377" s="229"/>
      <c r="DE377" s="229"/>
      <c r="DF377" s="229"/>
      <c r="DG377" s="229"/>
      <c r="DH377" s="229"/>
      <c r="DI377" s="229"/>
      <c r="DJ377" s="229"/>
      <c r="DK377" s="229"/>
      <c r="DL377" s="229"/>
      <c r="DM377" s="229"/>
      <c r="DN377" s="229"/>
      <c r="DO377" s="228">
        <f t="shared" si="1237"/>
        <v>0</v>
      </c>
      <c r="DP377" s="228">
        <f t="shared" si="1238"/>
        <v>1127.3</v>
      </c>
      <c r="DQ377" s="229">
        <f t="shared" si="1088"/>
        <v>0</v>
      </c>
      <c r="DR377" s="229">
        <f t="shared" si="1089"/>
        <v>0</v>
      </c>
      <c r="DS377" s="229">
        <f t="shared" si="1090"/>
        <v>0</v>
      </c>
      <c r="DT377" s="229">
        <f t="shared" si="1091"/>
        <v>0</v>
      </c>
      <c r="DU377" s="229">
        <f t="shared" si="1092"/>
        <v>0</v>
      </c>
      <c r="DV377" s="229">
        <f t="shared" si="1093"/>
        <v>0</v>
      </c>
      <c r="DW377" s="229">
        <f t="shared" si="1094"/>
        <v>0</v>
      </c>
      <c r="DX377" s="228">
        <f t="shared" si="1239"/>
        <v>0</v>
      </c>
      <c r="DY377" s="229"/>
      <c r="DZ377" s="229"/>
      <c r="EA377" s="229"/>
      <c r="EB377" s="229"/>
      <c r="EC377" s="229"/>
      <c r="ED377" s="229"/>
      <c r="EE377" s="229"/>
      <c r="EF377" s="228">
        <f t="shared" si="1072"/>
        <v>0</v>
      </c>
      <c r="EG377" s="228">
        <f t="shared" si="1240"/>
        <v>0</v>
      </c>
      <c r="EH377" s="229">
        <f t="shared" si="1073"/>
        <v>0</v>
      </c>
      <c r="EI377" s="229">
        <v>8.23</v>
      </c>
      <c r="EJ377" s="228">
        <f t="shared" si="1241"/>
        <v>8.23</v>
      </c>
      <c r="EK377" s="229"/>
      <c r="EL377" s="229"/>
      <c r="EM377" s="228">
        <f t="shared" si="1242"/>
        <v>0</v>
      </c>
      <c r="EN377" s="229">
        <f t="shared" si="1243"/>
        <v>0</v>
      </c>
      <c r="EO377" s="229">
        <f t="shared" si="1244"/>
        <v>8.23</v>
      </c>
      <c r="EP377" s="228">
        <f t="shared" si="1245"/>
        <v>8.23</v>
      </c>
      <c r="EQ377" s="173">
        <f t="shared" si="1075"/>
        <v>0</v>
      </c>
      <c r="ER377" s="189">
        <v>0</v>
      </c>
      <c r="ES377" s="189">
        <v>72.3</v>
      </c>
      <c r="ET377" s="189">
        <v>29.3</v>
      </c>
      <c r="EU377" s="189">
        <v>0</v>
      </c>
      <c r="EV377" s="189">
        <v>0</v>
      </c>
      <c r="EW377" s="189">
        <v>1025.7</v>
      </c>
      <c r="EX377" s="189">
        <v>0</v>
      </c>
      <c r="EY377" s="189">
        <v>0</v>
      </c>
      <c r="EZ377" s="189">
        <v>0</v>
      </c>
      <c r="FA377" s="189">
        <v>0</v>
      </c>
      <c r="FB377" s="189">
        <v>0</v>
      </c>
      <c r="FC377" s="189">
        <v>0</v>
      </c>
      <c r="FD377" s="189">
        <v>0</v>
      </c>
      <c r="FE377" s="189">
        <v>0</v>
      </c>
      <c r="FF377" s="189">
        <v>0</v>
      </c>
      <c r="FG377" s="189">
        <v>0</v>
      </c>
      <c r="FH377" s="189">
        <v>0</v>
      </c>
      <c r="FI377" s="189">
        <v>0</v>
      </c>
      <c r="FJ377" s="189">
        <v>0</v>
      </c>
      <c r="FK377" s="189">
        <v>1127.3</v>
      </c>
      <c r="FL377" s="189">
        <v>731</v>
      </c>
      <c r="FN377" s="132">
        <v>0</v>
      </c>
    </row>
    <row r="378" spans="1:170" ht="27" customHeight="1">
      <c r="A378" s="88">
        <v>2</v>
      </c>
      <c r="B378" s="88" t="s">
        <v>1060</v>
      </c>
      <c r="C378" s="88" t="s">
        <v>849</v>
      </c>
      <c r="D378" s="88"/>
      <c r="E378" s="88"/>
      <c r="F378" s="301" t="s">
        <v>1139</v>
      </c>
      <c r="G378" s="89" t="s">
        <v>2455</v>
      </c>
      <c r="H378" s="88">
        <v>7</v>
      </c>
      <c r="I378" s="88">
        <v>7</v>
      </c>
      <c r="J378" s="88">
        <v>7</v>
      </c>
      <c r="K378" s="90" t="s">
        <v>1163</v>
      </c>
      <c r="L378" s="90" t="s">
        <v>1163</v>
      </c>
      <c r="M378" s="214"/>
      <c r="N378" s="88" t="s">
        <v>1179</v>
      </c>
      <c r="O378" s="216">
        <f t="shared" si="1202"/>
        <v>2.67</v>
      </c>
      <c r="P378" s="88" t="str">
        <f t="shared" si="1188"/>
        <v>B11_3</v>
      </c>
      <c r="Q378" s="88">
        <f t="shared" si="1154"/>
        <v>270</v>
      </c>
      <c r="R378" s="88">
        <f t="shared" si="1155"/>
        <v>60</v>
      </c>
      <c r="S378" s="231" t="s">
        <v>3137</v>
      </c>
      <c r="T378" s="219" t="s">
        <v>3088</v>
      </c>
      <c r="U378" s="88">
        <f>IF(RIGHT(T378,1)="K",(VLOOKUP(T378,ma_miengiam!$A$3:$B$80,2,0)*100)/2,VLOOKUP(T378,ma_miengiam!$A$3:$B$80,2,0)*100)</f>
        <v>0</v>
      </c>
      <c r="V378" s="88"/>
      <c r="W378" s="220">
        <f>IF(AND(T378="NTS",V378&gt;0),(Q378-(Q378*V378)/12)*VLOOKUP(T378,ma_miengiam!$A$3:$B$80,2,0)+(Q378-(Q378*(12-V378))/12),IF(AND(RIGHT(T378,1)="K",V378&gt;0),(VLOOKUP(T378,ma_miengiam!$A$3:$B$80,2,0)/2)*(Q378*V378)/12,IF(RIGHT(T378,1)="K",(VLOOKUP(T378,ma_miengiam!$A$3:$B$80,2,0)*Q378)/2,IF(V378&gt;0,VLOOKUP(T378,ma_miengiam!$A$3:$B$80,2,0)*Q378*V378/12,VLOOKUP(T378,ma_miengiam!$A$3:$B$80,2,0)*Q378))))</f>
        <v>0</v>
      </c>
      <c r="X378" s="220">
        <f>IF(T378="NTS",VLOOKUP(T378,ma_miengiam!$A$3:$B$80,2,0)*R378*V378,IF(AND(T378="NTS",V378=0),0,IF(AND(LEFT(T378,1)="K",V378=0),VLOOKUP(T378,ma_miengiam!$A$3:$B$80,2,0)*R378,IF(LEFT(T378,1)="K",(VLOOKUP(T378,ma_miengiam!$A$3:$B$80,2,0)*R378/12)*V378,IF(AND(LEFT(T378,1)="S",V378&gt;0),(R378/12)*V378,IF(AND(LEFT(T378,1)="S",V378=0),R378,IF(T378="DH",VLOOKUP(T378,ma_miengiam!$A$3:$B$80,2,0)*R378,0)))))))</f>
        <v>0</v>
      </c>
      <c r="Y378" s="220">
        <f t="shared" si="1203"/>
        <v>270</v>
      </c>
      <c r="Z378" s="220">
        <f t="shared" si="1204"/>
        <v>60</v>
      </c>
      <c r="AA378" s="220">
        <f>Q378</f>
        <v>270</v>
      </c>
      <c r="AB378" s="220">
        <f>R378</f>
        <v>60</v>
      </c>
      <c r="AC378" s="220">
        <f>W378</f>
        <v>0</v>
      </c>
      <c r="AD378" s="220">
        <f>X378</f>
        <v>0</v>
      </c>
      <c r="AE378" s="220">
        <f>Y378</f>
        <v>270</v>
      </c>
      <c r="AF378" s="220">
        <f>Z378</f>
        <v>60</v>
      </c>
      <c r="AG378" s="220">
        <f t="shared" si="1206"/>
        <v>182.5</v>
      </c>
      <c r="AH378" s="220">
        <f t="shared" si="1207"/>
        <v>50</v>
      </c>
      <c r="AI378" s="220">
        <f t="shared" si="1208"/>
        <v>132.5</v>
      </c>
      <c r="AJ378" s="220">
        <f t="shared" si="1209"/>
        <v>0</v>
      </c>
      <c r="AK378" s="216">
        <f t="shared" si="1038"/>
        <v>270</v>
      </c>
      <c r="AL378" s="220">
        <f t="shared" si="1210"/>
        <v>434.6</v>
      </c>
      <c r="AM378" s="220">
        <f t="shared" si="1211"/>
        <v>0</v>
      </c>
      <c r="AN378" s="216">
        <f t="shared" si="1212"/>
        <v>434.6</v>
      </c>
      <c r="AO378" s="220">
        <f>CY378+DL378</f>
        <v>0</v>
      </c>
      <c r="AP378" s="220">
        <f>CZ378+DM378</f>
        <v>0</v>
      </c>
      <c r="AQ378" s="220">
        <f>DA378+DN378</f>
        <v>0</v>
      </c>
      <c r="AR378" s="220">
        <f>DV378+ED378</f>
        <v>0</v>
      </c>
      <c r="AS378" s="220">
        <f>DW378+EE378</f>
        <v>0</v>
      </c>
      <c r="AT378" s="216">
        <f t="shared" si="1215"/>
        <v>434.6</v>
      </c>
      <c r="AU378" s="220">
        <f t="shared" si="1216"/>
        <v>164.60000000000002</v>
      </c>
      <c r="AV378" s="220"/>
      <c r="AW378" s="220">
        <f t="shared" si="1217"/>
        <v>164.60000000000002</v>
      </c>
      <c r="AX378" s="216">
        <f t="shared" si="1046"/>
        <v>0</v>
      </c>
      <c r="AY378" s="220">
        <f t="shared" si="1218"/>
        <v>0</v>
      </c>
      <c r="AZ378" s="220">
        <f t="shared" si="1219"/>
        <v>0</v>
      </c>
      <c r="BA378" s="220">
        <f t="shared" si="1220"/>
        <v>0</v>
      </c>
      <c r="BB378" s="220">
        <f t="shared" si="1221"/>
        <v>0</v>
      </c>
      <c r="BC378" s="220">
        <f t="shared" si="1222"/>
        <v>0</v>
      </c>
      <c r="BD378" s="216">
        <f t="shared" si="1195"/>
        <v>0</v>
      </c>
      <c r="BE378" s="220">
        <f>AY378-AO378</f>
        <v>0</v>
      </c>
      <c r="BF378" s="220">
        <f>AZ378-AP378</f>
        <v>0</v>
      </c>
      <c r="BG378" s="220">
        <f>BA378-AQ378</f>
        <v>0</v>
      </c>
      <c r="BH378" s="220">
        <f>BB378-AR378</f>
        <v>0</v>
      </c>
      <c r="BI378" s="220">
        <f>BC378-AS378</f>
        <v>0</v>
      </c>
      <c r="BJ378" s="220" t="s">
        <v>1566</v>
      </c>
      <c r="BK378" s="220"/>
      <c r="BL378" s="223">
        <f t="shared" si="1201"/>
        <v>164.60000000000002</v>
      </c>
      <c r="BM378" s="220">
        <v>2.67</v>
      </c>
      <c r="BN378" s="220"/>
      <c r="BO378" s="220">
        <f t="shared" si="1224"/>
        <v>2.67</v>
      </c>
      <c r="BP378" s="220">
        <f>IF(AND(BL378&gt;0,BL378&lt;tiet!$D$1),BL378,IF(BL378&lt;=0,0,IF(BL378&gt;tiet!$C$1,tiet!$C$1)))</f>
        <v>164.60000000000002</v>
      </c>
      <c r="BQ378" s="87">
        <f t="shared" si="1225"/>
        <v>60000</v>
      </c>
      <c r="BR378" s="224">
        <f t="shared" si="1226"/>
        <v>9876000</v>
      </c>
      <c r="BS378" s="220">
        <f t="shared" si="1068"/>
        <v>0</v>
      </c>
      <c r="BT378" s="224">
        <f>VLOOKUP(N378,ma_dinhmuc!$A$1:$J$31,10,0)</f>
        <v>51000</v>
      </c>
      <c r="BU378" s="224">
        <f>ROUND(IF(BS378&gt;0,VLOOKUP(N378,ma_dinhmuc!$A$1:$J$31,10,0)*BS378,0),0)</f>
        <v>0</v>
      </c>
      <c r="BV378" s="224">
        <f t="shared" si="1227"/>
        <v>9876000</v>
      </c>
      <c r="BW378" s="224"/>
      <c r="BX378" s="224">
        <v>0</v>
      </c>
      <c r="BY378" s="224"/>
      <c r="BZ378" s="224"/>
      <c r="CA378" s="224"/>
      <c r="CB378" s="224"/>
      <c r="CC378" s="225">
        <f t="shared" si="1228"/>
        <v>9876000</v>
      </c>
      <c r="CD378" s="224">
        <f t="shared" si="1229"/>
        <v>0</v>
      </c>
      <c r="CE378" s="224"/>
      <c r="CF378" s="226"/>
      <c r="CG378" s="87"/>
      <c r="CH378" s="87">
        <f t="shared" si="1230"/>
        <v>2</v>
      </c>
      <c r="CI378" s="227" t="str">
        <f t="shared" si="1231"/>
        <v>Nguyễn Thị</v>
      </c>
      <c r="CJ378" s="227" t="str">
        <f t="shared" si="1231"/>
        <v>Hoài</v>
      </c>
      <c r="CK378" s="87">
        <f>H378</f>
        <v>7</v>
      </c>
      <c r="CL378" s="227" t="str">
        <f t="shared" si="1233"/>
        <v>Tiếng Anh cơ bản</v>
      </c>
      <c r="CM378" s="87" t="str">
        <f t="shared" si="1234"/>
        <v>CB2</v>
      </c>
      <c r="CN378" s="87">
        <f>Q378</f>
        <v>270</v>
      </c>
      <c r="CO378" s="87">
        <f>R378</f>
        <v>60</v>
      </c>
      <c r="CP378" s="229">
        <f t="shared" si="1076"/>
        <v>0</v>
      </c>
      <c r="CQ378" s="229">
        <f t="shared" si="1077"/>
        <v>31.6</v>
      </c>
      <c r="CR378" s="229">
        <f t="shared" si="1078"/>
        <v>12.7</v>
      </c>
      <c r="CS378" s="229">
        <f t="shared" si="1079"/>
        <v>0</v>
      </c>
      <c r="CT378" s="229">
        <f t="shared" si="1080"/>
        <v>0</v>
      </c>
      <c r="CU378" s="229">
        <f t="shared" si="1081"/>
        <v>350.8</v>
      </c>
      <c r="CV378" s="229">
        <f t="shared" si="1082"/>
        <v>0</v>
      </c>
      <c r="CW378" s="229">
        <f t="shared" si="1083"/>
        <v>39.5</v>
      </c>
      <c r="CX378" s="229">
        <f t="shared" si="1084"/>
        <v>0</v>
      </c>
      <c r="CY378" s="229">
        <f t="shared" si="1085"/>
        <v>0</v>
      </c>
      <c r="CZ378" s="229">
        <f t="shared" si="1086"/>
        <v>0</v>
      </c>
      <c r="DA378" s="229">
        <f t="shared" si="1087"/>
        <v>0</v>
      </c>
      <c r="DB378" s="228">
        <f t="shared" si="1236"/>
        <v>434.6</v>
      </c>
      <c r="DC378" s="229"/>
      <c r="DD378" s="229"/>
      <c r="DE378" s="229"/>
      <c r="DF378" s="229"/>
      <c r="DG378" s="229"/>
      <c r="DH378" s="229"/>
      <c r="DI378" s="229"/>
      <c r="DJ378" s="229"/>
      <c r="DK378" s="229"/>
      <c r="DL378" s="229"/>
      <c r="DM378" s="229"/>
      <c r="DN378" s="229"/>
      <c r="DO378" s="228">
        <f t="shared" si="1237"/>
        <v>0</v>
      </c>
      <c r="DP378" s="228">
        <f t="shared" si="1238"/>
        <v>434.6</v>
      </c>
      <c r="DQ378" s="229">
        <f t="shared" si="1088"/>
        <v>0</v>
      </c>
      <c r="DR378" s="229">
        <f t="shared" si="1089"/>
        <v>0</v>
      </c>
      <c r="DS378" s="229">
        <f t="shared" si="1090"/>
        <v>0</v>
      </c>
      <c r="DT378" s="229">
        <f t="shared" si="1091"/>
        <v>0</v>
      </c>
      <c r="DU378" s="229">
        <f t="shared" si="1092"/>
        <v>0</v>
      </c>
      <c r="DV378" s="229">
        <f t="shared" si="1093"/>
        <v>0</v>
      </c>
      <c r="DW378" s="229">
        <f t="shared" si="1094"/>
        <v>0</v>
      </c>
      <c r="DX378" s="228">
        <f t="shared" si="1239"/>
        <v>0</v>
      </c>
      <c r="DY378" s="229"/>
      <c r="DZ378" s="229"/>
      <c r="EA378" s="229"/>
      <c r="EB378" s="229"/>
      <c r="EC378" s="229"/>
      <c r="ED378" s="229"/>
      <c r="EE378" s="229"/>
      <c r="EF378" s="228">
        <f t="shared" si="1072"/>
        <v>0</v>
      </c>
      <c r="EG378" s="228">
        <f t="shared" si="1240"/>
        <v>0</v>
      </c>
      <c r="EH378" s="229">
        <f t="shared" si="1073"/>
        <v>132.5</v>
      </c>
      <c r="EI378" s="229">
        <v>50</v>
      </c>
      <c r="EJ378" s="228">
        <f t="shared" si="1241"/>
        <v>182.5</v>
      </c>
      <c r="EK378" s="229"/>
      <c r="EL378" s="229"/>
      <c r="EM378" s="228">
        <f t="shared" si="1242"/>
        <v>0</v>
      </c>
      <c r="EN378" s="229">
        <f t="shared" si="1243"/>
        <v>132.5</v>
      </c>
      <c r="EO378" s="229">
        <f t="shared" si="1244"/>
        <v>50</v>
      </c>
      <c r="EP378" s="228">
        <f t="shared" si="1245"/>
        <v>182.5</v>
      </c>
      <c r="EQ378" s="173">
        <f t="shared" si="1075"/>
        <v>72.5</v>
      </c>
      <c r="ER378" s="189">
        <v>0</v>
      </c>
      <c r="ES378" s="189">
        <v>31.6</v>
      </c>
      <c r="ET378" s="189">
        <v>12.7</v>
      </c>
      <c r="EU378" s="189">
        <v>0</v>
      </c>
      <c r="EV378" s="189">
        <v>0</v>
      </c>
      <c r="EW378" s="189">
        <v>350.8</v>
      </c>
      <c r="EX378" s="189">
        <v>0</v>
      </c>
      <c r="EY378" s="189">
        <v>39.5</v>
      </c>
      <c r="EZ378" s="189">
        <v>0</v>
      </c>
      <c r="FA378" s="189">
        <v>0</v>
      </c>
      <c r="FB378" s="189">
        <v>0</v>
      </c>
      <c r="FC378" s="189">
        <v>0</v>
      </c>
      <c r="FD378" s="189">
        <v>0</v>
      </c>
      <c r="FE378" s="189">
        <v>0</v>
      </c>
      <c r="FF378" s="189">
        <v>0</v>
      </c>
      <c r="FG378" s="189">
        <v>0</v>
      </c>
      <c r="FH378" s="189">
        <v>0</v>
      </c>
      <c r="FI378" s="189">
        <v>0</v>
      </c>
      <c r="FJ378" s="189">
        <v>0</v>
      </c>
      <c r="FK378" s="189">
        <v>434.6</v>
      </c>
      <c r="FL378" s="189">
        <v>327</v>
      </c>
      <c r="FN378" s="132">
        <v>132.5</v>
      </c>
    </row>
    <row r="379" spans="1:170" ht="30" customHeight="1">
      <c r="A379" s="88">
        <f>COUNTIF($H$12:H379,H379)</f>
        <v>20</v>
      </c>
      <c r="B379" s="88" t="s">
        <v>758</v>
      </c>
      <c r="C379" s="88" t="s">
        <v>716</v>
      </c>
      <c r="D379" s="88"/>
      <c r="E379" s="88"/>
      <c r="F379" s="301" t="s">
        <v>1501</v>
      </c>
      <c r="G379" s="89" t="s">
        <v>1503</v>
      </c>
      <c r="H379" s="88">
        <v>7</v>
      </c>
      <c r="I379" s="88">
        <v>7</v>
      </c>
      <c r="J379" s="88">
        <v>7</v>
      </c>
      <c r="K379" s="90" t="s">
        <v>1163</v>
      </c>
      <c r="L379" s="90" t="s">
        <v>1163</v>
      </c>
      <c r="M379" s="214"/>
      <c r="N379" s="88" t="s">
        <v>1179</v>
      </c>
      <c r="O379" s="216">
        <f t="shared" si="1202"/>
        <v>3</v>
      </c>
      <c r="P379" s="88" t="str">
        <f t="shared" si="1188"/>
        <v>B11_3</v>
      </c>
      <c r="Q379" s="88">
        <f t="shared" si="1154"/>
        <v>270</v>
      </c>
      <c r="R379" s="88">
        <f t="shared" si="1155"/>
        <v>60</v>
      </c>
      <c r="S379" s="218" t="s">
        <v>3114</v>
      </c>
      <c r="T379" s="88" t="s">
        <v>2961</v>
      </c>
      <c r="U379" s="88">
        <f>IF(RIGHT(T379,1)="K",(VLOOKUP(T379,ma_miengiam!$A$3:$B$80,2,0)*100)/2,VLOOKUP(T379,ma_miengiam!$A$3:$B$80,2,0)*100)</f>
        <v>100</v>
      </c>
      <c r="V379" s="88"/>
      <c r="W379" s="220">
        <f>IF(AND(T379="NTS",V379&gt;0),(Q379-(Q379*V379)/12)*VLOOKUP(T379,ma_miengiam!$A$3:$B$80,2,0)+(Q379-(Q379*(12-V379))/12),IF(AND(RIGHT(T379,1)="K",V379&gt;0),(VLOOKUP(T379,ma_miengiam!$A$3:$B$80,2,0)/2)*(Q379*V379)/12,IF(RIGHT(T379,1)="K",(VLOOKUP(T379,ma_miengiam!$A$3:$B$80,2,0)*Q379)/2,IF(V379&gt;0,VLOOKUP(T379,ma_miengiam!$A$3:$B$80,2,0)*Q379*V379/12,VLOOKUP(T379,ma_miengiam!$A$3:$B$80,2,0)*Q379))))</f>
        <v>270</v>
      </c>
      <c r="X379" s="220">
        <f>IF(T379="NTS",VLOOKUP(T379,ma_miengiam!$A$3:$B$80,2,0)*R379*V379,IF(AND(T379="NTS",V379=0),0,IF(AND(LEFT(T379,1)="K",V379=0),VLOOKUP(T379,ma_miengiam!$A$3:$B$80,2,0)*R379,IF(LEFT(T379,1)="K",(VLOOKUP(T379,ma_miengiam!$A$3:$B$80,2,0)*R379/12)*V379,IF(AND(LEFT(T379,1)="S",V379&gt;0),(R379/12)*V379,IF(AND(LEFT(T379,1)="S",V379=0),R379,IF(T379="DH",VLOOKUP(T379,ma_miengiam!$A$3:$B$80,2,0)*R379,0)))))))</f>
        <v>60</v>
      </c>
      <c r="Y379" s="220">
        <f t="shared" si="1203"/>
        <v>0</v>
      </c>
      <c r="Z379" s="220">
        <f t="shared" si="1204"/>
        <v>0</v>
      </c>
      <c r="AA379" s="220">
        <f t="shared" si="1205"/>
        <v>270</v>
      </c>
      <c r="AB379" s="220">
        <f t="shared" si="1205"/>
        <v>60</v>
      </c>
      <c r="AC379" s="220">
        <f t="shared" si="1197"/>
        <v>270</v>
      </c>
      <c r="AD379" s="220">
        <f t="shared" si="1197"/>
        <v>60</v>
      </c>
      <c r="AE379" s="220">
        <f t="shared" si="1197"/>
        <v>0</v>
      </c>
      <c r="AF379" s="220">
        <f t="shared" si="1197"/>
        <v>0</v>
      </c>
      <c r="AG379" s="220">
        <f t="shared" si="1206"/>
        <v>0</v>
      </c>
      <c r="AH379" s="220">
        <f t="shared" si="1207"/>
        <v>0</v>
      </c>
      <c r="AI379" s="220">
        <f t="shared" si="1208"/>
        <v>0</v>
      </c>
      <c r="AJ379" s="220">
        <f t="shared" si="1209"/>
        <v>0</v>
      </c>
      <c r="AK379" s="216">
        <f t="shared" si="1038"/>
        <v>0</v>
      </c>
      <c r="AL379" s="220">
        <f t="shared" si="1210"/>
        <v>0</v>
      </c>
      <c r="AM379" s="220">
        <f t="shared" si="1211"/>
        <v>0</v>
      </c>
      <c r="AN379" s="216">
        <f t="shared" si="1212"/>
        <v>0</v>
      </c>
      <c r="AO379" s="220">
        <f t="shared" si="1213"/>
        <v>0</v>
      </c>
      <c r="AP379" s="220">
        <f t="shared" si="1213"/>
        <v>0</v>
      </c>
      <c r="AQ379" s="220">
        <f t="shared" si="1213"/>
        <v>0</v>
      </c>
      <c r="AR379" s="220">
        <f t="shared" si="1214"/>
        <v>0</v>
      </c>
      <c r="AS379" s="220">
        <f t="shared" si="1214"/>
        <v>0</v>
      </c>
      <c r="AT379" s="216">
        <f t="shared" si="1215"/>
        <v>0</v>
      </c>
      <c r="AU379" s="220">
        <f t="shared" si="1216"/>
        <v>0</v>
      </c>
      <c r="AV379" s="220"/>
      <c r="AW379" s="220">
        <f t="shared" si="1217"/>
        <v>0</v>
      </c>
      <c r="AX379" s="216">
        <f t="shared" si="1046"/>
        <v>0</v>
      </c>
      <c r="AY379" s="220">
        <f t="shared" si="1218"/>
        <v>0</v>
      </c>
      <c r="AZ379" s="220">
        <f t="shared" si="1219"/>
        <v>0</v>
      </c>
      <c r="BA379" s="220">
        <f t="shared" si="1220"/>
        <v>0</v>
      </c>
      <c r="BB379" s="220">
        <f t="shared" si="1221"/>
        <v>0</v>
      </c>
      <c r="BC379" s="220">
        <f t="shared" si="1222"/>
        <v>0</v>
      </c>
      <c r="BD379" s="216">
        <f t="shared" si="1195"/>
        <v>0</v>
      </c>
      <c r="BE379" s="220">
        <f t="shared" si="1223"/>
        <v>0</v>
      </c>
      <c r="BF379" s="220">
        <f t="shared" si="1223"/>
        <v>0</v>
      </c>
      <c r="BG379" s="220">
        <f t="shared" si="1223"/>
        <v>0</v>
      </c>
      <c r="BH379" s="220">
        <f t="shared" si="1223"/>
        <v>0</v>
      </c>
      <c r="BI379" s="220">
        <f t="shared" si="1223"/>
        <v>0</v>
      </c>
      <c r="BJ379" s="220" t="s">
        <v>1566</v>
      </c>
      <c r="BK379" s="220"/>
      <c r="BL379" s="223">
        <f t="shared" si="1201"/>
        <v>0</v>
      </c>
      <c r="BM379" s="220">
        <v>3</v>
      </c>
      <c r="BN379" s="220"/>
      <c r="BO379" s="220">
        <f t="shared" si="1224"/>
        <v>3</v>
      </c>
      <c r="BP379" s="220">
        <f>IF(AND(BL379&gt;0,BL379&lt;tiet!$D$1),BL379,IF(BL379&lt;=0,0,IF(BL379&gt;tiet!$C$1,tiet!$C$1)))</f>
        <v>0</v>
      </c>
      <c r="BQ379" s="87">
        <f t="shared" si="1225"/>
        <v>60000</v>
      </c>
      <c r="BR379" s="224">
        <f t="shared" si="1226"/>
        <v>0</v>
      </c>
      <c r="BS379" s="220">
        <f t="shared" si="1068"/>
        <v>0</v>
      </c>
      <c r="BT379" s="224">
        <f>VLOOKUP(N379,ma_dinhmuc!$A$1:$J$31,10,0)</f>
        <v>51000</v>
      </c>
      <c r="BU379" s="224">
        <f>ROUND(IF(BS379&gt;0,VLOOKUP(N379,ma_dinhmuc!$A$1:$J$31,10,0)*BS379,0),0)</f>
        <v>0</v>
      </c>
      <c r="BV379" s="224">
        <f t="shared" si="1227"/>
        <v>0</v>
      </c>
      <c r="BW379" s="224"/>
      <c r="BX379" s="224">
        <v>0</v>
      </c>
      <c r="BY379" s="224"/>
      <c r="BZ379" s="224"/>
      <c r="CA379" s="224"/>
      <c r="CB379" s="224"/>
      <c r="CC379" s="225">
        <f t="shared" si="1228"/>
        <v>0</v>
      </c>
      <c r="CD379" s="224">
        <f t="shared" si="1229"/>
        <v>0</v>
      </c>
      <c r="CE379" s="224"/>
      <c r="CF379" s="226"/>
      <c r="CG379" s="87"/>
      <c r="CH379" s="87">
        <f t="shared" si="1230"/>
        <v>20</v>
      </c>
      <c r="CI379" s="227" t="str">
        <f t="shared" si="1231"/>
        <v>Dương Thị</v>
      </c>
      <c r="CJ379" s="227" t="str">
        <f t="shared" si="1231"/>
        <v>Thúy</v>
      </c>
      <c r="CK379" s="87">
        <f t="shared" si="1232"/>
        <v>7</v>
      </c>
      <c r="CL379" s="227" t="str">
        <f t="shared" si="1233"/>
        <v>Tiếng Anh cơ bản</v>
      </c>
      <c r="CM379" s="87" t="str">
        <f t="shared" si="1234"/>
        <v>CB2</v>
      </c>
      <c r="CN379" s="87">
        <f t="shared" si="1235"/>
        <v>270</v>
      </c>
      <c r="CO379" s="87">
        <f t="shared" si="1235"/>
        <v>60</v>
      </c>
      <c r="CP379" s="229">
        <f t="shared" si="1076"/>
        <v>0</v>
      </c>
      <c r="CQ379" s="229">
        <f t="shared" si="1077"/>
        <v>0</v>
      </c>
      <c r="CR379" s="229">
        <f t="shared" si="1078"/>
        <v>0</v>
      </c>
      <c r="CS379" s="229">
        <f t="shared" si="1079"/>
        <v>0</v>
      </c>
      <c r="CT379" s="229">
        <f t="shared" si="1080"/>
        <v>0</v>
      </c>
      <c r="CU379" s="229">
        <f t="shared" si="1081"/>
        <v>0</v>
      </c>
      <c r="CV379" s="229">
        <f t="shared" si="1082"/>
        <v>0</v>
      </c>
      <c r="CW379" s="229">
        <f t="shared" si="1083"/>
        <v>0</v>
      </c>
      <c r="CX379" s="229">
        <f t="shared" si="1084"/>
        <v>0</v>
      </c>
      <c r="CY379" s="229">
        <f t="shared" si="1085"/>
        <v>0</v>
      </c>
      <c r="CZ379" s="229">
        <f t="shared" si="1086"/>
        <v>0</v>
      </c>
      <c r="DA379" s="229">
        <f t="shared" si="1087"/>
        <v>0</v>
      </c>
      <c r="DB379" s="228">
        <f t="shared" si="1236"/>
        <v>0</v>
      </c>
      <c r="DC379" s="229"/>
      <c r="DD379" s="229"/>
      <c r="DE379" s="229"/>
      <c r="DF379" s="229"/>
      <c r="DG379" s="229"/>
      <c r="DH379" s="229"/>
      <c r="DI379" s="229"/>
      <c r="DJ379" s="229"/>
      <c r="DK379" s="229"/>
      <c r="DL379" s="229"/>
      <c r="DM379" s="229"/>
      <c r="DN379" s="229"/>
      <c r="DO379" s="228">
        <f t="shared" si="1237"/>
        <v>0</v>
      </c>
      <c r="DP379" s="228">
        <f t="shared" si="1238"/>
        <v>0</v>
      </c>
      <c r="DQ379" s="229">
        <f t="shared" si="1088"/>
        <v>0</v>
      </c>
      <c r="DR379" s="229">
        <f t="shared" si="1089"/>
        <v>0</v>
      </c>
      <c r="DS379" s="229">
        <f t="shared" si="1090"/>
        <v>0</v>
      </c>
      <c r="DT379" s="229">
        <f t="shared" si="1091"/>
        <v>0</v>
      </c>
      <c r="DU379" s="229">
        <f t="shared" si="1092"/>
        <v>0</v>
      </c>
      <c r="DV379" s="229">
        <f t="shared" si="1093"/>
        <v>0</v>
      </c>
      <c r="DW379" s="229">
        <f t="shared" si="1094"/>
        <v>0</v>
      </c>
      <c r="DX379" s="228">
        <f t="shared" si="1239"/>
        <v>0</v>
      </c>
      <c r="DY379" s="229"/>
      <c r="DZ379" s="229"/>
      <c r="EA379" s="229"/>
      <c r="EB379" s="229"/>
      <c r="EC379" s="229"/>
      <c r="ED379" s="229"/>
      <c r="EE379" s="229"/>
      <c r="EF379" s="228">
        <f t="shared" si="1072"/>
        <v>0</v>
      </c>
      <c r="EG379" s="228">
        <f t="shared" si="1240"/>
        <v>0</v>
      </c>
      <c r="EH379" s="229">
        <f t="shared" si="1073"/>
        <v>0</v>
      </c>
      <c r="EI379" s="229">
        <v>0</v>
      </c>
      <c r="EJ379" s="228">
        <f t="shared" si="1241"/>
        <v>0</v>
      </c>
      <c r="EK379" s="229"/>
      <c r="EL379" s="229"/>
      <c r="EM379" s="228">
        <f t="shared" si="1242"/>
        <v>0</v>
      </c>
      <c r="EN379" s="229">
        <f t="shared" si="1243"/>
        <v>0</v>
      </c>
      <c r="EO379" s="229">
        <f t="shared" si="1244"/>
        <v>0</v>
      </c>
      <c r="EP379" s="228">
        <f t="shared" si="1245"/>
        <v>0</v>
      </c>
      <c r="EQ379" s="173">
        <f t="shared" si="1075"/>
        <v>0</v>
      </c>
      <c r="ER379" s="189">
        <v>0</v>
      </c>
      <c r="ES379" s="189">
        <v>0</v>
      </c>
      <c r="ET379" s="189">
        <v>0</v>
      </c>
      <c r="EU379" s="189">
        <v>0</v>
      </c>
      <c r="EV379" s="189">
        <v>0</v>
      </c>
      <c r="EW379" s="189">
        <v>0</v>
      </c>
      <c r="EX379" s="189">
        <v>0</v>
      </c>
      <c r="EY379" s="189">
        <v>0</v>
      </c>
      <c r="EZ379" s="189">
        <v>0</v>
      </c>
      <c r="FA379" s="189">
        <v>0</v>
      </c>
      <c r="FB379" s="189">
        <v>0</v>
      </c>
      <c r="FC379" s="189">
        <v>0</v>
      </c>
      <c r="FD379" s="189">
        <v>0</v>
      </c>
      <c r="FE379" s="189">
        <v>0</v>
      </c>
      <c r="FF379" s="189">
        <v>0</v>
      </c>
      <c r="FG379" s="189">
        <v>0</v>
      </c>
      <c r="FH379" s="189">
        <v>0</v>
      </c>
      <c r="FI379" s="189">
        <v>0</v>
      </c>
      <c r="FJ379" s="189">
        <v>0</v>
      </c>
      <c r="FK379" s="189">
        <v>0</v>
      </c>
      <c r="FL379" s="189">
        <v>0</v>
      </c>
      <c r="FN379" s="132">
        <v>0</v>
      </c>
    </row>
    <row r="380" spans="1:170" ht="30" customHeight="1">
      <c r="A380" s="88">
        <f>COUNTIF($H$12:H380,H380)</f>
        <v>21</v>
      </c>
      <c r="B380" s="88" t="s">
        <v>719</v>
      </c>
      <c r="C380" s="88" t="s">
        <v>717</v>
      </c>
      <c r="D380" s="88"/>
      <c r="E380" s="88"/>
      <c r="F380" s="301" t="s">
        <v>2199</v>
      </c>
      <c r="G380" s="89" t="s">
        <v>646</v>
      </c>
      <c r="H380" s="88">
        <v>7</v>
      </c>
      <c r="I380" s="88">
        <v>7</v>
      </c>
      <c r="J380" s="88">
        <v>7</v>
      </c>
      <c r="K380" s="90" t="s">
        <v>1163</v>
      </c>
      <c r="L380" s="90" t="s">
        <v>1163</v>
      </c>
      <c r="M380" s="214"/>
      <c r="N380" s="88" t="s">
        <v>1179</v>
      </c>
      <c r="O380" s="216">
        <f t="shared" si="1202"/>
        <v>3</v>
      </c>
      <c r="P380" s="88" t="str">
        <f t="shared" si="1188"/>
        <v>B11_3</v>
      </c>
      <c r="Q380" s="88">
        <f t="shared" si="1154"/>
        <v>270</v>
      </c>
      <c r="R380" s="88">
        <f t="shared" si="1155"/>
        <v>60</v>
      </c>
      <c r="S380" s="218" t="s">
        <v>3</v>
      </c>
      <c r="T380" s="88" t="s">
        <v>2961</v>
      </c>
      <c r="U380" s="88">
        <f>IF(RIGHT(T380,1)="K",(VLOOKUP(T380,ma_miengiam!$A$3:$B$80,2,0)*100)/2,VLOOKUP(T380,ma_miengiam!$A$3:$B$80,2,0)*100)</f>
        <v>100</v>
      </c>
      <c r="V380" s="88"/>
      <c r="W380" s="220">
        <f>IF(AND(T380="NTS",V380&gt;0),(Q380-(Q380*V380)/12)*VLOOKUP(T380,ma_miengiam!$A$3:$B$80,2,0)+(Q380-(Q380*(12-V380))/12),IF(AND(RIGHT(T380,1)="K",V380&gt;0),(VLOOKUP(T380,ma_miengiam!$A$3:$B$80,2,0)/2)*(Q380*V380)/12,IF(RIGHT(T380,1)="K",(VLOOKUP(T380,ma_miengiam!$A$3:$B$80,2,0)*Q380)/2,IF(V380&gt;0,VLOOKUP(T380,ma_miengiam!$A$3:$B$80,2,0)*Q380*V380/12,VLOOKUP(T380,ma_miengiam!$A$3:$B$80,2,0)*Q380))))</f>
        <v>270</v>
      </c>
      <c r="X380" s="220">
        <f>IF(T380="NTS",VLOOKUP(T380,ma_miengiam!$A$3:$B$80,2,0)*R380*V380,IF(AND(T380="NTS",V380=0),0,IF(AND(LEFT(T380,1)="K",V380=0),VLOOKUP(T380,ma_miengiam!$A$3:$B$80,2,0)*R380,IF(LEFT(T380,1)="K",(VLOOKUP(T380,ma_miengiam!$A$3:$B$80,2,0)*R380/12)*V380,IF(AND(LEFT(T380,1)="S",V380&gt;0),(R380/12)*V380,IF(AND(LEFT(T380,1)="S",V380=0),R380,IF(T380="DH",VLOOKUP(T380,ma_miengiam!$A$3:$B$80,2,0)*R380,0)))))))</f>
        <v>60</v>
      </c>
      <c r="Y380" s="220">
        <f t="shared" si="1203"/>
        <v>0</v>
      </c>
      <c r="Z380" s="220">
        <f t="shared" si="1204"/>
        <v>0</v>
      </c>
      <c r="AA380" s="220">
        <f t="shared" si="1205"/>
        <v>270</v>
      </c>
      <c r="AB380" s="220">
        <f t="shared" si="1205"/>
        <v>60</v>
      </c>
      <c r="AC380" s="220">
        <f t="shared" si="1197"/>
        <v>270</v>
      </c>
      <c r="AD380" s="220">
        <f t="shared" si="1197"/>
        <v>60</v>
      </c>
      <c r="AE380" s="220">
        <f t="shared" si="1197"/>
        <v>0</v>
      </c>
      <c r="AF380" s="220">
        <f t="shared" si="1197"/>
        <v>0</v>
      </c>
      <c r="AG380" s="220">
        <f t="shared" si="1206"/>
        <v>80.73</v>
      </c>
      <c r="AH380" s="220">
        <f t="shared" si="1207"/>
        <v>68.23</v>
      </c>
      <c r="AI380" s="220">
        <f t="shared" si="1208"/>
        <v>12.5</v>
      </c>
      <c r="AJ380" s="220">
        <f t="shared" si="1209"/>
        <v>0</v>
      </c>
      <c r="AK380" s="216">
        <f t="shared" si="1038"/>
        <v>0</v>
      </c>
      <c r="AL380" s="220">
        <f t="shared" si="1210"/>
        <v>0</v>
      </c>
      <c r="AM380" s="220">
        <f t="shared" si="1211"/>
        <v>0</v>
      </c>
      <c r="AN380" s="216">
        <f t="shared" si="1212"/>
        <v>0</v>
      </c>
      <c r="AO380" s="220">
        <f t="shared" si="1213"/>
        <v>0</v>
      </c>
      <c r="AP380" s="220">
        <f t="shared" si="1213"/>
        <v>0</v>
      </c>
      <c r="AQ380" s="220">
        <f t="shared" si="1213"/>
        <v>0</v>
      </c>
      <c r="AR380" s="220">
        <f t="shared" si="1214"/>
        <v>0</v>
      </c>
      <c r="AS380" s="220">
        <f t="shared" si="1214"/>
        <v>0</v>
      </c>
      <c r="AT380" s="216">
        <f t="shared" si="1215"/>
        <v>0</v>
      </c>
      <c r="AU380" s="220">
        <f t="shared" si="1216"/>
        <v>0</v>
      </c>
      <c r="AV380" s="220"/>
      <c r="AW380" s="220">
        <f t="shared" si="1217"/>
        <v>0</v>
      </c>
      <c r="AX380" s="216">
        <f t="shared" si="1046"/>
        <v>0</v>
      </c>
      <c r="AY380" s="220">
        <f t="shared" si="1218"/>
        <v>0</v>
      </c>
      <c r="AZ380" s="220">
        <f t="shared" si="1219"/>
        <v>0</v>
      </c>
      <c r="BA380" s="220">
        <f t="shared" si="1220"/>
        <v>0</v>
      </c>
      <c r="BB380" s="220">
        <f t="shared" si="1221"/>
        <v>0</v>
      </c>
      <c r="BC380" s="220">
        <f t="shared" si="1222"/>
        <v>0</v>
      </c>
      <c r="BD380" s="216">
        <f t="shared" si="1195"/>
        <v>0</v>
      </c>
      <c r="BE380" s="220">
        <f t="shared" si="1223"/>
        <v>0</v>
      </c>
      <c r="BF380" s="220">
        <f t="shared" si="1223"/>
        <v>0</v>
      </c>
      <c r="BG380" s="220">
        <f t="shared" si="1223"/>
        <v>0</v>
      </c>
      <c r="BH380" s="220">
        <f t="shared" si="1223"/>
        <v>0</v>
      </c>
      <c r="BI380" s="220">
        <f t="shared" si="1223"/>
        <v>0</v>
      </c>
      <c r="BJ380" s="220" t="s">
        <v>1566</v>
      </c>
      <c r="BK380" s="220"/>
      <c r="BL380" s="223">
        <f t="shared" si="1201"/>
        <v>0</v>
      </c>
      <c r="BM380" s="220">
        <v>3</v>
      </c>
      <c r="BN380" s="220"/>
      <c r="BO380" s="220">
        <f t="shared" si="1224"/>
        <v>3</v>
      </c>
      <c r="BP380" s="220">
        <f>IF(AND(BL380&gt;0,BL380&lt;tiet!$D$1),BL380,IF(BL380&lt;=0,0,IF(BL380&gt;tiet!$C$1,tiet!$C$1)))</f>
        <v>0</v>
      </c>
      <c r="BQ380" s="87">
        <f t="shared" si="1225"/>
        <v>60000</v>
      </c>
      <c r="BR380" s="224">
        <f t="shared" si="1226"/>
        <v>0</v>
      </c>
      <c r="BS380" s="220">
        <f t="shared" si="1068"/>
        <v>0</v>
      </c>
      <c r="BT380" s="224">
        <f>VLOOKUP(N380,ma_dinhmuc!$A$1:$J$31,10,0)</f>
        <v>51000</v>
      </c>
      <c r="BU380" s="224">
        <f>ROUND(IF(BS380&gt;0,VLOOKUP(N380,ma_dinhmuc!$A$1:$J$31,10,0)*BS380,0),0)</f>
        <v>0</v>
      </c>
      <c r="BV380" s="224">
        <f t="shared" si="1227"/>
        <v>0</v>
      </c>
      <c r="BW380" s="224"/>
      <c r="BX380" s="224">
        <v>0</v>
      </c>
      <c r="BY380" s="224"/>
      <c r="BZ380" s="224"/>
      <c r="CA380" s="224"/>
      <c r="CB380" s="224"/>
      <c r="CC380" s="225">
        <f t="shared" si="1228"/>
        <v>0</v>
      </c>
      <c r="CD380" s="224">
        <f t="shared" si="1229"/>
        <v>0</v>
      </c>
      <c r="CE380" s="224"/>
      <c r="CF380" s="226"/>
      <c r="CG380" s="87"/>
      <c r="CH380" s="87">
        <f t="shared" si="1230"/>
        <v>21</v>
      </c>
      <c r="CI380" s="227" t="str">
        <f t="shared" si="1231"/>
        <v>Trần Thị Thu</v>
      </c>
      <c r="CJ380" s="227" t="str">
        <f t="shared" si="1231"/>
        <v>Hiền</v>
      </c>
      <c r="CK380" s="87">
        <f t="shared" si="1232"/>
        <v>7</v>
      </c>
      <c r="CL380" s="227" t="str">
        <f t="shared" si="1233"/>
        <v>Tiếng Anh cơ bản</v>
      </c>
      <c r="CM380" s="87" t="str">
        <f t="shared" si="1234"/>
        <v>CB2</v>
      </c>
      <c r="CN380" s="87">
        <f t="shared" si="1235"/>
        <v>270</v>
      </c>
      <c r="CO380" s="87">
        <f t="shared" si="1235"/>
        <v>60</v>
      </c>
      <c r="CP380" s="229">
        <f t="shared" si="1076"/>
        <v>0</v>
      </c>
      <c r="CQ380" s="229">
        <f t="shared" si="1077"/>
        <v>0</v>
      </c>
      <c r="CR380" s="229">
        <f t="shared" si="1078"/>
        <v>0</v>
      </c>
      <c r="CS380" s="229">
        <f t="shared" si="1079"/>
        <v>0</v>
      </c>
      <c r="CT380" s="229">
        <f t="shared" si="1080"/>
        <v>0</v>
      </c>
      <c r="CU380" s="229">
        <f t="shared" si="1081"/>
        <v>0</v>
      </c>
      <c r="CV380" s="229">
        <f t="shared" si="1082"/>
        <v>0</v>
      </c>
      <c r="CW380" s="229">
        <f t="shared" si="1083"/>
        <v>0</v>
      </c>
      <c r="CX380" s="229">
        <f t="shared" si="1084"/>
        <v>0</v>
      </c>
      <c r="CY380" s="229">
        <f t="shared" si="1085"/>
        <v>0</v>
      </c>
      <c r="CZ380" s="229">
        <f t="shared" si="1086"/>
        <v>0</v>
      </c>
      <c r="DA380" s="229">
        <f t="shared" si="1087"/>
        <v>0</v>
      </c>
      <c r="DB380" s="228">
        <f t="shared" si="1236"/>
        <v>0</v>
      </c>
      <c r="DC380" s="229"/>
      <c r="DD380" s="229"/>
      <c r="DE380" s="229"/>
      <c r="DF380" s="229"/>
      <c r="DG380" s="229"/>
      <c r="DH380" s="229"/>
      <c r="DI380" s="229"/>
      <c r="DJ380" s="229"/>
      <c r="DK380" s="229"/>
      <c r="DL380" s="229"/>
      <c r="DM380" s="229"/>
      <c r="DN380" s="229"/>
      <c r="DO380" s="228">
        <f t="shared" si="1237"/>
        <v>0</v>
      </c>
      <c r="DP380" s="228">
        <f t="shared" si="1238"/>
        <v>0</v>
      </c>
      <c r="DQ380" s="229">
        <f t="shared" si="1088"/>
        <v>0</v>
      </c>
      <c r="DR380" s="229">
        <f t="shared" si="1089"/>
        <v>0</v>
      </c>
      <c r="DS380" s="229">
        <f t="shared" si="1090"/>
        <v>0</v>
      </c>
      <c r="DT380" s="229">
        <f t="shared" si="1091"/>
        <v>0</v>
      </c>
      <c r="DU380" s="229">
        <f t="shared" si="1092"/>
        <v>0</v>
      </c>
      <c r="DV380" s="229">
        <f t="shared" si="1093"/>
        <v>0</v>
      </c>
      <c r="DW380" s="229">
        <f t="shared" si="1094"/>
        <v>0</v>
      </c>
      <c r="DX380" s="228">
        <f t="shared" si="1239"/>
        <v>0</v>
      </c>
      <c r="DY380" s="229"/>
      <c r="DZ380" s="229"/>
      <c r="EA380" s="229"/>
      <c r="EB380" s="229"/>
      <c r="EC380" s="229"/>
      <c r="ED380" s="229"/>
      <c r="EE380" s="229"/>
      <c r="EF380" s="228">
        <f t="shared" si="1072"/>
        <v>0</v>
      </c>
      <c r="EG380" s="228">
        <f t="shared" si="1240"/>
        <v>0</v>
      </c>
      <c r="EH380" s="229">
        <f t="shared" si="1073"/>
        <v>12.5</v>
      </c>
      <c r="EI380" s="229">
        <v>68.23</v>
      </c>
      <c r="EJ380" s="228">
        <f t="shared" si="1241"/>
        <v>80.73</v>
      </c>
      <c r="EK380" s="229"/>
      <c r="EL380" s="229"/>
      <c r="EM380" s="228">
        <f t="shared" si="1242"/>
        <v>0</v>
      </c>
      <c r="EN380" s="229">
        <f t="shared" si="1243"/>
        <v>12.5</v>
      </c>
      <c r="EO380" s="229">
        <f t="shared" si="1244"/>
        <v>68.23</v>
      </c>
      <c r="EP380" s="228">
        <f t="shared" si="1245"/>
        <v>80.73</v>
      </c>
      <c r="EQ380" s="173">
        <f t="shared" si="1075"/>
        <v>12.5</v>
      </c>
      <c r="ER380" s="189">
        <v>0</v>
      </c>
      <c r="ES380" s="189">
        <v>0</v>
      </c>
      <c r="ET380" s="189">
        <v>0</v>
      </c>
      <c r="EU380" s="189">
        <v>0</v>
      </c>
      <c r="EV380" s="189">
        <v>0</v>
      </c>
      <c r="EW380" s="189">
        <v>0</v>
      </c>
      <c r="EX380" s="189">
        <v>0</v>
      </c>
      <c r="EY380" s="189">
        <v>0</v>
      </c>
      <c r="EZ380" s="189">
        <v>0</v>
      </c>
      <c r="FA380" s="189">
        <v>0</v>
      </c>
      <c r="FB380" s="189">
        <v>0</v>
      </c>
      <c r="FC380" s="189">
        <v>0</v>
      </c>
      <c r="FD380" s="189">
        <v>0</v>
      </c>
      <c r="FE380" s="189">
        <v>0</v>
      </c>
      <c r="FF380" s="189">
        <v>0</v>
      </c>
      <c r="FG380" s="189">
        <v>0</v>
      </c>
      <c r="FH380" s="189">
        <v>0</v>
      </c>
      <c r="FI380" s="189">
        <v>0</v>
      </c>
      <c r="FJ380" s="189">
        <v>0</v>
      </c>
      <c r="FK380" s="189">
        <v>0</v>
      </c>
      <c r="FL380" s="189">
        <v>0</v>
      </c>
      <c r="FN380" s="132">
        <v>12.5</v>
      </c>
    </row>
    <row r="381" spans="1:170" ht="30">
      <c r="A381" s="88">
        <f>COUNTIF($H$12:H381,H381)</f>
        <v>22</v>
      </c>
      <c r="B381" s="88" t="s">
        <v>1058</v>
      </c>
      <c r="C381" s="88" t="s">
        <v>847</v>
      </c>
      <c r="D381" s="88"/>
      <c r="E381" s="88"/>
      <c r="F381" s="301" t="s">
        <v>724</v>
      </c>
      <c r="G381" s="89" t="s">
        <v>963</v>
      </c>
      <c r="H381" s="88">
        <v>7</v>
      </c>
      <c r="I381" s="88">
        <v>7</v>
      </c>
      <c r="J381" s="88">
        <v>7</v>
      </c>
      <c r="K381" s="90" t="s">
        <v>1163</v>
      </c>
      <c r="L381" s="90" t="s">
        <v>1163</v>
      </c>
      <c r="M381" s="214"/>
      <c r="N381" s="88" t="s">
        <v>1179</v>
      </c>
      <c r="O381" s="216">
        <f t="shared" si="1202"/>
        <v>3</v>
      </c>
      <c r="P381" s="88" t="str">
        <f t="shared" si="1188"/>
        <v>B11_3</v>
      </c>
      <c r="Q381" s="88">
        <f t="shared" si="1154"/>
        <v>270</v>
      </c>
      <c r="R381" s="88">
        <f t="shared" si="1155"/>
        <v>60</v>
      </c>
      <c r="S381" s="218" t="s">
        <v>2378</v>
      </c>
      <c r="T381" s="88" t="s">
        <v>2961</v>
      </c>
      <c r="U381" s="88">
        <f>IF(RIGHT(T381,1)="K",(VLOOKUP(T381,ma_miengiam!$A$3:$B$80,2,0)*100)/2,VLOOKUP(T381,ma_miengiam!$A$3:$B$80,2,0)*100)</f>
        <v>100</v>
      </c>
      <c r="V381" s="88"/>
      <c r="W381" s="220">
        <f>IF(AND(T381="NTS",V381&gt;0),(Q381-(Q381*V381)/12)*VLOOKUP(T381,ma_miengiam!$A$3:$B$80,2,0)+(Q381-(Q381*(12-V381))/12),IF(AND(RIGHT(T381,1)="K",V381&gt;0),(VLOOKUP(T381,ma_miengiam!$A$3:$B$80,2,0)/2)*(Q381*V381)/12,IF(RIGHT(T381,1)="K",(VLOOKUP(T381,ma_miengiam!$A$3:$B$80,2,0)*Q381)/2,IF(V381&gt;0,VLOOKUP(T381,ma_miengiam!$A$3:$B$80,2,0)*Q381*V381/12,VLOOKUP(T381,ma_miengiam!$A$3:$B$80,2,0)*Q381))))</f>
        <v>270</v>
      </c>
      <c r="X381" s="220">
        <f>IF(T381="NTS",VLOOKUP(T381,ma_miengiam!$A$3:$B$80,2,0)*R381*V381,IF(AND(T381="NTS",V381=0),0,IF(AND(LEFT(T381,1)="K",V381=0),VLOOKUP(T381,ma_miengiam!$A$3:$B$80,2,0)*R381,IF(LEFT(T381,1)="K",(VLOOKUP(T381,ma_miengiam!$A$3:$B$80,2,0)*R381/12)*V381,IF(AND(LEFT(T381,1)="S",V381&gt;0),(R381/12)*V381,IF(AND(LEFT(T381,1)="S",V381=0),R381,IF(T381="DH",VLOOKUP(T381,ma_miengiam!$A$3:$B$80,2,0)*R381,0)))))))</f>
        <v>60</v>
      </c>
      <c r="Y381" s="220">
        <f t="shared" si="1203"/>
        <v>0</v>
      </c>
      <c r="Z381" s="220">
        <f t="shared" si="1204"/>
        <v>0</v>
      </c>
      <c r="AA381" s="220">
        <f t="shared" si="1205"/>
        <v>270</v>
      </c>
      <c r="AB381" s="220">
        <f t="shared" si="1205"/>
        <v>60</v>
      </c>
      <c r="AC381" s="220">
        <f t="shared" si="1197"/>
        <v>270</v>
      </c>
      <c r="AD381" s="220">
        <f t="shared" si="1197"/>
        <v>60</v>
      </c>
      <c r="AE381" s="220">
        <f t="shared" si="1197"/>
        <v>0</v>
      </c>
      <c r="AF381" s="220">
        <f t="shared" si="1197"/>
        <v>0</v>
      </c>
      <c r="AG381" s="220">
        <f t="shared" si="1206"/>
        <v>39.479999999999997</v>
      </c>
      <c r="AH381" s="220">
        <f t="shared" si="1207"/>
        <v>33.229999999999997</v>
      </c>
      <c r="AI381" s="220">
        <f t="shared" si="1208"/>
        <v>6.25</v>
      </c>
      <c r="AJ381" s="220">
        <f t="shared" si="1209"/>
        <v>0</v>
      </c>
      <c r="AK381" s="216">
        <f t="shared" si="1038"/>
        <v>0</v>
      </c>
      <c r="AL381" s="220">
        <f t="shared" si="1210"/>
        <v>0</v>
      </c>
      <c r="AM381" s="220">
        <f t="shared" si="1211"/>
        <v>0</v>
      </c>
      <c r="AN381" s="216">
        <f t="shared" si="1212"/>
        <v>0</v>
      </c>
      <c r="AO381" s="220">
        <f t="shared" si="1213"/>
        <v>0</v>
      </c>
      <c r="AP381" s="220">
        <f t="shared" si="1213"/>
        <v>0</v>
      </c>
      <c r="AQ381" s="220">
        <f t="shared" si="1213"/>
        <v>0</v>
      </c>
      <c r="AR381" s="220">
        <f t="shared" si="1214"/>
        <v>0</v>
      </c>
      <c r="AS381" s="220">
        <f t="shared" si="1214"/>
        <v>0</v>
      </c>
      <c r="AT381" s="216">
        <f t="shared" si="1215"/>
        <v>0</v>
      </c>
      <c r="AU381" s="220">
        <f t="shared" si="1216"/>
        <v>0</v>
      </c>
      <c r="AV381" s="220"/>
      <c r="AW381" s="220">
        <f t="shared" si="1217"/>
        <v>0</v>
      </c>
      <c r="AX381" s="216">
        <f t="shared" si="1046"/>
        <v>0</v>
      </c>
      <c r="AY381" s="220">
        <f t="shared" si="1218"/>
        <v>0</v>
      </c>
      <c r="AZ381" s="220">
        <f t="shared" si="1219"/>
        <v>0</v>
      </c>
      <c r="BA381" s="220">
        <f t="shared" si="1220"/>
        <v>0</v>
      </c>
      <c r="BB381" s="220">
        <f t="shared" si="1221"/>
        <v>0</v>
      </c>
      <c r="BC381" s="220">
        <f t="shared" si="1222"/>
        <v>0</v>
      </c>
      <c r="BD381" s="216">
        <f t="shared" si="1195"/>
        <v>0</v>
      </c>
      <c r="BE381" s="220">
        <f t="shared" si="1223"/>
        <v>0</v>
      </c>
      <c r="BF381" s="220">
        <f t="shared" si="1223"/>
        <v>0</v>
      </c>
      <c r="BG381" s="220">
        <f t="shared" si="1223"/>
        <v>0</v>
      </c>
      <c r="BH381" s="220">
        <f t="shared" si="1223"/>
        <v>0</v>
      </c>
      <c r="BI381" s="220">
        <f t="shared" si="1223"/>
        <v>0</v>
      </c>
      <c r="BJ381" s="220" t="s">
        <v>1566</v>
      </c>
      <c r="BK381" s="220"/>
      <c r="BL381" s="223">
        <f t="shared" si="1201"/>
        <v>0</v>
      </c>
      <c r="BM381" s="220">
        <v>3</v>
      </c>
      <c r="BN381" s="220"/>
      <c r="BO381" s="220">
        <f t="shared" si="1224"/>
        <v>3</v>
      </c>
      <c r="BP381" s="220">
        <f>IF(AND(BL381&gt;0,BL381&lt;tiet!$D$1),BL381,IF(BL381&lt;=0,0,IF(BL381&gt;tiet!$C$1,tiet!$C$1)))</f>
        <v>0</v>
      </c>
      <c r="BQ381" s="87">
        <f t="shared" si="1225"/>
        <v>60000</v>
      </c>
      <c r="BR381" s="224">
        <f t="shared" si="1226"/>
        <v>0</v>
      </c>
      <c r="BS381" s="220">
        <f t="shared" si="1068"/>
        <v>0</v>
      </c>
      <c r="BT381" s="224">
        <f>VLOOKUP(N381,ma_dinhmuc!$A$1:$J$31,10,0)</f>
        <v>51000</v>
      </c>
      <c r="BU381" s="224">
        <f>ROUND(IF(BS381&gt;0,VLOOKUP(N381,ma_dinhmuc!$A$1:$J$31,10,0)*BS381,0),0)</f>
        <v>0</v>
      </c>
      <c r="BV381" s="224">
        <f t="shared" si="1227"/>
        <v>0</v>
      </c>
      <c r="BW381" s="224"/>
      <c r="BX381" s="224">
        <v>0</v>
      </c>
      <c r="BY381" s="224"/>
      <c r="BZ381" s="224"/>
      <c r="CA381" s="224"/>
      <c r="CB381" s="224"/>
      <c r="CC381" s="225">
        <f t="shared" si="1228"/>
        <v>0</v>
      </c>
      <c r="CD381" s="224">
        <f t="shared" si="1229"/>
        <v>0</v>
      </c>
      <c r="CE381" s="224"/>
      <c r="CF381" s="226"/>
      <c r="CG381" s="87"/>
      <c r="CH381" s="87">
        <f t="shared" si="1230"/>
        <v>22</v>
      </c>
      <c r="CI381" s="227" t="str">
        <f t="shared" si="1231"/>
        <v>Vũ Thị</v>
      </c>
      <c r="CJ381" s="227" t="str">
        <f t="shared" si="1231"/>
        <v>Hương</v>
      </c>
      <c r="CK381" s="87">
        <f t="shared" si="1232"/>
        <v>7</v>
      </c>
      <c r="CL381" s="227" t="str">
        <f t="shared" si="1233"/>
        <v>Tiếng Anh cơ bản</v>
      </c>
      <c r="CM381" s="87" t="str">
        <f t="shared" si="1234"/>
        <v>CB2</v>
      </c>
      <c r="CN381" s="87">
        <f t="shared" si="1235"/>
        <v>270</v>
      </c>
      <c r="CO381" s="87">
        <f t="shared" si="1235"/>
        <v>60</v>
      </c>
      <c r="CP381" s="229">
        <f t="shared" si="1076"/>
        <v>0</v>
      </c>
      <c r="CQ381" s="229">
        <f t="shared" si="1077"/>
        <v>0</v>
      </c>
      <c r="CR381" s="229">
        <f t="shared" si="1078"/>
        <v>0</v>
      </c>
      <c r="CS381" s="229">
        <f t="shared" si="1079"/>
        <v>0</v>
      </c>
      <c r="CT381" s="229">
        <f t="shared" si="1080"/>
        <v>0</v>
      </c>
      <c r="CU381" s="229">
        <f t="shared" si="1081"/>
        <v>0</v>
      </c>
      <c r="CV381" s="229">
        <f t="shared" si="1082"/>
        <v>0</v>
      </c>
      <c r="CW381" s="229">
        <f t="shared" si="1083"/>
        <v>0</v>
      </c>
      <c r="CX381" s="229">
        <f t="shared" si="1084"/>
        <v>0</v>
      </c>
      <c r="CY381" s="229">
        <f t="shared" si="1085"/>
        <v>0</v>
      </c>
      <c r="CZ381" s="229">
        <f t="shared" si="1086"/>
        <v>0</v>
      </c>
      <c r="DA381" s="229">
        <f t="shared" si="1087"/>
        <v>0</v>
      </c>
      <c r="DB381" s="228">
        <f t="shared" si="1236"/>
        <v>0</v>
      </c>
      <c r="DC381" s="229"/>
      <c r="DD381" s="229"/>
      <c r="DE381" s="229"/>
      <c r="DF381" s="229"/>
      <c r="DG381" s="229"/>
      <c r="DH381" s="229"/>
      <c r="DI381" s="229"/>
      <c r="DJ381" s="229"/>
      <c r="DK381" s="229"/>
      <c r="DL381" s="229"/>
      <c r="DM381" s="229"/>
      <c r="DN381" s="229"/>
      <c r="DO381" s="228">
        <f t="shared" si="1237"/>
        <v>0</v>
      </c>
      <c r="DP381" s="228">
        <f t="shared" si="1238"/>
        <v>0</v>
      </c>
      <c r="DQ381" s="229">
        <f t="shared" si="1088"/>
        <v>0</v>
      </c>
      <c r="DR381" s="229">
        <f t="shared" si="1089"/>
        <v>0</v>
      </c>
      <c r="DS381" s="229">
        <f t="shared" si="1090"/>
        <v>0</v>
      </c>
      <c r="DT381" s="229">
        <f t="shared" si="1091"/>
        <v>0</v>
      </c>
      <c r="DU381" s="229">
        <f t="shared" si="1092"/>
        <v>0</v>
      </c>
      <c r="DV381" s="229">
        <f t="shared" si="1093"/>
        <v>0</v>
      </c>
      <c r="DW381" s="229">
        <f t="shared" si="1094"/>
        <v>0</v>
      </c>
      <c r="DX381" s="228">
        <f t="shared" si="1239"/>
        <v>0</v>
      </c>
      <c r="DY381" s="229"/>
      <c r="DZ381" s="229"/>
      <c r="EA381" s="229"/>
      <c r="EB381" s="229"/>
      <c r="EC381" s="229"/>
      <c r="ED381" s="229"/>
      <c r="EE381" s="229"/>
      <c r="EF381" s="228">
        <f t="shared" si="1072"/>
        <v>0</v>
      </c>
      <c r="EG381" s="228">
        <f t="shared" si="1240"/>
        <v>0</v>
      </c>
      <c r="EH381" s="229">
        <f t="shared" si="1073"/>
        <v>6.25</v>
      </c>
      <c r="EI381" s="229">
        <v>33.229999999999997</v>
      </c>
      <c r="EJ381" s="228">
        <f t="shared" si="1241"/>
        <v>39.479999999999997</v>
      </c>
      <c r="EK381" s="229"/>
      <c r="EL381" s="229"/>
      <c r="EM381" s="228">
        <f t="shared" si="1242"/>
        <v>0</v>
      </c>
      <c r="EN381" s="229">
        <f t="shared" si="1243"/>
        <v>6.25</v>
      </c>
      <c r="EO381" s="229">
        <f t="shared" si="1244"/>
        <v>33.229999999999997</v>
      </c>
      <c r="EP381" s="228">
        <f t="shared" si="1245"/>
        <v>39.479999999999997</v>
      </c>
      <c r="EQ381" s="173">
        <f t="shared" si="1075"/>
        <v>6.25</v>
      </c>
      <c r="ER381" s="189">
        <v>0</v>
      </c>
      <c r="ES381" s="189">
        <v>0</v>
      </c>
      <c r="ET381" s="189">
        <v>0</v>
      </c>
      <c r="EU381" s="189">
        <v>0</v>
      </c>
      <c r="EV381" s="189">
        <v>0</v>
      </c>
      <c r="EW381" s="189">
        <v>0</v>
      </c>
      <c r="EX381" s="189">
        <v>0</v>
      </c>
      <c r="EY381" s="189">
        <v>0</v>
      </c>
      <c r="EZ381" s="189">
        <v>0</v>
      </c>
      <c r="FA381" s="189">
        <v>0</v>
      </c>
      <c r="FB381" s="189">
        <v>0</v>
      </c>
      <c r="FC381" s="189">
        <v>0</v>
      </c>
      <c r="FD381" s="189">
        <v>0</v>
      </c>
      <c r="FE381" s="189">
        <v>0</v>
      </c>
      <c r="FF381" s="189">
        <v>0</v>
      </c>
      <c r="FG381" s="189">
        <v>0</v>
      </c>
      <c r="FH381" s="189">
        <v>0</v>
      </c>
      <c r="FI381" s="189">
        <v>0</v>
      </c>
      <c r="FJ381" s="189">
        <v>0</v>
      </c>
      <c r="FK381" s="189">
        <v>0</v>
      </c>
      <c r="FL381" s="189">
        <v>0</v>
      </c>
      <c r="FN381" s="132">
        <v>6.25</v>
      </c>
    </row>
    <row r="382" spans="1:170" ht="30" customHeight="1">
      <c r="A382" s="88">
        <f>COUNTIF($H$12:H382,H382)</f>
        <v>23</v>
      </c>
      <c r="B382" s="88" t="s">
        <v>1063</v>
      </c>
      <c r="C382" s="88" t="s">
        <v>852</v>
      </c>
      <c r="D382" s="88"/>
      <c r="E382" s="88"/>
      <c r="F382" s="301" t="s">
        <v>1193</v>
      </c>
      <c r="G382" s="303" t="s">
        <v>1659</v>
      </c>
      <c r="H382" s="88">
        <v>7</v>
      </c>
      <c r="I382" s="88">
        <v>7</v>
      </c>
      <c r="J382" s="88">
        <v>7</v>
      </c>
      <c r="K382" s="90" t="s">
        <v>1164</v>
      </c>
      <c r="L382" s="90" t="s">
        <v>1164</v>
      </c>
      <c r="M382" s="214"/>
      <c r="N382" s="88" t="s">
        <v>1179</v>
      </c>
      <c r="O382" s="216">
        <f t="shared" si="1128"/>
        <v>3.66</v>
      </c>
      <c r="P382" s="88" t="str">
        <f>IF(BO382&lt;3.33,"B11_3",IF(AND(BO382&gt;=3.33,BO382&lt;4.65),"B11_4",IF(AND(BO382&gt;=4.65,BO382&lt;5.42),"B11_5",IF(AND(BO382&gt;=5.42,BO382&lt;6.44),"B11_6",IF(AND(BO382&gt;=6.44,BO382&lt;=6.92),"B11_7","B11_8")))))</f>
        <v>B11_4</v>
      </c>
      <c r="Q382" s="88">
        <f t="shared" si="1154"/>
        <v>270</v>
      </c>
      <c r="R382" s="88">
        <f t="shared" si="1155"/>
        <v>80</v>
      </c>
      <c r="S382" s="230"/>
      <c r="T382" s="219" t="s">
        <v>3088</v>
      </c>
      <c r="U382" s="88">
        <f>IF(RIGHT(T382,1)="K",(VLOOKUP(T382,ma_miengiam!$A$3:$B$80,2,0)*100)/2,VLOOKUP(T382,ma_miengiam!$A$3:$B$80,2,0)*100)</f>
        <v>0</v>
      </c>
      <c r="V382" s="88"/>
      <c r="W382" s="220">
        <f>IF(AND(T382="NTS",V382&gt;0),(Q382-(Q382*V382)/12)*VLOOKUP(T382,ma_miengiam!$A$3:$B$80,2,0)+(Q382-(Q382*(12-V382))/12),IF(AND(RIGHT(T382,1)="K",V382&gt;0),(VLOOKUP(T382,ma_miengiam!$A$3:$B$80,2,0)/2)*(Q382*V382)/12,IF(RIGHT(T382,1)="K",(VLOOKUP(T382,ma_miengiam!$A$3:$B$80,2,0)*Q382)/2,IF(V382&gt;0,VLOOKUP(T382,ma_miengiam!$A$3:$B$80,2,0)*Q382*V382/12,VLOOKUP(T382,ma_miengiam!$A$3:$B$80,2,0)*Q382))))</f>
        <v>0</v>
      </c>
      <c r="X382" s="220">
        <f>IF(T382="NTS",VLOOKUP(T382,ma_miengiam!$A$3:$B$80,2,0)*R382*V382,IF(AND(T382="NTS",V382=0),0,IF(AND(LEFT(T382,1)="K",V382=0),VLOOKUP(T382,ma_miengiam!$A$3:$B$80,2,0)*R382,IF(LEFT(T382,1)="K",(VLOOKUP(T382,ma_miengiam!$A$3:$B$80,2,0)*R382/12)*V382,IF(AND(LEFT(T382,1)="S",V382&gt;0),(R382/12)*V382,IF(AND(LEFT(T382,1)="S",V382=0),R382,IF(T382="DH",VLOOKUP(T382,ma_miengiam!$A$3:$B$80,2,0)*R382,0)))))))</f>
        <v>0</v>
      </c>
      <c r="Y382" s="220">
        <f t="shared" si="1107"/>
        <v>270</v>
      </c>
      <c r="Z382" s="220">
        <f>IF(AND(T382="SĐH",V382&gt;0),(R382/12)*V382-X382,IF(AND(T382="DH",V382&gt;0),(R382*V382/12),IF(AND(T382&lt;&gt;"NTS",V382&gt;0),(R382*V382/12)-X382,IF(AND(T382="NTS",V382&gt;0),R382-X382,R382-X382))))</f>
        <v>80</v>
      </c>
      <c r="AA382" s="220">
        <f t="shared" ref="AA382:AB384" si="1246">Q382</f>
        <v>270</v>
      </c>
      <c r="AB382" s="220">
        <f t="shared" si="1246"/>
        <v>80</v>
      </c>
      <c r="AC382" s="220">
        <f t="shared" ref="AC382:AF384" si="1247">W382</f>
        <v>0</v>
      </c>
      <c r="AD382" s="220">
        <f t="shared" si="1247"/>
        <v>0</v>
      </c>
      <c r="AE382" s="220">
        <f t="shared" si="1247"/>
        <v>270</v>
      </c>
      <c r="AF382" s="220">
        <f t="shared" si="1247"/>
        <v>80</v>
      </c>
      <c r="AG382" s="220">
        <f t="shared" ref="AG382:AG389" si="1248">AH382+AI382</f>
        <v>205.97</v>
      </c>
      <c r="AH382" s="220">
        <f t="shared" ref="AH382:AH389" si="1249">EO382</f>
        <v>10.97</v>
      </c>
      <c r="AI382" s="220">
        <f t="shared" ref="AI382:AI389" si="1250">EN382</f>
        <v>195</v>
      </c>
      <c r="AJ382" s="220">
        <f>IF(AG382-Z382&gt;0,0,AG382-Z382)</f>
        <v>0</v>
      </c>
      <c r="AK382" s="216">
        <f t="shared" si="1038"/>
        <v>270</v>
      </c>
      <c r="AL382" s="220">
        <f t="shared" ref="AL382:AL441" si="1251">SUM(CP382:CX382)+SUM(DC382:DK382)</f>
        <v>560</v>
      </c>
      <c r="AM382" s="220">
        <f t="shared" ref="AM382:AM441" si="1252">SUM(DQ382:DU382)+SUM(DY382:EC382)</f>
        <v>0</v>
      </c>
      <c r="AN382" s="221">
        <f t="shared" ref="AN382:AN441" si="1253">AM382+AL382</f>
        <v>560</v>
      </c>
      <c r="AO382" s="220">
        <f t="shared" ref="AO382:AO441" si="1254">CY382+DL382</f>
        <v>0</v>
      </c>
      <c r="AP382" s="220">
        <f t="shared" ref="AP382:AP441" si="1255">CZ382+DM382</f>
        <v>0</v>
      </c>
      <c r="AQ382" s="220">
        <f t="shared" ref="AQ382:AQ441" si="1256">DA382+DN382</f>
        <v>0</v>
      </c>
      <c r="AR382" s="220">
        <f t="shared" ref="AR382:AR441" si="1257">DV382+ED382</f>
        <v>0</v>
      </c>
      <c r="AS382" s="220">
        <f t="shared" ref="AS382:AS441" si="1258">DW382+EE382</f>
        <v>0</v>
      </c>
      <c r="AT382" s="216">
        <f t="shared" ref="AT382:AT441" si="1259">AN382+SUM(AO382:AS382)</f>
        <v>560</v>
      </c>
      <c r="AU382" s="222">
        <f>AN382-AK382</f>
        <v>290</v>
      </c>
      <c r="AV382" s="220"/>
      <c r="AW382" s="220">
        <f t="shared" si="1165"/>
        <v>290</v>
      </c>
      <c r="AX382" s="216">
        <f t="shared" si="1046"/>
        <v>0</v>
      </c>
      <c r="AY382" s="220">
        <f t="shared" si="1179"/>
        <v>0</v>
      </c>
      <c r="AZ382" s="220">
        <f t="shared" si="1180"/>
        <v>0</v>
      </c>
      <c r="BA382" s="220">
        <f t="shared" si="1181"/>
        <v>0</v>
      </c>
      <c r="BB382" s="220">
        <f t="shared" si="1182"/>
        <v>0</v>
      </c>
      <c r="BC382" s="220">
        <f t="shared" si="1183"/>
        <v>0</v>
      </c>
      <c r="BD382" s="216">
        <f t="shared" si="1195"/>
        <v>0</v>
      </c>
      <c r="BE382" s="220">
        <f t="shared" si="1166"/>
        <v>0</v>
      </c>
      <c r="BF382" s="220">
        <f t="shared" si="1167"/>
        <v>0</v>
      </c>
      <c r="BG382" s="220">
        <f t="shared" si="1168"/>
        <v>0</v>
      </c>
      <c r="BH382" s="220">
        <f t="shared" si="1169"/>
        <v>0</v>
      </c>
      <c r="BI382" s="220">
        <f t="shared" si="1170"/>
        <v>0</v>
      </c>
      <c r="BJ382" s="220" t="s">
        <v>1565</v>
      </c>
      <c r="BK382" s="220"/>
      <c r="BL382" s="223">
        <f t="shared" si="1201"/>
        <v>290</v>
      </c>
      <c r="BM382" s="220">
        <v>3.66</v>
      </c>
      <c r="BN382" s="220"/>
      <c r="BO382" s="220">
        <f t="shared" si="1184"/>
        <v>3.66</v>
      </c>
      <c r="BP382" s="220">
        <f>IF(AND(BL382&gt;0,BL382&lt;tiet!$D$1),BL382,IF(BL382&lt;=0,0,IF(BL382&gt;tiet!$C$1,tiet!$C$1)))</f>
        <v>200</v>
      </c>
      <c r="BQ382" s="87">
        <f>VLOOKUP(P382,ma_dinhmuc_moi,4,0)</f>
        <v>65000</v>
      </c>
      <c r="BR382" s="224">
        <f>ROUND(BQ382*BP382,0)</f>
        <v>13000000</v>
      </c>
      <c r="BS382" s="220">
        <f t="shared" si="1068"/>
        <v>90</v>
      </c>
      <c r="BT382" s="224">
        <f>VLOOKUP(N382,ma_dinhmuc!$A$1:$J$31,10,0)</f>
        <v>51000</v>
      </c>
      <c r="BU382" s="224">
        <f>ROUND(IF(BS382&gt;0,VLOOKUP(N382,ma_dinhmuc!$A$1:$J$31,10,0)*BS382,0),0)</f>
        <v>4590000</v>
      </c>
      <c r="BV382" s="224">
        <f>ROUND(BU382+BR382,0)</f>
        <v>17590000</v>
      </c>
      <c r="BW382" s="224"/>
      <c r="BX382" s="224">
        <v>0</v>
      </c>
      <c r="BY382" s="224"/>
      <c r="BZ382" s="224"/>
      <c r="CA382" s="224"/>
      <c r="CB382" s="224"/>
      <c r="CC382" s="225">
        <f>ROUND(IF(BV382+BW382&gt;BX382+BY382+BZ382+CA382+CB382,(BW382+BV382)-(BX382+BY382+BZ382+CA382+CB382+CB382),0),0)</f>
        <v>17590000</v>
      </c>
      <c r="CD382" s="224">
        <f>ROUND(IF(BV382+BW382&lt;BX382+BY382+BZ382+CA382-CB382,(BX382+BY382+BZ382+CA382-CB382)-(BW382+BV382),0),0)</f>
        <v>0</v>
      </c>
      <c r="CE382" s="224"/>
      <c r="CF382" s="226"/>
      <c r="CG382" s="87"/>
      <c r="CH382" s="87">
        <f t="shared" si="1194"/>
        <v>23</v>
      </c>
      <c r="CI382" s="227" t="str">
        <f t="shared" si="1198"/>
        <v>Lê Thị Hồng</v>
      </c>
      <c r="CJ382" s="227" t="str">
        <f t="shared" si="1199"/>
        <v>Lam</v>
      </c>
      <c r="CK382" s="87">
        <f t="shared" si="1200"/>
        <v>7</v>
      </c>
      <c r="CL382" s="227" t="str">
        <f t="shared" si="1171"/>
        <v>Tiếng Anh chuyên nghiệp</v>
      </c>
      <c r="CM382" s="87" t="str">
        <f t="shared" si="1172"/>
        <v>CB2</v>
      </c>
      <c r="CN382" s="87">
        <f t="shared" si="1173"/>
        <v>270</v>
      </c>
      <c r="CO382" s="87">
        <f t="shared" si="1174"/>
        <v>80</v>
      </c>
      <c r="CP382" s="229">
        <f t="shared" si="1076"/>
        <v>0</v>
      </c>
      <c r="CQ382" s="229">
        <f t="shared" si="1077"/>
        <v>53.4</v>
      </c>
      <c r="CR382" s="229">
        <f t="shared" si="1078"/>
        <v>21.6</v>
      </c>
      <c r="CS382" s="229">
        <f t="shared" si="1079"/>
        <v>0</v>
      </c>
      <c r="CT382" s="229">
        <f t="shared" si="1080"/>
        <v>0</v>
      </c>
      <c r="CU382" s="229">
        <f t="shared" si="1081"/>
        <v>425</v>
      </c>
      <c r="CV382" s="229">
        <f t="shared" si="1082"/>
        <v>0</v>
      </c>
      <c r="CW382" s="229">
        <f t="shared" si="1083"/>
        <v>60</v>
      </c>
      <c r="CX382" s="229">
        <f t="shared" si="1084"/>
        <v>0</v>
      </c>
      <c r="CY382" s="229">
        <f t="shared" si="1085"/>
        <v>0</v>
      </c>
      <c r="CZ382" s="229">
        <f t="shared" si="1086"/>
        <v>0</v>
      </c>
      <c r="DA382" s="229">
        <f t="shared" si="1087"/>
        <v>0</v>
      </c>
      <c r="DB382" s="228">
        <f t="shared" ref="DB382:DB440" si="1260">SUM(CP382:DA382)</f>
        <v>560</v>
      </c>
      <c r="DC382" s="229"/>
      <c r="DD382" s="229"/>
      <c r="DE382" s="229"/>
      <c r="DF382" s="229"/>
      <c r="DG382" s="229"/>
      <c r="DH382" s="229"/>
      <c r="DI382" s="229"/>
      <c r="DJ382" s="229"/>
      <c r="DK382" s="229"/>
      <c r="DL382" s="229"/>
      <c r="DM382" s="229"/>
      <c r="DN382" s="229"/>
      <c r="DO382" s="228">
        <f t="shared" ref="DO382:DO441" si="1261">SUM(DC382:DN382)</f>
        <v>0</v>
      </c>
      <c r="DP382" s="228">
        <f t="shared" ref="DP382:DP441" si="1262">DO382+DB382</f>
        <v>560</v>
      </c>
      <c r="DQ382" s="229">
        <f t="shared" si="1088"/>
        <v>0</v>
      </c>
      <c r="DR382" s="229">
        <f t="shared" si="1089"/>
        <v>0</v>
      </c>
      <c r="DS382" s="229">
        <f t="shared" si="1090"/>
        <v>0</v>
      </c>
      <c r="DT382" s="229">
        <f t="shared" si="1091"/>
        <v>0</v>
      </c>
      <c r="DU382" s="229">
        <f t="shared" si="1092"/>
        <v>0</v>
      </c>
      <c r="DV382" s="229">
        <f t="shared" si="1093"/>
        <v>0</v>
      </c>
      <c r="DW382" s="229">
        <f t="shared" si="1094"/>
        <v>0</v>
      </c>
      <c r="DX382" s="228">
        <f t="shared" ref="DX382:DX440" si="1263">SUM(DQ382:DW382)</f>
        <v>0</v>
      </c>
      <c r="DY382" s="229"/>
      <c r="DZ382" s="229"/>
      <c r="EA382" s="229"/>
      <c r="EB382" s="229"/>
      <c r="EC382" s="229"/>
      <c r="ED382" s="229"/>
      <c r="EE382" s="229"/>
      <c r="EF382" s="228">
        <f t="shared" si="1072"/>
        <v>0</v>
      </c>
      <c r="EG382" s="228">
        <f t="shared" ref="EG382:EG441" si="1264">EF382+DX382</f>
        <v>0</v>
      </c>
      <c r="EH382" s="229">
        <f t="shared" si="1073"/>
        <v>195</v>
      </c>
      <c r="EI382" s="229">
        <v>10.97</v>
      </c>
      <c r="EJ382" s="228">
        <f t="shared" si="1186"/>
        <v>205.97</v>
      </c>
      <c r="EK382" s="229"/>
      <c r="EL382" s="229"/>
      <c r="EM382" s="228">
        <f t="shared" si="1152"/>
        <v>0</v>
      </c>
      <c r="EN382" s="229">
        <f t="shared" si="1104"/>
        <v>195</v>
      </c>
      <c r="EO382" s="229">
        <f>EI382</f>
        <v>10.97</v>
      </c>
      <c r="EP382" s="228">
        <f>EM382+EJ382</f>
        <v>205.97</v>
      </c>
      <c r="EQ382" s="173">
        <f t="shared" si="1075"/>
        <v>115</v>
      </c>
      <c r="ER382" s="189">
        <v>0</v>
      </c>
      <c r="ES382" s="189">
        <v>53.4</v>
      </c>
      <c r="ET382" s="189">
        <v>21.6</v>
      </c>
      <c r="EU382" s="189">
        <v>0</v>
      </c>
      <c r="EV382" s="189">
        <v>0</v>
      </c>
      <c r="EW382" s="189">
        <v>425</v>
      </c>
      <c r="EX382" s="189">
        <v>0</v>
      </c>
      <c r="EY382" s="189">
        <v>60</v>
      </c>
      <c r="EZ382" s="189">
        <v>0</v>
      </c>
      <c r="FA382" s="189">
        <v>0</v>
      </c>
      <c r="FB382" s="189">
        <v>0</v>
      </c>
      <c r="FC382" s="189">
        <v>0</v>
      </c>
      <c r="FD382" s="189">
        <v>0</v>
      </c>
      <c r="FE382" s="189">
        <v>0</v>
      </c>
      <c r="FF382" s="189">
        <v>0</v>
      </c>
      <c r="FG382" s="189">
        <v>0</v>
      </c>
      <c r="FH382" s="189">
        <v>0</v>
      </c>
      <c r="FI382" s="189">
        <v>0</v>
      </c>
      <c r="FJ382" s="189">
        <v>0</v>
      </c>
      <c r="FK382" s="189">
        <v>560</v>
      </c>
      <c r="FL382" s="189">
        <v>491</v>
      </c>
      <c r="FN382" s="132">
        <v>195</v>
      </c>
    </row>
    <row r="383" spans="1:170" ht="30" customHeight="1">
      <c r="A383" s="88">
        <f>COUNTIF($H$12:H383,H383)</f>
        <v>24</v>
      </c>
      <c r="B383" s="88" t="s">
        <v>1064</v>
      </c>
      <c r="C383" s="88" t="s">
        <v>853</v>
      </c>
      <c r="D383" s="88"/>
      <c r="E383" s="88"/>
      <c r="F383" s="301" t="s">
        <v>1504</v>
      </c>
      <c r="G383" s="89" t="s">
        <v>2814</v>
      </c>
      <c r="H383" s="88">
        <v>7</v>
      </c>
      <c r="I383" s="88">
        <v>7</v>
      </c>
      <c r="J383" s="88">
        <v>7</v>
      </c>
      <c r="K383" s="90" t="s">
        <v>1164</v>
      </c>
      <c r="L383" s="90" t="s">
        <v>1164</v>
      </c>
      <c r="M383" s="214"/>
      <c r="N383" s="88" t="s">
        <v>1178</v>
      </c>
      <c r="O383" s="216">
        <f t="shared" si="1128"/>
        <v>5.42</v>
      </c>
      <c r="P383" s="88" t="str">
        <f t="shared" ref="P383:P393" si="1265">IF(BO383&lt;3.33,"B11_3",IF(AND(BO383&gt;=3.33,BO383&lt;4.65),"B11_4",IF(AND(BO383&gt;=4.65,BO383&lt;5.42),"B11_5",IF(AND(BO383&gt;=5.42,BO383&lt;6.44),"B11_6",IF(AND(BO383&gt;=6.44,BO383&lt;=6.92),"B11_7","B11_8")))))</f>
        <v>B11_6</v>
      </c>
      <c r="Q383" s="88">
        <f t="shared" si="1154"/>
        <v>270</v>
      </c>
      <c r="R383" s="88">
        <f t="shared" si="1155"/>
        <v>120</v>
      </c>
      <c r="S383" s="218" t="s">
        <v>3186</v>
      </c>
      <c r="T383" s="219" t="s">
        <v>3088</v>
      </c>
      <c r="U383" s="88">
        <f>IF(RIGHT(T383,1)="K",(VLOOKUP(T383,ma_miengiam!$A$3:$B$80,2,0)*100)/2,VLOOKUP(T383,ma_miengiam!$A$3:$B$80,2,0)*100)</f>
        <v>0</v>
      </c>
      <c r="V383" s="88">
        <v>5</v>
      </c>
      <c r="W383" s="220">
        <f>IF(AND(T383="NTS",V383&gt;0),(Q383-(Q383*V383)/12)*VLOOKUP(T383,ma_miengiam!$A$3:$B$80,2,0)+(Q383-(Q383*(12-V383))/12),IF(AND(RIGHT(T383,1)="K",V383&gt;0),(VLOOKUP(T383,ma_miengiam!$A$3:$B$80,2,0)/2)*(Q383*V383)/12,IF(RIGHT(T383,1)="K",(VLOOKUP(T383,ma_miengiam!$A$3:$B$80,2,0)*Q383)/2,IF(V383&gt;0,VLOOKUP(T383,ma_miengiam!$A$3:$B$80,2,0)*Q383*V383/12,VLOOKUP(T383,ma_miengiam!$A$3:$B$80,2,0)*Q383))))</f>
        <v>0</v>
      </c>
      <c r="X383" s="220">
        <f>IF(T383="NTS",VLOOKUP(T383,ma_miengiam!$A$3:$B$80,2,0)*R383*V383,IF(AND(T383="NTS",V383=0),0,IF(AND(LEFT(T383,1)="K",V383=0),VLOOKUP(T383,ma_miengiam!$A$3:$B$80,2,0)*R383,IF(LEFT(T383,1)="K",(VLOOKUP(T383,ma_miengiam!$A$3:$B$80,2,0)*R383/12)*V383,IF(AND(LEFT(T383,1)="S",V383&gt;0),(R383/12)*V383,IF(AND(LEFT(T383,1)="S",V383=0),R383,IF(T383="DH",VLOOKUP(T383,ma_miengiam!$A$3:$B$80,2,0)*R383,0)))))))</f>
        <v>0</v>
      </c>
      <c r="Y383" s="220">
        <f t="shared" si="1107"/>
        <v>112.5</v>
      </c>
      <c r="Z383" s="220">
        <f t="shared" si="1156"/>
        <v>50</v>
      </c>
      <c r="AA383" s="220">
        <f t="shared" si="1246"/>
        <v>270</v>
      </c>
      <c r="AB383" s="220">
        <f t="shared" si="1246"/>
        <v>120</v>
      </c>
      <c r="AC383" s="220">
        <f t="shared" si="1247"/>
        <v>0</v>
      </c>
      <c r="AD383" s="220">
        <f t="shared" si="1247"/>
        <v>0</v>
      </c>
      <c r="AE383" s="220">
        <f t="shared" si="1247"/>
        <v>112.5</v>
      </c>
      <c r="AF383" s="220">
        <f t="shared" si="1247"/>
        <v>50</v>
      </c>
      <c r="AG383" s="220">
        <f t="shared" si="1248"/>
        <v>16.45</v>
      </c>
      <c r="AH383" s="220">
        <f t="shared" si="1249"/>
        <v>16.45</v>
      </c>
      <c r="AI383" s="220">
        <f t="shared" si="1250"/>
        <v>0</v>
      </c>
      <c r="AJ383" s="220">
        <f t="shared" si="1190"/>
        <v>-33.549999999999997</v>
      </c>
      <c r="AK383" s="216">
        <f t="shared" si="1038"/>
        <v>146.05000000000001</v>
      </c>
      <c r="AL383" s="220">
        <f t="shared" si="1251"/>
        <v>291.5</v>
      </c>
      <c r="AM383" s="220">
        <f t="shared" si="1252"/>
        <v>0</v>
      </c>
      <c r="AN383" s="221">
        <f t="shared" si="1253"/>
        <v>291.5</v>
      </c>
      <c r="AO383" s="220">
        <f t="shared" si="1254"/>
        <v>0</v>
      </c>
      <c r="AP383" s="220">
        <f t="shared" si="1255"/>
        <v>0</v>
      </c>
      <c r="AQ383" s="220">
        <f t="shared" si="1256"/>
        <v>0</v>
      </c>
      <c r="AR383" s="220">
        <f t="shared" si="1257"/>
        <v>0</v>
      </c>
      <c r="AS383" s="220">
        <f t="shared" si="1258"/>
        <v>0</v>
      </c>
      <c r="AT383" s="216">
        <f t="shared" si="1259"/>
        <v>291.5</v>
      </c>
      <c r="AU383" s="222">
        <f t="shared" si="1117"/>
        <v>145.44999999999999</v>
      </c>
      <c r="AV383" s="220"/>
      <c r="AW383" s="220">
        <f t="shared" si="1165"/>
        <v>145.44999999999999</v>
      </c>
      <c r="AX383" s="216">
        <f t="shared" si="1046"/>
        <v>0</v>
      </c>
      <c r="AY383" s="220">
        <f t="shared" si="1179"/>
        <v>0</v>
      </c>
      <c r="AZ383" s="220">
        <f t="shared" si="1180"/>
        <v>0</v>
      </c>
      <c r="BA383" s="220">
        <f t="shared" si="1181"/>
        <v>0</v>
      </c>
      <c r="BB383" s="220">
        <f t="shared" si="1182"/>
        <v>0</v>
      </c>
      <c r="BC383" s="220">
        <f t="shared" si="1183"/>
        <v>0</v>
      </c>
      <c r="BD383" s="216">
        <f t="shared" si="1195"/>
        <v>0</v>
      </c>
      <c r="BE383" s="220">
        <f t="shared" si="1166"/>
        <v>0</v>
      </c>
      <c r="BF383" s="220">
        <f t="shared" si="1167"/>
        <v>0</v>
      </c>
      <c r="BG383" s="220">
        <f t="shared" si="1168"/>
        <v>0</v>
      </c>
      <c r="BH383" s="220">
        <f t="shared" si="1169"/>
        <v>0</v>
      </c>
      <c r="BI383" s="220">
        <f t="shared" si="1170"/>
        <v>0</v>
      </c>
      <c r="BJ383" s="220" t="s">
        <v>1565</v>
      </c>
      <c r="BK383" s="220"/>
      <c r="BL383" s="223">
        <f t="shared" si="1201"/>
        <v>145.44999999999999</v>
      </c>
      <c r="BM383" s="220">
        <v>5.42</v>
      </c>
      <c r="BN383" s="220"/>
      <c r="BO383" s="220">
        <f t="shared" si="1184"/>
        <v>5.42</v>
      </c>
      <c r="BP383" s="220">
        <f>IF(AND(BL383&gt;0,BL383&lt;tiet!$D$1),BL383,IF(BL383&lt;=0,0,IF(BL383&gt;tiet!$C$1,tiet!$C$1)))</f>
        <v>145.44999999999999</v>
      </c>
      <c r="BQ383" s="87">
        <f t="shared" si="1191"/>
        <v>75000</v>
      </c>
      <c r="BR383" s="224">
        <f t="shared" si="1192"/>
        <v>10908750</v>
      </c>
      <c r="BS383" s="220">
        <f t="shared" si="1068"/>
        <v>0</v>
      </c>
      <c r="BT383" s="224">
        <f>VLOOKUP(N383,ma_dinhmuc!$A$1:$J$31,10,0)</f>
        <v>55000</v>
      </c>
      <c r="BU383" s="224">
        <f>ROUND(IF(BS383&gt;0,VLOOKUP(N383,ma_dinhmuc!$A$1:$J$31,10,0)*BS383,0),0)</f>
        <v>0</v>
      </c>
      <c r="BV383" s="224">
        <f t="shared" si="1193"/>
        <v>10908750</v>
      </c>
      <c r="BW383" s="224"/>
      <c r="BX383" s="224">
        <v>0</v>
      </c>
      <c r="BY383" s="224"/>
      <c r="BZ383" s="224"/>
      <c r="CA383" s="224"/>
      <c r="CB383" s="224"/>
      <c r="CC383" s="225">
        <f t="shared" si="1069"/>
        <v>10908750</v>
      </c>
      <c r="CD383" s="224">
        <f t="shared" si="1070"/>
        <v>0</v>
      </c>
      <c r="CE383" s="224"/>
      <c r="CF383" s="226"/>
      <c r="CG383" s="87"/>
      <c r="CH383" s="87">
        <f t="shared" si="1194"/>
        <v>24</v>
      </c>
      <c r="CI383" s="227" t="str">
        <f t="shared" si="1198"/>
        <v>Nguyễn Thị Bích</v>
      </c>
      <c r="CJ383" s="227" t="str">
        <f t="shared" si="1199"/>
        <v>Ngọc</v>
      </c>
      <c r="CK383" s="87">
        <f t="shared" si="1200"/>
        <v>7</v>
      </c>
      <c r="CL383" s="227" t="str">
        <f t="shared" si="1171"/>
        <v>Tiếng Anh chuyên nghiệp</v>
      </c>
      <c r="CM383" s="87" t="str">
        <f t="shared" si="1172"/>
        <v>CB3</v>
      </c>
      <c r="CN383" s="87">
        <f t="shared" si="1173"/>
        <v>270</v>
      </c>
      <c r="CO383" s="87">
        <f t="shared" si="1174"/>
        <v>120</v>
      </c>
      <c r="CP383" s="229">
        <f t="shared" si="1076"/>
        <v>0</v>
      </c>
      <c r="CQ383" s="229">
        <f t="shared" si="1077"/>
        <v>24.1</v>
      </c>
      <c r="CR383" s="229">
        <f t="shared" si="1078"/>
        <v>9.6999999999999993</v>
      </c>
      <c r="CS383" s="229">
        <f t="shared" si="1079"/>
        <v>0</v>
      </c>
      <c r="CT383" s="229">
        <f t="shared" si="1080"/>
        <v>0</v>
      </c>
      <c r="CU383" s="229">
        <f t="shared" si="1081"/>
        <v>257.7</v>
      </c>
      <c r="CV383" s="229">
        <f t="shared" si="1082"/>
        <v>0</v>
      </c>
      <c r="CW383" s="229">
        <f t="shared" si="1083"/>
        <v>0</v>
      </c>
      <c r="CX383" s="229">
        <f t="shared" si="1084"/>
        <v>0</v>
      </c>
      <c r="CY383" s="229">
        <f t="shared" si="1085"/>
        <v>0</v>
      </c>
      <c r="CZ383" s="229">
        <f t="shared" si="1086"/>
        <v>0</v>
      </c>
      <c r="DA383" s="229">
        <f t="shared" si="1087"/>
        <v>0</v>
      </c>
      <c r="DB383" s="228">
        <f t="shared" si="1260"/>
        <v>291.5</v>
      </c>
      <c r="DC383" s="229"/>
      <c r="DD383" s="229"/>
      <c r="DE383" s="229"/>
      <c r="DF383" s="229"/>
      <c r="DG383" s="229"/>
      <c r="DH383" s="229"/>
      <c r="DI383" s="229"/>
      <c r="DJ383" s="229"/>
      <c r="DK383" s="229"/>
      <c r="DL383" s="229"/>
      <c r="DM383" s="229"/>
      <c r="DN383" s="229"/>
      <c r="DO383" s="228">
        <f t="shared" si="1261"/>
        <v>0</v>
      </c>
      <c r="DP383" s="228">
        <f t="shared" si="1262"/>
        <v>291.5</v>
      </c>
      <c r="DQ383" s="229">
        <f t="shared" si="1088"/>
        <v>0</v>
      </c>
      <c r="DR383" s="229">
        <f t="shared" si="1089"/>
        <v>0</v>
      </c>
      <c r="DS383" s="229">
        <f t="shared" si="1090"/>
        <v>0</v>
      </c>
      <c r="DT383" s="229">
        <f t="shared" si="1091"/>
        <v>0</v>
      </c>
      <c r="DU383" s="229">
        <f t="shared" si="1092"/>
        <v>0</v>
      </c>
      <c r="DV383" s="229">
        <f t="shared" si="1093"/>
        <v>0</v>
      </c>
      <c r="DW383" s="229">
        <f t="shared" si="1094"/>
        <v>0</v>
      </c>
      <c r="DX383" s="228">
        <f t="shared" si="1263"/>
        <v>0</v>
      </c>
      <c r="DY383" s="229"/>
      <c r="DZ383" s="229"/>
      <c r="EA383" s="229"/>
      <c r="EB383" s="229"/>
      <c r="EC383" s="229"/>
      <c r="ED383" s="229"/>
      <c r="EE383" s="229"/>
      <c r="EF383" s="228">
        <f t="shared" si="1072"/>
        <v>0</v>
      </c>
      <c r="EG383" s="228">
        <f t="shared" si="1264"/>
        <v>0</v>
      </c>
      <c r="EH383" s="229">
        <f t="shared" si="1073"/>
        <v>0</v>
      </c>
      <c r="EI383" s="229">
        <v>16.45</v>
      </c>
      <c r="EJ383" s="228">
        <f t="shared" si="1186"/>
        <v>16.45</v>
      </c>
      <c r="EK383" s="229"/>
      <c r="EL383" s="229"/>
      <c r="EM383" s="228">
        <f t="shared" si="1152"/>
        <v>0</v>
      </c>
      <c r="EN383" s="229">
        <f t="shared" si="1104"/>
        <v>0</v>
      </c>
      <c r="EO383" s="229">
        <f t="shared" si="1121"/>
        <v>16.45</v>
      </c>
      <c r="EP383" s="228">
        <f t="shared" si="1146"/>
        <v>16.45</v>
      </c>
      <c r="EQ383" s="173">
        <f t="shared" si="1075"/>
        <v>0</v>
      </c>
      <c r="ER383" s="189">
        <v>0</v>
      </c>
      <c r="ES383" s="189">
        <v>24.1</v>
      </c>
      <c r="ET383" s="189">
        <v>9.6999999999999993</v>
      </c>
      <c r="EU383" s="189">
        <v>0</v>
      </c>
      <c r="EV383" s="189">
        <v>0</v>
      </c>
      <c r="EW383" s="189">
        <v>257.7</v>
      </c>
      <c r="EX383" s="189">
        <v>0</v>
      </c>
      <c r="EY383" s="189">
        <v>0</v>
      </c>
      <c r="EZ383" s="189">
        <v>0</v>
      </c>
      <c r="FA383" s="189">
        <v>0</v>
      </c>
      <c r="FB383" s="189">
        <v>0</v>
      </c>
      <c r="FC383" s="189">
        <v>0</v>
      </c>
      <c r="FD383" s="189">
        <v>0</v>
      </c>
      <c r="FE383" s="189">
        <v>0</v>
      </c>
      <c r="FF383" s="189">
        <v>0</v>
      </c>
      <c r="FG383" s="189">
        <v>0</v>
      </c>
      <c r="FH383" s="189">
        <v>0</v>
      </c>
      <c r="FI383" s="189">
        <v>0</v>
      </c>
      <c r="FJ383" s="189">
        <v>0</v>
      </c>
      <c r="FK383" s="189">
        <v>291.5</v>
      </c>
      <c r="FL383" s="189">
        <v>252</v>
      </c>
      <c r="FN383" s="132">
        <v>0</v>
      </c>
    </row>
    <row r="384" spans="1:170" ht="30" customHeight="1">
      <c r="A384" s="88">
        <f>COUNTIF($H$12:H384,H384)</f>
        <v>25</v>
      </c>
      <c r="B384" s="88" t="s">
        <v>1065</v>
      </c>
      <c r="C384" s="88" t="s">
        <v>854</v>
      </c>
      <c r="D384" s="88"/>
      <c r="E384" s="88"/>
      <c r="F384" s="301" t="s">
        <v>1904</v>
      </c>
      <c r="G384" s="89" t="s">
        <v>2185</v>
      </c>
      <c r="H384" s="88">
        <v>7</v>
      </c>
      <c r="I384" s="88">
        <v>7</v>
      </c>
      <c r="J384" s="88">
        <v>7</v>
      </c>
      <c r="K384" s="90" t="s">
        <v>1164</v>
      </c>
      <c r="L384" s="90" t="s">
        <v>1164</v>
      </c>
      <c r="M384" s="214"/>
      <c r="N384" s="88" t="s">
        <v>1179</v>
      </c>
      <c r="O384" s="216">
        <f t="shared" si="1128"/>
        <v>3.99</v>
      </c>
      <c r="P384" s="88" t="str">
        <f t="shared" si="1265"/>
        <v>B11_4</v>
      </c>
      <c r="Q384" s="88">
        <f t="shared" si="1154"/>
        <v>270</v>
      </c>
      <c r="R384" s="88">
        <f t="shared" si="1155"/>
        <v>80</v>
      </c>
      <c r="S384" s="230"/>
      <c r="T384" s="219" t="s">
        <v>3088</v>
      </c>
      <c r="U384" s="88">
        <f>IF(RIGHT(T384,1)="K",(VLOOKUP(T384,ma_miengiam!$A$3:$B$80,2,0)*100)/2,VLOOKUP(T384,ma_miengiam!$A$3:$B$80,2,0)*100)</f>
        <v>0</v>
      </c>
      <c r="V384" s="88"/>
      <c r="W384" s="220">
        <f>IF(AND(T384="NTS",V384&gt;0),(Q384-(Q384*V384)/12)*VLOOKUP(T384,ma_miengiam!$A$3:$B$80,2,0)+(Q384-(Q384*(12-V384))/12),IF(AND(RIGHT(T384,1)="K",V384&gt;0),(VLOOKUP(T384,ma_miengiam!$A$3:$B$80,2,0)/2)*(Q384*V384)/12,IF(RIGHT(T384,1)="K",(VLOOKUP(T384,ma_miengiam!$A$3:$B$80,2,0)*Q384)/2,IF(V384&gt;0,VLOOKUP(T384,ma_miengiam!$A$3:$B$80,2,0)*Q384*V384/12,VLOOKUP(T384,ma_miengiam!$A$3:$B$80,2,0)*Q384))))</f>
        <v>0</v>
      </c>
      <c r="X384" s="220">
        <f>IF(T384="NTS",VLOOKUP(T384,ma_miengiam!$A$3:$B$80,2,0)*R384*V384,IF(AND(T384="NTS",V384=0),0,IF(AND(LEFT(T384,1)="K",V384=0),VLOOKUP(T384,ma_miengiam!$A$3:$B$80,2,0)*R384,IF(LEFT(T384,1)="K",(VLOOKUP(T384,ma_miengiam!$A$3:$B$80,2,0)*R384/12)*V384,IF(AND(LEFT(T384,1)="S",V384&gt;0),(R384/12)*V384,IF(AND(LEFT(T384,1)="S",V384=0),R384,IF(T384="DH",VLOOKUP(T384,ma_miengiam!$A$3:$B$80,2,0)*R384,0)))))))</f>
        <v>0</v>
      </c>
      <c r="Y384" s="220">
        <f t="shared" si="1107"/>
        <v>270</v>
      </c>
      <c r="Z384" s="220">
        <f t="shared" si="1156"/>
        <v>80</v>
      </c>
      <c r="AA384" s="220">
        <f t="shared" si="1246"/>
        <v>270</v>
      </c>
      <c r="AB384" s="220">
        <f t="shared" si="1246"/>
        <v>80</v>
      </c>
      <c r="AC384" s="220">
        <f t="shared" si="1247"/>
        <v>0</v>
      </c>
      <c r="AD384" s="220">
        <f t="shared" si="1247"/>
        <v>0</v>
      </c>
      <c r="AE384" s="220">
        <f t="shared" si="1247"/>
        <v>270</v>
      </c>
      <c r="AF384" s="220">
        <f t="shared" si="1247"/>
        <v>80</v>
      </c>
      <c r="AG384" s="220">
        <f t="shared" si="1248"/>
        <v>40.97</v>
      </c>
      <c r="AH384" s="220">
        <f t="shared" si="1249"/>
        <v>10.97</v>
      </c>
      <c r="AI384" s="220">
        <f t="shared" si="1250"/>
        <v>30</v>
      </c>
      <c r="AJ384" s="220">
        <f t="shared" si="1190"/>
        <v>-39.03</v>
      </c>
      <c r="AK384" s="216">
        <f t="shared" ref="AK384:AK446" si="1266">IF(AJ384&gt;=0,Y384,Y384-AJ384)</f>
        <v>309.02999999999997</v>
      </c>
      <c r="AL384" s="220">
        <f t="shared" si="1251"/>
        <v>193.6</v>
      </c>
      <c r="AM384" s="220">
        <f t="shared" si="1252"/>
        <v>0</v>
      </c>
      <c r="AN384" s="221">
        <f t="shared" si="1253"/>
        <v>193.6</v>
      </c>
      <c r="AO384" s="220">
        <f t="shared" si="1254"/>
        <v>0</v>
      </c>
      <c r="AP384" s="220">
        <f t="shared" si="1255"/>
        <v>0</v>
      </c>
      <c r="AQ384" s="220">
        <f t="shared" si="1256"/>
        <v>0</v>
      </c>
      <c r="AR384" s="220">
        <f t="shared" si="1257"/>
        <v>0</v>
      </c>
      <c r="AS384" s="220">
        <f t="shared" si="1258"/>
        <v>0</v>
      </c>
      <c r="AT384" s="216">
        <f t="shared" si="1259"/>
        <v>193.6</v>
      </c>
      <c r="AU384" s="222">
        <f t="shared" si="1117"/>
        <v>-115.42999999999998</v>
      </c>
      <c r="AV384" s="220"/>
      <c r="AW384" s="220">
        <f t="shared" si="1165"/>
        <v>-115.42999999999998</v>
      </c>
      <c r="AX384" s="216">
        <f t="shared" ref="AX384:AX444" si="1267">IF(AN384&gt;AK384,0,IF(AW384&lt;0,AN384-AK384+AV384,IF(AW384&gt;=0,0)))</f>
        <v>-115.42999999999998</v>
      </c>
      <c r="AY384" s="220">
        <f t="shared" si="1179"/>
        <v>0</v>
      </c>
      <c r="AZ384" s="220">
        <f t="shared" si="1180"/>
        <v>0</v>
      </c>
      <c r="BA384" s="220">
        <f t="shared" si="1181"/>
        <v>0</v>
      </c>
      <c r="BB384" s="220">
        <f t="shared" si="1182"/>
        <v>0</v>
      </c>
      <c r="BC384" s="220">
        <f t="shared" si="1183"/>
        <v>0</v>
      </c>
      <c r="BD384" s="216">
        <f t="shared" si="1195"/>
        <v>0</v>
      </c>
      <c r="BE384" s="220">
        <f t="shared" si="1166"/>
        <v>0</v>
      </c>
      <c r="BF384" s="220">
        <f t="shared" si="1167"/>
        <v>0</v>
      </c>
      <c r="BG384" s="220">
        <f t="shared" si="1168"/>
        <v>0</v>
      </c>
      <c r="BH384" s="220">
        <f t="shared" si="1169"/>
        <v>0</v>
      </c>
      <c r="BI384" s="220">
        <f t="shared" si="1170"/>
        <v>0</v>
      </c>
      <c r="BJ384" s="220" t="s">
        <v>1565</v>
      </c>
      <c r="BK384" s="220"/>
      <c r="BL384" s="223">
        <f t="shared" si="1201"/>
        <v>0</v>
      </c>
      <c r="BM384" s="220">
        <v>3.99</v>
      </c>
      <c r="BN384" s="220"/>
      <c r="BO384" s="220">
        <f t="shared" si="1184"/>
        <v>3.99</v>
      </c>
      <c r="BP384" s="220">
        <f>IF(AND(BL384&gt;0,BL384&lt;tiet!$D$1),BL384,IF(BL384&lt;=0,0,IF(BL384&gt;tiet!$C$1,tiet!$C$1)))</f>
        <v>0</v>
      </c>
      <c r="BQ384" s="87">
        <f t="shared" si="1191"/>
        <v>65000</v>
      </c>
      <c r="BR384" s="224">
        <f t="shared" si="1192"/>
        <v>0</v>
      </c>
      <c r="BS384" s="220">
        <f t="shared" si="1068"/>
        <v>0</v>
      </c>
      <c r="BT384" s="224">
        <f>VLOOKUP(N384,ma_dinhmuc!$A$1:$J$31,10,0)</f>
        <v>51000</v>
      </c>
      <c r="BU384" s="224">
        <f>ROUND(IF(BS384&gt;0,VLOOKUP(N384,ma_dinhmuc!$A$1:$J$31,10,0)*BS384,0),0)</f>
        <v>0</v>
      </c>
      <c r="BV384" s="224">
        <f t="shared" si="1193"/>
        <v>0</v>
      </c>
      <c r="BW384" s="224"/>
      <c r="BX384" s="224">
        <v>0</v>
      </c>
      <c r="BY384" s="224"/>
      <c r="BZ384" s="224"/>
      <c r="CA384" s="224"/>
      <c r="CB384" s="224"/>
      <c r="CC384" s="225">
        <f t="shared" si="1069"/>
        <v>0</v>
      </c>
      <c r="CD384" s="224">
        <f t="shared" si="1070"/>
        <v>0</v>
      </c>
      <c r="CE384" s="224"/>
      <c r="CF384" s="226"/>
      <c r="CG384" s="87"/>
      <c r="CH384" s="87">
        <f t="shared" si="1194"/>
        <v>25</v>
      </c>
      <c r="CI384" s="227" t="str">
        <f t="shared" si="1198"/>
        <v>Nguyễn Thị Kim</v>
      </c>
      <c r="CJ384" s="227" t="str">
        <f t="shared" si="1199"/>
        <v>Quế</v>
      </c>
      <c r="CK384" s="87">
        <f t="shared" si="1200"/>
        <v>7</v>
      </c>
      <c r="CL384" s="227" t="str">
        <f t="shared" si="1171"/>
        <v>Tiếng Anh chuyên nghiệp</v>
      </c>
      <c r="CM384" s="87" t="str">
        <f t="shared" si="1172"/>
        <v>CB2</v>
      </c>
      <c r="CN384" s="87">
        <f t="shared" ref="CN384:CO386" si="1268">Q384</f>
        <v>270</v>
      </c>
      <c r="CO384" s="87">
        <f t="shared" si="1268"/>
        <v>80</v>
      </c>
      <c r="CP384" s="229">
        <f t="shared" si="1076"/>
        <v>0</v>
      </c>
      <c r="CQ384" s="229">
        <f t="shared" si="1077"/>
        <v>16.8</v>
      </c>
      <c r="CR384" s="229">
        <f t="shared" si="1078"/>
        <v>6.8</v>
      </c>
      <c r="CS384" s="229">
        <f t="shared" si="1079"/>
        <v>0</v>
      </c>
      <c r="CT384" s="229">
        <f t="shared" si="1080"/>
        <v>0</v>
      </c>
      <c r="CU384" s="229">
        <f t="shared" si="1081"/>
        <v>103</v>
      </c>
      <c r="CV384" s="229">
        <f t="shared" si="1082"/>
        <v>0</v>
      </c>
      <c r="CW384" s="229">
        <f t="shared" si="1083"/>
        <v>67</v>
      </c>
      <c r="CX384" s="229">
        <f t="shared" si="1084"/>
        <v>0</v>
      </c>
      <c r="CY384" s="229">
        <f t="shared" si="1085"/>
        <v>0</v>
      </c>
      <c r="CZ384" s="229">
        <f t="shared" si="1086"/>
        <v>0</v>
      </c>
      <c r="DA384" s="229">
        <f t="shared" si="1087"/>
        <v>0</v>
      </c>
      <c r="DB384" s="228">
        <f t="shared" si="1260"/>
        <v>193.6</v>
      </c>
      <c r="DC384" s="229"/>
      <c r="DD384" s="229"/>
      <c r="DE384" s="229"/>
      <c r="DF384" s="229"/>
      <c r="DG384" s="229"/>
      <c r="DH384" s="229"/>
      <c r="DI384" s="229"/>
      <c r="DJ384" s="229"/>
      <c r="DK384" s="229"/>
      <c r="DL384" s="229"/>
      <c r="DM384" s="229"/>
      <c r="DN384" s="229"/>
      <c r="DO384" s="228">
        <f t="shared" si="1261"/>
        <v>0</v>
      </c>
      <c r="DP384" s="228">
        <f t="shared" si="1262"/>
        <v>193.6</v>
      </c>
      <c r="DQ384" s="229">
        <f t="shared" si="1088"/>
        <v>0</v>
      </c>
      <c r="DR384" s="229">
        <f t="shared" si="1089"/>
        <v>0</v>
      </c>
      <c r="DS384" s="229">
        <f t="shared" si="1090"/>
        <v>0</v>
      </c>
      <c r="DT384" s="229">
        <f t="shared" si="1091"/>
        <v>0</v>
      </c>
      <c r="DU384" s="229">
        <f t="shared" si="1092"/>
        <v>0</v>
      </c>
      <c r="DV384" s="229">
        <f t="shared" si="1093"/>
        <v>0</v>
      </c>
      <c r="DW384" s="229">
        <f t="shared" si="1094"/>
        <v>0</v>
      </c>
      <c r="DX384" s="228">
        <f t="shared" si="1263"/>
        <v>0</v>
      </c>
      <c r="DY384" s="229"/>
      <c r="DZ384" s="229"/>
      <c r="EA384" s="229"/>
      <c r="EB384" s="229"/>
      <c r="EC384" s="229"/>
      <c r="ED384" s="229"/>
      <c r="EE384" s="229"/>
      <c r="EF384" s="228">
        <f t="shared" si="1072"/>
        <v>0</v>
      </c>
      <c r="EG384" s="228">
        <f t="shared" si="1264"/>
        <v>0</v>
      </c>
      <c r="EH384" s="229">
        <f t="shared" si="1073"/>
        <v>30</v>
      </c>
      <c r="EI384" s="229">
        <v>10.97</v>
      </c>
      <c r="EJ384" s="228">
        <f t="shared" si="1186"/>
        <v>40.97</v>
      </c>
      <c r="EK384" s="229"/>
      <c r="EL384" s="229"/>
      <c r="EM384" s="228">
        <f t="shared" si="1152"/>
        <v>0</v>
      </c>
      <c r="EN384" s="229">
        <f t="shared" si="1104"/>
        <v>30</v>
      </c>
      <c r="EO384" s="229">
        <f t="shared" si="1121"/>
        <v>10.97</v>
      </c>
      <c r="EP384" s="228">
        <f t="shared" si="1146"/>
        <v>40.97</v>
      </c>
      <c r="EQ384" s="173">
        <f t="shared" si="1075"/>
        <v>0</v>
      </c>
      <c r="ER384" s="189">
        <v>0</v>
      </c>
      <c r="ES384" s="189">
        <v>16.8</v>
      </c>
      <c r="ET384" s="189">
        <v>6.8</v>
      </c>
      <c r="EU384" s="189">
        <v>0</v>
      </c>
      <c r="EV384" s="189">
        <v>0</v>
      </c>
      <c r="EW384" s="189">
        <v>103</v>
      </c>
      <c r="EX384" s="189">
        <v>0</v>
      </c>
      <c r="EY384" s="189">
        <v>67</v>
      </c>
      <c r="EZ384" s="189">
        <v>0</v>
      </c>
      <c r="FA384" s="189">
        <v>0</v>
      </c>
      <c r="FB384" s="189">
        <v>0</v>
      </c>
      <c r="FC384" s="189">
        <v>0</v>
      </c>
      <c r="FD384" s="189">
        <v>0</v>
      </c>
      <c r="FE384" s="189">
        <v>0</v>
      </c>
      <c r="FF384" s="189">
        <v>0</v>
      </c>
      <c r="FG384" s="189">
        <v>0</v>
      </c>
      <c r="FH384" s="189">
        <v>0</v>
      </c>
      <c r="FI384" s="189">
        <v>0</v>
      </c>
      <c r="FJ384" s="189">
        <v>0</v>
      </c>
      <c r="FK384" s="189">
        <v>193.6</v>
      </c>
      <c r="FL384" s="189">
        <v>176</v>
      </c>
      <c r="FN384" s="132">
        <v>30</v>
      </c>
    </row>
    <row r="385" spans="1:170" ht="30" customHeight="1">
      <c r="A385" s="88">
        <f>COUNTIF($H$12:H385,H385)</f>
        <v>26</v>
      </c>
      <c r="B385" s="88" t="s">
        <v>1839</v>
      </c>
      <c r="C385" s="88" t="s">
        <v>855</v>
      </c>
      <c r="D385" s="88"/>
      <c r="E385" s="88"/>
      <c r="F385" s="301" t="s">
        <v>1195</v>
      </c>
      <c r="G385" s="303" t="s">
        <v>1773</v>
      </c>
      <c r="H385" s="88">
        <v>7</v>
      </c>
      <c r="I385" s="88">
        <v>7</v>
      </c>
      <c r="J385" s="88">
        <v>7</v>
      </c>
      <c r="K385" s="90" t="s">
        <v>1164</v>
      </c>
      <c r="L385" s="90" t="s">
        <v>1164</v>
      </c>
      <c r="M385" s="214"/>
      <c r="N385" s="88" t="s">
        <v>1179</v>
      </c>
      <c r="O385" s="216">
        <f t="shared" ref="O385:O395" si="1269">BO385</f>
        <v>4.32</v>
      </c>
      <c r="P385" s="88" t="str">
        <f t="shared" si="1265"/>
        <v>B11_4</v>
      </c>
      <c r="Q385" s="88">
        <f t="shared" si="1154"/>
        <v>270</v>
      </c>
      <c r="R385" s="88">
        <f t="shared" si="1155"/>
        <v>80</v>
      </c>
      <c r="S385" s="218"/>
      <c r="T385" s="219" t="s">
        <v>3088</v>
      </c>
      <c r="U385" s="88">
        <f>IF(RIGHT(T385,1)="K",(VLOOKUP(T385,ma_miengiam!$A$3:$B$80,2,0)*100)/2,VLOOKUP(T385,ma_miengiam!$A$3:$B$80,2,0)*100)</f>
        <v>0</v>
      </c>
      <c r="V385" s="88"/>
      <c r="W385" s="220">
        <f>IF(AND(T385="NTS",V385&gt;0),(Q385-(Q385*V385)/12)*VLOOKUP(T385,ma_miengiam!$A$3:$B$80,2,0)+(Q385-(Q385*(12-V385))/12),IF(AND(RIGHT(T385,1)="K",V385&gt;0),(VLOOKUP(T385,ma_miengiam!$A$3:$B$80,2,0)/2)*(Q385*V385)/12,IF(RIGHT(T385,1)="K",(VLOOKUP(T385,ma_miengiam!$A$3:$B$80,2,0)*Q385)/2,IF(V385&gt;0,VLOOKUP(T385,ma_miengiam!$A$3:$B$80,2,0)*Q385*V385/12,VLOOKUP(T385,ma_miengiam!$A$3:$B$80,2,0)*Q385))))</f>
        <v>0</v>
      </c>
      <c r="X385" s="220">
        <f>IF(T385="NTS",VLOOKUP(T385,ma_miengiam!$A$3:$B$80,2,0)*R385*V385,IF(AND(T385="NTS",V385=0),0,IF(AND(LEFT(T385,1)="K",V385=0),VLOOKUP(T385,ma_miengiam!$A$3:$B$80,2,0)*R385,IF(LEFT(T385,1)="K",(VLOOKUP(T385,ma_miengiam!$A$3:$B$80,2,0)*R385/12)*V385,IF(AND(LEFT(T385,1)="S",V385&gt;0),(R385/12)*V385,IF(AND(LEFT(T385,1)="S",V385=0),R385,IF(T385="DH",VLOOKUP(T385,ma_miengiam!$A$3:$B$80,2,0)*R385,0)))))))</f>
        <v>0</v>
      </c>
      <c r="Y385" s="220">
        <f t="shared" si="1107"/>
        <v>270</v>
      </c>
      <c r="Z385" s="220">
        <f t="shared" si="1156"/>
        <v>80</v>
      </c>
      <c r="AA385" s="220">
        <f t="shared" ref="AA385:AB387" si="1270">Q385</f>
        <v>270</v>
      </c>
      <c r="AB385" s="220">
        <f t="shared" si="1270"/>
        <v>80</v>
      </c>
      <c r="AC385" s="220">
        <f t="shared" ref="AC385:AF386" si="1271">W385</f>
        <v>0</v>
      </c>
      <c r="AD385" s="220">
        <f t="shared" si="1271"/>
        <v>0</v>
      </c>
      <c r="AE385" s="220">
        <f t="shared" si="1271"/>
        <v>270</v>
      </c>
      <c r="AF385" s="220">
        <f t="shared" si="1271"/>
        <v>80</v>
      </c>
      <c r="AG385" s="220">
        <f t="shared" si="1248"/>
        <v>10.97</v>
      </c>
      <c r="AH385" s="220">
        <f t="shared" si="1249"/>
        <v>10.97</v>
      </c>
      <c r="AI385" s="220">
        <f t="shared" si="1250"/>
        <v>0</v>
      </c>
      <c r="AJ385" s="220">
        <f t="shared" si="1190"/>
        <v>-69.03</v>
      </c>
      <c r="AK385" s="216">
        <f t="shared" si="1266"/>
        <v>339.03</v>
      </c>
      <c r="AL385" s="220">
        <f t="shared" si="1251"/>
        <v>207.6</v>
      </c>
      <c r="AM385" s="220">
        <f t="shared" si="1252"/>
        <v>69.3</v>
      </c>
      <c r="AN385" s="221">
        <f t="shared" si="1253"/>
        <v>276.89999999999998</v>
      </c>
      <c r="AO385" s="220">
        <f t="shared" si="1254"/>
        <v>0</v>
      </c>
      <c r="AP385" s="220">
        <f t="shared" si="1255"/>
        <v>0</v>
      </c>
      <c r="AQ385" s="220">
        <f t="shared" si="1256"/>
        <v>0</v>
      </c>
      <c r="AR385" s="220">
        <f t="shared" si="1257"/>
        <v>0</v>
      </c>
      <c r="AS385" s="220">
        <f t="shared" si="1258"/>
        <v>0</v>
      </c>
      <c r="AT385" s="216">
        <f t="shared" si="1259"/>
        <v>276.89999999999998</v>
      </c>
      <c r="AU385" s="222">
        <f t="shared" si="1117"/>
        <v>-62.129999999999995</v>
      </c>
      <c r="AV385" s="220"/>
      <c r="AW385" s="220">
        <f t="shared" si="1165"/>
        <v>-62.129999999999995</v>
      </c>
      <c r="AX385" s="216">
        <f t="shared" si="1267"/>
        <v>-62.129999999999995</v>
      </c>
      <c r="AY385" s="220">
        <f t="shared" si="1179"/>
        <v>0</v>
      </c>
      <c r="AZ385" s="220">
        <f t="shared" si="1180"/>
        <v>0</v>
      </c>
      <c r="BA385" s="220">
        <f t="shared" si="1181"/>
        <v>0</v>
      </c>
      <c r="BB385" s="220">
        <f t="shared" si="1182"/>
        <v>0</v>
      </c>
      <c r="BC385" s="220">
        <f t="shared" si="1183"/>
        <v>0</v>
      </c>
      <c r="BD385" s="216">
        <f t="shared" si="1195"/>
        <v>0</v>
      </c>
      <c r="BE385" s="220">
        <f t="shared" si="1166"/>
        <v>0</v>
      </c>
      <c r="BF385" s="220">
        <f t="shared" si="1167"/>
        <v>0</v>
      </c>
      <c r="BG385" s="220">
        <f t="shared" si="1168"/>
        <v>0</v>
      </c>
      <c r="BH385" s="220">
        <f t="shared" si="1169"/>
        <v>0</v>
      </c>
      <c r="BI385" s="220">
        <f t="shared" si="1170"/>
        <v>0</v>
      </c>
      <c r="BJ385" s="220" t="s">
        <v>1565</v>
      </c>
      <c r="BK385" s="220"/>
      <c r="BL385" s="223">
        <f t="shared" si="1201"/>
        <v>0</v>
      </c>
      <c r="BM385" s="220">
        <v>4.32</v>
      </c>
      <c r="BN385" s="220"/>
      <c r="BO385" s="220">
        <f t="shared" si="1184"/>
        <v>4.32</v>
      </c>
      <c r="BP385" s="220">
        <f>IF(AND(BL385&gt;0,BL385&lt;tiet!$D$1),BL385,IF(BL385&lt;=0,0,IF(BL385&gt;tiet!$C$1,tiet!$C$1)))</f>
        <v>0</v>
      </c>
      <c r="BQ385" s="87">
        <f t="shared" si="1191"/>
        <v>65000</v>
      </c>
      <c r="BR385" s="224">
        <f t="shared" si="1192"/>
        <v>0</v>
      </c>
      <c r="BS385" s="220">
        <f t="shared" si="1068"/>
        <v>0</v>
      </c>
      <c r="BT385" s="224">
        <f>VLOOKUP(N385,ma_dinhmuc!$A$1:$J$31,10,0)</f>
        <v>51000</v>
      </c>
      <c r="BU385" s="224">
        <f>ROUND(IF(BS385&gt;0,VLOOKUP(N385,ma_dinhmuc!$A$1:$J$31,10,0)*BS385,0),0)</f>
        <v>0</v>
      </c>
      <c r="BV385" s="224">
        <f t="shared" si="1193"/>
        <v>0</v>
      </c>
      <c r="BW385" s="224"/>
      <c r="BX385" s="224">
        <v>0</v>
      </c>
      <c r="BY385" s="224"/>
      <c r="BZ385" s="224"/>
      <c r="CA385" s="224"/>
      <c r="CB385" s="224"/>
      <c r="CC385" s="225">
        <f t="shared" si="1069"/>
        <v>0</v>
      </c>
      <c r="CD385" s="224">
        <f t="shared" si="1070"/>
        <v>0</v>
      </c>
      <c r="CE385" s="224"/>
      <c r="CF385" s="226"/>
      <c r="CG385" s="87"/>
      <c r="CH385" s="87">
        <f t="shared" si="1194"/>
        <v>26</v>
      </c>
      <c r="CI385" s="227" t="str">
        <f t="shared" si="1198"/>
        <v>Hà Thị</v>
      </c>
      <c r="CJ385" s="227" t="str">
        <f t="shared" si="1199"/>
        <v>Lan</v>
      </c>
      <c r="CK385" s="87">
        <f t="shared" si="1200"/>
        <v>7</v>
      </c>
      <c r="CL385" s="227" t="str">
        <f t="shared" ref="CL385:CL393" si="1272">L385</f>
        <v>Tiếng Anh chuyên nghiệp</v>
      </c>
      <c r="CM385" s="87" t="str">
        <f t="shared" si="1172"/>
        <v>CB2</v>
      </c>
      <c r="CN385" s="87">
        <f t="shared" si="1268"/>
        <v>270</v>
      </c>
      <c r="CO385" s="87">
        <f t="shared" si="1268"/>
        <v>80</v>
      </c>
      <c r="CP385" s="229">
        <f t="shared" si="1076"/>
        <v>0</v>
      </c>
      <c r="CQ385" s="229">
        <f t="shared" si="1077"/>
        <v>19.7</v>
      </c>
      <c r="CR385" s="229">
        <f t="shared" si="1078"/>
        <v>7.9</v>
      </c>
      <c r="CS385" s="229">
        <f t="shared" si="1079"/>
        <v>0</v>
      </c>
      <c r="CT385" s="229">
        <f t="shared" si="1080"/>
        <v>0</v>
      </c>
      <c r="CU385" s="229">
        <f t="shared" si="1081"/>
        <v>148</v>
      </c>
      <c r="CV385" s="229">
        <f t="shared" si="1082"/>
        <v>0</v>
      </c>
      <c r="CW385" s="229">
        <f t="shared" si="1083"/>
        <v>32</v>
      </c>
      <c r="CX385" s="229">
        <f t="shared" si="1084"/>
        <v>0</v>
      </c>
      <c r="CY385" s="229">
        <f t="shared" si="1085"/>
        <v>0</v>
      </c>
      <c r="CZ385" s="229">
        <f t="shared" si="1086"/>
        <v>0</v>
      </c>
      <c r="DA385" s="229">
        <f t="shared" si="1087"/>
        <v>0</v>
      </c>
      <c r="DB385" s="228">
        <f t="shared" si="1260"/>
        <v>207.6</v>
      </c>
      <c r="DC385" s="229"/>
      <c r="DD385" s="229"/>
      <c r="DE385" s="229"/>
      <c r="DF385" s="229"/>
      <c r="DG385" s="229"/>
      <c r="DH385" s="229"/>
      <c r="DI385" s="229"/>
      <c r="DJ385" s="229"/>
      <c r="DK385" s="229"/>
      <c r="DL385" s="229"/>
      <c r="DM385" s="229"/>
      <c r="DN385" s="229"/>
      <c r="DO385" s="228">
        <f t="shared" si="1261"/>
        <v>0</v>
      </c>
      <c r="DP385" s="228">
        <f t="shared" si="1262"/>
        <v>207.6</v>
      </c>
      <c r="DQ385" s="229">
        <f t="shared" si="1088"/>
        <v>60</v>
      </c>
      <c r="DR385" s="229">
        <f t="shared" si="1089"/>
        <v>6.6</v>
      </c>
      <c r="DS385" s="229">
        <f t="shared" si="1090"/>
        <v>0</v>
      </c>
      <c r="DT385" s="229">
        <f t="shared" si="1091"/>
        <v>2.7</v>
      </c>
      <c r="DU385" s="229">
        <f t="shared" si="1092"/>
        <v>0</v>
      </c>
      <c r="DV385" s="229">
        <f t="shared" si="1093"/>
        <v>0</v>
      </c>
      <c r="DW385" s="229">
        <f t="shared" si="1094"/>
        <v>0</v>
      </c>
      <c r="DX385" s="228">
        <f t="shared" si="1263"/>
        <v>69.3</v>
      </c>
      <c r="DY385" s="229"/>
      <c r="DZ385" s="229"/>
      <c r="EA385" s="229"/>
      <c r="EB385" s="229"/>
      <c r="EC385" s="229"/>
      <c r="ED385" s="229"/>
      <c r="EE385" s="229"/>
      <c r="EF385" s="228">
        <f t="shared" si="1072"/>
        <v>0</v>
      </c>
      <c r="EG385" s="228">
        <f t="shared" si="1264"/>
        <v>69.3</v>
      </c>
      <c r="EH385" s="229">
        <f t="shared" si="1073"/>
        <v>0</v>
      </c>
      <c r="EI385" s="229">
        <v>10.97</v>
      </c>
      <c r="EJ385" s="228">
        <f t="shared" si="1186"/>
        <v>10.97</v>
      </c>
      <c r="EK385" s="229"/>
      <c r="EL385" s="229"/>
      <c r="EM385" s="228">
        <f>SUM(EK385:EL385)</f>
        <v>0</v>
      </c>
      <c r="EN385" s="229">
        <f t="shared" ref="EN385:EN437" si="1273">EK385+EH385+EL385</f>
        <v>0</v>
      </c>
      <c r="EO385" s="229">
        <f t="shared" si="1121"/>
        <v>10.97</v>
      </c>
      <c r="EP385" s="228">
        <f t="shared" si="1146"/>
        <v>10.97</v>
      </c>
      <c r="EQ385" s="173">
        <f t="shared" si="1075"/>
        <v>0</v>
      </c>
      <c r="ER385" s="189">
        <v>0</v>
      </c>
      <c r="ES385" s="189">
        <v>19.7</v>
      </c>
      <c r="ET385" s="189">
        <v>7.9</v>
      </c>
      <c r="EU385" s="189">
        <v>0</v>
      </c>
      <c r="EV385" s="189">
        <v>0</v>
      </c>
      <c r="EW385" s="189">
        <v>148</v>
      </c>
      <c r="EX385" s="189">
        <v>0</v>
      </c>
      <c r="EY385" s="189">
        <v>32</v>
      </c>
      <c r="EZ385" s="189">
        <v>0</v>
      </c>
      <c r="FA385" s="189">
        <v>0</v>
      </c>
      <c r="FB385" s="189">
        <v>0</v>
      </c>
      <c r="FC385" s="189">
        <v>0</v>
      </c>
      <c r="FD385" s="189">
        <v>60</v>
      </c>
      <c r="FE385" s="189">
        <v>6.6</v>
      </c>
      <c r="FF385" s="189">
        <v>0</v>
      </c>
      <c r="FG385" s="189">
        <v>2.7</v>
      </c>
      <c r="FH385" s="189">
        <v>0</v>
      </c>
      <c r="FI385" s="189">
        <v>0</v>
      </c>
      <c r="FJ385" s="189">
        <v>0</v>
      </c>
      <c r="FK385" s="189">
        <v>276.89999999999998</v>
      </c>
      <c r="FL385" s="189">
        <v>224</v>
      </c>
      <c r="FN385" s="132">
        <v>0</v>
      </c>
    </row>
    <row r="386" spans="1:170" ht="30" customHeight="1">
      <c r="A386" s="88">
        <f>COUNTIF($H$12:H386,H386)</f>
        <v>27</v>
      </c>
      <c r="B386" s="88" t="s">
        <v>1840</v>
      </c>
      <c r="C386" s="88" t="s">
        <v>856</v>
      </c>
      <c r="D386" s="88"/>
      <c r="E386" s="88"/>
      <c r="F386" s="301" t="s">
        <v>2907</v>
      </c>
      <c r="G386" s="89" t="s">
        <v>13</v>
      </c>
      <c r="H386" s="88">
        <v>7</v>
      </c>
      <c r="I386" s="88">
        <v>7</v>
      </c>
      <c r="J386" s="88">
        <v>7</v>
      </c>
      <c r="K386" s="90" t="s">
        <v>1164</v>
      </c>
      <c r="L386" s="90" t="s">
        <v>1164</v>
      </c>
      <c r="M386" s="214"/>
      <c r="N386" s="88" t="s">
        <v>1179</v>
      </c>
      <c r="O386" s="216">
        <f t="shared" si="1269"/>
        <v>3</v>
      </c>
      <c r="P386" s="88" t="str">
        <f t="shared" si="1265"/>
        <v>B11_3</v>
      </c>
      <c r="Q386" s="88">
        <f t="shared" si="1154"/>
        <v>270</v>
      </c>
      <c r="R386" s="88">
        <f t="shared" si="1155"/>
        <v>60</v>
      </c>
      <c r="S386" s="218" t="s">
        <v>2379</v>
      </c>
      <c r="T386" s="88" t="s">
        <v>3091</v>
      </c>
      <c r="U386" s="88">
        <f>IF(RIGHT(T386,1)="K",(VLOOKUP(T386,ma_miengiam!$A$3:$B$80,2,0)*100)/2,VLOOKUP(T386,ma_miengiam!$A$3:$B$80,2,0)*100)</f>
        <v>20</v>
      </c>
      <c r="V386" s="88"/>
      <c r="W386" s="220">
        <f>IF(AND(T386="NTS",V386&gt;0),(Q386-(Q386*V386)/12)*VLOOKUP(T386,ma_miengiam!$A$3:$B$80,2,0)+(Q386-(Q386*(12-V386))/12),IF(AND(RIGHT(T386,1)="K",V386&gt;0),(VLOOKUP(T386,ma_miengiam!$A$3:$B$80,2,0)/2)*(Q386*V386)/12,IF(RIGHT(T386,1)="K",(VLOOKUP(T386,ma_miengiam!$A$3:$B$80,2,0)*Q386)/2,IF(V386&gt;0,VLOOKUP(T386,ma_miengiam!$A$3:$B$80,2,0)*Q386*V386/12,VLOOKUP(T386,ma_miengiam!$A$3:$B$80,2,0)*Q386))))</f>
        <v>54</v>
      </c>
      <c r="X386" s="220">
        <f>IF(T386="NTS",VLOOKUP(T386,ma_miengiam!$A$3:$B$80,2,0)*R386*V386,IF(AND(T386="NTS",V386=0),0,IF(AND(LEFT(T386,1)="K",V386=0),VLOOKUP(T386,ma_miengiam!$A$3:$B$80,2,0)*R386,IF(LEFT(T386,1)="K",(VLOOKUP(T386,ma_miengiam!$A$3:$B$80,2,0)*R386/12)*V386,IF(AND(LEFT(T386,1)="S",V386&gt;0),(R386/12)*V386,IF(AND(LEFT(T386,1)="S",V386=0),R386,IF(T386="DH",VLOOKUP(T386,ma_miengiam!$A$3:$B$80,2,0)*R386,0)))))))</f>
        <v>0</v>
      </c>
      <c r="Y386" s="220">
        <f t="shared" si="1107"/>
        <v>216</v>
      </c>
      <c r="Z386" s="220">
        <f t="shared" si="1156"/>
        <v>60</v>
      </c>
      <c r="AA386" s="220">
        <f t="shared" si="1270"/>
        <v>270</v>
      </c>
      <c r="AB386" s="220">
        <f t="shared" si="1270"/>
        <v>60</v>
      </c>
      <c r="AC386" s="220">
        <f t="shared" si="1271"/>
        <v>54</v>
      </c>
      <c r="AD386" s="220">
        <f t="shared" si="1271"/>
        <v>0</v>
      </c>
      <c r="AE386" s="220">
        <f t="shared" si="1271"/>
        <v>216</v>
      </c>
      <c r="AF386" s="220">
        <f t="shared" si="1271"/>
        <v>60</v>
      </c>
      <c r="AG386" s="220">
        <f t="shared" si="1248"/>
        <v>138.22999999999999</v>
      </c>
      <c r="AH386" s="220">
        <f t="shared" si="1249"/>
        <v>38.229999999999997</v>
      </c>
      <c r="AI386" s="220">
        <f t="shared" si="1250"/>
        <v>100</v>
      </c>
      <c r="AJ386" s="220">
        <f t="shared" si="1190"/>
        <v>0</v>
      </c>
      <c r="AK386" s="216">
        <f t="shared" si="1266"/>
        <v>216</v>
      </c>
      <c r="AL386" s="220">
        <f t="shared" si="1251"/>
        <v>369.2</v>
      </c>
      <c r="AM386" s="220">
        <f t="shared" si="1252"/>
        <v>56.699999999999996</v>
      </c>
      <c r="AN386" s="221">
        <f t="shared" si="1253"/>
        <v>425.9</v>
      </c>
      <c r="AO386" s="220">
        <f t="shared" si="1254"/>
        <v>0</v>
      </c>
      <c r="AP386" s="220">
        <f t="shared" si="1255"/>
        <v>0</v>
      </c>
      <c r="AQ386" s="220">
        <f t="shared" si="1256"/>
        <v>0</v>
      </c>
      <c r="AR386" s="220">
        <f t="shared" si="1257"/>
        <v>0</v>
      </c>
      <c r="AS386" s="220">
        <f t="shared" si="1258"/>
        <v>0</v>
      </c>
      <c r="AT386" s="216">
        <f t="shared" si="1259"/>
        <v>425.9</v>
      </c>
      <c r="AU386" s="222">
        <f t="shared" si="1117"/>
        <v>209.89999999999998</v>
      </c>
      <c r="AV386" s="220"/>
      <c r="AW386" s="220">
        <f t="shared" si="1165"/>
        <v>209.89999999999998</v>
      </c>
      <c r="AX386" s="216">
        <f t="shared" si="1267"/>
        <v>0</v>
      </c>
      <c r="AY386" s="220">
        <f t="shared" si="1179"/>
        <v>0</v>
      </c>
      <c r="AZ386" s="220">
        <f t="shared" si="1180"/>
        <v>0</v>
      </c>
      <c r="BA386" s="220">
        <f t="shared" si="1181"/>
        <v>0</v>
      </c>
      <c r="BB386" s="220">
        <f t="shared" si="1182"/>
        <v>0</v>
      </c>
      <c r="BC386" s="220">
        <f t="shared" si="1183"/>
        <v>0</v>
      </c>
      <c r="BD386" s="216">
        <f t="shared" si="1195"/>
        <v>0</v>
      </c>
      <c r="BE386" s="220">
        <f t="shared" si="1166"/>
        <v>0</v>
      </c>
      <c r="BF386" s="220">
        <f t="shared" si="1167"/>
        <v>0</v>
      </c>
      <c r="BG386" s="220">
        <f t="shared" si="1168"/>
        <v>0</v>
      </c>
      <c r="BH386" s="220">
        <f t="shared" si="1169"/>
        <v>0</v>
      </c>
      <c r="BI386" s="220">
        <f t="shared" si="1170"/>
        <v>0</v>
      </c>
      <c r="BJ386" s="220" t="s">
        <v>1565</v>
      </c>
      <c r="BK386" s="220"/>
      <c r="BL386" s="223">
        <f t="shared" si="1201"/>
        <v>209.89999999999998</v>
      </c>
      <c r="BM386" s="220">
        <v>3</v>
      </c>
      <c r="BN386" s="220"/>
      <c r="BO386" s="220">
        <f t="shared" si="1184"/>
        <v>3</v>
      </c>
      <c r="BP386" s="220">
        <f>IF(AND(BL386&gt;0,BL386&lt;tiet!$D$1),BL386,IF(BL386&lt;=0,0,IF(BL386&gt;tiet!$C$1,tiet!$C$1)))</f>
        <v>200</v>
      </c>
      <c r="BQ386" s="87">
        <f t="shared" si="1191"/>
        <v>60000</v>
      </c>
      <c r="BR386" s="224">
        <f t="shared" si="1192"/>
        <v>12000000</v>
      </c>
      <c r="BS386" s="220">
        <f t="shared" si="1068"/>
        <v>9.8999999999999773</v>
      </c>
      <c r="BT386" s="224">
        <f>VLOOKUP(N386,ma_dinhmuc!$A$1:$J$31,10,0)</f>
        <v>51000</v>
      </c>
      <c r="BU386" s="224">
        <f>ROUND(IF(BS386&gt;0,VLOOKUP(N386,ma_dinhmuc!$A$1:$J$31,10,0)*BS386,0),0)</f>
        <v>504900</v>
      </c>
      <c r="BV386" s="224">
        <f t="shared" si="1193"/>
        <v>12504900</v>
      </c>
      <c r="BW386" s="224"/>
      <c r="BX386" s="224">
        <v>0</v>
      </c>
      <c r="BY386" s="224"/>
      <c r="BZ386" s="224"/>
      <c r="CA386" s="224"/>
      <c r="CB386" s="224"/>
      <c r="CC386" s="225">
        <f t="shared" si="1069"/>
        <v>12504900</v>
      </c>
      <c r="CD386" s="224">
        <f t="shared" si="1070"/>
        <v>0</v>
      </c>
      <c r="CE386" s="224"/>
      <c r="CF386" s="226"/>
      <c r="CG386" s="87"/>
      <c r="CH386" s="87">
        <f t="shared" si="1194"/>
        <v>27</v>
      </c>
      <c r="CI386" s="227" t="str">
        <f t="shared" si="1198"/>
        <v>Trần Thanh</v>
      </c>
      <c r="CJ386" s="227" t="str">
        <f t="shared" si="1199"/>
        <v>Phương</v>
      </c>
      <c r="CK386" s="87">
        <f t="shared" si="1200"/>
        <v>7</v>
      </c>
      <c r="CL386" s="227" t="str">
        <f t="shared" si="1272"/>
        <v>Tiếng Anh chuyên nghiệp</v>
      </c>
      <c r="CM386" s="87" t="str">
        <f t="shared" si="1172"/>
        <v>CB2</v>
      </c>
      <c r="CN386" s="87">
        <f t="shared" si="1268"/>
        <v>270</v>
      </c>
      <c r="CO386" s="87">
        <f t="shared" si="1268"/>
        <v>60</v>
      </c>
      <c r="CP386" s="229">
        <f t="shared" si="1076"/>
        <v>0</v>
      </c>
      <c r="CQ386" s="229">
        <f t="shared" si="1077"/>
        <v>27.9</v>
      </c>
      <c r="CR386" s="229">
        <f t="shared" si="1078"/>
        <v>11.3</v>
      </c>
      <c r="CS386" s="229">
        <f t="shared" si="1079"/>
        <v>0</v>
      </c>
      <c r="CT386" s="229">
        <f t="shared" si="1080"/>
        <v>0</v>
      </c>
      <c r="CU386" s="229">
        <f t="shared" si="1081"/>
        <v>276</v>
      </c>
      <c r="CV386" s="229">
        <f t="shared" si="1082"/>
        <v>0</v>
      </c>
      <c r="CW386" s="229">
        <f t="shared" si="1083"/>
        <v>54</v>
      </c>
      <c r="CX386" s="229">
        <f t="shared" si="1084"/>
        <v>0</v>
      </c>
      <c r="CY386" s="229">
        <f t="shared" si="1085"/>
        <v>0</v>
      </c>
      <c r="CZ386" s="229">
        <f t="shared" si="1086"/>
        <v>0</v>
      </c>
      <c r="DA386" s="229">
        <f t="shared" si="1087"/>
        <v>0</v>
      </c>
      <c r="DB386" s="228">
        <f t="shared" si="1260"/>
        <v>369.2</v>
      </c>
      <c r="DC386" s="229"/>
      <c r="DD386" s="229"/>
      <c r="DE386" s="229"/>
      <c r="DF386" s="229"/>
      <c r="DG386" s="229"/>
      <c r="DH386" s="229"/>
      <c r="DI386" s="229"/>
      <c r="DJ386" s="229"/>
      <c r="DK386" s="229"/>
      <c r="DL386" s="229"/>
      <c r="DM386" s="229"/>
      <c r="DN386" s="229"/>
      <c r="DO386" s="228">
        <f t="shared" si="1261"/>
        <v>0</v>
      </c>
      <c r="DP386" s="228">
        <f t="shared" si="1262"/>
        <v>369.2</v>
      </c>
      <c r="DQ386" s="229">
        <f t="shared" si="1088"/>
        <v>54</v>
      </c>
      <c r="DR386" s="229">
        <f t="shared" si="1089"/>
        <v>1.9</v>
      </c>
      <c r="DS386" s="229">
        <f t="shared" si="1090"/>
        <v>0</v>
      </c>
      <c r="DT386" s="229">
        <f t="shared" si="1091"/>
        <v>0.8</v>
      </c>
      <c r="DU386" s="229">
        <f t="shared" si="1092"/>
        <v>0</v>
      </c>
      <c r="DV386" s="229">
        <f t="shared" si="1093"/>
        <v>0</v>
      </c>
      <c r="DW386" s="229">
        <f t="shared" si="1094"/>
        <v>0</v>
      </c>
      <c r="DX386" s="228">
        <f t="shared" si="1263"/>
        <v>56.699999999999996</v>
      </c>
      <c r="DY386" s="229"/>
      <c r="DZ386" s="229"/>
      <c r="EA386" s="229"/>
      <c r="EB386" s="229"/>
      <c r="EC386" s="229"/>
      <c r="ED386" s="229"/>
      <c r="EE386" s="229"/>
      <c r="EF386" s="228">
        <f t="shared" si="1072"/>
        <v>0</v>
      </c>
      <c r="EG386" s="228">
        <f t="shared" si="1264"/>
        <v>56.699999999999996</v>
      </c>
      <c r="EH386" s="229">
        <f t="shared" si="1073"/>
        <v>100</v>
      </c>
      <c r="EI386" s="229">
        <v>38.229999999999997</v>
      </c>
      <c r="EJ386" s="228">
        <f t="shared" si="1186"/>
        <v>138.22999999999999</v>
      </c>
      <c r="EK386" s="229"/>
      <c r="EL386" s="229"/>
      <c r="EM386" s="228">
        <f>SUM(EK386:EL386)</f>
        <v>0</v>
      </c>
      <c r="EN386" s="229">
        <f t="shared" si="1273"/>
        <v>100</v>
      </c>
      <c r="EO386" s="229">
        <f t="shared" si="1121"/>
        <v>38.229999999999997</v>
      </c>
      <c r="EP386" s="228">
        <f t="shared" ref="EP386:EP392" si="1274">EM386+EJ386</f>
        <v>138.22999999999999</v>
      </c>
      <c r="EQ386" s="173">
        <f t="shared" si="1075"/>
        <v>40</v>
      </c>
      <c r="ER386" s="189">
        <v>0</v>
      </c>
      <c r="ES386" s="189">
        <v>27.9</v>
      </c>
      <c r="ET386" s="189">
        <v>11.3</v>
      </c>
      <c r="EU386" s="189">
        <v>0</v>
      </c>
      <c r="EV386" s="189">
        <v>0</v>
      </c>
      <c r="EW386" s="189">
        <v>276</v>
      </c>
      <c r="EX386" s="189">
        <v>0</v>
      </c>
      <c r="EY386" s="189">
        <v>54</v>
      </c>
      <c r="EZ386" s="189">
        <v>0</v>
      </c>
      <c r="FA386" s="189">
        <v>0</v>
      </c>
      <c r="FB386" s="189">
        <v>0</v>
      </c>
      <c r="FC386" s="189">
        <v>0</v>
      </c>
      <c r="FD386" s="189">
        <v>54</v>
      </c>
      <c r="FE386" s="189">
        <v>1.9</v>
      </c>
      <c r="FF386" s="189">
        <v>0</v>
      </c>
      <c r="FG386" s="189">
        <v>0.8</v>
      </c>
      <c r="FH386" s="189">
        <v>0</v>
      </c>
      <c r="FI386" s="189">
        <v>0</v>
      </c>
      <c r="FJ386" s="189">
        <v>0</v>
      </c>
      <c r="FK386" s="189">
        <v>425.9</v>
      </c>
      <c r="FL386" s="189">
        <v>345</v>
      </c>
      <c r="FN386" s="132">
        <v>100</v>
      </c>
    </row>
    <row r="387" spans="1:170" ht="45">
      <c r="A387" s="88">
        <f>COUNTIF($H$12:H387,H387)</f>
        <v>28</v>
      </c>
      <c r="B387" s="88" t="s">
        <v>1841</v>
      </c>
      <c r="C387" s="88" t="s">
        <v>857</v>
      </c>
      <c r="D387" s="88"/>
      <c r="E387" s="88"/>
      <c r="F387" s="301" t="s">
        <v>1196</v>
      </c>
      <c r="G387" s="303" t="s">
        <v>3086</v>
      </c>
      <c r="H387" s="88">
        <v>7</v>
      </c>
      <c r="I387" s="88">
        <v>7</v>
      </c>
      <c r="J387" s="88">
        <v>7</v>
      </c>
      <c r="K387" s="90" t="s">
        <v>1164</v>
      </c>
      <c r="L387" s="90" t="s">
        <v>1164</v>
      </c>
      <c r="M387" s="214"/>
      <c r="N387" s="88" t="s">
        <v>1179</v>
      </c>
      <c r="O387" s="216">
        <f t="shared" si="1269"/>
        <v>3</v>
      </c>
      <c r="P387" s="88" t="str">
        <f t="shared" si="1265"/>
        <v>B11_3</v>
      </c>
      <c r="Q387" s="88">
        <f t="shared" si="1154"/>
        <v>270</v>
      </c>
      <c r="R387" s="88">
        <f t="shared" si="1155"/>
        <v>60</v>
      </c>
      <c r="S387" s="218" t="s">
        <v>3187</v>
      </c>
      <c r="T387" s="88" t="s">
        <v>3094</v>
      </c>
      <c r="U387" s="88">
        <f>IF(RIGHT(T387,1)="K",(VLOOKUP(T387,ma_miengiam!$A$3:$B$80,2,0)*100)/2,VLOOKUP(T387,ma_miengiam!$A$3:$B$80,2,0)*100)</f>
        <v>35</v>
      </c>
      <c r="V387" s="88">
        <v>6</v>
      </c>
      <c r="W387" s="220">
        <f>IF(AND(T387="NTS",V387&gt;0),(Q387-(Q387*V387)/12)*VLOOKUP(T387,ma_miengiam!$A$3:$B$80,2,0)+(Q387-(Q387*(12-V387))/12),IF(AND(RIGHT(T387,1)="K",V387&gt;0),(VLOOKUP(T387,ma_miengiam!$A$3:$B$80,2,0)/2)*(Q387*V387)/12,IF(RIGHT(T387,1)="K",(VLOOKUP(T387,ma_miengiam!$A$3:$B$80,2,0)*Q387)/2,IF(V387&gt;0,VLOOKUP(T387,ma_miengiam!$A$3:$B$80,2,0)*Q387*V387/12,VLOOKUP(T387,ma_miengiam!$A$3:$B$80,2,0)*Q387))))</f>
        <v>47.25</v>
      </c>
      <c r="X387" s="220">
        <f>IF(T387="NTS",VLOOKUP(T387,ma_miengiam!$A$3:$B$80,2,0)*R387*V387,IF(AND(T387="NTS",V387=0),0,IF(AND(LEFT(T387,1)="K",V387=0),VLOOKUP(T387,ma_miengiam!$A$3:$B$80,2,0)*R387,IF(LEFT(T387,1)="K",(VLOOKUP(T387,ma_miengiam!$A$3:$B$80,2,0)*R387/12)*V387,IF(AND(LEFT(T387,1)="S",V387&gt;0),(R387/12)*V387,IF(AND(LEFT(T387,1)="S",V387=0),R387,IF(T387="DH",VLOOKUP(T387,ma_miengiam!$A$3:$B$80,2,0)*R387,0)))))))</f>
        <v>0</v>
      </c>
      <c r="Y387" s="220">
        <f t="shared" si="1107"/>
        <v>87.75</v>
      </c>
      <c r="Z387" s="220">
        <f t="shared" si="1156"/>
        <v>30</v>
      </c>
      <c r="AA387" s="220">
        <f t="shared" si="1270"/>
        <v>270</v>
      </c>
      <c r="AB387" s="220">
        <f t="shared" si="1270"/>
        <v>60</v>
      </c>
      <c r="AC387" s="220">
        <f t="shared" ref="AC387:AF388" si="1275">W387</f>
        <v>47.25</v>
      </c>
      <c r="AD387" s="220">
        <f t="shared" si="1275"/>
        <v>0</v>
      </c>
      <c r="AE387" s="220">
        <f t="shared" si="1275"/>
        <v>87.75</v>
      </c>
      <c r="AF387" s="220">
        <f t="shared" si="1275"/>
        <v>30</v>
      </c>
      <c r="AG387" s="220">
        <f t="shared" si="1248"/>
        <v>83.23</v>
      </c>
      <c r="AH387" s="220">
        <f t="shared" si="1249"/>
        <v>8.23</v>
      </c>
      <c r="AI387" s="220">
        <f t="shared" si="1250"/>
        <v>75</v>
      </c>
      <c r="AJ387" s="220">
        <f t="shared" si="1190"/>
        <v>0</v>
      </c>
      <c r="AK387" s="216">
        <f t="shared" si="1266"/>
        <v>87.75</v>
      </c>
      <c r="AL387" s="220">
        <f t="shared" si="1251"/>
        <v>829.69999999999993</v>
      </c>
      <c r="AM387" s="220">
        <f t="shared" si="1252"/>
        <v>123.5</v>
      </c>
      <c r="AN387" s="221">
        <f t="shared" si="1253"/>
        <v>953.19999999999993</v>
      </c>
      <c r="AO387" s="220">
        <f t="shared" si="1254"/>
        <v>0</v>
      </c>
      <c r="AP387" s="220">
        <f t="shared" si="1255"/>
        <v>0</v>
      </c>
      <c r="AQ387" s="220">
        <f t="shared" si="1256"/>
        <v>0</v>
      </c>
      <c r="AR387" s="220">
        <f t="shared" si="1257"/>
        <v>0</v>
      </c>
      <c r="AS387" s="220">
        <f t="shared" si="1258"/>
        <v>0</v>
      </c>
      <c r="AT387" s="216">
        <f t="shared" si="1259"/>
        <v>953.19999999999993</v>
      </c>
      <c r="AU387" s="222">
        <f t="shared" si="1117"/>
        <v>865.44999999999993</v>
      </c>
      <c r="AV387" s="220"/>
      <c r="AW387" s="220">
        <f t="shared" si="1165"/>
        <v>865.44999999999993</v>
      </c>
      <c r="AX387" s="216">
        <f t="shared" si="1267"/>
        <v>0</v>
      </c>
      <c r="AY387" s="220">
        <f t="shared" si="1179"/>
        <v>0</v>
      </c>
      <c r="AZ387" s="220">
        <f t="shared" si="1180"/>
        <v>0</v>
      </c>
      <c r="BA387" s="220">
        <f t="shared" si="1181"/>
        <v>0</v>
      </c>
      <c r="BB387" s="220">
        <f t="shared" si="1182"/>
        <v>0</v>
      </c>
      <c r="BC387" s="220">
        <f t="shared" si="1183"/>
        <v>0</v>
      </c>
      <c r="BD387" s="216">
        <f t="shared" si="1195"/>
        <v>0</v>
      </c>
      <c r="BE387" s="220">
        <f t="shared" si="1166"/>
        <v>0</v>
      </c>
      <c r="BF387" s="220">
        <f t="shared" si="1167"/>
        <v>0</v>
      </c>
      <c r="BG387" s="220">
        <f t="shared" si="1168"/>
        <v>0</v>
      </c>
      <c r="BH387" s="220">
        <f t="shared" si="1169"/>
        <v>0</v>
      </c>
      <c r="BI387" s="220">
        <f t="shared" si="1170"/>
        <v>0</v>
      </c>
      <c r="BJ387" s="220" t="s">
        <v>1565</v>
      </c>
      <c r="BK387" s="220"/>
      <c r="BL387" s="223">
        <f t="shared" si="1201"/>
        <v>865.44999999999993</v>
      </c>
      <c r="BM387" s="220">
        <v>3</v>
      </c>
      <c r="BN387" s="220"/>
      <c r="BO387" s="220">
        <f t="shared" si="1184"/>
        <v>3</v>
      </c>
      <c r="BP387" s="220">
        <f>IF(AND(BL387&gt;0,BL387&lt;tiet!$D$1),BL387,IF(BL387&lt;=0,0,IF(BL387&gt;tiet!$C$1,tiet!$C$1)))</f>
        <v>200</v>
      </c>
      <c r="BQ387" s="87">
        <f t="shared" si="1191"/>
        <v>60000</v>
      </c>
      <c r="BR387" s="224">
        <f t="shared" si="1192"/>
        <v>12000000</v>
      </c>
      <c r="BS387" s="220">
        <f t="shared" si="1068"/>
        <v>665.44999999999993</v>
      </c>
      <c r="BT387" s="224">
        <f>VLOOKUP(N387,ma_dinhmuc!$A$1:$J$31,10,0)</f>
        <v>51000</v>
      </c>
      <c r="BU387" s="224">
        <f>ROUND(IF(BS387&gt;0,VLOOKUP(N387,ma_dinhmuc!$A$1:$J$31,10,0)*BS387,0),0)</f>
        <v>33937950</v>
      </c>
      <c r="BV387" s="224">
        <f t="shared" si="1193"/>
        <v>45937950</v>
      </c>
      <c r="BW387" s="224"/>
      <c r="BX387" s="224">
        <v>0</v>
      </c>
      <c r="BY387" s="224"/>
      <c r="BZ387" s="224"/>
      <c r="CA387" s="224"/>
      <c r="CB387" s="224"/>
      <c r="CC387" s="225">
        <f t="shared" si="1069"/>
        <v>45937950</v>
      </c>
      <c r="CD387" s="224">
        <f t="shared" si="1070"/>
        <v>0</v>
      </c>
      <c r="CE387" s="224"/>
      <c r="CF387" s="226"/>
      <c r="CG387" s="87"/>
      <c r="CH387" s="87">
        <f t="shared" si="1194"/>
        <v>28</v>
      </c>
      <c r="CI387" s="227" t="str">
        <f t="shared" si="1198"/>
        <v>Trần Thị Tuyết</v>
      </c>
      <c r="CJ387" s="227" t="str">
        <f t="shared" si="1199"/>
        <v>Mai</v>
      </c>
      <c r="CK387" s="87">
        <f t="shared" si="1200"/>
        <v>7</v>
      </c>
      <c r="CL387" s="227" t="str">
        <f t="shared" si="1272"/>
        <v>Tiếng Anh chuyên nghiệp</v>
      </c>
      <c r="CM387" s="87" t="str">
        <f t="shared" si="1172"/>
        <v>CB2</v>
      </c>
      <c r="CN387" s="87">
        <f>Q387</f>
        <v>270</v>
      </c>
      <c r="CO387" s="87">
        <f>R387</f>
        <v>60</v>
      </c>
      <c r="CP387" s="229">
        <f t="shared" si="1076"/>
        <v>0</v>
      </c>
      <c r="CQ387" s="229">
        <f t="shared" si="1077"/>
        <v>52.3</v>
      </c>
      <c r="CR387" s="229">
        <f t="shared" si="1078"/>
        <v>21</v>
      </c>
      <c r="CS387" s="229">
        <f t="shared" si="1079"/>
        <v>0</v>
      </c>
      <c r="CT387" s="229">
        <f t="shared" si="1080"/>
        <v>0</v>
      </c>
      <c r="CU387" s="229">
        <f t="shared" si="1081"/>
        <v>756.4</v>
      </c>
      <c r="CV387" s="229">
        <f t="shared" si="1082"/>
        <v>0</v>
      </c>
      <c r="CW387" s="229">
        <f t="shared" si="1083"/>
        <v>0</v>
      </c>
      <c r="CX387" s="229">
        <f t="shared" si="1084"/>
        <v>0</v>
      </c>
      <c r="CY387" s="229">
        <f t="shared" si="1085"/>
        <v>0</v>
      </c>
      <c r="CZ387" s="229">
        <f t="shared" si="1086"/>
        <v>0</v>
      </c>
      <c r="DA387" s="229">
        <f t="shared" si="1087"/>
        <v>0</v>
      </c>
      <c r="DB387" s="228">
        <f t="shared" si="1260"/>
        <v>829.69999999999993</v>
      </c>
      <c r="DC387" s="229"/>
      <c r="DD387" s="229"/>
      <c r="DE387" s="229"/>
      <c r="DF387" s="229"/>
      <c r="DG387" s="229"/>
      <c r="DH387" s="229"/>
      <c r="DI387" s="229"/>
      <c r="DJ387" s="229"/>
      <c r="DK387" s="229"/>
      <c r="DL387" s="229"/>
      <c r="DM387" s="229"/>
      <c r="DN387" s="229"/>
      <c r="DO387" s="228">
        <f t="shared" si="1261"/>
        <v>0</v>
      </c>
      <c r="DP387" s="228">
        <f t="shared" si="1262"/>
        <v>829.69999999999993</v>
      </c>
      <c r="DQ387" s="229">
        <f t="shared" si="1088"/>
        <v>114</v>
      </c>
      <c r="DR387" s="229">
        <f t="shared" si="1089"/>
        <v>6.8</v>
      </c>
      <c r="DS387" s="229">
        <f t="shared" si="1090"/>
        <v>0</v>
      </c>
      <c r="DT387" s="229">
        <f t="shared" si="1091"/>
        <v>2.7</v>
      </c>
      <c r="DU387" s="229">
        <f t="shared" si="1092"/>
        <v>0</v>
      </c>
      <c r="DV387" s="229">
        <f t="shared" si="1093"/>
        <v>0</v>
      </c>
      <c r="DW387" s="229">
        <f t="shared" si="1094"/>
        <v>0</v>
      </c>
      <c r="DX387" s="228">
        <f t="shared" si="1263"/>
        <v>123.5</v>
      </c>
      <c r="DY387" s="229"/>
      <c r="DZ387" s="229"/>
      <c r="EA387" s="229"/>
      <c r="EB387" s="229"/>
      <c r="EC387" s="229"/>
      <c r="ED387" s="229"/>
      <c r="EE387" s="229"/>
      <c r="EF387" s="228">
        <f t="shared" si="1072"/>
        <v>0</v>
      </c>
      <c r="EG387" s="228">
        <f t="shared" si="1264"/>
        <v>123.5</v>
      </c>
      <c r="EH387" s="229">
        <f t="shared" si="1073"/>
        <v>75</v>
      </c>
      <c r="EI387" s="229">
        <v>8.23</v>
      </c>
      <c r="EJ387" s="228">
        <f t="shared" si="1186"/>
        <v>83.23</v>
      </c>
      <c r="EK387" s="229"/>
      <c r="EL387" s="229"/>
      <c r="EM387" s="228">
        <f>SUM(EK387:EL387)</f>
        <v>0</v>
      </c>
      <c r="EN387" s="229">
        <f t="shared" si="1273"/>
        <v>75</v>
      </c>
      <c r="EO387" s="229">
        <f t="shared" si="1121"/>
        <v>8.23</v>
      </c>
      <c r="EP387" s="228">
        <f t="shared" si="1274"/>
        <v>83.23</v>
      </c>
      <c r="EQ387" s="173">
        <f t="shared" si="1075"/>
        <v>45</v>
      </c>
      <c r="ER387" s="189">
        <v>0</v>
      </c>
      <c r="ES387" s="189">
        <v>52.3</v>
      </c>
      <c r="ET387" s="189">
        <v>21</v>
      </c>
      <c r="EU387" s="189">
        <v>0</v>
      </c>
      <c r="EV387" s="189">
        <v>0</v>
      </c>
      <c r="EW387" s="189">
        <v>756.4</v>
      </c>
      <c r="EX387" s="189">
        <v>0</v>
      </c>
      <c r="EY387" s="189">
        <v>0</v>
      </c>
      <c r="EZ387" s="189">
        <v>0</v>
      </c>
      <c r="FA387" s="189">
        <v>0</v>
      </c>
      <c r="FB387" s="189">
        <v>0</v>
      </c>
      <c r="FC387" s="189">
        <v>0</v>
      </c>
      <c r="FD387" s="189">
        <v>114</v>
      </c>
      <c r="FE387" s="189">
        <v>6.8</v>
      </c>
      <c r="FF387" s="189">
        <v>0</v>
      </c>
      <c r="FG387" s="189">
        <v>2.7</v>
      </c>
      <c r="FH387" s="189">
        <v>0</v>
      </c>
      <c r="FI387" s="189">
        <v>0</v>
      </c>
      <c r="FJ387" s="189">
        <v>0</v>
      </c>
      <c r="FK387" s="189">
        <v>953.2</v>
      </c>
      <c r="FL387" s="189">
        <v>611</v>
      </c>
      <c r="FN387" s="132">
        <v>75</v>
      </c>
    </row>
    <row r="388" spans="1:170" ht="45">
      <c r="A388" s="88">
        <f>COUNTIF($H$12:H388,H388)</f>
        <v>29</v>
      </c>
      <c r="B388" s="88" t="s">
        <v>1843</v>
      </c>
      <c r="C388" s="88" t="s">
        <v>998</v>
      </c>
      <c r="D388" s="88"/>
      <c r="E388" s="88"/>
      <c r="F388" s="301" t="s">
        <v>817</v>
      </c>
      <c r="G388" s="89" t="s">
        <v>818</v>
      </c>
      <c r="H388" s="88">
        <v>7</v>
      </c>
      <c r="I388" s="88">
        <v>7</v>
      </c>
      <c r="J388" s="88">
        <v>7</v>
      </c>
      <c r="K388" s="90" t="s">
        <v>1164</v>
      </c>
      <c r="L388" s="90" t="s">
        <v>1164</v>
      </c>
      <c r="M388" s="214"/>
      <c r="N388" s="88" t="s">
        <v>1179</v>
      </c>
      <c r="O388" s="216">
        <f t="shared" si="1269"/>
        <v>3.33</v>
      </c>
      <c r="P388" s="88" t="str">
        <f t="shared" si="1265"/>
        <v>B11_4</v>
      </c>
      <c r="Q388" s="88">
        <f t="shared" si="1154"/>
        <v>270</v>
      </c>
      <c r="R388" s="88">
        <f t="shared" si="1155"/>
        <v>80</v>
      </c>
      <c r="S388" s="230" t="s">
        <v>1917</v>
      </c>
      <c r="T388" s="88" t="s">
        <v>3095</v>
      </c>
      <c r="U388" s="88">
        <f>IF(RIGHT(T388,1)="K",(VLOOKUP(T388,ma_miengiam!$A$3:$B$80,2,0)*100)/2,VLOOKUP(T388,ma_miengiam!$A$3:$B$80,2,0)*100)</f>
        <v>40</v>
      </c>
      <c r="V388" s="88">
        <v>6</v>
      </c>
      <c r="W388" s="220">
        <f>IF(AND(T388="NTS",V388&gt;0),(Q388-(Q388*V388)/12)*VLOOKUP(T388,ma_miengiam!$A$3:$B$80,2,0)+(Q388-(Q388*(12-V388))/12),IF(AND(RIGHT(T388,1)="K",V388&gt;0),(VLOOKUP(T388,ma_miengiam!$A$3:$B$80,2,0)/2)*(Q388*V388)/12,IF(RIGHT(T388,1)="K",(VLOOKUP(T388,ma_miengiam!$A$3:$B$80,2,0)*Q388)/2,IF(V388&gt;0,VLOOKUP(T388,ma_miengiam!$A$3:$B$80,2,0)*Q388*V388/12,VLOOKUP(T388,ma_miengiam!$A$3:$B$80,2,0)*Q388))))</f>
        <v>54</v>
      </c>
      <c r="X388" s="220">
        <f>IF(T388="NTS",VLOOKUP(T388,ma_miengiam!$A$3:$B$80,2,0)*R388*V388,IF(AND(T388="NTS",V388=0),0,IF(AND(LEFT(T388,1)="K",V388=0),VLOOKUP(T388,ma_miengiam!$A$3:$B$80,2,0)*R388,IF(LEFT(T388,1)="K",(VLOOKUP(T388,ma_miengiam!$A$3:$B$80,2,0)*R388/12)*V388,IF(AND(LEFT(T388,1)="S",V388&gt;0),(R388/12)*V388,IF(AND(LEFT(T388,1)="S",V388=0),R388,IF(T388="DH",VLOOKUP(T388,ma_miengiam!$A$3:$B$80,2,0)*R388,0)))))))</f>
        <v>0</v>
      </c>
      <c r="Y388" s="220">
        <f t="shared" si="1107"/>
        <v>81</v>
      </c>
      <c r="Z388" s="220">
        <f t="shared" si="1156"/>
        <v>40</v>
      </c>
      <c r="AA388" s="220">
        <f>Q388</f>
        <v>270</v>
      </c>
      <c r="AB388" s="220">
        <f>R388</f>
        <v>80</v>
      </c>
      <c r="AC388" s="220">
        <f t="shared" si="1275"/>
        <v>54</v>
      </c>
      <c r="AD388" s="220">
        <f t="shared" si="1275"/>
        <v>0</v>
      </c>
      <c r="AE388" s="220">
        <f t="shared" si="1275"/>
        <v>81</v>
      </c>
      <c r="AF388" s="220">
        <f t="shared" si="1275"/>
        <v>40</v>
      </c>
      <c r="AG388" s="220">
        <f t="shared" si="1248"/>
        <v>164.3</v>
      </c>
      <c r="AH388" s="220">
        <f t="shared" si="1249"/>
        <v>10.97</v>
      </c>
      <c r="AI388" s="220">
        <f t="shared" si="1250"/>
        <v>153.33000000000001</v>
      </c>
      <c r="AJ388" s="220">
        <f t="shared" si="1190"/>
        <v>0</v>
      </c>
      <c r="AK388" s="216">
        <f t="shared" si="1266"/>
        <v>81</v>
      </c>
      <c r="AL388" s="220">
        <f t="shared" si="1251"/>
        <v>369.8</v>
      </c>
      <c r="AM388" s="220">
        <f t="shared" si="1252"/>
        <v>0</v>
      </c>
      <c r="AN388" s="221">
        <f t="shared" si="1253"/>
        <v>369.8</v>
      </c>
      <c r="AO388" s="220">
        <f t="shared" si="1254"/>
        <v>0</v>
      </c>
      <c r="AP388" s="220">
        <f t="shared" si="1255"/>
        <v>0</v>
      </c>
      <c r="AQ388" s="220">
        <f t="shared" si="1256"/>
        <v>0</v>
      </c>
      <c r="AR388" s="220">
        <f t="shared" si="1257"/>
        <v>0</v>
      </c>
      <c r="AS388" s="220">
        <f t="shared" si="1258"/>
        <v>0</v>
      </c>
      <c r="AT388" s="216">
        <f t="shared" si="1259"/>
        <v>369.8</v>
      </c>
      <c r="AU388" s="222">
        <f t="shared" si="1117"/>
        <v>288.8</v>
      </c>
      <c r="AV388" s="220"/>
      <c r="AW388" s="220">
        <f t="shared" si="1165"/>
        <v>288.8</v>
      </c>
      <c r="AX388" s="216">
        <f t="shared" si="1267"/>
        <v>0</v>
      </c>
      <c r="AY388" s="220">
        <f t="shared" si="1179"/>
        <v>0</v>
      </c>
      <c r="AZ388" s="220">
        <f t="shared" si="1180"/>
        <v>0</v>
      </c>
      <c r="BA388" s="220">
        <f t="shared" si="1181"/>
        <v>0</v>
      </c>
      <c r="BB388" s="220">
        <f t="shared" si="1182"/>
        <v>0</v>
      </c>
      <c r="BC388" s="220">
        <f t="shared" si="1183"/>
        <v>0</v>
      </c>
      <c r="BD388" s="216">
        <f t="shared" si="1195"/>
        <v>0</v>
      </c>
      <c r="BE388" s="220">
        <f t="shared" si="1166"/>
        <v>0</v>
      </c>
      <c r="BF388" s="220">
        <f t="shared" si="1167"/>
        <v>0</v>
      </c>
      <c r="BG388" s="220">
        <f t="shared" si="1168"/>
        <v>0</v>
      </c>
      <c r="BH388" s="220">
        <f t="shared" si="1169"/>
        <v>0</v>
      </c>
      <c r="BI388" s="220">
        <f t="shared" si="1170"/>
        <v>0</v>
      </c>
      <c r="BJ388" s="220" t="s">
        <v>1565</v>
      </c>
      <c r="BK388" s="220"/>
      <c r="BL388" s="223">
        <f t="shared" si="1201"/>
        <v>288.8</v>
      </c>
      <c r="BM388" s="220">
        <v>3.33</v>
      </c>
      <c r="BN388" s="220"/>
      <c r="BO388" s="220">
        <f t="shared" si="1184"/>
        <v>3.33</v>
      </c>
      <c r="BP388" s="220">
        <f>IF(AND(BL388&gt;0,BL388&lt;tiet!$D$1),BL388,IF(BL388&lt;=0,0,IF(BL388&gt;tiet!$C$1,tiet!$C$1)))</f>
        <v>200</v>
      </c>
      <c r="BQ388" s="87">
        <f t="shared" si="1191"/>
        <v>65000</v>
      </c>
      <c r="BR388" s="224">
        <f t="shared" si="1192"/>
        <v>13000000</v>
      </c>
      <c r="BS388" s="220">
        <f t="shared" si="1068"/>
        <v>88.800000000000011</v>
      </c>
      <c r="BT388" s="224">
        <f>VLOOKUP(N388,ma_dinhmuc!$A$1:$J$31,10,0)</f>
        <v>51000</v>
      </c>
      <c r="BU388" s="224">
        <f>ROUND(IF(BS388&gt;0,VLOOKUP(N388,ma_dinhmuc!$A$1:$J$31,10,0)*BS388,0),0)</f>
        <v>4528800</v>
      </c>
      <c r="BV388" s="224">
        <f t="shared" si="1193"/>
        <v>17528800</v>
      </c>
      <c r="BW388" s="224"/>
      <c r="BX388" s="224">
        <v>0</v>
      </c>
      <c r="BY388" s="224"/>
      <c r="BZ388" s="224"/>
      <c r="CA388" s="224"/>
      <c r="CB388" s="224"/>
      <c r="CC388" s="225">
        <f t="shared" si="1069"/>
        <v>17528800</v>
      </c>
      <c r="CD388" s="224">
        <f t="shared" si="1070"/>
        <v>0</v>
      </c>
      <c r="CE388" s="224"/>
      <c r="CF388" s="226"/>
      <c r="CG388" s="87"/>
      <c r="CH388" s="87">
        <f t="shared" si="1194"/>
        <v>29</v>
      </c>
      <c r="CI388" s="227" t="str">
        <f t="shared" ref="CI388:CJ390" si="1276">F388</f>
        <v>Bùi Thị</v>
      </c>
      <c r="CJ388" s="227" t="str">
        <f t="shared" si="1276"/>
        <v>Là</v>
      </c>
      <c r="CK388" s="87">
        <f t="shared" ref="CK388:CK393" si="1277">H388</f>
        <v>7</v>
      </c>
      <c r="CL388" s="227" t="str">
        <f t="shared" si="1272"/>
        <v>Tiếng Anh chuyên nghiệp</v>
      </c>
      <c r="CM388" s="87" t="str">
        <f t="shared" si="1172"/>
        <v>CB2</v>
      </c>
      <c r="CN388" s="87">
        <f t="shared" ref="CN388:CN409" si="1278">Q388</f>
        <v>270</v>
      </c>
      <c r="CO388" s="87">
        <f t="shared" ref="CO388:CO409" si="1279">R388</f>
        <v>80</v>
      </c>
      <c r="CP388" s="229">
        <f t="shared" si="1076"/>
        <v>0</v>
      </c>
      <c r="CQ388" s="229">
        <f t="shared" si="1077"/>
        <v>19.8</v>
      </c>
      <c r="CR388" s="229">
        <f t="shared" si="1078"/>
        <v>8</v>
      </c>
      <c r="CS388" s="229">
        <f t="shared" si="1079"/>
        <v>0</v>
      </c>
      <c r="CT388" s="229">
        <f t="shared" si="1080"/>
        <v>0</v>
      </c>
      <c r="CU388" s="229">
        <f t="shared" si="1081"/>
        <v>300</v>
      </c>
      <c r="CV388" s="229">
        <f t="shared" si="1082"/>
        <v>0</v>
      </c>
      <c r="CW388" s="229">
        <f t="shared" si="1083"/>
        <v>42</v>
      </c>
      <c r="CX388" s="229">
        <f t="shared" si="1084"/>
        <v>0</v>
      </c>
      <c r="CY388" s="229">
        <f t="shared" si="1085"/>
        <v>0</v>
      </c>
      <c r="CZ388" s="229">
        <f t="shared" si="1086"/>
        <v>0</v>
      </c>
      <c r="DA388" s="229">
        <f t="shared" si="1087"/>
        <v>0</v>
      </c>
      <c r="DB388" s="228">
        <f t="shared" si="1260"/>
        <v>369.8</v>
      </c>
      <c r="DC388" s="229"/>
      <c r="DD388" s="229"/>
      <c r="DE388" s="229"/>
      <c r="DF388" s="229"/>
      <c r="DG388" s="229"/>
      <c r="DH388" s="229"/>
      <c r="DI388" s="229"/>
      <c r="DJ388" s="229"/>
      <c r="DK388" s="229"/>
      <c r="DL388" s="229"/>
      <c r="DM388" s="229"/>
      <c r="DN388" s="229"/>
      <c r="DO388" s="228">
        <f t="shared" si="1261"/>
        <v>0</v>
      </c>
      <c r="DP388" s="228">
        <f t="shared" si="1262"/>
        <v>369.8</v>
      </c>
      <c r="DQ388" s="229">
        <f t="shared" si="1088"/>
        <v>0</v>
      </c>
      <c r="DR388" s="229">
        <f t="shared" si="1089"/>
        <v>0</v>
      </c>
      <c r="DS388" s="229">
        <f t="shared" si="1090"/>
        <v>0</v>
      </c>
      <c r="DT388" s="229">
        <f t="shared" si="1091"/>
        <v>0</v>
      </c>
      <c r="DU388" s="229">
        <f t="shared" si="1092"/>
        <v>0</v>
      </c>
      <c r="DV388" s="229">
        <f t="shared" si="1093"/>
        <v>0</v>
      </c>
      <c r="DW388" s="229">
        <f t="shared" si="1094"/>
        <v>0</v>
      </c>
      <c r="DX388" s="228">
        <f t="shared" si="1263"/>
        <v>0</v>
      </c>
      <c r="DY388" s="229"/>
      <c r="DZ388" s="229"/>
      <c r="EA388" s="229"/>
      <c r="EB388" s="229"/>
      <c r="EC388" s="229"/>
      <c r="ED388" s="229"/>
      <c r="EE388" s="229"/>
      <c r="EF388" s="228">
        <f t="shared" si="1072"/>
        <v>0</v>
      </c>
      <c r="EG388" s="228">
        <f t="shared" si="1264"/>
        <v>0</v>
      </c>
      <c r="EH388" s="229">
        <f t="shared" si="1073"/>
        <v>153.33000000000001</v>
      </c>
      <c r="EI388" s="229">
        <v>10.97</v>
      </c>
      <c r="EJ388" s="228">
        <f t="shared" ref="EJ388:EJ419" si="1280">SUM(EH388:EI388)</f>
        <v>164.3</v>
      </c>
      <c r="EK388" s="229"/>
      <c r="EL388" s="229"/>
      <c r="EM388" s="228">
        <f>SUM(EK388:EL388)</f>
        <v>0</v>
      </c>
      <c r="EN388" s="229">
        <f t="shared" si="1273"/>
        <v>153.33000000000001</v>
      </c>
      <c r="EO388" s="229">
        <f t="shared" si="1121"/>
        <v>10.97</v>
      </c>
      <c r="EP388" s="228">
        <f t="shared" si="1274"/>
        <v>164.3</v>
      </c>
      <c r="EQ388" s="173">
        <f t="shared" si="1075"/>
        <v>113.33000000000001</v>
      </c>
      <c r="ER388" s="189">
        <v>0</v>
      </c>
      <c r="ES388" s="189">
        <v>19.8</v>
      </c>
      <c r="ET388" s="189">
        <v>8</v>
      </c>
      <c r="EU388" s="189">
        <v>0</v>
      </c>
      <c r="EV388" s="189">
        <v>0</v>
      </c>
      <c r="EW388" s="189">
        <v>300</v>
      </c>
      <c r="EX388" s="189">
        <v>0</v>
      </c>
      <c r="EY388" s="189">
        <v>42</v>
      </c>
      <c r="EZ388" s="189">
        <v>0</v>
      </c>
      <c r="FA388" s="189">
        <v>0</v>
      </c>
      <c r="FB388" s="189">
        <v>0</v>
      </c>
      <c r="FC388" s="189">
        <v>0</v>
      </c>
      <c r="FD388" s="189">
        <v>0</v>
      </c>
      <c r="FE388" s="189">
        <v>0</v>
      </c>
      <c r="FF388" s="189">
        <v>0</v>
      </c>
      <c r="FG388" s="189">
        <v>0</v>
      </c>
      <c r="FH388" s="189">
        <v>0</v>
      </c>
      <c r="FI388" s="189">
        <v>0</v>
      </c>
      <c r="FJ388" s="189">
        <v>0</v>
      </c>
      <c r="FK388" s="189">
        <v>369.8</v>
      </c>
      <c r="FL388" s="189">
        <v>310</v>
      </c>
      <c r="FN388" s="132">
        <v>153.33000000000001</v>
      </c>
    </row>
    <row r="389" spans="1:170" ht="30">
      <c r="A389" s="88">
        <f>COUNTIF($H$12:H389,H389)</f>
        <v>30</v>
      </c>
      <c r="B389" s="88" t="s">
        <v>1844</v>
      </c>
      <c r="C389" s="88" t="s">
        <v>859</v>
      </c>
      <c r="D389" s="88"/>
      <c r="E389" s="88"/>
      <c r="F389" s="301" t="s">
        <v>519</v>
      </c>
      <c r="G389" s="303" t="s">
        <v>2086</v>
      </c>
      <c r="H389" s="88">
        <v>7</v>
      </c>
      <c r="I389" s="88">
        <v>7</v>
      </c>
      <c r="J389" s="88">
        <v>7</v>
      </c>
      <c r="K389" s="90" t="s">
        <v>1164</v>
      </c>
      <c r="L389" s="90" t="s">
        <v>1164</v>
      </c>
      <c r="M389" s="214"/>
      <c r="N389" s="88" t="s">
        <v>1179</v>
      </c>
      <c r="O389" s="216">
        <f t="shared" si="1269"/>
        <v>3</v>
      </c>
      <c r="P389" s="88" t="str">
        <f t="shared" si="1265"/>
        <v>B11_3</v>
      </c>
      <c r="Q389" s="88">
        <f t="shared" si="1154"/>
        <v>270</v>
      </c>
      <c r="R389" s="88">
        <f t="shared" si="1155"/>
        <v>60</v>
      </c>
      <c r="S389" s="218" t="s">
        <v>2380</v>
      </c>
      <c r="T389" s="219" t="s">
        <v>3093</v>
      </c>
      <c r="U389" s="88">
        <f>IF(RIGHT(T389,1)="K",(VLOOKUP(T389,ma_miengiam!$A$3:$B$80,2,0)*100)/2,VLOOKUP(T389,ma_miengiam!$A$3:$B$80,2,0)*100)</f>
        <v>30</v>
      </c>
      <c r="V389" s="88"/>
      <c r="W389" s="220">
        <f>IF(AND(T389="NTS",V389&gt;0),(Q389-(Q389*V389)/12)*VLOOKUP(T389,ma_miengiam!$A$3:$B$80,2,0)+(Q389-(Q389*(12-V389))/12),IF(AND(RIGHT(T389,1)="K",V389&gt;0),(VLOOKUP(T389,ma_miengiam!$A$3:$B$80,2,0)/2)*(Q389*V389)/12,IF(RIGHT(T389,1)="K",(VLOOKUP(T389,ma_miengiam!$A$3:$B$80,2,0)*Q389)/2,IF(V389&gt;0,VLOOKUP(T389,ma_miengiam!$A$3:$B$80,2,0)*Q389*V389/12,VLOOKUP(T389,ma_miengiam!$A$3:$B$80,2,0)*Q389))))</f>
        <v>81</v>
      </c>
      <c r="X389" s="220">
        <f>IF(T389="NTS",VLOOKUP(T389,ma_miengiam!$A$3:$B$80,2,0)*R389*V389,IF(AND(T389="NTS",V389=0),0,IF(AND(LEFT(T389,1)="K",V389=0),VLOOKUP(T389,ma_miengiam!$A$3:$B$80,2,0)*R389,IF(LEFT(T389,1)="K",(VLOOKUP(T389,ma_miengiam!$A$3:$B$80,2,0)*R389/12)*V389,IF(AND(LEFT(T389,1)="S",V389&gt;0),(R389/12)*V389,IF(AND(LEFT(T389,1)="S",V389=0),R389,IF(T389="DH",VLOOKUP(T389,ma_miengiam!$A$3:$B$80,2,0)*R389,0)))))))</f>
        <v>0</v>
      </c>
      <c r="Y389" s="220">
        <f t="shared" si="1107"/>
        <v>189</v>
      </c>
      <c r="Z389" s="220">
        <f t="shared" si="1156"/>
        <v>60</v>
      </c>
      <c r="AA389" s="220">
        <f t="shared" ref="AA389:AB392" si="1281">Q389</f>
        <v>270</v>
      </c>
      <c r="AB389" s="220">
        <f t="shared" si="1281"/>
        <v>60</v>
      </c>
      <c r="AC389" s="220">
        <f t="shared" ref="AC389:AF391" si="1282">W389</f>
        <v>81</v>
      </c>
      <c r="AD389" s="220">
        <f t="shared" si="1282"/>
        <v>0</v>
      </c>
      <c r="AE389" s="220">
        <f t="shared" si="1282"/>
        <v>189</v>
      </c>
      <c r="AF389" s="220">
        <f t="shared" si="1282"/>
        <v>60</v>
      </c>
      <c r="AG389" s="220">
        <f t="shared" si="1248"/>
        <v>100</v>
      </c>
      <c r="AH389" s="220">
        <f t="shared" si="1249"/>
        <v>0</v>
      </c>
      <c r="AI389" s="220">
        <f t="shared" si="1250"/>
        <v>100</v>
      </c>
      <c r="AJ389" s="220">
        <f t="shared" si="1190"/>
        <v>0</v>
      </c>
      <c r="AK389" s="216">
        <f t="shared" si="1266"/>
        <v>189</v>
      </c>
      <c r="AL389" s="220">
        <f t="shared" si="1251"/>
        <v>809</v>
      </c>
      <c r="AM389" s="220">
        <f t="shared" si="1252"/>
        <v>173.70000000000002</v>
      </c>
      <c r="AN389" s="221">
        <f t="shared" si="1253"/>
        <v>982.7</v>
      </c>
      <c r="AO389" s="220">
        <f t="shared" si="1254"/>
        <v>0</v>
      </c>
      <c r="AP389" s="220">
        <f t="shared" si="1255"/>
        <v>0</v>
      </c>
      <c r="AQ389" s="220">
        <f t="shared" si="1256"/>
        <v>0</v>
      </c>
      <c r="AR389" s="220">
        <f t="shared" si="1257"/>
        <v>0</v>
      </c>
      <c r="AS389" s="220">
        <f t="shared" si="1258"/>
        <v>0</v>
      </c>
      <c r="AT389" s="216">
        <f t="shared" si="1259"/>
        <v>982.7</v>
      </c>
      <c r="AU389" s="222">
        <f t="shared" si="1117"/>
        <v>793.7</v>
      </c>
      <c r="AV389" s="220"/>
      <c r="AW389" s="220">
        <f t="shared" si="1165"/>
        <v>793.7</v>
      </c>
      <c r="AX389" s="216">
        <f t="shared" si="1267"/>
        <v>0</v>
      </c>
      <c r="AY389" s="220">
        <f t="shared" si="1179"/>
        <v>0</v>
      </c>
      <c r="AZ389" s="220">
        <f t="shared" si="1180"/>
        <v>0</v>
      </c>
      <c r="BA389" s="220">
        <f t="shared" si="1181"/>
        <v>0</v>
      </c>
      <c r="BB389" s="220">
        <f t="shared" si="1182"/>
        <v>0</v>
      </c>
      <c r="BC389" s="220">
        <f t="shared" si="1183"/>
        <v>0</v>
      </c>
      <c r="BD389" s="216">
        <f t="shared" si="1195"/>
        <v>0</v>
      </c>
      <c r="BE389" s="220">
        <f t="shared" si="1166"/>
        <v>0</v>
      </c>
      <c r="BF389" s="220">
        <f t="shared" si="1167"/>
        <v>0</v>
      </c>
      <c r="BG389" s="220">
        <f t="shared" si="1168"/>
        <v>0</v>
      </c>
      <c r="BH389" s="220">
        <f t="shared" si="1169"/>
        <v>0</v>
      </c>
      <c r="BI389" s="220">
        <f t="shared" si="1170"/>
        <v>0</v>
      </c>
      <c r="BJ389" s="220" t="s">
        <v>1565</v>
      </c>
      <c r="BK389" s="220"/>
      <c r="BL389" s="223">
        <f t="shared" si="1201"/>
        <v>793.7</v>
      </c>
      <c r="BM389" s="220">
        <v>3</v>
      </c>
      <c r="BN389" s="220"/>
      <c r="BO389" s="220">
        <f t="shared" si="1184"/>
        <v>3</v>
      </c>
      <c r="BP389" s="220">
        <f>IF(AND(BL389&gt;0,BL389&lt;tiet!$D$1),BL389,IF(BL389&lt;=0,0,IF(BL389&gt;tiet!$C$1,tiet!$C$1)))</f>
        <v>200</v>
      </c>
      <c r="BQ389" s="87">
        <f t="shared" si="1191"/>
        <v>60000</v>
      </c>
      <c r="BR389" s="224">
        <f t="shared" si="1192"/>
        <v>12000000</v>
      </c>
      <c r="BS389" s="220">
        <f t="shared" si="1068"/>
        <v>593.70000000000005</v>
      </c>
      <c r="BT389" s="224">
        <f>VLOOKUP(N389,ma_dinhmuc!$A$1:$J$31,10,0)</f>
        <v>51000</v>
      </c>
      <c r="BU389" s="224">
        <f>ROUND(IF(BS389&gt;0,VLOOKUP(N389,ma_dinhmuc!$A$1:$J$31,10,0)*BS389,0),0)</f>
        <v>30278700</v>
      </c>
      <c r="BV389" s="224">
        <f t="shared" si="1193"/>
        <v>42278700</v>
      </c>
      <c r="BW389" s="224"/>
      <c r="BX389" s="224">
        <v>0</v>
      </c>
      <c r="BY389" s="224"/>
      <c r="BZ389" s="224"/>
      <c r="CA389" s="224"/>
      <c r="CB389" s="224"/>
      <c r="CC389" s="225">
        <f t="shared" si="1069"/>
        <v>42278700</v>
      </c>
      <c r="CD389" s="224">
        <f t="shared" si="1070"/>
        <v>0</v>
      </c>
      <c r="CE389" s="224"/>
      <c r="CF389" s="226"/>
      <c r="CG389" s="87"/>
      <c r="CH389" s="87">
        <f t="shared" si="1194"/>
        <v>30</v>
      </c>
      <c r="CI389" s="227" t="str">
        <f t="shared" si="1276"/>
        <v>Nguyễn Thị Lan</v>
      </c>
      <c r="CJ389" s="227" t="str">
        <f t="shared" si="1276"/>
        <v>Anh</v>
      </c>
      <c r="CK389" s="87">
        <f t="shared" si="1277"/>
        <v>7</v>
      </c>
      <c r="CL389" s="227" t="str">
        <f t="shared" si="1272"/>
        <v>Tiếng Anh chuyên nghiệp</v>
      </c>
      <c r="CM389" s="87" t="str">
        <f t="shared" si="1172"/>
        <v>CB2</v>
      </c>
      <c r="CN389" s="87">
        <f t="shared" si="1278"/>
        <v>270</v>
      </c>
      <c r="CO389" s="87">
        <f t="shared" si="1279"/>
        <v>60</v>
      </c>
      <c r="CP389" s="229">
        <f t="shared" si="1076"/>
        <v>0</v>
      </c>
      <c r="CQ389" s="229">
        <f t="shared" si="1077"/>
        <v>75.900000000000006</v>
      </c>
      <c r="CR389" s="229">
        <f t="shared" si="1078"/>
        <v>30.8</v>
      </c>
      <c r="CS389" s="229">
        <f t="shared" si="1079"/>
        <v>0</v>
      </c>
      <c r="CT389" s="229">
        <f t="shared" si="1080"/>
        <v>0</v>
      </c>
      <c r="CU389" s="229">
        <f t="shared" si="1081"/>
        <v>690.3</v>
      </c>
      <c r="CV389" s="229">
        <f t="shared" si="1082"/>
        <v>0</v>
      </c>
      <c r="CW389" s="229">
        <f t="shared" si="1083"/>
        <v>12</v>
      </c>
      <c r="CX389" s="229">
        <f t="shared" si="1084"/>
        <v>0</v>
      </c>
      <c r="CY389" s="229">
        <f t="shared" si="1085"/>
        <v>0</v>
      </c>
      <c r="CZ389" s="229">
        <f t="shared" si="1086"/>
        <v>0</v>
      </c>
      <c r="DA389" s="229">
        <f t="shared" si="1087"/>
        <v>0</v>
      </c>
      <c r="DB389" s="228">
        <f t="shared" si="1260"/>
        <v>809</v>
      </c>
      <c r="DC389" s="229"/>
      <c r="DD389" s="229"/>
      <c r="DE389" s="229"/>
      <c r="DF389" s="229"/>
      <c r="DG389" s="229"/>
      <c r="DH389" s="229"/>
      <c r="DI389" s="229"/>
      <c r="DJ389" s="229"/>
      <c r="DK389" s="229"/>
      <c r="DL389" s="229"/>
      <c r="DM389" s="229"/>
      <c r="DN389" s="229"/>
      <c r="DO389" s="228">
        <f t="shared" si="1261"/>
        <v>0</v>
      </c>
      <c r="DP389" s="228">
        <f t="shared" si="1262"/>
        <v>809</v>
      </c>
      <c r="DQ389" s="229">
        <f t="shared" si="1088"/>
        <v>162</v>
      </c>
      <c r="DR389" s="229">
        <f t="shared" si="1089"/>
        <v>8.3000000000000007</v>
      </c>
      <c r="DS389" s="229">
        <f t="shared" si="1090"/>
        <v>0</v>
      </c>
      <c r="DT389" s="229">
        <f t="shared" si="1091"/>
        <v>3.4</v>
      </c>
      <c r="DU389" s="229">
        <f t="shared" si="1092"/>
        <v>0</v>
      </c>
      <c r="DV389" s="229">
        <f t="shared" si="1093"/>
        <v>0</v>
      </c>
      <c r="DW389" s="229">
        <f t="shared" si="1094"/>
        <v>0</v>
      </c>
      <c r="DX389" s="228">
        <f t="shared" si="1263"/>
        <v>173.70000000000002</v>
      </c>
      <c r="DY389" s="229"/>
      <c r="DZ389" s="229"/>
      <c r="EA389" s="229"/>
      <c r="EB389" s="229"/>
      <c r="EC389" s="229"/>
      <c r="ED389" s="229"/>
      <c r="EE389" s="229"/>
      <c r="EF389" s="228">
        <f t="shared" si="1072"/>
        <v>0</v>
      </c>
      <c r="EG389" s="228">
        <f t="shared" si="1264"/>
        <v>173.70000000000002</v>
      </c>
      <c r="EH389" s="229">
        <f t="shared" si="1073"/>
        <v>100</v>
      </c>
      <c r="EI389" s="229">
        <v>0</v>
      </c>
      <c r="EJ389" s="228">
        <f t="shared" si="1280"/>
        <v>100</v>
      </c>
      <c r="EK389" s="229"/>
      <c r="EL389" s="229"/>
      <c r="EM389" s="228">
        <f>SUM(EK389:EL389)</f>
        <v>0</v>
      </c>
      <c r="EN389" s="229">
        <f t="shared" si="1273"/>
        <v>100</v>
      </c>
      <c r="EO389" s="229">
        <f t="shared" si="1121"/>
        <v>0</v>
      </c>
      <c r="EP389" s="228">
        <f t="shared" si="1274"/>
        <v>100</v>
      </c>
      <c r="EQ389" s="173">
        <f t="shared" si="1075"/>
        <v>40</v>
      </c>
      <c r="ER389" s="189">
        <v>0</v>
      </c>
      <c r="ES389" s="189">
        <v>75.900000000000006</v>
      </c>
      <c r="ET389" s="189">
        <v>30.8</v>
      </c>
      <c r="EU389" s="189">
        <v>0</v>
      </c>
      <c r="EV389" s="189">
        <v>0</v>
      </c>
      <c r="EW389" s="189">
        <v>690.3</v>
      </c>
      <c r="EX389" s="189">
        <v>0</v>
      </c>
      <c r="EY389" s="189">
        <v>12</v>
      </c>
      <c r="EZ389" s="189">
        <v>0</v>
      </c>
      <c r="FA389" s="189">
        <v>0</v>
      </c>
      <c r="FB389" s="189">
        <v>0</v>
      </c>
      <c r="FC389" s="189">
        <v>0</v>
      </c>
      <c r="FD389" s="189">
        <v>162</v>
      </c>
      <c r="FE389" s="189">
        <v>8.3000000000000007</v>
      </c>
      <c r="FF389" s="189">
        <v>0</v>
      </c>
      <c r="FG389" s="189">
        <v>3.4</v>
      </c>
      <c r="FH389" s="189">
        <v>0</v>
      </c>
      <c r="FI389" s="189">
        <v>0</v>
      </c>
      <c r="FJ389" s="189">
        <v>0</v>
      </c>
      <c r="FK389" s="189">
        <v>982.7</v>
      </c>
      <c r="FL389" s="189">
        <v>686</v>
      </c>
      <c r="FN389" s="132">
        <v>100</v>
      </c>
    </row>
    <row r="390" spans="1:170" ht="30" customHeight="1">
      <c r="A390" s="88">
        <f>COUNTIF($H$12:H390,H390)</f>
        <v>31</v>
      </c>
      <c r="B390" s="88" t="s">
        <v>1845</v>
      </c>
      <c r="C390" s="88" t="s">
        <v>860</v>
      </c>
      <c r="D390" s="88"/>
      <c r="E390" s="88"/>
      <c r="F390" s="301" t="s">
        <v>1610</v>
      </c>
      <c r="G390" s="89" t="s">
        <v>1648</v>
      </c>
      <c r="H390" s="88">
        <v>7</v>
      </c>
      <c r="I390" s="88">
        <v>7</v>
      </c>
      <c r="J390" s="88">
        <v>7</v>
      </c>
      <c r="K390" s="90" t="s">
        <v>1164</v>
      </c>
      <c r="L390" s="90" t="s">
        <v>1164</v>
      </c>
      <c r="M390" s="214"/>
      <c r="N390" s="88" t="s">
        <v>1179</v>
      </c>
      <c r="O390" s="216">
        <f t="shared" si="1269"/>
        <v>2.67</v>
      </c>
      <c r="P390" s="88" t="str">
        <f t="shared" si="1265"/>
        <v>B11_3</v>
      </c>
      <c r="Q390" s="88">
        <f t="shared" si="1154"/>
        <v>270</v>
      </c>
      <c r="R390" s="88">
        <f t="shared" si="1155"/>
        <v>60</v>
      </c>
      <c r="S390" s="294" t="s">
        <v>1344</v>
      </c>
      <c r="T390" s="88" t="s">
        <v>3095</v>
      </c>
      <c r="U390" s="88">
        <f>IF(RIGHT(T390,1)="K",(VLOOKUP(T390,ma_miengiam!$A$3:$B$80,2,0)*100)/2,VLOOKUP(T390,ma_miengiam!$A$3:$B$80,2,0)*100)</f>
        <v>40</v>
      </c>
      <c r="V390" s="88"/>
      <c r="W390" s="220">
        <f>IF(AND(T390="NTS",V390&gt;0),(Q390-(Q390*V390)/12)*VLOOKUP(T390,ma_miengiam!$A$3:$B$80,2,0)+(Q390-(Q390*(12-V390))/12),IF(AND(RIGHT(T390,1)="K",V390&gt;0),(VLOOKUP(T390,ma_miengiam!$A$3:$B$80,2,0)/2)*(Q390*V390)/12,IF(RIGHT(T390,1)="K",(VLOOKUP(T390,ma_miengiam!$A$3:$B$80,2,0)*Q390)/2,IF(V390&gt;0,VLOOKUP(T390,ma_miengiam!$A$3:$B$80,2,0)*Q390*V390/12,VLOOKUP(T390,ma_miengiam!$A$3:$B$80,2,0)*Q390))))</f>
        <v>108</v>
      </c>
      <c r="X390" s="220">
        <f>IF(T390="NTS",VLOOKUP(T390,ma_miengiam!$A$3:$B$80,2,0)*R390*V390,IF(AND(T390="NTS",V390=0),0,IF(AND(LEFT(T390,1)="K",V390=0),VLOOKUP(T390,ma_miengiam!$A$3:$B$80,2,0)*R390,IF(LEFT(T390,1)="K",(VLOOKUP(T390,ma_miengiam!$A$3:$B$80,2,0)*R390/12)*V390,IF(AND(LEFT(T390,1)="S",V390&gt;0),(R390/12)*V390,IF(AND(LEFT(T390,1)="S",V390=0),R390,IF(T390="DH",VLOOKUP(T390,ma_miengiam!$A$3:$B$80,2,0)*R390,0)))))))</f>
        <v>0</v>
      </c>
      <c r="Y390" s="220">
        <f t="shared" si="1107"/>
        <v>162</v>
      </c>
      <c r="Z390" s="220">
        <f t="shared" si="1156"/>
        <v>60</v>
      </c>
      <c r="AA390" s="220">
        <f t="shared" si="1281"/>
        <v>270</v>
      </c>
      <c r="AB390" s="220">
        <f t="shared" si="1281"/>
        <v>60</v>
      </c>
      <c r="AC390" s="220">
        <f t="shared" si="1282"/>
        <v>108</v>
      </c>
      <c r="AD390" s="220">
        <f t="shared" si="1282"/>
        <v>0</v>
      </c>
      <c r="AE390" s="220">
        <f t="shared" si="1282"/>
        <v>162</v>
      </c>
      <c r="AF390" s="220">
        <f t="shared" si="1282"/>
        <v>60</v>
      </c>
      <c r="AG390" s="220">
        <f t="shared" ref="AG390:AG396" si="1283">AH390+AI390</f>
        <v>83.23</v>
      </c>
      <c r="AH390" s="220">
        <f t="shared" ref="AH390:AH396" si="1284">EO390</f>
        <v>8.23</v>
      </c>
      <c r="AI390" s="220">
        <f t="shared" ref="AI390:AI396" si="1285">EN390</f>
        <v>75</v>
      </c>
      <c r="AJ390" s="220">
        <f t="shared" si="1190"/>
        <v>0</v>
      </c>
      <c r="AK390" s="216">
        <f t="shared" si="1266"/>
        <v>162</v>
      </c>
      <c r="AL390" s="220">
        <f t="shared" si="1251"/>
        <v>1003.3</v>
      </c>
      <c r="AM390" s="220">
        <f t="shared" si="1252"/>
        <v>115.89999999999999</v>
      </c>
      <c r="AN390" s="221">
        <f t="shared" si="1253"/>
        <v>1119.2</v>
      </c>
      <c r="AO390" s="220">
        <f t="shared" si="1254"/>
        <v>0</v>
      </c>
      <c r="AP390" s="220">
        <f t="shared" si="1255"/>
        <v>0</v>
      </c>
      <c r="AQ390" s="220">
        <f t="shared" si="1256"/>
        <v>0</v>
      </c>
      <c r="AR390" s="220">
        <f t="shared" si="1257"/>
        <v>0</v>
      </c>
      <c r="AS390" s="220">
        <f t="shared" si="1258"/>
        <v>0</v>
      </c>
      <c r="AT390" s="216">
        <f t="shared" si="1259"/>
        <v>1119.2</v>
      </c>
      <c r="AU390" s="222">
        <f t="shared" si="1117"/>
        <v>957.2</v>
      </c>
      <c r="AV390" s="220"/>
      <c r="AW390" s="220">
        <f t="shared" si="1165"/>
        <v>957.2</v>
      </c>
      <c r="AX390" s="216">
        <f t="shared" si="1267"/>
        <v>0</v>
      </c>
      <c r="AY390" s="220">
        <f t="shared" si="1179"/>
        <v>0</v>
      </c>
      <c r="AZ390" s="220">
        <f t="shared" si="1180"/>
        <v>0</v>
      </c>
      <c r="BA390" s="220">
        <f t="shared" si="1181"/>
        <v>0</v>
      </c>
      <c r="BB390" s="220">
        <f t="shared" si="1182"/>
        <v>0</v>
      </c>
      <c r="BC390" s="220">
        <f t="shared" si="1183"/>
        <v>0</v>
      </c>
      <c r="BD390" s="216">
        <f t="shared" si="1195"/>
        <v>0</v>
      </c>
      <c r="BE390" s="220">
        <f t="shared" si="1166"/>
        <v>0</v>
      </c>
      <c r="BF390" s="220">
        <f t="shared" si="1167"/>
        <v>0</v>
      </c>
      <c r="BG390" s="220">
        <f t="shared" si="1168"/>
        <v>0</v>
      </c>
      <c r="BH390" s="220">
        <f t="shared" si="1169"/>
        <v>0</v>
      </c>
      <c r="BI390" s="220">
        <f t="shared" si="1170"/>
        <v>0</v>
      </c>
      <c r="BJ390" s="220" t="s">
        <v>1565</v>
      </c>
      <c r="BK390" s="220"/>
      <c r="BL390" s="223">
        <f t="shared" si="1201"/>
        <v>957.2</v>
      </c>
      <c r="BM390" s="220">
        <v>2.67</v>
      </c>
      <c r="BN390" s="220"/>
      <c r="BO390" s="220">
        <f t="shared" si="1184"/>
        <v>2.67</v>
      </c>
      <c r="BP390" s="220">
        <f>IF(AND(BL390&gt;0,BL390&lt;tiet!$D$1),BL390,IF(BL390&lt;=0,0,IF(BL390&gt;tiet!$C$1,tiet!$C$1)))</f>
        <v>200</v>
      </c>
      <c r="BQ390" s="87">
        <f t="shared" si="1191"/>
        <v>60000</v>
      </c>
      <c r="BR390" s="224">
        <f t="shared" si="1192"/>
        <v>12000000</v>
      </c>
      <c r="BS390" s="220">
        <f t="shared" si="1068"/>
        <v>757.2</v>
      </c>
      <c r="BT390" s="224">
        <f>VLOOKUP(N390,ma_dinhmuc!$A$1:$J$31,10,0)</f>
        <v>51000</v>
      </c>
      <c r="BU390" s="224">
        <f>ROUND(IF(BS390&gt;0,VLOOKUP(N390,ma_dinhmuc!$A$1:$J$31,10,0)*BS390,0),0)</f>
        <v>38617200</v>
      </c>
      <c r="BV390" s="224">
        <f t="shared" si="1193"/>
        <v>50617200</v>
      </c>
      <c r="BW390" s="224"/>
      <c r="BX390" s="224">
        <v>0</v>
      </c>
      <c r="BY390" s="224"/>
      <c r="BZ390" s="224"/>
      <c r="CA390" s="224"/>
      <c r="CB390" s="224"/>
      <c r="CC390" s="225">
        <f t="shared" ref="CC390:CC434" si="1286">ROUND(IF(BV390+BW390&gt;BX390+BY390+BZ390+CA390+CB390,(BW390+BV390)-(BX390+BY390+BZ390+CA390+CB390+CB390),0),0)</f>
        <v>50617200</v>
      </c>
      <c r="CD390" s="224">
        <f t="shared" ref="CD390:CD434" si="1287">ROUND(IF(BV390+BW390&lt;BX390+BY390+BZ390+CA390-CB390,(BX390+BY390+BZ390+CA390-CB390)-(BW390+BV390),0),0)</f>
        <v>0</v>
      </c>
      <c r="CE390" s="224"/>
      <c r="CF390" s="226"/>
      <c r="CG390" s="87"/>
      <c r="CH390" s="87">
        <f t="shared" si="1194"/>
        <v>31</v>
      </c>
      <c r="CI390" s="227" t="str">
        <f t="shared" si="1276"/>
        <v>Trần Thu</v>
      </c>
      <c r="CJ390" s="227" t="str">
        <f t="shared" si="1276"/>
        <v>Trang</v>
      </c>
      <c r="CK390" s="87">
        <f t="shared" si="1277"/>
        <v>7</v>
      </c>
      <c r="CL390" s="227" t="str">
        <f t="shared" si="1272"/>
        <v>Tiếng Anh chuyên nghiệp</v>
      </c>
      <c r="CM390" s="87" t="str">
        <f t="shared" si="1172"/>
        <v>CB2</v>
      </c>
      <c r="CN390" s="87">
        <f>Q390</f>
        <v>270</v>
      </c>
      <c r="CO390" s="87">
        <f t="shared" si="1279"/>
        <v>60</v>
      </c>
      <c r="CP390" s="229">
        <f t="shared" si="1076"/>
        <v>0</v>
      </c>
      <c r="CQ390" s="229">
        <f t="shared" si="1077"/>
        <v>80.900000000000006</v>
      </c>
      <c r="CR390" s="229">
        <f t="shared" si="1078"/>
        <v>32.6</v>
      </c>
      <c r="CS390" s="229">
        <f t="shared" si="1079"/>
        <v>0</v>
      </c>
      <c r="CT390" s="229">
        <f t="shared" si="1080"/>
        <v>0</v>
      </c>
      <c r="CU390" s="229">
        <f t="shared" si="1081"/>
        <v>853.8</v>
      </c>
      <c r="CV390" s="229">
        <f t="shared" si="1082"/>
        <v>0</v>
      </c>
      <c r="CW390" s="229">
        <f t="shared" si="1083"/>
        <v>36</v>
      </c>
      <c r="CX390" s="229">
        <f t="shared" si="1084"/>
        <v>0</v>
      </c>
      <c r="CY390" s="229">
        <f t="shared" si="1085"/>
        <v>0</v>
      </c>
      <c r="CZ390" s="229">
        <f t="shared" si="1086"/>
        <v>0</v>
      </c>
      <c r="DA390" s="229">
        <f t="shared" si="1087"/>
        <v>0</v>
      </c>
      <c r="DB390" s="228">
        <f t="shared" si="1260"/>
        <v>1003.3</v>
      </c>
      <c r="DC390" s="229"/>
      <c r="DD390" s="229"/>
      <c r="DE390" s="229"/>
      <c r="DF390" s="229"/>
      <c r="DG390" s="229"/>
      <c r="DH390" s="229"/>
      <c r="DI390" s="229"/>
      <c r="DJ390" s="229"/>
      <c r="DK390" s="229"/>
      <c r="DL390" s="229"/>
      <c r="DM390" s="229"/>
      <c r="DN390" s="229"/>
      <c r="DO390" s="228">
        <f t="shared" si="1261"/>
        <v>0</v>
      </c>
      <c r="DP390" s="228">
        <f t="shared" si="1262"/>
        <v>1003.3</v>
      </c>
      <c r="DQ390" s="229">
        <f t="shared" si="1088"/>
        <v>108</v>
      </c>
      <c r="DR390" s="229">
        <f t="shared" si="1089"/>
        <v>5.6</v>
      </c>
      <c r="DS390" s="229">
        <f t="shared" si="1090"/>
        <v>0</v>
      </c>
      <c r="DT390" s="229">
        <f t="shared" si="1091"/>
        <v>2.2999999999999998</v>
      </c>
      <c r="DU390" s="229">
        <f t="shared" si="1092"/>
        <v>0</v>
      </c>
      <c r="DV390" s="229">
        <f t="shared" si="1093"/>
        <v>0</v>
      </c>
      <c r="DW390" s="229">
        <f t="shared" si="1094"/>
        <v>0</v>
      </c>
      <c r="DX390" s="228">
        <f t="shared" si="1263"/>
        <v>115.89999999999999</v>
      </c>
      <c r="DY390" s="229"/>
      <c r="DZ390" s="229"/>
      <c r="EA390" s="229"/>
      <c r="EB390" s="229"/>
      <c r="EC390" s="229"/>
      <c r="ED390" s="229"/>
      <c r="EE390" s="229"/>
      <c r="EF390" s="228">
        <f t="shared" si="1072"/>
        <v>0</v>
      </c>
      <c r="EG390" s="228">
        <f t="shared" si="1264"/>
        <v>115.89999999999999</v>
      </c>
      <c r="EH390" s="229">
        <f t="shared" si="1073"/>
        <v>75</v>
      </c>
      <c r="EI390" s="229">
        <v>8.23</v>
      </c>
      <c r="EJ390" s="228">
        <f t="shared" si="1280"/>
        <v>83.23</v>
      </c>
      <c r="EK390" s="229"/>
      <c r="EL390" s="229"/>
      <c r="EM390" s="228">
        <f t="shared" ref="EM390:EM396" si="1288">SUM(EK390:EL390)</f>
        <v>0</v>
      </c>
      <c r="EN390" s="229">
        <f t="shared" si="1273"/>
        <v>75</v>
      </c>
      <c r="EO390" s="229">
        <f t="shared" si="1121"/>
        <v>8.23</v>
      </c>
      <c r="EP390" s="228">
        <f t="shared" si="1274"/>
        <v>83.23</v>
      </c>
      <c r="EQ390" s="173">
        <f t="shared" si="1075"/>
        <v>15</v>
      </c>
      <c r="ER390" s="189">
        <v>0</v>
      </c>
      <c r="ES390" s="189">
        <v>80.900000000000006</v>
      </c>
      <c r="ET390" s="189">
        <v>32.6</v>
      </c>
      <c r="EU390" s="189">
        <v>0</v>
      </c>
      <c r="EV390" s="189">
        <v>0</v>
      </c>
      <c r="EW390" s="189">
        <v>853.8</v>
      </c>
      <c r="EX390" s="189">
        <v>0</v>
      </c>
      <c r="EY390" s="189">
        <v>36</v>
      </c>
      <c r="EZ390" s="189">
        <v>0</v>
      </c>
      <c r="FA390" s="189">
        <v>0</v>
      </c>
      <c r="FB390" s="189">
        <v>0</v>
      </c>
      <c r="FC390" s="189">
        <v>0</v>
      </c>
      <c r="FD390" s="189">
        <v>108</v>
      </c>
      <c r="FE390" s="189">
        <v>5.6</v>
      </c>
      <c r="FF390" s="189">
        <v>0</v>
      </c>
      <c r="FG390" s="189">
        <v>2.2999999999999998</v>
      </c>
      <c r="FH390" s="189">
        <v>0</v>
      </c>
      <c r="FI390" s="189">
        <v>0</v>
      </c>
      <c r="FJ390" s="189">
        <v>0</v>
      </c>
      <c r="FK390" s="189">
        <v>1119.2</v>
      </c>
      <c r="FL390" s="189">
        <v>769</v>
      </c>
      <c r="FN390" s="132">
        <v>75</v>
      </c>
    </row>
    <row r="391" spans="1:170" ht="26.25" customHeight="1">
      <c r="A391" s="88">
        <f>COUNTIF($H$12:H391,H391)</f>
        <v>32</v>
      </c>
      <c r="B391" s="88" t="s">
        <v>1846</v>
      </c>
      <c r="C391" s="88" t="s">
        <v>861</v>
      </c>
      <c r="D391" s="88"/>
      <c r="E391" s="88"/>
      <c r="F391" s="301" t="s">
        <v>2857</v>
      </c>
      <c r="G391" s="89" t="s">
        <v>24</v>
      </c>
      <c r="H391" s="88">
        <v>7</v>
      </c>
      <c r="I391" s="88">
        <v>7</v>
      </c>
      <c r="J391" s="88">
        <v>7</v>
      </c>
      <c r="K391" s="90" t="s">
        <v>1164</v>
      </c>
      <c r="L391" s="90" t="s">
        <v>1164</v>
      </c>
      <c r="M391" s="214"/>
      <c r="N391" s="88" t="s">
        <v>1179</v>
      </c>
      <c r="O391" s="216">
        <f>BO391</f>
        <v>2.67</v>
      </c>
      <c r="P391" s="88" t="str">
        <f t="shared" si="1265"/>
        <v>B11_3</v>
      </c>
      <c r="Q391" s="88">
        <f t="shared" si="1154"/>
        <v>270</v>
      </c>
      <c r="R391" s="88">
        <f t="shared" si="1155"/>
        <v>60</v>
      </c>
      <c r="S391" s="230" t="s">
        <v>689</v>
      </c>
      <c r="T391" s="214" t="s">
        <v>3090</v>
      </c>
      <c r="U391" s="88">
        <f>IF(RIGHT(T391,1)="K",(VLOOKUP(T391,ma_miengiam!$A$3:$B$80,2,0)*100)/2,VLOOKUP(T391,ma_miengiam!$A$3:$B$80,2,0)*100)</f>
        <v>15</v>
      </c>
      <c r="V391" s="88"/>
      <c r="W391" s="220">
        <f>IF(AND(T391="NTS",V391&gt;0),(Q391-(Q391*V391)/12)*VLOOKUP(T391,ma_miengiam!$A$3:$B$80,2,0)+(Q391-(Q391*(12-V391))/12),IF(AND(RIGHT(T391,1)="K",V391&gt;0),(VLOOKUP(T391,ma_miengiam!$A$3:$B$80,2,0)/2)*(Q391*V391)/12,IF(RIGHT(T391,1)="K",(VLOOKUP(T391,ma_miengiam!$A$3:$B$80,2,0)*Q391)/2,IF(V391&gt;0,VLOOKUP(T391,ma_miengiam!$A$3:$B$80,2,0)*Q391*V391/12,VLOOKUP(T391,ma_miengiam!$A$3:$B$80,2,0)*Q391))))</f>
        <v>40.5</v>
      </c>
      <c r="X391" s="220">
        <f>IF(T391="NTS",VLOOKUP(T391,ma_miengiam!$A$3:$B$80,2,0)*R391*V391,IF(AND(T391="NTS",V391=0),0,IF(AND(LEFT(T391,1)="K",V391=0),VLOOKUP(T391,ma_miengiam!$A$3:$B$80,2,0)*R391,IF(LEFT(T391,1)="K",(VLOOKUP(T391,ma_miengiam!$A$3:$B$80,2,0)*R391/12)*V391,IF(AND(LEFT(T391,1)="S",V391&gt;0),(R391/12)*V391,IF(AND(LEFT(T391,1)="S",V391=0),R391,IF(T391="DH",VLOOKUP(T391,ma_miengiam!$A$3:$B$80,2,0)*R391,0)))))))</f>
        <v>0</v>
      </c>
      <c r="Y391" s="220">
        <f t="shared" si="1107"/>
        <v>229.5</v>
      </c>
      <c r="Z391" s="220">
        <f t="shared" si="1156"/>
        <v>60</v>
      </c>
      <c r="AA391" s="220">
        <f t="shared" si="1281"/>
        <v>270</v>
      </c>
      <c r="AB391" s="220">
        <f t="shared" si="1281"/>
        <v>60</v>
      </c>
      <c r="AC391" s="220">
        <f t="shared" si="1282"/>
        <v>40.5</v>
      </c>
      <c r="AD391" s="220">
        <f t="shared" si="1282"/>
        <v>0</v>
      </c>
      <c r="AE391" s="220">
        <f t="shared" si="1282"/>
        <v>229.5</v>
      </c>
      <c r="AF391" s="220">
        <f t="shared" si="1282"/>
        <v>60</v>
      </c>
      <c r="AG391" s="220">
        <f t="shared" si="1283"/>
        <v>91.56</v>
      </c>
      <c r="AH391" s="220">
        <f t="shared" si="1284"/>
        <v>8.23</v>
      </c>
      <c r="AI391" s="220">
        <f t="shared" si="1285"/>
        <v>83.33</v>
      </c>
      <c r="AJ391" s="220">
        <f t="shared" si="1190"/>
        <v>0</v>
      </c>
      <c r="AK391" s="216">
        <f t="shared" si="1266"/>
        <v>229.5</v>
      </c>
      <c r="AL391" s="220">
        <f t="shared" si="1251"/>
        <v>296</v>
      </c>
      <c r="AM391" s="220">
        <f t="shared" si="1252"/>
        <v>176.1</v>
      </c>
      <c r="AN391" s="221">
        <f t="shared" si="1253"/>
        <v>472.1</v>
      </c>
      <c r="AO391" s="220">
        <f t="shared" si="1254"/>
        <v>0</v>
      </c>
      <c r="AP391" s="220">
        <f t="shared" si="1255"/>
        <v>0</v>
      </c>
      <c r="AQ391" s="220">
        <f t="shared" si="1256"/>
        <v>0</v>
      </c>
      <c r="AR391" s="220">
        <f t="shared" si="1257"/>
        <v>0</v>
      </c>
      <c r="AS391" s="220">
        <f t="shared" si="1258"/>
        <v>0</v>
      </c>
      <c r="AT391" s="216">
        <f t="shared" si="1259"/>
        <v>472.1</v>
      </c>
      <c r="AU391" s="222">
        <f t="shared" si="1117"/>
        <v>242.60000000000002</v>
      </c>
      <c r="AV391" s="220"/>
      <c r="AW391" s="220">
        <f t="shared" si="1165"/>
        <v>242.60000000000002</v>
      </c>
      <c r="AX391" s="216">
        <f t="shared" si="1267"/>
        <v>0</v>
      </c>
      <c r="AY391" s="220">
        <f t="shared" si="1179"/>
        <v>0</v>
      </c>
      <c r="AZ391" s="220">
        <f t="shared" si="1180"/>
        <v>0</v>
      </c>
      <c r="BA391" s="220">
        <f t="shared" si="1181"/>
        <v>0</v>
      </c>
      <c r="BB391" s="220">
        <f t="shared" si="1182"/>
        <v>0</v>
      </c>
      <c r="BC391" s="220">
        <f t="shared" si="1183"/>
        <v>0</v>
      </c>
      <c r="BD391" s="216">
        <f t="shared" si="1195"/>
        <v>0</v>
      </c>
      <c r="BE391" s="220">
        <f t="shared" si="1166"/>
        <v>0</v>
      </c>
      <c r="BF391" s="220">
        <f t="shared" si="1167"/>
        <v>0</v>
      </c>
      <c r="BG391" s="220">
        <f t="shared" si="1168"/>
        <v>0</v>
      </c>
      <c r="BH391" s="220">
        <f t="shared" si="1169"/>
        <v>0</v>
      </c>
      <c r="BI391" s="220">
        <f t="shared" si="1170"/>
        <v>0</v>
      </c>
      <c r="BJ391" s="220" t="s">
        <v>1565</v>
      </c>
      <c r="BK391" s="220"/>
      <c r="BL391" s="223">
        <f t="shared" si="1201"/>
        <v>242.60000000000002</v>
      </c>
      <c r="BM391" s="220">
        <v>2.67</v>
      </c>
      <c r="BN391" s="220"/>
      <c r="BO391" s="220">
        <f t="shared" si="1184"/>
        <v>2.67</v>
      </c>
      <c r="BP391" s="220">
        <f>IF(AND(BL391&gt;0,BL391&lt;tiet!$D$1),BL391,IF(BL391&lt;=0,0,IF(BL391&gt;tiet!$C$1,tiet!$C$1)))</f>
        <v>200</v>
      </c>
      <c r="BQ391" s="87">
        <f t="shared" si="1191"/>
        <v>60000</v>
      </c>
      <c r="BR391" s="224">
        <f t="shared" si="1192"/>
        <v>12000000</v>
      </c>
      <c r="BS391" s="220">
        <f t="shared" si="1068"/>
        <v>42.600000000000023</v>
      </c>
      <c r="BT391" s="224">
        <f>VLOOKUP(N391,ma_dinhmuc!$A$1:$J$31,10,0)</f>
        <v>51000</v>
      </c>
      <c r="BU391" s="224">
        <f>ROUND(IF(BS391&gt;0,VLOOKUP(N391,ma_dinhmuc!$A$1:$J$31,10,0)*BS391,0),0)</f>
        <v>2172600</v>
      </c>
      <c r="BV391" s="224">
        <f t="shared" si="1193"/>
        <v>14172600</v>
      </c>
      <c r="BW391" s="224"/>
      <c r="BX391" s="224">
        <v>0</v>
      </c>
      <c r="BY391" s="224"/>
      <c r="BZ391" s="224"/>
      <c r="CA391" s="224"/>
      <c r="CB391" s="224"/>
      <c r="CC391" s="225">
        <f t="shared" si="1286"/>
        <v>14172600</v>
      </c>
      <c r="CD391" s="224">
        <f t="shared" si="1287"/>
        <v>0</v>
      </c>
      <c r="CE391" s="224"/>
      <c r="CF391" s="226"/>
      <c r="CG391" s="87"/>
      <c r="CH391" s="87">
        <f t="shared" si="1194"/>
        <v>32</v>
      </c>
      <c r="CI391" s="227" t="str">
        <f t="shared" ref="CI391:CJ393" si="1289">F391</f>
        <v>Trần Thị</v>
      </c>
      <c r="CJ391" s="227" t="str">
        <f t="shared" si="1289"/>
        <v>Hải</v>
      </c>
      <c r="CK391" s="87">
        <f t="shared" si="1277"/>
        <v>7</v>
      </c>
      <c r="CL391" s="227" t="str">
        <f t="shared" si="1272"/>
        <v>Tiếng Anh chuyên nghiệp</v>
      </c>
      <c r="CM391" s="87" t="str">
        <f t="shared" si="1172"/>
        <v>CB2</v>
      </c>
      <c r="CN391" s="87">
        <f>Q391</f>
        <v>270</v>
      </c>
      <c r="CO391" s="87">
        <f>R391</f>
        <v>60</v>
      </c>
      <c r="CP391" s="229">
        <f t="shared" si="1076"/>
        <v>0</v>
      </c>
      <c r="CQ391" s="229">
        <f t="shared" si="1077"/>
        <v>15.4</v>
      </c>
      <c r="CR391" s="229">
        <f t="shared" si="1078"/>
        <v>6.2</v>
      </c>
      <c r="CS391" s="229">
        <f t="shared" si="1079"/>
        <v>0</v>
      </c>
      <c r="CT391" s="229">
        <f t="shared" si="1080"/>
        <v>0</v>
      </c>
      <c r="CU391" s="229">
        <f t="shared" si="1081"/>
        <v>262.39999999999998</v>
      </c>
      <c r="CV391" s="229">
        <f t="shared" si="1082"/>
        <v>0</v>
      </c>
      <c r="CW391" s="229">
        <f t="shared" si="1083"/>
        <v>12</v>
      </c>
      <c r="CX391" s="229">
        <f t="shared" si="1084"/>
        <v>0</v>
      </c>
      <c r="CY391" s="229">
        <f t="shared" si="1085"/>
        <v>0</v>
      </c>
      <c r="CZ391" s="229">
        <f t="shared" si="1086"/>
        <v>0</v>
      </c>
      <c r="DA391" s="229">
        <f t="shared" si="1087"/>
        <v>0</v>
      </c>
      <c r="DB391" s="228">
        <f t="shared" si="1260"/>
        <v>296</v>
      </c>
      <c r="DC391" s="229"/>
      <c r="DD391" s="229"/>
      <c r="DE391" s="229"/>
      <c r="DF391" s="229"/>
      <c r="DG391" s="229"/>
      <c r="DH391" s="229"/>
      <c r="DI391" s="229"/>
      <c r="DJ391" s="229"/>
      <c r="DK391" s="229"/>
      <c r="DL391" s="229"/>
      <c r="DM391" s="229"/>
      <c r="DN391" s="229"/>
      <c r="DO391" s="228">
        <f t="shared" si="1261"/>
        <v>0</v>
      </c>
      <c r="DP391" s="228">
        <f t="shared" si="1262"/>
        <v>296</v>
      </c>
      <c r="DQ391" s="229">
        <f t="shared" si="1088"/>
        <v>162</v>
      </c>
      <c r="DR391" s="229">
        <f t="shared" si="1089"/>
        <v>10</v>
      </c>
      <c r="DS391" s="229">
        <f t="shared" si="1090"/>
        <v>0</v>
      </c>
      <c r="DT391" s="229">
        <f t="shared" si="1091"/>
        <v>4.0999999999999996</v>
      </c>
      <c r="DU391" s="229">
        <f t="shared" si="1092"/>
        <v>0</v>
      </c>
      <c r="DV391" s="229">
        <f t="shared" si="1093"/>
        <v>0</v>
      </c>
      <c r="DW391" s="229">
        <f t="shared" si="1094"/>
        <v>0</v>
      </c>
      <c r="DX391" s="228">
        <f t="shared" si="1263"/>
        <v>176.1</v>
      </c>
      <c r="DY391" s="229"/>
      <c r="DZ391" s="229"/>
      <c r="EA391" s="229"/>
      <c r="EB391" s="229"/>
      <c r="EC391" s="229"/>
      <c r="ED391" s="229"/>
      <c r="EE391" s="229"/>
      <c r="EF391" s="228">
        <f t="shared" si="1072"/>
        <v>0</v>
      </c>
      <c r="EG391" s="228">
        <f t="shared" si="1264"/>
        <v>176.1</v>
      </c>
      <c r="EH391" s="229">
        <f t="shared" si="1073"/>
        <v>83.33</v>
      </c>
      <c r="EI391" s="229">
        <v>8.23</v>
      </c>
      <c r="EJ391" s="228">
        <f t="shared" si="1280"/>
        <v>91.56</v>
      </c>
      <c r="EK391" s="229"/>
      <c r="EL391" s="229"/>
      <c r="EM391" s="228">
        <f t="shared" si="1288"/>
        <v>0</v>
      </c>
      <c r="EN391" s="229">
        <f t="shared" si="1273"/>
        <v>83.33</v>
      </c>
      <c r="EO391" s="229">
        <f t="shared" si="1121"/>
        <v>8.23</v>
      </c>
      <c r="EP391" s="228">
        <f t="shared" si="1274"/>
        <v>91.56</v>
      </c>
      <c r="EQ391" s="173">
        <f t="shared" si="1075"/>
        <v>23.33</v>
      </c>
      <c r="ER391" s="189">
        <v>0</v>
      </c>
      <c r="ES391" s="189">
        <v>15.4</v>
      </c>
      <c r="ET391" s="189">
        <v>6.2</v>
      </c>
      <c r="EU391" s="189">
        <v>0</v>
      </c>
      <c r="EV391" s="189">
        <v>0</v>
      </c>
      <c r="EW391" s="189">
        <v>262.39999999999998</v>
      </c>
      <c r="EX391" s="189">
        <v>0</v>
      </c>
      <c r="EY391" s="189">
        <v>12</v>
      </c>
      <c r="EZ391" s="189">
        <v>0</v>
      </c>
      <c r="FA391" s="189">
        <v>0</v>
      </c>
      <c r="FB391" s="189">
        <v>0</v>
      </c>
      <c r="FC391" s="189">
        <v>0</v>
      </c>
      <c r="FD391" s="189">
        <v>162</v>
      </c>
      <c r="FE391" s="189">
        <v>10</v>
      </c>
      <c r="FF391" s="189">
        <v>0</v>
      </c>
      <c r="FG391" s="189">
        <v>4.0999999999999996</v>
      </c>
      <c r="FH391" s="189">
        <v>0</v>
      </c>
      <c r="FI391" s="189">
        <v>0</v>
      </c>
      <c r="FJ391" s="189">
        <v>0</v>
      </c>
      <c r="FK391" s="189">
        <v>472.1</v>
      </c>
      <c r="FL391" s="189">
        <v>329</v>
      </c>
      <c r="FN391" s="132">
        <v>83.33</v>
      </c>
    </row>
    <row r="392" spans="1:170" ht="30" customHeight="1">
      <c r="A392" s="88">
        <f>COUNTIF($H$12:H392,H392)</f>
        <v>33</v>
      </c>
      <c r="B392" s="88" t="s">
        <v>1847</v>
      </c>
      <c r="C392" s="88" t="s">
        <v>862</v>
      </c>
      <c r="D392" s="88"/>
      <c r="E392" s="88"/>
      <c r="F392" s="301" t="s">
        <v>2912</v>
      </c>
      <c r="G392" s="89" t="s">
        <v>2819</v>
      </c>
      <c r="H392" s="88">
        <v>7</v>
      </c>
      <c r="I392" s="88">
        <v>7</v>
      </c>
      <c r="J392" s="88">
        <v>7</v>
      </c>
      <c r="K392" s="90" t="s">
        <v>1164</v>
      </c>
      <c r="L392" s="90" t="s">
        <v>1164</v>
      </c>
      <c r="M392" s="214"/>
      <c r="N392" s="88" t="s">
        <v>1178</v>
      </c>
      <c r="O392" s="216">
        <f>BO392</f>
        <v>5.76</v>
      </c>
      <c r="P392" s="88" t="str">
        <f t="shared" si="1265"/>
        <v>B11_6</v>
      </c>
      <c r="Q392" s="88">
        <f t="shared" si="1154"/>
        <v>270</v>
      </c>
      <c r="R392" s="88">
        <f t="shared" si="1155"/>
        <v>120</v>
      </c>
      <c r="S392" s="218"/>
      <c r="T392" s="219" t="s">
        <v>3088</v>
      </c>
      <c r="U392" s="88">
        <f>IF(RIGHT(T392,1)="K",(VLOOKUP(T392,ma_miengiam!$A$3:$B$80,2,0)*100)/2,VLOOKUP(T392,ma_miengiam!$A$3:$B$80,2,0)*100)</f>
        <v>0</v>
      </c>
      <c r="V392" s="88"/>
      <c r="W392" s="220">
        <f>IF(AND(T392="NTS",V392&gt;0),(Q392-(Q392*V392)/12)*VLOOKUP(T392,ma_miengiam!$A$3:$B$80,2,0)+(Q392-(Q392*(12-V392))/12),IF(AND(RIGHT(T392,1)="K",V392&gt;0),(VLOOKUP(T392,ma_miengiam!$A$3:$B$80,2,0)/2)*(Q392*V392)/12,IF(RIGHT(T392,1)="K",(VLOOKUP(T392,ma_miengiam!$A$3:$B$80,2,0)*Q392)/2,IF(V392&gt;0,VLOOKUP(T392,ma_miengiam!$A$3:$B$80,2,0)*Q392*V392/12,VLOOKUP(T392,ma_miengiam!$A$3:$B$80,2,0)*Q392))))</f>
        <v>0</v>
      </c>
      <c r="X392" s="220">
        <f>IF(T392="NTS",VLOOKUP(T392,ma_miengiam!$A$3:$B$80,2,0)*R392*V392,IF(AND(T392="NTS",V392=0),0,IF(AND(LEFT(T392,1)="K",V392=0),VLOOKUP(T392,ma_miengiam!$A$3:$B$80,2,0)*R392,IF(LEFT(T392,1)="K",(VLOOKUP(T392,ma_miengiam!$A$3:$B$80,2,0)*R392/12)*V392,IF(AND(LEFT(T392,1)="S",V392&gt;0),(R392/12)*V392,IF(AND(LEFT(T392,1)="S",V392=0),R392,IF(T392="DH",VLOOKUP(T392,ma_miengiam!$A$3:$B$80,2,0)*R392,0)))))))</f>
        <v>0</v>
      </c>
      <c r="Y392" s="220">
        <f t="shared" si="1107"/>
        <v>270</v>
      </c>
      <c r="Z392" s="220">
        <f t="shared" ref="Z392:Z408" si="1290">IF(AND(T392="SĐH",V392&gt;0),(R392/12)*V392-X392,IF(AND(T392="DH",V392&gt;0),(R392*V392/12),IF(AND(T392&lt;&gt;"NTS",V392&gt;0),(R392*V392/12)-X392,IF(AND(T392="NTS",V392&gt;0),R392-X392,R392-X392))))</f>
        <v>120</v>
      </c>
      <c r="AA392" s="220">
        <f t="shared" si="1281"/>
        <v>270</v>
      </c>
      <c r="AB392" s="220">
        <f t="shared" si="1281"/>
        <v>120</v>
      </c>
      <c r="AC392" s="220">
        <f t="shared" ref="AC392:AF393" si="1291">W392</f>
        <v>0</v>
      </c>
      <c r="AD392" s="220">
        <f t="shared" si="1291"/>
        <v>0</v>
      </c>
      <c r="AE392" s="220">
        <f t="shared" si="1291"/>
        <v>270</v>
      </c>
      <c r="AF392" s="220">
        <f t="shared" si="1291"/>
        <v>120</v>
      </c>
      <c r="AG392" s="220">
        <f t="shared" si="1283"/>
        <v>329.78</v>
      </c>
      <c r="AH392" s="220">
        <f t="shared" si="1284"/>
        <v>16.45</v>
      </c>
      <c r="AI392" s="220">
        <f t="shared" si="1285"/>
        <v>313.33</v>
      </c>
      <c r="AJ392" s="220">
        <f>IF(AG392-Z392&gt;0,0,AG392-Z392)</f>
        <v>0</v>
      </c>
      <c r="AK392" s="216">
        <f t="shared" si="1266"/>
        <v>270</v>
      </c>
      <c r="AL392" s="220">
        <f t="shared" si="1251"/>
        <v>322.10000000000002</v>
      </c>
      <c r="AM392" s="220">
        <f t="shared" si="1252"/>
        <v>119.2</v>
      </c>
      <c r="AN392" s="221">
        <f t="shared" si="1253"/>
        <v>441.3</v>
      </c>
      <c r="AO392" s="220">
        <f t="shared" si="1254"/>
        <v>0</v>
      </c>
      <c r="AP392" s="220">
        <f t="shared" si="1255"/>
        <v>0</v>
      </c>
      <c r="AQ392" s="220">
        <f t="shared" si="1256"/>
        <v>0</v>
      </c>
      <c r="AR392" s="220">
        <f t="shared" si="1257"/>
        <v>0</v>
      </c>
      <c r="AS392" s="220">
        <f t="shared" si="1258"/>
        <v>0</v>
      </c>
      <c r="AT392" s="216">
        <f t="shared" si="1259"/>
        <v>441.3</v>
      </c>
      <c r="AU392" s="222">
        <f t="shared" si="1117"/>
        <v>171.3</v>
      </c>
      <c r="AV392" s="220"/>
      <c r="AW392" s="220">
        <f t="shared" si="1165"/>
        <v>171.3</v>
      </c>
      <c r="AX392" s="216">
        <f t="shared" si="1267"/>
        <v>0</v>
      </c>
      <c r="AY392" s="220">
        <f t="shared" si="1179"/>
        <v>0</v>
      </c>
      <c r="AZ392" s="220">
        <f t="shared" si="1180"/>
        <v>0</v>
      </c>
      <c r="BA392" s="220">
        <f t="shared" si="1181"/>
        <v>0</v>
      </c>
      <c r="BB392" s="220">
        <f t="shared" si="1182"/>
        <v>0</v>
      </c>
      <c r="BC392" s="220">
        <f t="shared" si="1183"/>
        <v>0</v>
      </c>
      <c r="BD392" s="216">
        <f t="shared" si="1195"/>
        <v>0</v>
      </c>
      <c r="BE392" s="220">
        <f t="shared" si="1166"/>
        <v>0</v>
      </c>
      <c r="BF392" s="220">
        <f t="shared" si="1167"/>
        <v>0</v>
      </c>
      <c r="BG392" s="220">
        <f t="shared" si="1168"/>
        <v>0</v>
      </c>
      <c r="BH392" s="220">
        <f t="shared" si="1169"/>
        <v>0</v>
      </c>
      <c r="BI392" s="220">
        <f t="shared" si="1170"/>
        <v>0</v>
      </c>
      <c r="BJ392" s="220" t="s">
        <v>1565</v>
      </c>
      <c r="BK392" s="220"/>
      <c r="BL392" s="223">
        <f t="shared" si="1201"/>
        <v>171.3</v>
      </c>
      <c r="BM392" s="220">
        <v>5.76</v>
      </c>
      <c r="BN392" s="220"/>
      <c r="BO392" s="220">
        <f t="shared" si="1184"/>
        <v>5.76</v>
      </c>
      <c r="BP392" s="220">
        <f>IF(AND(BL392&gt;0,BL392&lt;tiet!$D$1),BL392,IF(BL392&lt;=0,0,IF(BL392&gt;tiet!$C$1,tiet!$C$1)))</f>
        <v>171.3</v>
      </c>
      <c r="BQ392" s="87">
        <f>VLOOKUP(P392,ma_dinhmuc_moi,4,0)</f>
        <v>75000</v>
      </c>
      <c r="BR392" s="224">
        <f>ROUND(BQ392*BP392,0)</f>
        <v>12847500</v>
      </c>
      <c r="BS392" s="220">
        <f t="shared" si="1068"/>
        <v>0</v>
      </c>
      <c r="BT392" s="224">
        <f>VLOOKUP(N392,ma_dinhmuc!$A$1:$J$31,10,0)</f>
        <v>55000</v>
      </c>
      <c r="BU392" s="224">
        <f>ROUND(IF(BS392&gt;0,VLOOKUP(N392,ma_dinhmuc!$A$1:$J$31,10,0)*BS392,0),0)</f>
        <v>0</v>
      </c>
      <c r="BV392" s="224">
        <f>ROUND(BU392+BR392,0)</f>
        <v>12847500</v>
      </c>
      <c r="BW392" s="224"/>
      <c r="BX392" s="224">
        <v>0</v>
      </c>
      <c r="BY392" s="224"/>
      <c r="BZ392" s="224"/>
      <c r="CA392" s="224"/>
      <c r="CB392" s="224"/>
      <c r="CC392" s="225">
        <f t="shared" si="1286"/>
        <v>12847500</v>
      </c>
      <c r="CD392" s="224">
        <f t="shared" si="1287"/>
        <v>0</v>
      </c>
      <c r="CE392" s="224"/>
      <c r="CF392" s="226"/>
      <c r="CG392" s="87"/>
      <c r="CH392" s="87">
        <f t="shared" si="1194"/>
        <v>33</v>
      </c>
      <c r="CI392" s="227" t="str">
        <f t="shared" si="1289"/>
        <v>Nguyễn Thị Thu</v>
      </c>
      <c r="CJ392" s="227" t="str">
        <f t="shared" si="1289"/>
        <v>Thủy</v>
      </c>
      <c r="CK392" s="87">
        <f t="shared" si="1277"/>
        <v>7</v>
      </c>
      <c r="CL392" s="227" t="str">
        <f t="shared" si="1272"/>
        <v>Tiếng Anh chuyên nghiệp</v>
      </c>
      <c r="CM392" s="87" t="str">
        <f t="shared" si="1172"/>
        <v>CB3</v>
      </c>
      <c r="CN392" s="87">
        <f>Q392</f>
        <v>270</v>
      </c>
      <c r="CO392" s="87">
        <f>R392</f>
        <v>120</v>
      </c>
      <c r="CP392" s="229">
        <f t="shared" si="1076"/>
        <v>0</v>
      </c>
      <c r="CQ392" s="229">
        <f t="shared" si="1077"/>
        <v>23.5</v>
      </c>
      <c r="CR392" s="229">
        <f t="shared" si="1078"/>
        <v>9.6</v>
      </c>
      <c r="CS392" s="229">
        <f t="shared" si="1079"/>
        <v>0</v>
      </c>
      <c r="CT392" s="229">
        <f t="shared" si="1080"/>
        <v>0</v>
      </c>
      <c r="CU392" s="229">
        <f t="shared" si="1081"/>
        <v>269</v>
      </c>
      <c r="CV392" s="229">
        <f t="shared" si="1082"/>
        <v>0</v>
      </c>
      <c r="CW392" s="229">
        <f t="shared" si="1083"/>
        <v>20</v>
      </c>
      <c r="CX392" s="229">
        <f t="shared" si="1084"/>
        <v>0</v>
      </c>
      <c r="CY392" s="229">
        <f t="shared" si="1085"/>
        <v>0</v>
      </c>
      <c r="CZ392" s="229">
        <f t="shared" si="1086"/>
        <v>0</v>
      </c>
      <c r="DA392" s="229">
        <f t="shared" si="1087"/>
        <v>0</v>
      </c>
      <c r="DB392" s="228">
        <f t="shared" si="1260"/>
        <v>322.10000000000002</v>
      </c>
      <c r="DC392" s="229"/>
      <c r="DD392" s="229"/>
      <c r="DE392" s="229"/>
      <c r="DF392" s="229"/>
      <c r="DG392" s="229"/>
      <c r="DH392" s="229"/>
      <c r="DI392" s="229"/>
      <c r="DJ392" s="229"/>
      <c r="DK392" s="229"/>
      <c r="DL392" s="229"/>
      <c r="DM392" s="229"/>
      <c r="DN392" s="229"/>
      <c r="DO392" s="228">
        <f t="shared" si="1261"/>
        <v>0</v>
      </c>
      <c r="DP392" s="228">
        <f t="shared" si="1262"/>
        <v>322.10000000000002</v>
      </c>
      <c r="DQ392" s="229">
        <f t="shared" si="1088"/>
        <v>108</v>
      </c>
      <c r="DR392" s="229">
        <f t="shared" si="1089"/>
        <v>8</v>
      </c>
      <c r="DS392" s="229">
        <f t="shared" si="1090"/>
        <v>0</v>
      </c>
      <c r="DT392" s="229">
        <f t="shared" si="1091"/>
        <v>3.2</v>
      </c>
      <c r="DU392" s="229">
        <f t="shared" si="1092"/>
        <v>0</v>
      </c>
      <c r="DV392" s="229">
        <f t="shared" si="1093"/>
        <v>0</v>
      </c>
      <c r="DW392" s="229">
        <f t="shared" si="1094"/>
        <v>0</v>
      </c>
      <c r="DX392" s="228">
        <f t="shared" si="1263"/>
        <v>119.2</v>
      </c>
      <c r="DY392" s="229"/>
      <c r="DZ392" s="229"/>
      <c r="EA392" s="229"/>
      <c r="EB392" s="229"/>
      <c r="EC392" s="229"/>
      <c r="ED392" s="229"/>
      <c r="EE392" s="229"/>
      <c r="EF392" s="228">
        <f t="shared" si="1072"/>
        <v>0</v>
      </c>
      <c r="EG392" s="228">
        <f t="shared" si="1264"/>
        <v>119.2</v>
      </c>
      <c r="EH392" s="229">
        <f t="shared" si="1073"/>
        <v>313.33</v>
      </c>
      <c r="EI392" s="229">
        <v>16.45</v>
      </c>
      <c r="EJ392" s="228">
        <f t="shared" si="1280"/>
        <v>329.78</v>
      </c>
      <c r="EK392" s="229"/>
      <c r="EL392" s="229"/>
      <c r="EM392" s="228">
        <f t="shared" si="1288"/>
        <v>0</v>
      </c>
      <c r="EN392" s="229">
        <f t="shared" si="1273"/>
        <v>313.33</v>
      </c>
      <c r="EO392" s="229">
        <f t="shared" si="1121"/>
        <v>16.45</v>
      </c>
      <c r="EP392" s="228">
        <f t="shared" si="1274"/>
        <v>329.78</v>
      </c>
      <c r="EQ392" s="173">
        <f t="shared" si="1075"/>
        <v>193.32999999999998</v>
      </c>
      <c r="ER392" s="189">
        <v>0</v>
      </c>
      <c r="ES392" s="189">
        <v>23.5</v>
      </c>
      <c r="ET392" s="189">
        <v>9.6</v>
      </c>
      <c r="EU392" s="189">
        <v>0</v>
      </c>
      <c r="EV392" s="189">
        <v>0</v>
      </c>
      <c r="EW392" s="189">
        <v>269</v>
      </c>
      <c r="EX392" s="189">
        <v>0</v>
      </c>
      <c r="EY392" s="189">
        <v>20</v>
      </c>
      <c r="EZ392" s="189">
        <v>0</v>
      </c>
      <c r="FA392" s="189">
        <v>0</v>
      </c>
      <c r="FB392" s="189">
        <v>0</v>
      </c>
      <c r="FC392" s="189">
        <v>0</v>
      </c>
      <c r="FD392" s="189">
        <v>108</v>
      </c>
      <c r="FE392" s="189">
        <v>8</v>
      </c>
      <c r="FF392" s="189">
        <v>0</v>
      </c>
      <c r="FG392" s="189">
        <v>3.2</v>
      </c>
      <c r="FH392" s="189">
        <v>0</v>
      </c>
      <c r="FI392" s="189">
        <v>0</v>
      </c>
      <c r="FJ392" s="189">
        <v>0</v>
      </c>
      <c r="FK392" s="189">
        <v>441.3</v>
      </c>
      <c r="FL392" s="189">
        <v>365</v>
      </c>
      <c r="FN392" s="132">
        <v>313.33</v>
      </c>
    </row>
    <row r="393" spans="1:170" ht="32.25" customHeight="1">
      <c r="A393" s="88">
        <f>COUNTIF($H$12:H393,H393)</f>
        <v>34</v>
      </c>
      <c r="B393" s="88" t="s">
        <v>1842</v>
      </c>
      <c r="C393" s="88" t="s">
        <v>858</v>
      </c>
      <c r="D393" s="88"/>
      <c r="E393" s="88"/>
      <c r="F393" s="301" t="s">
        <v>2215</v>
      </c>
      <c r="G393" s="89" t="s">
        <v>1876</v>
      </c>
      <c r="H393" s="88">
        <v>7</v>
      </c>
      <c r="I393" s="88">
        <v>7</v>
      </c>
      <c r="J393" s="88">
        <v>7</v>
      </c>
      <c r="K393" s="90" t="s">
        <v>1164</v>
      </c>
      <c r="L393" s="90" t="s">
        <v>1164</v>
      </c>
      <c r="M393" s="214"/>
      <c r="N393" s="88" t="s">
        <v>1179</v>
      </c>
      <c r="O393" s="216">
        <f>BO393</f>
        <v>3.33</v>
      </c>
      <c r="P393" s="88" t="str">
        <f t="shared" si="1265"/>
        <v>B11_4</v>
      </c>
      <c r="Q393" s="88">
        <f t="shared" si="1154"/>
        <v>270</v>
      </c>
      <c r="R393" s="88">
        <f t="shared" si="1155"/>
        <v>80</v>
      </c>
      <c r="S393" s="231" t="s">
        <v>525</v>
      </c>
      <c r="T393" s="88" t="s">
        <v>2961</v>
      </c>
      <c r="U393" s="88">
        <f>IF(RIGHT(T393,1)="K",(VLOOKUP(T393,ma_miengiam!$A$3:$B$80,2,0)*100)/2,VLOOKUP(T393,ma_miengiam!$A$3:$B$80,2,0)*100)</f>
        <v>100</v>
      </c>
      <c r="V393" s="88"/>
      <c r="W393" s="220">
        <f>IF(AND(T393="NTS",V393&gt;0),(Q393-(Q393*V393)/12)*VLOOKUP(T393,ma_miengiam!$A$3:$B$80,2,0)+(Q393-(Q393*(12-V393))/12),IF(AND(RIGHT(T393,1)="K",V393&gt;0),(VLOOKUP(T393,ma_miengiam!$A$3:$B$80,2,0)/2)*(Q393*V393)/12,IF(RIGHT(T393,1)="K",(VLOOKUP(T393,ma_miengiam!$A$3:$B$80,2,0)*Q393)/2,IF(V393&gt;0,VLOOKUP(T393,ma_miengiam!$A$3:$B$80,2,0)*Q393*V393/12,VLOOKUP(T393,ma_miengiam!$A$3:$B$80,2,0)*Q393))))</f>
        <v>270</v>
      </c>
      <c r="X393" s="220">
        <f>IF(T393="NTS",VLOOKUP(T393,ma_miengiam!$A$3:$B$80,2,0)*R393*V393,IF(AND(T393="NTS",V393=0),0,IF(AND(LEFT(T393,1)="K",V393=0),VLOOKUP(T393,ma_miengiam!$A$3:$B$80,2,0)*R393,IF(LEFT(T393,1)="K",(VLOOKUP(T393,ma_miengiam!$A$3:$B$80,2,0)*R393/12)*V393,IF(AND(LEFT(T393,1)="S",V393&gt;0),(R393/12)*V393,IF(AND(LEFT(T393,1)="S",V393=0),R393,IF(T393="DH",VLOOKUP(T393,ma_miengiam!$A$3:$B$80,2,0)*R393,0)))))))</f>
        <v>80</v>
      </c>
      <c r="Y393" s="220">
        <f>IF(AND(T393="DH",V393&gt;0),(S393*V393/12),IF(AND(T393&lt;&gt;"NTS",V393&gt;0),(Q393*V393/12)-W393,IF(AND(T393="NTS",V393&gt;0),Q393-W393,Q393-W393)))</f>
        <v>0</v>
      </c>
      <c r="Z393" s="220">
        <f>IF(AND(T393="SĐH",V393&gt;0),(R393/12)*V393-X393,IF(AND(T393="DH",V393&gt;0),(R393*V393/12),IF(AND(T393&lt;&gt;"NTS",V393&gt;0),(R393*V393/12)-X393,IF(AND(T393="NTS",V393&gt;0),R393-X393,R393-X393))))</f>
        <v>0</v>
      </c>
      <c r="AA393" s="220">
        <f>Q393</f>
        <v>270</v>
      </c>
      <c r="AB393" s="220">
        <f>R393</f>
        <v>80</v>
      </c>
      <c r="AC393" s="220">
        <f t="shared" si="1291"/>
        <v>270</v>
      </c>
      <c r="AD393" s="220">
        <f t="shared" si="1291"/>
        <v>80</v>
      </c>
      <c r="AE393" s="220">
        <f t="shared" si="1291"/>
        <v>0</v>
      </c>
      <c r="AF393" s="220">
        <f t="shared" si="1291"/>
        <v>0</v>
      </c>
      <c r="AG393" s="220">
        <f>AH393+AI393</f>
        <v>0</v>
      </c>
      <c r="AH393" s="220">
        <f>EO393</f>
        <v>0</v>
      </c>
      <c r="AI393" s="220">
        <f>EN393</f>
        <v>0</v>
      </c>
      <c r="AJ393" s="220">
        <f>IF(AG393-Z393&gt;0,0,AG393-Z393)</f>
        <v>0</v>
      </c>
      <c r="AK393" s="216">
        <f t="shared" si="1266"/>
        <v>0</v>
      </c>
      <c r="AL393" s="220">
        <f>SUM(CP393:CX393)+SUM(DC393:DK393)</f>
        <v>0</v>
      </c>
      <c r="AM393" s="220">
        <f>SUM(DQ393:DU393)+SUM(DY393:EC393)</f>
        <v>0</v>
      </c>
      <c r="AN393" s="221">
        <f>AM393+AL393</f>
        <v>0</v>
      </c>
      <c r="AO393" s="220">
        <f>CY393+DL393</f>
        <v>0</v>
      </c>
      <c r="AP393" s="220">
        <f>CZ393+DM393</f>
        <v>0</v>
      </c>
      <c r="AQ393" s="220">
        <f>DA393+DN393</f>
        <v>0</v>
      </c>
      <c r="AR393" s="220">
        <f>DV393+ED393</f>
        <v>0</v>
      </c>
      <c r="AS393" s="220">
        <f>DW393+EE393</f>
        <v>0</v>
      </c>
      <c r="AT393" s="216">
        <f>AN393+SUM(AO393:AS393)</f>
        <v>0</v>
      </c>
      <c r="AU393" s="222">
        <f>AN393-AK393</f>
        <v>0</v>
      </c>
      <c r="AV393" s="220"/>
      <c r="AW393" s="220">
        <f>IF(AU393&gt;0,AU393,AV393+AU393)</f>
        <v>0</v>
      </c>
      <c r="AX393" s="216">
        <f t="shared" si="1267"/>
        <v>0</v>
      </c>
      <c r="AY393" s="220">
        <f>IF(AN393&gt;=AK393,AO393,IF(AN393+AO393-AK393&gt;=0,AN393+AO393-AK393,0))</f>
        <v>0</v>
      </c>
      <c r="AZ393" s="220">
        <f>IF(OR(AN393&gt;=AK393,AN393+AO393&gt;=AK393),AP393,IF(AN393+AO393+AP393&gt;AK393,AN393+AO393+AP393-AK393,0))</f>
        <v>0</v>
      </c>
      <c r="BA393" s="220">
        <f>IF(OR(AN393&gt;=AK393,AN393+AO393&gt;=AK393,AN393+AO393+AP393&gt;=AK393),AQ393,IF(AN393+AO393+AP393+AQ393&gt;=AK393,AN393+AO393+AP393+AQ393-AK393,0))</f>
        <v>0</v>
      </c>
      <c r="BB393" s="220">
        <f>IF(OR(AN393&gt;=AK393,AN393+AO393&gt;=AK393,AN393+AO393+AP393&gt;=AK393,AN393+AO393+AP393+AQ393&gt;=AK393),AR393,IF(AN393+AO393+AP393+AQ393+AR393&gt;=AK393,AN393+AO393+AP393+AQ393+AR393-AK393,0))</f>
        <v>0</v>
      </c>
      <c r="BC393" s="220">
        <f>IF(OR(AN393&gt;=AK393,AN393+AO393&gt;=AK393,AN393+AO393+AP393&gt;=AK393,AN393+AO393+AP393+AQ393&gt;=AK393,AN393+AO393+AP393+AQ393+AR393&gt;=AK393),AS393,IF(AN393+AO393+AP393+AQ393+AR393+AS393&gt;=AK393,AN393+AO393+AP393+AQ393+AR393+AS393-AK393,0))</f>
        <v>0</v>
      </c>
      <c r="BD393" s="216">
        <f t="shared" si="1195"/>
        <v>0</v>
      </c>
      <c r="BE393" s="220">
        <f>AY393-AO393</f>
        <v>0</v>
      </c>
      <c r="BF393" s="220">
        <f>AZ393-AP393</f>
        <v>0</v>
      </c>
      <c r="BG393" s="220">
        <f>BA393-AQ393</f>
        <v>0</v>
      </c>
      <c r="BH393" s="220">
        <f>BB393-AR393</f>
        <v>0</v>
      </c>
      <c r="BI393" s="220">
        <f>BC393-AS393</f>
        <v>0</v>
      </c>
      <c r="BJ393" s="220" t="s">
        <v>1565</v>
      </c>
      <c r="BK393" s="220"/>
      <c r="BL393" s="223">
        <f t="shared" si="1201"/>
        <v>0</v>
      </c>
      <c r="BM393" s="220">
        <v>3.33</v>
      </c>
      <c r="BN393" s="220"/>
      <c r="BO393" s="220">
        <f>ROUND(BM393+(BM393*BN393),2)</f>
        <v>3.33</v>
      </c>
      <c r="BP393" s="220">
        <f>IF(AND(BL393&gt;0,BL393&lt;tiet!$D$1),BL393,IF(BL393&lt;=0,0,IF(BL393&gt;tiet!$C$1,tiet!$C$1)))</f>
        <v>0</v>
      </c>
      <c r="BQ393" s="87">
        <f>VLOOKUP(P393,ma_dinhmuc_moi,4,0)</f>
        <v>65000</v>
      </c>
      <c r="BR393" s="224">
        <f>ROUND(BQ393*BP393,0)</f>
        <v>0</v>
      </c>
      <c r="BS393" s="220">
        <f t="shared" si="1068"/>
        <v>0</v>
      </c>
      <c r="BT393" s="224">
        <f>VLOOKUP(N393,ma_dinhmuc!$A$1:$J$31,10,0)</f>
        <v>51000</v>
      </c>
      <c r="BU393" s="224">
        <f>ROUND(IF(BS393&gt;0,VLOOKUP(N393,ma_dinhmuc!$A$1:$J$31,10,0)*BS393,0),0)</f>
        <v>0</v>
      </c>
      <c r="BV393" s="224">
        <f>ROUND(BU393+BR393,0)</f>
        <v>0</v>
      </c>
      <c r="BW393" s="224"/>
      <c r="BX393" s="224">
        <v>0</v>
      </c>
      <c r="BY393" s="224"/>
      <c r="BZ393" s="224"/>
      <c r="CA393" s="224"/>
      <c r="CB393" s="224"/>
      <c r="CC393" s="225">
        <f>ROUND(IF(BV393+BW393&gt;BX393+BY393+BZ393+CA393+CB393,(BW393+BV393)-(BX393+BY393+BZ393+CA393+CB393+CB393),0),0)</f>
        <v>0</v>
      </c>
      <c r="CD393" s="224">
        <f>ROUND(IF(BV393+BW393&lt;BX393+BY393+BZ393+CA393-CB393,(BX393+BY393+BZ393+CA393-CB393)-(BW393+BV393),0),0)</f>
        <v>0</v>
      </c>
      <c r="CE393" s="224"/>
      <c r="CF393" s="226"/>
      <c r="CG393" s="87"/>
      <c r="CH393" s="87">
        <f>A393</f>
        <v>34</v>
      </c>
      <c r="CI393" s="227" t="str">
        <f t="shared" si="1289"/>
        <v>Phạm Thị Thanh</v>
      </c>
      <c r="CJ393" s="227" t="str">
        <f t="shared" si="1289"/>
        <v>Xuân</v>
      </c>
      <c r="CK393" s="87">
        <f t="shared" si="1277"/>
        <v>7</v>
      </c>
      <c r="CL393" s="227" t="str">
        <f t="shared" si="1272"/>
        <v>Tiếng Anh chuyên nghiệp</v>
      </c>
      <c r="CM393" s="87" t="str">
        <f>N393</f>
        <v>CB2</v>
      </c>
      <c r="CN393" s="87">
        <f>Q393</f>
        <v>270</v>
      </c>
      <c r="CO393" s="87">
        <f>R393</f>
        <v>80</v>
      </c>
      <c r="CP393" s="229">
        <f t="shared" si="1076"/>
        <v>0</v>
      </c>
      <c r="CQ393" s="229">
        <f t="shared" si="1077"/>
        <v>0</v>
      </c>
      <c r="CR393" s="229">
        <f t="shared" si="1078"/>
        <v>0</v>
      </c>
      <c r="CS393" s="229">
        <f t="shared" si="1079"/>
        <v>0</v>
      </c>
      <c r="CT393" s="229">
        <f t="shared" si="1080"/>
        <v>0</v>
      </c>
      <c r="CU393" s="229">
        <f t="shared" si="1081"/>
        <v>0</v>
      </c>
      <c r="CV393" s="229">
        <f t="shared" si="1082"/>
        <v>0</v>
      </c>
      <c r="CW393" s="229">
        <f t="shared" si="1083"/>
        <v>0</v>
      </c>
      <c r="CX393" s="229">
        <f t="shared" si="1084"/>
        <v>0</v>
      </c>
      <c r="CY393" s="229">
        <f t="shared" si="1085"/>
        <v>0</v>
      </c>
      <c r="CZ393" s="229">
        <f t="shared" si="1086"/>
        <v>0</v>
      </c>
      <c r="DA393" s="229">
        <f t="shared" si="1087"/>
        <v>0</v>
      </c>
      <c r="DB393" s="228">
        <f>SUM(CP393:DA393)</f>
        <v>0</v>
      </c>
      <c r="DC393" s="229"/>
      <c r="DD393" s="229"/>
      <c r="DE393" s="229"/>
      <c r="DF393" s="229"/>
      <c r="DG393" s="229"/>
      <c r="DH393" s="229"/>
      <c r="DI393" s="229"/>
      <c r="DJ393" s="229"/>
      <c r="DK393" s="229"/>
      <c r="DL393" s="229"/>
      <c r="DM393" s="229"/>
      <c r="DN393" s="229"/>
      <c r="DO393" s="228">
        <f>SUM(DC393:DN393)</f>
        <v>0</v>
      </c>
      <c r="DP393" s="228">
        <f>DO393+DB393</f>
        <v>0</v>
      </c>
      <c r="DQ393" s="229">
        <f t="shared" si="1088"/>
        <v>0</v>
      </c>
      <c r="DR393" s="229">
        <f t="shared" si="1089"/>
        <v>0</v>
      </c>
      <c r="DS393" s="229">
        <f t="shared" si="1090"/>
        <v>0</v>
      </c>
      <c r="DT393" s="229">
        <f t="shared" si="1091"/>
        <v>0</v>
      </c>
      <c r="DU393" s="229">
        <f t="shared" si="1092"/>
        <v>0</v>
      </c>
      <c r="DV393" s="229">
        <f t="shared" si="1093"/>
        <v>0</v>
      </c>
      <c r="DW393" s="229">
        <f t="shared" si="1094"/>
        <v>0</v>
      </c>
      <c r="DX393" s="228">
        <f>SUM(DQ393:DW393)</f>
        <v>0</v>
      </c>
      <c r="DY393" s="229"/>
      <c r="DZ393" s="229"/>
      <c r="EA393" s="229"/>
      <c r="EB393" s="229"/>
      <c r="EC393" s="229"/>
      <c r="ED393" s="229"/>
      <c r="EE393" s="229"/>
      <c r="EF393" s="228">
        <f t="shared" si="1072"/>
        <v>0</v>
      </c>
      <c r="EG393" s="228">
        <f>EF393+DX393</f>
        <v>0</v>
      </c>
      <c r="EH393" s="229">
        <f t="shared" si="1073"/>
        <v>0</v>
      </c>
      <c r="EI393" s="229">
        <v>0</v>
      </c>
      <c r="EJ393" s="228">
        <f t="shared" si="1280"/>
        <v>0</v>
      </c>
      <c r="EK393" s="229"/>
      <c r="EL393" s="229"/>
      <c r="EM393" s="228">
        <f>SUM(EK393:EL393)</f>
        <v>0</v>
      </c>
      <c r="EN393" s="229">
        <f>EK393+EH393+EL393</f>
        <v>0</v>
      </c>
      <c r="EO393" s="229">
        <f>EI393</f>
        <v>0</v>
      </c>
      <c r="EP393" s="228">
        <f>EM393+EJ393</f>
        <v>0</v>
      </c>
      <c r="EQ393" s="173">
        <f t="shared" si="1075"/>
        <v>0</v>
      </c>
      <c r="ER393" s="189">
        <v>0</v>
      </c>
      <c r="ES393" s="189">
        <v>0</v>
      </c>
      <c r="ET393" s="189">
        <v>0</v>
      </c>
      <c r="EU393" s="189">
        <v>0</v>
      </c>
      <c r="EV393" s="189">
        <v>0</v>
      </c>
      <c r="EW393" s="189">
        <v>0</v>
      </c>
      <c r="EX393" s="189">
        <v>0</v>
      </c>
      <c r="EY393" s="189">
        <v>0</v>
      </c>
      <c r="EZ393" s="189">
        <v>0</v>
      </c>
      <c r="FA393" s="189">
        <v>0</v>
      </c>
      <c r="FB393" s="189">
        <v>0</v>
      </c>
      <c r="FC393" s="189">
        <v>0</v>
      </c>
      <c r="FD393" s="189">
        <v>0</v>
      </c>
      <c r="FE393" s="189">
        <v>0</v>
      </c>
      <c r="FF393" s="189">
        <v>0</v>
      </c>
      <c r="FG393" s="189">
        <v>0</v>
      </c>
      <c r="FH393" s="189">
        <v>0</v>
      </c>
      <c r="FI393" s="189">
        <v>0</v>
      </c>
      <c r="FJ393" s="189">
        <v>0</v>
      </c>
      <c r="FK393" s="189">
        <v>0</v>
      </c>
      <c r="FL393" s="189">
        <v>0</v>
      </c>
      <c r="FN393" s="132">
        <v>0</v>
      </c>
    </row>
    <row r="394" spans="1:170" ht="28.5" customHeight="1">
      <c r="A394" s="88">
        <f>COUNTIF($H$12:H394,H394)</f>
        <v>1</v>
      </c>
      <c r="B394" s="88" t="s">
        <v>1848</v>
      </c>
      <c r="C394" s="88" t="s">
        <v>863</v>
      </c>
      <c r="D394" s="88"/>
      <c r="E394" s="88"/>
      <c r="F394" s="301" t="s">
        <v>724</v>
      </c>
      <c r="G394" s="89" t="s">
        <v>35</v>
      </c>
      <c r="H394" s="88">
        <v>8</v>
      </c>
      <c r="I394" s="88">
        <v>8</v>
      </c>
      <c r="J394" s="88">
        <v>8</v>
      </c>
      <c r="K394" s="90" t="s">
        <v>1097</v>
      </c>
      <c r="L394" s="90" t="s">
        <v>1097</v>
      </c>
      <c r="M394" s="214"/>
      <c r="N394" s="88" t="s">
        <v>1804</v>
      </c>
      <c r="O394" s="216">
        <f t="shared" si="1269"/>
        <v>3.33</v>
      </c>
      <c r="P394" s="88" t="str">
        <f>IF(BO394&lt;3.33,"B1_3",IF(AND(BO394&gt;=3.33,BO394&lt;4.65),"B1_4",IF(AND(BO394&gt;=4.65,BO394&lt;5.42),"B1_5",IF(AND(BO394&gt;=5.42,BO394&lt;6.44),"B1_6",IF(AND(BO394&gt;=6.44,BO394&lt;=6.92),"B1_7","B1_8")))))</f>
        <v>B1_4</v>
      </c>
      <c r="Q394" s="88">
        <f t="shared" si="1154"/>
        <v>270</v>
      </c>
      <c r="R394" s="88">
        <f t="shared" si="1155"/>
        <v>120</v>
      </c>
      <c r="S394" s="230" t="s">
        <v>2950</v>
      </c>
      <c r="T394" s="88" t="s">
        <v>2961</v>
      </c>
      <c r="U394" s="88">
        <f>IF(RIGHT(T394,1)="K",(VLOOKUP(T394,ma_miengiam!$A$3:$B$80,2,0)*100)/2,VLOOKUP(T394,ma_miengiam!$A$3:$B$80,2,0)*100)</f>
        <v>100</v>
      </c>
      <c r="V394" s="88"/>
      <c r="W394" s="220">
        <f>IF(AND(T394="NTS",V394&gt;0),(Q394-(Q394*V394)/12)*VLOOKUP(T394,ma_miengiam!$A$3:$B$80,2,0)+(Q394-(Q394*(12-V394))/12),IF(AND(RIGHT(T394,1)="K",V394&gt;0),(VLOOKUP(T394,ma_miengiam!$A$3:$B$80,2,0)/2)*(Q394*V394)/12,IF(RIGHT(T394,1)="K",(VLOOKUP(T394,ma_miengiam!$A$3:$B$80,2,0)*Q394)/2,IF(V394&gt;0,VLOOKUP(T394,ma_miengiam!$A$3:$B$80,2,0)*Q394*V394/12,VLOOKUP(T394,ma_miengiam!$A$3:$B$80,2,0)*Q394))))</f>
        <v>270</v>
      </c>
      <c r="X394" s="220">
        <f>IF(T394="NTS",VLOOKUP(T394,ma_miengiam!$A$3:$B$80,2,0)*R394*V394,IF(AND(T394="NTS",V394=0),0,IF(AND(LEFT(T394,1)="K",V394=0),VLOOKUP(T394,ma_miengiam!$A$3:$B$80,2,0)*R394,IF(LEFT(T394,1)="K",(VLOOKUP(T394,ma_miengiam!$A$3:$B$80,2,0)*R394/12)*V394,IF(AND(LEFT(T394,1)="S",V394&gt;0),(R394/12)*V394,IF(AND(LEFT(T394,1)="S",V394=0),R394,IF(T394="DH",VLOOKUP(T394,ma_miengiam!$A$3:$B$80,2,0)*R394,0)))))))</f>
        <v>120</v>
      </c>
      <c r="Y394" s="220">
        <f t="shared" si="1107"/>
        <v>0</v>
      </c>
      <c r="Z394" s="220">
        <f t="shared" si="1290"/>
        <v>0</v>
      </c>
      <c r="AA394" s="220">
        <f t="shared" ref="AA394:AB396" si="1292">Q394</f>
        <v>270</v>
      </c>
      <c r="AB394" s="220">
        <f t="shared" si="1292"/>
        <v>120</v>
      </c>
      <c r="AC394" s="220">
        <f t="shared" ref="AC394:AF396" si="1293">W394</f>
        <v>270</v>
      </c>
      <c r="AD394" s="220">
        <f t="shared" si="1293"/>
        <v>120</v>
      </c>
      <c r="AE394" s="220">
        <f t="shared" si="1293"/>
        <v>0</v>
      </c>
      <c r="AF394" s="220">
        <f t="shared" si="1293"/>
        <v>0</v>
      </c>
      <c r="AG394" s="220">
        <f t="shared" si="1283"/>
        <v>0</v>
      </c>
      <c r="AH394" s="220">
        <f t="shared" si="1284"/>
        <v>0</v>
      </c>
      <c r="AI394" s="220">
        <f t="shared" si="1285"/>
        <v>0</v>
      </c>
      <c r="AJ394" s="220">
        <f t="shared" si="1190"/>
        <v>0</v>
      </c>
      <c r="AK394" s="216">
        <f t="shared" si="1266"/>
        <v>0</v>
      </c>
      <c r="AL394" s="220">
        <f t="shared" si="1251"/>
        <v>0</v>
      </c>
      <c r="AM394" s="220">
        <f t="shared" si="1252"/>
        <v>0</v>
      </c>
      <c r="AN394" s="221">
        <f t="shared" si="1253"/>
        <v>0</v>
      </c>
      <c r="AO394" s="220">
        <f t="shared" si="1254"/>
        <v>0</v>
      </c>
      <c r="AP394" s="220">
        <f t="shared" si="1255"/>
        <v>0</v>
      </c>
      <c r="AQ394" s="220">
        <f t="shared" si="1256"/>
        <v>0</v>
      </c>
      <c r="AR394" s="220">
        <f t="shared" si="1257"/>
        <v>0</v>
      </c>
      <c r="AS394" s="220">
        <f t="shared" si="1258"/>
        <v>0</v>
      </c>
      <c r="AT394" s="216">
        <f t="shared" si="1259"/>
        <v>0</v>
      </c>
      <c r="AU394" s="222">
        <f t="shared" si="1117"/>
        <v>0</v>
      </c>
      <c r="AV394" s="220"/>
      <c r="AW394" s="220">
        <f t="shared" si="1165"/>
        <v>0</v>
      </c>
      <c r="AX394" s="216">
        <f t="shared" si="1267"/>
        <v>0</v>
      </c>
      <c r="AY394" s="220">
        <f t="shared" si="1179"/>
        <v>0</v>
      </c>
      <c r="AZ394" s="220">
        <f t="shared" si="1180"/>
        <v>0</v>
      </c>
      <c r="BA394" s="220">
        <f t="shared" si="1181"/>
        <v>0</v>
      </c>
      <c r="BB394" s="220">
        <f t="shared" si="1182"/>
        <v>0</v>
      </c>
      <c r="BC394" s="220">
        <f t="shared" si="1183"/>
        <v>0</v>
      </c>
      <c r="BD394" s="216">
        <f t="shared" si="1195"/>
        <v>0</v>
      </c>
      <c r="BE394" s="220">
        <f t="shared" si="1166"/>
        <v>0</v>
      </c>
      <c r="BF394" s="220">
        <f t="shared" si="1167"/>
        <v>0</v>
      </c>
      <c r="BG394" s="220">
        <f t="shared" si="1168"/>
        <v>0</v>
      </c>
      <c r="BH394" s="220">
        <f t="shared" si="1169"/>
        <v>0</v>
      </c>
      <c r="BI394" s="220">
        <f t="shared" si="1170"/>
        <v>0</v>
      </c>
      <c r="BJ394" s="220" t="s">
        <v>2420</v>
      </c>
      <c r="BK394" s="220"/>
      <c r="BL394" s="223">
        <f t="shared" si="1201"/>
        <v>0</v>
      </c>
      <c r="BM394" s="220">
        <v>3.33</v>
      </c>
      <c r="BN394" s="220"/>
      <c r="BO394" s="220">
        <f t="shared" ref="BO394:BO413" si="1294">ROUND(BM394+(BM394*BN394),2)</f>
        <v>3.33</v>
      </c>
      <c r="BP394" s="220">
        <f>IF(AND(BL394&gt;0,BL394&lt;tiet!$D$1),BL394,IF(BL394&lt;=0,0,IF(BL394&gt;tiet!$C$1,tiet!$C$1)))</f>
        <v>0</v>
      </c>
      <c r="BQ394" s="87">
        <f t="shared" si="1191"/>
        <v>65000</v>
      </c>
      <c r="BR394" s="224">
        <f t="shared" si="1192"/>
        <v>0</v>
      </c>
      <c r="BS394" s="220">
        <f t="shared" si="1068"/>
        <v>0</v>
      </c>
      <c r="BT394" s="224">
        <f>VLOOKUP(N394,ma_dinhmuc!$A$1:$J$31,10,0)</f>
        <v>51000</v>
      </c>
      <c r="BU394" s="224">
        <f>ROUND(IF(BS394&gt;0,VLOOKUP(N394,ma_dinhmuc!$A$1:$J$31,10,0)*BS394,0),0)</f>
        <v>0</v>
      </c>
      <c r="BV394" s="224">
        <f t="shared" si="1193"/>
        <v>0</v>
      </c>
      <c r="BW394" s="224"/>
      <c r="BX394" s="224">
        <v>0</v>
      </c>
      <c r="BY394" s="224"/>
      <c r="BZ394" s="224"/>
      <c r="CA394" s="224"/>
      <c r="CB394" s="224"/>
      <c r="CC394" s="225">
        <f t="shared" si="1286"/>
        <v>0</v>
      </c>
      <c r="CD394" s="224">
        <f t="shared" si="1287"/>
        <v>0</v>
      </c>
      <c r="CE394" s="224"/>
      <c r="CF394" s="226"/>
      <c r="CG394" s="87"/>
      <c r="CH394" s="87">
        <f t="shared" ref="CH394:CH409" si="1295">A394</f>
        <v>1</v>
      </c>
      <c r="CI394" s="227" t="str">
        <f t="shared" ref="CI394:CJ396" si="1296">F394</f>
        <v>Vũ Thị</v>
      </c>
      <c r="CJ394" s="227" t="str">
        <f t="shared" si="1296"/>
        <v>Hằng</v>
      </c>
      <c r="CK394" s="87">
        <f t="shared" ref="CK394:CK403" si="1297">H394</f>
        <v>8</v>
      </c>
      <c r="CL394" s="227" t="str">
        <f t="shared" ref="CL394:CL403" si="1298">L394</f>
        <v>HS-CN sinh học thực phẩm</v>
      </c>
      <c r="CM394" s="87" t="str">
        <f t="shared" si="1172"/>
        <v>CS2</v>
      </c>
      <c r="CN394" s="87">
        <f t="shared" si="1278"/>
        <v>270</v>
      </c>
      <c r="CO394" s="87">
        <f t="shared" si="1279"/>
        <v>120</v>
      </c>
      <c r="CP394" s="229">
        <f t="shared" si="1076"/>
        <v>0</v>
      </c>
      <c r="CQ394" s="229">
        <f t="shared" si="1077"/>
        <v>0</v>
      </c>
      <c r="CR394" s="229">
        <f t="shared" si="1078"/>
        <v>0</v>
      </c>
      <c r="CS394" s="229">
        <f t="shared" si="1079"/>
        <v>0</v>
      </c>
      <c r="CT394" s="229">
        <f t="shared" si="1080"/>
        <v>0</v>
      </c>
      <c r="CU394" s="229">
        <f t="shared" si="1081"/>
        <v>0</v>
      </c>
      <c r="CV394" s="229">
        <f t="shared" si="1082"/>
        <v>0</v>
      </c>
      <c r="CW394" s="229">
        <f t="shared" si="1083"/>
        <v>0</v>
      </c>
      <c r="CX394" s="229">
        <f t="shared" si="1084"/>
        <v>0</v>
      </c>
      <c r="CY394" s="229">
        <f t="shared" si="1085"/>
        <v>0</v>
      </c>
      <c r="CZ394" s="229">
        <f t="shared" si="1086"/>
        <v>0</v>
      </c>
      <c r="DA394" s="229">
        <f t="shared" si="1087"/>
        <v>0</v>
      </c>
      <c r="DB394" s="228">
        <f t="shared" si="1260"/>
        <v>0</v>
      </c>
      <c r="DC394" s="229"/>
      <c r="DD394" s="229"/>
      <c r="DE394" s="229"/>
      <c r="DF394" s="229"/>
      <c r="DG394" s="229"/>
      <c r="DH394" s="229"/>
      <c r="DI394" s="229"/>
      <c r="DJ394" s="229"/>
      <c r="DK394" s="229"/>
      <c r="DL394" s="229"/>
      <c r="DM394" s="229"/>
      <c r="DN394" s="229"/>
      <c r="DO394" s="228">
        <f t="shared" si="1261"/>
        <v>0</v>
      </c>
      <c r="DP394" s="228">
        <f t="shared" si="1262"/>
        <v>0</v>
      </c>
      <c r="DQ394" s="229">
        <f t="shared" si="1088"/>
        <v>0</v>
      </c>
      <c r="DR394" s="229">
        <f t="shared" si="1089"/>
        <v>0</v>
      </c>
      <c r="DS394" s="229">
        <f t="shared" si="1090"/>
        <v>0</v>
      </c>
      <c r="DT394" s="229">
        <f t="shared" si="1091"/>
        <v>0</v>
      </c>
      <c r="DU394" s="229">
        <f t="shared" si="1092"/>
        <v>0</v>
      </c>
      <c r="DV394" s="229">
        <f t="shared" si="1093"/>
        <v>0</v>
      </c>
      <c r="DW394" s="229">
        <f t="shared" si="1094"/>
        <v>0</v>
      </c>
      <c r="DX394" s="228">
        <f t="shared" si="1263"/>
        <v>0</v>
      </c>
      <c r="DY394" s="229"/>
      <c r="DZ394" s="229"/>
      <c r="EA394" s="229"/>
      <c r="EB394" s="229"/>
      <c r="EC394" s="229"/>
      <c r="ED394" s="229"/>
      <c r="EE394" s="229"/>
      <c r="EF394" s="228">
        <f t="shared" si="1072"/>
        <v>0</v>
      </c>
      <c r="EG394" s="228">
        <f t="shared" si="1264"/>
        <v>0</v>
      </c>
      <c r="EH394" s="229">
        <f t="shared" si="1073"/>
        <v>0</v>
      </c>
      <c r="EI394" s="229">
        <v>0</v>
      </c>
      <c r="EJ394" s="228">
        <f t="shared" si="1280"/>
        <v>0</v>
      </c>
      <c r="EK394" s="229"/>
      <c r="EL394" s="229"/>
      <c r="EM394" s="228">
        <f t="shared" si="1288"/>
        <v>0</v>
      </c>
      <c r="EN394" s="229">
        <f t="shared" si="1273"/>
        <v>0</v>
      </c>
      <c r="EO394" s="229">
        <f t="shared" si="1121"/>
        <v>0</v>
      </c>
      <c r="EP394" s="228">
        <f t="shared" ref="EP394:EP402" si="1299">EM394+EJ394</f>
        <v>0</v>
      </c>
      <c r="EQ394" s="173">
        <f t="shared" si="1075"/>
        <v>0</v>
      </c>
      <c r="ER394" s="189">
        <v>0</v>
      </c>
      <c r="ES394" s="189">
        <v>0</v>
      </c>
      <c r="ET394" s="189">
        <v>0</v>
      </c>
      <c r="EU394" s="189">
        <v>0</v>
      </c>
      <c r="EV394" s="189">
        <v>0</v>
      </c>
      <c r="EW394" s="189">
        <v>0</v>
      </c>
      <c r="EX394" s="189">
        <v>0</v>
      </c>
      <c r="EY394" s="189">
        <v>0</v>
      </c>
      <c r="EZ394" s="189">
        <v>0</v>
      </c>
      <c r="FA394" s="189">
        <v>0</v>
      </c>
      <c r="FB394" s="189">
        <v>0</v>
      </c>
      <c r="FC394" s="189">
        <v>0</v>
      </c>
      <c r="FD394" s="189">
        <v>0</v>
      </c>
      <c r="FE394" s="189">
        <v>0</v>
      </c>
      <c r="FF394" s="189">
        <v>0</v>
      </c>
      <c r="FG394" s="189">
        <v>0</v>
      </c>
      <c r="FH394" s="189">
        <v>0</v>
      </c>
      <c r="FI394" s="189">
        <v>0</v>
      </c>
      <c r="FJ394" s="189">
        <v>0</v>
      </c>
      <c r="FK394" s="189">
        <v>0</v>
      </c>
      <c r="FL394" s="189">
        <v>0</v>
      </c>
      <c r="FN394" s="132">
        <v>0</v>
      </c>
    </row>
    <row r="395" spans="1:170" ht="28.15" customHeight="1">
      <c r="A395" s="88">
        <f>COUNTIF($H$12:H395,H395)</f>
        <v>2</v>
      </c>
      <c r="B395" s="88" t="s">
        <v>1849</v>
      </c>
      <c r="C395" s="88" t="s">
        <v>864</v>
      </c>
      <c r="D395" s="88"/>
      <c r="E395" s="88"/>
      <c r="F395" s="301" t="s">
        <v>1897</v>
      </c>
      <c r="G395" s="89" t="s">
        <v>17</v>
      </c>
      <c r="H395" s="88">
        <v>8</v>
      </c>
      <c r="I395" s="88">
        <v>8</v>
      </c>
      <c r="J395" s="88">
        <v>8</v>
      </c>
      <c r="K395" s="90" t="s">
        <v>1097</v>
      </c>
      <c r="L395" s="90" t="s">
        <v>1097</v>
      </c>
      <c r="M395" s="214"/>
      <c r="N395" s="88" t="s">
        <v>606</v>
      </c>
      <c r="O395" s="216">
        <f t="shared" si="1269"/>
        <v>4.4000000000000004</v>
      </c>
      <c r="P395" s="88" t="str">
        <f>IF(BO395&lt;3.33,"B1_3",IF(AND(BO395&gt;=3.33,BO395&lt;4.65),"B1_4",IF(AND(BO395&gt;=4.65,BO395&lt;5.42),"B1_5",IF(AND(BO395&gt;=5.42,BO395&lt;6.44),"B1_6",IF(AND(BO395&gt;=6.44,BO395&lt;=6.92),"B1_7","B1_8")))))</f>
        <v>B1_4</v>
      </c>
      <c r="Q395" s="88">
        <f t="shared" si="1154"/>
        <v>270</v>
      </c>
      <c r="R395" s="88">
        <f t="shared" si="1155"/>
        <v>120</v>
      </c>
      <c r="S395" s="218" t="s">
        <v>2031</v>
      </c>
      <c r="T395" s="236" t="s">
        <v>3091</v>
      </c>
      <c r="U395" s="88">
        <f>IF(RIGHT(T395,1)="K",(VLOOKUP(T395,ma_miengiam!$A$3:$B$80,2,0)*100)/2,VLOOKUP(T395,ma_miengiam!$A$3:$B$80,2,0)*100)</f>
        <v>20</v>
      </c>
      <c r="V395" s="88"/>
      <c r="W395" s="220">
        <f>IF(AND(T395="NTS",V395&gt;0),(Q395-(Q395*V395)/12)*VLOOKUP(T395,ma_miengiam!$A$3:$B$80,2,0)+(Q395-(Q395*(12-V395))/12),IF(AND(RIGHT(T395,1)="K",V395&gt;0),(VLOOKUP(T395,ma_miengiam!$A$3:$B$80,2,0)/2)*(Q395*V395)/12,IF(RIGHT(T395,1)="K",(VLOOKUP(T395,ma_miengiam!$A$3:$B$80,2,0)*Q395)/2,IF(V395&gt;0,VLOOKUP(T395,ma_miengiam!$A$3:$B$80,2,0)*Q395*V395/12,VLOOKUP(T395,ma_miengiam!$A$3:$B$80,2,0)*Q395))))</f>
        <v>54</v>
      </c>
      <c r="X395" s="220">
        <f>IF(T395="NTS",VLOOKUP(T395,ma_miengiam!$A$3:$B$80,2,0)*R395*V395,IF(AND(T395="NTS",V395=0),0,IF(AND(LEFT(T395,1)="K",V395=0),VLOOKUP(T395,ma_miengiam!$A$3:$B$80,2,0)*R395,IF(LEFT(T395,1)="K",(VLOOKUP(T395,ma_miengiam!$A$3:$B$80,2,0)*R395/12)*V395,IF(AND(LEFT(T395,1)="S",V395&gt;0),(R395/12)*V395,IF(AND(LEFT(T395,1)="S",V395=0),R395,IF(T395="DH",VLOOKUP(T395,ma_miengiam!$A$3:$B$80,2,0)*R395,0)))))))</f>
        <v>0</v>
      </c>
      <c r="Y395" s="220">
        <f t="shared" si="1107"/>
        <v>216</v>
      </c>
      <c r="Z395" s="220">
        <f t="shared" si="1290"/>
        <v>120</v>
      </c>
      <c r="AA395" s="220">
        <f t="shared" si="1292"/>
        <v>270</v>
      </c>
      <c r="AB395" s="220">
        <f t="shared" si="1292"/>
        <v>120</v>
      </c>
      <c r="AC395" s="220">
        <f t="shared" si="1293"/>
        <v>54</v>
      </c>
      <c r="AD395" s="220">
        <f t="shared" si="1293"/>
        <v>0</v>
      </c>
      <c r="AE395" s="220">
        <f t="shared" si="1293"/>
        <v>216</v>
      </c>
      <c r="AF395" s="220">
        <f t="shared" si="1293"/>
        <v>120</v>
      </c>
      <c r="AG395" s="220">
        <f t="shared" si="1283"/>
        <v>185.19</v>
      </c>
      <c r="AH395" s="220">
        <f t="shared" si="1284"/>
        <v>21.88</v>
      </c>
      <c r="AI395" s="220">
        <f t="shared" si="1285"/>
        <v>163.31</v>
      </c>
      <c r="AJ395" s="220">
        <f t="shared" si="1190"/>
        <v>0</v>
      </c>
      <c r="AK395" s="216">
        <f t="shared" si="1266"/>
        <v>216</v>
      </c>
      <c r="AL395" s="220">
        <f t="shared" si="1251"/>
        <v>329.9</v>
      </c>
      <c r="AM395" s="220">
        <f t="shared" si="1252"/>
        <v>0</v>
      </c>
      <c r="AN395" s="221">
        <f t="shared" si="1253"/>
        <v>329.9</v>
      </c>
      <c r="AO395" s="220">
        <f t="shared" si="1254"/>
        <v>0</v>
      </c>
      <c r="AP395" s="220">
        <f t="shared" si="1255"/>
        <v>0</v>
      </c>
      <c r="AQ395" s="220">
        <f t="shared" si="1256"/>
        <v>120</v>
      </c>
      <c r="AR395" s="220">
        <f t="shared" si="1257"/>
        <v>0</v>
      </c>
      <c r="AS395" s="220">
        <f t="shared" si="1258"/>
        <v>0</v>
      </c>
      <c r="AT395" s="216">
        <f t="shared" si="1259"/>
        <v>449.9</v>
      </c>
      <c r="AU395" s="222">
        <f t="shared" ref="AU395:AU444" si="1300">AN395-AK395</f>
        <v>113.89999999999998</v>
      </c>
      <c r="AV395" s="220"/>
      <c r="AW395" s="220">
        <f t="shared" si="1165"/>
        <v>113.89999999999998</v>
      </c>
      <c r="AX395" s="216">
        <f t="shared" si="1267"/>
        <v>0</v>
      </c>
      <c r="AY395" s="220">
        <f t="shared" si="1179"/>
        <v>0</v>
      </c>
      <c r="AZ395" s="220">
        <f t="shared" si="1180"/>
        <v>0</v>
      </c>
      <c r="BA395" s="220">
        <f t="shared" si="1181"/>
        <v>120</v>
      </c>
      <c r="BB395" s="220">
        <f t="shared" si="1182"/>
        <v>0</v>
      </c>
      <c r="BC395" s="220">
        <f t="shared" si="1183"/>
        <v>0</v>
      </c>
      <c r="BD395" s="216">
        <f t="shared" si="1195"/>
        <v>120</v>
      </c>
      <c r="BE395" s="220">
        <f t="shared" si="1166"/>
        <v>0</v>
      </c>
      <c r="BF395" s="220">
        <f t="shared" si="1167"/>
        <v>0</v>
      </c>
      <c r="BG395" s="220">
        <f t="shared" si="1168"/>
        <v>0</v>
      </c>
      <c r="BH395" s="220">
        <f t="shared" si="1169"/>
        <v>0</v>
      </c>
      <c r="BI395" s="220">
        <f t="shared" si="1170"/>
        <v>0</v>
      </c>
      <c r="BJ395" s="220" t="s">
        <v>2420</v>
      </c>
      <c r="BK395" s="220"/>
      <c r="BL395" s="223">
        <f t="shared" si="1201"/>
        <v>113.89999999999998</v>
      </c>
      <c r="BM395" s="220">
        <v>4.4000000000000004</v>
      </c>
      <c r="BN395" s="220"/>
      <c r="BO395" s="220">
        <f t="shared" si="1294"/>
        <v>4.4000000000000004</v>
      </c>
      <c r="BP395" s="220">
        <f>IF(AND(BL395&gt;0,BL395&lt;tiet!$D$1),BL395,IF(BL395&lt;=0,0,IF(BL395&gt;tiet!$C$1,tiet!$C$1)))</f>
        <v>113.89999999999998</v>
      </c>
      <c r="BQ395" s="87">
        <f t="shared" si="1191"/>
        <v>65000</v>
      </c>
      <c r="BR395" s="224">
        <f t="shared" si="1192"/>
        <v>7403500</v>
      </c>
      <c r="BS395" s="220">
        <f t="shared" ref="BS395:BS458" si="1301">BL395-BP395</f>
        <v>0</v>
      </c>
      <c r="BT395" s="224">
        <f>VLOOKUP(N395,ma_dinhmuc!$A$1:$J$31,10,0)</f>
        <v>55000</v>
      </c>
      <c r="BU395" s="224">
        <f>ROUND(IF(BS395&gt;0,VLOOKUP(N395,ma_dinhmuc!$A$1:$J$31,10,0)*BS395,0),0)</f>
        <v>0</v>
      </c>
      <c r="BV395" s="224">
        <f t="shared" si="1193"/>
        <v>7403500</v>
      </c>
      <c r="BW395" s="224"/>
      <c r="BX395" s="224">
        <v>0</v>
      </c>
      <c r="BY395" s="224"/>
      <c r="BZ395" s="224"/>
      <c r="CA395" s="224"/>
      <c r="CB395" s="224"/>
      <c r="CC395" s="225">
        <f t="shared" si="1286"/>
        <v>7403500</v>
      </c>
      <c r="CD395" s="224">
        <f t="shared" si="1287"/>
        <v>0</v>
      </c>
      <c r="CE395" s="224"/>
      <c r="CF395" s="226"/>
      <c r="CG395" s="87"/>
      <c r="CH395" s="87">
        <f t="shared" si="1295"/>
        <v>2</v>
      </c>
      <c r="CI395" s="227" t="str">
        <f t="shared" si="1296"/>
        <v>Lại Thị Ngọc</v>
      </c>
      <c r="CJ395" s="227" t="str">
        <f t="shared" si="1296"/>
        <v>Hà</v>
      </c>
      <c r="CK395" s="87">
        <f t="shared" si="1297"/>
        <v>8</v>
      </c>
      <c r="CL395" s="227" t="str">
        <f t="shared" si="1298"/>
        <v>HS-CN sinh học thực phẩm</v>
      </c>
      <c r="CM395" s="87" t="str">
        <f t="shared" si="1172"/>
        <v>CS3</v>
      </c>
      <c r="CN395" s="87">
        <f t="shared" si="1278"/>
        <v>270</v>
      </c>
      <c r="CO395" s="87">
        <f t="shared" si="1279"/>
        <v>120</v>
      </c>
      <c r="CP395" s="229">
        <f t="shared" si="1076"/>
        <v>0</v>
      </c>
      <c r="CQ395" s="229">
        <f t="shared" si="1077"/>
        <v>59.4</v>
      </c>
      <c r="CR395" s="229">
        <f t="shared" si="1078"/>
        <v>23.8</v>
      </c>
      <c r="CS395" s="229">
        <f t="shared" si="1079"/>
        <v>43.5</v>
      </c>
      <c r="CT395" s="229">
        <f t="shared" si="1080"/>
        <v>0</v>
      </c>
      <c r="CU395" s="229">
        <f t="shared" si="1081"/>
        <v>203.2</v>
      </c>
      <c r="CV395" s="229">
        <f t="shared" si="1082"/>
        <v>0</v>
      </c>
      <c r="CW395" s="229">
        <f t="shared" si="1083"/>
        <v>0</v>
      </c>
      <c r="CX395" s="229">
        <f t="shared" si="1084"/>
        <v>0</v>
      </c>
      <c r="CY395" s="229">
        <f t="shared" si="1085"/>
        <v>0</v>
      </c>
      <c r="CZ395" s="229">
        <f t="shared" si="1086"/>
        <v>0</v>
      </c>
      <c r="DA395" s="229">
        <f t="shared" si="1087"/>
        <v>120</v>
      </c>
      <c r="DB395" s="228">
        <f t="shared" si="1260"/>
        <v>449.9</v>
      </c>
      <c r="DC395" s="229"/>
      <c r="DD395" s="229"/>
      <c r="DE395" s="229"/>
      <c r="DF395" s="229"/>
      <c r="DG395" s="229"/>
      <c r="DH395" s="229"/>
      <c r="DI395" s="229"/>
      <c r="DJ395" s="229"/>
      <c r="DK395" s="229"/>
      <c r="DL395" s="229"/>
      <c r="DM395" s="229"/>
      <c r="DN395" s="229"/>
      <c r="DO395" s="228">
        <f t="shared" si="1261"/>
        <v>0</v>
      </c>
      <c r="DP395" s="228">
        <f t="shared" si="1262"/>
        <v>449.9</v>
      </c>
      <c r="DQ395" s="229">
        <f t="shared" si="1088"/>
        <v>0</v>
      </c>
      <c r="DR395" s="229">
        <f t="shared" si="1089"/>
        <v>0</v>
      </c>
      <c r="DS395" s="229">
        <f t="shared" si="1090"/>
        <v>0</v>
      </c>
      <c r="DT395" s="229">
        <f t="shared" si="1091"/>
        <v>0</v>
      </c>
      <c r="DU395" s="229">
        <f t="shared" si="1092"/>
        <v>0</v>
      </c>
      <c r="DV395" s="229">
        <f t="shared" si="1093"/>
        <v>0</v>
      </c>
      <c r="DW395" s="229">
        <f t="shared" si="1094"/>
        <v>0</v>
      </c>
      <c r="DX395" s="228">
        <f t="shared" si="1263"/>
        <v>0</v>
      </c>
      <c r="DY395" s="229"/>
      <c r="DZ395" s="229"/>
      <c r="EA395" s="229"/>
      <c r="EB395" s="229"/>
      <c r="EC395" s="229"/>
      <c r="ED395" s="229"/>
      <c r="EE395" s="229"/>
      <c r="EF395" s="228">
        <f t="shared" si="1072"/>
        <v>0</v>
      </c>
      <c r="EG395" s="228">
        <f t="shared" si="1264"/>
        <v>0</v>
      </c>
      <c r="EH395" s="229">
        <f t="shared" si="1073"/>
        <v>163.31</v>
      </c>
      <c r="EI395" s="229">
        <v>21.88</v>
      </c>
      <c r="EJ395" s="228">
        <f t="shared" si="1280"/>
        <v>185.19</v>
      </c>
      <c r="EK395" s="229"/>
      <c r="EL395" s="229"/>
      <c r="EM395" s="228">
        <f t="shared" si="1288"/>
        <v>0</v>
      </c>
      <c r="EN395" s="229">
        <f t="shared" si="1273"/>
        <v>163.31</v>
      </c>
      <c r="EO395" s="229">
        <f t="shared" ref="EO395:EO444" si="1302">EI395</f>
        <v>21.88</v>
      </c>
      <c r="EP395" s="228">
        <f t="shared" si="1299"/>
        <v>185.19</v>
      </c>
      <c r="EQ395" s="173">
        <f t="shared" ref="EQ395:EQ458" si="1303">IF(EN395&gt;Z395,EN395-Z395,0)</f>
        <v>43.31</v>
      </c>
      <c r="ER395" s="189">
        <v>0</v>
      </c>
      <c r="ES395" s="189">
        <v>59.4</v>
      </c>
      <c r="ET395" s="189">
        <v>23.8</v>
      </c>
      <c r="EU395" s="189">
        <v>43.5</v>
      </c>
      <c r="EV395" s="189">
        <v>0</v>
      </c>
      <c r="EW395" s="189">
        <v>203.2</v>
      </c>
      <c r="EX395" s="189">
        <v>0</v>
      </c>
      <c r="EY395" s="189">
        <v>0</v>
      </c>
      <c r="EZ395" s="189">
        <v>0</v>
      </c>
      <c r="FA395" s="189">
        <v>0</v>
      </c>
      <c r="FB395" s="189">
        <v>0</v>
      </c>
      <c r="FC395" s="189">
        <v>120</v>
      </c>
      <c r="FD395" s="189">
        <v>0</v>
      </c>
      <c r="FE395" s="189">
        <v>0</v>
      </c>
      <c r="FF395" s="189">
        <v>0</v>
      </c>
      <c r="FG395" s="189">
        <v>0</v>
      </c>
      <c r="FH395" s="189">
        <v>0</v>
      </c>
      <c r="FI395" s="189">
        <v>0</v>
      </c>
      <c r="FJ395" s="189">
        <v>0</v>
      </c>
      <c r="FK395" s="189">
        <v>449.9</v>
      </c>
      <c r="FL395" s="189">
        <v>323.5</v>
      </c>
      <c r="FN395" s="132">
        <v>163.31</v>
      </c>
    </row>
    <row r="396" spans="1:170" ht="29.25" customHeight="1">
      <c r="A396" s="88">
        <f>COUNTIF($H$12:H396,H396)</f>
        <v>3</v>
      </c>
      <c r="B396" s="88" t="s">
        <v>1850</v>
      </c>
      <c r="C396" s="88" t="s">
        <v>865</v>
      </c>
      <c r="D396" s="88"/>
      <c r="E396" s="88"/>
      <c r="F396" s="301" t="s">
        <v>1142</v>
      </c>
      <c r="G396" s="89" t="s">
        <v>2876</v>
      </c>
      <c r="H396" s="88">
        <v>8</v>
      </c>
      <c r="I396" s="88">
        <v>8</v>
      </c>
      <c r="J396" s="88">
        <v>8</v>
      </c>
      <c r="K396" s="90" t="s">
        <v>1097</v>
      </c>
      <c r="L396" s="90" t="s">
        <v>1097</v>
      </c>
      <c r="M396" s="214"/>
      <c r="N396" s="88" t="s">
        <v>606</v>
      </c>
      <c r="O396" s="216">
        <f t="shared" ref="O396:O429" si="1304">BO396</f>
        <v>4.4000000000000004</v>
      </c>
      <c r="P396" s="88" t="str">
        <f>IF(BO396&lt;3.33,"B1_3",IF(AND(BO396&gt;=3.33,BO396&lt;4.65),"B1_4",IF(AND(BO396&gt;=4.65,BO396&lt;5.42),"B1_5",IF(AND(BO396&gt;=5.42,BO396&lt;6.44),"B1_6",IF(AND(BO396&gt;=6.44,BO396&lt;=6.92),"B1_7","B1_8")))))</f>
        <v>B1_4</v>
      </c>
      <c r="Q396" s="88">
        <f t="shared" si="1154"/>
        <v>270</v>
      </c>
      <c r="R396" s="88">
        <f t="shared" si="1155"/>
        <v>120</v>
      </c>
      <c r="S396" s="218" t="s">
        <v>689</v>
      </c>
      <c r="T396" s="214" t="s">
        <v>3090</v>
      </c>
      <c r="U396" s="88">
        <f>IF(RIGHT(T396,1)="K",(VLOOKUP(T396,ma_miengiam!$A$3:$B$80,2,0)*100)/2,VLOOKUP(T396,ma_miengiam!$A$3:$B$80,2,0)*100)</f>
        <v>15</v>
      </c>
      <c r="V396" s="88"/>
      <c r="W396" s="220">
        <f>IF(AND(T396="NTS",V396&gt;0),(Q396-(Q396*V396)/12)*VLOOKUP(T396,ma_miengiam!$A$3:$B$80,2,0)+(Q396-(Q396*(12-V396))/12),IF(AND(RIGHT(T396,1)="K",V396&gt;0),(VLOOKUP(T396,ma_miengiam!$A$3:$B$80,2,0)/2)*(Q396*V396)/12,IF(RIGHT(T396,1)="K",(VLOOKUP(T396,ma_miengiam!$A$3:$B$80,2,0)*Q396)/2,IF(V396&gt;0,VLOOKUP(T396,ma_miengiam!$A$3:$B$80,2,0)*Q396*V396/12,VLOOKUP(T396,ma_miengiam!$A$3:$B$80,2,0)*Q396))))</f>
        <v>40.5</v>
      </c>
      <c r="X396" s="220">
        <f>IF(T396="NTS",VLOOKUP(T396,ma_miengiam!$A$3:$B$80,2,0)*R396*V396,IF(AND(T396="NTS",V396=0),0,IF(AND(LEFT(T396,1)="K",V396=0),VLOOKUP(T396,ma_miengiam!$A$3:$B$80,2,0)*R396,IF(LEFT(T396,1)="K",(VLOOKUP(T396,ma_miengiam!$A$3:$B$80,2,0)*R396/12)*V396,IF(AND(LEFT(T396,1)="S",V396&gt;0),(R396/12)*V396,IF(AND(LEFT(T396,1)="S",V396=0),R396,IF(T396="DH",VLOOKUP(T396,ma_miengiam!$A$3:$B$80,2,0)*R396,0)))))))</f>
        <v>0</v>
      </c>
      <c r="Y396" s="220">
        <f t="shared" si="1107"/>
        <v>229.5</v>
      </c>
      <c r="Z396" s="220">
        <f t="shared" si="1290"/>
        <v>120</v>
      </c>
      <c r="AA396" s="220">
        <f t="shared" si="1292"/>
        <v>270</v>
      </c>
      <c r="AB396" s="220">
        <f t="shared" si="1292"/>
        <v>120</v>
      </c>
      <c r="AC396" s="220">
        <f t="shared" si="1293"/>
        <v>40.5</v>
      </c>
      <c r="AD396" s="220">
        <f t="shared" si="1293"/>
        <v>0</v>
      </c>
      <c r="AE396" s="220">
        <f t="shared" si="1293"/>
        <v>229.5</v>
      </c>
      <c r="AF396" s="220">
        <f t="shared" si="1293"/>
        <v>120</v>
      </c>
      <c r="AG396" s="220">
        <f t="shared" si="1283"/>
        <v>290.02</v>
      </c>
      <c r="AH396" s="220">
        <f t="shared" si="1284"/>
        <v>43.52</v>
      </c>
      <c r="AI396" s="220">
        <f t="shared" si="1285"/>
        <v>246.5</v>
      </c>
      <c r="AJ396" s="220">
        <f t="shared" si="1190"/>
        <v>0</v>
      </c>
      <c r="AK396" s="216">
        <f t="shared" si="1266"/>
        <v>229.5</v>
      </c>
      <c r="AL396" s="220">
        <f t="shared" si="1251"/>
        <v>130</v>
      </c>
      <c r="AM396" s="220">
        <f t="shared" si="1252"/>
        <v>0</v>
      </c>
      <c r="AN396" s="221">
        <f t="shared" si="1253"/>
        <v>130</v>
      </c>
      <c r="AO396" s="220">
        <f t="shared" si="1254"/>
        <v>0</v>
      </c>
      <c r="AP396" s="220">
        <f t="shared" si="1255"/>
        <v>0</v>
      </c>
      <c r="AQ396" s="220">
        <f t="shared" si="1256"/>
        <v>86</v>
      </c>
      <c r="AR396" s="220">
        <f t="shared" si="1257"/>
        <v>28</v>
      </c>
      <c r="AS396" s="220">
        <f t="shared" si="1258"/>
        <v>0</v>
      </c>
      <c r="AT396" s="216">
        <f t="shared" si="1259"/>
        <v>244</v>
      </c>
      <c r="AU396" s="222">
        <f t="shared" si="1300"/>
        <v>-99.5</v>
      </c>
      <c r="AV396" s="220"/>
      <c r="AW396" s="220">
        <f t="shared" si="1165"/>
        <v>-99.5</v>
      </c>
      <c r="AX396" s="216">
        <f t="shared" si="1267"/>
        <v>-99.5</v>
      </c>
      <c r="AY396" s="220">
        <f t="shared" si="1179"/>
        <v>0</v>
      </c>
      <c r="AZ396" s="220">
        <f t="shared" si="1180"/>
        <v>0</v>
      </c>
      <c r="BA396" s="220">
        <f t="shared" si="1181"/>
        <v>0</v>
      </c>
      <c r="BB396" s="220">
        <f t="shared" si="1182"/>
        <v>14.5</v>
      </c>
      <c r="BC396" s="220">
        <f t="shared" si="1183"/>
        <v>0</v>
      </c>
      <c r="BD396" s="216">
        <f t="shared" si="1195"/>
        <v>14.5</v>
      </c>
      <c r="BE396" s="220">
        <f t="shared" si="1166"/>
        <v>0</v>
      </c>
      <c r="BF396" s="220">
        <f t="shared" si="1167"/>
        <v>0</v>
      </c>
      <c r="BG396" s="220">
        <f t="shared" si="1168"/>
        <v>-86</v>
      </c>
      <c r="BH396" s="220">
        <f t="shared" si="1169"/>
        <v>-13.5</v>
      </c>
      <c r="BI396" s="220">
        <f t="shared" si="1170"/>
        <v>0</v>
      </c>
      <c r="BJ396" s="220" t="s">
        <v>2420</v>
      </c>
      <c r="BK396" s="220"/>
      <c r="BL396" s="223">
        <f t="shared" si="1201"/>
        <v>0</v>
      </c>
      <c r="BM396" s="220">
        <v>4.4000000000000004</v>
      </c>
      <c r="BN396" s="220"/>
      <c r="BO396" s="220">
        <f t="shared" si="1294"/>
        <v>4.4000000000000004</v>
      </c>
      <c r="BP396" s="220">
        <f>IF(AND(BL396&gt;0,BL396&lt;tiet!$D$1),BL396,IF(BL396&lt;=0,0,IF(BL396&gt;tiet!$C$1,tiet!$C$1)))</f>
        <v>0</v>
      </c>
      <c r="BQ396" s="87">
        <f t="shared" si="1191"/>
        <v>65000</v>
      </c>
      <c r="BR396" s="224">
        <f t="shared" si="1192"/>
        <v>0</v>
      </c>
      <c r="BS396" s="220">
        <f t="shared" si="1301"/>
        <v>0</v>
      </c>
      <c r="BT396" s="224">
        <f>VLOOKUP(N396,ma_dinhmuc!$A$1:$J$31,10,0)</f>
        <v>55000</v>
      </c>
      <c r="BU396" s="224">
        <f>ROUND(IF(BS396&gt;0,VLOOKUP(N396,ma_dinhmuc!$A$1:$J$31,10,0)*BS396,0),0)</f>
        <v>0</v>
      </c>
      <c r="BV396" s="224">
        <f t="shared" si="1193"/>
        <v>0</v>
      </c>
      <c r="BW396" s="224"/>
      <c r="BX396" s="224">
        <v>0</v>
      </c>
      <c r="BY396" s="224"/>
      <c r="BZ396" s="224"/>
      <c r="CA396" s="224"/>
      <c r="CB396" s="224"/>
      <c r="CC396" s="225">
        <f t="shared" si="1286"/>
        <v>0</v>
      </c>
      <c r="CD396" s="224">
        <f t="shared" si="1287"/>
        <v>0</v>
      </c>
      <c r="CE396" s="224"/>
      <c r="CF396" s="226"/>
      <c r="CG396" s="87"/>
      <c r="CH396" s="87">
        <f t="shared" si="1295"/>
        <v>3</v>
      </c>
      <c r="CI396" s="227" t="str">
        <f t="shared" si="1296"/>
        <v>Nguyễn Thị Lâm</v>
      </c>
      <c r="CJ396" s="227" t="str">
        <f t="shared" si="1296"/>
        <v>Đoàn</v>
      </c>
      <c r="CK396" s="87">
        <f t="shared" si="1297"/>
        <v>8</v>
      </c>
      <c r="CL396" s="227" t="str">
        <f t="shared" si="1298"/>
        <v>HS-CN sinh học thực phẩm</v>
      </c>
      <c r="CM396" s="87" t="str">
        <f t="shared" si="1172"/>
        <v>CS3</v>
      </c>
      <c r="CN396" s="87">
        <f t="shared" si="1278"/>
        <v>270</v>
      </c>
      <c r="CO396" s="87">
        <f t="shared" si="1279"/>
        <v>120</v>
      </c>
      <c r="CP396" s="229">
        <f t="shared" si="1076"/>
        <v>0</v>
      </c>
      <c r="CQ396" s="229">
        <f t="shared" si="1077"/>
        <v>16.600000000000001</v>
      </c>
      <c r="CR396" s="229">
        <f t="shared" si="1078"/>
        <v>6.7</v>
      </c>
      <c r="CS396" s="229">
        <f t="shared" si="1079"/>
        <v>51.6</v>
      </c>
      <c r="CT396" s="229">
        <f t="shared" si="1080"/>
        <v>0</v>
      </c>
      <c r="CU396" s="229">
        <f t="shared" si="1081"/>
        <v>55.1</v>
      </c>
      <c r="CV396" s="229">
        <f t="shared" si="1082"/>
        <v>0</v>
      </c>
      <c r="CW396" s="229">
        <f t="shared" si="1083"/>
        <v>0</v>
      </c>
      <c r="CX396" s="229">
        <f t="shared" si="1084"/>
        <v>0</v>
      </c>
      <c r="CY396" s="229">
        <f t="shared" si="1085"/>
        <v>0</v>
      </c>
      <c r="CZ396" s="229">
        <f t="shared" si="1086"/>
        <v>0</v>
      </c>
      <c r="DA396" s="229">
        <f t="shared" si="1087"/>
        <v>86</v>
      </c>
      <c r="DB396" s="228">
        <f t="shared" si="1260"/>
        <v>216</v>
      </c>
      <c r="DC396" s="229"/>
      <c r="DD396" s="229"/>
      <c r="DE396" s="229"/>
      <c r="DF396" s="229"/>
      <c r="DG396" s="229"/>
      <c r="DH396" s="229"/>
      <c r="DI396" s="229"/>
      <c r="DJ396" s="229"/>
      <c r="DK396" s="229"/>
      <c r="DL396" s="229"/>
      <c r="DM396" s="229"/>
      <c r="DN396" s="229"/>
      <c r="DO396" s="228">
        <f t="shared" si="1261"/>
        <v>0</v>
      </c>
      <c r="DP396" s="228">
        <f t="shared" si="1262"/>
        <v>216</v>
      </c>
      <c r="DQ396" s="229">
        <f t="shared" si="1088"/>
        <v>0</v>
      </c>
      <c r="DR396" s="229">
        <f t="shared" si="1089"/>
        <v>0</v>
      </c>
      <c r="DS396" s="229">
        <f t="shared" si="1090"/>
        <v>0</v>
      </c>
      <c r="DT396" s="229">
        <f t="shared" si="1091"/>
        <v>0</v>
      </c>
      <c r="DU396" s="229">
        <f t="shared" si="1092"/>
        <v>0</v>
      </c>
      <c r="DV396" s="229">
        <f t="shared" si="1093"/>
        <v>28</v>
      </c>
      <c r="DW396" s="229">
        <f t="shared" si="1094"/>
        <v>0</v>
      </c>
      <c r="DX396" s="228">
        <f t="shared" si="1263"/>
        <v>28</v>
      </c>
      <c r="DY396" s="229"/>
      <c r="DZ396" s="229"/>
      <c r="EA396" s="229"/>
      <c r="EB396" s="229"/>
      <c r="EC396" s="229"/>
      <c r="ED396" s="229"/>
      <c r="EE396" s="229"/>
      <c r="EF396" s="228">
        <f t="shared" ref="EF396:EF459" si="1305">SUM(DY396:EE396)</f>
        <v>0</v>
      </c>
      <c r="EG396" s="228">
        <f t="shared" si="1264"/>
        <v>28</v>
      </c>
      <c r="EH396" s="229">
        <f t="shared" ref="EH396:EH459" si="1306">FN396</f>
        <v>246.5</v>
      </c>
      <c r="EI396" s="229">
        <v>43.52</v>
      </c>
      <c r="EJ396" s="228">
        <f t="shared" si="1280"/>
        <v>290.02</v>
      </c>
      <c r="EK396" s="229"/>
      <c r="EL396" s="229"/>
      <c r="EM396" s="228">
        <f t="shared" si="1288"/>
        <v>0</v>
      </c>
      <c r="EN396" s="229">
        <f t="shared" si="1273"/>
        <v>246.5</v>
      </c>
      <c r="EO396" s="229">
        <f t="shared" si="1302"/>
        <v>43.52</v>
      </c>
      <c r="EP396" s="228">
        <f t="shared" si="1299"/>
        <v>290.02</v>
      </c>
      <c r="EQ396" s="173">
        <f t="shared" si="1303"/>
        <v>126.5</v>
      </c>
      <c r="ER396" s="189">
        <v>0</v>
      </c>
      <c r="ES396" s="189">
        <v>16.600000000000001</v>
      </c>
      <c r="ET396" s="189">
        <v>6.7</v>
      </c>
      <c r="EU396" s="189">
        <v>51.6</v>
      </c>
      <c r="EV396" s="189">
        <v>0</v>
      </c>
      <c r="EW396" s="189">
        <v>55.1</v>
      </c>
      <c r="EX396" s="189">
        <v>0</v>
      </c>
      <c r="EY396" s="189">
        <v>0</v>
      </c>
      <c r="EZ396" s="189">
        <v>0</v>
      </c>
      <c r="FA396" s="189">
        <v>0</v>
      </c>
      <c r="FB396" s="189">
        <v>0</v>
      </c>
      <c r="FC396" s="189">
        <v>86</v>
      </c>
      <c r="FD396" s="189">
        <v>0</v>
      </c>
      <c r="FE396" s="189">
        <v>0</v>
      </c>
      <c r="FF396" s="189">
        <v>0</v>
      </c>
      <c r="FG396" s="189">
        <v>0</v>
      </c>
      <c r="FH396" s="189">
        <v>28</v>
      </c>
      <c r="FI396" s="189">
        <v>0</v>
      </c>
      <c r="FJ396" s="189">
        <v>0</v>
      </c>
      <c r="FK396" s="189">
        <v>244</v>
      </c>
      <c r="FL396" s="189">
        <v>221.6</v>
      </c>
      <c r="FN396" s="132">
        <v>246.5</v>
      </c>
    </row>
    <row r="397" spans="1:170" ht="45">
      <c r="A397" s="88">
        <f>COUNTIF($H$12:H397,H397)</f>
        <v>4</v>
      </c>
      <c r="B397" s="88" t="s">
        <v>1851</v>
      </c>
      <c r="C397" s="88" t="s">
        <v>866</v>
      </c>
      <c r="D397" s="88"/>
      <c r="E397" s="88"/>
      <c r="F397" s="301" t="s">
        <v>727</v>
      </c>
      <c r="G397" s="303" t="s">
        <v>2086</v>
      </c>
      <c r="H397" s="88">
        <v>8</v>
      </c>
      <c r="I397" s="88">
        <v>8</v>
      </c>
      <c r="J397" s="88">
        <v>8</v>
      </c>
      <c r="K397" s="90" t="s">
        <v>1097</v>
      </c>
      <c r="L397" s="90" t="s">
        <v>1097</v>
      </c>
      <c r="M397" s="214"/>
      <c r="N397" s="88" t="s">
        <v>605</v>
      </c>
      <c r="O397" s="216">
        <f>BO397</f>
        <v>6.2</v>
      </c>
      <c r="P397" s="88" t="str">
        <f>IF(BO397&lt;3.33,"B1_3",IF(AND(BO397&gt;=3.33,BO397&lt;4.65),"B1_4",IF(AND(BO397&gt;=4.65,BO397&lt;5.42),"B1_5",IF(AND(BO397&gt;=5.42,BO397&lt;6.44),"B1_6",IF(AND(BO397&gt;=6.44,BO397&lt;=6.92),"B1_7","B1_8")))))</f>
        <v>B1_6</v>
      </c>
      <c r="Q397" s="88">
        <f t="shared" si="1154"/>
        <v>270</v>
      </c>
      <c r="R397" s="88">
        <f t="shared" si="1155"/>
        <v>170</v>
      </c>
      <c r="S397" s="218" t="s">
        <v>2381</v>
      </c>
      <c r="T397" s="88" t="s">
        <v>3093</v>
      </c>
      <c r="U397" s="88">
        <f>IF(RIGHT(T397,1)="K",(VLOOKUP(T397,ma_miengiam!$A$3:$B$80,2,0)*100)/2,VLOOKUP(T397,ma_miengiam!$A$3:$B$80,2,0)*100)</f>
        <v>30</v>
      </c>
      <c r="V397" s="88"/>
      <c r="W397" s="220">
        <f>IF(AND(T397="NTS",V397&gt;0),(Q397-(Q397*V397)/12)*VLOOKUP(T397,ma_miengiam!$A$3:$B$80,2,0)+(Q397-(Q397*(12-V397))/12),IF(AND(RIGHT(T397,1)="K",V397&gt;0),(VLOOKUP(T397,ma_miengiam!$A$3:$B$80,2,0)/2)*(Q397*V397)/12,IF(RIGHT(T397,1)="K",(VLOOKUP(T397,ma_miengiam!$A$3:$B$80,2,0)*Q397)/2,IF(V397&gt;0,VLOOKUP(T397,ma_miengiam!$A$3:$B$80,2,0)*Q397*V397/12,VLOOKUP(T397,ma_miengiam!$A$3:$B$80,2,0)*Q397))))</f>
        <v>81</v>
      </c>
      <c r="X397" s="220">
        <f>IF(T397="NTS",VLOOKUP(T397,ma_miengiam!$A$3:$B$80,2,0)*R397*V397,IF(AND(T397="NTS",V397=0),0,IF(AND(LEFT(T397,1)="K",V397=0),VLOOKUP(T397,ma_miengiam!$A$3:$B$80,2,0)*R397,IF(LEFT(T397,1)="K",(VLOOKUP(T397,ma_miengiam!$A$3:$B$80,2,0)*R397/12)*V397,IF(AND(LEFT(T397,1)="S",V397&gt;0),(R397/12)*V397,IF(AND(LEFT(T397,1)="S",V397=0),R397,IF(T397="DH",VLOOKUP(T397,ma_miengiam!$A$3:$B$80,2,0)*R397,0)))))))</f>
        <v>0</v>
      </c>
      <c r="Y397" s="220">
        <f>IF(AND(T397="DH",V397&gt;0),(S397*V397/12),IF(AND(T397&lt;&gt;"NTS",V397&gt;0),(Q397*V397/12)-W397,IF(AND(T397="NTS",V397&gt;0),Q397-W397,Q397-W397)))</f>
        <v>189</v>
      </c>
      <c r="Z397" s="220">
        <f>IF(AND(T397="SĐH",V397&gt;0),(R397/12)*V397-X397,IF(AND(T397="DH",V397&gt;0),(R397*V397/12),IF(AND(T397&lt;&gt;"NTS",V397&gt;0),(R397*V397/12)-X397,IF(AND(T397="NTS",V397&gt;0),R397-X397,R397-X397))))</f>
        <v>170</v>
      </c>
      <c r="AA397" s="220">
        <f t="shared" ref="AA397:AB402" si="1307">Q397</f>
        <v>270</v>
      </c>
      <c r="AB397" s="220">
        <f t="shared" si="1307"/>
        <v>170</v>
      </c>
      <c r="AC397" s="220">
        <f t="shared" ref="AC397:AF398" si="1308">W397</f>
        <v>81</v>
      </c>
      <c r="AD397" s="220">
        <f t="shared" si="1308"/>
        <v>0</v>
      </c>
      <c r="AE397" s="220">
        <f t="shared" si="1308"/>
        <v>189</v>
      </c>
      <c r="AF397" s="220">
        <f t="shared" si="1308"/>
        <v>170</v>
      </c>
      <c r="AG397" s="220">
        <f t="shared" ref="AG397:AG406" si="1309">AH397+AI397</f>
        <v>219.76</v>
      </c>
      <c r="AH397" s="220">
        <f t="shared" ref="AH397:AH406" si="1310">EO397</f>
        <v>74.95</v>
      </c>
      <c r="AI397" s="220">
        <f t="shared" ref="AI397:AI406" si="1311">EN397</f>
        <v>144.81</v>
      </c>
      <c r="AJ397" s="220">
        <f>IF(AG397-Z397&gt;0,0,AG397-Z397)</f>
        <v>0</v>
      </c>
      <c r="AK397" s="216">
        <f t="shared" si="1266"/>
        <v>189</v>
      </c>
      <c r="AL397" s="220">
        <f t="shared" si="1251"/>
        <v>95.5</v>
      </c>
      <c r="AM397" s="220">
        <f t="shared" si="1252"/>
        <v>0</v>
      </c>
      <c r="AN397" s="221">
        <f t="shared" si="1253"/>
        <v>95.5</v>
      </c>
      <c r="AO397" s="220">
        <f t="shared" si="1254"/>
        <v>0</v>
      </c>
      <c r="AP397" s="220">
        <f t="shared" si="1255"/>
        <v>0</v>
      </c>
      <c r="AQ397" s="220">
        <f t="shared" si="1256"/>
        <v>154</v>
      </c>
      <c r="AR397" s="220">
        <f t="shared" si="1257"/>
        <v>12</v>
      </c>
      <c r="AS397" s="220">
        <f t="shared" si="1258"/>
        <v>0</v>
      </c>
      <c r="AT397" s="216">
        <f t="shared" si="1259"/>
        <v>261.5</v>
      </c>
      <c r="AU397" s="222">
        <f>AN397-AK397</f>
        <v>-93.5</v>
      </c>
      <c r="AV397" s="220"/>
      <c r="AW397" s="220">
        <f>IF(AU397&gt;0,AU397,AV397+AU397)</f>
        <v>-93.5</v>
      </c>
      <c r="AX397" s="216">
        <f t="shared" si="1267"/>
        <v>-93.5</v>
      </c>
      <c r="AY397" s="220">
        <f>IF(AN397&gt;=AK397,AO397,IF(AN397+AO397-AK397&gt;=0,AN397+AO397-AK397,0))</f>
        <v>0</v>
      </c>
      <c r="AZ397" s="220">
        <f>IF(OR(AN397&gt;=AK397,AN397+AO397&gt;=AK397),AP397,IF(AN397+AO397+AP397&gt;AK397,AN397+AO397+AP397-AK397,0))</f>
        <v>0</v>
      </c>
      <c r="BA397" s="220">
        <f>IF(OR(AN397&gt;=AK397,AN397+AO397&gt;=AK397,AN397+AO397+AP397&gt;=AK397),AQ397,IF(AN397+AO397+AP397+AQ397&gt;=AK397,AN397+AO397+AP397+AQ397-AK397,0))</f>
        <v>60.5</v>
      </c>
      <c r="BB397" s="220">
        <f>IF(OR(AN397&gt;=AK397,AN397+AO397&gt;=AK397,AN397+AO397+AP397&gt;=AK397,AN397+AO397+AP397+AQ397&gt;=AK397),AR397,IF(AN397+AO397+AP397+AQ397+AR397&gt;=AK397,AN397+AO397+AP397+AQ397+AR397-AK397,0))</f>
        <v>12</v>
      </c>
      <c r="BC397" s="220">
        <f>IF(OR(AN397&gt;=AK397,AN397+AO397&gt;=AK397,AN397+AO397+AP397&gt;=AK397,AN397+AO397+AP397+AQ397&gt;=AK397,AN397+AO397+AP397+AQ397+AR397&gt;=AK397),AS397,IF(AN397+AO397+AP397+AQ397+AR397+AS397&gt;=AK397,AN397+AO397+AP397+AQ397+AR397+AS397-AK397,0))</f>
        <v>0</v>
      </c>
      <c r="BD397" s="216">
        <f t="shared" si="1195"/>
        <v>72.5</v>
      </c>
      <c r="BE397" s="220">
        <f>AY397-AO397</f>
        <v>0</v>
      </c>
      <c r="BF397" s="220">
        <f>AZ397-AP397</f>
        <v>0</v>
      </c>
      <c r="BG397" s="220">
        <f>BA397-AQ397</f>
        <v>-93.5</v>
      </c>
      <c r="BH397" s="220">
        <f>BB397-AR397</f>
        <v>0</v>
      </c>
      <c r="BI397" s="220">
        <f>BC397-AS397</f>
        <v>0</v>
      </c>
      <c r="BJ397" s="220" t="s">
        <v>2420</v>
      </c>
      <c r="BK397" s="220"/>
      <c r="BL397" s="223">
        <f t="shared" si="1201"/>
        <v>0</v>
      </c>
      <c r="BM397" s="220">
        <v>6.2</v>
      </c>
      <c r="BN397" s="220"/>
      <c r="BO397" s="220">
        <f>ROUND(BM397+(BM397*BN397),2)</f>
        <v>6.2</v>
      </c>
      <c r="BP397" s="220">
        <f>IF(AND(BL397&gt;0,BL397&lt;tiet!$D$1),BL397,IF(BL397&lt;=0,0,IF(BL397&gt;tiet!$C$1,tiet!$C$1)))</f>
        <v>0</v>
      </c>
      <c r="BQ397" s="87">
        <f>VLOOKUP(P397,ma_dinhmuc_moi,4,0)</f>
        <v>75000</v>
      </c>
      <c r="BR397" s="224">
        <f>ROUND(BQ397*BP397,0)</f>
        <v>0</v>
      </c>
      <c r="BS397" s="220">
        <f t="shared" si="1301"/>
        <v>0</v>
      </c>
      <c r="BT397" s="224">
        <f>VLOOKUP(N397,ma_dinhmuc!$A$1:$J$31,10,0)</f>
        <v>65000</v>
      </c>
      <c r="BU397" s="224">
        <f>ROUND(IF(BS397&gt;0,VLOOKUP(N397,ma_dinhmuc!$A$1:$J$31,10,0)*BS397,0),0)</f>
        <v>0</v>
      </c>
      <c r="BV397" s="224">
        <f>ROUND(BU397+BR397,0)</f>
        <v>0</v>
      </c>
      <c r="BW397" s="224"/>
      <c r="BX397" s="224">
        <v>0</v>
      </c>
      <c r="BY397" s="224"/>
      <c r="BZ397" s="224"/>
      <c r="CA397" s="224"/>
      <c r="CB397" s="224"/>
      <c r="CC397" s="225">
        <f>ROUND(IF(BV397+BW397&gt;BX397+BY397+BZ397+CA397+CB397,(BW397+BV397)-(BX397+BY397+BZ397+CA397+CB397+CB397),0),0)</f>
        <v>0</v>
      </c>
      <c r="CD397" s="224">
        <f>ROUND(IF(BV397+BW397&lt;BX397+BY397+BZ397+CA397-CB397,(BX397+BY397+BZ397+CA397-CB397)-(BW397+BV397),0),0)</f>
        <v>0</v>
      </c>
      <c r="CE397" s="224"/>
      <c r="CF397" s="226"/>
      <c r="CG397" s="87"/>
      <c r="CH397" s="87">
        <f>A397</f>
        <v>4</v>
      </c>
      <c r="CI397" s="227" t="str">
        <f t="shared" ref="CI397:CJ399" si="1312">F397</f>
        <v>Nguyễn Hoàng</v>
      </c>
      <c r="CJ397" s="227" t="str">
        <f t="shared" si="1312"/>
        <v>Anh</v>
      </c>
      <c r="CK397" s="87">
        <f>H397</f>
        <v>8</v>
      </c>
      <c r="CL397" s="227" t="str">
        <f>L397</f>
        <v>HS-CN sinh học thực phẩm</v>
      </c>
      <c r="CM397" s="87" t="str">
        <f>N397</f>
        <v>CS4</v>
      </c>
      <c r="CN397" s="87">
        <f t="shared" ref="CN397:CO399" si="1313">Q397</f>
        <v>270</v>
      </c>
      <c r="CO397" s="87">
        <f t="shared" si="1313"/>
        <v>170</v>
      </c>
      <c r="CP397" s="229">
        <f t="shared" ref="CP397:CP460" si="1314">ER397</f>
        <v>0</v>
      </c>
      <c r="CQ397" s="229">
        <f t="shared" ref="CQ397:CQ460" si="1315">ES397</f>
        <v>9.6</v>
      </c>
      <c r="CR397" s="229">
        <f t="shared" ref="CR397:CR460" si="1316">ET397</f>
        <v>3.9</v>
      </c>
      <c r="CS397" s="229">
        <f t="shared" ref="CS397:CS460" si="1317">EU397</f>
        <v>0</v>
      </c>
      <c r="CT397" s="229">
        <f t="shared" ref="CT397:CT460" si="1318">EV397</f>
        <v>0</v>
      </c>
      <c r="CU397" s="229">
        <f t="shared" ref="CU397:CU460" si="1319">EW397</f>
        <v>66</v>
      </c>
      <c r="CV397" s="229">
        <f t="shared" ref="CV397:CV460" si="1320">EX397</f>
        <v>0</v>
      </c>
      <c r="CW397" s="229">
        <f t="shared" ref="CW397:CW460" si="1321">EY397</f>
        <v>16</v>
      </c>
      <c r="CX397" s="229">
        <f t="shared" ref="CX397:CX460" si="1322">EZ397</f>
        <v>0</v>
      </c>
      <c r="CY397" s="229">
        <f t="shared" ref="CY397:CY460" si="1323">FA397</f>
        <v>0</v>
      </c>
      <c r="CZ397" s="229">
        <f t="shared" ref="CZ397:CZ460" si="1324">FB397</f>
        <v>0</v>
      </c>
      <c r="DA397" s="229">
        <f t="shared" ref="DA397:DA460" si="1325">FC397</f>
        <v>154</v>
      </c>
      <c r="DB397" s="228">
        <f t="shared" si="1260"/>
        <v>249.5</v>
      </c>
      <c r="DC397" s="229"/>
      <c r="DD397" s="229"/>
      <c r="DE397" s="229"/>
      <c r="DF397" s="229"/>
      <c r="DG397" s="229"/>
      <c r="DH397" s="229"/>
      <c r="DI397" s="229"/>
      <c r="DJ397" s="229"/>
      <c r="DK397" s="229"/>
      <c r="DL397" s="229"/>
      <c r="DM397" s="229"/>
      <c r="DN397" s="229"/>
      <c r="DO397" s="228">
        <f t="shared" si="1261"/>
        <v>0</v>
      </c>
      <c r="DP397" s="228">
        <f t="shared" si="1262"/>
        <v>249.5</v>
      </c>
      <c r="DQ397" s="229">
        <f t="shared" ref="DQ397:DQ460" si="1326">FD397</f>
        <v>0</v>
      </c>
      <c r="DR397" s="229">
        <f t="shared" ref="DR397:DR460" si="1327">FE397</f>
        <v>0</v>
      </c>
      <c r="DS397" s="229">
        <f t="shared" ref="DS397:DS460" si="1328">FF397</f>
        <v>0</v>
      </c>
      <c r="DT397" s="229">
        <f t="shared" ref="DT397:DT460" si="1329">FG397</f>
        <v>0</v>
      </c>
      <c r="DU397" s="229">
        <f t="shared" ref="DU397:DU460" si="1330">FI397</f>
        <v>0</v>
      </c>
      <c r="DV397" s="229">
        <f t="shared" ref="DV397:DV460" si="1331">FH397</f>
        <v>12</v>
      </c>
      <c r="DW397" s="229">
        <f t="shared" ref="DW397:DW460" si="1332">FJ397</f>
        <v>0</v>
      </c>
      <c r="DX397" s="228">
        <f t="shared" si="1263"/>
        <v>12</v>
      </c>
      <c r="DY397" s="229"/>
      <c r="DZ397" s="229"/>
      <c r="EA397" s="229"/>
      <c r="EB397" s="229"/>
      <c r="EC397" s="229"/>
      <c r="ED397" s="229"/>
      <c r="EE397" s="229"/>
      <c r="EF397" s="228">
        <f t="shared" si="1305"/>
        <v>0</v>
      </c>
      <c r="EG397" s="228">
        <f t="shared" si="1264"/>
        <v>12</v>
      </c>
      <c r="EH397" s="229">
        <f t="shared" si="1306"/>
        <v>144.81</v>
      </c>
      <c r="EI397" s="229">
        <v>74.95</v>
      </c>
      <c r="EJ397" s="228">
        <f t="shared" si="1280"/>
        <v>219.76</v>
      </c>
      <c r="EK397" s="229"/>
      <c r="EL397" s="229"/>
      <c r="EM397" s="228">
        <f>SUM(EK397:EL397)</f>
        <v>0</v>
      </c>
      <c r="EN397" s="229">
        <f>EK397+EH397+EL397</f>
        <v>144.81</v>
      </c>
      <c r="EO397" s="229">
        <f>EI397</f>
        <v>74.95</v>
      </c>
      <c r="EP397" s="228">
        <f>EM397+EJ397</f>
        <v>219.76</v>
      </c>
      <c r="EQ397" s="173">
        <f t="shared" si="1303"/>
        <v>0</v>
      </c>
      <c r="ER397" s="189">
        <v>0</v>
      </c>
      <c r="ES397" s="189">
        <v>9.6</v>
      </c>
      <c r="ET397" s="189">
        <v>3.9</v>
      </c>
      <c r="EU397" s="189">
        <v>0</v>
      </c>
      <c r="EV397" s="189">
        <v>0</v>
      </c>
      <c r="EW397" s="189">
        <v>66</v>
      </c>
      <c r="EX397" s="189">
        <v>0</v>
      </c>
      <c r="EY397" s="189">
        <v>16</v>
      </c>
      <c r="EZ397" s="189">
        <v>0</v>
      </c>
      <c r="FA397" s="189">
        <v>0</v>
      </c>
      <c r="FB397" s="189">
        <v>0</v>
      </c>
      <c r="FC397" s="189">
        <v>154</v>
      </c>
      <c r="FD397" s="189">
        <v>0</v>
      </c>
      <c r="FE397" s="189">
        <v>0</v>
      </c>
      <c r="FF397" s="189">
        <v>0</v>
      </c>
      <c r="FG397" s="189">
        <v>0</v>
      </c>
      <c r="FH397" s="189">
        <v>12</v>
      </c>
      <c r="FI397" s="189">
        <v>0</v>
      </c>
      <c r="FJ397" s="189">
        <v>0</v>
      </c>
      <c r="FK397" s="189">
        <v>261.5</v>
      </c>
      <c r="FL397" s="189">
        <v>222</v>
      </c>
      <c r="FN397" s="132">
        <v>144.81</v>
      </c>
    </row>
    <row r="398" spans="1:170" ht="30" customHeight="1">
      <c r="A398" s="88">
        <f>COUNTIF($H$12:H398,H398)</f>
        <v>5</v>
      </c>
      <c r="B398" s="88" t="s">
        <v>1852</v>
      </c>
      <c r="C398" s="88" t="s">
        <v>867</v>
      </c>
      <c r="D398" s="88"/>
      <c r="E398" s="88"/>
      <c r="F398" s="301" t="s">
        <v>282</v>
      </c>
      <c r="G398" s="89" t="s">
        <v>17</v>
      </c>
      <c r="H398" s="88">
        <v>8</v>
      </c>
      <c r="I398" s="88">
        <v>8</v>
      </c>
      <c r="J398" s="88">
        <v>8</v>
      </c>
      <c r="K398" s="90" t="s">
        <v>1097</v>
      </c>
      <c r="L398" s="90" t="s">
        <v>1097</v>
      </c>
      <c r="M398" s="214"/>
      <c r="N398" s="88" t="s">
        <v>1804</v>
      </c>
      <c r="O398" s="216">
        <f>BO398</f>
        <v>4.6500000000000004</v>
      </c>
      <c r="P398" s="88" t="str">
        <f>IF(BO398&lt;3.33,"B1_3",IF(AND(BO398&gt;=3.33,BO398&lt;4.65),"B1_4",IF(AND(BO398&gt;=4.65,BO398&lt;5.42),"B1_5",IF(AND(BO398&gt;=5.42,BO398&lt;6.44),"B1_6",IF(AND(BO398&gt;=6.44,BO398&lt;=6.92),"B1_7","B1_8")))))</f>
        <v>B1_5</v>
      </c>
      <c r="Q398" s="88">
        <f t="shared" si="1154"/>
        <v>270</v>
      </c>
      <c r="R398" s="88">
        <f t="shared" si="1155"/>
        <v>150</v>
      </c>
      <c r="S398" s="231"/>
      <c r="T398" s="214" t="s">
        <v>3088</v>
      </c>
      <c r="U398" s="88">
        <f>IF(RIGHT(T398,1)="K",(VLOOKUP(T398,ma_miengiam!$A$3:$B$80,2,0)*100)/2,VLOOKUP(T398,ma_miengiam!$A$3:$B$80,2,0)*100)</f>
        <v>0</v>
      </c>
      <c r="V398" s="88"/>
      <c r="W398" s="220">
        <f>IF(AND(T398="NTS",V398&gt;0),(Q398-(Q398*V398)/12)*VLOOKUP(T398,ma_miengiam!$A$3:$B$80,2,0)+(Q398-(Q398*(12-V398))/12),IF(AND(RIGHT(T398,1)="K",V398&gt;0),(VLOOKUP(T398,ma_miengiam!$A$3:$B$80,2,0)/2)*(Q398*V398)/12,IF(RIGHT(T398,1)="K",(VLOOKUP(T398,ma_miengiam!$A$3:$B$80,2,0)*Q398)/2,IF(V398&gt;0,VLOOKUP(T398,ma_miengiam!$A$3:$B$80,2,0)*Q398*V398/12,VLOOKUP(T398,ma_miengiam!$A$3:$B$80,2,0)*Q398))))</f>
        <v>0</v>
      </c>
      <c r="X398" s="220">
        <f>IF(T398="NTS",VLOOKUP(T398,ma_miengiam!$A$3:$B$80,2,0)*R398*V398,IF(AND(T398="NTS",V398=0),0,IF(AND(LEFT(T398,1)="K",V398=0),VLOOKUP(T398,ma_miengiam!$A$3:$B$80,2,0)*R398,IF(LEFT(T398,1)="K",(VLOOKUP(T398,ma_miengiam!$A$3:$B$80,2,0)*R398/12)*V398,IF(AND(LEFT(T398,1)="S",V398&gt;0),(R398/12)*V398,IF(AND(LEFT(T398,1)="S",V398=0),R398,IF(T398="DH",VLOOKUP(T398,ma_miengiam!$A$3:$B$80,2,0)*R398,0)))))))</f>
        <v>0</v>
      </c>
      <c r="Y398" s="220">
        <f t="shared" si="1107"/>
        <v>270</v>
      </c>
      <c r="Z398" s="220">
        <f>IF(AND(T398="SĐH",V398&gt;0),(R398/12)*V398-X398,IF(AND(T398="DH",V398&gt;0),(R398*V398/12),IF(AND(T398&lt;&gt;"NTS",V398&gt;0),(R398*V398/12)-X398,IF(AND(T398="NTS",V398&gt;0),R398-X398,R398-X398))))</f>
        <v>150</v>
      </c>
      <c r="AA398" s="220">
        <f t="shared" si="1307"/>
        <v>270</v>
      </c>
      <c r="AB398" s="220">
        <f t="shared" si="1307"/>
        <v>150</v>
      </c>
      <c r="AC398" s="220">
        <f t="shared" si="1308"/>
        <v>0</v>
      </c>
      <c r="AD398" s="220">
        <f t="shared" si="1308"/>
        <v>0</v>
      </c>
      <c r="AE398" s="220">
        <f t="shared" si="1308"/>
        <v>270</v>
      </c>
      <c r="AF398" s="220">
        <f t="shared" si="1308"/>
        <v>150</v>
      </c>
      <c r="AG398" s="220">
        <f t="shared" si="1309"/>
        <v>191.15</v>
      </c>
      <c r="AH398" s="220">
        <f t="shared" si="1310"/>
        <v>48.65</v>
      </c>
      <c r="AI398" s="220">
        <f t="shared" si="1311"/>
        <v>142.5</v>
      </c>
      <c r="AJ398" s="220">
        <f>IF(AG398-Z398&gt;0,0,AG398-Z398)</f>
        <v>0</v>
      </c>
      <c r="AK398" s="216">
        <f t="shared" si="1266"/>
        <v>270</v>
      </c>
      <c r="AL398" s="220">
        <f t="shared" si="1251"/>
        <v>190.5</v>
      </c>
      <c r="AM398" s="220">
        <f t="shared" si="1252"/>
        <v>0</v>
      </c>
      <c r="AN398" s="221">
        <f t="shared" si="1253"/>
        <v>190.5</v>
      </c>
      <c r="AO398" s="220">
        <f t="shared" si="1254"/>
        <v>0</v>
      </c>
      <c r="AP398" s="220">
        <f t="shared" si="1255"/>
        <v>0</v>
      </c>
      <c r="AQ398" s="220">
        <f t="shared" si="1256"/>
        <v>146</v>
      </c>
      <c r="AR398" s="220">
        <f t="shared" si="1257"/>
        <v>0</v>
      </c>
      <c r="AS398" s="220">
        <f t="shared" si="1258"/>
        <v>0</v>
      </c>
      <c r="AT398" s="216">
        <f t="shared" si="1259"/>
        <v>336.5</v>
      </c>
      <c r="AU398" s="222">
        <f t="shared" si="1300"/>
        <v>-79.5</v>
      </c>
      <c r="AV398" s="220"/>
      <c r="AW398" s="220">
        <f t="shared" si="1165"/>
        <v>-79.5</v>
      </c>
      <c r="AX398" s="216">
        <f t="shared" si="1267"/>
        <v>-79.5</v>
      </c>
      <c r="AY398" s="220">
        <f t="shared" si="1179"/>
        <v>0</v>
      </c>
      <c r="AZ398" s="220">
        <f t="shared" si="1180"/>
        <v>0</v>
      </c>
      <c r="BA398" s="220">
        <f t="shared" si="1181"/>
        <v>66.5</v>
      </c>
      <c r="BB398" s="220">
        <f t="shared" si="1182"/>
        <v>0</v>
      </c>
      <c r="BC398" s="220">
        <f t="shared" si="1183"/>
        <v>0</v>
      </c>
      <c r="BD398" s="216">
        <f t="shared" si="1195"/>
        <v>66.5</v>
      </c>
      <c r="BE398" s="220">
        <f t="shared" si="1166"/>
        <v>0</v>
      </c>
      <c r="BF398" s="220">
        <f t="shared" si="1167"/>
        <v>0</v>
      </c>
      <c r="BG398" s="220">
        <f t="shared" si="1168"/>
        <v>-79.5</v>
      </c>
      <c r="BH398" s="220">
        <f t="shared" si="1169"/>
        <v>0</v>
      </c>
      <c r="BI398" s="220">
        <f t="shared" si="1170"/>
        <v>0</v>
      </c>
      <c r="BJ398" s="220" t="s">
        <v>2420</v>
      </c>
      <c r="BK398" s="220"/>
      <c r="BL398" s="223">
        <f t="shared" si="1201"/>
        <v>0</v>
      </c>
      <c r="BM398" s="220">
        <v>4.6500000000000004</v>
      </c>
      <c r="BN398" s="220"/>
      <c r="BO398" s="220">
        <f>ROUND(BM398+(BM398*BN398),2)</f>
        <v>4.6500000000000004</v>
      </c>
      <c r="BP398" s="220">
        <f>IF(AND(BL398&gt;0,BL398&lt;tiet!$D$1),BL398,IF(BL398&lt;=0,0,IF(BL398&gt;tiet!$C$1,tiet!$C$1)))</f>
        <v>0</v>
      </c>
      <c r="BQ398" s="87">
        <f>VLOOKUP(P398,ma_dinhmuc_moi,4,0)</f>
        <v>70000</v>
      </c>
      <c r="BR398" s="224">
        <f>ROUND(BQ398*BP398,0)</f>
        <v>0</v>
      </c>
      <c r="BS398" s="220">
        <f t="shared" si="1301"/>
        <v>0</v>
      </c>
      <c r="BT398" s="224">
        <f>VLOOKUP(N398,ma_dinhmuc!$A$1:$J$31,10,0)</f>
        <v>51000</v>
      </c>
      <c r="BU398" s="224">
        <f>ROUND(IF(BS398&gt;0,VLOOKUP(N398,ma_dinhmuc!$A$1:$J$31,10,0)*BS398,0),0)</f>
        <v>0</v>
      </c>
      <c r="BV398" s="224">
        <f>ROUND(BU398+BR398,0)</f>
        <v>0</v>
      </c>
      <c r="BW398" s="224"/>
      <c r="BX398" s="224">
        <v>0</v>
      </c>
      <c r="BY398" s="224"/>
      <c r="BZ398" s="224"/>
      <c r="CA398" s="224"/>
      <c r="CB398" s="224"/>
      <c r="CC398" s="225">
        <f>ROUND(IF(BV398+BW398&gt;BX398+BY398+BZ398+CA398+CB398,(BW398+BV398)-(BX398+BY398+BZ398+CA398+CB398+CB398),0),0)</f>
        <v>0</v>
      </c>
      <c r="CD398" s="224">
        <f>ROUND(IF(BV398+BW398&lt;BX398+BY398+BZ398+CA398-CB398,(BX398+BY398+BZ398+CA398-CB398)-(BW398+BV398),0),0)</f>
        <v>0</v>
      </c>
      <c r="CE398" s="224"/>
      <c r="CF398" s="226"/>
      <c r="CG398" s="87"/>
      <c r="CH398" s="87">
        <f>A398</f>
        <v>5</v>
      </c>
      <c r="CI398" s="227" t="str">
        <f t="shared" si="1312"/>
        <v>Hoàng Hải</v>
      </c>
      <c r="CJ398" s="227" t="str">
        <f t="shared" si="1312"/>
        <v>Hà</v>
      </c>
      <c r="CK398" s="87">
        <f>H398</f>
        <v>8</v>
      </c>
      <c r="CL398" s="227" t="str">
        <f>L398</f>
        <v>HS-CN sinh học thực phẩm</v>
      </c>
      <c r="CM398" s="87" t="str">
        <f t="shared" si="1172"/>
        <v>CS2</v>
      </c>
      <c r="CN398" s="87">
        <f t="shared" si="1313"/>
        <v>270</v>
      </c>
      <c r="CO398" s="87">
        <f t="shared" si="1313"/>
        <v>150</v>
      </c>
      <c r="CP398" s="229">
        <f t="shared" si="1314"/>
        <v>0</v>
      </c>
      <c r="CQ398" s="229">
        <f t="shared" si="1315"/>
        <v>23.8</v>
      </c>
      <c r="CR398" s="229">
        <f t="shared" si="1316"/>
        <v>9.6</v>
      </c>
      <c r="CS398" s="229">
        <f t="shared" si="1317"/>
        <v>0</v>
      </c>
      <c r="CT398" s="229">
        <f t="shared" si="1318"/>
        <v>0</v>
      </c>
      <c r="CU398" s="229">
        <f t="shared" si="1319"/>
        <v>86.1</v>
      </c>
      <c r="CV398" s="229">
        <f t="shared" si="1320"/>
        <v>0</v>
      </c>
      <c r="CW398" s="229">
        <f t="shared" si="1321"/>
        <v>71</v>
      </c>
      <c r="CX398" s="229">
        <f t="shared" si="1322"/>
        <v>0</v>
      </c>
      <c r="CY398" s="229">
        <f t="shared" si="1323"/>
        <v>0</v>
      </c>
      <c r="CZ398" s="229">
        <f t="shared" si="1324"/>
        <v>0</v>
      </c>
      <c r="DA398" s="229">
        <f t="shared" si="1325"/>
        <v>146</v>
      </c>
      <c r="DB398" s="228">
        <f t="shared" si="1260"/>
        <v>336.5</v>
      </c>
      <c r="DC398" s="229"/>
      <c r="DD398" s="229"/>
      <c r="DE398" s="229"/>
      <c r="DF398" s="229"/>
      <c r="DG398" s="229"/>
      <c r="DH398" s="229"/>
      <c r="DI398" s="229"/>
      <c r="DJ398" s="229"/>
      <c r="DK398" s="229"/>
      <c r="DL398" s="229"/>
      <c r="DM398" s="229"/>
      <c r="DN398" s="229"/>
      <c r="DO398" s="228">
        <f t="shared" si="1261"/>
        <v>0</v>
      </c>
      <c r="DP398" s="228">
        <f t="shared" si="1262"/>
        <v>336.5</v>
      </c>
      <c r="DQ398" s="229">
        <f t="shared" si="1326"/>
        <v>0</v>
      </c>
      <c r="DR398" s="229">
        <f t="shared" si="1327"/>
        <v>0</v>
      </c>
      <c r="DS398" s="229">
        <f t="shared" si="1328"/>
        <v>0</v>
      </c>
      <c r="DT398" s="229">
        <f t="shared" si="1329"/>
        <v>0</v>
      </c>
      <c r="DU398" s="229">
        <f t="shared" si="1330"/>
        <v>0</v>
      </c>
      <c r="DV398" s="229">
        <f t="shared" si="1331"/>
        <v>0</v>
      </c>
      <c r="DW398" s="229">
        <f t="shared" si="1332"/>
        <v>0</v>
      </c>
      <c r="DX398" s="228">
        <f t="shared" si="1263"/>
        <v>0</v>
      </c>
      <c r="DY398" s="229"/>
      <c r="DZ398" s="229"/>
      <c r="EA398" s="229"/>
      <c r="EB398" s="229"/>
      <c r="EC398" s="229"/>
      <c r="ED398" s="229"/>
      <c r="EE398" s="229"/>
      <c r="EF398" s="228">
        <f t="shared" si="1305"/>
        <v>0</v>
      </c>
      <c r="EG398" s="228">
        <f t="shared" si="1264"/>
        <v>0</v>
      </c>
      <c r="EH398" s="229">
        <f t="shared" si="1306"/>
        <v>142.5</v>
      </c>
      <c r="EI398" s="229">
        <v>48.65</v>
      </c>
      <c r="EJ398" s="228">
        <f t="shared" si="1280"/>
        <v>191.15</v>
      </c>
      <c r="EK398" s="229"/>
      <c r="EL398" s="229"/>
      <c r="EM398" s="228">
        <f>SUM(EK398:EL398)</f>
        <v>0</v>
      </c>
      <c r="EN398" s="229">
        <f t="shared" si="1273"/>
        <v>142.5</v>
      </c>
      <c r="EO398" s="229">
        <f t="shared" si="1302"/>
        <v>48.65</v>
      </c>
      <c r="EP398" s="228">
        <f>EM398+EJ398</f>
        <v>191.15</v>
      </c>
      <c r="EQ398" s="173">
        <f t="shared" si="1303"/>
        <v>0</v>
      </c>
      <c r="ER398" s="189">
        <v>0</v>
      </c>
      <c r="ES398" s="189">
        <v>23.8</v>
      </c>
      <c r="ET398" s="189">
        <v>9.6</v>
      </c>
      <c r="EU398" s="189">
        <v>0</v>
      </c>
      <c r="EV398" s="189">
        <v>0</v>
      </c>
      <c r="EW398" s="189">
        <v>86.1</v>
      </c>
      <c r="EX398" s="189">
        <v>0</v>
      </c>
      <c r="EY398" s="189">
        <v>71</v>
      </c>
      <c r="EZ398" s="189">
        <v>0</v>
      </c>
      <c r="FA398" s="189">
        <v>0</v>
      </c>
      <c r="FB398" s="189">
        <v>0</v>
      </c>
      <c r="FC398" s="189">
        <v>146</v>
      </c>
      <c r="FD398" s="189">
        <v>0</v>
      </c>
      <c r="FE398" s="189">
        <v>0</v>
      </c>
      <c r="FF398" s="189">
        <v>0</v>
      </c>
      <c r="FG398" s="189">
        <v>0</v>
      </c>
      <c r="FH398" s="189">
        <v>0</v>
      </c>
      <c r="FI398" s="189">
        <v>0</v>
      </c>
      <c r="FJ398" s="189">
        <v>0</v>
      </c>
      <c r="FK398" s="189">
        <v>336.5</v>
      </c>
      <c r="FL398" s="189">
        <v>289</v>
      </c>
      <c r="FN398" s="132">
        <v>142.5</v>
      </c>
    </row>
    <row r="399" spans="1:170" ht="30" customHeight="1">
      <c r="A399" s="88">
        <f>COUNTIF($H$12:H399,H399)</f>
        <v>6</v>
      </c>
      <c r="B399" s="88" t="s">
        <v>52</v>
      </c>
      <c r="C399" s="88" t="s">
        <v>3127</v>
      </c>
      <c r="D399" s="88" t="s">
        <v>622</v>
      </c>
      <c r="E399" s="88"/>
      <c r="F399" s="301" t="s">
        <v>2857</v>
      </c>
      <c r="G399" s="89" t="s">
        <v>2455</v>
      </c>
      <c r="H399" s="88">
        <v>8</v>
      </c>
      <c r="I399" s="88"/>
      <c r="J399" s="88">
        <v>8</v>
      </c>
      <c r="K399" s="90"/>
      <c r="L399" s="90" t="s">
        <v>1097</v>
      </c>
      <c r="M399" s="214">
        <v>1</v>
      </c>
      <c r="N399" s="88" t="s">
        <v>608</v>
      </c>
      <c r="O399" s="216">
        <f>BO399</f>
        <v>2.27</v>
      </c>
      <c r="P399" s="88" t="str">
        <f t="shared" ref="P399:P465" si="1333">IF(BO399&lt;3.33,"B1_3",IF(AND(BO399&gt;=3.33,BO399&lt;4.65),"B1_4",IF(AND(BO399&gt;=4.65,BO399&lt;5.42),"B1_5",IF(AND(BO399&gt;=5.42,BO399&lt;6.44),"B1_6",IF(AND(BO399&gt;=6.44,BO399&lt;=6.92),"B1_7","B1_8")))))</f>
        <v>B1_3</v>
      </c>
      <c r="Q399" s="88">
        <f t="shared" si="1154"/>
        <v>135</v>
      </c>
      <c r="R399" s="88">
        <f t="shared" si="1155"/>
        <v>50</v>
      </c>
      <c r="S399" s="218" t="s">
        <v>3128</v>
      </c>
      <c r="T399" s="219" t="s">
        <v>3088</v>
      </c>
      <c r="U399" s="88">
        <f>IF(RIGHT(T399,1)="K",(VLOOKUP(T399,ma_miengiam!$A$3:$B$80,2,0)*100)/2,VLOOKUP(T399,ma_miengiam!$A$3:$B$80,2,0)*100)</f>
        <v>0</v>
      </c>
      <c r="V399" s="88">
        <v>2</v>
      </c>
      <c r="W399" s="220">
        <f>IF(AND(T399="NTS",V399&gt;0),(Q399-(Q399*V399)/12)*VLOOKUP(T399,ma_miengiam!$A$3:$B$80,2,0)+(Q399-(Q399*(12-V399))/12),IF(AND(RIGHT(T399,1)="K",V399&gt;0),(VLOOKUP(T399,ma_miengiam!$A$3:$B$80,2,0)/2)*(Q399*V399)/12,IF(RIGHT(T399,1)="K",(VLOOKUP(T399,ma_miengiam!$A$3:$B$80,2,0)*Q399)/2,IF(V399&gt;0,VLOOKUP(T399,ma_miengiam!$A$3:$B$80,2,0)*Q399*V399/12,VLOOKUP(T399,ma_miengiam!$A$3:$B$80,2,0)*Q399))))</f>
        <v>0</v>
      </c>
      <c r="X399" s="220">
        <f>IF(T399="NTS",VLOOKUP(T399,ma_miengiam!$A$3:$B$80,2,0)*R399*V399,IF(AND(T399="NTS",V399=0),0,IF(AND(LEFT(T399,1)="K",V399=0),VLOOKUP(T399,ma_miengiam!$A$3:$B$80,2,0)*R399,IF(LEFT(T399,1)="K",(VLOOKUP(T399,ma_miengiam!$A$3:$B$80,2,0)*R399/12)*V399,IF(AND(LEFT(T399,1)="S",V399&gt;0),(R399/12)*V399,IF(AND(LEFT(T399,1)="S",V399=0),R399,IF(T399="DH",VLOOKUP(T399,ma_miengiam!$A$3:$B$80,2,0)*R399,0)))))))</f>
        <v>0</v>
      </c>
      <c r="Y399" s="220">
        <f>IF(AND(T399="DH",V399&gt;0),(S399*V399/12),IF(AND(T399&lt;&gt;"NTS",V399&gt;0),(Q399*V399/12)-W399,IF(AND(T399="NTS",V399&gt;0),Q399-W399,Q399-W399)))</f>
        <v>22.5</v>
      </c>
      <c r="Z399" s="220">
        <f>IF(AND(T399="SĐH",V399&gt;0),(R399/12)*V399-X399,IF(AND(T399="DH",V399&gt;0),(R399*V399/12),IF(AND(T399&lt;&gt;"NTS",V399&gt;0),(R399*V399/12)-X399,IF(AND(T399="NTS",V399&gt;0),R399-X399,R399-X399))))</f>
        <v>8.3333333333333339</v>
      </c>
      <c r="AA399" s="220"/>
      <c r="AB399" s="220"/>
      <c r="AC399" s="220"/>
      <c r="AD399" s="220"/>
      <c r="AE399" s="220"/>
      <c r="AF399" s="220"/>
      <c r="AG399" s="220"/>
      <c r="AH399" s="220"/>
      <c r="AI399" s="220"/>
      <c r="AJ399" s="220"/>
      <c r="AK399" s="216"/>
      <c r="AL399" s="220"/>
      <c r="AM399" s="220"/>
      <c r="AN399" s="216"/>
      <c r="AO399" s="220"/>
      <c r="AP399" s="220"/>
      <c r="AQ399" s="220"/>
      <c r="AR399" s="220"/>
      <c r="AS399" s="220"/>
      <c r="AT399" s="216"/>
      <c r="AU399" s="220"/>
      <c r="AV399" s="220"/>
      <c r="AW399" s="220"/>
      <c r="AX399" s="216"/>
      <c r="AY399" s="220"/>
      <c r="AZ399" s="220"/>
      <c r="BA399" s="220"/>
      <c r="BB399" s="220"/>
      <c r="BC399" s="220"/>
      <c r="BD399" s="216"/>
      <c r="BE399" s="220"/>
      <c r="BF399" s="220"/>
      <c r="BG399" s="220"/>
      <c r="BH399" s="220"/>
      <c r="BI399" s="220"/>
      <c r="BJ399" s="220" t="s">
        <v>2420</v>
      </c>
      <c r="BK399" s="220"/>
      <c r="BL399" s="223">
        <f t="shared" si="1201"/>
        <v>0</v>
      </c>
      <c r="BM399" s="220">
        <v>2.27</v>
      </c>
      <c r="BN399" s="220"/>
      <c r="BO399" s="220">
        <f>ROUND(BM399+(BM399*BN399),2)</f>
        <v>2.27</v>
      </c>
      <c r="BP399" s="220">
        <f>IF(AND(BL399&gt;0,BL399&lt;tiet!$D$1),BL399,IF(BL399&lt;=0,0,IF(BL399&gt;tiet!$C$1,tiet!$C$1)))</f>
        <v>0</v>
      </c>
      <c r="BQ399" s="87">
        <f>VLOOKUP(P399,ma_dinhmuc_moi,4,0)</f>
        <v>60000</v>
      </c>
      <c r="BR399" s="224">
        <f>ROUND(BQ399*BP399,0)</f>
        <v>0</v>
      </c>
      <c r="BS399" s="220">
        <f t="shared" si="1301"/>
        <v>0</v>
      </c>
      <c r="BT399" s="224">
        <f>VLOOKUP(N399,ma_dinhmuc!$A$1:$J$31,10,0)</f>
        <v>47000</v>
      </c>
      <c r="BU399" s="224">
        <f>ROUND(IF(BS399&gt;0,VLOOKUP(N399,ma_dinhmuc!$A$1:$J$31,10,0)*BS399,0),0)</f>
        <v>0</v>
      </c>
      <c r="BV399" s="224">
        <f>ROUND(BU399+BR399,0)</f>
        <v>0</v>
      </c>
      <c r="BW399" s="224"/>
      <c r="BX399" s="224">
        <v>0</v>
      </c>
      <c r="BY399" s="224"/>
      <c r="BZ399" s="224"/>
      <c r="CA399" s="224"/>
      <c r="CB399" s="224"/>
      <c r="CC399" s="225">
        <f>ROUND(IF(BV399+BW399&gt;BX399+BY399+BZ399+CA399+CB399,(BW399+BV399)-(BX399+BY399+BZ399+CA399+CB399+CB399),0),0)</f>
        <v>0</v>
      </c>
      <c r="CD399" s="224">
        <f>ROUND(IF(BV399+BW399&lt;BX399+BY399+BZ399+CA399-CB399,(BX399+BY399+BZ399+CA399-CB399)-(BW399+BV399),0),0)</f>
        <v>0</v>
      </c>
      <c r="CE399" s="224"/>
      <c r="CF399" s="226"/>
      <c r="CG399" s="87"/>
      <c r="CH399" s="87">
        <f>A399</f>
        <v>6</v>
      </c>
      <c r="CI399" s="227" t="str">
        <f t="shared" si="1312"/>
        <v>Trần Thị</v>
      </c>
      <c r="CJ399" s="227" t="str">
        <f t="shared" si="1312"/>
        <v>Hoài</v>
      </c>
      <c r="CK399" s="87">
        <f>H399</f>
        <v>8</v>
      </c>
      <c r="CL399" s="227" t="str">
        <f>L399</f>
        <v>HS-CN sinh học thực phẩm</v>
      </c>
      <c r="CM399" s="87" t="str">
        <f>N399</f>
        <v>CS1</v>
      </c>
      <c r="CN399" s="87">
        <f t="shared" si="1313"/>
        <v>135</v>
      </c>
      <c r="CO399" s="87">
        <f t="shared" si="1313"/>
        <v>50</v>
      </c>
      <c r="CP399" s="229">
        <f t="shared" si="1314"/>
        <v>0</v>
      </c>
      <c r="CQ399" s="229">
        <f t="shared" si="1315"/>
        <v>0</v>
      </c>
      <c r="CR399" s="229">
        <f t="shared" si="1316"/>
        <v>0</v>
      </c>
      <c r="CS399" s="229">
        <f t="shared" si="1317"/>
        <v>0</v>
      </c>
      <c r="CT399" s="229">
        <f t="shared" si="1318"/>
        <v>0</v>
      </c>
      <c r="CU399" s="229">
        <f t="shared" si="1319"/>
        <v>0</v>
      </c>
      <c r="CV399" s="229">
        <f t="shared" si="1320"/>
        <v>0</v>
      </c>
      <c r="CW399" s="229">
        <f t="shared" si="1321"/>
        <v>0</v>
      </c>
      <c r="CX399" s="229">
        <f t="shared" si="1322"/>
        <v>0</v>
      </c>
      <c r="CY399" s="229">
        <f t="shared" si="1323"/>
        <v>0</v>
      </c>
      <c r="CZ399" s="229">
        <f t="shared" si="1324"/>
        <v>0</v>
      </c>
      <c r="DA399" s="229">
        <f t="shared" si="1325"/>
        <v>0</v>
      </c>
      <c r="DB399" s="228">
        <f t="shared" si="1260"/>
        <v>0</v>
      </c>
      <c r="DC399" s="229"/>
      <c r="DD399" s="229"/>
      <c r="DE399" s="229"/>
      <c r="DF399" s="229"/>
      <c r="DG399" s="229"/>
      <c r="DH399" s="229"/>
      <c r="DI399" s="229"/>
      <c r="DJ399" s="229"/>
      <c r="DK399" s="229"/>
      <c r="DL399" s="229"/>
      <c r="DM399" s="229"/>
      <c r="DN399" s="229"/>
      <c r="DO399" s="228">
        <f t="shared" si="1261"/>
        <v>0</v>
      </c>
      <c r="DP399" s="228">
        <f t="shared" si="1262"/>
        <v>0</v>
      </c>
      <c r="DQ399" s="229">
        <f t="shared" si="1326"/>
        <v>0</v>
      </c>
      <c r="DR399" s="229">
        <f t="shared" si="1327"/>
        <v>0</v>
      </c>
      <c r="DS399" s="229">
        <f t="shared" si="1328"/>
        <v>0</v>
      </c>
      <c r="DT399" s="229">
        <f t="shared" si="1329"/>
        <v>0</v>
      </c>
      <c r="DU399" s="229">
        <f t="shared" si="1330"/>
        <v>0</v>
      </c>
      <c r="DV399" s="229">
        <f t="shared" si="1331"/>
        <v>0</v>
      </c>
      <c r="DW399" s="229">
        <f t="shared" si="1332"/>
        <v>0</v>
      </c>
      <c r="DX399" s="228">
        <f t="shared" si="1263"/>
        <v>0</v>
      </c>
      <c r="DY399" s="229"/>
      <c r="DZ399" s="229"/>
      <c r="EA399" s="229"/>
      <c r="EB399" s="229"/>
      <c r="EC399" s="229"/>
      <c r="ED399" s="229"/>
      <c r="EE399" s="229"/>
      <c r="EF399" s="228">
        <f t="shared" si="1305"/>
        <v>0</v>
      </c>
      <c r="EG399" s="228">
        <f t="shared" si="1264"/>
        <v>0</v>
      </c>
      <c r="EH399" s="229">
        <f t="shared" si="1306"/>
        <v>0</v>
      </c>
      <c r="EI399" s="229">
        <v>0</v>
      </c>
      <c r="EJ399" s="228">
        <f t="shared" si="1280"/>
        <v>0</v>
      </c>
      <c r="EK399" s="229"/>
      <c r="EL399" s="229"/>
      <c r="EM399" s="228">
        <f>SUM(EK399:EL399)</f>
        <v>0</v>
      </c>
      <c r="EN399" s="229">
        <f>EK399+EH399+EL399</f>
        <v>0</v>
      </c>
      <c r="EO399" s="229">
        <f>EI399</f>
        <v>0</v>
      </c>
      <c r="EP399" s="228">
        <f>EM399+EJ399</f>
        <v>0</v>
      </c>
      <c r="EQ399" s="173">
        <f t="shared" si="1303"/>
        <v>0</v>
      </c>
      <c r="ER399" s="189">
        <v>0</v>
      </c>
      <c r="ES399" s="189">
        <v>0</v>
      </c>
      <c r="ET399" s="189">
        <v>0</v>
      </c>
      <c r="EU399" s="189">
        <v>0</v>
      </c>
      <c r="EV399" s="189">
        <v>0</v>
      </c>
      <c r="EW399" s="189">
        <v>0</v>
      </c>
      <c r="EX399" s="189">
        <v>0</v>
      </c>
      <c r="EY399" s="189">
        <v>0</v>
      </c>
      <c r="EZ399" s="189">
        <v>0</v>
      </c>
      <c r="FA399" s="189">
        <v>0</v>
      </c>
      <c r="FB399" s="189">
        <v>0</v>
      </c>
      <c r="FC399" s="189">
        <v>0</v>
      </c>
      <c r="FD399" s="189">
        <v>0</v>
      </c>
      <c r="FE399" s="189">
        <v>0</v>
      </c>
      <c r="FF399" s="189">
        <v>0</v>
      </c>
      <c r="FG399" s="189">
        <v>0</v>
      </c>
      <c r="FH399" s="189">
        <v>0</v>
      </c>
      <c r="FI399" s="189">
        <v>0</v>
      </c>
      <c r="FJ399" s="189">
        <v>0</v>
      </c>
      <c r="FK399" s="189">
        <v>0</v>
      </c>
      <c r="FL399" s="189">
        <v>0</v>
      </c>
      <c r="FN399" s="132">
        <v>0</v>
      </c>
    </row>
    <row r="400" spans="1:170" ht="30" customHeight="1">
      <c r="A400" s="88">
        <f>COUNTIF($H$12:H400,H400)</f>
        <v>7</v>
      </c>
      <c r="B400" s="88" t="s">
        <v>52</v>
      </c>
      <c r="C400" s="88" t="s">
        <v>3127</v>
      </c>
      <c r="D400" s="88" t="s">
        <v>622</v>
      </c>
      <c r="E400" s="88"/>
      <c r="F400" s="301" t="s">
        <v>2857</v>
      </c>
      <c r="G400" s="89" t="s">
        <v>2455</v>
      </c>
      <c r="H400" s="88">
        <v>8</v>
      </c>
      <c r="I400" s="88"/>
      <c r="J400" s="88">
        <v>8</v>
      </c>
      <c r="K400" s="90"/>
      <c r="L400" s="90" t="s">
        <v>1097</v>
      </c>
      <c r="M400" s="214"/>
      <c r="N400" s="88" t="s">
        <v>1804</v>
      </c>
      <c r="O400" s="216">
        <f>BO400</f>
        <v>2.67</v>
      </c>
      <c r="P400" s="88" t="str">
        <f>IF(BO400&lt;3.33,"B1_3",IF(AND(BO400&gt;=3.33,BO400&lt;4.65),"B1_4",IF(AND(BO400&gt;=4.65,BO400&lt;5.42),"B1_5",IF(AND(BO400&gt;=5.42,BO400&lt;6.44),"B1_6",IF(AND(BO400&gt;=6.44,BO400&lt;=6.92),"B1_7","B1_8")))))</f>
        <v>B1_3</v>
      </c>
      <c r="Q400" s="88">
        <f>IF(M400&gt;0,VLOOKUP(P400,ma_dinhmuc_moi,2,0)/2,VLOOKUP(P400,ma_dinhmuc_moi,2,0))</f>
        <v>270</v>
      </c>
      <c r="R400" s="88">
        <f>IF(M400&gt;0,VLOOKUP(P400,ma_dinhmuc_moi,3,0)/2,VLOOKUP(P400,ma_dinhmuc_moi,3,0))</f>
        <v>100</v>
      </c>
      <c r="S400" s="218" t="s">
        <v>3188</v>
      </c>
      <c r="T400" s="219" t="s">
        <v>3088</v>
      </c>
      <c r="U400" s="88">
        <f>IF(RIGHT(T400,1)="K",(VLOOKUP(T400,ma_miengiam!$A$3:$B$80,2,0)*100)/2,VLOOKUP(T400,ma_miengiam!$A$3:$B$80,2,0)*100)</f>
        <v>0</v>
      </c>
      <c r="V400" s="88">
        <v>10</v>
      </c>
      <c r="W400" s="220">
        <f>IF(AND(T400="NTS",V400&gt;0),(Q400-(Q400*V400)/12)*VLOOKUP(T400,ma_miengiam!$A$3:$B$80,2,0)+(Q400-(Q400*(12-V400))/12),IF(AND(RIGHT(T400,1)="K",V400&gt;0),(VLOOKUP(T400,ma_miengiam!$A$3:$B$80,2,0)/2)*(Q400*V400)/12,IF(RIGHT(T400,1)="K",(VLOOKUP(T400,ma_miengiam!$A$3:$B$80,2,0)*Q400)/2,IF(V400&gt;0,VLOOKUP(T400,ma_miengiam!$A$3:$B$80,2,0)*Q400*V400/12,VLOOKUP(T400,ma_miengiam!$A$3:$B$80,2,0)*Q400))))</f>
        <v>0</v>
      </c>
      <c r="X400" s="220">
        <f>IF(T400="NTS",VLOOKUP(T400,ma_miengiam!$A$3:$B$80,2,0)*R400*V400,IF(AND(T400="NTS",V400=0),0,IF(AND(LEFT(T400,1)="K",V400=0),VLOOKUP(T400,ma_miengiam!$A$3:$B$80,2,0)*R400,IF(LEFT(T400,1)="K",(VLOOKUP(T400,ma_miengiam!$A$3:$B$80,2,0)*R400/12)*V400,IF(AND(LEFT(T400,1)="S",V400&gt;0),(R400/12)*V400,IF(AND(LEFT(T400,1)="S",V400=0),R400,IF(T400="DH",VLOOKUP(T400,ma_miengiam!$A$3:$B$80,2,0)*R400,0)))))))</f>
        <v>0</v>
      </c>
      <c r="Y400" s="220">
        <f>IF(AND(T400="DH",V400&gt;0),(S400*V400/12),IF(AND(T400&lt;&gt;"NTS",V400&gt;0),(Q400*V400/12)-W400,IF(AND(T400="NTS",V400&gt;0),Q400-W400,Q400-W400)))</f>
        <v>225</v>
      </c>
      <c r="Z400" s="220">
        <f>IF(AND(T400="SĐH",V400&gt;0),(R400/12)*V400-X400,IF(AND(T400="DH",V400&gt;0),(R400*V400/12),IF(AND(T400&lt;&gt;"NTS",V400&gt;0),(R400*V400/12)-X400,IF(AND(T400="NTS",V400&gt;0),R400-X400,R400-X400))))</f>
        <v>83.333333333333329</v>
      </c>
      <c r="AA400" s="220"/>
      <c r="AB400" s="220"/>
      <c r="AC400" s="220"/>
      <c r="AD400" s="220"/>
      <c r="AE400" s="220"/>
      <c r="AF400" s="220"/>
      <c r="AG400" s="220"/>
      <c r="AH400" s="220"/>
      <c r="AI400" s="220"/>
      <c r="AJ400" s="220"/>
      <c r="AK400" s="216"/>
      <c r="AL400" s="220"/>
      <c r="AM400" s="220"/>
      <c r="AN400" s="216"/>
      <c r="AO400" s="220"/>
      <c r="AP400" s="220"/>
      <c r="AQ400" s="220"/>
      <c r="AR400" s="220"/>
      <c r="AS400" s="220"/>
      <c r="AT400" s="216"/>
      <c r="AU400" s="220"/>
      <c r="AV400" s="220"/>
      <c r="AW400" s="220"/>
      <c r="AX400" s="216"/>
      <c r="AY400" s="220"/>
      <c r="AZ400" s="220"/>
      <c r="BA400" s="220"/>
      <c r="BB400" s="220"/>
      <c r="BC400" s="220"/>
      <c r="BD400" s="216"/>
      <c r="BE400" s="220"/>
      <c r="BF400" s="220"/>
      <c r="BG400" s="220"/>
      <c r="BH400" s="220"/>
      <c r="BI400" s="220"/>
      <c r="BJ400" s="220" t="s">
        <v>2420</v>
      </c>
      <c r="BK400" s="220"/>
      <c r="BL400" s="223">
        <f>IF(AW400&lt;BK400,0,IF(AND(BK400=0,AW400&gt;0),AW400,IF(AW400&lt;0,0,IF(BK400&gt;0,AW400-BK400,IF(BK400&lt;0,0,AW400)))))</f>
        <v>0</v>
      </c>
      <c r="BM400" s="220">
        <v>2.67</v>
      </c>
      <c r="BN400" s="220"/>
      <c r="BO400" s="220">
        <f>ROUND(BM400+(BM400*BN400),2)</f>
        <v>2.67</v>
      </c>
      <c r="BP400" s="220">
        <f>IF(AND(BL400&gt;0,BL400&lt;tiet!$D$1),BL400,IF(BL400&lt;=0,0,IF(BL400&gt;tiet!$C$1,tiet!$C$1)))</f>
        <v>0</v>
      </c>
      <c r="BQ400" s="87">
        <f>VLOOKUP(P400,ma_dinhmuc_moi,4,0)</f>
        <v>60000</v>
      </c>
      <c r="BR400" s="224">
        <f>ROUND(BQ400*BP400,0)</f>
        <v>0</v>
      </c>
      <c r="BS400" s="220">
        <f t="shared" si="1301"/>
        <v>0</v>
      </c>
      <c r="BT400" s="224">
        <f>VLOOKUP(N400,ma_dinhmuc!$A$1:$J$31,10,0)</f>
        <v>51000</v>
      </c>
      <c r="BU400" s="224">
        <f>ROUND(IF(BS400&gt;0,VLOOKUP(N400,ma_dinhmuc!$A$1:$J$31,10,0)*BS400,0),0)</f>
        <v>0</v>
      </c>
      <c r="BV400" s="224">
        <f>ROUND(BU400+BR400,0)</f>
        <v>0</v>
      </c>
      <c r="BW400" s="224"/>
      <c r="BX400" s="224">
        <v>0</v>
      </c>
      <c r="BY400" s="224"/>
      <c r="BZ400" s="224"/>
      <c r="CA400" s="224"/>
      <c r="CB400" s="224"/>
      <c r="CC400" s="225">
        <f>ROUND(IF(BV400+BW400&gt;BX400+BY400+BZ400+CA400+CB400,(BW400+BV400)-(BX400+BY400+BZ400+CA400+CB400+CB400),0),0)</f>
        <v>0</v>
      </c>
      <c r="CD400" s="224">
        <f>ROUND(IF(BV400+BW400&lt;BX400+BY400+BZ400+CA400-CB400,(BX400+BY400+BZ400+CA400-CB400)-(BW400+BV400),0),0)</f>
        <v>0</v>
      </c>
      <c r="CE400" s="224"/>
      <c r="CF400" s="226"/>
      <c r="CG400" s="87"/>
      <c r="CH400" s="87">
        <f>A400</f>
        <v>7</v>
      </c>
      <c r="CI400" s="227" t="str">
        <f t="shared" ref="CI400:CJ403" si="1334">F400</f>
        <v>Trần Thị</v>
      </c>
      <c r="CJ400" s="227" t="str">
        <f t="shared" si="1334"/>
        <v>Hoài</v>
      </c>
      <c r="CK400" s="87">
        <f>H400</f>
        <v>8</v>
      </c>
      <c r="CL400" s="227" t="str">
        <f>L400</f>
        <v>HS-CN sinh học thực phẩm</v>
      </c>
      <c r="CM400" s="87" t="str">
        <f>N400</f>
        <v>CS2</v>
      </c>
      <c r="CN400" s="87">
        <f>Q400</f>
        <v>270</v>
      </c>
      <c r="CO400" s="87">
        <f>R400</f>
        <v>100</v>
      </c>
      <c r="CP400" s="229">
        <f t="shared" si="1314"/>
        <v>0</v>
      </c>
      <c r="CQ400" s="229">
        <f t="shared" si="1315"/>
        <v>0</v>
      </c>
      <c r="CR400" s="229">
        <f t="shared" si="1316"/>
        <v>0</v>
      </c>
      <c r="CS400" s="229">
        <f t="shared" si="1317"/>
        <v>0</v>
      </c>
      <c r="CT400" s="229">
        <f t="shared" si="1318"/>
        <v>0</v>
      </c>
      <c r="CU400" s="229">
        <f t="shared" si="1319"/>
        <v>0</v>
      </c>
      <c r="CV400" s="229">
        <f t="shared" si="1320"/>
        <v>0</v>
      </c>
      <c r="CW400" s="229">
        <f t="shared" si="1321"/>
        <v>0</v>
      </c>
      <c r="CX400" s="229">
        <f t="shared" si="1322"/>
        <v>0</v>
      </c>
      <c r="CY400" s="229">
        <f t="shared" si="1323"/>
        <v>0</v>
      </c>
      <c r="CZ400" s="229">
        <f t="shared" si="1324"/>
        <v>0</v>
      </c>
      <c r="DA400" s="229">
        <f t="shared" si="1325"/>
        <v>0</v>
      </c>
      <c r="DB400" s="228">
        <f>SUM(CP400:DA400)</f>
        <v>0</v>
      </c>
      <c r="DC400" s="229"/>
      <c r="DD400" s="229"/>
      <c r="DE400" s="229"/>
      <c r="DF400" s="229"/>
      <c r="DG400" s="229"/>
      <c r="DH400" s="229"/>
      <c r="DI400" s="229"/>
      <c r="DJ400" s="229"/>
      <c r="DK400" s="229"/>
      <c r="DL400" s="229"/>
      <c r="DM400" s="229"/>
      <c r="DN400" s="229"/>
      <c r="DO400" s="228">
        <f>SUM(DC400:DN400)</f>
        <v>0</v>
      </c>
      <c r="DP400" s="228">
        <f>DO400+DB400</f>
        <v>0</v>
      </c>
      <c r="DQ400" s="229">
        <f t="shared" si="1326"/>
        <v>0</v>
      </c>
      <c r="DR400" s="229">
        <f t="shared" si="1327"/>
        <v>0</v>
      </c>
      <c r="DS400" s="229">
        <f t="shared" si="1328"/>
        <v>0</v>
      </c>
      <c r="DT400" s="229">
        <f t="shared" si="1329"/>
        <v>0</v>
      </c>
      <c r="DU400" s="229">
        <f t="shared" si="1330"/>
        <v>0</v>
      </c>
      <c r="DV400" s="229">
        <f t="shared" si="1331"/>
        <v>0</v>
      </c>
      <c r="DW400" s="229">
        <f t="shared" si="1332"/>
        <v>0</v>
      </c>
      <c r="DX400" s="228">
        <f>SUM(DQ400:DW400)</f>
        <v>0</v>
      </c>
      <c r="DY400" s="229"/>
      <c r="DZ400" s="229"/>
      <c r="EA400" s="229"/>
      <c r="EB400" s="229"/>
      <c r="EC400" s="229"/>
      <c r="ED400" s="229"/>
      <c r="EE400" s="229"/>
      <c r="EF400" s="228">
        <f t="shared" si="1305"/>
        <v>0</v>
      </c>
      <c r="EG400" s="228">
        <f>EF400+DX400</f>
        <v>0</v>
      </c>
      <c r="EH400" s="229">
        <f t="shared" si="1306"/>
        <v>0</v>
      </c>
      <c r="EI400" s="229">
        <v>0</v>
      </c>
      <c r="EJ400" s="228">
        <f t="shared" si="1280"/>
        <v>0</v>
      </c>
      <c r="EK400" s="229"/>
      <c r="EL400" s="229"/>
      <c r="EM400" s="228">
        <f>SUM(EK400:EL400)</f>
        <v>0</v>
      </c>
      <c r="EN400" s="229">
        <f>EK400+EH400+EL400</f>
        <v>0</v>
      </c>
      <c r="EO400" s="229">
        <f>EI400</f>
        <v>0</v>
      </c>
      <c r="EP400" s="228">
        <f>EM400+EJ400</f>
        <v>0</v>
      </c>
      <c r="EQ400" s="173">
        <f t="shared" si="1303"/>
        <v>0</v>
      </c>
      <c r="ER400" s="189">
        <v>0</v>
      </c>
      <c r="ES400" s="189">
        <v>0</v>
      </c>
      <c r="ET400" s="189">
        <v>0</v>
      </c>
      <c r="EU400" s="189">
        <v>0</v>
      </c>
      <c r="EV400" s="189">
        <v>0</v>
      </c>
      <c r="EW400" s="189">
        <v>0</v>
      </c>
      <c r="EX400" s="189">
        <v>0</v>
      </c>
      <c r="EY400" s="189">
        <v>0</v>
      </c>
      <c r="EZ400" s="189">
        <v>0</v>
      </c>
      <c r="FA400" s="189">
        <v>0</v>
      </c>
      <c r="FB400" s="189">
        <v>0</v>
      </c>
      <c r="FC400" s="189">
        <v>0</v>
      </c>
      <c r="FD400" s="189">
        <v>0</v>
      </c>
      <c r="FE400" s="189">
        <v>0</v>
      </c>
      <c r="FF400" s="189">
        <v>0</v>
      </c>
      <c r="FG400" s="189">
        <v>0</v>
      </c>
      <c r="FH400" s="189">
        <v>0</v>
      </c>
      <c r="FI400" s="189">
        <v>0</v>
      </c>
      <c r="FJ400" s="189">
        <v>0</v>
      </c>
      <c r="FK400" s="189">
        <v>0</v>
      </c>
      <c r="FL400" s="189">
        <v>0</v>
      </c>
      <c r="FN400" s="132">
        <v>0</v>
      </c>
    </row>
    <row r="401" spans="1:170" ht="30" customHeight="1">
      <c r="A401" s="88">
        <f>COUNTIF($H$12:H401,H401)</f>
        <v>8</v>
      </c>
      <c r="B401" s="88" t="s">
        <v>52</v>
      </c>
      <c r="C401" s="88" t="s">
        <v>3127</v>
      </c>
      <c r="D401" s="88" t="s">
        <v>622</v>
      </c>
      <c r="E401" s="88"/>
      <c r="F401" s="301" t="s">
        <v>2857</v>
      </c>
      <c r="G401" s="89" t="s">
        <v>2455</v>
      </c>
      <c r="H401" s="88">
        <v>8</v>
      </c>
      <c r="I401" s="88">
        <v>8</v>
      </c>
      <c r="J401" s="88">
        <v>8</v>
      </c>
      <c r="K401" s="90" t="s">
        <v>1097</v>
      </c>
      <c r="L401" s="90" t="s">
        <v>1097</v>
      </c>
      <c r="M401" s="214"/>
      <c r="N401" s="88" t="s">
        <v>1804</v>
      </c>
      <c r="O401" s="216">
        <f>BO401</f>
        <v>2.67</v>
      </c>
      <c r="P401" s="88" t="str">
        <f>IF(BO401&lt;3.33,"B1_3",IF(AND(BO401&gt;=3.33,BO401&lt;4.65),"B1_4",IF(AND(BO401&gt;=4.65,BO401&lt;5.42),"B1_5",IF(AND(BO401&gt;=5.42,BO401&lt;6.44),"B1_6",IF(AND(BO401&gt;=6.44,BO401&lt;=6.92),"B1_7","B1_8")))))</f>
        <v>B1_3</v>
      </c>
      <c r="Q401" s="88">
        <f>IF(M401&gt;0,VLOOKUP(P401,ma_dinhmuc_moi,2,0)/2,VLOOKUP(P401,ma_dinhmuc_moi,2,0))</f>
        <v>270</v>
      </c>
      <c r="R401" s="88">
        <f>IF(M401&gt;0,VLOOKUP(P401,ma_dinhmuc_moi,3,0)/2,VLOOKUP(P401,ma_dinhmuc_moi,3,0))</f>
        <v>100</v>
      </c>
      <c r="S401" s="218" t="s">
        <v>3188</v>
      </c>
      <c r="T401" s="219" t="s">
        <v>3088</v>
      </c>
      <c r="U401" s="88">
        <f>IF(RIGHT(T401,1)="K",(VLOOKUP(T401,ma_miengiam!$A$3:$B$80,2,0)*100)/2,VLOOKUP(T401,ma_miengiam!$A$3:$B$80,2,0)*100)</f>
        <v>0</v>
      </c>
      <c r="V401" s="88"/>
      <c r="W401" s="220">
        <f>W400+W399</f>
        <v>0</v>
      </c>
      <c r="X401" s="220">
        <f>X400+X399</f>
        <v>0</v>
      </c>
      <c r="Y401" s="220">
        <f>Y400+Y399</f>
        <v>247.5</v>
      </c>
      <c r="Z401" s="220">
        <f>Z400+Z399</f>
        <v>91.666666666666657</v>
      </c>
      <c r="AA401" s="220">
        <f>Q401</f>
        <v>270</v>
      </c>
      <c r="AB401" s="220">
        <f>R401</f>
        <v>100</v>
      </c>
      <c r="AC401" s="220">
        <f t="shared" ref="AC401:AF402" si="1335">W401</f>
        <v>0</v>
      </c>
      <c r="AD401" s="220">
        <f t="shared" si="1335"/>
        <v>0</v>
      </c>
      <c r="AE401" s="220">
        <f t="shared" si="1335"/>
        <v>247.5</v>
      </c>
      <c r="AF401" s="220">
        <f t="shared" si="1335"/>
        <v>91.666666666666657</v>
      </c>
      <c r="AG401" s="220">
        <f>AH401+AI401</f>
        <v>0</v>
      </c>
      <c r="AH401" s="220">
        <f>EO401</f>
        <v>0</v>
      </c>
      <c r="AI401" s="220">
        <f>EN401</f>
        <v>0</v>
      </c>
      <c r="AJ401" s="220">
        <f>IF(AG401-Z401&gt;0,0,AG401-Z401)</f>
        <v>-91.666666666666657</v>
      </c>
      <c r="AK401" s="216">
        <f>IF(AJ401&gt;=0,Y401,Y401-AJ401)</f>
        <v>339.16666666666663</v>
      </c>
      <c r="AL401" s="220">
        <f>SUM(CP401:CX401)+SUM(DC401:DK401)</f>
        <v>131.30000000000001</v>
      </c>
      <c r="AM401" s="220">
        <f>SUM(DQ401:DU401)+SUM(DY401:EC401)</f>
        <v>0</v>
      </c>
      <c r="AN401" s="216">
        <f>AM401+AL401</f>
        <v>131.30000000000001</v>
      </c>
      <c r="AO401" s="220">
        <f>CY401+DL401</f>
        <v>0</v>
      </c>
      <c r="AP401" s="220">
        <f>CZ401+DM401</f>
        <v>0</v>
      </c>
      <c r="AQ401" s="220">
        <f>DA401+DN401</f>
        <v>40</v>
      </c>
      <c r="AR401" s="220">
        <f>DV401+ED401</f>
        <v>0</v>
      </c>
      <c r="AS401" s="220">
        <f>DW401+EE401</f>
        <v>0</v>
      </c>
      <c r="AT401" s="216">
        <f>AN401+SUM(AO401:AS401)</f>
        <v>171.3</v>
      </c>
      <c r="AU401" s="220">
        <f>AN401-AK401</f>
        <v>-207.86666666666662</v>
      </c>
      <c r="AV401" s="220"/>
      <c r="AW401" s="220">
        <f>IF(AU401&gt;0,AU401,AV401+AU401)</f>
        <v>-207.86666666666662</v>
      </c>
      <c r="AX401" s="216">
        <f>IF(AN401&gt;AK401,0,IF(AW401&lt;0,AN401-AK401+AV401,IF(AW401&gt;=0,0)))</f>
        <v>-207.86666666666662</v>
      </c>
      <c r="AY401" s="220">
        <f>IF(AN401&gt;=AK401,AO401,IF(AN401+AO401-AK401&gt;=0,AN401+AO401-AK401,0))</f>
        <v>0</v>
      </c>
      <c r="AZ401" s="220">
        <f>IF(OR(AN401&gt;=AK401,AN401+AO401&gt;=AK401),AP401,IF(AN401+AO401+AP401&gt;AK401,AN401+AO401+AP401-AK401,0))</f>
        <v>0</v>
      </c>
      <c r="BA401" s="220">
        <f>IF(OR(AN401&gt;=AK401,AN401+AO401&gt;=AK401,AN401+AO401+AP401&gt;=AK401),AQ401,IF(AN401+AO401+AP401+AQ401&gt;=AK401,AN401+AO401+AP401+AQ401-AK401,0))</f>
        <v>0</v>
      </c>
      <c r="BB401" s="220">
        <f>IF(OR(AN401&gt;=AK401,AN401+AO401&gt;=AK401,AN401+AO401+AP401&gt;=AK401,AN401+AO401+AP401+AQ401&gt;=AK401),AR401,IF(AN401+AO401+AP401+AQ401+AR401&gt;=AK401,AN401+AO401+AP401+AQ401+AR401-AK401,0))</f>
        <v>0</v>
      </c>
      <c r="BC401" s="220">
        <f>IF(OR(AN401&gt;=AK401,AN401+AO401&gt;=AK401,AN401+AO401+AP401&gt;=AK401,AN401+AO401+AP401+AQ401&gt;=AK401,AN401+AO401+AP401+AQ401+AR401&gt;=AK401),AS401,IF(AN401+AO401+AP401+AQ401+AR401+AS401&gt;=AK401,AN401+AO401+AP401+AQ401+AR401+AS401-AK401,0))</f>
        <v>0</v>
      </c>
      <c r="BD401" s="216">
        <f>SUM(AY401:BC401)</f>
        <v>0</v>
      </c>
      <c r="BE401" s="220">
        <f>AY401-AO401</f>
        <v>0</v>
      </c>
      <c r="BF401" s="220">
        <f>AZ401-AP401</f>
        <v>0</v>
      </c>
      <c r="BG401" s="220">
        <f>BA401-AQ401</f>
        <v>-40</v>
      </c>
      <c r="BH401" s="220">
        <f>BB401-AR401</f>
        <v>0</v>
      </c>
      <c r="BI401" s="220">
        <f>BC401-AS401</f>
        <v>0</v>
      </c>
      <c r="BJ401" s="220" t="s">
        <v>2420</v>
      </c>
      <c r="BK401" s="220"/>
      <c r="BL401" s="223">
        <f>IF(AW401&lt;BK401,0,IF(AND(BK401=0,AW401&gt;0),AW401,IF(AW401&lt;0,0,IF(BK401&gt;0,AW401-BK401,IF(BK401&lt;0,0,AW401)))))</f>
        <v>0</v>
      </c>
      <c r="BM401" s="220">
        <v>2.67</v>
      </c>
      <c r="BN401" s="220"/>
      <c r="BO401" s="220">
        <f>ROUND(BM401+(BM401*BN401),2)</f>
        <v>2.67</v>
      </c>
      <c r="BP401" s="220">
        <f>IF(AND(BL401&gt;0,BL401&lt;tiet!$D$1),BL401,IF(BL401&lt;=0,0,IF(BL401&gt;tiet!$C$1,tiet!$C$1)))</f>
        <v>0</v>
      </c>
      <c r="BQ401" s="87">
        <f>VLOOKUP(P401,ma_dinhmuc_moi,4,0)</f>
        <v>60000</v>
      </c>
      <c r="BR401" s="224">
        <f>ROUND(BQ401*BP401,0)</f>
        <v>0</v>
      </c>
      <c r="BS401" s="220">
        <f t="shared" si="1301"/>
        <v>0</v>
      </c>
      <c r="BT401" s="224">
        <f>VLOOKUP(N401,ma_dinhmuc!$A$1:$J$31,10,0)</f>
        <v>51000</v>
      </c>
      <c r="BU401" s="224">
        <f>ROUND(IF(BS401&gt;0,VLOOKUP(N401,ma_dinhmuc!$A$1:$J$31,10,0)*BS401,0),0)</f>
        <v>0</v>
      </c>
      <c r="BV401" s="224">
        <f>ROUND(BU401+BR401,0)</f>
        <v>0</v>
      </c>
      <c r="BW401" s="224"/>
      <c r="BX401" s="224">
        <v>0</v>
      </c>
      <c r="BY401" s="224"/>
      <c r="BZ401" s="224"/>
      <c r="CA401" s="224"/>
      <c r="CB401" s="224"/>
      <c r="CC401" s="225">
        <f>ROUND(IF(BV401+BW401&gt;BX401+BY401+BZ401+CA401+CB401,(BW401+BV401)-(BX401+BY401+BZ401+CA401+CB401+CB401),0),0)</f>
        <v>0</v>
      </c>
      <c r="CD401" s="224">
        <f>ROUND(IF(BV401+BW401&lt;BX401+BY401+BZ401+CA401-CB401,(BX401+BY401+BZ401+CA401-CB401)-(BW401+BV401),0),0)</f>
        <v>0</v>
      </c>
      <c r="CE401" s="224"/>
      <c r="CF401" s="226"/>
      <c r="CG401" s="87"/>
      <c r="CH401" s="87">
        <f>A401</f>
        <v>8</v>
      </c>
      <c r="CI401" s="227" t="str">
        <f t="shared" si="1334"/>
        <v>Trần Thị</v>
      </c>
      <c r="CJ401" s="227" t="str">
        <f t="shared" si="1334"/>
        <v>Hoài</v>
      </c>
      <c r="CK401" s="87">
        <f>H401</f>
        <v>8</v>
      </c>
      <c r="CL401" s="227" t="str">
        <f>L401</f>
        <v>HS-CN sinh học thực phẩm</v>
      </c>
      <c r="CM401" s="87" t="str">
        <f>N401</f>
        <v>CS2</v>
      </c>
      <c r="CN401" s="87">
        <f>Q401</f>
        <v>270</v>
      </c>
      <c r="CO401" s="87">
        <f>R401</f>
        <v>100</v>
      </c>
      <c r="CP401" s="229">
        <f t="shared" si="1314"/>
        <v>0</v>
      </c>
      <c r="CQ401" s="229">
        <f t="shared" si="1315"/>
        <v>9.4</v>
      </c>
      <c r="CR401" s="229">
        <f t="shared" si="1316"/>
        <v>3.8</v>
      </c>
      <c r="CS401" s="229">
        <f t="shared" si="1317"/>
        <v>0</v>
      </c>
      <c r="CT401" s="229">
        <f t="shared" si="1318"/>
        <v>0</v>
      </c>
      <c r="CU401" s="229">
        <f t="shared" si="1319"/>
        <v>32.1</v>
      </c>
      <c r="CV401" s="229">
        <f t="shared" si="1320"/>
        <v>0</v>
      </c>
      <c r="CW401" s="229">
        <f t="shared" si="1321"/>
        <v>86</v>
      </c>
      <c r="CX401" s="229">
        <f t="shared" si="1322"/>
        <v>0</v>
      </c>
      <c r="CY401" s="229">
        <f t="shared" si="1323"/>
        <v>0</v>
      </c>
      <c r="CZ401" s="229">
        <f t="shared" si="1324"/>
        <v>0</v>
      </c>
      <c r="DA401" s="229">
        <f t="shared" si="1325"/>
        <v>40</v>
      </c>
      <c r="DB401" s="228">
        <f>SUM(CP401:DA401)</f>
        <v>171.3</v>
      </c>
      <c r="DC401" s="229"/>
      <c r="DD401" s="229"/>
      <c r="DE401" s="229"/>
      <c r="DF401" s="229"/>
      <c r="DG401" s="229"/>
      <c r="DH401" s="229"/>
      <c r="DI401" s="229"/>
      <c r="DJ401" s="229"/>
      <c r="DK401" s="229"/>
      <c r="DL401" s="229"/>
      <c r="DM401" s="229"/>
      <c r="DN401" s="229"/>
      <c r="DO401" s="228">
        <f>SUM(DC401:DN401)</f>
        <v>0</v>
      </c>
      <c r="DP401" s="228">
        <f>DO401+DB401</f>
        <v>171.3</v>
      </c>
      <c r="DQ401" s="229">
        <f t="shared" si="1326"/>
        <v>0</v>
      </c>
      <c r="DR401" s="229">
        <f t="shared" si="1327"/>
        <v>0</v>
      </c>
      <c r="DS401" s="229">
        <f t="shared" si="1328"/>
        <v>0</v>
      </c>
      <c r="DT401" s="229">
        <f t="shared" si="1329"/>
        <v>0</v>
      </c>
      <c r="DU401" s="229">
        <f t="shared" si="1330"/>
        <v>0</v>
      </c>
      <c r="DV401" s="229">
        <f t="shared" si="1331"/>
        <v>0</v>
      </c>
      <c r="DW401" s="229">
        <f t="shared" si="1332"/>
        <v>0</v>
      </c>
      <c r="DX401" s="228">
        <f>SUM(DQ401:DW401)</f>
        <v>0</v>
      </c>
      <c r="DY401" s="229"/>
      <c r="DZ401" s="229"/>
      <c r="EA401" s="229"/>
      <c r="EB401" s="229"/>
      <c r="EC401" s="229"/>
      <c r="ED401" s="229"/>
      <c r="EE401" s="229"/>
      <c r="EF401" s="228">
        <f t="shared" si="1305"/>
        <v>0</v>
      </c>
      <c r="EG401" s="228">
        <f>EF401+DX401</f>
        <v>0</v>
      </c>
      <c r="EH401" s="229">
        <f t="shared" si="1306"/>
        <v>0</v>
      </c>
      <c r="EI401" s="229">
        <v>0</v>
      </c>
      <c r="EJ401" s="228">
        <f t="shared" si="1280"/>
        <v>0</v>
      </c>
      <c r="EK401" s="229"/>
      <c r="EL401" s="229"/>
      <c r="EM401" s="228">
        <f>SUM(EK401:EL401)</f>
        <v>0</v>
      </c>
      <c r="EN401" s="229">
        <f>EK401+EH401+EL401</f>
        <v>0</v>
      </c>
      <c r="EO401" s="229">
        <f>EI401</f>
        <v>0</v>
      </c>
      <c r="EP401" s="228">
        <f>EM401+EJ401</f>
        <v>0</v>
      </c>
      <c r="EQ401" s="173">
        <f t="shared" si="1303"/>
        <v>0</v>
      </c>
      <c r="ER401" s="189">
        <v>0</v>
      </c>
      <c r="ES401" s="189">
        <v>9.4</v>
      </c>
      <c r="ET401" s="189">
        <v>3.8</v>
      </c>
      <c r="EU401" s="189">
        <v>0</v>
      </c>
      <c r="EV401" s="189">
        <v>0</v>
      </c>
      <c r="EW401" s="189">
        <v>32.1</v>
      </c>
      <c r="EX401" s="189">
        <v>0</v>
      </c>
      <c r="EY401" s="189">
        <v>86</v>
      </c>
      <c r="EZ401" s="189">
        <v>0</v>
      </c>
      <c r="FA401" s="189">
        <v>0</v>
      </c>
      <c r="FB401" s="189">
        <v>0</v>
      </c>
      <c r="FC401" s="189">
        <v>40</v>
      </c>
      <c r="FD401" s="189">
        <v>0</v>
      </c>
      <c r="FE401" s="189">
        <v>0</v>
      </c>
      <c r="FF401" s="189">
        <v>0</v>
      </c>
      <c r="FG401" s="189">
        <v>0</v>
      </c>
      <c r="FH401" s="189">
        <v>0</v>
      </c>
      <c r="FI401" s="189">
        <v>0</v>
      </c>
      <c r="FJ401" s="189">
        <v>0</v>
      </c>
      <c r="FK401" s="189">
        <v>171.3</v>
      </c>
      <c r="FL401" s="189">
        <v>158</v>
      </c>
      <c r="FN401" s="132">
        <v>0</v>
      </c>
    </row>
    <row r="402" spans="1:170" ht="30" customHeight="1">
      <c r="A402" s="88">
        <f>COUNTIF($H$12:H402,H402)</f>
        <v>9</v>
      </c>
      <c r="B402" s="88" t="s">
        <v>1853</v>
      </c>
      <c r="C402" s="88" t="s">
        <v>868</v>
      </c>
      <c r="D402" s="88"/>
      <c r="E402" s="88"/>
      <c r="F402" s="301" t="s">
        <v>2199</v>
      </c>
      <c r="G402" s="89" t="s">
        <v>35</v>
      </c>
      <c r="H402" s="88">
        <v>8</v>
      </c>
      <c r="I402" s="88">
        <v>8</v>
      </c>
      <c r="J402" s="88">
        <v>8</v>
      </c>
      <c r="K402" s="90" t="s">
        <v>1098</v>
      </c>
      <c r="L402" s="90" t="s">
        <v>1098</v>
      </c>
      <c r="M402" s="214"/>
      <c r="N402" s="88" t="s">
        <v>1804</v>
      </c>
      <c r="O402" s="216">
        <f t="shared" si="1304"/>
        <v>3.66</v>
      </c>
      <c r="P402" s="88" t="str">
        <f t="shared" si="1333"/>
        <v>B1_4</v>
      </c>
      <c r="Q402" s="88">
        <f t="shared" si="1154"/>
        <v>270</v>
      </c>
      <c r="R402" s="88">
        <f t="shared" si="1155"/>
        <v>120</v>
      </c>
      <c r="S402" s="231"/>
      <c r="T402" s="214" t="s">
        <v>3088</v>
      </c>
      <c r="U402" s="88">
        <f>IF(RIGHT(T402,1)="K",(VLOOKUP(T402,ma_miengiam!$A$3:$B$80,2,0)*100)/2,VLOOKUP(T402,ma_miengiam!$A$3:$B$80,2,0)*100)</f>
        <v>0</v>
      </c>
      <c r="V402" s="88"/>
      <c r="W402" s="220">
        <f>IF(AND(T402="NTS",V402&gt;0),(Q402-(Q402*V402)/12)*VLOOKUP(T402,ma_miengiam!$A$3:$B$80,2,0)+(Q402-(Q402*(12-V402))/12),IF(AND(RIGHT(T402,1)="K",V402&gt;0),(VLOOKUP(T402,ma_miengiam!$A$3:$B$80,2,0)/2)*(Q402*V402)/12,IF(RIGHT(T402,1)="K",(VLOOKUP(T402,ma_miengiam!$A$3:$B$80,2,0)*Q402)/2,IF(V402&gt;0,VLOOKUP(T402,ma_miengiam!$A$3:$B$80,2,0)*Q402*V402/12,VLOOKUP(T402,ma_miengiam!$A$3:$B$80,2,0)*Q402))))</f>
        <v>0</v>
      </c>
      <c r="X402" s="220">
        <f>IF(T402="NTS",VLOOKUP(T402,ma_miengiam!$A$3:$B$80,2,0)*R402*V402,IF(AND(T402="NTS",V402=0),0,IF(AND(LEFT(T402,1)="K",V402=0),VLOOKUP(T402,ma_miengiam!$A$3:$B$80,2,0)*R402,IF(LEFT(T402,1)="K",(VLOOKUP(T402,ma_miengiam!$A$3:$B$80,2,0)*R402/12)*V402,IF(AND(LEFT(T402,1)="S",V402&gt;0),(R402/12)*V402,IF(AND(LEFT(T402,1)="S",V402=0),R402,IF(T402="DH",VLOOKUP(T402,ma_miengiam!$A$3:$B$80,2,0)*R402,0)))))))</f>
        <v>0</v>
      </c>
      <c r="Y402" s="220">
        <f t="shared" si="1107"/>
        <v>270</v>
      </c>
      <c r="Z402" s="220">
        <f t="shared" si="1290"/>
        <v>120</v>
      </c>
      <c r="AA402" s="220">
        <f t="shared" si="1307"/>
        <v>270</v>
      </c>
      <c r="AB402" s="220">
        <f t="shared" si="1307"/>
        <v>120</v>
      </c>
      <c r="AC402" s="220">
        <f t="shared" si="1335"/>
        <v>0</v>
      </c>
      <c r="AD402" s="220">
        <f t="shared" si="1335"/>
        <v>0</v>
      </c>
      <c r="AE402" s="220">
        <f t="shared" si="1335"/>
        <v>270</v>
      </c>
      <c r="AF402" s="220">
        <f t="shared" si="1335"/>
        <v>120</v>
      </c>
      <c r="AG402" s="220">
        <f t="shared" si="1309"/>
        <v>266.27</v>
      </c>
      <c r="AH402" s="220">
        <f t="shared" si="1310"/>
        <v>43.52</v>
      </c>
      <c r="AI402" s="220">
        <f t="shared" si="1311"/>
        <v>222.75</v>
      </c>
      <c r="AJ402" s="220">
        <f t="shared" si="1190"/>
        <v>0</v>
      </c>
      <c r="AK402" s="216">
        <f t="shared" si="1266"/>
        <v>270</v>
      </c>
      <c r="AL402" s="220">
        <f t="shared" si="1251"/>
        <v>634</v>
      </c>
      <c r="AM402" s="220">
        <f t="shared" si="1252"/>
        <v>55.3</v>
      </c>
      <c r="AN402" s="221">
        <f t="shared" si="1253"/>
        <v>689.3</v>
      </c>
      <c r="AO402" s="220">
        <f t="shared" si="1254"/>
        <v>0</v>
      </c>
      <c r="AP402" s="220">
        <f t="shared" si="1255"/>
        <v>0</v>
      </c>
      <c r="AQ402" s="220">
        <f t="shared" si="1256"/>
        <v>180</v>
      </c>
      <c r="AR402" s="220">
        <f t="shared" si="1257"/>
        <v>0</v>
      </c>
      <c r="AS402" s="220">
        <f t="shared" si="1258"/>
        <v>0</v>
      </c>
      <c r="AT402" s="216">
        <f t="shared" si="1259"/>
        <v>869.3</v>
      </c>
      <c r="AU402" s="222">
        <f t="shared" si="1300"/>
        <v>419.29999999999995</v>
      </c>
      <c r="AV402" s="220"/>
      <c r="AW402" s="220">
        <f t="shared" si="1165"/>
        <v>419.29999999999995</v>
      </c>
      <c r="AX402" s="216">
        <f t="shared" si="1267"/>
        <v>0</v>
      </c>
      <c r="AY402" s="220">
        <f t="shared" si="1179"/>
        <v>0</v>
      </c>
      <c r="AZ402" s="220">
        <f t="shared" si="1180"/>
        <v>0</v>
      </c>
      <c r="BA402" s="220">
        <f t="shared" si="1181"/>
        <v>180</v>
      </c>
      <c r="BB402" s="220">
        <f t="shared" si="1182"/>
        <v>0</v>
      </c>
      <c r="BC402" s="220">
        <f t="shared" si="1183"/>
        <v>0</v>
      </c>
      <c r="BD402" s="216">
        <f t="shared" si="1195"/>
        <v>180</v>
      </c>
      <c r="BE402" s="220">
        <f t="shared" si="1166"/>
        <v>0</v>
      </c>
      <c r="BF402" s="220">
        <f t="shared" si="1167"/>
        <v>0</v>
      </c>
      <c r="BG402" s="220">
        <f t="shared" si="1168"/>
        <v>0</v>
      </c>
      <c r="BH402" s="220">
        <f t="shared" si="1169"/>
        <v>0</v>
      </c>
      <c r="BI402" s="220">
        <f t="shared" si="1170"/>
        <v>0</v>
      </c>
      <c r="BJ402" s="220" t="s">
        <v>2421</v>
      </c>
      <c r="BK402" s="220"/>
      <c r="BL402" s="223">
        <f t="shared" si="1201"/>
        <v>419.29999999999995</v>
      </c>
      <c r="BM402" s="220">
        <v>3.66</v>
      </c>
      <c r="BN402" s="220"/>
      <c r="BO402" s="220">
        <f t="shared" si="1294"/>
        <v>3.66</v>
      </c>
      <c r="BP402" s="220">
        <f>IF(AND(BL402&gt;0,BL402&lt;tiet!$D$1),BL402,IF(BL402&lt;=0,0,IF(BL402&gt;tiet!$C$1,tiet!$C$1)))</f>
        <v>200</v>
      </c>
      <c r="BQ402" s="87">
        <f t="shared" si="1191"/>
        <v>65000</v>
      </c>
      <c r="BR402" s="224">
        <f t="shared" si="1192"/>
        <v>13000000</v>
      </c>
      <c r="BS402" s="220">
        <f t="shared" si="1301"/>
        <v>219.29999999999995</v>
      </c>
      <c r="BT402" s="224">
        <f>VLOOKUP(N402,ma_dinhmuc!$A$1:$J$31,10,0)</f>
        <v>51000</v>
      </c>
      <c r="BU402" s="224">
        <f>ROUND(IF(BS402&gt;0,VLOOKUP(N402,ma_dinhmuc!$A$1:$J$31,10,0)*BS402,0),0)</f>
        <v>11184300</v>
      </c>
      <c r="BV402" s="224">
        <f t="shared" si="1193"/>
        <v>24184300</v>
      </c>
      <c r="BW402" s="224"/>
      <c r="BX402" s="224">
        <v>0</v>
      </c>
      <c r="BY402" s="224"/>
      <c r="BZ402" s="224"/>
      <c r="CA402" s="224"/>
      <c r="CB402" s="224"/>
      <c r="CC402" s="225">
        <f t="shared" si="1286"/>
        <v>24184300</v>
      </c>
      <c r="CD402" s="224">
        <f t="shared" si="1287"/>
        <v>0</v>
      </c>
      <c r="CE402" s="224"/>
      <c r="CF402" s="226"/>
      <c r="CG402" s="87"/>
      <c r="CH402" s="87">
        <f t="shared" si="1295"/>
        <v>9</v>
      </c>
      <c r="CI402" s="227" t="str">
        <f t="shared" si="1334"/>
        <v>Trần Thị Thu</v>
      </c>
      <c r="CJ402" s="227" t="str">
        <f t="shared" si="1334"/>
        <v>Hằng</v>
      </c>
      <c r="CK402" s="87">
        <f t="shared" si="1297"/>
        <v>8</v>
      </c>
      <c r="CL402" s="227" t="str">
        <f t="shared" si="1298"/>
        <v>Công nghệ chế biến</v>
      </c>
      <c r="CM402" s="87" t="str">
        <f t="shared" si="1172"/>
        <v>CS2</v>
      </c>
      <c r="CN402" s="87">
        <f t="shared" si="1278"/>
        <v>270</v>
      </c>
      <c r="CO402" s="87">
        <f t="shared" si="1279"/>
        <v>120</v>
      </c>
      <c r="CP402" s="229">
        <f t="shared" si="1314"/>
        <v>0</v>
      </c>
      <c r="CQ402" s="229">
        <f t="shared" si="1315"/>
        <v>88.7</v>
      </c>
      <c r="CR402" s="229">
        <f t="shared" si="1316"/>
        <v>25.1</v>
      </c>
      <c r="CS402" s="229">
        <f t="shared" si="1317"/>
        <v>0</v>
      </c>
      <c r="CT402" s="229">
        <f t="shared" si="1318"/>
        <v>0</v>
      </c>
      <c r="CU402" s="229">
        <f t="shared" si="1319"/>
        <v>320.7</v>
      </c>
      <c r="CV402" s="229">
        <f t="shared" si="1320"/>
        <v>0</v>
      </c>
      <c r="CW402" s="229">
        <f t="shared" si="1321"/>
        <v>199.5</v>
      </c>
      <c r="CX402" s="229">
        <f t="shared" si="1322"/>
        <v>0</v>
      </c>
      <c r="CY402" s="229">
        <f t="shared" si="1323"/>
        <v>0</v>
      </c>
      <c r="CZ402" s="229">
        <f t="shared" si="1324"/>
        <v>0</v>
      </c>
      <c r="DA402" s="229">
        <f t="shared" si="1325"/>
        <v>180</v>
      </c>
      <c r="DB402" s="228">
        <f t="shared" si="1260"/>
        <v>814</v>
      </c>
      <c r="DC402" s="229"/>
      <c r="DD402" s="229"/>
      <c r="DE402" s="229"/>
      <c r="DF402" s="229"/>
      <c r="DG402" s="229"/>
      <c r="DH402" s="229"/>
      <c r="DI402" s="229"/>
      <c r="DJ402" s="229"/>
      <c r="DK402" s="229"/>
      <c r="DL402" s="229"/>
      <c r="DM402" s="229"/>
      <c r="DN402" s="229"/>
      <c r="DO402" s="228">
        <f t="shared" si="1261"/>
        <v>0</v>
      </c>
      <c r="DP402" s="228">
        <f t="shared" si="1262"/>
        <v>814</v>
      </c>
      <c r="DQ402" s="229">
        <f t="shared" si="1326"/>
        <v>54</v>
      </c>
      <c r="DR402" s="229">
        <f t="shared" si="1327"/>
        <v>0.9</v>
      </c>
      <c r="DS402" s="229">
        <f t="shared" si="1328"/>
        <v>0</v>
      </c>
      <c r="DT402" s="229">
        <f t="shared" si="1329"/>
        <v>0.4</v>
      </c>
      <c r="DU402" s="229">
        <f t="shared" si="1330"/>
        <v>0</v>
      </c>
      <c r="DV402" s="229">
        <f t="shared" si="1331"/>
        <v>0</v>
      </c>
      <c r="DW402" s="229">
        <f t="shared" si="1332"/>
        <v>0</v>
      </c>
      <c r="DX402" s="228">
        <f t="shared" si="1263"/>
        <v>55.3</v>
      </c>
      <c r="DY402" s="229"/>
      <c r="DZ402" s="229"/>
      <c r="EA402" s="229"/>
      <c r="EB402" s="229"/>
      <c r="EC402" s="229"/>
      <c r="ED402" s="229"/>
      <c r="EE402" s="229"/>
      <c r="EF402" s="228">
        <f t="shared" si="1305"/>
        <v>0</v>
      </c>
      <c r="EG402" s="228">
        <f t="shared" si="1264"/>
        <v>55.3</v>
      </c>
      <c r="EH402" s="229">
        <f t="shared" si="1306"/>
        <v>222.75</v>
      </c>
      <c r="EI402" s="229">
        <v>43.52</v>
      </c>
      <c r="EJ402" s="228">
        <f t="shared" si="1280"/>
        <v>266.27</v>
      </c>
      <c r="EK402" s="229"/>
      <c r="EL402" s="229"/>
      <c r="EM402" s="228">
        <f t="shared" ref="EM402:EM420" si="1336">SUM(EK402:EL402)</f>
        <v>0</v>
      </c>
      <c r="EN402" s="229">
        <f t="shared" si="1273"/>
        <v>222.75</v>
      </c>
      <c r="EO402" s="229">
        <f t="shared" si="1302"/>
        <v>43.52</v>
      </c>
      <c r="EP402" s="228">
        <f t="shared" si="1299"/>
        <v>266.27</v>
      </c>
      <c r="EQ402" s="173">
        <f t="shared" si="1303"/>
        <v>102.75</v>
      </c>
      <c r="ER402" s="189">
        <v>0</v>
      </c>
      <c r="ES402" s="189">
        <v>88.7</v>
      </c>
      <c r="ET402" s="189">
        <v>25.1</v>
      </c>
      <c r="EU402" s="189">
        <v>0</v>
      </c>
      <c r="EV402" s="189">
        <v>0</v>
      </c>
      <c r="EW402" s="189">
        <v>320.7</v>
      </c>
      <c r="EX402" s="189">
        <v>0</v>
      </c>
      <c r="EY402" s="189">
        <v>199.5</v>
      </c>
      <c r="EZ402" s="189">
        <v>0</v>
      </c>
      <c r="FA402" s="189">
        <v>0</v>
      </c>
      <c r="FB402" s="189">
        <v>0</v>
      </c>
      <c r="FC402" s="189">
        <v>180</v>
      </c>
      <c r="FD402" s="189">
        <v>54</v>
      </c>
      <c r="FE402" s="189">
        <v>0.9</v>
      </c>
      <c r="FF402" s="189">
        <v>0</v>
      </c>
      <c r="FG402" s="189">
        <v>0.4</v>
      </c>
      <c r="FH402" s="189">
        <v>0</v>
      </c>
      <c r="FI402" s="189">
        <v>0</v>
      </c>
      <c r="FJ402" s="189">
        <v>0</v>
      </c>
      <c r="FK402" s="189">
        <v>869.3</v>
      </c>
      <c r="FL402" s="189">
        <v>615</v>
      </c>
      <c r="FN402" s="132">
        <v>222.75</v>
      </c>
    </row>
    <row r="403" spans="1:170" ht="33" customHeight="1">
      <c r="A403" s="88">
        <f>COUNTIF($H$12:H403,H403)</f>
        <v>10</v>
      </c>
      <c r="B403" s="88" t="s">
        <v>1854</v>
      </c>
      <c r="C403" s="88" t="s">
        <v>869</v>
      </c>
      <c r="D403" s="88"/>
      <c r="E403" s="88"/>
      <c r="F403" s="301" t="s">
        <v>2857</v>
      </c>
      <c r="G403" s="89" t="s">
        <v>3151</v>
      </c>
      <c r="H403" s="88">
        <v>8</v>
      </c>
      <c r="I403" s="88">
        <v>8</v>
      </c>
      <c r="J403" s="88">
        <v>8</v>
      </c>
      <c r="K403" s="90" t="s">
        <v>1098</v>
      </c>
      <c r="L403" s="90" t="s">
        <v>1098</v>
      </c>
      <c r="M403" s="214"/>
      <c r="N403" s="88" t="s">
        <v>605</v>
      </c>
      <c r="O403" s="216">
        <f t="shared" si="1304"/>
        <v>6.2</v>
      </c>
      <c r="P403" s="88" t="str">
        <f t="shared" si="1333"/>
        <v>B1_6</v>
      </c>
      <c r="Q403" s="88">
        <f t="shared" si="1154"/>
        <v>270</v>
      </c>
      <c r="R403" s="88">
        <f t="shared" si="1155"/>
        <v>170</v>
      </c>
      <c r="S403" s="230" t="s">
        <v>2031</v>
      </c>
      <c r="T403" s="88" t="s">
        <v>3091</v>
      </c>
      <c r="U403" s="88">
        <f>IF(RIGHT(T403,1)="K",(VLOOKUP(T403,ma_miengiam!$A$3:$B$80,2,0)*100)/2,VLOOKUP(T403,ma_miengiam!$A$3:$B$80,2,0)*100)</f>
        <v>20</v>
      </c>
      <c r="V403" s="88"/>
      <c r="W403" s="220">
        <f>IF(AND(T403="NTS",V403&gt;0),(Q403-(Q403*V403)/12)*VLOOKUP(T403,ma_miengiam!$A$3:$B$80,2,0)+(Q403-(Q403*(12-V403))/12),IF(AND(RIGHT(T403,1)="K",V403&gt;0),(VLOOKUP(T403,ma_miengiam!$A$3:$B$80,2,0)/2)*(Q403*V403)/12,IF(RIGHT(T403,1)="K",(VLOOKUP(T403,ma_miengiam!$A$3:$B$80,2,0)*Q403)/2,IF(V403&gt;0,VLOOKUP(T403,ma_miengiam!$A$3:$B$80,2,0)*Q403*V403/12,VLOOKUP(T403,ma_miengiam!$A$3:$B$80,2,0)*Q403))))</f>
        <v>54</v>
      </c>
      <c r="X403" s="220">
        <f>IF(T403="NTS",VLOOKUP(T403,ma_miengiam!$A$3:$B$80,2,0)*R403*V403,IF(AND(T403="NTS",V403=0),0,IF(AND(LEFT(T403,1)="K",V403=0),VLOOKUP(T403,ma_miengiam!$A$3:$B$80,2,0)*R403,IF(LEFT(T403,1)="K",(VLOOKUP(T403,ma_miengiam!$A$3:$B$80,2,0)*R403/12)*V403,IF(AND(LEFT(T403,1)="S",V403&gt;0),(R403/12)*V403,IF(AND(LEFT(T403,1)="S",V403=0),R403,IF(T403="DH",VLOOKUP(T403,ma_miengiam!$A$3:$B$80,2,0)*R403,0)))))))</f>
        <v>0</v>
      </c>
      <c r="Y403" s="220">
        <f t="shared" si="1107"/>
        <v>216</v>
      </c>
      <c r="Z403" s="220">
        <f t="shared" si="1290"/>
        <v>170</v>
      </c>
      <c r="AA403" s="220">
        <f t="shared" ref="AA403:AB406" si="1337">Q403</f>
        <v>270</v>
      </c>
      <c r="AB403" s="220">
        <f t="shared" si="1337"/>
        <v>170</v>
      </c>
      <c r="AC403" s="220">
        <f t="shared" ref="AC403:AF406" si="1338">W403</f>
        <v>54</v>
      </c>
      <c r="AD403" s="220">
        <f t="shared" si="1338"/>
        <v>0</v>
      </c>
      <c r="AE403" s="220">
        <f t="shared" si="1338"/>
        <v>216</v>
      </c>
      <c r="AF403" s="220">
        <f t="shared" si="1338"/>
        <v>170</v>
      </c>
      <c r="AG403" s="220">
        <f t="shared" si="1309"/>
        <v>136.95999999999998</v>
      </c>
      <c r="AH403" s="220">
        <f t="shared" si="1310"/>
        <v>2.6699999999999875</v>
      </c>
      <c r="AI403" s="220">
        <f t="shared" si="1311"/>
        <v>134.29</v>
      </c>
      <c r="AJ403" s="220">
        <f t="shared" si="1190"/>
        <v>-33.04000000000002</v>
      </c>
      <c r="AK403" s="216">
        <f t="shared" si="1266"/>
        <v>249.04000000000002</v>
      </c>
      <c r="AL403" s="220">
        <f t="shared" si="1251"/>
        <v>582.29999999999995</v>
      </c>
      <c r="AM403" s="220">
        <f t="shared" si="1252"/>
        <v>27.7</v>
      </c>
      <c r="AN403" s="221">
        <f t="shared" si="1253"/>
        <v>610</v>
      </c>
      <c r="AO403" s="220">
        <f t="shared" si="1254"/>
        <v>0</v>
      </c>
      <c r="AP403" s="220">
        <f t="shared" si="1255"/>
        <v>0</v>
      </c>
      <c r="AQ403" s="220">
        <f t="shared" si="1256"/>
        <v>120</v>
      </c>
      <c r="AR403" s="220">
        <f t="shared" si="1257"/>
        <v>0</v>
      </c>
      <c r="AS403" s="220">
        <f t="shared" si="1258"/>
        <v>0</v>
      </c>
      <c r="AT403" s="216">
        <f t="shared" si="1259"/>
        <v>730</v>
      </c>
      <c r="AU403" s="222">
        <f t="shared" si="1300"/>
        <v>360.96</v>
      </c>
      <c r="AV403" s="220"/>
      <c r="AW403" s="220">
        <f t="shared" si="1165"/>
        <v>360.96</v>
      </c>
      <c r="AX403" s="216">
        <f t="shared" si="1267"/>
        <v>0</v>
      </c>
      <c r="AY403" s="220">
        <f t="shared" si="1179"/>
        <v>0</v>
      </c>
      <c r="AZ403" s="220">
        <f t="shared" si="1180"/>
        <v>0</v>
      </c>
      <c r="BA403" s="220">
        <f t="shared" si="1181"/>
        <v>120</v>
      </c>
      <c r="BB403" s="220">
        <f t="shared" si="1182"/>
        <v>0</v>
      </c>
      <c r="BC403" s="220">
        <f t="shared" si="1183"/>
        <v>0</v>
      </c>
      <c r="BD403" s="216">
        <f t="shared" si="1195"/>
        <v>120</v>
      </c>
      <c r="BE403" s="220">
        <f t="shared" si="1166"/>
        <v>0</v>
      </c>
      <c r="BF403" s="220">
        <f t="shared" si="1167"/>
        <v>0</v>
      </c>
      <c r="BG403" s="220">
        <f t="shared" si="1168"/>
        <v>0</v>
      </c>
      <c r="BH403" s="220">
        <f t="shared" si="1169"/>
        <v>0</v>
      </c>
      <c r="BI403" s="220">
        <f t="shared" si="1170"/>
        <v>0</v>
      </c>
      <c r="BJ403" s="220" t="s">
        <v>2421</v>
      </c>
      <c r="BK403" s="220"/>
      <c r="BL403" s="223">
        <f t="shared" si="1201"/>
        <v>360.96</v>
      </c>
      <c r="BM403" s="220">
        <v>6.2</v>
      </c>
      <c r="BN403" s="220"/>
      <c r="BO403" s="220">
        <f t="shared" si="1294"/>
        <v>6.2</v>
      </c>
      <c r="BP403" s="220">
        <f>IF(AND(BL403&gt;0,BL403&lt;tiet!$D$1),BL403,IF(BL403&lt;=0,0,IF(BL403&gt;tiet!$C$1,tiet!$C$1)))</f>
        <v>200</v>
      </c>
      <c r="BQ403" s="87">
        <f t="shared" si="1191"/>
        <v>75000</v>
      </c>
      <c r="BR403" s="224">
        <f t="shared" si="1192"/>
        <v>15000000</v>
      </c>
      <c r="BS403" s="220">
        <f t="shared" si="1301"/>
        <v>160.95999999999998</v>
      </c>
      <c r="BT403" s="224">
        <f>VLOOKUP(N403,ma_dinhmuc!$A$1:$J$31,10,0)</f>
        <v>65000</v>
      </c>
      <c r="BU403" s="224">
        <f>ROUND(IF(BS403&gt;0,VLOOKUP(N403,ma_dinhmuc!$A$1:$J$31,10,0)*BS403,0),0)</f>
        <v>10462400</v>
      </c>
      <c r="BV403" s="224">
        <f t="shared" si="1193"/>
        <v>25462400</v>
      </c>
      <c r="BW403" s="224"/>
      <c r="BX403" s="224">
        <v>0</v>
      </c>
      <c r="BY403" s="224"/>
      <c r="BZ403" s="224"/>
      <c r="CA403" s="224"/>
      <c r="CB403" s="224"/>
      <c r="CC403" s="225">
        <f t="shared" si="1286"/>
        <v>25462400</v>
      </c>
      <c r="CD403" s="224">
        <f t="shared" si="1287"/>
        <v>0</v>
      </c>
      <c r="CE403" s="224"/>
      <c r="CF403" s="226"/>
      <c r="CG403" s="87"/>
      <c r="CH403" s="87">
        <f t="shared" si="1295"/>
        <v>10</v>
      </c>
      <c r="CI403" s="227" t="str">
        <f t="shared" si="1334"/>
        <v>Trần Thị</v>
      </c>
      <c r="CJ403" s="227" t="str">
        <f t="shared" si="1334"/>
        <v>Định</v>
      </c>
      <c r="CK403" s="87">
        <f t="shared" si="1297"/>
        <v>8</v>
      </c>
      <c r="CL403" s="227" t="str">
        <f t="shared" si="1298"/>
        <v>Công nghệ chế biến</v>
      </c>
      <c r="CM403" s="87" t="str">
        <f t="shared" si="1172"/>
        <v>CS4</v>
      </c>
      <c r="CN403" s="87">
        <f t="shared" si="1278"/>
        <v>270</v>
      </c>
      <c r="CO403" s="87">
        <f t="shared" si="1279"/>
        <v>170</v>
      </c>
      <c r="CP403" s="229">
        <f t="shared" si="1314"/>
        <v>0</v>
      </c>
      <c r="CQ403" s="229">
        <f t="shared" si="1315"/>
        <v>138.80000000000001</v>
      </c>
      <c r="CR403" s="229">
        <f t="shared" si="1316"/>
        <v>55.8</v>
      </c>
      <c r="CS403" s="229">
        <f t="shared" si="1317"/>
        <v>0</v>
      </c>
      <c r="CT403" s="229">
        <f t="shared" si="1318"/>
        <v>0</v>
      </c>
      <c r="CU403" s="229">
        <f t="shared" si="1319"/>
        <v>379.7</v>
      </c>
      <c r="CV403" s="229">
        <f t="shared" si="1320"/>
        <v>0</v>
      </c>
      <c r="CW403" s="229">
        <f t="shared" si="1321"/>
        <v>8</v>
      </c>
      <c r="CX403" s="229">
        <f t="shared" si="1322"/>
        <v>0</v>
      </c>
      <c r="CY403" s="229">
        <f t="shared" si="1323"/>
        <v>0</v>
      </c>
      <c r="CZ403" s="229">
        <f t="shared" si="1324"/>
        <v>0</v>
      </c>
      <c r="DA403" s="229">
        <f t="shared" si="1325"/>
        <v>120</v>
      </c>
      <c r="DB403" s="228">
        <f t="shared" si="1260"/>
        <v>702.3</v>
      </c>
      <c r="DC403" s="229"/>
      <c r="DD403" s="229"/>
      <c r="DE403" s="229"/>
      <c r="DF403" s="229"/>
      <c r="DG403" s="229"/>
      <c r="DH403" s="229"/>
      <c r="DI403" s="229"/>
      <c r="DJ403" s="229"/>
      <c r="DK403" s="229"/>
      <c r="DL403" s="229"/>
      <c r="DM403" s="229"/>
      <c r="DN403" s="229"/>
      <c r="DO403" s="228">
        <f t="shared" si="1261"/>
        <v>0</v>
      </c>
      <c r="DP403" s="228">
        <f t="shared" si="1262"/>
        <v>702.3</v>
      </c>
      <c r="DQ403" s="229">
        <f t="shared" si="1326"/>
        <v>27</v>
      </c>
      <c r="DR403" s="229">
        <f t="shared" si="1327"/>
        <v>0.5</v>
      </c>
      <c r="DS403" s="229">
        <f t="shared" si="1328"/>
        <v>0</v>
      </c>
      <c r="DT403" s="229">
        <f t="shared" si="1329"/>
        <v>0.2</v>
      </c>
      <c r="DU403" s="229">
        <f t="shared" si="1330"/>
        <v>0</v>
      </c>
      <c r="DV403" s="229">
        <f t="shared" si="1331"/>
        <v>0</v>
      </c>
      <c r="DW403" s="229">
        <f t="shared" si="1332"/>
        <v>0</v>
      </c>
      <c r="DX403" s="228">
        <f t="shared" si="1263"/>
        <v>27.7</v>
      </c>
      <c r="DY403" s="229"/>
      <c r="DZ403" s="229"/>
      <c r="EA403" s="229"/>
      <c r="EB403" s="229"/>
      <c r="EC403" s="229"/>
      <c r="ED403" s="229"/>
      <c r="EE403" s="229"/>
      <c r="EF403" s="228">
        <f t="shared" si="1305"/>
        <v>0</v>
      </c>
      <c r="EG403" s="228">
        <f t="shared" si="1264"/>
        <v>27.7</v>
      </c>
      <c r="EH403" s="229">
        <f t="shared" si="1306"/>
        <v>134.29</v>
      </c>
      <c r="EI403" s="229">
        <v>2.6699999999999875</v>
      </c>
      <c r="EJ403" s="228">
        <f t="shared" si="1280"/>
        <v>136.95999999999998</v>
      </c>
      <c r="EK403" s="229"/>
      <c r="EL403" s="229"/>
      <c r="EM403" s="228">
        <f t="shared" si="1336"/>
        <v>0</v>
      </c>
      <c r="EN403" s="229">
        <f t="shared" si="1273"/>
        <v>134.29</v>
      </c>
      <c r="EO403" s="229">
        <f t="shared" si="1302"/>
        <v>2.6699999999999875</v>
      </c>
      <c r="EP403" s="228">
        <f t="shared" ref="EP403:EP414" si="1339">EM403+EJ403</f>
        <v>136.95999999999998</v>
      </c>
      <c r="EQ403" s="173">
        <f t="shared" si="1303"/>
        <v>0</v>
      </c>
      <c r="ER403" s="189">
        <v>0</v>
      </c>
      <c r="ES403" s="189">
        <v>138.80000000000001</v>
      </c>
      <c r="ET403" s="189">
        <v>55.8</v>
      </c>
      <c r="EU403" s="189">
        <v>0</v>
      </c>
      <c r="EV403" s="189">
        <v>0</v>
      </c>
      <c r="EW403" s="189">
        <v>379.7</v>
      </c>
      <c r="EX403" s="189">
        <v>0</v>
      </c>
      <c r="EY403" s="189">
        <v>8</v>
      </c>
      <c r="EZ403" s="189">
        <v>0</v>
      </c>
      <c r="FA403" s="189">
        <v>0</v>
      </c>
      <c r="FB403" s="189">
        <v>0</v>
      </c>
      <c r="FC403" s="189">
        <v>120</v>
      </c>
      <c r="FD403" s="189">
        <v>27</v>
      </c>
      <c r="FE403" s="189">
        <v>0.5</v>
      </c>
      <c r="FF403" s="189">
        <v>0</v>
      </c>
      <c r="FG403" s="189">
        <v>0.2</v>
      </c>
      <c r="FH403" s="189">
        <v>0</v>
      </c>
      <c r="FI403" s="189">
        <v>0</v>
      </c>
      <c r="FJ403" s="189">
        <v>0</v>
      </c>
      <c r="FK403" s="189">
        <v>730</v>
      </c>
      <c r="FL403" s="189">
        <v>454</v>
      </c>
      <c r="FN403" s="132">
        <v>134.29</v>
      </c>
    </row>
    <row r="404" spans="1:170" ht="30" customHeight="1">
      <c r="A404" s="88">
        <f>COUNTIF($H$12:H404,H404)</f>
        <v>11</v>
      </c>
      <c r="B404" s="88" t="s">
        <v>1855</v>
      </c>
      <c r="C404" s="88" t="s">
        <v>870</v>
      </c>
      <c r="D404" s="88"/>
      <c r="E404" s="88"/>
      <c r="F404" s="301" t="s">
        <v>1162</v>
      </c>
      <c r="G404" s="303" t="s">
        <v>2955</v>
      </c>
      <c r="H404" s="88">
        <v>8</v>
      </c>
      <c r="I404" s="88">
        <v>8</v>
      </c>
      <c r="J404" s="88">
        <v>8</v>
      </c>
      <c r="K404" s="90" t="s">
        <v>1098</v>
      </c>
      <c r="L404" s="90" t="s">
        <v>1098</v>
      </c>
      <c r="M404" s="214"/>
      <c r="N404" s="88" t="s">
        <v>1804</v>
      </c>
      <c r="O404" s="216">
        <f t="shared" si="1304"/>
        <v>4.32</v>
      </c>
      <c r="P404" s="88" t="str">
        <f t="shared" si="1333"/>
        <v>B1_4</v>
      </c>
      <c r="Q404" s="88">
        <f t="shared" si="1154"/>
        <v>270</v>
      </c>
      <c r="R404" s="88">
        <f t="shared" si="1155"/>
        <v>120</v>
      </c>
      <c r="S404" s="218"/>
      <c r="T404" s="88" t="s">
        <v>3088</v>
      </c>
      <c r="U404" s="88">
        <f>IF(RIGHT(T404,1)="K",(VLOOKUP(T404,ma_miengiam!$A$3:$B$80,2,0)*100)/2,VLOOKUP(T404,ma_miengiam!$A$3:$B$80,2,0)*100)</f>
        <v>0</v>
      </c>
      <c r="V404" s="88"/>
      <c r="W404" s="220">
        <f>IF(AND(T404="NTS",V404&gt;0),(Q404-(Q404*V404)/12)*VLOOKUP(T404,ma_miengiam!$A$3:$B$80,2,0)+(Q404-(Q404*(12-V404))/12),IF(AND(RIGHT(T404,1)="K",V404&gt;0),(VLOOKUP(T404,ma_miengiam!$A$3:$B$80,2,0)/2)*(Q404*V404)/12,IF(RIGHT(T404,1)="K",(VLOOKUP(T404,ma_miengiam!$A$3:$B$80,2,0)*Q404)/2,IF(V404&gt;0,VLOOKUP(T404,ma_miengiam!$A$3:$B$80,2,0)*Q404*V404/12,VLOOKUP(T404,ma_miengiam!$A$3:$B$80,2,0)*Q404))))</f>
        <v>0</v>
      </c>
      <c r="X404" s="220">
        <f>IF(T404="NTS",VLOOKUP(T404,ma_miengiam!$A$3:$B$80,2,0)*R404*V404,IF(AND(T404="NTS",V404=0),0,IF(AND(LEFT(T404,1)="K",V404=0),VLOOKUP(T404,ma_miengiam!$A$3:$B$80,2,0)*R404,IF(LEFT(T404,1)="K",(VLOOKUP(T404,ma_miengiam!$A$3:$B$80,2,0)*R404/12)*V404,IF(AND(LEFT(T404,1)="S",V404&gt;0),(R404/12)*V404,IF(AND(LEFT(T404,1)="S",V404=0),R404,IF(T404="DH",VLOOKUP(T404,ma_miengiam!$A$3:$B$80,2,0)*R404,0)))))))</f>
        <v>0</v>
      </c>
      <c r="Y404" s="220">
        <f t="shared" si="1107"/>
        <v>270</v>
      </c>
      <c r="Z404" s="220">
        <f t="shared" si="1290"/>
        <v>120</v>
      </c>
      <c r="AA404" s="220">
        <f t="shared" si="1337"/>
        <v>270</v>
      </c>
      <c r="AB404" s="220">
        <f t="shared" si="1337"/>
        <v>120</v>
      </c>
      <c r="AC404" s="220">
        <f t="shared" si="1338"/>
        <v>0</v>
      </c>
      <c r="AD404" s="220">
        <f t="shared" si="1338"/>
        <v>0</v>
      </c>
      <c r="AE404" s="220">
        <f t="shared" si="1338"/>
        <v>270</v>
      </c>
      <c r="AF404" s="220">
        <f t="shared" si="1338"/>
        <v>120</v>
      </c>
      <c r="AG404" s="220">
        <f t="shared" si="1309"/>
        <v>330.6</v>
      </c>
      <c r="AH404" s="220">
        <f t="shared" si="1310"/>
        <v>93.52</v>
      </c>
      <c r="AI404" s="220">
        <f t="shared" si="1311"/>
        <v>237.08</v>
      </c>
      <c r="AJ404" s="220">
        <f t="shared" si="1190"/>
        <v>0</v>
      </c>
      <c r="AK404" s="216">
        <f t="shared" si="1266"/>
        <v>270</v>
      </c>
      <c r="AL404" s="220">
        <f t="shared" si="1251"/>
        <v>208.1</v>
      </c>
      <c r="AM404" s="220">
        <f t="shared" si="1252"/>
        <v>55.4</v>
      </c>
      <c r="AN404" s="221">
        <f t="shared" si="1253"/>
        <v>263.5</v>
      </c>
      <c r="AO404" s="220">
        <f t="shared" si="1254"/>
        <v>0</v>
      </c>
      <c r="AP404" s="220">
        <f t="shared" si="1255"/>
        <v>0</v>
      </c>
      <c r="AQ404" s="220">
        <f t="shared" si="1256"/>
        <v>160</v>
      </c>
      <c r="AR404" s="220">
        <f t="shared" si="1257"/>
        <v>40</v>
      </c>
      <c r="AS404" s="220">
        <f t="shared" si="1258"/>
        <v>0</v>
      </c>
      <c r="AT404" s="216">
        <f t="shared" si="1259"/>
        <v>463.5</v>
      </c>
      <c r="AU404" s="220">
        <f t="shared" si="1300"/>
        <v>-6.5</v>
      </c>
      <c r="AV404" s="220"/>
      <c r="AW404" s="220">
        <f t="shared" si="1165"/>
        <v>-6.5</v>
      </c>
      <c r="AX404" s="216">
        <f t="shared" si="1267"/>
        <v>-6.5</v>
      </c>
      <c r="AY404" s="220">
        <f t="shared" si="1179"/>
        <v>0</v>
      </c>
      <c r="AZ404" s="220">
        <f t="shared" si="1180"/>
        <v>0</v>
      </c>
      <c r="BA404" s="220">
        <f t="shared" si="1181"/>
        <v>153.5</v>
      </c>
      <c r="BB404" s="220">
        <f t="shared" si="1182"/>
        <v>40</v>
      </c>
      <c r="BC404" s="220">
        <f t="shared" si="1183"/>
        <v>0</v>
      </c>
      <c r="BD404" s="216">
        <f t="shared" si="1195"/>
        <v>193.5</v>
      </c>
      <c r="BE404" s="220">
        <f t="shared" si="1166"/>
        <v>0</v>
      </c>
      <c r="BF404" s="220">
        <f t="shared" si="1167"/>
        <v>0</v>
      </c>
      <c r="BG404" s="220">
        <f t="shared" si="1168"/>
        <v>-6.5</v>
      </c>
      <c r="BH404" s="220">
        <f t="shared" si="1169"/>
        <v>0</v>
      </c>
      <c r="BI404" s="220">
        <f t="shared" si="1170"/>
        <v>0</v>
      </c>
      <c r="BJ404" s="220" t="s">
        <v>2421</v>
      </c>
      <c r="BK404" s="220"/>
      <c r="BL404" s="223">
        <f t="shared" si="1201"/>
        <v>0</v>
      </c>
      <c r="BM404" s="220">
        <v>4.32</v>
      </c>
      <c r="BN404" s="220"/>
      <c r="BO404" s="220">
        <f t="shared" si="1294"/>
        <v>4.32</v>
      </c>
      <c r="BP404" s="220">
        <f>IF(AND(BL404&gt;0,BL404&lt;tiet!$D$1),BL404,IF(BL404&lt;=0,0,IF(BL404&gt;tiet!$C$1,tiet!$C$1)))</f>
        <v>0</v>
      </c>
      <c r="BQ404" s="87">
        <f t="shared" si="1191"/>
        <v>65000</v>
      </c>
      <c r="BR404" s="224">
        <f t="shared" si="1192"/>
        <v>0</v>
      </c>
      <c r="BS404" s="220">
        <f t="shared" si="1301"/>
        <v>0</v>
      </c>
      <c r="BT404" s="224">
        <f>VLOOKUP(N404,ma_dinhmuc!$A$1:$J$31,10,0)</f>
        <v>51000</v>
      </c>
      <c r="BU404" s="224">
        <f>ROUND(IF(BS404&gt;0,VLOOKUP(N404,ma_dinhmuc!$A$1:$J$31,10,0)*BS404,0),0)</f>
        <v>0</v>
      </c>
      <c r="BV404" s="224">
        <f t="shared" si="1193"/>
        <v>0</v>
      </c>
      <c r="BW404" s="224"/>
      <c r="BX404" s="224">
        <v>0</v>
      </c>
      <c r="BY404" s="224"/>
      <c r="BZ404" s="224"/>
      <c r="CA404" s="224"/>
      <c r="CB404" s="224"/>
      <c r="CC404" s="225">
        <f t="shared" si="1286"/>
        <v>0</v>
      </c>
      <c r="CD404" s="224">
        <f t="shared" si="1287"/>
        <v>0</v>
      </c>
      <c r="CE404" s="224"/>
      <c r="CF404" s="226"/>
      <c r="CG404" s="87"/>
      <c r="CH404" s="87">
        <f t="shared" si="1295"/>
        <v>11</v>
      </c>
      <c r="CI404" s="227" t="str">
        <f t="shared" ref="CI404:CI434" si="1340">F404</f>
        <v>Nguyễn Đức</v>
      </c>
      <c r="CJ404" s="227" t="str">
        <f t="shared" ref="CJ404:CJ434" si="1341">G404</f>
        <v>Doan</v>
      </c>
      <c r="CK404" s="87">
        <f t="shared" ref="CK404:CK421" si="1342">H404</f>
        <v>8</v>
      </c>
      <c r="CL404" s="227" t="str">
        <f t="shared" ref="CL404:CL433" si="1343">L404</f>
        <v>Công nghệ chế biến</v>
      </c>
      <c r="CM404" s="87" t="str">
        <f t="shared" si="1172"/>
        <v>CS2</v>
      </c>
      <c r="CN404" s="87">
        <f t="shared" si="1278"/>
        <v>270</v>
      </c>
      <c r="CO404" s="87">
        <f t="shared" si="1279"/>
        <v>120</v>
      </c>
      <c r="CP404" s="229">
        <f t="shared" si="1314"/>
        <v>0</v>
      </c>
      <c r="CQ404" s="229">
        <f t="shared" si="1315"/>
        <v>7.9</v>
      </c>
      <c r="CR404" s="229">
        <f t="shared" si="1316"/>
        <v>3.2</v>
      </c>
      <c r="CS404" s="229">
        <f t="shared" si="1317"/>
        <v>43.5</v>
      </c>
      <c r="CT404" s="229">
        <f t="shared" si="1318"/>
        <v>0</v>
      </c>
      <c r="CU404" s="229">
        <f t="shared" si="1319"/>
        <v>45</v>
      </c>
      <c r="CV404" s="229">
        <f t="shared" si="1320"/>
        <v>0</v>
      </c>
      <c r="CW404" s="229">
        <f t="shared" si="1321"/>
        <v>108.5</v>
      </c>
      <c r="CX404" s="229">
        <f t="shared" si="1322"/>
        <v>0</v>
      </c>
      <c r="CY404" s="229">
        <f t="shared" si="1323"/>
        <v>0</v>
      </c>
      <c r="CZ404" s="229">
        <f t="shared" si="1324"/>
        <v>0</v>
      </c>
      <c r="DA404" s="229">
        <f t="shared" si="1325"/>
        <v>160</v>
      </c>
      <c r="DB404" s="228">
        <f t="shared" si="1260"/>
        <v>368.1</v>
      </c>
      <c r="DC404" s="229"/>
      <c r="DD404" s="229"/>
      <c r="DE404" s="229"/>
      <c r="DF404" s="229"/>
      <c r="DG404" s="229"/>
      <c r="DH404" s="229"/>
      <c r="DI404" s="229"/>
      <c r="DJ404" s="229"/>
      <c r="DK404" s="229"/>
      <c r="DL404" s="229"/>
      <c r="DM404" s="229"/>
      <c r="DN404" s="229"/>
      <c r="DO404" s="228">
        <f t="shared" si="1261"/>
        <v>0</v>
      </c>
      <c r="DP404" s="228">
        <f t="shared" si="1262"/>
        <v>368.1</v>
      </c>
      <c r="DQ404" s="229">
        <f t="shared" si="1326"/>
        <v>54</v>
      </c>
      <c r="DR404" s="229">
        <f t="shared" si="1327"/>
        <v>1</v>
      </c>
      <c r="DS404" s="229">
        <f t="shared" si="1328"/>
        <v>0</v>
      </c>
      <c r="DT404" s="229">
        <f t="shared" si="1329"/>
        <v>0.4</v>
      </c>
      <c r="DU404" s="229">
        <f t="shared" si="1330"/>
        <v>0</v>
      </c>
      <c r="DV404" s="229">
        <f t="shared" si="1331"/>
        <v>40</v>
      </c>
      <c r="DW404" s="229">
        <f t="shared" si="1332"/>
        <v>0</v>
      </c>
      <c r="DX404" s="228">
        <f t="shared" si="1263"/>
        <v>95.4</v>
      </c>
      <c r="DY404" s="229"/>
      <c r="DZ404" s="229"/>
      <c r="EA404" s="229"/>
      <c r="EB404" s="229"/>
      <c r="EC404" s="229"/>
      <c r="ED404" s="229"/>
      <c r="EE404" s="229"/>
      <c r="EF404" s="228">
        <f t="shared" si="1305"/>
        <v>0</v>
      </c>
      <c r="EG404" s="228">
        <f t="shared" si="1264"/>
        <v>95.4</v>
      </c>
      <c r="EH404" s="229">
        <f t="shared" si="1306"/>
        <v>237.08</v>
      </c>
      <c r="EI404" s="229">
        <v>93.52</v>
      </c>
      <c r="EJ404" s="228">
        <f t="shared" si="1280"/>
        <v>330.6</v>
      </c>
      <c r="EK404" s="229"/>
      <c r="EL404" s="229"/>
      <c r="EM404" s="228">
        <f t="shared" si="1336"/>
        <v>0</v>
      </c>
      <c r="EN404" s="229">
        <f t="shared" si="1273"/>
        <v>237.08</v>
      </c>
      <c r="EO404" s="229">
        <f t="shared" si="1302"/>
        <v>93.52</v>
      </c>
      <c r="EP404" s="228">
        <f t="shared" si="1339"/>
        <v>330.6</v>
      </c>
      <c r="EQ404" s="173">
        <f t="shared" si="1303"/>
        <v>117.08000000000001</v>
      </c>
      <c r="ER404" s="189">
        <v>0</v>
      </c>
      <c r="ES404" s="189">
        <v>7.9</v>
      </c>
      <c r="ET404" s="189">
        <v>3.2</v>
      </c>
      <c r="EU404" s="189">
        <v>43.5</v>
      </c>
      <c r="EV404" s="189">
        <v>0</v>
      </c>
      <c r="EW404" s="189">
        <v>45</v>
      </c>
      <c r="EX404" s="189">
        <v>0</v>
      </c>
      <c r="EY404" s="189">
        <v>108.5</v>
      </c>
      <c r="EZ404" s="189">
        <v>0</v>
      </c>
      <c r="FA404" s="189">
        <v>0</v>
      </c>
      <c r="FB404" s="189">
        <v>0</v>
      </c>
      <c r="FC404" s="189">
        <v>160</v>
      </c>
      <c r="FD404" s="189">
        <v>54</v>
      </c>
      <c r="FE404" s="189">
        <v>1</v>
      </c>
      <c r="FF404" s="189">
        <v>0</v>
      </c>
      <c r="FG404" s="189">
        <v>0.4</v>
      </c>
      <c r="FH404" s="189">
        <v>40</v>
      </c>
      <c r="FI404" s="189">
        <v>0</v>
      </c>
      <c r="FJ404" s="189">
        <v>0</v>
      </c>
      <c r="FK404" s="189">
        <v>463.5</v>
      </c>
      <c r="FL404" s="189">
        <v>423.5</v>
      </c>
      <c r="FN404" s="132">
        <v>237.08</v>
      </c>
    </row>
    <row r="405" spans="1:170" ht="34.5" customHeight="1">
      <c r="A405" s="88">
        <f>COUNTIF($H$12:H405,H405)</f>
        <v>12</v>
      </c>
      <c r="B405" s="88" t="s">
        <v>2687</v>
      </c>
      <c r="C405" s="88" t="s">
        <v>871</v>
      </c>
      <c r="D405" s="88"/>
      <c r="E405" s="88"/>
      <c r="F405" s="302" t="s">
        <v>2959</v>
      </c>
      <c r="G405" s="303" t="s">
        <v>2960</v>
      </c>
      <c r="H405" s="88">
        <v>8</v>
      </c>
      <c r="I405" s="88">
        <v>8</v>
      </c>
      <c r="J405" s="88">
        <v>8</v>
      </c>
      <c r="K405" s="90" t="s">
        <v>1098</v>
      </c>
      <c r="L405" s="90" t="s">
        <v>1098</v>
      </c>
      <c r="M405" s="214"/>
      <c r="N405" s="88" t="s">
        <v>606</v>
      </c>
      <c r="O405" s="216">
        <f t="shared" si="1304"/>
        <v>5.42</v>
      </c>
      <c r="P405" s="88" t="str">
        <f t="shared" si="1333"/>
        <v>B1_6</v>
      </c>
      <c r="Q405" s="88">
        <f t="shared" si="1154"/>
        <v>270</v>
      </c>
      <c r="R405" s="88">
        <f t="shared" si="1155"/>
        <v>170</v>
      </c>
      <c r="S405" s="230" t="s">
        <v>685</v>
      </c>
      <c r="T405" s="214" t="s">
        <v>3092</v>
      </c>
      <c r="U405" s="88">
        <f>IF(RIGHT(T405,1)="K",(VLOOKUP(T405,ma_miengiam!$A$3:$B$80,2,0)*100)/2,VLOOKUP(T405,ma_miengiam!$A$3:$B$80,2,0)*100)</f>
        <v>25</v>
      </c>
      <c r="V405" s="88"/>
      <c r="W405" s="220">
        <f>IF(AND(T405="NTS",V405&gt;0),(Q405-(Q405*V405)/12)*VLOOKUP(T405,ma_miengiam!$A$3:$B$80,2,0)+(Q405-(Q405*(12-V405))/12),IF(AND(RIGHT(T405,1)="K",V405&gt;0),(VLOOKUP(T405,ma_miengiam!$A$3:$B$80,2,0)/2)*(Q405*V405)/12,IF(RIGHT(T405,1)="K",(VLOOKUP(T405,ma_miengiam!$A$3:$B$80,2,0)*Q405)/2,IF(V405&gt;0,VLOOKUP(T405,ma_miengiam!$A$3:$B$80,2,0)*Q405*V405/12,VLOOKUP(T405,ma_miengiam!$A$3:$B$80,2,0)*Q405))))</f>
        <v>67.5</v>
      </c>
      <c r="X405" s="220">
        <f>IF(T405="NTS",VLOOKUP(T405,ma_miengiam!$A$3:$B$80,2,0)*R405*V405,IF(AND(T405="NTS",V405=0),0,IF(AND(LEFT(T405,1)="K",V405=0),VLOOKUP(T405,ma_miengiam!$A$3:$B$80,2,0)*R405,IF(LEFT(T405,1)="K",(VLOOKUP(T405,ma_miengiam!$A$3:$B$80,2,0)*R405/12)*V405,IF(AND(LEFT(T405,1)="S",V405&gt;0),(R405/12)*V405,IF(AND(LEFT(T405,1)="S",V405=0),R405,IF(T405="DH",VLOOKUP(T405,ma_miengiam!$A$3:$B$80,2,0)*R405,0)))))))</f>
        <v>0</v>
      </c>
      <c r="Y405" s="220">
        <f t="shared" ref="Y405:Y472" si="1344">IF(AND(T405="DH",V405&gt;0),(S405*V405/12),IF(AND(T405&lt;&gt;"NTS",V405&gt;0),(Q405*V405/12)-W405,IF(AND(T405="NTS",V405&gt;0),Q405-W405,Q405-W405)))</f>
        <v>202.5</v>
      </c>
      <c r="Z405" s="220">
        <f t="shared" si="1290"/>
        <v>170</v>
      </c>
      <c r="AA405" s="220">
        <f t="shared" si="1337"/>
        <v>270</v>
      </c>
      <c r="AB405" s="220">
        <f t="shared" si="1337"/>
        <v>170</v>
      </c>
      <c r="AC405" s="220">
        <f t="shared" si="1338"/>
        <v>67.5</v>
      </c>
      <c r="AD405" s="220">
        <f t="shared" si="1338"/>
        <v>0</v>
      </c>
      <c r="AE405" s="220">
        <f t="shared" si="1338"/>
        <v>202.5</v>
      </c>
      <c r="AF405" s="220">
        <f t="shared" si="1338"/>
        <v>170</v>
      </c>
      <c r="AG405" s="220">
        <f t="shared" si="1309"/>
        <v>93.63</v>
      </c>
      <c r="AH405" s="220">
        <f t="shared" si="1310"/>
        <v>76.959999999999994</v>
      </c>
      <c r="AI405" s="220">
        <f t="shared" si="1311"/>
        <v>16.670000000000002</v>
      </c>
      <c r="AJ405" s="220">
        <f t="shared" si="1190"/>
        <v>-76.37</v>
      </c>
      <c r="AK405" s="216">
        <f t="shared" si="1266"/>
        <v>278.87</v>
      </c>
      <c r="AL405" s="220">
        <f t="shared" si="1251"/>
        <v>471.20000000000005</v>
      </c>
      <c r="AM405" s="220">
        <f t="shared" si="1252"/>
        <v>55.3</v>
      </c>
      <c r="AN405" s="221">
        <f t="shared" si="1253"/>
        <v>526.5</v>
      </c>
      <c r="AO405" s="220">
        <f t="shared" si="1254"/>
        <v>0</v>
      </c>
      <c r="AP405" s="220">
        <f t="shared" si="1255"/>
        <v>0</v>
      </c>
      <c r="AQ405" s="220">
        <f t="shared" si="1256"/>
        <v>134</v>
      </c>
      <c r="AR405" s="220">
        <f t="shared" si="1257"/>
        <v>0</v>
      </c>
      <c r="AS405" s="220">
        <f t="shared" si="1258"/>
        <v>0</v>
      </c>
      <c r="AT405" s="216">
        <f t="shared" si="1259"/>
        <v>660.5</v>
      </c>
      <c r="AU405" s="222">
        <f t="shared" si="1300"/>
        <v>247.63</v>
      </c>
      <c r="AV405" s="220"/>
      <c r="AW405" s="220">
        <f t="shared" si="1165"/>
        <v>247.63</v>
      </c>
      <c r="AX405" s="216">
        <f t="shared" si="1267"/>
        <v>0</v>
      </c>
      <c r="AY405" s="220">
        <f t="shared" si="1179"/>
        <v>0</v>
      </c>
      <c r="AZ405" s="220">
        <f t="shared" si="1180"/>
        <v>0</v>
      </c>
      <c r="BA405" s="220">
        <f t="shared" si="1181"/>
        <v>134</v>
      </c>
      <c r="BB405" s="220">
        <f t="shared" si="1182"/>
        <v>0</v>
      </c>
      <c r="BC405" s="220">
        <f t="shared" si="1183"/>
        <v>0</v>
      </c>
      <c r="BD405" s="216">
        <f t="shared" si="1195"/>
        <v>134</v>
      </c>
      <c r="BE405" s="220">
        <f t="shared" si="1166"/>
        <v>0</v>
      </c>
      <c r="BF405" s="220">
        <f t="shared" si="1167"/>
        <v>0</v>
      </c>
      <c r="BG405" s="220">
        <f t="shared" si="1168"/>
        <v>0</v>
      </c>
      <c r="BH405" s="220">
        <f t="shared" si="1169"/>
        <v>0</v>
      </c>
      <c r="BI405" s="220">
        <f t="shared" si="1170"/>
        <v>0</v>
      </c>
      <c r="BJ405" s="220" t="s">
        <v>2421</v>
      </c>
      <c r="BK405" s="220"/>
      <c r="BL405" s="223">
        <f t="shared" si="1201"/>
        <v>247.63</v>
      </c>
      <c r="BM405" s="220">
        <v>5.42</v>
      </c>
      <c r="BN405" s="220"/>
      <c r="BO405" s="220">
        <f t="shared" si="1294"/>
        <v>5.42</v>
      </c>
      <c r="BP405" s="220">
        <f>IF(AND(BL405&gt;0,BL405&lt;tiet!$D$1),BL405,IF(BL405&lt;=0,0,IF(BL405&gt;tiet!$C$1,tiet!$C$1)))</f>
        <v>200</v>
      </c>
      <c r="BQ405" s="87">
        <f t="shared" si="1191"/>
        <v>75000</v>
      </c>
      <c r="BR405" s="224">
        <f t="shared" si="1192"/>
        <v>15000000</v>
      </c>
      <c r="BS405" s="220">
        <f t="shared" si="1301"/>
        <v>47.629999999999995</v>
      </c>
      <c r="BT405" s="224">
        <f>VLOOKUP(N405,ma_dinhmuc!$A$1:$J$31,10,0)</f>
        <v>55000</v>
      </c>
      <c r="BU405" s="224">
        <f>ROUND(IF(BS405&gt;0,VLOOKUP(N405,ma_dinhmuc!$A$1:$J$31,10,0)*BS405,0),0)</f>
        <v>2619650</v>
      </c>
      <c r="BV405" s="224">
        <f t="shared" si="1193"/>
        <v>17619650</v>
      </c>
      <c r="BW405" s="224"/>
      <c r="BX405" s="224">
        <v>0</v>
      </c>
      <c r="BY405" s="224"/>
      <c r="BZ405" s="224"/>
      <c r="CA405" s="224"/>
      <c r="CB405" s="224"/>
      <c r="CC405" s="225">
        <f t="shared" si="1286"/>
        <v>17619650</v>
      </c>
      <c r="CD405" s="224">
        <f t="shared" si="1287"/>
        <v>0</v>
      </c>
      <c r="CE405" s="224"/>
      <c r="CF405" s="226"/>
      <c r="CG405" s="87"/>
      <c r="CH405" s="87">
        <f t="shared" si="1295"/>
        <v>12</v>
      </c>
      <c r="CI405" s="227" t="str">
        <f t="shared" si="1340"/>
        <v>Giang Trung</v>
      </c>
      <c r="CJ405" s="227" t="str">
        <f t="shared" si="1341"/>
        <v>Khoa</v>
      </c>
      <c r="CK405" s="87">
        <f t="shared" si="1342"/>
        <v>8</v>
      </c>
      <c r="CL405" s="227" t="str">
        <f t="shared" si="1343"/>
        <v>Công nghệ chế biến</v>
      </c>
      <c r="CM405" s="87" t="str">
        <f t="shared" si="1172"/>
        <v>CS3</v>
      </c>
      <c r="CN405" s="87">
        <f t="shared" si="1278"/>
        <v>270</v>
      </c>
      <c r="CO405" s="87">
        <f t="shared" si="1279"/>
        <v>170</v>
      </c>
      <c r="CP405" s="229">
        <f t="shared" si="1314"/>
        <v>0</v>
      </c>
      <c r="CQ405" s="229">
        <f t="shared" si="1315"/>
        <v>63.4</v>
      </c>
      <c r="CR405" s="229">
        <f t="shared" si="1316"/>
        <v>25.5</v>
      </c>
      <c r="CS405" s="229">
        <f t="shared" si="1317"/>
        <v>43.5</v>
      </c>
      <c r="CT405" s="229">
        <f t="shared" si="1318"/>
        <v>0</v>
      </c>
      <c r="CU405" s="229">
        <f t="shared" si="1319"/>
        <v>206.8</v>
      </c>
      <c r="CV405" s="229">
        <f t="shared" si="1320"/>
        <v>0</v>
      </c>
      <c r="CW405" s="229">
        <f t="shared" si="1321"/>
        <v>132</v>
      </c>
      <c r="CX405" s="229">
        <f t="shared" si="1322"/>
        <v>0</v>
      </c>
      <c r="CY405" s="229">
        <f t="shared" si="1323"/>
        <v>0</v>
      </c>
      <c r="CZ405" s="229">
        <f t="shared" si="1324"/>
        <v>0</v>
      </c>
      <c r="DA405" s="229">
        <f t="shared" si="1325"/>
        <v>134</v>
      </c>
      <c r="DB405" s="228">
        <f t="shared" si="1260"/>
        <v>605.20000000000005</v>
      </c>
      <c r="DC405" s="229"/>
      <c r="DD405" s="229"/>
      <c r="DE405" s="229"/>
      <c r="DF405" s="229"/>
      <c r="DG405" s="229"/>
      <c r="DH405" s="229"/>
      <c r="DI405" s="229"/>
      <c r="DJ405" s="229"/>
      <c r="DK405" s="229"/>
      <c r="DL405" s="229"/>
      <c r="DM405" s="229"/>
      <c r="DN405" s="229"/>
      <c r="DO405" s="228">
        <f t="shared" si="1261"/>
        <v>0</v>
      </c>
      <c r="DP405" s="228">
        <f t="shared" si="1262"/>
        <v>605.20000000000005</v>
      </c>
      <c r="DQ405" s="229">
        <f t="shared" si="1326"/>
        <v>54</v>
      </c>
      <c r="DR405" s="229">
        <f t="shared" si="1327"/>
        <v>0.9</v>
      </c>
      <c r="DS405" s="229">
        <f t="shared" si="1328"/>
        <v>0</v>
      </c>
      <c r="DT405" s="229">
        <f t="shared" si="1329"/>
        <v>0.4</v>
      </c>
      <c r="DU405" s="229">
        <f t="shared" si="1330"/>
        <v>0</v>
      </c>
      <c r="DV405" s="229">
        <f t="shared" si="1331"/>
        <v>0</v>
      </c>
      <c r="DW405" s="229">
        <f t="shared" si="1332"/>
        <v>0</v>
      </c>
      <c r="DX405" s="228">
        <f t="shared" si="1263"/>
        <v>55.3</v>
      </c>
      <c r="DY405" s="229"/>
      <c r="DZ405" s="229"/>
      <c r="EA405" s="229"/>
      <c r="EB405" s="229"/>
      <c r="EC405" s="229"/>
      <c r="ED405" s="229"/>
      <c r="EE405" s="229"/>
      <c r="EF405" s="228">
        <f t="shared" si="1305"/>
        <v>0</v>
      </c>
      <c r="EG405" s="228">
        <f t="shared" si="1264"/>
        <v>55.3</v>
      </c>
      <c r="EH405" s="229">
        <f t="shared" si="1306"/>
        <v>16.670000000000002</v>
      </c>
      <c r="EI405" s="229">
        <v>76.959999999999994</v>
      </c>
      <c r="EJ405" s="228">
        <f t="shared" si="1280"/>
        <v>93.63</v>
      </c>
      <c r="EK405" s="229"/>
      <c r="EL405" s="229"/>
      <c r="EM405" s="228">
        <f t="shared" si="1336"/>
        <v>0</v>
      </c>
      <c r="EN405" s="229">
        <f t="shared" si="1273"/>
        <v>16.670000000000002</v>
      </c>
      <c r="EO405" s="229">
        <f t="shared" si="1302"/>
        <v>76.959999999999994</v>
      </c>
      <c r="EP405" s="228">
        <f t="shared" si="1339"/>
        <v>93.63</v>
      </c>
      <c r="EQ405" s="173">
        <f t="shared" si="1303"/>
        <v>0</v>
      </c>
      <c r="ER405" s="189">
        <v>0</v>
      </c>
      <c r="ES405" s="189">
        <v>63.4</v>
      </c>
      <c r="ET405" s="189">
        <v>25.5</v>
      </c>
      <c r="EU405" s="189">
        <v>43.5</v>
      </c>
      <c r="EV405" s="189">
        <v>0</v>
      </c>
      <c r="EW405" s="189">
        <v>206.8</v>
      </c>
      <c r="EX405" s="189">
        <v>0</v>
      </c>
      <c r="EY405" s="189">
        <v>132</v>
      </c>
      <c r="EZ405" s="189">
        <v>0</v>
      </c>
      <c r="FA405" s="189">
        <v>0</v>
      </c>
      <c r="FB405" s="189">
        <v>0</v>
      </c>
      <c r="FC405" s="189">
        <v>134</v>
      </c>
      <c r="FD405" s="189">
        <v>54</v>
      </c>
      <c r="FE405" s="189">
        <v>0.9</v>
      </c>
      <c r="FF405" s="189">
        <v>0</v>
      </c>
      <c r="FG405" s="189">
        <v>0.4</v>
      </c>
      <c r="FH405" s="189">
        <v>0</v>
      </c>
      <c r="FI405" s="189">
        <v>0</v>
      </c>
      <c r="FJ405" s="189">
        <v>0</v>
      </c>
      <c r="FK405" s="189">
        <v>660.5</v>
      </c>
      <c r="FL405" s="189">
        <v>537.5</v>
      </c>
      <c r="FN405" s="132">
        <v>16.670000000000002</v>
      </c>
    </row>
    <row r="406" spans="1:170" ht="45">
      <c r="A406" s="88">
        <f>COUNTIF($H$12:H406,H406)</f>
        <v>13</v>
      </c>
      <c r="B406" s="88" t="s">
        <v>2688</v>
      </c>
      <c r="C406" s="88" t="s">
        <v>872</v>
      </c>
      <c r="D406" s="88"/>
      <c r="E406" s="88"/>
      <c r="F406" s="301" t="s">
        <v>1145</v>
      </c>
      <c r="G406" s="89" t="s">
        <v>963</v>
      </c>
      <c r="H406" s="88">
        <v>8</v>
      </c>
      <c r="I406" s="88">
        <v>8</v>
      </c>
      <c r="J406" s="88">
        <v>8</v>
      </c>
      <c r="K406" s="90" t="s">
        <v>1098</v>
      </c>
      <c r="L406" s="90" t="s">
        <v>1098</v>
      </c>
      <c r="M406" s="214"/>
      <c r="N406" s="88" t="s">
        <v>1804</v>
      </c>
      <c r="O406" s="216">
        <f t="shared" si="1304"/>
        <v>3</v>
      </c>
      <c r="P406" s="88" t="str">
        <f t="shared" si="1333"/>
        <v>B1_3</v>
      </c>
      <c r="Q406" s="88">
        <f t="shared" si="1154"/>
        <v>270</v>
      </c>
      <c r="R406" s="88">
        <f t="shared" si="1155"/>
        <v>100</v>
      </c>
      <c r="S406" s="218" t="s">
        <v>2656</v>
      </c>
      <c r="T406" s="88" t="s">
        <v>1326</v>
      </c>
      <c r="U406" s="88">
        <f>IF(RIGHT(T406,1)="K",(VLOOKUP(T406,ma_miengiam!$A$3:$B$80,2,0)*100)/2,VLOOKUP(T406,ma_miengiam!$A$3:$B$80,2,0)*100)</f>
        <v>65</v>
      </c>
      <c r="V406" s="88">
        <v>3</v>
      </c>
      <c r="W406" s="220">
        <f>IF(AND(T406="NTS",V406&gt;0),(Q406-(Q406*V406)/12)*VLOOKUP(T406,ma_miengiam!$A$3:$B$80,2,0)+(Q406-(Q406*(12-V406))/12),IF(AND(RIGHT(T406,1)="K",V406&gt;0),(VLOOKUP(T406,ma_miengiam!$A$3:$B$80,2,0)/2)*(Q406*V406)/12,IF(RIGHT(T406,1)="K",(VLOOKUP(T406,ma_miengiam!$A$3:$B$80,2,0)*Q406)/2,IF(V406&gt;0,VLOOKUP(T406,ma_miengiam!$A$3:$B$80,2,0)*Q406*V406/12,VLOOKUP(T406,ma_miengiam!$A$3:$B$80,2,0)*Q406))))</f>
        <v>43.875</v>
      </c>
      <c r="X406" s="220">
        <f>IF(T406="NTS",VLOOKUP(T406,ma_miengiam!$A$3:$B$80,2,0)*R406*V406,IF(AND(T406="NTS",V406=0),0,IF(AND(LEFT(T406,1)="K",V406=0),VLOOKUP(T406,ma_miengiam!$A$3:$B$80,2,0)*R406,IF(LEFT(T406,1)="K",(VLOOKUP(T406,ma_miengiam!$A$3:$B$80,2,0)*R406/12)*V406,IF(AND(LEFT(T406,1)="S",V406&gt;0),(R406/12)*V406,IF(AND(LEFT(T406,1)="S",V406=0),R406,IF(T406="DH",VLOOKUP(T406,ma_miengiam!$A$3:$B$80,2,0)*R406,0)))))))</f>
        <v>25</v>
      </c>
      <c r="Y406" s="220">
        <f t="shared" si="1344"/>
        <v>23.625</v>
      </c>
      <c r="Z406" s="220">
        <f t="shared" si="1290"/>
        <v>0</v>
      </c>
      <c r="AA406" s="220">
        <f t="shared" si="1337"/>
        <v>270</v>
      </c>
      <c r="AB406" s="220">
        <f t="shared" si="1337"/>
        <v>100</v>
      </c>
      <c r="AC406" s="220">
        <f t="shared" si="1338"/>
        <v>43.875</v>
      </c>
      <c r="AD406" s="220">
        <f t="shared" si="1338"/>
        <v>25</v>
      </c>
      <c r="AE406" s="220">
        <f t="shared" si="1338"/>
        <v>23.625</v>
      </c>
      <c r="AF406" s="220">
        <f t="shared" si="1338"/>
        <v>0</v>
      </c>
      <c r="AG406" s="220">
        <f t="shared" si="1309"/>
        <v>90</v>
      </c>
      <c r="AH406" s="220">
        <f t="shared" si="1310"/>
        <v>0</v>
      </c>
      <c r="AI406" s="220">
        <f t="shared" si="1311"/>
        <v>90</v>
      </c>
      <c r="AJ406" s="220">
        <f t="shared" si="1190"/>
        <v>0</v>
      </c>
      <c r="AK406" s="216">
        <f t="shared" si="1266"/>
        <v>23.625</v>
      </c>
      <c r="AL406" s="220">
        <f t="shared" si="1251"/>
        <v>113.8</v>
      </c>
      <c r="AM406" s="220">
        <f t="shared" si="1252"/>
        <v>0</v>
      </c>
      <c r="AN406" s="216">
        <f t="shared" si="1253"/>
        <v>113.8</v>
      </c>
      <c r="AO406" s="220">
        <f t="shared" si="1254"/>
        <v>0</v>
      </c>
      <c r="AP406" s="220">
        <f t="shared" si="1255"/>
        <v>0</v>
      </c>
      <c r="AQ406" s="220">
        <f t="shared" si="1256"/>
        <v>0</v>
      </c>
      <c r="AR406" s="220">
        <f t="shared" si="1257"/>
        <v>0</v>
      </c>
      <c r="AS406" s="220">
        <f t="shared" si="1258"/>
        <v>0</v>
      </c>
      <c r="AT406" s="216">
        <f t="shared" si="1259"/>
        <v>113.8</v>
      </c>
      <c r="AU406" s="220">
        <f t="shared" si="1300"/>
        <v>90.174999999999997</v>
      </c>
      <c r="AV406" s="220"/>
      <c r="AW406" s="220">
        <f t="shared" si="1165"/>
        <v>90.174999999999997</v>
      </c>
      <c r="AX406" s="216">
        <f t="shared" si="1267"/>
        <v>0</v>
      </c>
      <c r="AY406" s="220">
        <f t="shared" si="1179"/>
        <v>0</v>
      </c>
      <c r="AZ406" s="220">
        <f t="shared" si="1180"/>
        <v>0</v>
      </c>
      <c r="BA406" s="220">
        <f t="shared" si="1181"/>
        <v>0</v>
      </c>
      <c r="BB406" s="220">
        <f t="shared" si="1182"/>
        <v>0</v>
      </c>
      <c r="BC406" s="220">
        <f t="shared" si="1183"/>
        <v>0</v>
      </c>
      <c r="BD406" s="216">
        <f t="shared" si="1195"/>
        <v>0</v>
      </c>
      <c r="BE406" s="220">
        <f t="shared" si="1166"/>
        <v>0</v>
      </c>
      <c r="BF406" s="220">
        <f t="shared" si="1167"/>
        <v>0</v>
      </c>
      <c r="BG406" s="220">
        <f t="shared" si="1168"/>
        <v>0</v>
      </c>
      <c r="BH406" s="220">
        <f t="shared" si="1169"/>
        <v>0</v>
      </c>
      <c r="BI406" s="220">
        <f t="shared" si="1170"/>
        <v>0</v>
      </c>
      <c r="BJ406" s="220" t="s">
        <v>2421</v>
      </c>
      <c r="BK406" s="220"/>
      <c r="BL406" s="223">
        <f t="shared" si="1201"/>
        <v>90.174999999999997</v>
      </c>
      <c r="BM406" s="220">
        <v>3</v>
      </c>
      <c r="BN406" s="220"/>
      <c r="BO406" s="220">
        <f t="shared" si="1294"/>
        <v>3</v>
      </c>
      <c r="BP406" s="220">
        <f>IF(AND(BL406&gt;0,BL406&lt;tiet!$D$1),BL406,IF(BL406&lt;=0,0,IF(BL406&gt;tiet!$C$1,tiet!$C$1)))</f>
        <v>90.174999999999997</v>
      </c>
      <c r="BQ406" s="87">
        <f t="shared" si="1191"/>
        <v>60000</v>
      </c>
      <c r="BR406" s="224">
        <f t="shared" si="1192"/>
        <v>5410500</v>
      </c>
      <c r="BS406" s="220">
        <f t="shared" si="1301"/>
        <v>0</v>
      </c>
      <c r="BT406" s="224">
        <f>VLOOKUP(N406,ma_dinhmuc!$A$1:$J$31,10,0)</f>
        <v>51000</v>
      </c>
      <c r="BU406" s="224">
        <f>ROUND(IF(BS406&gt;0,VLOOKUP(N406,ma_dinhmuc!$A$1:$J$31,10,0)*BS406,0),0)</f>
        <v>0</v>
      </c>
      <c r="BV406" s="224">
        <f t="shared" si="1193"/>
        <v>5410500</v>
      </c>
      <c r="BW406" s="224"/>
      <c r="BX406" s="224">
        <v>0</v>
      </c>
      <c r="BY406" s="224"/>
      <c r="BZ406" s="224"/>
      <c r="CA406" s="224"/>
      <c r="CB406" s="224"/>
      <c r="CC406" s="225">
        <f t="shared" si="1286"/>
        <v>5410500</v>
      </c>
      <c r="CD406" s="224">
        <f t="shared" si="1287"/>
        <v>0</v>
      </c>
      <c r="CE406" s="224"/>
      <c r="CF406" s="226"/>
      <c r="CG406" s="87"/>
      <c r="CH406" s="87">
        <f t="shared" si="1295"/>
        <v>13</v>
      </c>
      <c r="CI406" s="227" t="str">
        <f t="shared" si="1340"/>
        <v>Vũ Quỳnh</v>
      </c>
      <c r="CJ406" s="227" t="str">
        <f t="shared" si="1341"/>
        <v>Hương</v>
      </c>
      <c r="CK406" s="87">
        <f t="shared" si="1342"/>
        <v>8</v>
      </c>
      <c r="CL406" s="227" t="str">
        <f t="shared" si="1343"/>
        <v>Công nghệ chế biến</v>
      </c>
      <c r="CM406" s="87" t="str">
        <f t="shared" si="1172"/>
        <v>CS2</v>
      </c>
      <c r="CN406" s="87">
        <f t="shared" si="1278"/>
        <v>270</v>
      </c>
      <c r="CO406" s="87">
        <f t="shared" si="1279"/>
        <v>100</v>
      </c>
      <c r="CP406" s="229">
        <f t="shared" si="1314"/>
        <v>0</v>
      </c>
      <c r="CQ406" s="229">
        <f t="shared" si="1315"/>
        <v>11.6</v>
      </c>
      <c r="CR406" s="229">
        <f t="shared" si="1316"/>
        <v>4.7</v>
      </c>
      <c r="CS406" s="229">
        <f t="shared" si="1317"/>
        <v>0</v>
      </c>
      <c r="CT406" s="229">
        <f t="shared" si="1318"/>
        <v>0</v>
      </c>
      <c r="CU406" s="229">
        <f t="shared" si="1319"/>
        <v>30</v>
      </c>
      <c r="CV406" s="229">
        <f t="shared" si="1320"/>
        <v>0</v>
      </c>
      <c r="CW406" s="229">
        <f t="shared" si="1321"/>
        <v>67.5</v>
      </c>
      <c r="CX406" s="229">
        <f t="shared" si="1322"/>
        <v>0</v>
      </c>
      <c r="CY406" s="229">
        <f t="shared" si="1323"/>
        <v>0</v>
      </c>
      <c r="CZ406" s="229">
        <f t="shared" si="1324"/>
        <v>0</v>
      </c>
      <c r="DA406" s="229">
        <f t="shared" si="1325"/>
        <v>0</v>
      </c>
      <c r="DB406" s="228">
        <f t="shared" si="1260"/>
        <v>113.8</v>
      </c>
      <c r="DC406" s="229"/>
      <c r="DD406" s="229"/>
      <c r="DE406" s="229"/>
      <c r="DF406" s="229"/>
      <c r="DG406" s="229"/>
      <c r="DH406" s="229"/>
      <c r="DI406" s="229"/>
      <c r="DJ406" s="229"/>
      <c r="DK406" s="229"/>
      <c r="DL406" s="229"/>
      <c r="DM406" s="229"/>
      <c r="DN406" s="229"/>
      <c r="DO406" s="228">
        <f t="shared" si="1261"/>
        <v>0</v>
      </c>
      <c r="DP406" s="228">
        <f t="shared" si="1262"/>
        <v>113.8</v>
      </c>
      <c r="DQ406" s="229">
        <f t="shared" si="1326"/>
        <v>0</v>
      </c>
      <c r="DR406" s="229">
        <f t="shared" si="1327"/>
        <v>0</v>
      </c>
      <c r="DS406" s="229">
        <f t="shared" si="1328"/>
        <v>0</v>
      </c>
      <c r="DT406" s="229">
        <f t="shared" si="1329"/>
        <v>0</v>
      </c>
      <c r="DU406" s="229">
        <f t="shared" si="1330"/>
        <v>0</v>
      </c>
      <c r="DV406" s="229">
        <f t="shared" si="1331"/>
        <v>0</v>
      </c>
      <c r="DW406" s="229">
        <f t="shared" si="1332"/>
        <v>0</v>
      </c>
      <c r="DX406" s="228">
        <f t="shared" si="1263"/>
        <v>0</v>
      </c>
      <c r="DY406" s="229"/>
      <c r="DZ406" s="229"/>
      <c r="EA406" s="229"/>
      <c r="EB406" s="229"/>
      <c r="EC406" s="229"/>
      <c r="ED406" s="229"/>
      <c r="EE406" s="229"/>
      <c r="EF406" s="228">
        <f t="shared" si="1305"/>
        <v>0</v>
      </c>
      <c r="EG406" s="228">
        <f t="shared" si="1264"/>
        <v>0</v>
      </c>
      <c r="EH406" s="229">
        <f t="shared" si="1306"/>
        <v>90</v>
      </c>
      <c r="EI406" s="229">
        <v>0</v>
      </c>
      <c r="EJ406" s="228">
        <f t="shared" si="1280"/>
        <v>90</v>
      </c>
      <c r="EK406" s="229"/>
      <c r="EL406" s="229"/>
      <c r="EM406" s="228">
        <f t="shared" si="1336"/>
        <v>0</v>
      </c>
      <c r="EN406" s="229">
        <f t="shared" si="1273"/>
        <v>90</v>
      </c>
      <c r="EO406" s="229">
        <f t="shared" si="1302"/>
        <v>0</v>
      </c>
      <c r="EP406" s="228">
        <f t="shared" si="1339"/>
        <v>90</v>
      </c>
      <c r="EQ406" s="173">
        <f t="shared" si="1303"/>
        <v>90</v>
      </c>
      <c r="ER406" s="189">
        <v>0</v>
      </c>
      <c r="ES406" s="189">
        <v>11.6</v>
      </c>
      <c r="ET406" s="189">
        <v>4.7</v>
      </c>
      <c r="EU406" s="189">
        <v>0</v>
      </c>
      <c r="EV406" s="189">
        <v>0</v>
      </c>
      <c r="EW406" s="189">
        <v>30</v>
      </c>
      <c r="EX406" s="189">
        <v>0</v>
      </c>
      <c r="EY406" s="189">
        <v>67.5</v>
      </c>
      <c r="EZ406" s="189">
        <v>0</v>
      </c>
      <c r="FA406" s="189">
        <v>0</v>
      </c>
      <c r="FB406" s="189">
        <v>0</v>
      </c>
      <c r="FC406" s="189">
        <v>0</v>
      </c>
      <c r="FD406" s="189">
        <v>0</v>
      </c>
      <c r="FE406" s="189">
        <v>0</v>
      </c>
      <c r="FF406" s="189">
        <v>0</v>
      </c>
      <c r="FG406" s="189">
        <v>0</v>
      </c>
      <c r="FH406" s="189">
        <v>0</v>
      </c>
      <c r="FI406" s="189">
        <v>0</v>
      </c>
      <c r="FJ406" s="189">
        <v>0</v>
      </c>
      <c r="FK406" s="189">
        <v>113.8</v>
      </c>
      <c r="FL406" s="189">
        <v>94</v>
      </c>
      <c r="FN406" s="132">
        <v>90</v>
      </c>
    </row>
    <row r="407" spans="1:170" ht="33" customHeight="1">
      <c r="A407" s="88">
        <f>COUNTIF($H$12:H407,H407)</f>
        <v>14</v>
      </c>
      <c r="B407" s="88" t="s">
        <v>2689</v>
      </c>
      <c r="C407" s="88" t="s">
        <v>873</v>
      </c>
      <c r="D407" s="88"/>
      <c r="E407" s="88"/>
      <c r="F407" s="301" t="s">
        <v>1146</v>
      </c>
      <c r="G407" s="89" t="s">
        <v>646</v>
      </c>
      <c r="H407" s="88">
        <v>8</v>
      </c>
      <c r="I407" s="88">
        <v>8</v>
      </c>
      <c r="J407" s="88">
        <v>8</v>
      </c>
      <c r="K407" s="90" t="s">
        <v>1098</v>
      </c>
      <c r="L407" s="90" t="s">
        <v>1098</v>
      </c>
      <c r="M407" s="214"/>
      <c r="N407" s="88" t="s">
        <v>1804</v>
      </c>
      <c r="O407" s="216">
        <f t="shared" si="1304"/>
        <v>3.66</v>
      </c>
      <c r="P407" s="88" t="str">
        <f t="shared" si="1333"/>
        <v>B1_4</v>
      </c>
      <c r="Q407" s="88">
        <f t="shared" si="1154"/>
        <v>270</v>
      </c>
      <c r="R407" s="88">
        <f t="shared" si="1155"/>
        <v>120</v>
      </c>
      <c r="S407" s="230" t="s">
        <v>689</v>
      </c>
      <c r="T407" s="88" t="s">
        <v>3090</v>
      </c>
      <c r="U407" s="88">
        <f>IF(RIGHT(T407,1)="K",(VLOOKUP(T407,ma_miengiam!$A$3:$B$80,2,0)*100)/2,VLOOKUP(T407,ma_miengiam!$A$3:$B$80,2,0)*100)</f>
        <v>15</v>
      </c>
      <c r="V407" s="88"/>
      <c r="W407" s="220">
        <f>IF(AND(T407="NTS",V407&gt;0),(Q407-(Q407*V407)/12)*VLOOKUP(T407,ma_miengiam!$A$3:$B$80,2,0)+(Q407-(Q407*(12-V407))/12),IF(AND(RIGHT(T407,1)="K",V407&gt;0),(VLOOKUP(T407,ma_miengiam!$A$3:$B$80,2,0)/2)*(Q407*V407)/12,IF(RIGHT(T407,1)="K",(VLOOKUP(T407,ma_miengiam!$A$3:$B$80,2,0)*Q407)/2,IF(V407&gt;0,VLOOKUP(T407,ma_miengiam!$A$3:$B$80,2,0)*Q407*V407/12,VLOOKUP(T407,ma_miengiam!$A$3:$B$80,2,0)*Q407))))</f>
        <v>40.5</v>
      </c>
      <c r="X407" s="220">
        <f>IF(T407="NTS",VLOOKUP(T407,ma_miengiam!$A$3:$B$80,2,0)*R407*V407,IF(AND(T407="NTS",V407=0),0,IF(AND(LEFT(T407,1)="K",V407=0),VLOOKUP(T407,ma_miengiam!$A$3:$B$80,2,0)*R407,IF(LEFT(T407,1)="K",(VLOOKUP(T407,ma_miengiam!$A$3:$B$80,2,0)*R407/12)*V407,IF(AND(LEFT(T407,1)="S",V407&gt;0),(R407/12)*V407,IF(AND(LEFT(T407,1)="S",V407=0),R407,IF(T407="DH",VLOOKUP(T407,ma_miengiam!$A$3:$B$80,2,0)*R407,0)))))))</f>
        <v>0</v>
      </c>
      <c r="Y407" s="220">
        <f t="shared" si="1344"/>
        <v>229.5</v>
      </c>
      <c r="Z407" s="220">
        <f t="shared" si="1290"/>
        <v>120</v>
      </c>
      <c r="AA407" s="220">
        <f t="shared" ref="AA407:AB409" si="1345">Q407</f>
        <v>270</v>
      </c>
      <c r="AB407" s="220">
        <f t="shared" si="1345"/>
        <v>120</v>
      </c>
      <c r="AC407" s="220">
        <f t="shared" ref="AC407:AF408" si="1346">W407</f>
        <v>40.5</v>
      </c>
      <c r="AD407" s="220">
        <f t="shared" si="1346"/>
        <v>0</v>
      </c>
      <c r="AE407" s="220">
        <f t="shared" si="1346"/>
        <v>229.5</v>
      </c>
      <c r="AF407" s="220">
        <f t="shared" si="1346"/>
        <v>120</v>
      </c>
      <c r="AG407" s="220">
        <f t="shared" ref="AG407:AG414" si="1347">AH407+AI407</f>
        <v>250.85999999999999</v>
      </c>
      <c r="AH407" s="220">
        <f t="shared" ref="AH407:AH414" si="1348">EO407</f>
        <v>61.57</v>
      </c>
      <c r="AI407" s="220">
        <f t="shared" ref="AI407:AI414" si="1349">EN407</f>
        <v>189.29</v>
      </c>
      <c r="AJ407" s="220">
        <f t="shared" si="1190"/>
        <v>0</v>
      </c>
      <c r="AK407" s="216">
        <f t="shared" si="1266"/>
        <v>229.5</v>
      </c>
      <c r="AL407" s="220">
        <f t="shared" si="1251"/>
        <v>446.2</v>
      </c>
      <c r="AM407" s="220">
        <f t="shared" si="1252"/>
        <v>105.39999999999999</v>
      </c>
      <c r="AN407" s="221">
        <f t="shared" si="1253"/>
        <v>551.6</v>
      </c>
      <c r="AO407" s="220">
        <f t="shared" si="1254"/>
        <v>0</v>
      </c>
      <c r="AP407" s="220">
        <f t="shared" si="1255"/>
        <v>0</v>
      </c>
      <c r="AQ407" s="220">
        <f t="shared" si="1256"/>
        <v>100</v>
      </c>
      <c r="AR407" s="220">
        <f t="shared" si="1257"/>
        <v>0</v>
      </c>
      <c r="AS407" s="220">
        <f t="shared" si="1258"/>
        <v>0</v>
      </c>
      <c r="AT407" s="216">
        <f t="shared" si="1259"/>
        <v>651.6</v>
      </c>
      <c r="AU407" s="222">
        <f t="shared" si="1300"/>
        <v>322.10000000000002</v>
      </c>
      <c r="AV407" s="220"/>
      <c r="AW407" s="220">
        <f t="shared" si="1165"/>
        <v>322.10000000000002</v>
      </c>
      <c r="AX407" s="216">
        <f t="shared" si="1267"/>
        <v>0</v>
      </c>
      <c r="AY407" s="220">
        <f t="shared" si="1179"/>
        <v>0</v>
      </c>
      <c r="AZ407" s="220">
        <f t="shared" si="1180"/>
        <v>0</v>
      </c>
      <c r="BA407" s="220">
        <f t="shared" si="1181"/>
        <v>100</v>
      </c>
      <c r="BB407" s="220">
        <f t="shared" si="1182"/>
        <v>0</v>
      </c>
      <c r="BC407" s="220">
        <f t="shared" si="1183"/>
        <v>0</v>
      </c>
      <c r="BD407" s="216">
        <f t="shared" si="1195"/>
        <v>100</v>
      </c>
      <c r="BE407" s="220">
        <f t="shared" si="1166"/>
        <v>0</v>
      </c>
      <c r="BF407" s="220">
        <f t="shared" si="1167"/>
        <v>0</v>
      </c>
      <c r="BG407" s="220">
        <f t="shared" si="1168"/>
        <v>0</v>
      </c>
      <c r="BH407" s="220">
        <f t="shared" si="1169"/>
        <v>0</v>
      </c>
      <c r="BI407" s="220">
        <f t="shared" si="1170"/>
        <v>0</v>
      </c>
      <c r="BJ407" s="220" t="s">
        <v>2421</v>
      </c>
      <c r="BK407" s="220"/>
      <c r="BL407" s="223">
        <f t="shared" si="1201"/>
        <v>322.10000000000002</v>
      </c>
      <c r="BM407" s="220">
        <v>3.66</v>
      </c>
      <c r="BN407" s="220"/>
      <c r="BO407" s="220">
        <f>ROUND(BM407+(BM407*BN407),2)</f>
        <v>3.66</v>
      </c>
      <c r="BP407" s="220">
        <f>IF(AND(BL407&gt;0,BL407&lt;tiet!$D$1),BL407,IF(BL407&lt;=0,0,IF(BL407&gt;tiet!$C$1,tiet!$C$1)))</f>
        <v>200</v>
      </c>
      <c r="BQ407" s="87">
        <f t="shared" si="1191"/>
        <v>65000</v>
      </c>
      <c r="BR407" s="224">
        <f t="shared" si="1192"/>
        <v>13000000</v>
      </c>
      <c r="BS407" s="220">
        <f t="shared" si="1301"/>
        <v>122.10000000000002</v>
      </c>
      <c r="BT407" s="224">
        <f>VLOOKUP(N407,ma_dinhmuc!$A$1:$J$31,10,0)</f>
        <v>51000</v>
      </c>
      <c r="BU407" s="224">
        <f>ROUND(IF(BS407&gt;0,VLOOKUP(N407,ma_dinhmuc!$A$1:$J$31,10,0)*BS407,0),0)</f>
        <v>6227100</v>
      </c>
      <c r="BV407" s="224">
        <f t="shared" si="1193"/>
        <v>19227100</v>
      </c>
      <c r="BW407" s="224"/>
      <c r="BX407" s="224">
        <v>0</v>
      </c>
      <c r="BY407" s="224"/>
      <c r="BZ407" s="224"/>
      <c r="CA407" s="224"/>
      <c r="CB407" s="224"/>
      <c r="CC407" s="225">
        <f t="shared" si="1286"/>
        <v>19227100</v>
      </c>
      <c r="CD407" s="224">
        <f t="shared" si="1287"/>
        <v>0</v>
      </c>
      <c r="CE407" s="224"/>
      <c r="CF407" s="226"/>
      <c r="CG407" s="87"/>
      <c r="CH407" s="87">
        <f t="shared" si="1295"/>
        <v>14</v>
      </c>
      <c r="CI407" s="227" t="str">
        <f t="shared" si="1340"/>
        <v>Đinh Thị</v>
      </c>
      <c r="CJ407" s="227" t="str">
        <f t="shared" si="1341"/>
        <v>Hiền</v>
      </c>
      <c r="CK407" s="87">
        <f t="shared" si="1342"/>
        <v>8</v>
      </c>
      <c r="CL407" s="227" t="str">
        <f t="shared" si="1343"/>
        <v>Công nghệ chế biến</v>
      </c>
      <c r="CM407" s="87" t="str">
        <f t="shared" si="1172"/>
        <v>CS2</v>
      </c>
      <c r="CN407" s="87">
        <f>Q407</f>
        <v>270</v>
      </c>
      <c r="CO407" s="87">
        <f>R407</f>
        <v>120</v>
      </c>
      <c r="CP407" s="229">
        <f t="shared" si="1314"/>
        <v>0</v>
      </c>
      <c r="CQ407" s="229">
        <f t="shared" si="1315"/>
        <v>62</v>
      </c>
      <c r="CR407" s="229">
        <f t="shared" si="1316"/>
        <v>24.9</v>
      </c>
      <c r="CS407" s="229">
        <f t="shared" si="1317"/>
        <v>51.6</v>
      </c>
      <c r="CT407" s="229">
        <f t="shared" si="1318"/>
        <v>0</v>
      </c>
      <c r="CU407" s="229">
        <f t="shared" si="1319"/>
        <v>175.7</v>
      </c>
      <c r="CV407" s="229">
        <f t="shared" si="1320"/>
        <v>0</v>
      </c>
      <c r="CW407" s="229">
        <f t="shared" si="1321"/>
        <v>132</v>
      </c>
      <c r="CX407" s="229">
        <f t="shared" si="1322"/>
        <v>0</v>
      </c>
      <c r="CY407" s="229">
        <f t="shared" si="1323"/>
        <v>0</v>
      </c>
      <c r="CZ407" s="229">
        <f t="shared" si="1324"/>
        <v>0</v>
      </c>
      <c r="DA407" s="229">
        <f t="shared" si="1325"/>
        <v>100</v>
      </c>
      <c r="DB407" s="228">
        <f t="shared" si="1260"/>
        <v>546.20000000000005</v>
      </c>
      <c r="DC407" s="229"/>
      <c r="DD407" s="229"/>
      <c r="DE407" s="229"/>
      <c r="DF407" s="229"/>
      <c r="DG407" s="229"/>
      <c r="DH407" s="229"/>
      <c r="DI407" s="229"/>
      <c r="DJ407" s="229"/>
      <c r="DK407" s="229"/>
      <c r="DL407" s="229"/>
      <c r="DM407" s="229"/>
      <c r="DN407" s="229"/>
      <c r="DO407" s="228">
        <f t="shared" si="1261"/>
        <v>0</v>
      </c>
      <c r="DP407" s="228">
        <f t="shared" si="1262"/>
        <v>546.20000000000005</v>
      </c>
      <c r="DQ407" s="229">
        <f t="shared" si="1326"/>
        <v>103.5</v>
      </c>
      <c r="DR407" s="229">
        <f t="shared" si="1327"/>
        <v>1.3</v>
      </c>
      <c r="DS407" s="229">
        <f t="shared" si="1328"/>
        <v>0</v>
      </c>
      <c r="DT407" s="229">
        <f t="shared" si="1329"/>
        <v>0.6</v>
      </c>
      <c r="DU407" s="229">
        <f t="shared" si="1330"/>
        <v>0</v>
      </c>
      <c r="DV407" s="229">
        <f t="shared" si="1331"/>
        <v>0</v>
      </c>
      <c r="DW407" s="229">
        <f t="shared" si="1332"/>
        <v>0</v>
      </c>
      <c r="DX407" s="228">
        <f t="shared" si="1263"/>
        <v>105.39999999999999</v>
      </c>
      <c r="DY407" s="229"/>
      <c r="DZ407" s="229"/>
      <c r="EA407" s="229"/>
      <c r="EB407" s="229"/>
      <c r="EC407" s="229"/>
      <c r="ED407" s="229"/>
      <c r="EE407" s="229"/>
      <c r="EF407" s="228">
        <f t="shared" si="1305"/>
        <v>0</v>
      </c>
      <c r="EG407" s="228">
        <f t="shared" si="1264"/>
        <v>105.39999999999999</v>
      </c>
      <c r="EH407" s="229">
        <f t="shared" si="1306"/>
        <v>189.29</v>
      </c>
      <c r="EI407" s="229">
        <v>61.57</v>
      </c>
      <c r="EJ407" s="228">
        <f t="shared" si="1280"/>
        <v>250.85999999999999</v>
      </c>
      <c r="EK407" s="229"/>
      <c r="EL407" s="229"/>
      <c r="EM407" s="228">
        <f>SUM(EK407:EL407)</f>
        <v>0</v>
      </c>
      <c r="EN407" s="229">
        <f t="shared" si="1273"/>
        <v>189.29</v>
      </c>
      <c r="EO407" s="229">
        <f t="shared" si="1302"/>
        <v>61.57</v>
      </c>
      <c r="EP407" s="228">
        <f t="shared" si="1339"/>
        <v>250.85999999999999</v>
      </c>
      <c r="EQ407" s="173">
        <f t="shared" si="1303"/>
        <v>69.289999999999992</v>
      </c>
      <c r="ER407" s="189">
        <v>0</v>
      </c>
      <c r="ES407" s="189">
        <v>62</v>
      </c>
      <c r="ET407" s="189">
        <v>24.9</v>
      </c>
      <c r="EU407" s="189">
        <v>51.6</v>
      </c>
      <c r="EV407" s="189">
        <v>0</v>
      </c>
      <c r="EW407" s="189">
        <v>175.7</v>
      </c>
      <c r="EX407" s="189">
        <v>0</v>
      </c>
      <c r="EY407" s="189">
        <v>132</v>
      </c>
      <c r="EZ407" s="189">
        <v>0</v>
      </c>
      <c r="FA407" s="189">
        <v>0</v>
      </c>
      <c r="FB407" s="189">
        <v>0</v>
      </c>
      <c r="FC407" s="189">
        <v>100</v>
      </c>
      <c r="FD407" s="189">
        <v>103.5</v>
      </c>
      <c r="FE407" s="189">
        <v>1.3</v>
      </c>
      <c r="FF407" s="189">
        <v>0</v>
      </c>
      <c r="FG407" s="189">
        <v>0.6</v>
      </c>
      <c r="FH407" s="189">
        <v>0</v>
      </c>
      <c r="FI407" s="189">
        <v>0</v>
      </c>
      <c r="FJ407" s="189">
        <v>0</v>
      </c>
      <c r="FK407" s="189">
        <v>651.6</v>
      </c>
      <c r="FL407" s="189">
        <v>495.6</v>
      </c>
      <c r="FN407" s="132">
        <v>189.29</v>
      </c>
    </row>
    <row r="408" spans="1:170" ht="27.75" customHeight="1">
      <c r="A408" s="88">
        <f>COUNTIF($H$12:H408,H408)</f>
        <v>15</v>
      </c>
      <c r="B408" s="88" t="s">
        <v>2690</v>
      </c>
      <c r="C408" s="88" t="s">
        <v>874</v>
      </c>
      <c r="D408" s="88"/>
      <c r="E408" s="88"/>
      <c r="F408" s="301" t="s">
        <v>1139</v>
      </c>
      <c r="G408" s="89" t="s">
        <v>1406</v>
      </c>
      <c r="H408" s="88">
        <v>8</v>
      </c>
      <c r="I408" s="88">
        <v>8</v>
      </c>
      <c r="J408" s="88">
        <v>8</v>
      </c>
      <c r="K408" s="90" t="s">
        <v>1098</v>
      </c>
      <c r="L408" s="90" t="s">
        <v>1098</v>
      </c>
      <c r="M408" s="214"/>
      <c r="N408" s="88" t="s">
        <v>1804</v>
      </c>
      <c r="O408" s="216">
        <f>BO408</f>
        <v>2.67</v>
      </c>
      <c r="P408" s="88" t="str">
        <f t="shared" si="1333"/>
        <v>B1_3</v>
      </c>
      <c r="Q408" s="88">
        <f t="shared" si="1154"/>
        <v>270</v>
      </c>
      <c r="R408" s="88">
        <f t="shared" si="1155"/>
        <v>100</v>
      </c>
      <c r="S408" s="231" t="s">
        <v>922</v>
      </c>
      <c r="T408" s="214" t="s">
        <v>3091</v>
      </c>
      <c r="U408" s="88">
        <f>IF(RIGHT(T408,1)="K",(VLOOKUP(T408,ma_miengiam!$A$3:$B$80,2,0)*100)/2,VLOOKUP(T408,ma_miengiam!$A$3:$B$80,2,0)*100)</f>
        <v>20</v>
      </c>
      <c r="V408" s="88"/>
      <c r="W408" s="220">
        <f>IF(AND(T408="NTS",V408&gt;0),(Q408-(Q408*V408)/12)*VLOOKUP(T408,ma_miengiam!$A$3:$B$80,2,0)+(Q408-(Q408*(12-V408))/12),IF(AND(RIGHT(T408,1)="K",V408&gt;0),(VLOOKUP(T408,ma_miengiam!$A$3:$B$80,2,0)/2)*(Q408*V408)/12,IF(RIGHT(T408,1)="K",(VLOOKUP(T408,ma_miengiam!$A$3:$B$80,2,0)*Q408)/2,IF(V408&gt;0,VLOOKUP(T408,ma_miengiam!$A$3:$B$80,2,0)*Q408*V408/12,VLOOKUP(T408,ma_miengiam!$A$3:$B$80,2,0)*Q408))))</f>
        <v>54</v>
      </c>
      <c r="X408" s="220">
        <f>IF(T408="NTS",VLOOKUP(T408,ma_miengiam!$A$3:$B$80,2,0)*R408*V408,IF(AND(T408="NTS",V408=0),0,IF(AND(LEFT(T408,1)="K",V408=0),VLOOKUP(T408,ma_miengiam!$A$3:$B$80,2,0)*R408,IF(LEFT(T408,1)="K",(VLOOKUP(T408,ma_miengiam!$A$3:$B$80,2,0)*R408/12)*V408,IF(AND(LEFT(T408,1)="S",V408&gt;0),(R408/12)*V408,IF(AND(LEFT(T408,1)="S",V408=0),R408,IF(T408="DH",VLOOKUP(T408,ma_miengiam!$A$3:$B$80,2,0)*R408,0)))))))</f>
        <v>0</v>
      </c>
      <c r="Y408" s="220">
        <f t="shared" si="1344"/>
        <v>216</v>
      </c>
      <c r="Z408" s="220">
        <f t="shared" si="1290"/>
        <v>100</v>
      </c>
      <c r="AA408" s="220">
        <f t="shared" si="1345"/>
        <v>270</v>
      </c>
      <c r="AB408" s="220">
        <f t="shared" si="1345"/>
        <v>100</v>
      </c>
      <c r="AC408" s="220">
        <f t="shared" si="1346"/>
        <v>54</v>
      </c>
      <c r="AD408" s="220">
        <f t="shared" si="1346"/>
        <v>0</v>
      </c>
      <c r="AE408" s="220">
        <f t="shared" si="1346"/>
        <v>216</v>
      </c>
      <c r="AF408" s="220">
        <f t="shared" si="1346"/>
        <v>100</v>
      </c>
      <c r="AG408" s="220">
        <f>AH408+AI408</f>
        <v>96.3</v>
      </c>
      <c r="AH408" s="220">
        <f>EO408</f>
        <v>51.3</v>
      </c>
      <c r="AI408" s="220">
        <f>EN408</f>
        <v>45</v>
      </c>
      <c r="AJ408" s="220">
        <f>IF(AG408-Z408&gt;0,0,AG408-Z408)</f>
        <v>-3.7000000000000028</v>
      </c>
      <c r="AK408" s="216">
        <f t="shared" si="1266"/>
        <v>219.7</v>
      </c>
      <c r="AL408" s="220">
        <f t="shared" si="1251"/>
        <v>420.2</v>
      </c>
      <c r="AM408" s="220">
        <f t="shared" si="1252"/>
        <v>0</v>
      </c>
      <c r="AN408" s="221">
        <f t="shared" si="1253"/>
        <v>420.2</v>
      </c>
      <c r="AO408" s="220">
        <f t="shared" si="1254"/>
        <v>0</v>
      </c>
      <c r="AP408" s="220">
        <f t="shared" si="1255"/>
        <v>0</v>
      </c>
      <c r="AQ408" s="220">
        <f t="shared" si="1256"/>
        <v>100</v>
      </c>
      <c r="AR408" s="220">
        <f t="shared" si="1257"/>
        <v>0</v>
      </c>
      <c r="AS408" s="220">
        <f t="shared" si="1258"/>
        <v>0</v>
      </c>
      <c r="AT408" s="216">
        <f t="shared" si="1259"/>
        <v>520.20000000000005</v>
      </c>
      <c r="AU408" s="222">
        <f t="shared" si="1300"/>
        <v>200.5</v>
      </c>
      <c r="AV408" s="220"/>
      <c r="AW408" s="220">
        <f t="shared" si="1165"/>
        <v>200.5</v>
      </c>
      <c r="AX408" s="216">
        <f t="shared" si="1267"/>
        <v>0</v>
      </c>
      <c r="AY408" s="220">
        <f t="shared" si="1179"/>
        <v>0</v>
      </c>
      <c r="AZ408" s="220">
        <f t="shared" si="1180"/>
        <v>0</v>
      </c>
      <c r="BA408" s="220">
        <f t="shared" si="1181"/>
        <v>100</v>
      </c>
      <c r="BB408" s="220">
        <f t="shared" si="1182"/>
        <v>0</v>
      </c>
      <c r="BC408" s="220">
        <f t="shared" si="1183"/>
        <v>0</v>
      </c>
      <c r="BD408" s="216">
        <f t="shared" si="1195"/>
        <v>100</v>
      </c>
      <c r="BE408" s="220">
        <f t="shared" si="1166"/>
        <v>0</v>
      </c>
      <c r="BF408" s="220">
        <f t="shared" si="1167"/>
        <v>0</v>
      </c>
      <c r="BG408" s="220">
        <f t="shared" si="1168"/>
        <v>0</v>
      </c>
      <c r="BH408" s="220">
        <f t="shared" si="1169"/>
        <v>0</v>
      </c>
      <c r="BI408" s="220">
        <f t="shared" si="1170"/>
        <v>0</v>
      </c>
      <c r="BJ408" s="220" t="s">
        <v>2421</v>
      </c>
      <c r="BK408" s="220"/>
      <c r="BL408" s="223">
        <f t="shared" si="1201"/>
        <v>200.5</v>
      </c>
      <c r="BM408" s="220">
        <v>2.67</v>
      </c>
      <c r="BN408" s="220"/>
      <c r="BO408" s="220">
        <f>ROUND(BM408+(BM408*BN408),2)</f>
        <v>2.67</v>
      </c>
      <c r="BP408" s="220">
        <f>IF(AND(BL408&gt;0,BL408&lt;tiet!$D$1),BL408,IF(BL408&lt;=0,0,IF(BL408&gt;tiet!$C$1,tiet!$C$1)))</f>
        <v>200.5</v>
      </c>
      <c r="BQ408" s="87">
        <f>VLOOKUP(P408,ma_dinhmuc_moi,4,0)</f>
        <v>60000</v>
      </c>
      <c r="BR408" s="224">
        <f>ROUND(BQ408*BP408,0)</f>
        <v>12030000</v>
      </c>
      <c r="BS408" s="220">
        <f t="shared" si="1301"/>
        <v>0</v>
      </c>
      <c r="BT408" s="224">
        <f>VLOOKUP(N408,ma_dinhmuc!$A$1:$J$31,10,0)</f>
        <v>51000</v>
      </c>
      <c r="BU408" s="224">
        <f>ROUND(IF(BS408&gt;0,VLOOKUP(N408,ma_dinhmuc!$A$1:$J$31,10,0)*BS408,0),0)</f>
        <v>0</v>
      </c>
      <c r="BV408" s="224">
        <f>ROUND(BU408+BR408,0)</f>
        <v>12030000</v>
      </c>
      <c r="BW408" s="224"/>
      <c r="BX408" s="224">
        <v>0</v>
      </c>
      <c r="BY408" s="224"/>
      <c r="BZ408" s="224"/>
      <c r="CA408" s="224"/>
      <c r="CB408" s="224"/>
      <c r="CC408" s="225">
        <f t="shared" si="1286"/>
        <v>12030000</v>
      </c>
      <c r="CD408" s="224">
        <f t="shared" si="1287"/>
        <v>0</v>
      </c>
      <c r="CE408" s="224"/>
      <c r="CF408" s="226"/>
      <c r="CG408" s="87"/>
      <c r="CH408" s="87">
        <f>A408</f>
        <v>15</v>
      </c>
      <c r="CI408" s="227" t="str">
        <f t="shared" si="1340"/>
        <v>Nguyễn Thị</v>
      </c>
      <c r="CJ408" s="227" t="str">
        <f t="shared" si="1341"/>
        <v>Quyên</v>
      </c>
      <c r="CK408" s="87">
        <f t="shared" si="1342"/>
        <v>8</v>
      </c>
      <c r="CL408" s="227" t="str">
        <f>L408</f>
        <v>Công nghệ chế biến</v>
      </c>
      <c r="CM408" s="87" t="str">
        <f t="shared" si="1172"/>
        <v>CS2</v>
      </c>
      <c r="CN408" s="87">
        <f>Q408</f>
        <v>270</v>
      </c>
      <c r="CO408" s="87">
        <f>R408</f>
        <v>100</v>
      </c>
      <c r="CP408" s="229">
        <f t="shared" si="1314"/>
        <v>0</v>
      </c>
      <c r="CQ408" s="229">
        <f t="shared" si="1315"/>
        <v>53.3</v>
      </c>
      <c r="CR408" s="229">
        <f t="shared" si="1316"/>
        <v>8.6999999999999993</v>
      </c>
      <c r="CS408" s="229">
        <f t="shared" si="1317"/>
        <v>0</v>
      </c>
      <c r="CT408" s="229">
        <f t="shared" si="1318"/>
        <v>0</v>
      </c>
      <c r="CU408" s="229">
        <f t="shared" si="1319"/>
        <v>91.7</v>
      </c>
      <c r="CV408" s="229">
        <f t="shared" si="1320"/>
        <v>0</v>
      </c>
      <c r="CW408" s="229">
        <f t="shared" si="1321"/>
        <v>266.5</v>
      </c>
      <c r="CX408" s="229">
        <f t="shared" si="1322"/>
        <v>0</v>
      </c>
      <c r="CY408" s="229">
        <f t="shared" si="1323"/>
        <v>0</v>
      </c>
      <c r="CZ408" s="229">
        <f t="shared" si="1324"/>
        <v>0</v>
      </c>
      <c r="DA408" s="229">
        <f t="shared" si="1325"/>
        <v>100</v>
      </c>
      <c r="DB408" s="228">
        <f t="shared" si="1260"/>
        <v>520.20000000000005</v>
      </c>
      <c r="DC408" s="229"/>
      <c r="DD408" s="229"/>
      <c r="DE408" s="229"/>
      <c r="DF408" s="229"/>
      <c r="DG408" s="229"/>
      <c r="DH408" s="229"/>
      <c r="DI408" s="229"/>
      <c r="DJ408" s="229"/>
      <c r="DK408" s="229"/>
      <c r="DL408" s="229"/>
      <c r="DM408" s="229"/>
      <c r="DN408" s="229"/>
      <c r="DO408" s="228">
        <f t="shared" si="1261"/>
        <v>0</v>
      </c>
      <c r="DP408" s="228">
        <f t="shared" si="1262"/>
        <v>520.20000000000005</v>
      </c>
      <c r="DQ408" s="229">
        <f t="shared" si="1326"/>
        <v>0</v>
      </c>
      <c r="DR408" s="229">
        <f t="shared" si="1327"/>
        <v>0</v>
      </c>
      <c r="DS408" s="229">
        <f t="shared" si="1328"/>
        <v>0</v>
      </c>
      <c r="DT408" s="229">
        <f t="shared" si="1329"/>
        <v>0</v>
      </c>
      <c r="DU408" s="229">
        <f t="shared" si="1330"/>
        <v>0</v>
      </c>
      <c r="DV408" s="229">
        <f t="shared" si="1331"/>
        <v>0</v>
      </c>
      <c r="DW408" s="229">
        <f t="shared" si="1332"/>
        <v>0</v>
      </c>
      <c r="DX408" s="228">
        <f t="shared" si="1263"/>
        <v>0</v>
      </c>
      <c r="DY408" s="229"/>
      <c r="DZ408" s="229"/>
      <c r="EA408" s="229"/>
      <c r="EB408" s="229"/>
      <c r="EC408" s="229"/>
      <c r="ED408" s="229"/>
      <c r="EE408" s="229"/>
      <c r="EF408" s="228">
        <f t="shared" si="1305"/>
        <v>0</v>
      </c>
      <c r="EG408" s="228">
        <f t="shared" si="1264"/>
        <v>0</v>
      </c>
      <c r="EH408" s="229">
        <f t="shared" si="1306"/>
        <v>45</v>
      </c>
      <c r="EI408" s="229">
        <v>51.3</v>
      </c>
      <c r="EJ408" s="228">
        <f t="shared" si="1280"/>
        <v>96.3</v>
      </c>
      <c r="EK408" s="229"/>
      <c r="EL408" s="229"/>
      <c r="EM408" s="228">
        <f>SUM(EK408:EL408)</f>
        <v>0</v>
      </c>
      <c r="EN408" s="229">
        <f t="shared" si="1273"/>
        <v>45</v>
      </c>
      <c r="EO408" s="229">
        <f t="shared" si="1302"/>
        <v>51.3</v>
      </c>
      <c r="EP408" s="228">
        <f t="shared" si="1339"/>
        <v>96.3</v>
      </c>
      <c r="EQ408" s="173">
        <f t="shared" si="1303"/>
        <v>0</v>
      </c>
      <c r="ER408" s="189">
        <v>0</v>
      </c>
      <c r="ES408" s="189">
        <v>53.3</v>
      </c>
      <c r="ET408" s="189">
        <v>8.6999999999999993</v>
      </c>
      <c r="EU408" s="189">
        <v>0</v>
      </c>
      <c r="EV408" s="189">
        <v>0</v>
      </c>
      <c r="EW408" s="189">
        <v>91.7</v>
      </c>
      <c r="EX408" s="189">
        <v>0</v>
      </c>
      <c r="EY408" s="189">
        <v>266.5</v>
      </c>
      <c r="EZ408" s="189">
        <v>0</v>
      </c>
      <c r="FA408" s="189">
        <v>0</v>
      </c>
      <c r="FB408" s="189">
        <v>0</v>
      </c>
      <c r="FC408" s="189">
        <v>100</v>
      </c>
      <c r="FD408" s="189">
        <v>0</v>
      </c>
      <c r="FE408" s="189">
        <v>0</v>
      </c>
      <c r="FF408" s="189">
        <v>0</v>
      </c>
      <c r="FG408" s="189">
        <v>0</v>
      </c>
      <c r="FH408" s="189">
        <v>0</v>
      </c>
      <c r="FI408" s="189">
        <v>0</v>
      </c>
      <c r="FJ408" s="189">
        <v>0</v>
      </c>
      <c r="FK408" s="189">
        <v>520.20000000000005</v>
      </c>
      <c r="FL408" s="189">
        <v>428</v>
      </c>
      <c r="FN408" s="132">
        <v>45</v>
      </c>
    </row>
    <row r="409" spans="1:170" ht="30" customHeight="1">
      <c r="A409" s="88">
        <f>COUNTIF($H$12:H409,H409)</f>
        <v>16</v>
      </c>
      <c r="B409" s="88" t="s">
        <v>2691</v>
      </c>
      <c r="C409" s="88" t="s">
        <v>1666</v>
      </c>
      <c r="D409" s="88"/>
      <c r="E409" s="88"/>
      <c r="F409" s="301" t="s">
        <v>2912</v>
      </c>
      <c r="G409" s="303" t="s">
        <v>1177</v>
      </c>
      <c r="H409" s="88">
        <v>8</v>
      </c>
      <c r="I409" s="88">
        <v>8</v>
      </c>
      <c r="J409" s="88">
        <v>8</v>
      </c>
      <c r="K409" s="90" t="s">
        <v>1099</v>
      </c>
      <c r="L409" s="90" t="s">
        <v>1099</v>
      </c>
      <c r="M409" s="214"/>
      <c r="N409" s="88" t="s">
        <v>1804</v>
      </c>
      <c r="O409" s="216">
        <f t="shared" si="1304"/>
        <v>3.33</v>
      </c>
      <c r="P409" s="88" t="str">
        <f t="shared" si="1333"/>
        <v>B1_4</v>
      </c>
      <c r="Q409" s="88">
        <f t="shared" si="1154"/>
        <v>270</v>
      </c>
      <c r="R409" s="88">
        <f t="shared" si="1155"/>
        <v>120</v>
      </c>
      <c r="S409" s="218" t="s">
        <v>2645</v>
      </c>
      <c r="T409" s="214" t="s">
        <v>3091</v>
      </c>
      <c r="U409" s="88">
        <f>IF(RIGHT(T409,1)="K",(VLOOKUP(T409,ma_miengiam!$A$3:$B$80,2,0)*100)/2,VLOOKUP(T409,ma_miengiam!$A$3:$B$80,2,0)*100)</f>
        <v>20</v>
      </c>
      <c r="V409" s="88">
        <v>6</v>
      </c>
      <c r="W409" s="220">
        <f>IF(AND(T409="NTS",V409&gt;0),(Q409-(Q409*V409)/12)*VLOOKUP(T409,ma_miengiam!$A$3:$B$80,2,0)+(Q409-(Q409*(12-V409))/12),IF(AND(RIGHT(T409,1)="K",V409&gt;0),(VLOOKUP(T409,ma_miengiam!$A$3:$B$80,2,0)/2)*(Q409*V409)/12,IF(RIGHT(T409,1)="K",(VLOOKUP(T409,ma_miengiam!$A$3:$B$80,2,0)*Q409)/2,IF(V409&gt;0,VLOOKUP(T409,ma_miengiam!$A$3:$B$80,2,0)*Q409*V409/12,VLOOKUP(T409,ma_miengiam!$A$3:$B$80,2,0)*Q409))))</f>
        <v>27</v>
      </c>
      <c r="X409" s="220">
        <f>IF(T409="NTS",VLOOKUP(T409,ma_miengiam!$A$3:$B$80,2,0)*R409*V409,IF(AND(T409="NTS",V409=0),0,IF(AND(LEFT(T409,1)="K",V409=0),VLOOKUP(T409,ma_miengiam!$A$3:$B$80,2,0)*R409,IF(LEFT(T409,1)="K",(VLOOKUP(T409,ma_miengiam!$A$3:$B$80,2,0)*R409/12)*V409,IF(AND(LEFT(T409,1)="S",V409&gt;0),(R409/12)*V409,IF(AND(LEFT(T409,1)="S",V409=0),R409,IF(T409="DH",VLOOKUP(T409,ma_miengiam!$A$3:$B$80,2,0)*R409,0)))))))</f>
        <v>0</v>
      </c>
      <c r="Y409" s="220">
        <f t="shared" si="1344"/>
        <v>108</v>
      </c>
      <c r="Z409" s="220">
        <f t="shared" ref="Z409:Z414" si="1350">IF(AND(T409="SĐH",V409&gt;0),(R409/12)*V409-X409,IF(AND(T409="DH",V409&gt;0),(R409*V409/12),IF(AND(T409&lt;&gt;"NTS",V409&gt;0),(R409*V409/12)-X409,IF(AND(T409="NTS",V409&gt;0),R409-X409,R409-X409))))</f>
        <v>60</v>
      </c>
      <c r="AA409" s="220">
        <f t="shared" si="1345"/>
        <v>270</v>
      </c>
      <c r="AB409" s="220">
        <f t="shared" si="1345"/>
        <v>120</v>
      </c>
      <c r="AC409" s="220">
        <f t="shared" ref="AC409:AF411" si="1351">W409</f>
        <v>27</v>
      </c>
      <c r="AD409" s="220">
        <f t="shared" si="1351"/>
        <v>0</v>
      </c>
      <c r="AE409" s="220">
        <f t="shared" si="1351"/>
        <v>108</v>
      </c>
      <c r="AF409" s="220">
        <f t="shared" si="1351"/>
        <v>60</v>
      </c>
      <c r="AG409" s="220">
        <f t="shared" si="1347"/>
        <v>101.57</v>
      </c>
      <c r="AH409" s="220">
        <f t="shared" si="1348"/>
        <v>61.57</v>
      </c>
      <c r="AI409" s="220">
        <f t="shared" si="1349"/>
        <v>40</v>
      </c>
      <c r="AJ409" s="220">
        <f t="shared" si="1190"/>
        <v>0</v>
      </c>
      <c r="AK409" s="216">
        <f t="shared" si="1266"/>
        <v>108</v>
      </c>
      <c r="AL409" s="220">
        <f t="shared" si="1251"/>
        <v>250.5</v>
      </c>
      <c r="AM409" s="220">
        <f t="shared" si="1252"/>
        <v>0</v>
      </c>
      <c r="AN409" s="221">
        <f t="shared" si="1253"/>
        <v>250.5</v>
      </c>
      <c r="AO409" s="220">
        <f t="shared" si="1254"/>
        <v>0</v>
      </c>
      <c r="AP409" s="220">
        <f t="shared" si="1255"/>
        <v>0</v>
      </c>
      <c r="AQ409" s="220">
        <f t="shared" si="1256"/>
        <v>80</v>
      </c>
      <c r="AR409" s="220">
        <f t="shared" si="1257"/>
        <v>0</v>
      </c>
      <c r="AS409" s="220">
        <f t="shared" si="1258"/>
        <v>0</v>
      </c>
      <c r="AT409" s="216">
        <f t="shared" si="1259"/>
        <v>330.5</v>
      </c>
      <c r="AU409" s="222">
        <f t="shared" si="1300"/>
        <v>142.5</v>
      </c>
      <c r="AV409" s="220"/>
      <c r="AW409" s="220">
        <f t="shared" si="1165"/>
        <v>142.5</v>
      </c>
      <c r="AX409" s="216">
        <f t="shared" si="1267"/>
        <v>0</v>
      </c>
      <c r="AY409" s="220">
        <f t="shared" si="1179"/>
        <v>0</v>
      </c>
      <c r="AZ409" s="220">
        <f t="shared" si="1180"/>
        <v>0</v>
      </c>
      <c r="BA409" s="220">
        <f t="shared" si="1181"/>
        <v>80</v>
      </c>
      <c r="BB409" s="220">
        <f t="shared" si="1182"/>
        <v>0</v>
      </c>
      <c r="BC409" s="220">
        <f t="shared" si="1183"/>
        <v>0</v>
      </c>
      <c r="BD409" s="216">
        <f t="shared" si="1195"/>
        <v>80</v>
      </c>
      <c r="BE409" s="220">
        <f t="shared" si="1166"/>
        <v>0</v>
      </c>
      <c r="BF409" s="220">
        <f t="shared" si="1167"/>
        <v>0</v>
      </c>
      <c r="BG409" s="220">
        <f t="shared" si="1168"/>
        <v>0</v>
      </c>
      <c r="BH409" s="220">
        <f t="shared" si="1169"/>
        <v>0</v>
      </c>
      <c r="BI409" s="220">
        <f t="shared" si="1170"/>
        <v>0</v>
      </c>
      <c r="BJ409" s="220" t="s">
        <v>2422</v>
      </c>
      <c r="BK409" s="220"/>
      <c r="BL409" s="223">
        <f t="shared" si="1201"/>
        <v>142.5</v>
      </c>
      <c r="BM409" s="220">
        <v>3.33</v>
      </c>
      <c r="BN409" s="220"/>
      <c r="BO409" s="220">
        <f t="shared" si="1294"/>
        <v>3.33</v>
      </c>
      <c r="BP409" s="220">
        <f>IF(AND(BL409&gt;0,BL409&lt;tiet!$D$1),BL409,IF(BL409&lt;=0,0,IF(BL409&gt;tiet!$C$1,tiet!$C$1)))</f>
        <v>142.5</v>
      </c>
      <c r="BQ409" s="87">
        <f t="shared" si="1191"/>
        <v>65000</v>
      </c>
      <c r="BR409" s="224">
        <f t="shared" si="1192"/>
        <v>9262500</v>
      </c>
      <c r="BS409" s="220">
        <f t="shared" si="1301"/>
        <v>0</v>
      </c>
      <c r="BT409" s="224">
        <f>VLOOKUP(N409,ma_dinhmuc!$A$1:$J$31,10,0)</f>
        <v>51000</v>
      </c>
      <c r="BU409" s="224">
        <f>ROUND(IF(BS409&gt;0,VLOOKUP(N409,ma_dinhmuc!$A$1:$J$31,10,0)*BS409,0),0)</f>
        <v>0</v>
      </c>
      <c r="BV409" s="224">
        <f t="shared" si="1193"/>
        <v>9262500</v>
      </c>
      <c r="BW409" s="224"/>
      <c r="BX409" s="224">
        <v>0</v>
      </c>
      <c r="BY409" s="224"/>
      <c r="BZ409" s="224"/>
      <c r="CA409" s="224"/>
      <c r="CB409" s="224"/>
      <c r="CC409" s="225">
        <f t="shared" si="1286"/>
        <v>9262500</v>
      </c>
      <c r="CD409" s="224">
        <f t="shared" si="1287"/>
        <v>0</v>
      </c>
      <c r="CE409" s="224"/>
      <c r="CF409" s="226"/>
      <c r="CG409" s="87"/>
      <c r="CH409" s="87">
        <f t="shared" si="1295"/>
        <v>16</v>
      </c>
      <c r="CI409" s="227" t="str">
        <f t="shared" si="1340"/>
        <v>Nguyễn Thị Thu</v>
      </c>
      <c r="CJ409" s="227" t="str">
        <f t="shared" si="1341"/>
        <v>Nga</v>
      </c>
      <c r="CK409" s="87">
        <f t="shared" si="1342"/>
        <v>8</v>
      </c>
      <c r="CL409" s="227" t="str">
        <f t="shared" si="1343"/>
        <v>Công nghệ Sau thu hoạch</v>
      </c>
      <c r="CM409" s="87" t="str">
        <f t="shared" si="1172"/>
        <v>CS2</v>
      </c>
      <c r="CN409" s="87">
        <f t="shared" si="1278"/>
        <v>270</v>
      </c>
      <c r="CO409" s="87">
        <f t="shared" si="1279"/>
        <v>120</v>
      </c>
      <c r="CP409" s="229">
        <f t="shared" si="1314"/>
        <v>0</v>
      </c>
      <c r="CQ409" s="229">
        <f t="shared" si="1315"/>
        <v>20.3</v>
      </c>
      <c r="CR409" s="229">
        <f t="shared" si="1316"/>
        <v>8.1999999999999993</v>
      </c>
      <c r="CS409" s="229">
        <f t="shared" si="1317"/>
        <v>0</v>
      </c>
      <c r="CT409" s="229">
        <f t="shared" si="1318"/>
        <v>0</v>
      </c>
      <c r="CU409" s="229">
        <f t="shared" si="1319"/>
        <v>110</v>
      </c>
      <c r="CV409" s="229">
        <f t="shared" si="1320"/>
        <v>0</v>
      </c>
      <c r="CW409" s="229">
        <f t="shared" si="1321"/>
        <v>112</v>
      </c>
      <c r="CX409" s="229">
        <f t="shared" si="1322"/>
        <v>0</v>
      </c>
      <c r="CY409" s="229">
        <f t="shared" si="1323"/>
        <v>0</v>
      </c>
      <c r="CZ409" s="229">
        <f t="shared" si="1324"/>
        <v>0</v>
      </c>
      <c r="DA409" s="229">
        <f t="shared" si="1325"/>
        <v>80</v>
      </c>
      <c r="DB409" s="228">
        <f t="shared" si="1260"/>
        <v>330.5</v>
      </c>
      <c r="DC409" s="229"/>
      <c r="DD409" s="229"/>
      <c r="DE409" s="229"/>
      <c r="DF409" s="229"/>
      <c r="DG409" s="229"/>
      <c r="DH409" s="229"/>
      <c r="DI409" s="229"/>
      <c r="DJ409" s="229"/>
      <c r="DK409" s="229"/>
      <c r="DL409" s="229"/>
      <c r="DM409" s="229"/>
      <c r="DN409" s="229"/>
      <c r="DO409" s="228">
        <f t="shared" si="1261"/>
        <v>0</v>
      </c>
      <c r="DP409" s="228">
        <f t="shared" si="1262"/>
        <v>330.5</v>
      </c>
      <c r="DQ409" s="229">
        <f t="shared" si="1326"/>
        <v>0</v>
      </c>
      <c r="DR409" s="229">
        <f t="shared" si="1327"/>
        <v>0</v>
      </c>
      <c r="DS409" s="229">
        <f t="shared" si="1328"/>
        <v>0</v>
      </c>
      <c r="DT409" s="229">
        <f t="shared" si="1329"/>
        <v>0</v>
      </c>
      <c r="DU409" s="229">
        <f t="shared" si="1330"/>
        <v>0</v>
      </c>
      <c r="DV409" s="229">
        <f t="shared" si="1331"/>
        <v>0</v>
      </c>
      <c r="DW409" s="229">
        <f t="shared" si="1332"/>
        <v>0</v>
      </c>
      <c r="DX409" s="228">
        <f t="shared" si="1263"/>
        <v>0</v>
      </c>
      <c r="DY409" s="229"/>
      <c r="DZ409" s="229"/>
      <c r="EA409" s="229"/>
      <c r="EB409" s="229"/>
      <c r="EC409" s="229"/>
      <c r="ED409" s="229"/>
      <c r="EE409" s="229"/>
      <c r="EF409" s="228">
        <f t="shared" si="1305"/>
        <v>0</v>
      </c>
      <c r="EG409" s="228">
        <f t="shared" si="1264"/>
        <v>0</v>
      </c>
      <c r="EH409" s="229">
        <f t="shared" si="1306"/>
        <v>40</v>
      </c>
      <c r="EI409" s="229">
        <v>61.57</v>
      </c>
      <c r="EJ409" s="228">
        <f t="shared" si="1280"/>
        <v>101.57</v>
      </c>
      <c r="EK409" s="229"/>
      <c r="EL409" s="229"/>
      <c r="EM409" s="228">
        <f t="shared" si="1336"/>
        <v>0</v>
      </c>
      <c r="EN409" s="229">
        <f t="shared" si="1273"/>
        <v>40</v>
      </c>
      <c r="EO409" s="229">
        <f t="shared" si="1302"/>
        <v>61.57</v>
      </c>
      <c r="EP409" s="228">
        <f t="shared" si="1339"/>
        <v>101.57</v>
      </c>
      <c r="EQ409" s="173">
        <f t="shared" si="1303"/>
        <v>0</v>
      </c>
      <c r="ER409" s="189">
        <v>0</v>
      </c>
      <c r="ES409" s="189">
        <v>20.3</v>
      </c>
      <c r="ET409" s="189">
        <v>8.1999999999999993</v>
      </c>
      <c r="EU409" s="189">
        <v>0</v>
      </c>
      <c r="EV409" s="189">
        <v>0</v>
      </c>
      <c r="EW409" s="189">
        <v>110</v>
      </c>
      <c r="EX409" s="189">
        <v>0</v>
      </c>
      <c r="EY409" s="189">
        <v>112</v>
      </c>
      <c r="EZ409" s="189">
        <v>0</v>
      </c>
      <c r="FA409" s="189">
        <v>0</v>
      </c>
      <c r="FB409" s="189">
        <v>0</v>
      </c>
      <c r="FC409" s="189">
        <v>80</v>
      </c>
      <c r="FD409" s="189">
        <v>0</v>
      </c>
      <c r="FE409" s="189">
        <v>0</v>
      </c>
      <c r="FF409" s="189">
        <v>0</v>
      </c>
      <c r="FG409" s="189">
        <v>0</v>
      </c>
      <c r="FH409" s="189">
        <v>0</v>
      </c>
      <c r="FI409" s="189">
        <v>0</v>
      </c>
      <c r="FJ409" s="189">
        <v>0</v>
      </c>
      <c r="FK409" s="189">
        <v>330.5</v>
      </c>
      <c r="FL409" s="189">
        <v>312</v>
      </c>
      <c r="FN409" s="132">
        <v>40</v>
      </c>
    </row>
    <row r="410" spans="1:170" ht="45">
      <c r="A410" s="88">
        <f>COUNTIF($H$12:H410,H410)</f>
        <v>17</v>
      </c>
      <c r="B410" s="88" t="s">
        <v>2692</v>
      </c>
      <c r="C410" s="88" t="s">
        <v>2862</v>
      </c>
      <c r="D410" s="88"/>
      <c r="E410" s="88"/>
      <c r="F410" s="301" t="s">
        <v>1504</v>
      </c>
      <c r="G410" s="89" t="s">
        <v>2894</v>
      </c>
      <c r="H410" s="88">
        <v>8</v>
      </c>
      <c r="I410" s="88">
        <v>8</v>
      </c>
      <c r="J410" s="88">
        <v>8</v>
      </c>
      <c r="K410" s="90" t="s">
        <v>1099</v>
      </c>
      <c r="L410" s="90" t="s">
        <v>1099</v>
      </c>
      <c r="M410" s="214"/>
      <c r="N410" s="88" t="s">
        <v>605</v>
      </c>
      <c r="O410" s="216">
        <f t="shared" si="1304"/>
        <v>6.2</v>
      </c>
      <c r="P410" s="88" t="str">
        <f t="shared" si="1333"/>
        <v>B1_6</v>
      </c>
      <c r="Q410" s="88">
        <f t="shared" si="1154"/>
        <v>270</v>
      </c>
      <c r="R410" s="88">
        <f t="shared" si="1155"/>
        <v>170</v>
      </c>
      <c r="S410" s="218" t="s">
        <v>3002</v>
      </c>
      <c r="T410" s="215" t="s">
        <v>1754</v>
      </c>
      <c r="U410" s="88">
        <f>IF(RIGHT(T410,1)="K",(VLOOKUP(T410,ma_miengiam!$A$3:$B$80,2,0)*100)/2,VLOOKUP(T410,ma_miengiam!$A$3:$B$80,2,0)*100)</f>
        <v>75</v>
      </c>
      <c r="V410" s="88"/>
      <c r="W410" s="220">
        <f>IF(AND(T410="NTS",V410&gt;0),(Q410-(Q410*V410)/12)*VLOOKUP(T410,ma_miengiam!$A$3:$B$80,2,0)+(Q410-(Q410*(12-V410))/12),IF(AND(RIGHT(T410,1)="K",V410&gt;0),(VLOOKUP(T410,ma_miengiam!$A$3:$B$80,2,0)/2)*(Q410*V410)/12,IF(RIGHT(T410,1)="K",(VLOOKUP(T410,ma_miengiam!$A$3:$B$80,2,0)*Q410)/2,IF(V410&gt;0,VLOOKUP(T410,ma_miengiam!$A$3:$B$80,2,0)*Q410*V410/12,VLOOKUP(T410,ma_miengiam!$A$3:$B$80,2,0)*Q410))))</f>
        <v>202.5</v>
      </c>
      <c r="X410" s="220">
        <f>IF(T410="NTS",VLOOKUP(T410,ma_miengiam!$A$3:$B$80,2,0)*R410*V410,IF(AND(T410="NTS",V410=0),0,IF(AND(LEFT(T410,1)="K",V410=0),VLOOKUP(T410,ma_miengiam!$A$3:$B$80,2,0)*R410,IF(LEFT(T410,1)="K",(VLOOKUP(T410,ma_miengiam!$A$3:$B$80,2,0)*R410/12)*V410,IF(AND(LEFT(T410,1)="S",V410&gt;0),(R410/12)*V410,IF(AND(LEFT(T410,1)="S",V410=0),R410,IF(T410="DH",VLOOKUP(T410,ma_miengiam!$A$3:$B$80,2,0)*R410,0)))))))</f>
        <v>127.5</v>
      </c>
      <c r="Y410" s="220">
        <f t="shared" si="1344"/>
        <v>67.5</v>
      </c>
      <c r="Z410" s="220">
        <f t="shared" si="1350"/>
        <v>42.5</v>
      </c>
      <c r="AA410" s="220">
        <f t="shared" ref="AA410:AB414" si="1352">Q410</f>
        <v>270</v>
      </c>
      <c r="AB410" s="220">
        <f t="shared" si="1352"/>
        <v>170</v>
      </c>
      <c r="AC410" s="220">
        <f t="shared" si="1351"/>
        <v>202.5</v>
      </c>
      <c r="AD410" s="220">
        <f t="shared" si="1351"/>
        <v>127.5</v>
      </c>
      <c r="AE410" s="220">
        <f t="shared" si="1351"/>
        <v>67.5</v>
      </c>
      <c r="AF410" s="220">
        <f t="shared" si="1351"/>
        <v>42.5</v>
      </c>
      <c r="AG410" s="220">
        <f t="shared" si="1347"/>
        <v>120.88</v>
      </c>
      <c r="AH410" s="220">
        <f t="shared" si="1348"/>
        <v>87.55</v>
      </c>
      <c r="AI410" s="220">
        <f t="shared" si="1349"/>
        <v>33.33</v>
      </c>
      <c r="AJ410" s="220">
        <f t="shared" si="1190"/>
        <v>0</v>
      </c>
      <c r="AK410" s="216">
        <f t="shared" si="1266"/>
        <v>67.5</v>
      </c>
      <c r="AL410" s="220">
        <f t="shared" si="1251"/>
        <v>219.7</v>
      </c>
      <c r="AM410" s="220">
        <f t="shared" si="1252"/>
        <v>27.7</v>
      </c>
      <c r="AN410" s="221">
        <f t="shared" si="1253"/>
        <v>247.39999999999998</v>
      </c>
      <c r="AO410" s="220">
        <f t="shared" si="1254"/>
        <v>0</v>
      </c>
      <c r="AP410" s="220">
        <f t="shared" si="1255"/>
        <v>0</v>
      </c>
      <c r="AQ410" s="220">
        <f t="shared" si="1256"/>
        <v>140</v>
      </c>
      <c r="AR410" s="220">
        <f t="shared" si="1257"/>
        <v>80</v>
      </c>
      <c r="AS410" s="220">
        <f t="shared" si="1258"/>
        <v>0</v>
      </c>
      <c r="AT410" s="216">
        <f t="shared" si="1259"/>
        <v>467.4</v>
      </c>
      <c r="AU410" s="222">
        <f t="shared" si="1300"/>
        <v>179.89999999999998</v>
      </c>
      <c r="AV410" s="220"/>
      <c r="AW410" s="220">
        <f t="shared" si="1165"/>
        <v>179.89999999999998</v>
      </c>
      <c r="AX410" s="216">
        <f t="shared" si="1267"/>
        <v>0</v>
      </c>
      <c r="AY410" s="220">
        <f t="shared" si="1179"/>
        <v>0</v>
      </c>
      <c r="AZ410" s="220">
        <f t="shared" si="1180"/>
        <v>0</v>
      </c>
      <c r="BA410" s="220">
        <f t="shared" si="1181"/>
        <v>140</v>
      </c>
      <c r="BB410" s="220">
        <f t="shared" si="1182"/>
        <v>80</v>
      </c>
      <c r="BC410" s="220">
        <f t="shared" si="1183"/>
        <v>0</v>
      </c>
      <c r="BD410" s="216">
        <f t="shared" si="1195"/>
        <v>220</v>
      </c>
      <c r="BE410" s="220">
        <f t="shared" si="1166"/>
        <v>0</v>
      </c>
      <c r="BF410" s="220">
        <f t="shared" si="1167"/>
        <v>0</v>
      </c>
      <c r="BG410" s="220">
        <f t="shared" si="1168"/>
        <v>0</v>
      </c>
      <c r="BH410" s="220">
        <f t="shared" si="1169"/>
        <v>0</v>
      </c>
      <c r="BI410" s="220">
        <f t="shared" si="1170"/>
        <v>0</v>
      </c>
      <c r="BJ410" s="220" t="s">
        <v>2422</v>
      </c>
      <c r="BK410" s="220"/>
      <c r="BL410" s="223">
        <f t="shared" si="1201"/>
        <v>179.89999999999998</v>
      </c>
      <c r="BM410" s="220">
        <v>6.2</v>
      </c>
      <c r="BN410" s="220"/>
      <c r="BO410" s="220">
        <f t="shared" si="1294"/>
        <v>6.2</v>
      </c>
      <c r="BP410" s="220">
        <f>IF(AND(BL410&gt;0,BL410&lt;tiet!$D$1),BL410,IF(BL410&lt;=0,0,IF(BL410&gt;tiet!$C$1,tiet!$C$1)))</f>
        <v>179.89999999999998</v>
      </c>
      <c r="BQ410" s="87">
        <f t="shared" si="1191"/>
        <v>75000</v>
      </c>
      <c r="BR410" s="224">
        <f t="shared" si="1192"/>
        <v>13492500</v>
      </c>
      <c r="BS410" s="220">
        <f t="shared" si="1301"/>
        <v>0</v>
      </c>
      <c r="BT410" s="224">
        <f>VLOOKUP(N410,ma_dinhmuc!$A$1:$J$31,10,0)</f>
        <v>65000</v>
      </c>
      <c r="BU410" s="224">
        <f>ROUND(IF(BS410&gt;0,VLOOKUP(N410,ma_dinhmuc!$A$1:$J$31,10,0)*BS410,0),0)</f>
        <v>0</v>
      </c>
      <c r="BV410" s="224">
        <f t="shared" si="1193"/>
        <v>13492500</v>
      </c>
      <c r="BW410" s="224"/>
      <c r="BX410" s="224">
        <v>0</v>
      </c>
      <c r="BY410" s="224"/>
      <c r="BZ410" s="224"/>
      <c r="CA410" s="224"/>
      <c r="CB410" s="224"/>
      <c r="CC410" s="225">
        <f t="shared" si="1286"/>
        <v>13492500</v>
      </c>
      <c r="CD410" s="224">
        <f t="shared" si="1287"/>
        <v>0</v>
      </c>
      <c r="CE410" s="224"/>
      <c r="CF410" s="226"/>
      <c r="CG410" s="87"/>
      <c r="CH410" s="87">
        <f t="shared" ref="CH410:CH431" si="1353">A410</f>
        <v>17</v>
      </c>
      <c r="CI410" s="227" t="str">
        <f t="shared" si="1340"/>
        <v>Nguyễn Thị Bích</v>
      </c>
      <c r="CJ410" s="227" t="str">
        <f t="shared" si="1341"/>
        <v>Thuỷ</v>
      </c>
      <c r="CK410" s="87">
        <f t="shared" si="1342"/>
        <v>8</v>
      </c>
      <c r="CL410" s="227" t="str">
        <f t="shared" si="1343"/>
        <v>Công nghệ Sau thu hoạch</v>
      </c>
      <c r="CM410" s="87" t="str">
        <f t="shared" si="1172"/>
        <v>CS4</v>
      </c>
      <c r="CN410" s="87">
        <f t="shared" ref="CN410:CO414" si="1354">Q410</f>
        <v>270</v>
      </c>
      <c r="CO410" s="87">
        <f t="shared" si="1354"/>
        <v>170</v>
      </c>
      <c r="CP410" s="229">
        <f t="shared" si="1314"/>
        <v>0</v>
      </c>
      <c r="CQ410" s="229">
        <f t="shared" si="1315"/>
        <v>34</v>
      </c>
      <c r="CR410" s="229">
        <f t="shared" si="1316"/>
        <v>16.7</v>
      </c>
      <c r="CS410" s="229">
        <f t="shared" si="1317"/>
        <v>0</v>
      </c>
      <c r="CT410" s="229">
        <f t="shared" si="1318"/>
        <v>0</v>
      </c>
      <c r="CU410" s="229">
        <f t="shared" si="1319"/>
        <v>169</v>
      </c>
      <c r="CV410" s="229">
        <f t="shared" si="1320"/>
        <v>0</v>
      </c>
      <c r="CW410" s="229">
        <f t="shared" si="1321"/>
        <v>0</v>
      </c>
      <c r="CX410" s="229">
        <f t="shared" si="1322"/>
        <v>0</v>
      </c>
      <c r="CY410" s="229">
        <f t="shared" si="1323"/>
        <v>0</v>
      </c>
      <c r="CZ410" s="229">
        <f t="shared" si="1324"/>
        <v>0</v>
      </c>
      <c r="DA410" s="229">
        <f t="shared" si="1325"/>
        <v>140</v>
      </c>
      <c r="DB410" s="228">
        <f t="shared" si="1260"/>
        <v>359.7</v>
      </c>
      <c r="DC410" s="229"/>
      <c r="DD410" s="229"/>
      <c r="DE410" s="229"/>
      <c r="DF410" s="229"/>
      <c r="DG410" s="229"/>
      <c r="DH410" s="229"/>
      <c r="DI410" s="229"/>
      <c r="DJ410" s="229"/>
      <c r="DK410" s="229"/>
      <c r="DL410" s="229"/>
      <c r="DM410" s="229"/>
      <c r="DN410" s="229"/>
      <c r="DO410" s="228">
        <f t="shared" si="1261"/>
        <v>0</v>
      </c>
      <c r="DP410" s="228">
        <f t="shared" si="1262"/>
        <v>359.7</v>
      </c>
      <c r="DQ410" s="229">
        <f t="shared" si="1326"/>
        <v>27</v>
      </c>
      <c r="DR410" s="229">
        <f t="shared" si="1327"/>
        <v>0.5</v>
      </c>
      <c r="DS410" s="229">
        <f t="shared" si="1328"/>
        <v>0</v>
      </c>
      <c r="DT410" s="229">
        <f t="shared" si="1329"/>
        <v>0.2</v>
      </c>
      <c r="DU410" s="229">
        <f t="shared" si="1330"/>
        <v>0</v>
      </c>
      <c r="DV410" s="229">
        <f t="shared" si="1331"/>
        <v>80</v>
      </c>
      <c r="DW410" s="229">
        <f t="shared" si="1332"/>
        <v>0</v>
      </c>
      <c r="DX410" s="228">
        <f t="shared" si="1263"/>
        <v>107.7</v>
      </c>
      <c r="DY410" s="229"/>
      <c r="DZ410" s="229"/>
      <c r="EA410" s="229"/>
      <c r="EB410" s="229"/>
      <c r="EC410" s="229"/>
      <c r="ED410" s="229"/>
      <c r="EE410" s="229"/>
      <c r="EF410" s="228">
        <f t="shared" si="1305"/>
        <v>0</v>
      </c>
      <c r="EG410" s="228">
        <f t="shared" si="1264"/>
        <v>107.7</v>
      </c>
      <c r="EH410" s="229">
        <f t="shared" si="1306"/>
        <v>33.33</v>
      </c>
      <c r="EI410" s="229">
        <v>87.55</v>
      </c>
      <c r="EJ410" s="228">
        <f t="shared" si="1280"/>
        <v>120.88</v>
      </c>
      <c r="EK410" s="229"/>
      <c r="EL410" s="229"/>
      <c r="EM410" s="228">
        <f t="shared" si="1336"/>
        <v>0</v>
      </c>
      <c r="EN410" s="229">
        <f t="shared" si="1273"/>
        <v>33.33</v>
      </c>
      <c r="EO410" s="229">
        <f t="shared" si="1302"/>
        <v>87.55</v>
      </c>
      <c r="EP410" s="228">
        <f t="shared" si="1339"/>
        <v>120.88</v>
      </c>
      <c r="EQ410" s="173">
        <f t="shared" si="1303"/>
        <v>0</v>
      </c>
      <c r="ER410" s="189">
        <v>0</v>
      </c>
      <c r="ES410" s="189">
        <v>34</v>
      </c>
      <c r="ET410" s="189">
        <v>16.7</v>
      </c>
      <c r="EU410" s="189">
        <v>0</v>
      </c>
      <c r="EV410" s="189">
        <v>0</v>
      </c>
      <c r="EW410" s="189">
        <v>169</v>
      </c>
      <c r="EX410" s="189">
        <v>0</v>
      </c>
      <c r="EY410" s="189">
        <v>0</v>
      </c>
      <c r="EZ410" s="189">
        <v>0</v>
      </c>
      <c r="FA410" s="189">
        <v>0</v>
      </c>
      <c r="FB410" s="189">
        <v>0</v>
      </c>
      <c r="FC410" s="189">
        <v>140</v>
      </c>
      <c r="FD410" s="189">
        <v>27</v>
      </c>
      <c r="FE410" s="189">
        <v>0.5</v>
      </c>
      <c r="FF410" s="189">
        <v>0</v>
      </c>
      <c r="FG410" s="189">
        <v>0.2</v>
      </c>
      <c r="FH410" s="189">
        <v>80</v>
      </c>
      <c r="FI410" s="189">
        <v>0</v>
      </c>
      <c r="FJ410" s="189">
        <v>0</v>
      </c>
      <c r="FK410" s="189">
        <v>467.4</v>
      </c>
      <c r="FL410" s="189">
        <v>386</v>
      </c>
      <c r="FN410" s="132">
        <v>33.33</v>
      </c>
    </row>
    <row r="411" spans="1:170" ht="30" customHeight="1">
      <c r="A411" s="88">
        <f>COUNTIF($H$12:H411,H411)</f>
        <v>18</v>
      </c>
      <c r="B411" s="88" t="s">
        <v>2693</v>
      </c>
      <c r="C411" s="88" t="s">
        <v>2863</v>
      </c>
      <c r="D411" s="88"/>
      <c r="E411" s="88"/>
      <c r="F411" s="301" t="s">
        <v>3117</v>
      </c>
      <c r="G411" s="89" t="s">
        <v>11</v>
      </c>
      <c r="H411" s="88">
        <v>8</v>
      </c>
      <c r="I411" s="88">
        <v>8</v>
      </c>
      <c r="J411" s="88">
        <v>8</v>
      </c>
      <c r="K411" s="90" t="s">
        <v>1099</v>
      </c>
      <c r="L411" s="90" t="s">
        <v>1099</v>
      </c>
      <c r="M411" s="214"/>
      <c r="N411" s="88" t="s">
        <v>1804</v>
      </c>
      <c r="O411" s="216">
        <f t="shared" si="1304"/>
        <v>3.33</v>
      </c>
      <c r="P411" s="88" t="str">
        <f t="shared" si="1333"/>
        <v>B1_4</v>
      </c>
      <c r="Q411" s="88">
        <f t="shared" si="1154"/>
        <v>270</v>
      </c>
      <c r="R411" s="88">
        <f t="shared" si="1155"/>
        <v>120</v>
      </c>
      <c r="S411" s="218" t="s">
        <v>2004</v>
      </c>
      <c r="T411" s="219" t="s">
        <v>3090</v>
      </c>
      <c r="U411" s="88">
        <f>IF(RIGHT(T411,1)="K",(VLOOKUP(T411,ma_miengiam!$A$3:$B$80,2,0)*100)/2,VLOOKUP(T411,ma_miengiam!$A$3:$B$80,2,0)*100)</f>
        <v>15</v>
      </c>
      <c r="V411" s="88"/>
      <c r="W411" s="220">
        <f>IF(AND(T411="NTS",V411&gt;0),(Q411-(Q411*V411)/12)*VLOOKUP(T411,ma_miengiam!$A$3:$B$80,2,0)+(Q411-(Q411*(12-V411))/12),IF(AND(RIGHT(T411,1)="K",V411&gt;0),(VLOOKUP(T411,ma_miengiam!$A$3:$B$80,2,0)/2)*(Q411*V411)/12,IF(RIGHT(T411,1)="K",(VLOOKUP(T411,ma_miengiam!$A$3:$B$80,2,0)*Q411)/2,IF(V411&gt;0,VLOOKUP(T411,ma_miengiam!$A$3:$B$80,2,0)*Q411*V411/12,VLOOKUP(T411,ma_miengiam!$A$3:$B$80,2,0)*Q411))))</f>
        <v>40.5</v>
      </c>
      <c r="X411" s="220">
        <f>IF(T411="NTS",VLOOKUP(T411,ma_miengiam!$A$3:$B$80,2,0)*R411*V411,IF(AND(T411="NTS",V411=0),0,IF(AND(LEFT(T411,1)="K",V411=0),VLOOKUP(T411,ma_miengiam!$A$3:$B$80,2,0)*R411,IF(LEFT(T411,1)="K",(VLOOKUP(T411,ma_miengiam!$A$3:$B$80,2,0)*R411/12)*V411,IF(AND(LEFT(T411,1)="S",V411&gt;0),(R411/12)*V411,IF(AND(LEFT(T411,1)="S",V411=0),R411,IF(T411="DH",VLOOKUP(T411,ma_miengiam!$A$3:$B$80,2,0)*R411,0)))))))</f>
        <v>0</v>
      </c>
      <c r="Y411" s="220">
        <f t="shared" si="1344"/>
        <v>229.5</v>
      </c>
      <c r="Z411" s="220">
        <f t="shared" si="1350"/>
        <v>120</v>
      </c>
      <c r="AA411" s="220">
        <f t="shared" si="1352"/>
        <v>270</v>
      </c>
      <c r="AB411" s="220">
        <f t="shared" si="1352"/>
        <v>120</v>
      </c>
      <c r="AC411" s="220">
        <f t="shared" si="1351"/>
        <v>40.5</v>
      </c>
      <c r="AD411" s="220">
        <f t="shared" si="1351"/>
        <v>0</v>
      </c>
      <c r="AE411" s="220">
        <f t="shared" si="1351"/>
        <v>229.5</v>
      </c>
      <c r="AF411" s="220">
        <f t="shared" si="1351"/>
        <v>120</v>
      </c>
      <c r="AG411" s="220">
        <f t="shared" si="1347"/>
        <v>274.90000000000003</v>
      </c>
      <c r="AH411" s="220">
        <f t="shared" si="1348"/>
        <v>61.57</v>
      </c>
      <c r="AI411" s="220">
        <f t="shared" si="1349"/>
        <v>213.33</v>
      </c>
      <c r="AJ411" s="220">
        <f t="shared" si="1190"/>
        <v>0</v>
      </c>
      <c r="AK411" s="216">
        <f t="shared" si="1266"/>
        <v>229.5</v>
      </c>
      <c r="AL411" s="220">
        <f t="shared" si="1251"/>
        <v>311.3</v>
      </c>
      <c r="AM411" s="220">
        <f t="shared" si="1252"/>
        <v>27.599999999999998</v>
      </c>
      <c r="AN411" s="221">
        <f t="shared" si="1253"/>
        <v>338.90000000000003</v>
      </c>
      <c r="AO411" s="220">
        <f t="shared" si="1254"/>
        <v>0</v>
      </c>
      <c r="AP411" s="220">
        <f t="shared" si="1255"/>
        <v>0</v>
      </c>
      <c r="AQ411" s="220">
        <f t="shared" si="1256"/>
        <v>100</v>
      </c>
      <c r="AR411" s="220">
        <f t="shared" si="1257"/>
        <v>0</v>
      </c>
      <c r="AS411" s="220">
        <f t="shared" si="1258"/>
        <v>0</v>
      </c>
      <c r="AT411" s="216">
        <f t="shared" si="1259"/>
        <v>438.90000000000003</v>
      </c>
      <c r="AU411" s="222">
        <f t="shared" si="1300"/>
        <v>109.40000000000003</v>
      </c>
      <c r="AV411" s="220"/>
      <c r="AW411" s="220">
        <f t="shared" si="1165"/>
        <v>109.40000000000003</v>
      </c>
      <c r="AX411" s="216">
        <f t="shared" si="1267"/>
        <v>0</v>
      </c>
      <c r="AY411" s="220">
        <f t="shared" si="1179"/>
        <v>0</v>
      </c>
      <c r="AZ411" s="220">
        <f t="shared" si="1180"/>
        <v>0</v>
      </c>
      <c r="BA411" s="220">
        <f t="shared" si="1181"/>
        <v>100</v>
      </c>
      <c r="BB411" s="220">
        <f t="shared" si="1182"/>
        <v>0</v>
      </c>
      <c r="BC411" s="220">
        <f t="shared" si="1183"/>
        <v>0</v>
      </c>
      <c r="BD411" s="216">
        <f t="shared" si="1195"/>
        <v>100</v>
      </c>
      <c r="BE411" s="220">
        <f t="shared" si="1166"/>
        <v>0</v>
      </c>
      <c r="BF411" s="220">
        <f t="shared" si="1167"/>
        <v>0</v>
      </c>
      <c r="BG411" s="220">
        <f t="shared" si="1168"/>
        <v>0</v>
      </c>
      <c r="BH411" s="220">
        <f t="shared" si="1169"/>
        <v>0</v>
      </c>
      <c r="BI411" s="220">
        <f t="shared" si="1170"/>
        <v>0</v>
      </c>
      <c r="BJ411" s="220" t="s">
        <v>2422</v>
      </c>
      <c r="BK411" s="220"/>
      <c r="BL411" s="223">
        <f t="shared" si="1201"/>
        <v>109.40000000000003</v>
      </c>
      <c r="BM411" s="220">
        <v>3.33</v>
      </c>
      <c r="BN411" s="220"/>
      <c r="BO411" s="220">
        <f>ROUND(BM411+(BM411*BN411),2)</f>
        <v>3.33</v>
      </c>
      <c r="BP411" s="220">
        <f>IF(AND(BL411&gt;0,BL411&lt;tiet!$D$1),BL411,IF(BL411&lt;=0,0,IF(BL411&gt;tiet!$C$1,tiet!$C$1)))</f>
        <v>109.40000000000003</v>
      </c>
      <c r="BQ411" s="87">
        <f t="shared" si="1191"/>
        <v>65000</v>
      </c>
      <c r="BR411" s="224">
        <f t="shared" si="1192"/>
        <v>7111000</v>
      </c>
      <c r="BS411" s="220">
        <f t="shared" si="1301"/>
        <v>0</v>
      </c>
      <c r="BT411" s="224">
        <f>VLOOKUP(N411,ma_dinhmuc!$A$1:$J$31,10,0)</f>
        <v>51000</v>
      </c>
      <c r="BU411" s="224">
        <f>ROUND(IF(BS411&gt;0,VLOOKUP(N411,ma_dinhmuc!$A$1:$J$31,10,0)*BS411,0),0)</f>
        <v>0</v>
      </c>
      <c r="BV411" s="224">
        <f t="shared" si="1193"/>
        <v>7111000</v>
      </c>
      <c r="BW411" s="224"/>
      <c r="BX411" s="224">
        <v>0</v>
      </c>
      <c r="BY411" s="224"/>
      <c r="BZ411" s="224"/>
      <c r="CA411" s="224"/>
      <c r="CB411" s="224"/>
      <c r="CC411" s="225">
        <f t="shared" si="1286"/>
        <v>7111000</v>
      </c>
      <c r="CD411" s="224">
        <f t="shared" si="1287"/>
        <v>0</v>
      </c>
      <c r="CE411" s="224"/>
      <c r="CF411" s="226"/>
      <c r="CG411" s="87"/>
      <c r="CH411" s="87">
        <f t="shared" si="1353"/>
        <v>18</v>
      </c>
      <c r="CI411" s="227" t="str">
        <f t="shared" si="1340"/>
        <v>Hoàng Thị Minh</v>
      </c>
      <c r="CJ411" s="227" t="str">
        <f t="shared" si="1341"/>
        <v>Nguyệt</v>
      </c>
      <c r="CK411" s="87">
        <f t="shared" si="1342"/>
        <v>8</v>
      </c>
      <c r="CL411" s="227" t="str">
        <f t="shared" si="1343"/>
        <v>Công nghệ Sau thu hoạch</v>
      </c>
      <c r="CM411" s="87" t="str">
        <f t="shared" si="1172"/>
        <v>CS2</v>
      </c>
      <c r="CN411" s="87">
        <f>Q411</f>
        <v>270</v>
      </c>
      <c r="CO411" s="87">
        <f>R411</f>
        <v>120</v>
      </c>
      <c r="CP411" s="229">
        <f t="shared" si="1314"/>
        <v>0</v>
      </c>
      <c r="CQ411" s="229">
        <f t="shared" si="1315"/>
        <v>26.5</v>
      </c>
      <c r="CR411" s="229">
        <f t="shared" si="1316"/>
        <v>7.8</v>
      </c>
      <c r="CS411" s="229">
        <f t="shared" si="1317"/>
        <v>0</v>
      </c>
      <c r="CT411" s="229">
        <f t="shared" si="1318"/>
        <v>0</v>
      </c>
      <c r="CU411" s="229">
        <f t="shared" si="1319"/>
        <v>133</v>
      </c>
      <c r="CV411" s="229">
        <f t="shared" si="1320"/>
        <v>0</v>
      </c>
      <c r="CW411" s="229">
        <f t="shared" si="1321"/>
        <v>144</v>
      </c>
      <c r="CX411" s="229">
        <f t="shared" si="1322"/>
        <v>0</v>
      </c>
      <c r="CY411" s="229">
        <f t="shared" si="1323"/>
        <v>0</v>
      </c>
      <c r="CZ411" s="229">
        <f t="shared" si="1324"/>
        <v>0</v>
      </c>
      <c r="DA411" s="229">
        <f t="shared" si="1325"/>
        <v>100</v>
      </c>
      <c r="DB411" s="228">
        <f t="shared" si="1260"/>
        <v>411.3</v>
      </c>
      <c r="DC411" s="229"/>
      <c r="DD411" s="229"/>
      <c r="DE411" s="229"/>
      <c r="DF411" s="229"/>
      <c r="DG411" s="229"/>
      <c r="DH411" s="229"/>
      <c r="DI411" s="229"/>
      <c r="DJ411" s="229"/>
      <c r="DK411" s="229"/>
      <c r="DL411" s="229"/>
      <c r="DM411" s="229"/>
      <c r="DN411" s="229"/>
      <c r="DO411" s="228">
        <f t="shared" si="1261"/>
        <v>0</v>
      </c>
      <c r="DP411" s="228">
        <f t="shared" si="1262"/>
        <v>411.3</v>
      </c>
      <c r="DQ411" s="229">
        <f t="shared" si="1326"/>
        <v>27</v>
      </c>
      <c r="DR411" s="229">
        <f t="shared" si="1327"/>
        <v>0.4</v>
      </c>
      <c r="DS411" s="229">
        <f t="shared" si="1328"/>
        <v>0</v>
      </c>
      <c r="DT411" s="229">
        <f t="shared" si="1329"/>
        <v>0.2</v>
      </c>
      <c r="DU411" s="229">
        <f t="shared" si="1330"/>
        <v>0</v>
      </c>
      <c r="DV411" s="229">
        <f t="shared" si="1331"/>
        <v>0</v>
      </c>
      <c r="DW411" s="229">
        <f t="shared" si="1332"/>
        <v>0</v>
      </c>
      <c r="DX411" s="228">
        <f t="shared" si="1263"/>
        <v>27.599999999999998</v>
      </c>
      <c r="DY411" s="229"/>
      <c r="DZ411" s="229"/>
      <c r="EA411" s="229"/>
      <c r="EB411" s="229"/>
      <c r="EC411" s="229"/>
      <c r="ED411" s="229"/>
      <c r="EE411" s="229"/>
      <c r="EF411" s="228">
        <f t="shared" si="1305"/>
        <v>0</v>
      </c>
      <c r="EG411" s="228">
        <f t="shared" si="1264"/>
        <v>27.599999999999998</v>
      </c>
      <c r="EH411" s="229">
        <f t="shared" si="1306"/>
        <v>213.33</v>
      </c>
      <c r="EI411" s="229">
        <v>61.57</v>
      </c>
      <c r="EJ411" s="228">
        <f t="shared" si="1280"/>
        <v>274.90000000000003</v>
      </c>
      <c r="EK411" s="229"/>
      <c r="EL411" s="229"/>
      <c r="EM411" s="228">
        <f>SUM(EK411:EL411)</f>
        <v>0</v>
      </c>
      <c r="EN411" s="229">
        <f t="shared" si="1273"/>
        <v>213.33</v>
      </c>
      <c r="EO411" s="229">
        <f t="shared" si="1302"/>
        <v>61.57</v>
      </c>
      <c r="EP411" s="228">
        <f t="shared" si="1339"/>
        <v>274.90000000000003</v>
      </c>
      <c r="EQ411" s="173">
        <f t="shared" si="1303"/>
        <v>93.330000000000013</v>
      </c>
      <c r="ER411" s="189">
        <v>0</v>
      </c>
      <c r="ES411" s="189">
        <v>26.5</v>
      </c>
      <c r="ET411" s="189">
        <v>7.8</v>
      </c>
      <c r="EU411" s="189">
        <v>0</v>
      </c>
      <c r="EV411" s="189">
        <v>0</v>
      </c>
      <c r="EW411" s="189">
        <v>133</v>
      </c>
      <c r="EX411" s="189">
        <v>0</v>
      </c>
      <c r="EY411" s="189">
        <v>144</v>
      </c>
      <c r="EZ411" s="189">
        <v>0</v>
      </c>
      <c r="FA411" s="189">
        <v>0</v>
      </c>
      <c r="FB411" s="189">
        <v>0</v>
      </c>
      <c r="FC411" s="189">
        <v>100</v>
      </c>
      <c r="FD411" s="189">
        <v>27</v>
      </c>
      <c r="FE411" s="189">
        <v>0.4</v>
      </c>
      <c r="FF411" s="189">
        <v>0</v>
      </c>
      <c r="FG411" s="189">
        <v>0.2</v>
      </c>
      <c r="FH411" s="189">
        <v>0</v>
      </c>
      <c r="FI411" s="189">
        <v>0</v>
      </c>
      <c r="FJ411" s="189">
        <v>0</v>
      </c>
      <c r="FK411" s="189">
        <v>438.9</v>
      </c>
      <c r="FL411" s="189">
        <v>403</v>
      </c>
      <c r="FN411" s="132">
        <v>213.33</v>
      </c>
    </row>
    <row r="412" spans="1:170" ht="30" customHeight="1">
      <c r="A412" s="88">
        <f>COUNTIF($H$12:H412,H412)</f>
        <v>19</v>
      </c>
      <c r="B412" s="88" t="s">
        <v>2694</v>
      </c>
      <c r="C412" s="88" t="s">
        <v>2864</v>
      </c>
      <c r="D412" s="88"/>
      <c r="E412" s="88"/>
      <c r="F412" s="301" t="s">
        <v>1139</v>
      </c>
      <c r="G412" s="89" t="s">
        <v>1600</v>
      </c>
      <c r="H412" s="88">
        <v>8</v>
      </c>
      <c r="I412" s="88">
        <v>8</v>
      </c>
      <c r="J412" s="88">
        <v>8</v>
      </c>
      <c r="K412" s="90" t="s">
        <v>1099</v>
      </c>
      <c r="L412" s="90" t="s">
        <v>1099</v>
      </c>
      <c r="M412" s="214"/>
      <c r="N412" s="88" t="s">
        <v>1804</v>
      </c>
      <c r="O412" s="216">
        <f t="shared" si="1304"/>
        <v>3</v>
      </c>
      <c r="P412" s="88" t="str">
        <f t="shared" si="1333"/>
        <v>B1_3</v>
      </c>
      <c r="Q412" s="88">
        <f t="shared" si="1154"/>
        <v>270</v>
      </c>
      <c r="R412" s="88">
        <f t="shared" si="1155"/>
        <v>100</v>
      </c>
      <c r="S412" s="218" t="s">
        <v>427</v>
      </c>
      <c r="T412" s="88" t="s">
        <v>2961</v>
      </c>
      <c r="U412" s="88">
        <f>IF(RIGHT(T412,1)="K",(VLOOKUP(T412,ma_miengiam!$A$3:$B$80,2,0)*100)/2,VLOOKUP(T412,ma_miengiam!$A$3:$B$80,2,0)*100)</f>
        <v>100</v>
      </c>
      <c r="V412" s="88"/>
      <c r="W412" s="220">
        <f>IF(AND(T412="NTS",V412&gt;0),(Q412-(Q412*V412)/12)*VLOOKUP(T412,ma_miengiam!$A$3:$B$80,2,0)+(Q412-(Q412*(12-V412))/12),IF(AND(RIGHT(T412,1)="K",V412&gt;0),(VLOOKUP(T412,ma_miengiam!$A$3:$B$80,2,0)/2)*(Q412*V412)/12,IF(RIGHT(T412,1)="K",(VLOOKUP(T412,ma_miengiam!$A$3:$B$80,2,0)*Q412)/2,IF(V412&gt;0,VLOOKUP(T412,ma_miengiam!$A$3:$B$80,2,0)*Q412*V412/12,VLOOKUP(T412,ma_miengiam!$A$3:$B$80,2,0)*Q412))))</f>
        <v>270</v>
      </c>
      <c r="X412" s="220">
        <f>IF(T412="NTS",VLOOKUP(T412,ma_miengiam!$A$3:$B$80,2,0)*R412*V412,IF(AND(T412="NTS",V412=0),0,IF(AND(LEFT(T412,1)="K",V412=0),VLOOKUP(T412,ma_miengiam!$A$3:$B$80,2,0)*R412,IF(LEFT(T412,1)="K",(VLOOKUP(T412,ma_miengiam!$A$3:$B$80,2,0)*R412/12)*V412,IF(AND(LEFT(T412,1)="S",V412&gt;0),(R412/12)*V412,IF(AND(LEFT(T412,1)="S",V412=0),R412,IF(T412="DH",VLOOKUP(T412,ma_miengiam!$A$3:$B$80,2,0)*R412,0)))))))</f>
        <v>100</v>
      </c>
      <c r="Y412" s="220">
        <f t="shared" si="1344"/>
        <v>0</v>
      </c>
      <c r="Z412" s="220">
        <f t="shared" si="1350"/>
        <v>0</v>
      </c>
      <c r="AA412" s="220">
        <f t="shared" si="1352"/>
        <v>270</v>
      </c>
      <c r="AB412" s="220">
        <f t="shared" si="1352"/>
        <v>100</v>
      </c>
      <c r="AC412" s="220">
        <f t="shared" ref="AC412:AF414" si="1355">W412</f>
        <v>270</v>
      </c>
      <c r="AD412" s="220">
        <f t="shared" si="1355"/>
        <v>100</v>
      </c>
      <c r="AE412" s="220">
        <f t="shared" si="1355"/>
        <v>0</v>
      </c>
      <c r="AF412" s="220">
        <f t="shared" si="1355"/>
        <v>0</v>
      </c>
      <c r="AG412" s="220">
        <f t="shared" si="1347"/>
        <v>0</v>
      </c>
      <c r="AH412" s="220">
        <f t="shared" si="1348"/>
        <v>0</v>
      </c>
      <c r="AI412" s="220">
        <f t="shared" si="1349"/>
        <v>0</v>
      </c>
      <c r="AJ412" s="220">
        <f t="shared" si="1190"/>
        <v>0</v>
      </c>
      <c r="AK412" s="216">
        <f t="shared" si="1266"/>
        <v>0</v>
      </c>
      <c r="AL412" s="220">
        <f t="shared" si="1251"/>
        <v>0</v>
      </c>
      <c r="AM412" s="220">
        <f t="shared" si="1252"/>
        <v>0</v>
      </c>
      <c r="AN412" s="221">
        <f t="shared" si="1253"/>
        <v>0</v>
      </c>
      <c r="AO412" s="220">
        <f t="shared" si="1254"/>
        <v>0</v>
      </c>
      <c r="AP412" s="220">
        <f t="shared" si="1255"/>
        <v>0</v>
      </c>
      <c r="AQ412" s="220">
        <f t="shared" si="1256"/>
        <v>0</v>
      </c>
      <c r="AR412" s="220">
        <f t="shared" si="1257"/>
        <v>0</v>
      </c>
      <c r="AS412" s="220">
        <f t="shared" si="1258"/>
        <v>0</v>
      </c>
      <c r="AT412" s="216">
        <f t="shared" si="1259"/>
        <v>0</v>
      </c>
      <c r="AU412" s="220">
        <f t="shared" si="1300"/>
        <v>0</v>
      </c>
      <c r="AV412" s="220"/>
      <c r="AW412" s="220">
        <f t="shared" si="1165"/>
        <v>0</v>
      </c>
      <c r="AX412" s="216">
        <f t="shared" si="1267"/>
        <v>0</v>
      </c>
      <c r="AY412" s="220">
        <f t="shared" si="1179"/>
        <v>0</v>
      </c>
      <c r="AZ412" s="220">
        <f t="shared" si="1180"/>
        <v>0</v>
      </c>
      <c r="BA412" s="220">
        <f t="shared" si="1181"/>
        <v>0</v>
      </c>
      <c r="BB412" s="220">
        <f t="shared" si="1182"/>
        <v>0</v>
      </c>
      <c r="BC412" s="220">
        <f t="shared" si="1183"/>
        <v>0</v>
      </c>
      <c r="BD412" s="216">
        <f t="shared" si="1195"/>
        <v>0</v>
      </c>
      <c r="BE412" s="220">
        <f t="shared" si="1166"/>
        <v>0</v>
      </c>
      <c r="BF412" s="220">
        <f t="shared" si="1167"/>
        <v>0</v>
      </c>
      <c r="BG412" s="220">
        <f t="shared" si="1168"/>
        <v>0</v>
      </c>
      <c r="BH412" s="220">
        <f t="shared" si="1169"/>
        <v>0</v>
      </c>
      <c r="BI412" s="220">
        <f t="shared" si="1170"/>
        <v>0</v>
      </c>
      <c r="BJ412" s="220" t="s">
        <v>2422</v>
      </c>
      <c r="BK412" s="220"/>
      <c r="BL412" s="223">
        <f t="shared" si="1201"/>
        <v>0</v>
      </c>
      <c r="BM412" s="220">
        <v>3</v>
      </c>
      <c r="BN412" s="220"/>
      <c r="BO412" s="220">
        <f>ROUND(BM412+(BM412*BN412),2)</f>
        <v>3</v>
      </c>
      <c r="BP412" s="220">
        <f>IF(AND(BL412&gt;0,BL412&lt;tiet!$D$1),BL412,IF(BL412&lt;=0,0,IF(BL412&gt;tiet!$C$1,tiet!$C$1)))</f>
        <v>0</v>
      </c>
      <c r="BQ412" s="87">
        <f t="shared" si="1191"/>
        <v>60000</v>
      </c>
      <c r="BR412" s="224">
        <f t="shared" si="1192"/>
        <v>0</v>
      </c>
      <c r="BS412" s="220">
        <f t="shared" si="1301"/>
        <v>0</v>
      </c>
      <c r="BT412" s="224">
        <f>VLOOKUP(N412,ma_dinhmuc!$A$1:$J$31,10,0)</f>
        <v>51000</v>
      </c>
      <c r="BU412" s="224">
        <f>ROUND(IF(BS412&gt;0,VLOOKUP(N412,ma_dinhmuc!$A$1:$J$31,10,0)*BS412,0),0)</f>
        <v>0</v>
      </c>
      <c r="BV412" s="224">
        <f t="shared" si="1193"/>
        <v>0</v>
      </c>
      <c r="BW412" s="224"/>
      <c r="BX412" s="224">
        <v>1722000</v>
      </c>
      <c r="BY412" s="224"/>
      <c r="BZ412" s="224"/>
      <c r="CA412" s="224"/>
      <c r="CB412" s="224"/>
      <c r="CC412" s="225">
        <f t="shared" si="1286"/>
        <v>0</v>
      </c>
      <c r="CD412" s="224">
        <f t="shared" si="1287"/>
        <v>1722000</v>
      </c>
      <c r="CE412" s="224"/>
      <c r="CF412" s="226"/>
      <c r="CG412" s="87"/>
      <c r="CH412" s="87">
        <f t="shared" si="1353"/>
        <v>19</v>
      </c>
      <c r="CI412" s="227" t="str">
        <f t="shared" si="1340"/>
        <v>Nguyễn Thị</v>
      </c>
      <c r="CJ412" s="227" t="str">
        <f t="shared" si="1341"/>
        <v>Hạnh</v>
      </c>
      <c r="CK412" s="87">
        <f t="shared" si="1342"/>
        <v>8</v>
      </c>
      <c r="CL412" s="227" t="str">
        <f t="shared" si="1343"/>
        <v>Công nghệ Sau thu hoạch</v>
      </c>
      <c r="CM412" s="87" t="str">
        <f t="shared" si="1172"/>
        <v>CS2</v>
      </c>
      <c r="CN412" s="87">
        <f>Q412</f>
        <v>270</v>
      </c>
      <c r="CO412" s="87">
        <f>R412</f>
        <v>100</v>
      </c>
      <c r="CP412" s="229">
        <f t="shared" si="1314"/>
        <v>0</v>
      </c>
      <c r="CQ412" s="229">
        <f t="shared" si="1315"/>
        <v>0</v>
      </c>
      <c r="CR412" s="229">
        <f t="shared" si="1316"/>
        <v>0</v>
      </c>
      <c r="CS412" s="229">
        <f t="shared" si="1317"/>
        <v>0</v>
      </c>
      <c r="CT412" s="229">
        <f t="shared" si="1318"/>
        <v>0</v>
      </c>
      <c r="CU412" s="229">
        <f t="shared" si="1319"/>
        <v>0</v>
      </c>
      <c r="CV412" s="229">
        <f t="shared" si="1320"/>
        <v>0</v>
      </c>
      <c r="CW412" s="229">
        <f t="shared" si="1321"/>
        <v>0</v>
      </c>
      <c r="CX412" s="229">
        <f t="shared" si="1322"/>
        <v>0</v>
      </c>
      <c r="CY412" s="229">
        <f t="shared" si="1323"/>
        <v>0</v>
      </c>
      <c r="CZ412" s="229">
        <f t="shared" si="1324"/>
        <v>0</v>
      </c>
      <c r="DA412" s="229">
        <f t="shared" si="1325"/>
        <v>0</v>
      </c>
      <c r="DB412" s="228">
        <f t="shared" si="1260"/>
        <v>0</v>
      </c>
      <c r="DC412" s="229"/>
      <c r="DD412" s="229"/>
      <c r="DE412" s="229"/>
      <c r="DF412" s="229"/>
      <c r="DG412" s="229"/>
      <c r="DH412" s="229"/>
      <c r="DI412" s="229"/>
      <c r="DJ412" s="229"/>
      <c r="DK412" s="229"/>
      <c r="DL412" s="229"/>
      <c r="DM412" s="229"/>
      <c r="DN412" s="229"/>
      <c r="DO412" s="228">
        <f t="shared" si="1261"/>
        <v>0</v>
      </c>
      <c r="DP412" s="228">
        <f t="shared" si="1262"/>
        <v>0</v>
      </c>
      <c r="DQ412" s="229">
        <f t="shared" si="1326"/>
        <v>0</v>
      </c>
      <c r="DR412" s="229">
        <f t="shared" si="1327"/>
        <v>0</v>
      </c>
      <c r="DS412" s="229">
        <f t="shared" si="1328"/>
        <v>0</v>
      </c>
      <c r="DT412" s="229">
        <f t="shared" si="1329"/>
        <v>0</v>
      </c>
      <c r="DU412" s="229">
        <f t="shared" si="1330"/>
        <v>0</v>
      </c>
      <c r="DV412" s="229">
        <f t="shared" si="1331"/>
        <v>0</v>
      </c>
      <c r="DW412" s="229">
        <f t="shared" si="1332"/>
        <v>0</v>
      </c>
      <c r="DX412" s="228">
        <f t="shared" si="1263"/>
        <v>0</v>
      </c>
      <c r="DY412" s="229"/>
      <c r="DZ412" s="229"/>
      <c r="EA412" s="229"/>
      <c r="EB412" s="229"/>
      <c r="EC412" s="229"/>
      <c r="ED412" s="229"/>
      <c r="EE412" s="229"/>
      <c r="EF412" s="228">
        <f t="shared" si="1305"/>
        <v>0</v>
      </c>
      <c r="EG412" s="228">
        <f t="shared" si="1264"/>
        <v>0</v>
      </c>
      <c r="EH412" s="229">
        <f t="shared" si="1306"/>
        <v>0</v>
      </c>
      <c r="EI412" s="229">
        <v>0</v>
      </c>
      <c r="EJ412" s="228">
        <f t="shared" si="1280"/>
        <v>0</v>
      </c>
      <c r="EK412" s="229"/>
      <c r="EL412" s="229"/>
      <c r="EM412" s="228">
        <f>SUM(EK412:EL412)</f>
        <v>0</v>
      </c>
      <c r="EN412" s="229">
        <f t="shared" si="1273"/>
        <v>0</v>
      </c>
      <c r="EO412" s="229">
        <f t="shared" si="1302"/>
        <v>0</v>
      </c>
      <c r="EP412" s="228">
        <f t="shared" si="1339"/>
        <v>0</v>
      </c>
      <c r="EQ412" s="173">
        <f t="shared" si="1303"/>
        <v>0</v>
      </c>
      <c r="ER412" s="189">
        <v>0</v>
      </c>
      <c r="ES412" s="189">
        <v>0</v>
      </c>
      <c r="ET412" s="189">
        <v>0</v>
      </c>
      <c r="EU412" s="189">
        <v>0</v>
      </c>
      <c r="EV412" s="189">
        <v>0</v>
      </c>
      <c r="EW412" s="189">
        <v>0</v>
      </c>
      <c r="EX412" s="189">
        <v>0</v>
      </c>
      <c r="EY412" s="189">
        <v>0</v>
      </c>
      <c r="EZ412" s="189">
        <v>0</v>
      </c>
      <c r="FA412" s="189">
        <v>0</v>
      </c>
      <c r="FB412" s="189">
        <v>0</v>
      </c>
      <c r="FC412" s="189">
        <v>0</v>
      </c>
      <c r="FD412" s="189">
        <v>0</v>
      </c>
      <c r="FE412" s="189">
        <v>0</v>
      </c>
      <c r="FF412" s="189">
        <v>0</v>
      </c>
      <c r="FG412" s="189">
        <v>0</v>
      </c>
      <c r="FH412" s="189">
        <v>0</v>
      </c>
      <c r="FI412" s="189">
        <v>0</v>
      </c>
      <c r="FJ412" s="189">
        <v>0</v>
      </c>
      <c r="FK412" s="189">
        <v>0</v>
      </c>
      <c r="FL412" s="189">
        <v>0</v>
      </c>
      <c r="FN412" s="132">
        <v>0</v>
      </c>
    </row>
    <row r="413" spans="1:170" ht="27.75" customHeight="1">
      <c r="A413" s="88">
        <f>COUNTIF($H$12:H413,H413)</f>
        <v>20</v>
      </c>
      <c r="B413" s="88" t="s">
        <v>2695</v>
      </c>
      <c r="C413" s="88" t="s">
        <v>2865</v>
      </c>
      <c r="D413" s="88"/>
      <c r="E413" s="88"/>
      <c r="F413" s="301" t="s">
        <v>2780</v>
      </c>
      <c r="G413" s="303" t="s">
        <v>2085</v>
      </c>
      <c r="H413" s="88">
        <v>8</v>
      </c>
      <c r="I413" s="88">
        <v>8</v>
      </c>
      <c r="J413" s="88">
        <v>8</v>
      </c>
      <c r="K413" s="90" t="s">
        <v>1099</v>
      </c>
      <c r="L413" s="90" t="s">
        <v>1099</v>
      </c>
      <c r="M413" s="214"/>
      <c r="N413" s="88" t="s">
        <v>1804</v>
      </c>
      <c r="O413" s="216">
        <f t="shared" si="1304"/>
        <v>4.32</v>
      </c>
      <c r="P413" s="88" t="str">
        <f t="shared" si="1333"/>
        <v>B1_4</v>
      </c>
      <c r="Q413" s="88">
        <f t="shared" si="1154"/>
        <v>270</v>
      </c>
      <c r="R413" s="88">
        <f t="shared" si="1155"/>
        <v>120</v>
      </c>
      <c r="S413" s="230" t="s">
        <v>689</v>
      </c>
      <c r="T413" s="88" t="s">
        <v>3090</v>
      </c>
      <c r="U413" s="88">
        <f>IF(RIGHT(T413,1)="K",(VLOOKUP(T413,ma_miengiam!$A$3:$B$80,2,0)*100)/2,VLOOKUP(T413,ma_miengiam!$A$3:$B$80,2,0)*100)</f>
        <v>15</v>
      </c>
      <c r="V413" s="88"/>
      <c r="W413" s="220">
        <f>IF(AND(T413="NTS",V413&gt;0),(Q413-(Q413*V413)/12)*VLOOKUP(T413,ma_miengiam!$A$3:$B$80,2,0)+(Q413-(Q413*(12-V413))/12),IF(AND(RIGHT(T413,1)="K",V413&gt;0),(VLOOKUP(T413,ma_miengiam!$A$3:$B$80,2,0)/2)*(Q413*V413)/12,IF(RIGHT(T413,1)="K",(VLOOKUP(T413,ma_miengiam!$A$3:$B$80,2,0)*Q413)/2,IF(V413&gt;0,VLOOKUP(T413,ma_miengiam!$A$3:$B$80,2,0)*Q413*V413/12,VLOOKUP(T413,ma_miengiam!$A$3:$B$80,2,0)*Q413))))</f>
        <v>40.5</v>
      </c>
      <c r="X413" s="220">
        <f>IF(T413="NTS",VLOOKUP(T413,ma_miengiam!$A$3:$B$80,2,0)*R413*V413,IF(AND(T413="NTS",V413=0),0,IF(AND(LEFT(T413,1)="K",V413=0),VLOOKUP(T413,ma_miengiam!$A$3:$B$80,2,0)*R413,IF(LEFT(T413,1)="K",(VLOOKUP(T413,ma_miengiam!$A$3:$B$80,2,0)*R413/12)*V413,IF(AND(LEFT(T413,1)="S",V413&gt;0),(R413/12)*V413,IF(AND(LEFT(T413,1)="S",V413=0),R413,IF(T413="DH",VLOOKUP(T413,ma_miengiam!$A$3:$B$80,2,0)*R413,0)))))))</f>
        <v>0</v>
      </c>
      <c r="Y413" s="220">
        <f t="shared" si="1344"/>
        <v>229.5</v>
      </c>
      <c r="Z413" s="220">
        <f t="shared" si="1350"/>
        <v>120</v>
      </c>
      <c r="AA413" s="220">
        <f t="shared" si="1352"/>
        <v>270</v>
      </c>
      <c r="AB413" s="220">
        <f t="shared" si="1352"/>
        <v>120</v>
      </c>
      <c r="AC413" s="220">
        <f t="shared" si="1355"/>
        <v>40.5</v>
      </c>
      <c r="AD413" s="220">
        <f t="shared" si="1355"/>
        <v>0</v>
      </c>
      <c r="AE413" s="220">
        <f t="shared" si="1355"/>
        <v>229.5</v>
      </c>
      <c r="AF413" s="220">
        <f t="shared" si="1355"/>
        <v>120</v>
      </c>
      <c r="AG413" s="220">
        <f t="shared" si="1347"/>
        <v>156.05000000000001</v>
      </c>
      <c r="AH413" s="220">
        <f t="shared" si="1348"/>
        <v>1.7600000000000051</v>
      </c>
      <c r="AI413" s="220">
        <f t="shared" si="1349"/>
        <v>154.29</v>
      </c>
      <c r="AJ413" s="220">
        <f t="shared" si="1190"/>
        <v>0</v>
      </c>
      <c r="AK413" s="216">
        <f t="shared" si="1266"/>
        <v>229.5</v>
      </c>
      <c r="AL413" s="220">
        <f t="shared" si="1251"/>
        <v>358.4</v>
      </c>
      <c r="AM413" s="220">
        <f t="shared" si="1252"/>
        <v>0</v>
      </c>
      <c r="AN413" s="221">
        <f t="shared" si="1253"/>
        <v>358.4</v>
      </c>
      <c r="AO413" s="220">
        <f t="shared" si="1254"/>
        <v>0</v>
      </c>
      <c r="AP413" s="220">
        <f t="shared" si="1255"/>
        <v>0</v>
      </c>
      <c r="AQ413" s="220">
        <f t="shared" si="1256"/>
        <v>160</v>
      </c>
      <c r="AR413" s="220">
        <f t="shared" si="1257"/>
        <v>40</v>
      </c>
      <c r="AS413" s="220">
        <f t="shared" si="1258"/>
        <v>0</v>
      </c>
      <c r="AT413" s="216">
        <f t="shared" si="1259"/>
        <v>558.4</v>
      </c>
      <c r="AU413" s="222">
        <f t="shared" si="1300"/>
        <v>128.89999999999998</v>
      </c>
      <c r="AV413" s="220"/>
      <c r="AW413" s="220">
        <f t="shared" si="1165"/>
        <v>128.89999999999998</v>
      </c>
      <c r="AX413" s="216">
        <f t="shared" si="1267"/>
        <v>0</v>
      </c>
      <c r="AY413" s="220">
        <f t="shared" si="1179"/>
        <v>0</v>
      </c>
      <c r="AZ413" s="220">
        <f t="shared" si="1180"/>
        <v>0</v>
      </c>
      <c r="BA413" s="220">
        <f t="shared" si="1181"/>
        <v>160</v>
      </c>
      <c r="BB413" s="220">
        <f t="shared" si="1182"/>
        <v>40</v>
      </c>
      <c r="BC413" s="220">
        <f t="shared" si="1183"/>
        <v>0</v>
      </c>
      <c r="BD413" s="216">
        <f t="shared" si="1195"/>
        <v>200</v>
      </c>
      <c r="BE413" s="220">
        <f t="shared" si="1166"/>
        <v>0</v>
      </c>
      <c r="BF413" s="220">
        <f t="shared" si="1167"/>
        <v>0</v>
      </c>
      <c r="BG413" s="220">
        <f t="shared" si="1168"/>
        <v>0</v>
      </c>
      <c r="BH413" s="220">
        <f t="shared" si="1169"/>
        <v>0</v>
      </c>
      <c r="BI413" s="220">
        <f t="shared" si="1170"/>
        <v>0</v>
      </c>
      <c r="BJ413" s="220" t="s">
        <v>2557</v>
      </c>
      <c r="BK413" s="220"/>
      <c r="BL413" s="223">
        <f t="shared" si="1201"/>
        <v>128.89999999999998</v>
      </c>
      <c r="BM413" s="220">
        <v>4.32</v>
      </c>
      <c r="BN413" s="220"/>
      <c r="BO413" s="220">
        <f t="shared" si="1294"/>
        <v>4.32</v>
      </c>
      <c r="BP413" s="220">
        <f>IF(AND(BL413&gt;0,BL413&lt;tiet!$D$1),BL413,IF(BL413&lt;=0,0,IF(BL413&gt;tiet!$C$1,tiet!$C$1)))</f>
        <v>128.89999999999998</v>
      </c>
      <c r="BQ413" s="87">
        <f t="shared" si="1191"/>
        <v>65000</v>
      </c>
      <c r="BR413" s="224">
        <f t="shared" si="1192"/>
        <v>8378500</v>
      </c>
      <c r="BS413" s="220">
        <f t="shared" si="1301"/>
        <v>0</v>
      </c>
      <c r="BT413" s="224">
        <f>VLOOKUP(N413,ma_dinhmuc!$A$1:$J$31,10,0)</f>
        <v>51000</v>
      </c>
      <c r="BU413" s="224">
        <f>ROUND(IF(BS413&gt;0,VLOOKUP(N413,ma_dinhmuc!$A$1:$J$31,10,0)*BS413,0),0)</f>
        <v>0</v>
      </c>
      <c r="BV413" s="224">
        <f t="shared" si="1193"/>
        <v>8378500</v>
      </c>
      <c r="BW413" s="224"/>
      <c r="BX413" s="224">
        <v>0</v>
      </c>
      <c r="BY413" s="224"/>
      <c r="BZ413" s="224"/>
      <c r="CA413" s="224"/>
      <c r="CB413" s="224"/>
      <c r="CC413" s="225">
        <f t="shared" si="1286"/>
        <v>8378500</v>
      </c>
      <c r="CD413" s="224">
        <f t="shared" si="1287"/>
        <v>0</v>
      </c>
      <c r="CE413" s="224"/>
      <c r="CF413" s="226"/>
      <c r="CG413" s="87"/>
      <c r="CH413" s="87">
        <f t="shared" si="1353"/>
        <v>20</v>
      </c>
      <c r="CI413" s="227" t="str">
        <f t="shared" si="1340"/>
        <v>Vũ Thị Kim</v>
      </c>
      <c r="CJ413" s="227" t="str">
        <f t="shared" si="1341"/>
        <v>Oanh</v>
      </c>
      <c r="CK413" s="87">
        <f t="shared" si="1342"/>
        <v>8</v>
      </c>
      <c r="CL413" s="227" t="str">
        <f t="shared" si="1343"/>
        <v>Công nghệ Sau thu hoạch</v>
      </c>
      <c r="CM413" s="87" t="str">
        <f t="shared" si="1172"/>
        <v>CS2</v>
      </c>
      <c r="CN413" s="87">
        <f t="shared" si="1354"/>
        <v>270</v>
      </c>
      <c r="CO413" s="87">
        <f t="shared" si="1354"/>
        <v>120</v>
      </c>
      <c r="CP413" s="229">
        <f t="shared" si="1314"/>
        <v>0</v>
      </c>
      <c r="CQ413" s="229">
        <f t="shared" si="1315"/>
        <v>36.9</v>
      </c>
      <c r="CR413" s="229">
        <f t="shared" si="1316"/>
        <v>14.9</v>
      </c>
      <c r="CS413" s="229">
        <f t="shared" si="1317"/>
        <v>51.6</v>
      </c>
      <c r="CT413" s="229">
        <f t="shared" si="1318"/>
        <v>0</v>
      </c>
      <c r="CU413" s="229">
        <f t="shared" si="1319"/>
        <v>155</v>
      </c>
      <c r="CV413" s="229">
        <f t="shared" si="1320"/>
        <v>0</v>
      </c>
      <c r="CW413" s="229">
        <f t="shared" si="1321"/>
        <v>100</v>
      </c>
      <c r="CX413" s="229">
        <f t="shared" si="1322"/>
        <v>0</v>
      </c>
      <c r="CY413" s="229">
        <f t="shared" si="1323"/>
        <v>0</v>
      </c>
      <c r="CZ413" s="229">
        <f t="shared" si="1324"/>
        <v>0</v>
      </c>
      <c r="DA413" s="229">
        <f t="shared" si="1325"/>
        <v>160</v>
      </c>
      <c r="DB413" s="228">
        <f t="shared" si="1260"/>
        <v>518.4</v>
      </c>
      <c r="DC413" s="229"/>
      <c r="DD413" s="229"/>
      <c r="DE413" s="229"/>
      <c r="DF413" s="229"/>
      <c r="DG413" s="229"/>
      <c r="DH413" s="229"/>
      <c r="DI413" s="229"/>
      <c r="DJ413" s="229"/>
      <c r="DK413" s="229"/>
      <c r="DL413" s="229"/>
      <c r="DM413" s="229"/>
      <c r="DN413" s="229"/>
      <c r="DO413" s="228">
        <f t="shared" si="1261"/>
        <v>0</v>
      </c>
      <c r="DP413" s="228">
        <f t="shared" si="1262"/>
        <v>518.4</v>
      </c>
      <c r="DQ413" s="229">
        <f t="shared" si="1326"/>
        <v>0</v>
      </c>
      <c r="DR413" s="229">
        <f t="shared" si="1327"/>
        <v>0</v>
      </c>
      <c r="DS413" s="229">
        <f t="shared" si="1328"/>
        <v>0</v>
      </c>
      <c r="DT413" s="229">
        <f t="shared" si="1329"/>
        <v>0</v>
      </c>
      <c r="DU413" s="229">
        <f t="shared" si="1330"/>
        <v>0</v>
      </c>
      <c r="DV413" s="229">
        <f t="shared" si="1331"/>
        <v>40</v>
      </c>
      <c r="DW413" s="229">
        <f t="shared" si="1332"/>
        <v>0</v>
      </c>
      <c r="DX413" s="228">
        <f t="shared" si="1263"/>
        <v>40</v>
      </c>
      <c r="DY413" s="229"/>
      <c r="DZ413" s="229"/>
      <c r="EA413" s="229"/>
      <c r="EB413" s="229"/>
      <c r="EC413" s="229"/>
      <c r="ED413" s="229"/>
      <c r="EE413" s="229"/>
      <c r="EF413" s="228">
        <f t="shared" si="1305"/>
        <v>0</v>
      </c>
      <c r="EG413" s="228">
        <f t="shared" si="1264"/>
        <v>40</v>
      </c>
      <c r="EH413" s="229">
        <f t="shared" si="1306"/>
        <v>154.29</v>
      </c>
      <c r="EI413" s="229">
        <v>1.7600000000000051</v>
      </c>
      <c r="EJ413" s="228">
        <f t="shared" si="1280"/>
        <v>156.05000000000001</v>
      </c>
      <c r="EK413" s="229"/>
      <c r="EL413" s="229"/>
      <c r="EM413" s="228">
        <f t="shared" si="1336"/>
        <v>0</v>
      </c>
      <c r="EN413" s="229">
        <f t="shared" si="1273"/>
        <v>154.29</v>
      </c>
      <c r="EO413" s="229">
        <f t="shared" si="1302"/>
        <v>1.7600000000000051</v>
      </c>
      <c r="EP413" s="228">
        <f t="shared" si="1339"/>
        <v>156.05000000000001</v>
      </c>
      <c r="EQ413" s="173">
        <f t="shared" si="1303"/>
        <v>34.289999999999992</v>
      </c>
      <c r="ER413" s="189">
        <v>0</v>
      </c>
      <c r="ES413" s="189">
        <v>36.9</v>
      </c>
      <c r="ET413" s="189">
        <v>14.9</v>
      </c>
      <c r="EU413" s="189">
        <v>51.6</v>
      </c>
      <c r="EV413" s="189">
        <v>0</v>
      </c>
      <c r="EW413" s="189">
        <v>155</v>
      </c>
      <c r="EX413" s="189">
        <v>0</v>
      </c>
      <c r="EY413" s="189">
        <v>100</v>
      </c>
      <c r="EZ413" s="189">
        <v>0</v>
      </c>
      <c r="FA413" s="189">
        <v>0</v>
      </c>
      <c r="FB413" s="189">
        <v>0</v>
      </c>
      <c r="FC413" s="189">
        <v>160</v>
      </c>
      <c r="FD413" s="189">
        <v>0</v>
      </c>
      <c r="FE413" s="189">
        <v>0</v>
      </c>
      <c r="FF413" s="189">
        <v>0</v>
      </c>
      <c r="FG413" s="189">
        <v>0</v>
      </c>
      <c r="FH413" s="189">
        <v>40</v>
      </c>
      <c r="FI413" s="189">
        <v>0</v>
      </c>
      <c r="FJ413" s="189">
        <v>0</v>
      </c>
      <c r="FK413" s="189">
        <v>558.4</v>
      </c>
      <c r="FL413" s="189">
        <v>514.6</v>
      </c>
      <c r="FN413" s="132">
        <v>154.29</v>
      </c>
    </row>
    <row r="414" spans="1:170" ht="30.75" customHeight="1">
      <c r="A414" s="88">
        <f>COUNTIF($H$12:H414,H414)</f>
        <v>21</v>
      </c>
      <c r="B414" s="88" t="s">
        <v>2696</v>
      </c>
      <c r="C414" s="88" t="s">
        <v>2866</v>
      </c>
      <c r="D414" s="88"/>
      <c r="E414" s="88"/>
      <c r="F414" s="301" t="s">
        <v>2190</v>
      </c>
      <c r="G414" s="89" t="s">
        <v>2781</v>
      </c>
      <c r="H414" s="88">
        <v>8</v>
      </c>
      <c r="I414" s="88">
        <v>8</v>
      </c>
      <c r="J414" s="88">
        <v>8</v>
      </c>
      <c r="K414" s="90" t="s">
        <v>1099</v>
      </c>
      <c r="L414" s="90" t="s">
        <v>1099</v>
      </c>
      <c r="M414" s="214"/>
      <c r="N414" s="88" t="s">
        <v>1804</v>
      </c>
      <c r="O414" s="216">
        <f t="shared" si="1304"/>
        <v>3</v>
      </c>
      <c r="P414" s="88" t="str">
        <f t="shared" si="1333"/>
        <v>B1_3</v>
      </c>
      <c r="Q414" s="88">
        <f t="shared" si="1154"/>
        <v>270</v>
      </c>
      <c r="R414" s="88">
        <f t="shared" si="1155"/>
        <v>100</v>
      </c>
      <c r="S414" s="233" t="s">
        <v>2669</v>
      </c>
      <c r="T414" s="88" t="s">
        <v>3088</v>
      </c>
      <c r="U414" s="88">
        <f>IF(RIGHT(T414,1)="K",(VLOOKUP(T414,ma_miengiam!$A$3:$B$80,2,0)*100)/2,VLOOKUP(T414,ma_miengiam!$A$3:$B$80,2,0)*100)</f>
        <v>0</v>
      </c>
      <c r="V414" s="88">
        <v>5</v>
      </c>
      <c r="W414" s="220">
        <f>IF(AND(T414="NTS",V414&gt;0),(Q414-(Q414*V414)/12)*VLOOKUP(T414,ma_miengiam!$A$3:$B$80,2,0)+(Q414-(Q414*(12-V414))/12),IF(AND(RIGHT(T414,1)="K",V414&gt;0),(VLOOKUP(T414,ma_miengiam!$A$3:$B$80,2,0)/2)*(Q414*V414)/12,IF(RIGHT(T414,1)="K",(VLOOKUP(T414,ma_miengiam!$A$3:$B$80,2,0)*Q414)/2,IF(V414&gt;0,VLOOKUP(T414,ma_miengiam!$A$3:$B$80,2,0)*Q414*V414/12,VLOOKUP(T414,ma_miengiam!$A$3:$B$80,2,0)*Q414))))</f>
        <v>0</v>
      </c>
      <c r="X414" s="220">
        <f>IF(T414="NTS",VLOOKUP(T414,ma_miengiam!$A$3:$B$80,2,0)*R414*V414,IF(AND(T414="NTS",V414=0),0,IF(AND(LEFT(T414,1)="K",V414=0),VLOOKUP(T414,ma_miengiam!$A$3:$B$80,2,0)*R414,IF(LEFT(T414,1)="K",(VLOOKUP(T414,ma_miengiam!$A$3:$B$80,2,0)*R414/12)*V414,IF(AND(LEFT(T414,1)="S",V414&gt;0),(R414/12)*V414,IF(AND(LEFT(T414,1)="S",V414=0),R414,IF(T414="DH",VLOOKUP(T414,ma_miengiam!$A$3:$B$80,2,0)*R414,0)))))))</f>
        <v>0</v>
      </c>
      <c r="Y414" s="220">
        <f t="shared" si="1344"/>
        <v>112.5</v>
      </c>
      <c r="Z414" s="220">
        <f t="shared" si="1350"/>
        <v>41.666666666666664</v>
      </c>
      <c r="AA414" s="220">
        <f t="shared" si="1352"/>
        <v>270</v>
      </c>
      <c r="AB414" s="220">
        <f t="shared" si="1352"/>
        <v>100</v>
      </c>
      <c r="AC414" s="220">
        <f t="shared" si="1355"/>
        <v>0</v>
      </c>
      <c r="AD414" s="220">
        <f t="shared" si="1355"/>
        <v>0</v>
      </c>
      <c r="AE414" s="220">
        <f t="shared" si="1355"/>
        <v>112.5</v>
      </c>
      <c r="AF414" s="220">
        <f t="shared" si="1355"/>
        <v>41.666666666666664</v>
      </c>
      <c r="AG414" s="220">
        <f t="shared" si="1347"/>
        <v>103.75</v>
      </c>
      <c r="AH414" s="220">
        <f t="shared" si="1348"/>
        <v>0</v>
      </c>
      <c r="AI414" s="220">
        <f t="shared" si="1349"/>
        <v>103.75</v>
      </c>
      <c r="AJ414" s="220">
        <f t="shared" si="1190"/>
        <v>0</v>
      </c>
      <c r="AK414" s="216">
        <f t="shared" si="1266"/>
        <v>112.5</v>
      </c>
      <c r="AL414" s="220">
        <f t="shared" si="1251"/>
        <v>117.8</v>
      </c>
      <c r="AM414" s="220">
        <f t="shared" si="1252"/>
        <v>0</v>
      </c>
      <c r="AN414" s="221">
        <f t="shared" si="1253"/>
        <v>117.8</v>
      </c>
      <c r="AO414" s="220">
        <f t="shared" si="1254"/>
        <v>0</v>
      </c>
      <c r="AP414" s="220">
        <f t="shared" si="1255"/>
        <v>0</v>
      </c>
      <c r="AQ414" s="220">
        <f t="shared" si="1256"/>
        <v>160</v>
      </c>
      <c r="AR414" s="220">
        <f t="shared" si="1257"/>
        <v>0</v>
      </c>
      <c r="AS414" s="220">
        <f t="shared" si="1258"/>
        <v>0</v>
      </c>
      <c r="AT414" s="216">
        <f t="shared" si="1259"/>
        <v>277.8</v>
      </c>
      <c r="AU414" s="222">
        <f t="shared" si="1300"/>
        <v>5.2999999999999972</v>
      </c>
      <c r="AV414" s="220"/>
      <c r="AW414" s="220">
        <f t="shared" si="1165"/>
        <v>5.2999999999999972</v>
      </c>
      <c r="AX414" s="216">
        <f t="shared" si="1267"/>
        <v>0</v>
      </c>
      <c r="AY414" s="220">
        <f t="shared" si="1179"/>
        <v>0</v>
      </c>
      <c r="AZ414" s="220">
        <f t="shared" si="1180"/>
        <v>0</v>
      </c>
      <c r="BA414" s="220">
        <f t="shared" si="1181"/>
        <v>160</v>
      </c>
      <c r="BB414" s="220">
        <f t="shared" si="1182"/>
        <v>0</v>
      </c>
      <c r="BC414" s="220">
        <f t="shared" si="1183"/>
        <v>0</v>
      </c>
      <c r="BD414" s="216">
        <f t="shared" si="1195"/>
        <v>160</v>
      </c>
      <c r="BE414" s="220">
        <f t="shared" si="1166"/>
        <v>0</v>
      </c>
      <c r="BF414" s="220">
        <f t="shared" si="1167"/>
        <v>0</v>
      </c>
      <c r="BG414" s="220">
        <f t="shared" si="1168"/>
        <v>0</v>
      </c>
      <c r="BH414" s="220">
        <f t="shared" si="1169"/>
        <v>0</v>
      </c>
      <c r="BI414" s="220">
        <f t="shared" si="1170"/>
        <v>0</v>
      </c>
      <c r="BJ414" s="220" t="s">
        <v>2557</v>
      </c>
      <c r="BK414" s="220"/>
      <c r="BL414" s="223">
        <f t="shared" si="1201"/>
        <v>5.2999999999999972</v>
      </c>
      <c r="BM414" s="220">
        <v>3</v>
      </c>
      <c r="BN414" s="220"/>
      <c r="BO414" s="220">
        <f t="shared" ref="BO414:BO434" si="1356">ROUND(BM414+(BM414*BN414),2)</f>
        <v>3</v>
      </c>
      <c r="BP414" s="220">
        <f>IF(AND(BL414&gt;0,BL414&lt;tiet!$D$1),BL414,IF(BL414&lt;=0,0,IF(BL414&gt;tiet!$C$1,tiet!$C$1)))</f>
        <v>5.2999999999999972</v>
      </c>
      <c r="BQ414" s="87">
        <f t="shared" si="1191"/>
        <v>60000</v>
      </c>
      <c r="BR414" s="224">
        <f t="shared" si="1192"/>
        <v>318000</v>
      </c>
      <c r="BS414" s="220">
        <f t="shared" si="1301"/>
        <v>0</v>
      </c>
      <c r="BT414" s="224">
        <f>VLOOKUP(N414,ma_dinhmuc!$A$1:$J$31,10,0)</f>
        <v>51000</v>
      </c>
      <c r="BU414" s="224">
        <f>ROUND(IF(BS414&gt;0,VLOOKUP(N414,ma_dinhmuc!$A$1:$J$31,10,0)*BS414,0),0)</f>
        <v>0</v>
      </c>
      <c r="BV414" s="224">
        <f t="shared" si="1193"/>
        <v>318000</v>
      </c>
      <c r="BW414" s="224"/>
      <c r="BX414" s="224">
        <v>0</v>
      </c>
      <c r="BY414" s="224"/>
      <c r="BZ414" s="224"/>
      <c r="CA414" s="224"/>
      <c r="CB414" s="224"/>
      <c r="CC414" s="225">
        <f t="shared" si="1286"/>
        <v>318000</v>
      </c>
      <c r="CD414" s="224">
        <f t="shared" si="1287"/>
        <v>0</v>
      </c>
      <c r="CE414" s="224"/>
      <c r="CF414" s="226"/>
      <c r="CG414" s="87"/>
      <c r="CH414" s="87">
        <f t="shared" si="1353"/>
        <v>21</v>
      </c>
      <c r="CI414" s="227" t="str">
        <f t="shared" si="1340"/>
        <v>Nguyễn Trọng</v>
      </c>
      <c r="CJ414" s="227" t="str">
        <f t="shared" si="1341"/>
        <v>Thăng</v>
      </c>
      <c r="CK414" s="87">
        <f t="shared" si="1342"/>
        <v>8</v>
      </c>
      <c r="CL414" s="227" t="str">
        <f t="shared" si="1343"/>
        <v>Công nghệ Sau thu hoạch</v>
      </c>
      <c r="CM414" s="87" t="str">
        <f t="shared" si="1172"/>
        <v>CS2</v>
      </c>
      <c r="CN414" s="87">
        <f t="shared" si="1354"/>
        <v>270</v>
      </c>
      <c r="CO414" s="87">
        <f t="shared" si="1354"/>
        <v>100</v>
      </c>
      <c r="CP414" s="229">
        <f t="shared" si="1314"/>
        <v>0</v>
      </c>
      <c r="CQ414" s="229">
        <f t="shared" si="1315"/>
        <v>8.8000000000000007</v>
      </c>
      <c r="CR414" s="229">
        <f t="shared" si="1316"/>
        <v>3.5</v>
      </c>
      <c r="CS414" s="229">
        <f t="shared" si="1317"/>
        <v>43.5</v>
      </c>
      <c r="CT414" s="229">
        <f t="shared" si="1318"/>
        <v>0</v>
      </c>
      <c r="CU414" s="229">
        <f t="shared" si="1319"/>
        <v>22</v>
      </c>
      <c r="CV414" s="229">
        <f t="shared" si="1320"/>
        <v>0</v>
      </c>
      <c r="CW414" s="229">
        <f t="shared" si="1321"/>
        <v>40</v>
      </c>
      <c r="CX414" s="229">
        <f t="shared" si="1322"/>
        <v>0</v>
      </c>
      <c r="CY414" s="229">
        <f t="shared" si="1323"/>
        <v>0</v>
      </c>
      <c r="CZ414" s="229">
        <f t="shared" si="1324"/>
        <v>0</v>
      </c>
      <c r="DA414" s="229">
        <f t="shared" si="1325"/>
        <v>160</v>
      </c>
      <c r="DB414" s="228">
        <f t="shared" si="1260"/>
        <v>277.8</v>
      </c>
      <c r="DC414" s="229"/>
      <c r="DD414" s="229"/>
      <c r="DE414" s="229"/>
      <c r="DF414" s="229"/>
      <c r="DG414" s="229"/>
      <c r="DH414" s="229"/>
      <c r="DI414" s="229"/>
      <c r="DJ414" s="229"/>
      <c r="DK414" s="229"/>
      <c r="DL414" s="229"/>
      <c r="DM414" s="229"/>
      <c r="DN414" s="229"/>
      <c r="DO414" s="228">
        <f t="shared" si="1261"/>
        <v>0</v>
      </c>
      <c r="DP414" s="228">
        <f t="shared" si="1262"/>
        <v>277.8</v>
      </c>
      <c r="DQ414" s="229">
        <f t="shared" si="1326"/>
        <v>0</v>
      </c>
      <c r="DR414" s="229">
        <f t="shared" si="1327"/>
        <v>0</v>
      </c>
      <c r="DS414" s="229">
        <f t="shared" si="1328"/>
        <v>0</v>
      </c>
      <c r="DT414" s="229">
        <f t="shared" si="1329"/>
        <v>0</v>
      </c>
      <c r="DU414" s="229">
        <f t="shared" si="1330"/>
        <v>0</v>
      </c>
      <c r="DV414" s="229">
        <f t="shared" si="1331"/>
        <v>0</v>
      </c>
      <c r="DW414" s="229">
        <f t="shared" si="1332"/>
        <v>0</v>
      </c>
      <c r="DX414" s="228">
        <f t="shared" si="1263"/>
        <v>0</v>
      </c>
      <c r="DY414" s="229"/>
      <c r="DZ414" s="229"/>
      <c r="EA414" s="229"/>
      <c r="EB414" s="229"/>
      <c r="EC414" s="229"/>
      <c r="ED414" s="229"/>
      <c r="EE414" s="229"/>
      <c r="EF414" s="228">
        <f t="shared" si="1305"/>
        <v>0</v>
      </c>
      <c r="EG414" s="228">
        <f t="shared" si="1264"/>
        <v>0</v>
      </c>
      <c r="EH414" s="229">
        <f t="shared" si="1306"/>
        <v>103.75</v>
      </c>
      <c r="EI414" s="229">
        <v>0</v>
      </c>
      <c r="EJ414" s="228">
        <f t="shared" si="1280"/>
        <v>103.75</v>
      </c>
      <c r="EK414" s="229"/>
      <c r="EL414" s="229"/>
      <c r="EM414" s="228">
        <f t="shared" si="1336"/>
        <v>0</v>
      </c>
      <c r="EN414" s="229">
        <f t="shared" si="1273"/>
        <v>103.75</v>
      </c>
      <c r="EO414" s="229">
        <f t="shared" si="1302"/>
        <v>0</v>
      </c>
      <c r="EP414" s="228">
        <f t="shared" si="1339"/>
        <v>103.75</v>
      </c>
      <c r="EQ414" s="173">
        <f t="shared" si="1303"/>
        <v>62.083333333333336</v>
      </c>
      <c r="ER414" s="189">
        <v>0</v>
      </c>
      <c r="ES414" s="189">
        <v>8.8000000000000007</v>
      </c>
      <c r="ET414" s="189">
        <v>3.5</v>
      </c>
      <c r="EU414" s="189">
        <v>43.5</v>
      </c>
      <c r="EV414" s="189">
        <v>0</v>
      </c>
      <c r="EW414" s="189">
        <v>22</v>
      </c>
      <c r="EX414" s="189">
        <v>0</v>
      </c>
      <c r="EY414" s="189">
        <v>40</v>
      </c>
      <c r="EZ414" s="189">
        <v>0</v>
      </c>
      <c r="FA414" s="189">
        <v>0</v>
      </c>
      <c r="FB414" s="189">
        <v>0</v>
      </c>
      <c r="FC414" s="189">
        <v>160</v>
      </c>
      <c r="FD414" s="189">
        <v>0</v>
      </c>
      <c r="FE414" s="189">
        <v>0</v>
      </c>
      <c r="FF414" s="189">
        <v>0</v>
      </c>
      <c r="FG414" s="189">
        <v>0</v>
      </c>
      <c r="FH414" s="189">
        <v>0</v>
      </c>
      <c r="FI414" s="189">
        <v>0</v>
      </c>
      <c r="FJ414" s="189">
        <v>0</v>
      </c>
      <c r="FK414" s="189">
        <v>277.8</v>
      </c>
      <c r="FL414" s="189">
        <v>267.5</v>
      </c>
      <c r="FN414" s="132">
        <v>103.75</v>
      </c>
    </row>
    <row r="415" spans="1:170" ht="30">
      <c r="A415" s="88">
        <f>COUNTIF($H$12:H415,H415)</f>
        <v>22</v>
      </c>
      <c r="B415" s="88" t="s">
        <v>2697</v>
      </c>
      <c r="C415" s="88" t="s">
        <v>2867</v>
      </c>
      <c r="D415" s="88"/>
      <c r="E415" s="88"/>
      <c r="F415" s="301" t="s">
        <v>2782</v>
      </c>
      <c r="G415" s="89" t="s">
        <v>963</v>
      </c>
      <c r="H415" s="88">
        <v>8</v>
      </c>
      <c r="I415" s="88">
        <v>8</v>
      </c>
      <c r="J415" s="88">
        <v>8</v>
      </c>
      <c r="K415" s="90" t="s">
        <v>1100</v>
      </c>
      <c r="L415" s="90" t="s">
        <v>1100</v>
      </c>
      <c r="M415" s="214"/>
      <c r="N415" s="88" t="s">
        <v>605</v>
      </c>
      <c r="O415" s="216">
        <f>BO415</f>
        <v>6.2</v>
      </c>
      <c r="P415" s="88" t="str">
        <f t="shared" si="1333"/>
        <v>B1_6</v>
      </c>
      <c r="Q415" s="88">
        <f t="shared" si="1154"/>
        <v>270</v>
      </c>
      <c r="R415" s="88">
        <f t="shared" si="1155"/>
        <v>170</v>
      </c>
      <c r="S415" s="231" t="s">
        <v>3003</v>
      </c>
      <c r="T415" s="88" t="s">
        <v>3092</v>
      </c>
      <c r="U415" s="88">
        <f>IF(RIGHT(T415,1)="K",(VLOOKUP(T415,ma_miengiam!$A$3:$B$80,2,0)*100)/2,VLOOKUP(T415,ma_miengiam!$A$3:$B$80,2,0)*100)</f>
        <v>25</v>
      </c>
      <c r="V415" s="88"/>
      <c r="W415" s="220">
        <f>IF(AND(T415="NTS",V415&gt;0),(Q415-(Q415*V415)/12)*VLOOKUP(T415,ma_miengiam!$A$3:$B$80,2,0)+(Q415-(Q415*(12-V415))/12),IF(AND(RIGHT(T415,1)="K",V415&gt;0),(VLOOKUP(T415,ma_miengiam!$A$3:$B$80,2,0)/2)*(Q415*V415)/12,IF(RIGHT(T415,1)="K",(VLOOKUP(T415,ma_miengiam!$A$3:$B$80,2,0)*Q415)/2,IF(V415&gt;0,VLOOKUP(T415,ma_miengiam!$A$3:$B$80,2,0)*Q415*V415/12,VLOOKUP(T415,ma_miengiam!$A$3:$B$80,2,0)*Q415))))</f>
        <v>67.5</v>
      </c>
      <c r="X415" s="220">
        <f>IF(T415="NTS",VLOOKUP(T415,ma_miengiam!$A$3:$B$80,2,0)*R415*V415,IF(AND(T415="NTS",V415=0),0,IF(AND(LEFT(T415,1)="K",V415=0),VLOOKUP(T415,ma_miengiam!$A$3:$B$80,2,0)*R415,IF(LEFT(T415,1)="K",(VLOOKUP(T415,ma_miengiam!$A$3:$B$80,2,0)*R415/12)*V415,IF(AND(LEFT(T415,1)="S",V415&gt;0),(R415/12)*V415,IF(AND(LEFT(T415,1)="S",V415=0),R415,IF(T415="DH",VLOOKUP(T415,ma_miengiam!$A$3:$B$80,2,0)*R415,0)))))))</f>
        <v>0</v>
      </c>
      <c r="Y415" s="220">
        <f>IF(AND(T415="DH",V415&gt;0),(S415*V415/12),IF(AND(T415&lt;&gt;"NTS",V415&gt;0),(Q415*V415/12)-W415,IF(AND(T415="NTS",V415&gt;0),Q415-W415,Q415-W415)))</f>
        <v>202.5</v>
      </c>
      <c r="Z415" s="220">
        <f>IF(AND(T415="SĐH",V415&gt;0),(R415/12)*V415-X415,IF(AND(T415="DH",V415&gt;0),(R415*V415/12),IF(AND(T415&lt;&gt;"NTS",V415&gt;0),(R415*V415/12)-X415,IF(AND(T415="NTS",V415&gt;0),R415-X415,R415-X415))))</f>
        <v>170</v>
      </c>
      <c r="AA415" s="220">
        <f>Q415</f>
        <v>270</v>
      </c>
      <c r="AB415" s="220">
        <f>R415</f>
        <v>170</v>
      </c>
      <c r="AC415" s="220">
        <f>W415</f>
        <v>67.5</v>
      </c>
      <c r="AD415" s="220">
        <f>X415</f>
        <v>0</v>
      </c>
      <c r="AE415" s="220">
        <f>Y415</f>
        <v>202.5</v>
      </c>
      <c r="AF415" s="220">
        <f>Z415</f>
        <v>170</v>
      </c>
      <c r="AG415" s="220">
        <f t="shared" ref="AG415:AG420" si="1357">AH415+AI415</f>
        <v>230.35</v>
      </c>
      <c r="AH415" s="220">
        <f t="shared" ref="AH415:AH420" si="1358">EO415</f>
        <v>87.22</v>
      </c>
      <c r="AI415" s="220">
        <f t="shared" ref="AI415:AI420" si="1359">EN415</f>
        <v>143.13</v>
      </c>
      <c r="AJ415" s="220">
        <f>IF(AG415-Z415&gt;0,0,AG415-Z415)</f>
        <v>0</v>
      </c>
      <c r="AK415" s="216">
        <f t="shared" si="1266"/>
        <v>202.5</v>
      </c>
      <c r="AL415" s="220">
        <f t="shared" si="1251"/>
        <v>219.8</v>
      </c>
      <c r="AM415" s="220">
        <f t="shared" si="1252"/>
        <v>82.300000000000011</v>
      </c>
      <c r="AN415" s="221">
        <f t="shared" si="1253"/>
        <v>302.10000000000002</v>
      </c>
      <c r="AO415" s="220">
        <f t="shared" si="1254"/>
        <v>0</v>
      </c>
      <c r="AP415" s="220">
        <f t="shared" si="1255"/>
        <v>0</v>
      </c>
      <c r="AQ415" s="220">
        <f t="shared" si="1256"/>
        <v>280</v>
      </c>
      <c r="AR415" s="220">
        <f t="shared" si="1257"/>
        <v>100</v>
      </c>
      <c r="AS415" s="220">
        <f t="shared" si="1258"/>
        <v>0</v>
      </c>
      <c r="AT415" s="216">
        <f t="shared" si="1259"/>
        <v>682.1</v>
      </c>
      <c r="AU415" s="222">
        <f>AN415-AK415</f>
        <v>99.600000000000023</v>
      </c>
      <c r="AV415" s="220"/>
      <c r="AW415" s="220">
        <f>IF(AU415&gt;0,AU415,AV415+AU415)</f>
        <v>99.600000000000023</v>
      </c>
      <c r="AX415" s="216">
        <f t="shared" si="1267"/>
        <v>0</v>
      </c>
      <c r="AY415" s="220">
        <f>IF(AN415&gt;=AK415,AO415,IF(AN415+AO415-AK415&gt;=0,AN415+AO415-AK415,0))</f>
        <v>0</v>
      </c>
      <c r="AZ415" s="220">
        <f>IF(OR(AN415&gt;=AK415,AN415+AO415&gt;=AK415),AP415,IF(AN415+AO415+AP415&gt;AK415,AN415+AO415+AP415-AK415,0))</f>
        <v>0</v>
      </c>
      <c r="BA415" s="220">
        <f>IF(OR(AN415&gt;=AK415,AN415+AO415&gt;=AK415,AN415+AO415+AP415&gt;=AK415),AQ415,IF(AN415+AO415+AP415+AQ415&gt;=AK415,AN415+AO415+AP415+AQ415-AK415,0))</f>
        <v>280</v>
      </c>
      <c r="BB415" s="220">
        <f>IF(OR(AN415&gt;=AK415,AN415+AO415&gt;=AK415,AN415+AO415+AP415&gt;=AK415,AN415+AO415+AP415+AQ415&gt;=AK415),AR415,IF(AN415+AO415+AP415+AQ415+AR415&gt;=AK415,AN415+AO415+AP415+AQ415+AR415-AK415,0))</f>
        <v>100</v>
      </c>
      <c r="BC415" s="220">
        <f>IF(OR(AN415&gt;=AK415,AN415+AO415&gt;=AK415,AN415+AO415+AP415&gt;=AK415,AN415+AO415+AP415+AQ415&gt;=AK415,AN415+AO415+AP415+AQ415+AR415&gt;=AK415),AS415,IF(AN415+AO415+AP415+AQ415+AR415+AS415&gt;=AK415,AN415+AO415+AP415+AQ415+AR415+AS415-AK415,0))</f>
        <v>0</v>
      </c>
      <c r="BD415" s="216">
        <f t="shared" si="1195"/>
        <v>380</v>
      </c>
      <c r="BE415" s="220">
        <f>AY415-AO415</f>
        <v>0</v>
      </c>
      <c r="BF415" s="220">
        <f>AZ415-AP415</f>
        <v>0</v>
      </c>
      <c r="BG415" s="220">
        <f>BA415-AQ415</f>
        <v>0</v>
      </c>
      <c r="BH415" s="220">
        <f>BB415-AR415</f>
        <v>0</v>
      </c>
      <c r="BI415" s="220">
        <f>BC415-AS415</f>
        <v>0</v>
      </c>
      <c r="BJ415" s="220" t="s">
        <v>2423</v>
      </c>
      <c r="BK415" s="220"/>
      <c r="BL415" s="223">
        <f t="shared" si="1201"/>
        <v>99.600000000000023</v>
      </c>
      <c r="BM415" s="220">
        <v>6.2</v>
      </c>
      <c r="BN415" s="220"/>
      <c r="BO415" s="220">
        <f>ROUND(BM415+(BM415*BN415),2)</f>
        <v>6.2</v>
      </c>
      <c r="BP415" s="220">
        <f>IF(AND(BL415&gt;0,BL415&lt;tiet!$D$1),BL415,IF(BL415&lt;=0,0,IF(BL415&gt;tiet!$C$1,tiet!$C$1)))</f>
        <v>99.600000000000023</v>
      </c>
      <c r="BQ415" s="87">
        <f>VLOOKUP(P415,ma_dinhmuc_moi,4,0)</f>
        <v>75000</v>
      </c>
      <c r="BR415" s="224">
        <f>ROUND(BQ415*BP415,0)</f>
        <v>7470000</v>
      </c>
      <c r="BS415" s="220">
        <f t="shared" si="1301"/>
        <v>0</v>
      </c>
      <c r="BT415" s="224">
        <f>VLOOKUP(N415,ma_dinhmuc!$A$1:$J$31,10,0)</f>
        <v>65000</v>
      </c>
      <c r="BU415" s="224">
        <f>ROUND(IF(BS415&gt;0,VLOOKUP(N415,ma_dinhmuc!$A$1:$J$31,10,0)*BS415,0),0)</f>
        <v>0</v>
      </c>
      <c r="BV415" s="224">
        <f>ROUND(BU415+BR415,0)</f>
        <v>7470000</v>
      </c>
      <c r="BW415" s="224"/>
      <c r="BX415" s="224">
        <v>0</v>
      </c>
      <c r="BY415" s="224"/>
      <c r="BZ415" s="224"/>
      <c r="CA415" s="224"/>
      <c r="CB415" s="224"/>
      <c r="CC415" s="225">
        <f>ROUND(IF(BV415+BW415&gt;BX415+BY415+BZ415+CA415+CB415,(BW415+BV415)-(BX415+BY415+BZ415+CA415+CB415+CB415),0),0)</f>
        <v>7470000</v>
      </c>
      <c r="CD415" s="224">
        <f>ROUND(IF(BV415+BW415&lt;BX415+BY415+BZ415+CA415-CB415,(BX415+BY415+BZ415+CA415-CB415)-(BW415+BV415),0),0)</f>
        <v>0</v>
      </c>
      <c r="CE415" s="224"/>
      <c r="CF415" s="226"/>
      <c r="CG415" s="87"/>
      <c r="CH415" s="87">
        <f>A415</f>
        <v>22</v>
      </c>
      <c r="CI415" s="227" t="str">
        <f t="shared" si="1340"/>
        <v>Trần Thị Lan</v>
      </c>
      <c r="CJ415" s="227" t="str">
        <f t="shared" si="1341"/>
        <v>Hương</v>
      </c>
      <c r="CK415" s="87">
        <f t="shared" si="1342"/>
        <v>8</v>
      </c>
      <c r="CL415" s="227" t="str">
        <f>L415</f>
        <v>Thực phẩm và Dinh dưỡng</v>
      </c>
      <c r="CM415" s="87" t="str">
        <f>N415</f>
        <v>CS4</v>
      </c>
      <c r="CN415" s="87">
        <f>Q415</f>
        <v>270</v>
      </c>
      <c r="CO415" s="87">
        <f>R415</f>
        <v>170</v>
      </c>
      <c r="CP415" s="229">
        <f t="shared" si="1314"/>
        <v>0</v>
      </c>
      <c r="CQ415" s="229">
        <f t="shared" si="1315"/>
        <v>36.799999999999997</v>
      </c>
      <c r="CR415" s="229">
        <f t="shared" si="1316"/>
        <v>14.8</v>
      </c>
      <c r="CS415" s="229">
        <f t="shared" si="1317"/>
        <v>43.5</v>
      </c>
      <c r="CT415" s="229">
        <f t="shared" si="1318"/>
        <v>0</v>
      </c>
      <c r="CU415" s="229">
        <f t="shared" si="1319"/>
        <v>108.7</v>
      </c>
      <c r="CV415" s="229">
        <f t="shared" si="1320"/>
        <v>0</v>
      </c>
      <c r="CW415" s="229">
        <f t="shared" si="1321"/>
        <v>16</v>
      </c>
      <c r="CX415" s="229">
        <f t="shared" si="1322"/>
        <v>0</v>
      </c>
      <c r="CY415" s="229">
        <f t="shared" si="1323"/>
        <v>0</v>
      </c>
      <c r="CZ415" s="229">
        <f t="shared" si="1324"/>
        <v>0</v>
      </c>
      <c r="DA415" s="229">
        <f t="shared" si="1325"/>
        <v>280</v>
      </c>
      <c r="DB415" s="228">
        <f t="shared" si="1260"/>
        <v>499.8</v>
      </c>
      <c r="DC415" s="229"/>
      <c r="DD415" s="229"/>
      <c r="DE415" s="229"/>
      <c r="DF415" s="229"/>
      <c r="DG415" s="229"/>
      <c r="DH415" s="229"/>
      <c r="DI415" s="229"/>
      <c r="DJ415" s="229"/>
      <c r="DK415" s="229"/>
      <c r="DL415" s="229"/>
      <c r="DM415" s="229"/>
      <c r="DN415" s="229"/>
      <c r="DO415" s="228">
        <f t="shared" si="1261"/>
        <v>0</v>
      </c>
      <c r="DP415" s="228">
        <f t="shared" si="1262"/>
        <v>499.8</v>
      </c>
      <c r="DQ415" s="229">
        <f t="shared" si="1326"/>
        <v>81</v>
      </c>
      <c r="DR415" s="229">
        <f t="shared" si="1327"/>
        <v>0.9</v>
      </c>
      <c r="DS415" s="229">
        <f t="shared" si="1328"/>
        <v>0</v>
      </c>
      <c r="DT415" s="229">
        <f t="shared" si="1329"/>
        <v>0.4</v>
      </c>
      <c r="DU415" s="229">
        <f t="shared" si="1330"/>
        <v>0</v>
      </c>
      <c r="DV415" s="229">
        <f t="shared" si="1331"/>
        <v>100</v>
      </c>
      <c r="DW415" s="229">
        <f t="shared" si="1332"/>
        <v>0</v>
      </c>
      <c r="DX415" s="228">
        <f t="shared" si="1263"/>
        <v>182.3</v>
      </c>
      <c r="DY415" s="229"/>
      <c r="DZ415" s="229"/>
      <c r="EA415" s="229"/>
      <c r="EB415" s="229"/>
      <c r="EC415" s="229"/>
      <c r="ED415" s="229"/>
      <c r="EE415" s="229"/>
      <c r="EF415" s="228">
        <f t="shared" si="1305"/>
        <v>0</v>
      </c>
      <c r="EG415" s="228">
        <f t="shared" si="1264"/>
        <v>182.3</v>
      </c>
      <c r="EH415" s="229">
        <f t="shared" si="1306"/>
        <v>143.13</v>
      </c>
      <c r="EI415" s="229">
        <v>87.22</v>
      </c>
      <c r="EJ415" s="228">
        <f t="shared" si="1280"/>
        <v>230.35</v>
      </c>
      <c r="EK415" s="229"/>
      <c r="EL415" s="229"/>
      <c r="EM415" s="228">
        <f>SUM(EK415:EL415)</f>
        <v>0</v>
      </c>
      <c r="EN415" s="229">
        <f>EK415+EH415+EL415</f>
        <v>143.13</v>
      </c>
      <c r="EO415" s="229">
        <f>EI415</f>
        <v>87.22</v>
      </c>
      <c r="EP415" s="228">
        <f>EM415+EJ415</f>
        <v>230.35</v>
      </c>
      <c r="EQ415" s="173">
        <f t="shared" si="1303"/>
        <v>0</v>
      </c>
      <c r="ER415" s="189">
        <v>0</v>
      </c>
      <c r="ES415" s="189">
        <v>36.799999999999997</v>
      </c>
      <c r="ET415" s="189">
        <v>14.8</v>
      </c>
      <c r="EU415" s="189">
        <v>43.5</v>
      </c>
      <c r="EV415" s="189">
        <v>0</v>
      </c>
      <c r="EW415" s="189">
        <v>108.7</v>
      </c>
      <c r="EX415" s="189">
        <v>0</v>
      </c>
      <c r="EY415" s="189">
        <v>16</v>
      </c>
      <c r="EZ415" s="189">
        <v>0</v>
      </c>
      <c r="FA415" s="189">
        <v>0</v>
      </c>
      <c r="FB415" s="189">
        <v>0</v>
      </c>
      <c r="FC415" s="189">
        <v>280</v>
      </c>
      <c r="FD415" s="189">
        <v>81</v>
      </c>
      <c r="FE415" s="189">
        <v>0.9</v>
      </c>
      <c r="FF415" s="189">
        <v>0</v>
      </c>
      <c r="FG415" s="189">
        <v>0.4</v>
      </c>
      <c r="FH415" s="189">
        <v>100</v>
      </c>
      <c r="FI415" s="189">
        <v>0</v>
      </c>
      <c r="FJ415" s="189">
        <v>0</v>
      </c>
      <c r="FK415" s="189">
        <v>682.1</v>
      </c>
      <c r="FL415" s="189">
        <v>582.5</v>
      </c>
      <c r="FN415" s="132">
        <v>143.13</v>
      </c>
    </row>
    <row r="416" spans="1:170" ht="30.75" customHeight="1">
      <c r="A416" s="88">
        <f>COUNTIF($H$12:H416,H416)</f>
        <v>23</v>
      </c>
      <c r="B416" s="88" t="s">
        <v>2698</v>
      </c>
      <c r="C416" s="88" t="s">
        <v>2868</v>
      </c>
      <c r="D416" s="88"/>
      <c r="E416" s="88"/>
      <c r="F416" s="301" t="s">
        <v>2783</v>
      </c>
      <c r="G416" s="303" t="s">
        <v>1773</v>
      </c>
      <c r="H416" s="88">
        <v>8</v>
      </c>
      <c r="I416" s="88">
        <v>8</v>
      </c>
      <c r="J416" s="88">
        <v>8</v>
      </c>
      <c r="K416" s="90" t="s">
        <v>1100</v>
      </c>
      <c r="L416" s="90" t="s">
        <v>1100</v>
      </c>
      <c r="M416" s="214"/>
      <c r="N416" s="88" t="s">
        <v>606</v>
      </c>
      <c r="O416" s="216">
        <f t="shared" si="1304"/>
        <v>5.42</v>
      </c>
      <c r="P416" s="88" t="str">
        <f t="shared" si="1333"/>
        <v>B1_6</v>
      </c>
      <c r="Q416" s="88">
        <f t="shared" si="1154"/>
        <v>270</v>
      </c>
      <c r="R416" s="88">
        <f t="shared" si="1155"/>
        <v>170</v>
      </c>
      <c r="S416" s="230" t="s">
        <v>689</v>
      </c>
      <c r="T416" s="88" t="s">
        <v>3090</v>
      </c>
      <c r="U416" s="88">
        <f>IF(RIGHT(T416,1)="K",(VLOOKUP(T416,ma_miengiam!$A$3:$B$80,2,0)*100)/2,VLOOKUP(T416,ma_miengiam!$A$3:$B$80,2,0)*100)</f>
        <v>15</v>
      </c>
      <c r="V416" s="88"/>
      <c r="W416" s="220">
        <f>IF(AND(T416="NTS",V416&gt;0),(Q416-(Q416*V416)/12)*VLOOKUP(T416,ma_miengiam!$A$3:$B$80,2,0)+(Q416-(Q416*(12-V416))/12),IF(AND(RIGHT(T416,1)="K",V416&gt;0),(VLOOKUP(T416,ma_miengiam!$A$3:$B$80,2,0)/2)*(Q416*V416)/12,IF(RIGHT(T416,1)="K",(VLOOKUP(T416,ma_miengiam!$A$3:$B$80,2,0)*Q416)/2,IF(V416&gt;0,VLOOKUP(T416,ma_miengiam!$A$3:$B$80,2,0)*Q416*V416/12,VLOOKUP(T416,ma_miengiam!$A$3:$B$80,2,0)*Q416))))</f>
        <v>40.5</v>
      </c>
      <c r="X416" s="220">
        <f>IF(T416="NTS",VLOOKUP(T416,ma_miengiam!$A$3:$B$80,2,0)*R416*V416,IF(AND(T416="NTS",V416=0),0,IF(AND(LEFT(T416,1)="K",V416=0),VLOOKUP(T416,ma_miengiam!$A$3:$B$80,2,0)*R416,IF(LEFT(T416,1)="K",(VLOOKUP(T416,ma_miengiam!$A$3:$B$80,2,0)*R416/12)*V416,IF(AND(LEFT(T416,1)="S",V416&gt;0),(R416/12)*V416,IF(AND(LEFT(T416,1)="S",V416=0),R416,IF(T416="DH",VLOOKUP(T416,ma_miengiam!$A$3:$B$80,2,0)*R416,0)))))))</f>
        <v>0</v>
      </c>
      <c r="Y416" s="220">
        <f t="shared" si="1344"/>
        <v>229.5</v>
      </c>
      <c r="Z416" s="220">
        <f t="shared" ref="Z416:Z422" si="1360">IF(AND(T416="SĐH",V416&gt;0),(R416/12)*V416-X416,IF(AND(T416="DH",V416&gt;0),(R416*V416/12),IF(AND(T416&lt;&gt;"NTS",V416&gt;0),(R416*V416/12)-X416,IF(AND(T416="NTS",V416&gt;0),R416-X416,R416-X416))))</f>
        <v>170</v>
      </c>
      <c r="AA416" s="220">
        <f t="shared" ref="AA416:AB420" si="1361">Q416</f>
        <v>270</v>
      </c>
      <c r="AB416" s="220">
        <f t="shared" si="1361"/>
        <v>170</v>
      </c>
      <c r="AC416" s="220">
        <f t="shared" ref="AC416:AF418" si="1362">W416</f>
        <v>40.5</v>
      </c>
      <c r="AD416" s="220">
        <f t="shared" si="1362"/>
        <v>0</v>
      </c>
      <c r="AE416" s="220">
        <f t="shared" si="1362"/>
        <v>229.5</v>
      </c>
      <c r="AF416" s="220">
        <f t="shared" si="1362"/>
        <v>170</v>
      </c>
      <c r="AG416" s="220">
        <f t="shared" si="1357"/>
        <v>164.35</v>
      </c>
      <c r="AH416" s="220">
        <f t="shared" si="1358"/>
        <v>76.959999999999994</v>
      </c>
      <c r="AI416" s="220">
        <f t="shared" si="1359"/>
        <v>87.39</v>
      </c>
      <c r="AJ416" s="220">
        <f t="shared" si="1190"/>
        <v>-5.6500000000000057</v>
      </c>
      <c r="AK416" s="216">
        <f t="shared" si="1266"/>
        <v>235.15</v>
      </c>
      <c r="AL416" s="220">
        <f t="shared" si="1251"/>
        <v>594.4</v>
      </c>
      <c r="AM416" s="220">
        <f t="shared" si="1252"/>
        <v>0</v>
      </c>
      <c r="AN416" s="221">
        <f t="shared" si="1253"/>
        <v>594.4</v>
      </c>
      <c r="AO416" s="220">
        <f t="shared" si="1254"/>
        <v>0</v>
      </c>
      <c r="AP416" s="220">
        <f t="shared" si="1255"/>
        <v>0</v>
      </c>
      <c r="AQ416" s="220">
        <f t="shared" si="1256"/>
        <v>82</v>
      </c>
      <c r="AR416" s="220">
        <f t="shared" si="1257"/>
        <v>0</v>
      </c>
      <c r="AS416" s="220">
        <f t="shared" si="1258"/>
        <v>0</v>
      </c>
      <c r="AT416" s="216">
        <f t="shared" si="1259"/>
        <v>676.4</v>
      </c>
      <c r="AU416" s="222">
        <f t="shared" si="1300"/>
        <v>359.25</v>
      </c>
      <c r="AV416" s="220"/>
      <c r="AW416" s="220">
        <f t="shared" si="1165"/>
        <v>359.25</v>
      </c>
      <c r="AX416" s="216">
        <f t="shared" si="1267"/>
        <v>0</v>
      </c>
      <c r="AY416" s="220">
        <f t="shared" si="1179"/>
        <v>0</v>
      </c>
      <c r="AZ416" s="220">
        <f t="shared" si="1180"/>
        <v>0</v>
      </c>
      <c r="BA416" s="220">
        <f t="shared" si="1181"/>
        <v>82</v>
      </c>
      <c r="BB416" s="220">
        <f t="shared" si="1182"/>
        <v>0</v>
      </c>
      <c r="BC416" s="220">
        <f t="shared" si="1183"/>
        <v>0</v>
      </c>
      <c r="BD416" s="216">
        <f t="shared" si="1195"/>
        <v>82</v>
      </c>
      <c r="BE416" s="220">
        <f t="shared" si="1166"/>
        <v>0</v>
      </c>
      <c r="BF416" s="220">
        <f t="shared" si="1167"/>
        <v>0</v>
      </c>
      <c r="BG416" s="220">
        <f t="shared" si="1168"/>
        <v>0</v>
      </c>
      <c r="BH416" s="220">
        <f t="shared" si="1169"/>
        <v>0</v>
      </c>
      <c r="BI416" s="220">
        <f t="shared" si="1170"/>
        <v>0</v>
      </c>
      <c r="BJ416" s="220" t="s">
        <v>2423</v>
      </c>
      <c r="BK416" s="220"/>
      <c r="BL416" s="223">
        <f t="shared" si="1201"/>
        <v>359.25</v>
      </c>
      <c r="BM416" s="220">
        <v>5.42</v>
      </c>
      <c r="BN416" s="220"/>
      <c r="BO416" s="220">
        <f t="shared" si="1356"/>
        <v>5.42</v>
      </c>
      <c r="BP416" s="220">
        <f>IF(AND(BL416&gt;0,BL416&lt;tiet!$D$1),BL416,IF(BL416&lt;=0,0,IF(BL416&gt;tiet!$C$1,tiet!$C$1)))</f>
        <v>200</v>
      </c>
      <c r="BQ416" s="87">
        <f t="shared" si="1191"/>
        <v>75000</v>
      </c>
      <c r="BR416" s="224">
        <f t="shared" si="1192"/>
        <v>15000000</v>
      </c>
      <c r="BS416" s="220">
        <f t="shared" si="1301"/>
        <v>159.25</v>
      </c>
      <c r="BT416" s="224">
        <f>VLOOKUP(N416,ma_dinhmuc!$A$1:$J$31,10,0)</f>
        <v>55000</v>
      </c>
      <c r="BU416" s="224">
        <f>ROUND(IF(BS416&gt;0,VLOOKUP(N416,ma_dinhmuc!$A$1:$J$31,10,0)*BS416,0),0)</f>
        <v>8758750</v>
      </c>
      <c r="BV416" s="224">
        <f t="shared" si="1193"/>
        <v>23758750</v>
      </c>
      <c r="BW416" s="224"/>
      <c r="BX416" s="224">
        <v>0</v>
      </c>
      <c r="BY416" s="224"/>
      <c r="BZ416" s="224"/>
      <c r="CA416" s="224"/>
      <c r="CB416" s="224"/>
      <c r="CC416" s="225">
        <f t="shared" si="1286"/>
        <v>23758750</v>
      </c>
      <c r="CD416" s="224">
        <f t="shared" si="1287"/>
        <v>0</v>
      </c>
      <c r="CE416" s="224"/>
      <c r="CF416" s="226"/>
      <c r="CG416" s="87"/>
      <c r="CH416" s="87">
        <f t="shared" si="1353"/>
        <v>23</v>
      </c>
      <c r="CI416" s="227" t="str">
        <f t="shared" si="1340"/>
        <v>Nguyễn Thị Hoàng</v>
      </c>
      <c r="CJ416" s="227" t="str">
        <f t="shared" si="1341"/>
        <v>Lan</v>
      </c>
      <c r="CK416" s="87">
        <f t="shared" si="1342"/>
        <v>8</v>
      </c>
      <c r="CL416" s="227" t="str">
        <f t="shared" si="1343"/>
        <v>Thực phẩm và Dinh dưỡng</v>
      </c>
      <c r="CM416" s="87" t="str">
        <f t="shared" si="1172"/>
        <v>CS3</v>
      </c>
      <c r="CN416" s="87">
        <f t="shared" ref="CN416:CO420" si="1363">Q416</f>
        <v>270</v>
      </c>
      <c r="CO416" s="87">
        <f t="shared" si="1363"/>
        <v>170</v>
      </c>
      <c r="CP416" s="229">
        <f t="shared" si="1314"/>
        <v>0</v>
      </c>
      <c r="CQ416" s="229">
        <f t="shared" si="1315"/>
        <v>82.1</v>
      </c>
      <c r="CR416" s="229">
        <f t="shared" si="1316"/>
        <v>33.1</v>
      </c>
      <c r="CS416" s="229">
        <f t="shared" si="1317"/>
        <v>43.5</v>
      </c>
      <c r="CT416" s="229">
        <f t="shared" si="1318"/>
        <v>0</v>
      </c>
      <c r="CU416" s="229">
        <f t="shared" si="1319"/>
        <v>223.7</v>
      </c>
      <c r="CV416" s="229">
        <f t="shared" si="1320"/>
        <v>0</v>
      </c>
      <c r="CW416" s="229">
        <f t="shared" si="1321"/>
        <v>212</v>
      </c>
      <c r="CX416" s="229">
        <f t="shared" si="1322"/>
        <v>0</v>
      </c>
      <c r="CY416" s="229">
        <f t="shared" si="1323"/>
        <v>0</v>
      </c>
      <c r="CZ416" s="229">
        <f t="shared" si="1324"/>
        <v>0</v>
      </c>
      <c r="DA416" s="229">
        <f t="shared" si="1325"/>
        <v>82</v>
      </c>
      <c r="DB416" s="228">
        <f t="shared" si="1260"/>
        <v>676.4</v>
      </c>
      <c r="DC416" s="229"/>
      <c r="DD416" s="229"/>
      <c r="DE416" s="229"/>
      <c r="DF416" s="229"/>
      <c r="DG416" s="229"/>
      <c r="DH416" s="229"/>
      <c r="DI416" s="229"/>
      <c r="DJ416" s="229"/>
      <c r="DK416" s="229"/>
      <c r="DL416" s="229"/>
      <c r="DM416" s="229"/>
      <c r="DN416" s="229"/>
      <c r="DO416" s="228">
        <f t="shared" si="1261"/>
        <v>0</v>
      </c>
      <c r="DP416" s="228">
        <f t="shared" si="1262"/>
        <v>676.4</v>
      </c>
      <c r="DQ416" s="229">
        <f t="shared" si="1326"/>
        <v>0</v>
      </c>
      <c r="DR416" s="229">
        <f t="shared" si="1327"/>
        <v>0</v>
      </c>
      <c r="DS416" s="229">
        <f t="shared" si="1328"/>
        <v>0</v>
      </c>
      <c r="DT416" s="229">
        <f t="shared" si="1329"/>
        <v>0</v>
      </c>
      <c r="DU416" s="229">
        <f t="shared" si="1330"/>
        <v>0</v>
      </c>
      <c r="DV416" s="229">
        <f t="shared" si="1331"/>
        <v>0</v>
      </c>
      <c r="DW416" s="229">
        <f t="shared" si="1332"/>
        <v>0</v>
      </c>
      <c r="DX416" s="228">
        <f t="shared" si="1263"/>
        <v>0</v>
      </c>
      <c r="DY416" s="229"/>
      <c r="DZ416" s="229"/>
      <c r="EA416" s="229"/>
      <c r="EB416" s="229"/>
      <c r="EC416" s="229"/>
      <c r="ED416" s="229"/>
      <c r="EE416" s="229"/>
      <c r="EF416" s="228">
        <f t="shared" si="1305"/>
        <v>0</v>
      </c>
      <c r="EG416" s="228">
        <f t="shared" si="1264"/>
        <v>0</v>
      </c>
      <c r="EH416" s="229">
        <f t="shared" si="1306"/>
        <v>87.39</v>
      </c>
      <c r="EI416" s="229">
        <v>76.959999999999994</v>
      </c>
      <c r="EJ416" s="228">
        <f t="shared" si="1280"/>
        <v>164.35</v>
      </c>
      <c r="EK416" s="229"/>
      <c r="EL416" s="229"/>
      <c r="EM416" s="228">
        <f t="shared" si="1336"/>
        <v>0</v>
      </c>
      <c r="EN416" s="229">
        <f t="shared" si="1273"/>
        <v>87.39</v>
      </c>
      <c r="EO416" s="229">
        <f t="shared" si="1302"/>
        <v>76.959999999999994</v>
      </c>
      <c r="EP416" s="228">
        <f t="shared" ref="EP416:EP430" si="1364">EM416+EJ416</f>
        <v>164.35</v>
      </c>
      <c r="EQ416" s="173">
        <f t="shared" si="1303"/>
        <v>0</v>
      </c>
      <c r="ER416" s="189">
        <v>0</v>
      </c>
      <c r="ES416" s="189">
        <v>82.1</v>
      </c>
      <c r="ET416" s="189">
        <v>33.1</v>
      </c>
      <c r="EU416" s="189">
        <v>43.5</v>
      </c>
      <c r="EV416" s="189">
        <v>0</v>
      </c>
      <c r="EW416" s="189">
        <v>223.7</v>
      </c>
      <c r="EX416" s="189">
        <v>0</v>
      </c>
      <c r="EY416" s="189">
        <v>212</v>
      </c>
      <c r="EZ416" s="189">
        <v>0</v>
      </c>
      <c r="FA416" s="189">
        <v>0</v>
      </c>
      <c r="FB416" s="189">
        <v>0</v>
      </c>
      <c r="FC416" s="189">
        <v>82</v>
      </c>
      <c r="FD416" s="189">
        <v>0</v>
      </c>
      <c r="FE416" s="189">
        <v>0</v>
      </c>
      <c r="FF416" s="189">
        <v>0</v>
      </c>
      <c r="FG416" s="189">
        <v>0</v>
      </c>
      <c r="FH416" s="189">
        <v>0</v>
      </c>
      <c r="FI416" s="189">
        <v>0</v>
      </c>
      <c r="FJ416" s="189">
        <v>0</v>
      </c>
      <c r="FK416" s="189">
        <v>676.4</v>
      </c>
      <c r="FL416" s="189">
        <v>501.5</v>
      </c>
      <c r="FN416" s="132">
        <v>87.39</v>
      </c>
    </row>
    <row r="417" spans="1:170" ht="31.9" customHeight="1">
      <c r="A417" s="88">
        <f>COUNTIF($H$12:H417,H417)</f>
        <v>24</v>
      </c>
      <c r="B417" s="88" t="s">
        <v>2699</v>
      </c>
      <c r="C417" s="88" t="s">
        <v>2869</v>
      </c>
      <c r="D417" s="88"/>
      <c r="E417" s="88"/>
      <c r="F417" s="301" t="s">
        <v>2857</v>
      </c>
      <c r="G417" s="89" t="s">
        <v>1651</v>
      </c>
      <c r="H417" s="88">
        <v>8</v>
      </c>
      <c r="I417" s="88">
        <v>8</v>
      </c>
      <c r="J417" s="88">
        <v>8</v>
      </c>
      <c r="K417" s="90" t="s">
        <v>1100</v>
      </c>
      <c r="L417" s="90" t="s">
        <v>1100</v>
      </c>
      <c r="M417" s="214"/>
      <c r="N417" s="88" t="s">
        <v>1804</v>
      </c>
      <c r="O417" s="216">
        <f>BO417</f>
        <v>3</v>
      </c>
      <c r="P417" s="88" t="str">
        <f t="shared" si="1333"/>
        <v>B1_3</v>
      </c>
      <c r="Q417" s="88">
        <f t="shared" si="1154"/>
        <v>270</v>
      </c>
      <c r="R417" s="88">
        <f t="shared" si="1155"/>
        <v>100</v>
      </c>
      <c r="S417" s="231" t="s">
        <v>2382</v>
      </c>
      <c r="T417" s="214" t="s">
        <v>3091</v>
      </c>
      <c r="U417" s="88">
        <f>IF(RIGHT(T417,1)="K",(VLOOKUP(T417,ma_miengiam!$A$3:$B$80,2,0)*100)/2,VLOOKUP(T417,ma_miengiam!$A$3:$B$80,2,0)*100)</f>
        <v>20</v>
      </c>
      <c r="V417" s="88"/>
      <c r="W417" s="220">
        <f>IF(AND(T417="NTS",V417&gt;0),(Q417-(Q417*V417)/12)*VLOOKUP(T417,ma_miengiam!$A$3:$B$80,2,0)+(Q417-(Q417*(12-V417))/12),IF(AND(RIGHT(T417,1)="K",V417&gt;0),(VLOOKUP(T417,ma_miengiam!$A$3:$B$80,2,0)/2)*(Q417*V417)/12,IF(RIGHT(T417,1)="K",(VLOOKUP(T417,ma_miengiam!$A$3:$B$80,2,0)*Q417)/2,IF(V417&gt;0,VLOOKUP(T417,ma_miengiam!$A$3:$B$80,2,0)*Q417*V417/12,VLOOKUP(T417,ma_miengiam!$A$3:$B$80,2,0)*Q417))))</f>
        <v>54</v>
      </c>
      <c r="X417" s="220">
        <f>IF(T417="NTS",VLOOKUP(T417,ma_miengiam!$A$3:$B$80,2,0)*R417*V417,IF(AND(T417="NTS",V417=0),0,IF(AND(LEFT(T417,1)="K",V417=0),VLOOKUP(T417,ma_miengiam!$A$3:$B$80,2,0)*R417,IF(LEFT(T417,1)="K",(VLOOKUP(T417,ma_miengiam!$A$3:$B$80,2,0)*R417/12)*V417,IF(AND(LEFT(T417,1)="S",V417&gt;0),(R417/12)*V417,IF(AND(LEFT(T417,1)="S",V417=0),R417,IF(T417="DH",VLOOKUP(T417,ma_miengiam!$A$3:$B$80,2,0)*R417,0)))))))</f>
        <v>0</v>
      </c>
      <c r="Y417" s="220">
        <f t="shared" si="1344"/>
        <v>216</v>
      </c>
      <c r="Z417" s="220">
        <f>IF(AND(T417="SĐH",V417&gt;0),(R417/12)*V417-X417,IF(AND(T417="DH",V417&gt;0),(R417*V417/12),IF(AND(T417&lt;&gt;"NTS",V417&gt;0),(R417*V417/12)-X417,IF(AND(T417="NTS",V417&gt;0),R417-X417,R417-X417))))</f>
        <v>100</v>
      </c>
      <c r="AA417" s="220">
        <f>Q417</f>
        <v>270</v>
      </c>
      <c r="AB417" s="220">
        <f>R417</f>
        <v>100</v>
      </c>
      <c r="AC417" s="220">
        <f>W417</f>
        <v>54</v>
      </c>
      <c r="AD417" s="220">
        <f>X417</f>
        <v>0</v>
      </c>
      <c r="AE417" s="220">
        <f>Y417</f>
        <v>216</v>
      </c>
      <c r="AF417" s="220">
        <f>Z417</f>
        <v>100</v>
      </c>
      <c r="AG417" s="220">
        <f t="shared" si="1357"/>
        <v>116.27</v>
      </c>
      <c r="AH417" s="220">
        <f t="shared" si="1358"/>
        <v>86.27</v>
      </c>
      <c r="AI417" s="220">
        <f t="shared" si="1359"/>
        <v>30</v>
      </c>
      <c r="AJ417" s="220">
        <f>IF(AG417-Z417&gt;0,0,AG417-Z417)</f>
        <v>0</v>
      </c>
      <c r="AK417" s="216">
        <f t="shared" si="1266"/>
        <v>216</v>
      </c>
      <c r="AL417" s="220">
        <f t="shared" si="1251"/>
        <v>485.6</v>
      </c>
      <c r="AM417" s="220">
        <f t="shared" si="1252"/>
        <v>0</v>
      </c>
      <c r="AN417" s="221">
        <f t="shared" si="1253"/>
        <v>485.6</v>
      </c>
      <c r="AO417" s="220">
        <f t="shared" si="1254"/>
        <v>0</v>
      </c>
      <c r="AP417" s="220">
        <f t="shared" si="1255"/>
        <v>0</v>
      </c>
      <c r="AQ417" s="220">
        <f t="shared" si="1256"/>
        <v>140</v>
      </c>
      <c r="AR417" s="220">
        <f t="shared" si="1257"/>
        <v>0</v>
      </c>
      <c r="AS417" s="220">
        <f t="shared" si="1258"/>
        <v>0</v>
      </c>
      <c r="AT417" s="216">
        <f t="shared" si="1259"/>
        <v>625.6</v>
      </c>
      <c r="AU417" s="222">
        <f t="shared" si="1300"/>
        <v>269.60000000000002</v>
      </c>
      <c r="AV417" s="220"/>
      <c r="AW417" s="220">
        <f t="shared" si="1165"/>
        <v>269.60000000000002</v>
      </c>
      <c r="AX417" s="216">
        <f t="shared" si="1267"/>
        <v>0</v>
      </c>
      <c r="AY417" s="220">
        <f t="shared" si="1179"/>
        <v>0</v>
      </c>
      <c r="AZ417" s="220">
        <f t="shared" si="1180"/>
        <v>0</v>
      </c>
      <c r="BA417" s="220">
        <f t="shared" si="1181"/>
        <v>140</v>
      </c>
      <c r="BB417" s="220">
        <f t="shared" si="1182"/>
        <v>0</v>
      </c>
      <c r="BC417" s="220">
        <f t="shared" si="1183"/>
        <v>0</v>
      </c>
      <c r="BD417" s="216">
        <f t="shared" si="1195"/>
        <v>140</v>
      </c>
      <c r="BE417" s="220">
        <f t="shared" si="1166"/>
        <v>0</v>
      </c>
      <c r="BF417" s="220">
        <f t="shared" si="1167"/>
        <v>0</v>
      </c>
      <c r="BG417" s="220">
        <f t="shared" si="1168"/>
        <v>0</v>
      </c>
      <c r="BH417" s="220">
        <f t="shared" si="1169"/>
        <v>0</v>
      </c>
      <c r="BI417" s="220">
        <f t="shared" si="1170"/>
        <v>0</v>
      </c>
      <c r="BJ417" s="220" t="s">
        <v>2423</v>
      </c>
      <c r="BK417" s="220"/>
      <c r="BL417" s="223">
        <f t="shared" si="1201"/>
        <v>269.60000000000002</v>
      </c>
      <c r="BM417" s="220">
        <v>3</v>
      </c>
      <c r="BN417" s="220"/>
      <c r="BO417" s="220">
        <f>ROUND(BM417+(BM417*BN417),2)</f>
        <v>3</v>
      </c>
      <c r="BP417" s="220">
        <f>IF(AND(BL417&gt;0,BL417&lt;tiet!$D$1),BL417,IF(BL417&lt;=0,0,IF(BL417&gt;tiet!$C$1,tiet!$C$1)))</f>
        <v>200</v>
      </c>
      <c r="BQ417" s="87">
        <f>VLOOKUP(P417,ma_dinhmuc_moi,4,0)</f>
        <v>60000</v>
      </c>
      <c r="BR417" s="224">
        <f>ROUND(BQ417*BP417,0)</f>
        <v>12000000</v>
      </c>
      <c r="BS417" s="220">
        <f t="shared" si="1301"/>
        <v>69.600000000000023</v>
      </c>
      <c r="BT417" s="224">
        <f>VLOOKUP(N417,ma_dinhmuc!$A$1:$J$31,10,0)</f>
        <v>51000</v>
      </c>
      <c r="BU417" s="224">
        <f>ROUND(IF(BS417&gt;0,VLOOKUP(N417,ma_dinhmuc!$A$1:$J$31,10,0)*BS417,0),0)</f>
        <v>3549600</v>
      </c>
      <c r="BV417" s="224">
        <f>ROUND(BU417+BR417,0)</f>
        <v>15549600</v>
      </c>
      <c r="BW417" s="224"/>
      <c r="BX417" s="224">
        <v>0</v>
      </c>
      <c r="BY417" s="224"/>
      <c r="BZ417" s="224"/>
      <c r="CA417" s="224"/>
      <c r="CB417" s="224"/>
      <c r="CC417" s="225">
        <f>ROUND(IF(BV417+BW417&gt;BX417+BY417+BZ417+CA417+CB417,(BW417+BV417)-(BX417+BY417+BZ417+CA417+CB417+CB417),0),0)</f>
        <v>15549600</v>
      </c>
      <c r="CD417" s="224">
        <f>ROUND(IF(BV417+BW417&lt;BX417+BY417+BZ417+CA417-CB417,(BX417+BY417+BZ417+CA417-CB417)-(BW417+BV417),0),0)</f>
        <v>0</v>
      </c>
      <c r="CE417" s="224"/>
      <c r="CF417" s="226"/>
      <c r="CG417" s="87"/>
      <c r="CH417" s="87">
        <f>A417</f>
        <v>24</v>
      </c>
      <c r="CI417" s="227" t="str">
        <f t="shared" si="1340"/>
        <v>Trần Thị</v>
      </c>
      <c r="CJ417" s="227" t="str">
        <f t="shared" si="1341"/>
        <v>Nhung</v>
      </c>
      <c r="CK417" s="87">
        <f t="shared" si="1342"/>
        <v>8</v>
      </c>
      <c r="CL417" s="227" t="str">
        <f>L417</f>
        <v>Thực phẩm và Dinh dưỡng</v>
      </c>
      <c r="CM417" s="87" t="str">
        <f t="shared" si="1172"/>
        <v>CS2</v>
      </c>
      <c r="CN417" s="87">
        <f>Q417</f>
        <v>270</v>
      </c>
      <c r="CO417" s="87">
        <f>R417</f>
        <v>100</v>
      </c>
      <c r="CP417" s="229">
        <f t="shared" si="1314"/>
        <v>0</v>
      </c>
      <c r="CQ417" s="229">
        <f t="shared" si="1315"/>
        <v>67.8</v>
      </c>
      <c r="CR417" s="229">
        <f t="shared" si="1316"/>
        <v>21.1</v>
      </c>
      <c r="CS417" s="229">
        <f t="shared" si="1317"/>
        <v>0</v>
      </c>
      <c r="CT417" s="229">
        <f t="shared" si="1318"/>
        <v>0</v>
      </c>
      <c r="CU417" s="229">
        <f t="shared" si="1319"/>
        <v>286.7</v>
      </c>
      <c r="CV417" s="229">
        <f t="shared" si="1320"/>
        <v>0</v>
      </c>
      <c r="CW417" s="229">
        <f t="shared" si="1321"/>
        <v>110</v>
      </c>
      <c r="CX417" s="229">
        <f t="shared" si="1322"/>
        <v>0</v>
      </c>
      <c r="CY417" s="229">
        <f t="shared" si="1323"/>
        <v>0</v>
      </c>
      <c r="CZ417" s="229">
        <f t="shared" si="1324"/>
        <v>0</v>
      </c>
      <c r="DA417" s="229">
        <f t="shared" si="1325"/>
        <v>140</v>
      </c>
      <c r="DB417" s="228">
        <f t="shared" si="1260"/>
        <v>625.6</v>
      </c>
      <c r="DC417" s="229"/>
      <c r="DD417" s="229"/>
      <c r="DE417" s="229"/>
      <c r="DF417" s="229"/>
      <c r="DG417" s="229"/>
      <c r="DH417" s="229"/>
      <c r="DI417" s="229"/>
      <c r="DJ417" s="229"/>
      <c r="DK417" s="229"/>
      <c r="DL417" s="229"/>
      <c r="DM417" s="229"/>
      <c r="DN417" s="229"/>
      <c r="DO417" s="228">
        <f t="shared" si="1261"/>
        <v>0</v>
      </c>
      <c r="DP417" s="228">
        <f t="shared" si="1262"/>
        <v>625.6</v>
      </c>
      <c r="DQ417" s="229">
        <f t="shared" si="1326"/>
        <v>0</v>
      </c>
      <c r="DR417" s="229">
        <f t="shared" si="1327"/>
        <v>0</v>
      </c>
      <c r="DS417" s="229">
        <f t="shared" si="1328"/>
        <v>0</v>
      </c>
      <c r="DT417" s="229">
        <f t="shared" si="1329"/>
        <v>0</v>
      </c>
      <c r="DU417" s="229">
        <f t="shared" si="1330"/>
        <v>0</v>
      </c>
      <c r="DV417" s="229">
        <f t="shared" si="1331"/>
        <v>0</v>
      </c>
      <c r="DW417" s="229">
        <f t="shared" si="1332"/>
        <v>0</v>
      </c>
      <c r="DX417" s="228">
        <f t="shared" si="1263"/>
        <v>0</v>
      </c>
      <c r="DY417" s="229"/>
      <c r="DZ417" s="229"/>
      <c r="EA417" s="229"/>
      <c r="EB417" s="229"/>
      <c r="EC417" s="229"/>
      <c r="ED417" s="229"/>
      <c r="EE417" s="229"/>
      <c r="EF417" s="228">
        <f t="shared" si="1305"/>
        <v>0</v>
      </c>
      <c r="EG417" s="228">
        <f t="shared" si="1264"/>
        <v>0</v>
      </c>
      <c r="EH417" s="229">
        <f t="shared" si="1306"/>
        <v>30</v>
      </c>
      <c r="EI417" s="229">
        <v>86.27</v>
      </c>
      <c r="EJ417" s="228">
        <f t="shared" si="1280"/>
        <v>116.27</v>
      </c>
      <c r="EK417" s="229"/>
      <c r="EL417" s="229"/>
      <c r="EM417" s="228">
        <f>SUM(EK417:EL417)</f>
        <v>0</v>
      </c>
      <c r="EN417" s="229">
        <f t="shared" si="1273"/>
        <v>30</v>
      </c>
      <c r="EO417" s="229">
        <f t="shared" si="1302"/>
        <v>86.27</v>
      </c>
      <c r="EP417" s="228">
        <f>EM417+EJ417</f>
        <v>116.27</v>
      </c>
      <c r="EQ417" s="173">
        <f t="shared" si="1303"/>
        <v>0</v>
      </c>
      <c r="ER417" s="189">
        <v>0</v>
      </c>
      <c r="ES417" s="189">
        <v>67.8</v>
      </c>
      <c r="ET417" s="189">
        <v>21.1</v>
      </c>
      <c r="EU417" s="189">
        <v>0</v>
      </c>
      <c r="EV417" s="189">
        <v>0</v>
      </c>
      <c r="EW417" s="189">
        <v>286.7</v>
      </c>
      <c r="EX417" s="189">
        <v>0</v>
      </c>
      <c r="EY417" s="189">
        <v>110</v>
      </c>
      <c r="EZ417" s="189">
        <v>0</v>
      </c>
      <c r="FA417" s="189">
        <v>0</v>
      </c>
      <c r="FB417" s="189">
        <v>0</v>
      </c>
      <c r="FC417" s="189">
        <v>140</v>
      </c>
      <c r="FD417" s="189">
        <v>0</v>
      </c>
      <c r="FE417" s="189">
        <v>0</v>
      </c>
      <c r="FF417" s="189">
        <v>0</v>
      </c>
      <c r="FG417" s="189">
        <v>0</v>
      </c>
      <c r="FH417" s="189">
        <v>0</v>
      </c>
      <c r="FI417" s="189">
        <v>0</v>
      </c>
      <c r="FJ417" s="189">
        <v>0</v>
      </c>
      <c r="FK417" s="189">
        <v>625.6</v>
      </c>
      <c r="FL417" s="189">
        <v>518</v>
      </c>
      <c r="FN417" s="132">
        <v>30</v>
      </c>
    </row>
    <row r="418" spans="1:170" ht="30">
      <c r="A418" s="88">
        <f>COUNTIF($H$12:H418,H418)</f>
        <v>25</v>
      </c>
      <c r="B418" s="88" t="s">
        <v>2700</v>
      </c>
      <c r="C418" s="88" t="s">
        <v>2870</v>
      </c>
      <c r="D418" s="88"/>
      <c r="E418" s="88"/>
      <c r="F418" s="301" t="s">
        <v>1143</v>
      </c>
      <c r="G418" s="89" t="s">
        <v>1144</v>
      </c>
      <c r="H418" s="88">
        <v>8</v>
      </c>
      <c r="I418" s="88">
        <v>8</v>
      </c>
      <c r="J418" s="88">
        <v>8</v>
      </c>
      <c r="K418" s="237" t="s">
        <v>1268</v>
      </c>
      <c r="L418" s="237" t="s">
        <v>1268</v>
      </c>
      <c r="M418" s="214"/>
      <c r="N418" s="88" t="s">
        <v>1804</v>
      </c>
      <c r="O418" s="216">
        <f>BO418</f>
        <v>3.66</v>
      </c>
      <c r="P418" s="88" t="str">
        <f t="shared" si="1333"/>
        <v>B1_4</v>
      </c>
      <c r="Q418" s="88">
        <f t="shared" si="1154"/>
        <v>270</v>
      </c>
      <c r="R418" s="88">
        <f t="shared" si="1155"/>
        <v>120</v>
      </c>
      <c r="S418" s="218" t="s">
        <v>3004</v>
      </c>
      <c r="T418" s="88" t="s">
        <v>1326</v>
      </c>
      <c r="U418" s="88">
        <f>IF(RIGHT(T418,1)="K",(VLOOKUP(T418,ma_miengiam!$A$3:$B$80,2,0)*100)/2,VLOOKUP(T418,ma_miengiam!$A$3:$B$80,2,0)*100)</f>
        <v>65</v>
      </c>
      <c r="V418" s="88"/>
      <c r="W418" s="220">
        <f>IF(AND(T418="NTS",V418&gt;0),(Q418-(Q418*V418)/12)*VLOOKUP(T418,ma_miengiam!$A$3:$B$80,2,0)+(Q418-(Q418*(12-V418))/12),IF(AND(RIGHT(T418,1)="K",V418&gt;0),(VLOOKUP(T418,ma_miengiam!$A$3:$B$80,2,0)/2)*(Q418*V418)/12,IF(RIGHT(T418,1)="K",(VLOOKUP(T418,ma_miengiam!$A$3:$B$80,2,0)*Q418)/2,IF(V418&gt;0,VLOOKUP(T418,ma_miengiam!$A$3:$B$80,2,0)*Q418*V418/12,VLOOKUP(T418,ma_miengiam!$A$3:$B$80,2,0)*Q418))))</f>
        <v>175.5</v>
      </c>
      <c r="X418" s="220">
        <f>IF(T418="NTS",VLOOKUP(T418,ma_miengiam!$A$3:$B$80,2,0)*R418*V418,IF(AND(T418="NTS",V418=0),0,IF(AND(LEFT(T418,1)="K",V418=0),VLOOKUP(T418,ma_miengiam!$A$3:$B$80,2,0)*R418,IF(LEFT(T418,1)="K",(VLOOKUP(T418,ma_miengiam!$A$3:$B$80,2,0)*R418/12)*V418,IF(AND(LEFT(T418,1)="S",V418&gt;0),(R418/12)*V418,IF(AND(LEFT(T418,1)="S",V418=0),R418,IF(T418="DH",VLOOKUP(T418,ma_miengiam!$A$3:$B$80,2,0)*R418,0)))))))</f>
        <v>120</v>
      </c>
      <c r="Y418" s="220">
        <f t="shared" si="1344"/>
        <v>94.5</v>
      </c>
      <c r="Z418" s="220">
        <f t="shared" si="1360"/>
        <v>0</v>
      </c>
      <c r="AA418" s="220">
        <f t="shared" si="1361"/>
        <v>270</v>
      </c>
      <c r="AB418" s="220">
        <f t="shared" si="1361"/>
        <v>120</v>
      </c>
      <c r="AC418" s="220">
        <f t="shared" si="1362"/>
        <v>175.5</v>
      </c>
      <c r="AD418" s="220">
        <f t="shared" si="1362"/>
        <v>120</v>
      </c>
      <c r="AE418" s="220">
        <f t="shared" si="1362"/>
        <v>94.5</v>
      </c>
      <c r="AF418" s="220">
        <f t="shared" si="1362"/>
        <v>0</v>
      </c>
      <c r="AG418" s="220">
        <f t="shared" si="1357"/>
        <v>97.89</v>
      </c>
      <c r="AH418" s="220">
        <f t="shared" si="1358"/>
        <v>60</v>
      </c>
      <c r="AI418" s="220">
        <f t="shared" si="1359"/>
        <v>37.89</v>
      </c>
      <c r="AJ418" s="220">
        <f>IF(AG418-Z418&gt;0,0,AG418-Z418)</f>
        <v>0</v>
      </c>
      <c r="AK418" s="216">
        <f t="shared" si="1266"/>
        <v>94.5</v>
      </c>
      <c r="AL418" s="220">
        <f t="shared" si="1251"/>
        <v>145.19999999999999</v>
      </c>
      <c r="AM418" s="220">
        <f t="shared" si="1252"/>
        <v>0</v>
      </c>
      <c r="AN418" s="221">
        <f t="shared" si="1253"/>
        <v>145.19999999999999</v>
      </c>
      <c r="AO418" s="220">
        <f t="shared" si="1254"/>
        <v>0</v>
      </c>
      <c r="AP418" s="220">
        <f t="shared" si="1255"/>
        <v>0</v>
      </c>
      <c r="AQ418" s="220">
        <f t="shared" si="1256"/>
        <v>120</v>
      </c>
      <c r="AR418" s="220">
        <f t="shared" si="1257"/>
        <v>0</v>
      </c>
      <c r="AS418" s="220">
        <f t="shared" si="1258"/>
        <v>0</v>
      </c>
      <c r="AT418" s="216">
        <f t="shared" si="1259"/>
        <v>265.2</v>
      </c>
      <c r="AU418" s="222">
        <f t="shared" si="1300"/>
        <v>50.699999999999989</v>
      </c>
      <c r="AV418" s="220"/>
      <c r="AW418" s="220">
        <f t="shared" si="1165"/>
        <v>50.699999999999989</v>
      </c>
      <c r="AX418" s="216">
        <f t="shared" si="1267"/>
        <v>0</v>
      </c>
      <c r="AY418" s="220">
        <f t="shared" si="1179"/>
        <v>0</v>
      </c>
      <c r="AZ418" s="220">
        <f t="shared" si="1180"/>
        <v>0</v>
      </c>
      <c r="BA418" s="220">
        <f t="shared" si="1181"/>
        <v>120</v>
      </c>
      <c r="BB418" s="220">
        <f t="shared" si="1182"/>
        <v>0</v>
      </c>
      <c r="BC418" s="220">
        <f t="shared" si="1183"/>
        <v>0</v>
      </c>
      <c r="BD418" s="216">
        <f t="shared" si="1195"/>
        <v>120</v>
      </c>
      <c r="BE418" s="220">
        <f t="shared" si="1166"/>
        <v>0</v>
      </c>
      <c r="BF418" s="220">
        <f t="shared" si="1167"/>
        <v>0</v>
      </c>
      <c r="BG418" s="220">
        <f t="shared" si="1168"/>
        <v>0</v>
      </c>
      <c r="BH418" s="220">
        <f t="shared" si="1169"/>
        <v>0</v>
      </c>
      <c r="BI418" s="220">
        <f t="shared" si="1170"/>
        <v>0</v>
      </c>
      <c r="BJ418" s="220" t="s">
        <v>2970</v>
      </c>
      <c r="BK418" s="220"/>
      <c r="BL418" s="223">
        <f t="shared" si="1201"/>
        <v>50.699999999999989</v>
      </c>
      <c r="BM418" s="220">
        <v>3.66</v>
      </c>
      <c r="BN418" s="220"/>
      <c r="BO418" s="220">
        <f t="shared" si="1356"/>
        <v>3.66</v>
      </c>
      <c r="BP418" s="220">
        <f>IF(AND(BL418&gt;0,BL418&lt;tiet!$D$1),BL418,IF(BL418&lt;=0,0,IF(BL418&gt;tiet!$C$1,tiet!$C$1)))</f>
        <v>50.699999999999989</v>
      </c>
      <c r="BQ418" s="87">
        <f>VLOOKUP(P418,ma_dinhmuc_moi,4,0)</f>
        <v>65000</v>
      </c>
      <c r="BR418" s="224">
        <f>ROUND(BQ418*BP418,0)</f>
        <v>3295500</v>
      </c>
      <c r="BS418" s="220">
        <f t="shared" si="1301"/>
        <v>0</v>
      </c>
      <c r="BT418" s="224">
        <f>VLOOKUP(N418,ma_dinhmuc!$A$1:$J$31,10,0)</f>
        <v>51000</v>
      </c>
      <c r="BU418" s="224">
        <f>ROUND(IF(BS418&gt;0,VLOOKUP(N418,ma_dinhmuc!$A$1:$J$31,10,0)*BS418,0),0)</f>
        <v>0</v>
      </c>
      <c r="BV418" s="224">
        <f>ROUND(BU418+BR418,0)</f>
        <v>3295500</v>
      </c>
      <c r="BW418" s="224"/>
      <c r="BX418" s="224">
        <v>0</v>
      </c>
      <c r="BY418" s="224"/>
      <c r="BZ418" s="224"/>
      <c r="CA418" s="224"/>
      <c r="CB418" s="224"/>
      <c r="CC418" s="225">
        <f t="shared" si="1286"/>
        <v>3295500</v>
      </c>
      <c r="CD418" s="224">
        <f t="shared" si="1287"/>
        <v>0</v>
      </c>
      <c r="CE418" s="224"/>
      <c r="CF418" s="226"/>
      <c r="CG418" s="87"/>
      <c r="CH418" s="87">
        <f t="shared" si="1353"/>
        <v>25</v>
      </c>
      <c r="CI418" s="227" t="str">
        <f t="shared" si="1340"/>
        <v>Phan Thị Phương</v>
      </c>
      <c r="CJ418" s="227" t="str">
        <f t="shared" si="1341"/>
        <v>Thảo</v>
      </c>
      <c r="CK418" s="87">
        <f t="shared" si="1342"/>
        <v>8</v>
      </c>
      <c r="CL418" s="227" t="str">
        <f>L418</f>
        <v>QLCL và An toàn thực phẩm</v>
      </c>
      <c r="CM418" s="87" t="str">
        <f t="shared" si="1172"/>
        <v>CS2</v>
      </c>
      <c r="CN418" s="87">
        <f>Q418</f>
        <v>270</v>
      </c>
      <c r="CO418" s="87">
        <f>R418</f>
        <v>120</v>
      </c>
      <c r="CP418" s="229">
        <f t="shared" si="1314"/>
        <v>0</v>
      </c>
      <c r="CQ418" s="229">
        <f t="shared" si="1315"/>
        <v>9.4</v>
      </c>
      <c r="CR418" s="229">
        <f t="shared" si="1316"/>
        <v>3.8</v>
      </c>
      <c r="CS418" s="229">
        <f t="shared" si="1317"/>
        <v>0</v>
      </c>
      <c r="CT418" s="229">
        <f t="shared" si="1318"/>
        <v>0</v>
      </c>
      <c r="CU418" s="229">
        <f t="shared" si="1319"/>
        <v>30</v>
      </c>
      <c r="CV418" s="229">
        <f t="shared" si="1320"/>
        <v>0</v>
      </c>
      <c r="CW418" s="229">
        <f t="shared" si="1321"/>
        <v>102</v>
      </c>
      <c r="CX418" s="229">
        <f t="shared" si="1322"/>
        <v>0</v>
      </c>
      <c r="CY418" s="229">
        <f t="shared" si="1323"/>
        <v>0</v>
      </c>
      <c r="CZ418" s="229">
        <f t="shared" si="1324"/>
        <v>0</v>
      </c>
      <c r="DA418" s="229">
        <f t="shared" si="1325"/>
        <v>120</v>
      </c>
      <c r="DB418" s="228">
        <f t="shared" si="1260"/>
        <v>265.2</v>
      </c>
      <c r="DC418" s="229"/>
      <c r="DD418" s="229"/>
      <c r="DE418" s="229"/>
      <c r="DF418" s="229"/>
      <c r="DG418" s="229"/>
      <c r="DH418" s="229"/>
      <c r="DI418" s="229"/>
      <c r="DJ418" s="229"/>
      <c r="DK418" s="229"/>
      <c r="DL418" s="229"/>
      <c r="DM418" s="229"/>
      <c r="DN418" s="229"/>
      <c r="DO418" s="228">
        <f t="shared" si="1261"/>
        <v>0</v>
      </c>
      <c r="DP418" s="228">
        <f t="shared" si="1262"/>
        <v>265.2</v>
      </c>
      <c r="DQ418" s="229">
        <f t="shared" si="1326"/>
        <v>0</v>
      </c>
      <c r="DR418" s="229">
        <f t="shared" si="1327"/>
        <v>0</v>
      </c>
      <c r="DS418" s="229">
        <f t="shared" si="1328"/>
        <v>0</v>
      </c>
      <c r="DT418" s="229">
        <f t="shared" si="1329"/>
        <v>0</v>
      </c>
      <c r="DU418" s="229">
        <f t="shared" si="1330"/>
        <v>0</v>
      </c>
      <c r="DV418" s="229">
        <f t="shared" si="1331"/>
        <v>0</v>
      </c>
      <c r="DW418" s="229">
        <f t="shared" si="1332"/>
        <v>0</v>
      </c>
      <c r="DX418" s="228">
        <f t="shared" si="1263"/>
        <v>0</v>
      </c>
      <c r="DY418" s="229"/>
      <c r="DZ418" s="229"/>
      <c r="EA418" s="229"/>
      <c r="EB418" s="229"/>
      <c r="EC418" s="229"/>
      <c r="ED418" s="229"/>
      <c r="EE418" s="229"/>
      <c r="EF418" s="228">
        <f t="shared" si="1305"/>
        <v>0</v>
      </c>
      <c r="EG418" s="228">
        <f t="shared" si="1264"/>
        <v>0</v>
      </c>
      <c r="EH418" s="229">
        <f t="shared" si="1306"/>
        <v>37.89</v>
      </c>
      <c r="EI418" s="229">
        <v>60</v>
      </c>
      <c r="EJ418" s="228">
        <f t="shared" si="1280"/>
        <v>97.89</v>
      </c>
      <c r="EK418" s="229"/>
      <c r="EL418" s="229"/>
      <c r="EM418" s="228">
        <f>SUM(EK418:EL418)</f>
        <v>0</v>
      </c>
      <c r="EN418" s="229">
        <f t="shared" si="1273"/>
        <v>37.89</v>
      </c>
      <c r="EO418" s="229">
        <f t="shared" si="1302"/>
        <v>60</v>
      </c>
      <c r="EP418" s="228">
        <f t="shared" si="1364"/>
        <v>97.89</v>
      </c>
      <c r="EQ418" s="173">
        <f t="shared" si="1303"/>
        <v>37.89</v>
      </c>
      <c r="ER418" s="189">
        <v>0</v>
      </c>
      <c r="ES418" s="189">
        <v>9.4</v>
      </c>
      <c r="ET418" s="189">
        <v>3.8</v>
      </c>
      <c r="EU418" s="189">
        <v>0</v>
      </c>
      <c r="EV418" s="189">
        <v>0</v>
      </c>
      <c r="EW418" s="189">
        <v>30</v>
      </c>
      <c r="EX418" s="189">
        <v>0</v>
      </c>
      <c r="EY418" s="189">
        <v>102</v>
      </c>
      <c r="EZ418" s="189">
        <v>0</v>
      </c>
      <c r="FA418" s="189">
        <v>0</v>
      </c>
      <c r="FB418" s="189">
        <v>0</v>
      </c>
      <c r="FC418" s="189">
        <v>120</v>
      </c>
      <c r="FD418" s="189">
        <v>0</v>
      </c>
      <c r="FE418" s="189">
        <v>0</v>
      </c>
      <c r="FF418" s="189">
        <v>0</v>
      </c>
      <c r="FG418" s="189">
        <v>0</v>
      </c>
      <c r="FH418" s="189">
        <v>0</v>
      </c>
      <c r="FI418" s="189">
        <v>0</v>
      </c>
      <c r="FJ418" s="189">
        <v>0</v>
      </c>
      <c r="FK418" s="189">
        <v>265.2</v>
      </c>
      <c r="FL418" s="189">
        <v>256</v>
      </c>
      <c r="FN418" s="132">
        <v>37.89</v>
      </c>
    </row>
    <row r="419" spans="1:170" ht="30.75" customHeight="1">
      <c r="A419" s="88">
        <f>COUNTIF($H$12:H419,H419)</f>
        <v>26</v>
      </c>
      <c r="B419" s="88" t="s">
        <v>2701</v>
      </c>
      <c r="C419" s="88" t="s">
        <v>2871</v>
      </c>
      <c r="D419" s="88"/>
      <c r="E419" s="88"/>
      <c r="F419" s="301" t="s">
        <v>820</v>
      </c>
      <c r="G419" s="89" t="s">
        <v>2901</v>
      </c>
      <c r="H419" s="88">
        <v>8</v>
      </c>
      <c r="I419" s="88">
        <v>8</v>
      </c>
      <c r="J419" s="88">
        <v>8</v>
      </c>
      <c r="K419" s="237" t="s">
        <v>1268</v>
      </c>
      <c r="L419" s="237" t="s">
        <v>1268</v>
      </c>
      <c r="M419" s="214"/>
      <c r="N419" s="88" t="s">
        <v>1804</v>
      </c>
      <c r="O419" s="216">
        <f t="shared" si="1304"/>
        <v>3.66</v>
      </c>
      <c r="P419" s="88" t="str">
        <f t="shared" si="1333"/>
        <v>B1_4</v>
      </c>
      <c r="Q419" s="88">
        <f t="shared" si="1154"/>
        <v>270</v>
      </c>
      <c r="R419" s="88">
        <f t="shared" si="1155"/>
        <v>120</v>
      </c>
      <c r="S419" s="230"/>
      <c r="T419" s="214" t="s">
        <v>3088</v>
      </c>
      <c r="U419" s="88">
        <f>IF(RIGHT(T419,1)="K",(VLOOKUP(T419,ma_miengiam!$A$3:$B$80,2,0)*100)/2,VLOOKUP(T419,ma_miengiam!$A$3:$B$80,2,0)*100)</f>
        <v>0</v>
      </c>
      <c r="V419" s="88"/>
      <c r="W419" s="220">
        <f>IF(AND(T419="NTS",V419&gt;0),(Q419-(Q419*V419)/12)*VLOOKUP(T419,ma_miengiam!$A$3:$B$80,2,0)+(Q419-(Q419*(12-V419))/12),IF(AND(RIGHT(T419,1)="K",V419&gt;0),(VLOOKUP(T419,ma_miengiam!$A$3:$B$80,2,0)/2)*(Q419*V419)/12,IF(RIGHT(T419,1)="K",(VLOOKUP(T419,ma_miengiam!$A$3:$B$80,2,0)*Q419)/2,IF(V419&gt;0,VLOOKUP(T419,ma_miengiam!$A$3:$B$80,2,0)*Q419*V419/12,VLOOKUP(T419,ma_miengiam!$A$3:$B$80,2,0)*Q419))))</f>
        <v>0</v>
      </c>
      <c r="X419" s="220">
        <f>IF(T419="NTS",VLOOKUP(T419,ma_miengiam!$A$3:$B$80,2,0)*R419*V419,IF(AND(T419="NTS",V419=0),0,IF(AND(LEFT(T419,1)="K",V419=0),VLOOKUP(T419,ma_miengiam!$A$3:$B$80,2,0)*R419,IF(LEFT(T419,1)="K",(VLOOKUP(T419,ma_miengiam!$A$3:$B$80,2,0)*R419/12)*V419,IF(AND(LEFT(T419,1)="S",V419&gt;0),(R419/12)*V419,IF(AND(LEFT(T419,1)="S",V419=0),R419,IF(T419="DH",VLOOKUP(T419,ma_miengiam!$A$3:$B$80,2,0)*R419,0)))))))</f>
        <v>0</v>
      </c>
      <c r="Y419" s="220">
        <f t="shared" si="1344"/>
        <v>270</v>
      </c>
      <c r="Z419" s="220">
        <f t="shared" si="1360"/>
        <v>120</v>
      </c>
      <c r="AA419" s="220">
        <f t="shared" si="1361"/>
        <v>270</v>
      </c>
      <c r="AB419" s="220">
        <f t="shared" si="1361"/>
        <v>120</v>
      </c>
      <c r="AC419" s="220">
        <f t="shared" ref="AC419:AF420" si="1365">W419</f>
        <v>0</v>
      </c>
      <c r="AD419" s="220">
        <f t="shared" si="1365"/>
        <v>0</v>
      </c>
      <c r="AE419" s="220">
        <f t="shared" si="1365"/>
        <v>270</v>
      </c>
      <c r="AF419" s="220">
        <f t="shared" si="1365"/>
        <v>120</v>
      </c>
      <c r="AG419" s="220">
        <f t="shared" si="1357"/>
        <v>0</v>
      </c>
      <c r="AH419" s="220">
        <f t="shared" si="1358"/>
        <v>0</v>
      </c>
      <c r="AI419" s="220">
        <f t="shared" si="1359"/>
        <v>0</v>
      </c>
      <c r="AJ419" s="220">
        <f t="shared" si="1190"/>
        <v>-120</v>
      </c>
      <c r="AK419" s="216">
        <f t="shared" si="1266"/>
        <v>390</v>
      </c>
      <c r="AL419" s="220">
        <f t="shared" si="1251"/>
        <v>401.2</v>
      </c>
      <c r="AM419" s="220">
        <f t="shared" si="1252"/>
        <v>0</v>
      </c>
      <c r="AN419" s="221">
        <f t="shared" si="1253"/>
        <v>401.2</v>
      </c>
      <c r="AO419" s="220">
        <f t="shared" si="1254"/>
        <v>0</v>
      </c>
      <c r="AP419" s="220">
        <f t="shared" si="1255"/>
        <v>0</v>
      </c>
      <c r="AQ419" s="220">
        <f t="shared" si="1256"/>
        <v>100</v>
      </c>
      <c r="AR419" s="220">
        <f t="shared" si="1257"/>
        <v>0</v>
      </c>
      <c r="AS419" s="220">
        <f t="shared" si="1258"/>
        <v>0</v>
      </c>
      <c r="AT419" s="216">
        <f t="shared" si="1259"/>
        <v>501.2</v>
      </c>
      <c r="AU419" s="222">
        <f t="shared" si="1300"/>
        <v>11.199999999999989</v>
      </c>
      <c r="AV419" s="220"/>
      <c r="AW419" s="220">
        <f t="shared" si="1165"/>
        <v>11.199999999999989</v>
      </c>
      <c r="AX419" s="216">
        <f t="shared" si="1267"/>
        <v>0</v>
      </c>
      <c r="AY419" s="220">
        <f t="shared" si="1179"/>
        <v>0</v>
      </c>
      <c r="AZ419" s="220">
        <f t="shared" si="1180"/>
        <v>0</v>
      </c>
      <c r="BA419" s="220">
        <f t="shared" si="1181"/>
        <v>100</v>
      </c>
      <c r="BB419" s="220">
        <f t="shared" si="1182"/>
        <v>0</v>
      </c>
      <c r="BC419" s="220">
        <f t="shared" si="1183"/>
        <v>0</v>
      </c>
      <c r="BD419" s="216">
        <f t="shared" si="1195"/>
        <v>100</v>
      </c>
      <c r="BE419" s="220">
        <f t="shared" si="1166"/>
        <v>0</v>
      </c>
      <c r="BF419" s="220">
        <f t="shared" si="1167"/>
        <v>0</v>
      </c>
      <c r="BG419" s="220">
        <f t="shared" si="1168"/>
        <v>0</v>
      </c>
      <c r="BH419" s="220">
        <f t="shared" si="1169"/>
        <v>0</v>
      </c>
      <c r="BI419" s="220">
        <f t="shared" si="1170"/>
        <v>0</v>
      </c>
      <c r="BJ419" s="220" t="s">
        <v>2970</v>
      </c>
      <c r="BK419" s="220"/>
      <c r="BL419" s="223">
        <f t="shared" si="1201"/>
        <v>11.199999999999989</v>
      </c>
      <c r="BM419" s="220">
        <v>3.66</v>
      </c>
      <c r="BN419" s="220"/>
      <c r="BO419" s="220">
        <f t="shared" si="1356"/>
        <v>3.66</v>
      </c>
      <c r="BP419" s="220">
        <f>IF(AND(BL419&gt;0,BL419&lt;tiet!$D$1),BL419,IF(BL419&lt;=0,0,IF(BL419&gt;tiet!$C$1,tiet!$C$1)))</f>
        <v>11.199999999999989</v>
      </c>
      <c r="BQ419" s="87">
        <f t="shared" si="1191"/>
        <v>65000</v>
      </c>
      <c r="BR419" s="224">
        <f t="shared" si="1192"/>
        <v>728000</v>
      </c>
      <c r="BS419" s="220">
        <f t="shared" si="1301"/>
        <v>0</v>
      </c>
      <c r="BT419" s="224">
        <f>VLOOKUP(N419,ma_dinhmuc!$A$1:$J$31,10,0)</f>
        <v>51000</v>
      </c>
      <c r="BU419" s="224">
        <f>ROUND(IF(BS419&gt;0,VLOOKUP(N419,ma_dinhmuc!$A$1:$J$31,10,0)*BS419,0),0)</f>
        <v>0</v>
      </c>
      <c r="BV419" s="224">
        <f t="shared" si="1193"/>
        <v>728000</v>
      </c>
      <c r="BW419" s="224"/>
      <c r="BX419" s="224">
        <v>0</v>
      </c>
      <c r="BY419" s="224"/>
      <c r="BZ419" s="224"/>
      <c r="CA419" s="224"/>
      <c r="CB419" s="224"/>
      <c r="CC419" s="225">
        <f t="shared" si="1286"/>
        <v>728000</v>
      </c>
      <c r="CD419" s="224">
        <f t="shared" si="1287"/>
        <v>0</v>
      </c>
      <c r="CE419" s="224"/>
      <c r="CF419" s="226"/>
      <c r="CG419" s="87"/>
      <c r="CH419" s="87">
        <f t="shared" si="1353"/>
        <v>26</v>
      </c>
      <c r="CI419" s="227" t="str">
        <f t="shared" si="1340"/>
        <v>Ngô Xuân</v>
      </c>
      <c r="CJ419" s="227" t="str">
        <f t="shared" si="1341"/>
        <v>Dũng</v>
      </c>
      <c r="CK419" s="87">
        <f t="shared" si="1342"/>
        <v>8</v>
      </c>
      <c r="CL419" s="227" t="str">
        <f t="shared" si="1343"/>
        <v>QLCL và An toàn thực phẩm</v>
      </c>
      <c r="CM419" s="87" t="str">
        <f t="shared" si="1172"/>
        <v>CS2</v>
      </c>
      <c r="CN419" s="87">
        <f t="shared" si="1363"/>
        <v>270</v>
      </c>
      <c r="CO419" s="87">
        <f t="shared" si="1363"/>
        <v>120</v>
      </c>
      <c r="CP419" s="229">
        <f t="shared" si="1314"/>
        <v>0</v>
      </c>
      <c r="CQ419" s="229">
        <f t="shared" si="1315"/>
        <v>50</v>
      </c>
      <c r="CR419" s="229">
        <f t="shared" si="1316"/>
        <v>20</v>
      </c>
      <c r="CS419" s="229">
        <f t="shared" si="1317"/>
        <v>43.5</v>
      </c>
      <c r="CT419" s="229">
        <f t="shared" si="1318"/>
        <v>0</v>
      </c>
      <c r="CU419" s="229">
        <f t="shared" si="1319"/>
        <v>131.69999999999999</v>
      </c>
      <c r="CV419" s="229">
        <f t="shared" si="1320"/>
        <v>0</v>
      </c>
      <c r="CW419" s="229">
        <f t="shared" si="1321"/>
        <v>156</v>
      </c>
      <c r="CX419" s="229">
        <f t="shared" si="1322"/>
        <v>0</v>
      </c>
      <c r="CY419" s="229">
        <f t="shared" si="1323"/>
        <v>0</v>
      </c>
      <c r="CZ419" s="229">
        <f t="shared" si="1324"/>
        <v>0</v>
      </c>
      <c r="DA419" s="229">
        <f t="shared" si="1325"/>
        <v>100</v>
      </c>
      <c r="DB419" s="228">
        <f t="shared" si="1260"/>
        <v>501.2</v>
      </c>
      <c r="DC419" s="229"/>
      <c r="DD419" s="229"/>
      <c r="DE419" s="229"/>
      <c r="DF419" s="229"/>
      <c r="DG419" s="229"/>
      <c r="DH419" s="229"/>
      <c r="DI419" s="229"/>
      <c r="DJ419" s="229"/>
      <c r="DK419" s="229"/>
      <c r="DL419" s="229"/>
      <c r="DM419" s="229"/>
      <c r="DN419" s="229"/>
      <c r="DO419" s="228">
        <f t="shared" si="1261"/>
        <v>0</v>
      </c>
      <c r="DP419" s="228">
        <f t="shared" si="1262"/>
        <v>501.2</v>
      </c>
      <c r="DQ419" s="229">
        <f t="shared" si="1326"/>
        <v>0</v>
      </c>
      <c r="DR419" s="229">
        <f t="shared" si="1327"/>
        <v>0</v>
      </c>
      <c r="DS419" s="229">
        <f t="shared" si="1328"/>
        <v>0</v>
      </c>
      <c r="DT419" s="229">
        <f t="shared" si="1329"/>
        <v>0</v>
      </c>
      <c r="DU419" s="229">
        <f t="shared" si="1330"/>
        <v>0</v>
      </c>
      <c r="DV419" s="229">
        <f t="shared" si="1331"/>
        <v>0</v>
      </c>
      <c r="DW419" s="229">
        <f t="shared" si="1332"/>
        <v>0</v>
      </c>
      <c r="DX419" s="228">
        <f t="shared" si="1263"/>
        <v>0</v>
      </c>
      <c r="DY419" s="229"/>
      <c r="DZ419" s="229"/>
      <c r="EA419" s="229"/>
      <c r="EB419" s="229"/>
      <c r="EC419" s="229"/>
      <c r="ED419" s="229"/>
      <c r="EE419" s="229"/>
      <c r="EF419" s="228">
        <f t="shared" si="1305"/>
        <v>0</v>
      </c>
      <c r="EG419" s="228">
        <f t="shared" si="1264"/>
        <v>0</v>
      </c>
      <c r="EH419" s="229">
        <f t="shared" si="1306"/>
        <v>0</v>
      </c>
      <c r="EI419" s="229">
        <v>0</v>
      </c>
      <c r="EJ419" s="228">
        <f t="shared" si="1280"/>
        <v>0</v>
      </c>
      <c r="EK419" s="229"/>
      <c r="EL419" s="229"/>
      <c r="EM419" s="228">
        <f t="shared" si="1336"/>
        <v>0</v>
      </c>
      <c r="EN419" s="229">
        <f t="shared" si="1273"/>
        <v>0</v>
      </c>
      <c r="EO419" s="229">
        <f t="shared" si="1302"/>
        <v>0</v>
      </c>
      <c r="EP419" s="228">
        <f t="shared" si="1364"/>
        <v>0</v>
      </c>
      <c r="EQ419" s="173">
        <f t="shared" si="1303"/>
        <v>0</v>
      </c>
      <c r="ER419" s="189">
        <v>0</v>
      </c>
      <c r="ES419" s="189">
        <v>50</v>
      </c>
      <c r="ET419" s="189">
        <v>20</v>
      </c>
      <c r="EU419" s="189">
        <v>43.5</v>
      </c>
      <c r="EV419" s="189">
        <v>0</v>
      </c>
      <c r="EW419" s="189">
        <v>131.69999999999999</v>
      </c>
      <c r="EX419" s="189">
        <v>0</v>
      </c>
      <c r="EY419" s="189">
        <v>156</v>
      </c>
      <c r="EZ419" s="189">
        <v>0</v>
      </c>
      <c r="FA419" s="189">
        <v>0</v>
      </c>
      <c r="FB419" s="189">
        <v>0</v>
      </c>
      <c r="FC419" s="189">
        <v>100</v>
      </c>
      <c r="FD419" s="189">
        <v>0</v>
      </c>
      <c r="FE419" s="189">
        <v>0</v>
      </c>
      <c r="FF419" s="189">
        <v>0</v>
      </c>
      <c r="FG419" s="189">
        <v>0</v>
      </c>
      <c r="FH419" s="189">
        <v>0</v>
      </c>
      <c r="FI419" s="189">
        <v>0</v>
      </c>
      <c r="FJ419" s="189">
        <v>0</v>
      </c>
      <c r="FK419" s="189">
        <v>501.2</v>
      </c>
      <c r="FL419" s="189">
        <v>391.5</v>
      </c>
      <c r="FN419" s="132">
        <v>0</v>
      </c>
    </row>
    <row r="420" spans="1:170" ht="30" customHeight="1">
      <c r="A420" s="88">
        <f>COUNTIF($H$12:H420,H420)</f>
        <v>27</v>
      </c>
      <c r="B420" s="88" t="s">
        <v>2702</v>
      </c>
      <c r="C420" s="88" t="s">
        <v>1624</v>
      </c>
      <c r="D420" s="88"/>
      <c r="E420" s="88"/>
      <c r="F420" s="301" t="s">
        <v>3192</v>
      </c>
      <c r="G420" s="89" t="s">
        <v>11</v>
      </c>
      <c r="H420" s="88">
        <v>8</v>
      </c>
      <c r="I420" s="88">
        <v>8</v>
      </c>
      <c r="J420" s="88">
        <v>8</v>
      </c>
      <c r="K420" s="237" t="s">
        <v>1268</v>
      </c>
      <c r="L420" s="237" t="s">
        <v>1268</v>
      </c>
      <c r="M420" s="214"/>
      <c r="N420" s="88" t="s">
        <v>1804</v>
      </c>
      <c r="O420" s="216">
        <f t="shared" si="1304"/>
        <v>4.32</v>
      </c>
      <c r="P420" s="88" t="str">
        <f t="shared" si="1333"/>
        <v>B1_4</v>
      </c>
      <c r="Q420" s="88">
        <f t="shared" si="1154"/>
        <v>270</v>
      </c>
      <c r="R420" s="88">
        <f t="shared" si="1155"/>
        <v>120</v>
      </c>
      <c r="S420" s="231"/>
      <c r="T420" s="214" t="s">
        <v>3088</v>
      </c>
      <c r="U420" s="88">
        <f>IF(RIGHT(T420,1)="K",(VLOOKUP(T420,ma_miengiam!$A$3:$B$80,2,0)*100)/2,VLOOKUP(T420,ma_miengiam!$A$3:$B$80,2,0)*100)</f>
        <v>0</v>
      </c>
      <c r="V420" s="88"/>
      <c r="W420" s="220">
        <f>IF(AND(T420="NTS",V420&gt;0),(Q420-(Q420*V420)/12)*VLOOKUP(T420,ma_miengiam!$A$3:$B$80,2,0)+(Q420-(Q420*(12-V420))/12),IF(AND(RIGHT(T420,1)="K",V420&gt;0),(VLOOKUP(T420,ma_miengiam!$A$3:$B$80,2,0)/2)*(Q420*V420)/12,IF(RIGHT(T420,1)="K",(VLOOKUP(T420,ma_miengiam!$A$3:$B$80,2,0)*Q420)/2,IF(V420&gt;0,VLOOKUP(T420,ma_miengiam!$A$3:$B$80,2,0)*Q420*V420/12,VLOOKUP(T420,ma_miengiam!$A$3:$B$80,2,0)*Q420))))</f>
        <v>0</v>
      </c>
      <c r="X420" s="220">
        <f>IF(T420="NTS",VLOOKUP(T420,ma_miengiam!$A$3:$B$80,2,0)*R420*V420,IF(AND(T420="NTS",V420=0),0,IF(AND(LEFT(T420,1)="K",V420=0),VLOOKUP(T420,ma_miengiam!$A$3:$B$80,2,0)*R420,IF(LEFT(T420,1)="K",(VLOOKUP(T420,ma_miengiam!$A$3:$B$80,2,0)*R420/12)*V420,IF(AND(LEFT(T420,1)="S",V420&gt;0),(R420/12)*V420,IF(AND(LEFT(T420,1)="S",V420=0),R420,IF(T420="DH",VLOOKUP(T420,ma_miengiam!$A$3:$B$80,2,0)*R420,0)))))))</f>
        <v>0</v>
      </c>
      <c r="Y420" s="220">
        <f t="shared" si="1344"/>
        <v>270</v>
      </c>
      <c r="Z420" s="220">
        <f t="shared" si="1360"/>
        <v>120</v>
      </c>
      <c r="AA420" s="220">
        <f t="shared" si="1361"/>
        <v>270</v>
      </c>
      <c r="AB420" s="220">
        <f t="shared" si="1361"/>
        <v>120</v>
      </c>
      <c r="AC420" s="220">
        <f t="shared" si="1365"/>
        <v>0</v>
      </c>
      <c r="AD420" s="220">
        <f t="shared" si="1365"/>
        <v>0</v>
      </c>
      <c r="AE420" s="220">
        <f t="shared" si="1365"/>
        <v>270</v>
      </c>
      <c r="AF420" s="220">
        <f t="shared" si="1365"/>
        <v>120</v>
      </c>
      <c r="AG420" s="220">
        <f t="shared" si="1357"/>
        <v>116.85</v>
      </c>
      <c r="AH420" s="220">
        <f t="shared" si="1358"/>
        <v>43.52</v>
      </c>
      <c r="AI420" s="220">
        <f t="shared" si="1359"/>
        <v>73.33</v>
      </c>
      <c r="AJ420" s="220">
        <f t="shared" si="1190"/>
        <v>-3.1500000000000057</v>
      </c>
      <c r="AK420" s="216">
        <f t="shared" si="1266"/>
        <v>273.14999999999998</v>
      </c>
      <c r="AL420" s="220">
        <f t="shared" si="1251"/>
        <v>440.4</v>
      </c>
      <c r="AM420" s="220">
        <f t="shared" si="1252"/>
        <v>0</v>
      </c>
      <c r="AN420" s="221">
        <f t="shared" si="1253"/>
        <v>440.4</v>
      </c>
      <c r="AO420" s="220">
        <f t="shared" si="1254"/>
        <v>0</v>
      </c>
      <c r="AP420" s="220">
        <f t="shared" si="1255"/>
        <v>0</v>
      </c>
      <c r="AQ420" s="220">
        <f t="shared" si="1256"/>
        <v>60</v>
      </c>
      <c r="AR420" s="220">
        <f t="shared" si="1257"/>
        <v>0</v>
      </c>
      <c r="AS420" s="220">
        <f t="shared" si="1258"/>
        <v>0</v>
      </c>
      <c r="AT420" s="216">
        <f t="shared" si="1259"/>
        <v>500.4</v>
      </c>
      <c r="AU420" s="222">
        <f t="shared" si="1300"/>
        <v>167.25</v>
      </c>
      <c r="AV420" s="220"/>
      <c r="AW420" s="220">
        <f t="shared" si="1165"/>
        <v>167.25</v>
      </c>
      <c r="AX420" s="216">
        <f t="shared" si="1267"/>
        <v>0</v>
      </c>
      <c r="AY420" s="220">
        <f t="shared" si="1179"/>
        <v>0</v>
      </c>
      <c r="AZ420" s="220">
        <f t="shared" si="1180"/>
        <v>0</v>
      </c>
      <c r="BA420" s="220">
        <f t="shared" si="1181"/>
        <v>60</v>
      </c>
      <c r="BB420" s="220">
        <f t="shared" si="1182"/>
        <v>0</v>
      </c>
      <c r="BC420" s="220">
        <f t="shared" si="1183"/>
        <v>0</v>
      </c>
      <c r="BD420" s="216">
        <f t="shared" si="1195"/>
        <v>60</v>
      </c>
      <c r="BE420" s="220">
        <f t="shared" si="1166"/>
        <v>0</v>
      </c>
      <c r="BF420" s="220">
        <f t="shared" si="1167"/>
        <v>0</v>
      </c>
      <c r="BG420" s="220">
        <f t="shared" si="1168"/>
        <v>0</v>
      </c>
      <c r="BH420" s="220">
        <f t="shared" si="1169"/>
        <v>0</v>
      </c>
      <c r="BI420" s="220">
        <f t="shared" si="1170"/>
        <v>0</v>
      </c>
      <c r="BJ420" s="220" t="s">
        <v>2970</v>
      </c>
      <c r="BK420" s="220"/>
      <c r="BL420" s="223">
        <f t="shared" si="1201"/>
        <v>167.25</v>
      </c>
      <c r="BM420" s="220">
        <v>4.32</v>
      </c>
      <c r="BN420" s="220"/>
      <c r="BO420" s="220">
        <f t="shared" si="1356"/>
        <v>4.32</v>
      </c>
      <c r="BP420" s="220">
        <f>IF(AND(BL420&gt;0,BL420&lt;tiet!$D$1),BL420,IF(BL420&lt;=0,0,IF(BL420&gt;tiet!$C$1,tiet!$C$1)))</f>
        <v>167.25</v>
      </c>
      <c r="BQ420" s="87">
        <f t="shared" si="1191"/>
        <v>65000</v>
      </c>
      <c r="BR420" s="224">
        <f t="shared" si="1192"/>
        <v>10871250</v>
      </c>
      <c r="BS420" s="220">
        <f t="shared" si="1301"/>
        <v>0</v>
      </c>
      <c r="BT420" s="224">
        <f>VLOOKUP(N420,ma_dinhmuc!$A$1:$J$31,10,0)</f>
        <v>51000</v>
      </c>
      <c r="BU420" s="224">
        <f>ROUND(IF(BS420&gt;0,VLOOKUP(N420,ma_dinhmuc!$A$1:$J$31,10,0)*BS420,0),0)</f>
        <v>0</v>
      </c>
      <c r="BV420" s="224">
        <f t="shared" si="1193"/>
        <v>10871250</v>
      </c>
      <c r="BW420" s="224"/>
      <c r="BX420" s="224">
        <v>0</v>
      </c>
      <c r="BY420" s="224"/>
      <c r="BZ420" s="224"/>
      <c r="CA420" s="224"/>
      <c r="CB420" s="224"/>
      <c r="CC420" s="225">
        <f t="shared" si="1286"/>
        <v>10871250</v>
      </c>
      <c r="CD420" s="224">
        <f t="shared" si="1287"/>
        <v>0</v>
      </c>
      <c r="CE420" s="224"/>
      <c r="CF420" s="226"/>
      <c r="CG420" s="87"/>
      <c r="CH420" s="87">
        <f t="shared" si="1353"/>
        <v>27</v>
      </c>
      <c r="CI420" s="227" t="str">
        <f t="shared" si="1340"/>
        <v>Lê Minh</v>
      </c>
      <c r="CJ420" s="227" t="str">
        <f t="shared" si="1341"/>
        <v>Nguyệt</v>
      </c>
      <c r="CK420" s="87">
        <f t="shared" si="1342"/>
        <v>8</v>
      </c>
      <c r="CL420" s="227" t="str">
        <f t="shared" si="1343"/>
        <v>QLCL và An toàn thực phẩm</v>
      </c>
      <c r="CM420" s="87" t="str">
        <f t="shared" si="1172"/>
        <v>CS2</v>
      </c>
      <c r="CN420" s="87">
        <f t="shared" si="1363"/>
        <v>270</v>
      </c>
      <c r="CO420" s="87">
        <f t="shared" si="1363"/>
        <v>120</v>
      </c>
      <c r="CP420" s="229">
        <f t="shared" si="1314"/>
        <v>0</v>
      </c>
      <c r="CQ420" s="229">
        <f t="shared" si="1315"/>
        <v>70.7</v>
      </c>
      <c r="CR420" s="229">
        <f t="shared" si="1316"/>
        <v>28.5</v>
      </c>
      <c r="CS420" s="229">
        <f t="shared" si="1317"/>
        <v>51.6</v>
      </c>
      <c r="CT420" s="229">
        <f t="shared" si="1318"/>
        <v>0</v>
      </c>
      <c r="CU420" s="229">
        <f t="shared" si="1319"/>
        <v>177.6</v>
      </c>
      <c r="CV420" s="229">
        <f t="shared" si="1320"/>
        <v>0</v>
      </c>
      <c r="CW420" s="229">
        <f t="shared" si="1321"/>
        <v>112</v>
      </c>
      <c r="CX420" s="229">
        <f t="shared" si="1322"/>
        <v>0</v>
      </c>
      <c r="CY420" s="229">
        <f t="shared" si="1323"/>
        <v>0</v>
      </c>
      <c r="CZ420" s="229">
        <f t="shared" si="1324"/>
        <v>0</v>
      </c>
      <c r="DA420" s="229">
        <f t="shared" si="1325"/>
        <v>60</v>
      </c>
      <c r="DB420" s="228">
        <f t="shared" si="1260"/>
        <v>500.4</v>
      </c>
      <c r="DC420" s="229"/>
      <c r="DD420" s="229"/>
      <c r="DE420" s="229"/>
      <c r="DF420" s="229"/>
      <c r="DG420" s="229"/>
      <c r="DH420" s="229"/>
      <c r="DI420" s="229"/>
      <c r="DJ420" s="229"/>
      <c r="DK420" s="229"/>
      <c r="DL420" s="229"/>
      <c r="DM420" s="229"/>
      <c r="DN420" s="229"/>
      <c r="DO420" s="228">
        <f t="shared" si="1261"/>
        <v>0</v>
      </c>
      <c r="DP420" s="228">
        <f t="shared" si="1262"/>
        <v>500.4</v>
      </c>
      <c r="DQ420" s="229">
        <f t="shared" si="1326"/>
        <v>0</v>
      </c>
      <c r="DR420" s="229">
        <f t="shared" si="1327"/>
        <v>0</v>
      </c>
      <c r="DS420" s="229">
        <f t="shared" si="1328"/>
        <v>0</v>
      </c>
      <c r="DT420" s="229">
        <f t="shared" si="1329"/>
        <v>0</v>
      </c>
      <c r="DU420" s="229">
        <f t="shared" si="1330"/>
        <v>0</v>
      </c>
      <c r="DV420" s="229">
        <f t="shared" si="1331"/>
        <v>0</v>
      </c>
      <c r="DW420" s="229">
        <f t="shared" si="1332"/>
        <v>0</v>
      </c>
      <c r="DX420" s="228">
        <f t="shared" si="1263"/>
        <v>0</v>
      </c>
      <c r="DY420" s="229"/>
      <c r="DZ420" s="229"/>
      <c r="EA420" s="229"/>
      <c r="EB420" s="229"/>
      <c r="EC420" s="229"/>
      <c r="ED420" s="229"/>
      <c r="EE420" s="229"/>
      <c r="EF420" s="228">
        <f t="shared" si="1305"/>
        <v>0</v>
      </c>
      <c r="EG420" s="228">
        <f t="shared" si="1264"/>
        <v>0</v>
      </c>
      <c r="EH420" s="229">
        <f t="shared" si="1306"/>
        <v>73.33</v>
      </c>
      <c r="EI420" s="229">
        <v>43.52</v>
      </c>
      <c r="EJ420" s="228">
        <f t="shared" ref="EJ420:EJ451" si="1366">SUM(EH420:EI420)</f>
        <v>116.85</v>
      </c>
      <c r="EK420" s="229"/>
      <c r="EL420" s="229"/>
      <c r="EM420" s="228">
        <f t="shared" si="1336"/>
        <v>0</v>
      </c>
      <c r="EN420" s="229">
        <f t="shared" si="1273"/>
        <v>73.33</v>
      </c>
      <c r="EO420" s="229">
        <f t="shared" si="1302"/>
        <v>43.52</v>
      </c>
      <c r="EP420" s="228">
        <f t="shared" si="1364"/>
        <v>116.85</v>
      </c>
      <c r="EQ420" s="173">
        <f t="shared" si="1303"/>
        <v>0</v>
      </c>
      <c r="ER420" s="189">
        <v>0</v>
      </c>
      <c r="ES420" s="189">
        <v>70.7</v>
      </c>
      <c r="ET420" s="189">
        <v>28.5</v>
      </c>
      <c r="EU420" s="189">
        <v>51.6</v>
      </c>
      <c r="EV420" s="189">
        <v>0</v>
      </c>
      <c r="EW420" s="189">
        <v>177.6</v>
      </c>
      <c r="EX420" s="189">
        <v>0</v>
      </c>
      <c r="EY420" s="189">
        <v>112</v>
      </c>
      <c r="EZ420" s="189">
        <v>0</v>
      </c>
      <c r="FA420" s="189">
        <v>0</v>
      </c>
      <c r="FB420" s="189">
        <v>0</v>
      </c>
      <c r="FC420" s="189">
        <v>60</v>
      </c>
      <c r="FD420" s="189">
        <v>0</v>
      </c>
      <c r="FE420" s="189">
        <v>0</v>
      </c>
      <c r="FF420" s="189">
        <v>0</v>
      </c>
      <c r="FG420" s="189">
        <v>0</v>
      </c>
      <c r="FH420" s="189">
        <v>0</v>
      </c>
      <c r="FI420" s="189">
        <v>0</v>
      </c>
      <c r="FJ420" s="189">
        <v>0</v>
      </c>
      <c r="FK420" s="189">
        <v>500.4</v>
      </c>
      <c r="FL420" s="189">
        <v>359.6</v>
      </c>
      <c r="FN420" s="132">
        <v>73.33</v>
      </c>
    </row>
    <row r="421" spans="1:170" ht="45">
      <c r="A421" s="88">
        <f>COUNTIF($H$12:H421,H421)</f>
        <v>28</v>
      </c>
      <c r="B421" s="88" t="s">
        <v>2703</v>
      </c>
      <c r="C421" s="88" t="s">
        <v>1625</v>
      </c>
      <c r="D421" s="88"/>
      <c r="E421" s="88"/>
      <c r="F421" s="301" t="s">
        <v>2897</v>
      </c>
      <c r="G421" s="89" t="s">
        <v>2894</v>
      </c>
      <c r="H421" s="88">
        <v>8</v>
      </c>
      <c r="I421" s="88">
        <v>8</v>
      </c>
      <c r="J421" s="88">
        <v>8</v>
      </c>
      <c r="K421" s="237" t="s">
        <v>1268</v>
      </c>
      <c r="L421" s="237" t="s">
        <v>1268</v>
      </c>
      <c r="M421" s="214"/>
      <c r="N421" s="88" t="s">
        <v>605</v>
      </c>
      <c r="O421" s="216">
        <f>BO421</f>
        <v>6.2</v>
      </c>
      <c r="P421" s="88" t="str">
        <f t="shared" si="1333"/>
        <v>B1_6</v>
      </c>
      <c r="Q421" s="88">
        <f t="shared" si="1154"/>
        <v>270</v>
      </c>
      <c r="R421" s="88">
        <f t="shared" si="1155"/>
        <v>170</v>
      </c>
      <c r="S421" s="231" t="s">
        <v>2651</v>
      </c>
      <c r="T421" s="88" t="s">
        <v>1754</v>
      </c>
      <c r="U421" s="88">
        <f>IF(RIGHT(T421,1)="K",(VLOOKUP(T421,ma_miengiam!$A$3:$B$80,2,0)*100)/2,VLOOKUP(T421,ma_miengiam!$A$3:$B$80,2,0)*100)</f>
        <v>75</v>
      </c>
      <c r="V421" s="88"/>
      <c r="W421" s="220">
        <f>IF(AND(T421="NTS",V421&gt;0),(Q421-(Q421*V421)/12)*VLOOKUP(T421,ma_miengiam!$A$3:$B$80,2,0)+(Q421-(Q421*(12-V421))/12),IF(AND(RIGHT(T421,1)="K",V421&gt;0),(VLOOKUP(T421,ma_miengiam!$A$3:$B$80,2,0)/2)*(Q421*V421)/12,IF(RIGHT(T421,1)="K",(VLOOKUP(T421,ma_miengiam!$A$3:$B$80,2,0)*Q421)/2,IF(V421&gt;0,VLOOKUP(T421,ma_miengiam!$A$3:$B$80,2,0)*Q421*V421/12,VLOOKUP(T421,ma_miengiam!$A$3:$B$80,2,0)*Q421))))</f>
        <v>202.5</v>
      </c>
      <c r="X421" s="220">
        <f>IF(T421="NTS",VLOOKUP(T421,ma_miengiam!$A$3:$B$80,2,0)*R421*V421,IF(AND(T421="NTS",V421=0),0,IF(AND(LEFT(T421,1)="K",V421=0),VLOOKUP(T421,ma_miengiam!$A$3:$B$80,2,0)*R421,IF(LEFT(T421,1)="K",(VLOOKUP(T421,ma_miengiam!$A$3:$B$80,2,0)*R421/12)*V421,IF(AND(LEFT(T421,1)="S",V421&gt;0),(R421/12)*V421,IF(AND(LEFT(T421,1)="S",V421=0),R421,IF(T421="DH",VLOOKUP(T421,ma_miengiam!$A$3:$B$80,2,0)*R421,0)))))))</f>
        <v>127.5</v>
      </c>
      <c r="Y421" s="220">
        <f>IF(AND(T421="DH",V421&gt;0),(S421*V421/12),IF(AND(T421&lt;&gt;"NTS",V421&gt;0),(Q421*V421/12)-W421,IF(AND(T421="NTS",V421&gt;0),Q421-W421,Q421-W421)))</f>
        <v>67.5</v>
      </c>
      <c r="Z421" s="220">
        <f>IF(AND(T421="SĐH",V421&gt;0),(R421/12)*V421-X421,IF(AND(T421="DH",V421&gt;0),(R421*V421/12),IF(AND(T421&lt;&gt;"NTS",V421&gt;0),(R421*V421/12)-X421,IF(AND(T421="NTS",V421&gt;0),R421-X421,R421-X421))))</f>
        <v>42.5</v>
      </c>
      <c r="AA421" s="220">
        <f>Q421</f>
        <v>270</v>
      </c>
      <c r="AB421" s="220">
        <f>R421</f>
        <v>170</v>
      </c>
      <c r="AC421" s="220">
        <f t="shared" ref="AC421:AF422" si="1367">W421</f>
        <v>202.5</v>
      </c>
      <c r="AD421" s="220">
        <f t="shared" si="1367"/>
        <v>127.5</v>
      </c>
      <c r="AE421" s="220">
        <f t="shared" si="1367"/>
        <v>67.5</v>
      </c>
      <c r="AF421" s="220">
        <f t="shared" si="1367"/>
        <v>42.5</v>
      </c>
      <c r="AG421" s="220">
        <f>AH421+AI421</f>
        <v>514.57999999999993</v>
      </c>
      <c r="AH421" s="220">
        <f>EO421</f>
        <v>202.45</v>
      </c>
      <c r="AI421" s="220">
        <f>EN421</f>
        <v>312.13</v>
      </c>
      <c r="AJ421" s="220">
        <f>IF(AG421-Z421&gt;0,0,AG421-Z421)</f>
        <v>0</v>
      </c>
      <c r="AK421" s="216">
        <f t="shared" si="1266"/>
        <v>67.5</v>
      </c>
      <c r="AL421" s="220">
        <f t="shared" si="1251"/>
        <v>193.1</v>
      </c>
      <c r="AM421" s="220">
        <f t="shared" si="1252"/>
        <v>0</v>
      </c>
      <c r="AN421" s="221">
        <f t="shared" si="1253"/>
        <v>193.1</v>
      </c>
      <c r="AO421" s="220">
        <f t="shared" si="1254"/>
        <v>0</v>
      </c>
      <c r="AP421" s="220">
        <f t="shared" si="1255"/>
        <v>0</v>
      </c>
      <c r="AQ421" s="220">
        <f t="shared" si="1256"/>
        <v>160</v>
      </c>
      <c r="AR421" s="220">
        <f t="shared" si="1257"/>
        <v>0</v>
      </c>
      <c r="AS421" s="220">
        <f t="shared" si="1258"/>
        <v>0</v>
      </c>
      <c r="AT421" s="216">
        <f t="shared" si="1259"/>
        <v>353.1</v>
      </c>
      <c r="AU421" s="222">
        <f>AN421-AK421</f>
        <v>125.6</v>
      </c>
      <c r="AV421" s="220"/>
      <c r="AW421" s="220">
        <f>IF(AU421&gt;0,AU421,AV421+AU421)</f>
        <v>125.6</v>
      </c>
      <c r="AX421" s="216">
        <f t="shared" si="1267"/>
        <v>0</v>
      </c>
      <c r="AY421" s="220">
        <f>IF(AN421&gt;=AK421,AO421,IF(AN421+AO421-AK421&gt;=0,AN421+AO421-AK421,0))</f>
        <v>0</v>
      </c>
      <c r="AZ421" s="220">
        <f>IF(OR(AN421&gt;=AK421,AN421+AO421&gt;=AK421),AP421,IF(AN421+AO421+AP421&gt;AK421,AN421+AO421+AP421-AK421,0))</f>
        <v>0</v>
      </c>
      <c r="BA421" s="220">
        <f>IF(OR(AN421&gt;=AK421,AN421+AO421&gt;=AK421,AN421+AO421+AP421&gt;=AK421),AQ421,IF(AN421+AO421+AP421+AQ421&gt;=AK421,AN421+AO421+AP421+AQ421-AK421,0))</f>
        <v>160</v>
      </c>
      <c r="BB421" s="220">
        <f>IF(OR(AN421&gt;=AK421,AN421+AO421&gt;=AK421,AN421+AO421+AP421&gt;=AK421,AN421+AO421+AP421+AQ421&gt;=AK421),AR421,IF(AN421+AO421+AP421+AQ421+AR421&gt;=AK421,AN421+AO421+AP421+AQ421+AR421-AK421,0))</f>
        <v>0</v>
      </c>
      <c r="BC421" s="220">
        <f>IF(OR(AN421&gt;=AK421,AN421+AO421&gt;=AK421,AN421+AO421+AP421&gt;=AK421,AN421+AO421+AP421+AQ421&gt;=AK421,AN421+AO421+AP421+AQ421+AR421&gt;=AK421),AS421,IF(AN421+AO421+AP421+AQ421+AR421+AS421&gt;=AK421,AN421+AO421+AP421+AQ421+AR421+AS421-AK421,0))</f>
        <v>0</v>
      </c>
      <c r="BD421" s="216">
        <f t="shared" si="1195"/>
        <v>160</v>
      </c>
      <c r="BE421" s="220">
        <f>AY421-AO421</f>
        <v>0</v>
      </c>
      <c r="BF421" s="220">
        <f>AZ421-AP421</f>
        <v>0</v>
      </c>
      <c r="BG421" s="220">
        <f>BA421-AQ421</f>
        <v>0</v>
      </c>
      <c r="BH421" s="220">
        <f>BB421-AR421</f>
        <v>0</v>
      </c>
      <c r="BI421" s="220">
        <f>BC421-AS421</f>
        <v>0</v>
      </c>
      <c r="BJ421" s="220" t="s">
        <v>2970</v>
      </c>
      <c r="BK421" s="220"/>
      <c r="BL421" s="223">
        <f t="shared" si="1201"/>
        <v>125.6</v>
      </c>
      <c r="BM421" s="220">
        <v>6.2</v>
      </c>
      <c r="BN421" s="220"/>
      <c r="BO421" s="220">
        <f>ROUND(BM421+(BM421*BN421),2)</f>
        <v>6.2</v>
      </c>
      <c r="BP421" s="220">
        <f>IF(AND(BL421&gt;0,BL421&lt;tiet!$D$1),BL421,IF(BL421&lt;=0,0,IF(BL421&gt;tiet!$C$1,tiet!$C$1)))</f>
        <v>125.6</v>
      </c>
      <c r="BQ421" s="87">
        <f>VLOOKUP(P421,ma_dinhmuc_moi,4,0)</f>
        <v>75000</v>
      </c>
      <c r="BR421" s="224">
        <f>ROUND(BQ421*BP421,0)</f>
        <v>9420000</v>
      </c>
      <c r="BS421" s="220">
        <f t="shared" si="1301"/>
        <v>0</v>
      </c>
      <c r="BT421" s="224">
        <f>VLOOKUP(N421,ma_dinhmuc!$A$1:$J$31,10,0)</f>
        <v>65000</v>
      </c>
      <c r="BU421" s="224">
        <f>ROUND(IF(BS421&gt;0,VLOOKUP(N421,ma_dinhmuc!$A$1:$J$31,10,0)*BS421,0),0)</f>
        <v>0</v>
      </c>
      <c r="BV421" s="224">
        <f>ROUND(BU421+BR421,0)</f>
        <v>9420000</v>
      </c>
      <c r="BW421" s="224"/>
      <c r="BX421" s="224">
        <v>0</v>
      </c>
      <c r="BY421" s="224"/>
      <c r="BZ421" s="224"/>
      <c r="CA421" s="224"/>
      <c r="CB421" s="224"/>
      <c r="CC421" s="225">
        <f>ROUND(IF(BV421+BW421&gt;BX421+BY421+BZ421+CA421+CB421,(BW421+BV421)-(BX421+BY421+BZ421+CA421+CB421+CB421),0),0)</f>
        <v>9420000</v>
      </c>
      <c r="CD421" s="224">
        <f>ROUND(IF(BV421+BW421&lt;BX421+BY421+BZ421+CA421-CB421,(BX421+BY421+BZ421+CA421-CB421)-(BW421+BV421),0),0)</f>
        <v>0</v>
      </c>
      <c r="CE421" s="224"/>
      <c r="CF421" s="226"/>
      <c r="CG421" s="87"/>
      <c r="CH421" s="87">
        <f>A421</f>
        <v>28</v>
      </c>
      <c r="CI421" s="227" t="str">
        <f t="shared" si="1340"/>
        <v>Nguyễn Thị Thanh</v>
      </c>
      <c r="CJ421" s="227" t="str">
        <f t="shared" si="1341"/>
        <v>Thuỷ</v>
      </c>
      <c r="CK421" s="87">
        <f t="shared" si="1342"/>
        <v>8</v>
      </c>
      <c r="CL421" s="227" t="str">
        <f>L421</f>
        <v>QLCL và An toàn thực phẩm</v>
      </c>
      <c r="CM421" s="87" t="str">
        <f>N421</f>
        <v>CS4</v>
      </c>
      <c r="CN421" s="87">
        <f>Q421</f>
        <v>270</v>
      </c>
      <c r="CO421" s="87">
        <f>R421</f>
        <v>170</v>
      </c>
      <c r="CP421" s="229">
        <f t="shared" si="1314"/>
        <v>0</v>
      </c>
      <c r="CQ421" s="229">
        <f t="shared" si="1315"/>
        <v>19.3</v>
      </c>
      <c r="CR421" s="229">
        <f t="shared" si="1316"/>
        <v>7.8</v>
      </c>
      <c r="CS421" s="229">
        <f t="shared" si="1317"/>
        <v>0</v>
      </c>
      <c r="CT421" s="229">
        <f t="shared" si="1318"/>
        <v>0</v>
      </c>
      <c r="CU421" s="229">
        <f t="shared" si="1319"/>
        <v>82</v>
      </c>
      <c r="CV421" s="229">
        <f t="shared" si="1320"/>
        <v>0</v>
      </c>
      <c r="CW421" s="229">
        <f t="shared" si="1321"/>
        <v>84</v>
      </c>
      <c r="CX421" s="229">
        <f t="shared" si="1322"/>
        <v>0</v>
      </c>
      <c r="CY421" s="229">
        <f t="shared" si="1323"/>
        <v>0</v>
      </c>
      <c r="CZ421" s="229">
        <f t="shared" si="1324"/>
        <v>0</v>
      </c>
      <c r="DA421" s="229">
        <f t="shared" si="1325"/>
        <v>160</v>
      </c>
      <c r="DB421" s="228">
        <f t="shared" si="1260"/>
        <v>353.1</v>
      </c>
      <c r="DC421" s="229"/>
      <c r="DD421" s="229"/>
      <c r="DE421" s="229"/>
      <c r="DF421" s="229"/>
      <c r="DG421" s="229"/>
      <c r="DH421" s="229"/>
      <c r="DI421" s="229"/>
      <c r="DJ421" s="229"/>
      <c r="DK421" s="229"/>
      <c r="DL421" s="229"/>
      <c r="DM421" s="229"/>
      <c r="DN421" s="229"/>
      <c r="DO421" s="228">
        <f t="shared" si="1261"/>
        <v>0</v>
      </c>
      <c r="DP421" s="228">
        <f t="shared" si="1262"/>
        <v>353.1</v>
      </c>
      <c r="DQ421" s="229">
        <f t="shared" si="1326"/>
        <v>0</v>
      </c>
      <c r="DR421" s="229">
        <f t="shared" si="1327"/>
        <v>0</v>
      </c>
      <c r="DS421" s="229">
        <f t="shared" si="1328"/>
        <v>0</v>
      </c>
      <c r="DT421" s="229">
        <f t="shared" si="1329"/>
        <v>0</v>
      </c>
      <c r="DU421" s="229">
        <f t="shared" si="1330"/>
        <v>0</v>
      </c>
      <c r="DV421" s="229">
        <f t="shared" si="1331"/>
        <v>0</v>
      </c>
      <c r="DW421" s="229">
        <f t="shared" si="1332"/>
        <v>0</v>
      </c>
      <c r="DX421" s="228">
        <f t="shared" si="1263"/>
        <v>0</v>
      </c>
      <c r="DY421" s="229"/>
      <c r="DZ421" s="229"/>
      <c r="EA421" s="229"/>
      <c r="EB421" s="229"/>
      <c r="EC421" s="229"/>
      <c r="ED421" s="229"/>
      <c r="EE421" s="229"/>
      <c r="EF421" s="228">
        <f t="shared" si="1305"/>
        <v>0</v>
      </c>
      <c r="EG421" s="228">
        <f t="shared" si="1264"/>
        <v>0</v>
      </c>
      <c r="EH421" s="229">
        <f t="shared" si="1306"/>
        <v>312.13</v>
      </c>
      <c r="EI421" s="229">
        <v>202.45</v>
      </c>
      <c r="EJ421" s="228">
        <f t="shared" si="1366"/>
        <v>514.57999999999993</v>
      </c>
      <c r="EK421" s="229"/>
      <c r="EL421" s="229"/>
      <c r="EM421" s="228">
        <f t="shared" ref="EM421:EM452" si="1368">SUM(EK421:EL421)</f>
        <v>0</v>
      </c>
      <c r="EN421" s="229">
        <f>EK421+EH421+EL421</f>
        <v>312.13</v>
      </c>
      <c r="EO421" s="229">
        <f>EI421</f>
        <v>202.45</v>
      </c>
      <c r="EP421" s="228">
        <f>EM421+EJ421</f>
        <v>514.57999999999993</v>
      </c>
      <c r="EQ421" s="173">
        <f t="shared" si="1303"/>
        <v>269.63</v>
      </c>
      <c r="ER421" s="189">
        <v>0</v>
      </c>
      <c r="ES421" s="189">
        <v>19.3</v>
      </c>
      <c r="ET421" s="189">
        <v>7.8</v>
      </c>
      <c r="EU421" s="189">
        <v>0</v>
      </c>
      <c r="EV421" s="189">
        <v>0</v>
      </c>
      <c r="EW421" s="189">
        <v>82</v>
      </c>
      <c r="EX421" s="189">
        <v>0</v>
      </c>
      <c r="EY421" s="189">
        <v>84</v>
      </c>
      <c r="EZ421" s="189">
        <v>0</v>
      </c>
      <c r="FA421" s="189">
        <v>0</v>
      </c>
      <c r="FB421" s="189">
        <v>0</v>
      </c>
      <c r="FC421" s="189">
        <v>160</v>
      </c>
      <c r="FD421" s="189">
        <v>0</v>
      </c>
      <c r="FE421" s="189">
        <v>0</v>
      </c>
      <c r="FF421" s="189">
        <v>0</v>
      </c>
      <c r="FG421" s="189">
        <v>0</v>
      </c>
      <c r="FH421" s="189">
        <v>0</v>
      </c>
      <c r="FI421" s="189">
        <v>0</v>
      </c>
      <c r="FJ421" s="189">
        <v>0</v>
      </c>
      <c r="FK421" s="189">
        <v>353.1</v>
      </c>
      <c r="FL421" s="189">
        <v>317</v>
      </c>
      <c r="FN421" s="132">
        <v>312.13</v>
      </c>
    </row>
    <row r="422" spans="1:170" ht="39" customHeight="1">
      <c r="A422" s="88">
        <f>COUNTIF($H$12:H422,H422)</f>
        <v>29</v>
      </c>
      <c r="B422" s="88" t="s">
        <v>2704</v>
      </c>
      <c r="C422" s="88" t="s">
        <v>1626</v>
      </c>
      <c r="D422" s="88"/>
      <c r="E422" s="88"/>
      <c r="F422" s="301" t="s">
        <v>1407</v>
      </c>
      <c r="G422" s="89" t="s">
        <v>2893</v>
      </c>
      <c r="H422" s="88">
        <v>8</v>
      </c>
      <c r="I422" s="88">
        <v>8</v>
      </c>
      <c r="J422" s="88">
        <v>8</v>
      </c>
      <c r="K422" s="237" t="s">
        <v>1268</v>
      </c>
      <c r="L422" s="237" t="s">
        <v>1268</v>
      </c>
      <c r="M422" s="214"/>
      <c r="N422" s="88" t="s">
        <v>1804</v>
      </c>
      <c r="O422" s="216">
        <f>BO422</f>
        <v>2.67</v>
      </c>
      <c r="P422" s="88" t="str">
        <f t="shared" si="1333"/>
        <v>B1_3</v>
      </c>
      <c r="Q422" s="88">
        <f t="shared" ref="Q422:Q484" si="1369">IF(M422&gt;0,VLOOKUP(P422,ma_dinhmuc_moi,2,0)/2,VLOOKUP(P422,ma_dinhmuc_moi,2,0))</f>
        <v>270</v>
      </c>
      <c r="R422" s="88">
        <f t="shared" ref="R422:R484" si="1370">IF(M422&gt;0,VLOOKUP(P422,ma_dinhmuc_moi,3,0)/2,VLOOKUP(P422,ma_dinhmuc_moi,3,0))</f>
        <v>100</v>
      </c>
      <c r="S422" s="231"/>
      <c r="T422" s="214" t="s">
        <v>3088</v>
      </c>
      <c r="U422" s="88">
        <f>IF(RIGHT(T422,1)="K",(VLOOKUP(T422,ma_miengiam!$A$3:$B$80,2,0)*100)/2,VLOOKUP(T422,ma_miengiam!$A$3:$B$80,2,0)*100)</f>
        <v>0</v>
      </c>
      <c r="V422" s="88"/>
      <c r="W422" s="220">
        <f>IF(AND(T422="NTS",V422&gt;0),(Q422-(Q422*V422)/12)*VLOOKUP(T422,ma_miengiam!$A$3:$B$80,2,0)+(Q422-(Q422*(12-V422))/12),IF(AND(RIGHT(T422,1)="K",V422&gt;0),(VLOOKUP(T422,ma_miengiam!$A$3:$B$80,2,0)/2)*(Q422*V422)/12,IF(RIGHT(T422,1)="K",(VLOOKUP(T422,ma_miengiam!$A$3:$B$80,2,0)*Q422)/2,IF(V422&gt;0,VLOOKUP(T422,ma_miengiam!$A$3:$B$80,2,0)*Q422*V422/12,VLOOKUP(T422,ma_miengiam!$A$3:$B$80,2,0)*Q422))))</f>
        <v>0</v>
      </c>
      <c r="X422" s="220">
        <f>IF(T422="NTS",VLOOKUP(T422,ma_miengiam!$A$3:$B$80,2,0)*R422*V422,IF(AND(T422="NTS",V422=0),0,IF(AND(LEFT(T422,1)="K",V422=0),VLOOKUP(T422,ma_miengiam!$A$3:$B$80,2,0)*R422,IF(LEFT(T422,1)="K",(VLOOKUP(T422,ma_miengiam!$A$3:$B$80,2,0)*R422/12)*V422,IF(AND(LEFT(T422,1)="S",V422&gt;0),(R422/12)*V422,IF(AND(LEFT(T422,1)="S",V422=0),R422,IF(T422="DH",VLOOKUP(T422,ma_miengiam!$A$3:$B$80,2,0)*R422,0)))))))</f>
        <v>0</v>
      </c>
      <c r="Y422" s="220">
        <f t="shared" si="1344"/>
        <v>270</v>
      </c>
      <c r="Z422" s="220">
        <f t="shared" si="1360"/>
        <v>100</v>
      </c>
      <c r="AA422" s="220">
        <f>Q422</f>
        <v>270</v>
      </c>
      <c r="AB422" s="220">
        <f>R422</f>
        <v>100</v>
      </c>
      <c r="AC422" s="220">
        <f t="shared" si="1367"/>
        <v>0</v>
      </c>
      <c r="AD422" s="220">
        <f t="shared" si="1367"/>
        <v>0</v>
      </c>
      <c r="AE422" s="220">
        <f t="shared" si="1367"/>
        <v>270</v>
      </c>
      <c r="AF422" s="220">
        <f t="shared" si="1367"/>
        <v>100</v>
      </c>
      <c r="AG422" s="220">
        <f t="shared" ref="AG422:AG430" si="1371">AH422+AI422</f>
        <v>86.27000000000001</v>
      </c>
      <c r="AH422" s="220">
        <f t="shared" ref="AH422:AH430" si="1372">EO422</f>
        <v>36.270000000000003</v>
      </c>
      <c r="AI422" s="220">
        <f t="shared" ref="AI422:AI430" si="1373">EN422</f>
        <v>50</v>
      </c>
      <c r="AJ422" s="220">
        <f>IF(AG422-Z422&gt;0,0,AG422-Z422)</f>
        <v>-13.72999999999999</v>
      </c>
      <c r="AK422" s="216">
        <f t="shared" si="1266"/>
        <v>283.73</v>
      </c>
      <c r="AL422" s="220">
        <f t="shared" si="1251"/>
        <v>283.8</v>
      </c>
      <c r="AM422" s="220">
        <f t="shared" si="1252"/>
        <v>0</v>
      </c>
      <c r="AN422" s="221">
        <f t="shared" si="1253"/>
        <v>283.8</v>
      </c>
      <c r="AO422" s="220">
        <f t="shared" si="1254"/>
        <v>0</v>
      </c>
      <c r="AP422" s="220">
        <f t="shared" si="1255"/>
        <v>0</v>
      </c>
      <c r="AQ422" s="220">
        <f t="shared" si="1256"/>
        <v>120</v>
      </c>
      <c r="AR422" s="220">
        <f t="shared" si="1257"/>
        <v>0</v>
      </c>
      <c r="AS422" s="220">
        <f t="shared" si="1258"/>
        <v>0</v>
      </c>
      <c r="AT422" s="216">
        <f t="shared" si="1259"/>
        <v>403.8</v>
      </c>
      <c r="AU422" s="222">
        <f t="shared" si="1300"/>
        <v>6.9999999999993179E-2</v>
      </c>
      <c r="AV422" s="220"/>
      <c r="AW422" s="220">
        <f t="shared" si="1165"/>
        <v>6.9999999999993179E-2</v>
      </c>
      <c r="AX422" s="216">
        <f t="shared" si="1267"/>
        <v>0</v>
      </c>
      <c r="AY422" s="220">
        <f t="shared" si="1179"/>
        <v>0</v>
      </c>
      <c r="AZ422" s="220">
        <f t="shared" si="1180"/>
        <v>0</v>
      </c>
      <c r="BA422" s="220">
        <f t="shared" si="1181"/>
        <v>120</v>
      </c>
      <c r="BB422" s="220">
        <f t="shared" si="1182"/>
        <v>0</v>
      </c>
      <c r="BC422" s="220">
        <f t="shared" si="1183"/>
        <v>0</v>
      </c>
      <c r="BD422" s="216">
        <f t="shared" si="1195"/>
        <v>120</v>
      </c>
      <c r="BE422" s="220">
        <f t="shared" si="1166"/>
        <v>0</v>
      </c>
      <c r="BF422" s="220">
        <f t="shared" si="1167"/>
        <v>0</v>
      </c>
      <c r="BG422" s="220">
        <f t="shared" si="1168"/>
        <v>0</v>
      </c>
      <c r="BH422" s="220">
        <f t="shared" si="1169"/>
        <v>0</v>
      </c>
      <c r="BI422" s="220">
        <f t="shared" si="1170"/>
        <v>0</v>
      </c>
      <c r="BJ422" s="220" t="s">
        <v>2970</v>
      </c>
      <c r="BK422" s="220"/>
      <c r="BL422" s="223">
        <f t="shared" si="1201"/>
        <v>6.9999999999993179E-2</v>
      </c>
      <c r="BM422" s="220">
        <v>2.67</v>
      </c>
      <c r="BN422" s="220"/>
      <c r="BO422" s="220">
        <f t="shared" si="1356"/>
        <v>2.67</v>
      </c>
      <c r="BP422" s="220">
        <f>IF(AND(BL422&gt;0,BL422&lt;tiet!$D$1),BL422,IF(BL422&lt;=0,0,IF(BL422&gt;tiet!$C$1,tiet!$C$1)))</f>
        <v>6.9999999999993179E-2</v>
      </c>
      <c r="BQ422" s="87">
        <f>VLOOKUP(P422,ma_dinhmuc_moi,4,0)</f>
        <v>60000</v>
      </c>
      <c r="BR422" s="224">
        <f>ROUND(BQ422*BP422,0)</f>
        <v>4200</v>
      </c>
      <c r="BS422" s="220">
        <f t="shared" si="1301"/>
        <v>0</v>
      </c>
      <c r="BT422" s="224">
        <f>VLOOKUP(N422,ma_dinhmuc!$A$1:$J$31,10,0)</f>
        <v>51000</v>
      </c>
      <c r="BU422" s="224">
        <f>ROUND(IF(BS422&gt;0,VLOOKUP(N422,ma_dinhmuc!$A$1:$J$31,10,0)*BS422,0),0)</f>
        <v>0</v>
      </c>
      <c r="BV422" s="224">
        <f>ROUND(BU422+BR422,0)</f>
        <v>4200</v>
      </c>
      <c r="BW422" s="224"/>
      <c r="BX422" s="224">
        <v>0</v>
      </c>
      <c r="BY422" s="224"/>
      <c r="BZ422" s="224"/>
      <c r="CA422" s="224"/>
      <c r="CB422" s="224"/>
      <c r="CC422" s="225">
        <f t="shared" si="1286"/>
        <v>4200</v>
      </c>
      <c r="CD422" s="224">
        <f t="shared" si="1287"/>
        <v>0</v>
      </c>
      <c r="CE422" s="224"/>
      <c r="CF422" s="226"/>
      <c r="CG422" s="87"/>
      <c r="CH422" s="87">
        <f t="shared" si="1353"/>
        <v>29</v>
      </c>
      <c r="CI422" s="227" t="str">
        <f t="shared" si="1340"/>
        <v>Nguyễn Vĩnh</v>
      </c>
      <c r="CJ422" s="227" t="str">
        <f t="shared" si="1341"/>
        <v>Hoàng</v>
      </c>
      <c r="CK422" s="87">
        <f t="shared" ref="CK422:CK430" si="1374">H422</f>
        <v>8</v>
      </c>
      <c r="CL422" s="227" t="str">
        <f>L422</f>
        <v>QLCL và An toàn thực phẩm</v>
      </c>
      <c r="CM422" s="87" t="str">
        <f t="shared" si="1172"/>
        <v>CS2</v>
      </c>
      <c r="CN422" s="87">
        <f t="shared" ref="CN422:CO430" si="1375">Q422</f>
        <v>270</v>
      </c>
      <c r="CO422" s="87">
        <f t="shared" si="1375"/>
        <v>100</v>
      </c>
      <c r="CP422" s="229">
        <f t="shared" si="1314"/>
        <v>0</v>
      </c>
      <c r="CQ422" s="229">
        <f t="shared" si="1315"/>
        <v>28.6</v>
      </c>
      <c r="CR422" s="229">
        <f t="shared" si="1316"/>
        <v>8.6999999999999993</v>
      </c>
      <c r="CS422" s="229">
        <f t="shared" si="1317"/>
        <v>43.5</v>
      </c>
      <c r="CT422" s="229">
        <f t="shared" si="1318"/>
        <v>0</v>
      </c>
      <c r="CU422" s="229">
        <f t="shared" si="1319"/>
        <v>195</v>
      </c>
      <c r="CV422" s="229">
        <f t="shared" si="1320"/>
        <v>0</v>
      </c>
      <c r="CW422" s="229">
        <f t="shared" si="1321"/>
        <v>8</v>
      </c>
      <c r="CX422" s="229">
        <f t="shared" si="1322"/>
        <v>0</v>
      </c>
      <c r="CY422" s="229">
        <f t="shared" si="1323"/>
        <v>0</v>
      </c>
      <c r="CZ422" s="229">
        <f t="shared" si="1324"/>
        <v>0</v>
      </c>
      <c r="DA422" s="229">
        <f t="shared" si="1325"/>
        <v>120</v>
      </c>
      <c r="DB422" s="228">
        <f t="shared" si="1260"/>
        <v>403.8</v>
      </c>
      <c r="DC422" s="229"/>
      <c r="DD422" s="229"/>
      <c r="DE422" s="229"/>
      <c r="DF422" s="229"/>
      <c r="DG422" s="229"/>
      <c r="DH422" s="229"/>
      <c r="DI422" s="229"/>
      <c r="DJ422" s="229"/>
      <c r="DK422" s="229"/>
      <c r="DL422" s="229"/>
      <c r="DM422" s="229"/>
      <c r="DN422" s="229"/>
      <c r="DO422" s="228">
        <f t="shared" si="1261"/>
        <v>0</v>
      </c>
      <c r="DP422" s="228">
        <f t="shared" si="1262"/>
        <v>403.8</v>
      </c>
      <c r="DQ422" s="229">
        <f t="shared" si="1326"/>
        <v>0</v>
      </c>
      <c r="DR422" s="229">
        <f t="shared" si="1327"/>
        <v>0</v>
      </c>
      <c r="DS422" s="229">
        <f t="shared" si="1328"/>
        <v>0</v>
      </c>
      <c r="DT422" s="229">
        <f t="shared" si="1329"/>
        <v>0</v>
      </c>
      <c r="DU422" s="229">
        <f t="shared" si="1330"/>
        <v>0</v>
      </c>
      <c r="DV422" s="229">
        <f t="shared" si="1331"/>
        <v>0</v>
      </c>
      <c r="DW422" s="229">
        <f t="shared" si="1332"/>
        <v>0</v>
      </c>
      <c r="DX422" s="228">
        <f t="shared" si="1263"/>
        <v>0</v>
      </c>
      <c r="DY422" s="229"/>
      <c r="DZ422" s="229"/>
      <c r="EA422" s="229"/>
      <c r="EB422" s="229"/>
      <c r="EC422" s="229"/>
      <c r="ED422" s="229"/>
      <c r="EE422" s="229"/>
      <c r="EF422" s="228">
        <f t="shared" si="1305"/>
        <v>0</v>
      </c>
      <c r="EG422" s="228">
        <f t="shared" si="1264"/>
        <v>0</v>
      </c>
      <c r="EH422" s="229">
        <f t="shared" si="1306"/>
        <v>50</v>
      </c>
      <c r="EI422" s="229">
        <v>36.270000000000003</v>
      </c>
      <c r="EJ422" s="228">
        <f t="shared" si="1366"/>
        <v>86.27000000000001</v>
      </c>
      <c r="EK422" s="229"/>
      <c r="EL422" s="229"/>
      <c r="EM422" s="228">
        <f t="shared" si="1368"/>
        <v>0</v>
      </c>
      <c r="EN422" s="229">
        <f t="shared" si="1273"/>
        <v>50</v>
      </c>
      <c r="EO422" s="229">
        <f t="shared" si="1302"/>
        <v>36.270000000000003</v>
      </c>
      <c r="EP422" s="228">
        <f t="shared" si="1364"/>
        <v>86.27000000000001</v>
      </c>
      <c r="EQ422" s="173">
        <f t="shared" si="1303"/>
        <v>0</v>
      </c>
      <c r="ER422" s="189">
        <v>0</v>
      </c>
      <c r="ES422" s="189">
        <v>28.6</v>
      </c>
      <c r="ET422" s="189">
        <v>8.6999999999999993</v>
      </c>
      <c r="EU422" s="189">
        <v>43.5</v>
      </c>
      <c r="EV422" s="189">
        <v>0</v>
      </c>
      <c r="EW422" s="189">
        <v>195</v>
      </c>
      <c r="EX422" s="189">
        <v>0</v>
      </c>
      <c r="EY422" s="189">
        <v>8</v>
      </c>
      <c r="EZ422" s="189">
        <v>0</v>
      </c>
      <c r="FA422" s="189">
        <v>0</v>
      </c>
      <c r="FB422" s="189">
        <v>0</v>
      </c>
      <c r="FC422" s="189">
        <v>120</v>
      </c>
      <c r="FD422" s="189">
        <v>0</v>
      </c>
      <c r="FE422" s="189">
        <v>0</v>
      </c>
      <c r="FF422" s="189">
        <v>0</v>
      </c>
      <c r="FG422" s="189">
        <v>0</v>
      </c>
      <c r="FH422" s="189">
        <v>0</v>
      </c>
      <c r="FI422" s="189">
        <v>0</v>
      </c>
      <c r="FJ422" s="189">
        <v>0</v>
      </c>
      <c r="FK422" s="189">
        <v>403.8</v>
      </c>
      <c r="FL422" s="189">
        <v>379.5</v>
      </c>
      <c r="FN422" s="132">
        <v>50</v>
      </c>
    </row>
    <row r="423" spans="1:170" ht="30.75" customHeight="1">
      <c r="A423" s="88">
        <f>COUNTIF($H$12:H423,H423)</f>
        <v>1</v>
      </c>
      <c r="B423" s="88" t="s">
        <v>2705</v>
      </c>
      <c r="C423" s="88" t="s">
        <v>1627</v>
      </c>
      <c r="D423" s="88"/>
      <c r="E423" s="88"/>
      <c r="F423" s="301" t="s">
        <v>2895</v>
      </c>
      <c r="G423" s="89" t="s">
        <v>1435</v>
      </c>
      <c r="H423" s="88">
        <v>9</v>
      </c>
      <c r="I423" s="88">
        <v>9</v>
      </c>
      <c r="J423" s="88">
        <v>9</v>
      </c>
      <c r="K423" s="90" t="s">
        <v>1101</v>
      </c>
      <c r="L423" s="90" t="s">
        <v>1101</v>
      </c>
      <c r="M423" s="214"/>
      <c r="N423" s="88" t="s">
        <v>605</v>
      </c>
      <c r="O423" s="216">
        <f>BO423</f>
        <v>7.28</v>
      </c>
      <c r="P423" s="88" t="str">
        <f t="shared" si="1333"/>
        <v>B1_8</v>
      </c>
      <c r="Q423" s="88">
        <f t="shared" si="1369"/>
        <v>270</v>
      </c>
      <c r="R423" s="88">
        <f t="shared" si="1370"/>
        <v>280</v>
      </c>
      <c r="S423" s="230" t="s">
        <v>2383</v>
      </c>
      <c r="T423" s="88" t="s">
        <v>3088</v>
      </c>
      <c r="U423" s="88">
        <f>IF(RIGHT(T423,1)="K",(VLOOKUP(T423,ma_miengiam!$A$3:$B$80,2,0)*100)/2,VLOOKUP(T423,ma_miengiam!$A$3:$B$80,2,0)*100)</f>
        <v>0</v>
      </c>
      <c r="V423" s="88">
        <v>3</v>
      </c>
      <c r="W423" s="220">
        <f>IF(AND(T423="NTS",V423&gt;0),(Q423-(Q423*V423)/12)*VLOOKUP(T423,ma_miengiam!$A$3:$B$80,2,0)+(Q423-(Q423*(12-V423))/12),IF(AND(RIGHT(T423,1)="K",V423&gt;0),(VLOOKUP(T423,ma_miengiam!$A$3:$B$80,2,0)/2)*(Q423*V423)/12,IF(RIGHT(T423,1)="K",(VLOOKUP(T423,ma_miengiam!$A$3:$B$80,2,0)*Q423)/2,IF(V423&gt;0,VLOOKUP(T423,ma_miengiam!$A$3:$B$80,2,0)*Q423*V423/12,VLOOKUP(T423,ma_miengiam!$A$3:$B$80,2,0)*Q423))))</f>
        <v>0</v>
      </c>
      <c r="X423" s="220">
        <f>IF(T423="NTS",VLOOKUP(T423,ma_miengiam!$A$3:$B$80,2,0)*R423*V423,IF(AND(T423="NTS",V423=0),0,IF(AND(LEFT(T423,1)="K",V423=0),VLOOKUP(T423,ma_miengiam!$A$3:$B$80,2,0)*R423,IF(LEFT(T423,1)="K",(VLOOKUP(T423,ma_miengiam!$A$3:$B$80,2,0)*R423/12)*V423,IF(AND(LEFT(T423,1)="S",V423&gt;0),(R423/12)*V423,IF(AND(LEFT(T423,1)="S",V423=0),R423,IF(T423="DH",VLOOKUP(T423,ma_miengiam!$A$3:$B$80,2,0)*R423,0)))))))</f>
        <v>0</v>
      </c>
      <c r="Y423" s="220">
        <f t="shared" si="1344"/>
        <v>67.5</v>
      </c>
      <c r="Z423" s="220">
        <f t="shared" ref="Z423:Z431" si="1376">IF(AND(T423="SĐH",V423&gt;0),(R423/12)*V423-X423,IF(AND(T423="DH",V423&gt;0),(R423*V423/12),IF(AND(T423&lt;&gt;"NTS",V423&gt;0),(R423*V423/12)-X423,IF(AND(T423="NTS",V423&gt;0),R423-X423,R423-X423))))</f>
        <v>70</v>
      </c>
      <c r="AA423" s="220">
        <f t="shared" ref="AA423:AB425" si="1377">Q423</f>
        <v>270</v>
      </c>
      <c r="AB423" s="220">
        <f t="shared" si="1377"/>
        <v>280</v>
      </c>
      <c r="AC423" s="220">
        <f t="shared" ref="AC423:AF425" si="1378">W423</f>
        <v>0</v>
      </c>
      <c r="AD423" s="220">
        <f t="shared" si="1378"/>
        <v>0</v>
      </c>
      <c r="AE423" s="220">
        <f t="shared" si="1378"/>
        <v>67.5</v>
      </c>
      <c r="AF423" s="220">
        <f t="shared" si="1378"/>
        <v>70</v>
      </c>
      <c r="AG423" s="220">
        <f t="shared" si="1371"/>
        <v>116.32</v>
      </c>
      <c r="AH423" s="220">
        <f t="shared" si="1372"/>
        <v>86.32</v>
      </c>
      <c r="AI423" s="220">
        <f t="shared" si="1373"/>
        <v>30</v>
      </c>
      <c r="AJ423" s="220">
        <f>IF(AG423-Z423&gt;0,0,AG423-Z423)</f>
        <v>0</v>
      </c>
      <c r="AK423" s="216">
        <f t="shared" si="1266"/>
        <v>67.5</v>
      </c>
      <c r="AL423" s="220">
        <f t="shared" si="1251"/>
        <v>182.9</v>
      </c>
      <c r="AM423" s="220">
        <f t="shared" si="1252"/>
        <v>94.600000000000009</v>
      </c>
      <c r="AN423" s="221">
        <f t="shared" si="1253"/>
        <v>277.5</v>
      </c>
      <c r="AO423" s="220">
        <f t="shared" si="1254"/>
        <v>20</v>
      </c>
      <c r="AP423" s="220">
        <f t="shared" si="1255"/>
        <v>0</v>
      </c>
      <c r="AQ423" s="220">
        <f t="shared" si="1256"/>
        <v>120</v>
      </c>
      <c r="AR423" s="220">
        <f t="shared" si="1257"/>
        <v>80</v>
      </c>
      <c r="AS423" s="220">
        <f t="shared" si="1258"/>
        <v>0</v>
      </c>
      <c r="AT423" s="216">
        <f t="shared" si="1259"/>
        <v>497.5</v>
      </c>
      <c r="AU423" s="222">
        <f t="shared" si="1300"/>
        <v>210</v>
      </c>
      <c r="AV423" s="220"/>
      <c r="AW423" s="220">
        <f t="shared" ref="AW423:AW475" si="1379">IF(AU423&gt;0,AU423,AV423+AU423)</f>
        <v>210</v>
      </c>
      <c r="AX423" s="216">
        <f t="shared" si="1267"/>
        <v>0</v>
      </c>
      <c r="AY423" s="220">
        <f t="shared" si="1179"/>
        <v>20</v>
      </c>
      <c r="AZ423" s="220">
        <f t="shared" si="1180"/>
        <v>0</v>
      </c>
      <c r="BA423" s="220">
        <f t="shared" si="1181"/>
        <v>120</v>
      </c>
      <c r="BB423" s="220">
        <f t="shared" si="1182"/>
        <v>80</v>
      </c>
      <c r="BC423" s="220">
        <f t="shared" si="1183"/>
        <v>0</v>
      </c>
      <c r="BD423" s="216">
        <f t="shared" si="1195"/>
        <v>220</v>
      </c>
      <c r="BE423" s="220">
        <f t="shared" ref="BE423:BE475" si="1380">AY423-AO423</f>
        <v>0</v>
      </c>
      <c r="BF423" s="220">
        <f t="shared" ref="BF423:BF475" si="1381">AZ423-AP423</f>
        <v>0</v>
      </c>
      <c r="BG423" s="220">
        <f t="shared" ref="BG423:BG475" si="1382">BA423-AQ423</f>
        <v>0</v>
      </c>
      <c r="BH423" s="220">
        <f t="shared" ref="BH423:BH475" si="1383">BB423-AR423</f>
        <v>0</v>
      </c>
      <c r="BI423" s="220">
        <f t="shared" ref="BI423:BI475" si="1384">BC423-AS423</f>
        <v>0</v>
      </c>
      <c r="BJ423" s="220" t="s">
        <v>2424</v>
      </c>
      <c r="BK423" s="220"/>
      <c r="BL423" s="223">
        <f t="shared" si="1201"/>
        <v>210</v>
      </c>
      <c r="BM423" s="220">
        <v>7.28</v>
      </c>
      <c r="BN423" s="220"/>
      <c r="BO423" s="220">
        <f t="shared" si="1356"/>
        <v>7.28</v>
      </c>
      <c r="BP423" s="220">
        <f>IF(AND(BL423&gt;0,BL423&lt;tiet!$D$1),BL423,IF(BL423&lt;=0,0,IF(BL423&gt;tiet!$C$1,tiet!$C$1)))</f>
        <v>200</v>
      </c>
      <c r="BQ423" s="87">
        <f>VLOOKUP(P423,ma_dinhmuc_moi,4,0)</f>
        <v>85000</v>
      </c>
      <c r="BR423" s="224">
        <f>ROUND(BQ423*BP423,0)</f>
        <v>17000000</v>
      </c>
      <c r="BS423" s="220">
        <f t="shared" si="1301"/>
        <v>10</v>
      </c>
      <c r="BT423" s="224">
        <f>VLOOKUP(N423,ma_dinhmuc!$A$1:$J$31,10,0)</f>
        <v>65000</v>
      </c>
      <c r="BU423" s="224">
        <f>ROUND(IF(BS423&gt;0,VLOOKUP(N423,ma_dinhmuc!$A$1:$J$31,10,0)*BS423,0),0)</f>
        <v>650000</v>
      </c>
      <c r="BV423" s="224">
        <f>ROUND(BU423+BR423,0)</f>
        <v>17650000</v>
      </c>
      <c r="BW423" s="224"/>
      <c r="BX423" s="224">
        <v>0</v>
      </c>
      <c r="BY423" s="224"/>
      <c r="BZ423" s="224"/>
      <c r="CA423" s="224"/>
      <c r="CB423" s="224"/>
      <c r="CC423" s="225">
        <f>ROUND(IF(BV423+BW423&gt;BX423+BY423+BZ423+CA423+CB423,(BW423+BV423)-(BX423+BY423+BZ423+CA423+CB423+CB423),0),0)</f>
        <v>17650000</v>
      </c>
      <c r="CD423" s="224">
        <f>ROUND(IF(BV423+BW423&lt;BX423+BY423+BZ423+CA423-CB423,(BX423+BY423+BZ423+CA423-CB423)-(BW423+BV423),0),0)</f>
        <v>0</v>
      </c>
      <c r="CE423" s="224"/>
      <c r="CF423" s="226"/>
      <c r="CG423" s="87"/>
      <c r="CH423" s="87">
        <f t="shared" si="1353"/>
        <v>1</v>
      </c>
      <c r="CI423" s="227" t="str">
        <f t="shared" si="1340"/>
        <v>Nguyễn Văn</v>
      </c>
      <c r="CJ423" s="227" t="str">
        <f t="shared" si="1341"/>
        <v>Thọ</v>
      </c>
      <c r="CK423" s="87">
        <f t="shared" si="1374"/>
        <v>9</v>
      </c>
      <c r="CL423" s="227" t="str">
        <f>L423</f>
        <v>Ký sinh trùng</v>
      </c>
      <c r="CM423" s="87" t="str">
        <f t="shared" ref="CM423:CM475" si="1385">N423</f>
        <v>CS4</v>
      </c>
      <c r="CN423" s="87">
        <f t="shared" si="1375"/>
        <v>270</v>
      </c>
      <c r="CO423" s="87">
        <f t="shared" si="1375"/>
        <v>280</v>
      </c>
      <c r="CP423" s="229">
        <f t="shared" si="1314"/>
        <v>0</v>
      </c>
      <c r="CQ423" s="229">
        <f t="shared" si="1315"/>
        <v>17</v>
      </c>
      <c r="CR423" s="229">
        <f t="shared" si="1316"/>
        <v>6.9</v>
      </c>
      <c r="CS423" s="229">
        <f t="shared" si="1317"/>
        <v>0</v>
      </c>
      <c r="CT423" s="229">
        <f t="shared" si="1318"/>
        <v>0</v>
      </c>
      <c r="CU423" s="229">
        <f t="shared" si="1319"/>
        <v>151</v>
      </c>
      <c r="CV423" s="229">
        <f t="shared" si="1320"/>
        <v>0</v>
      </c>
      <c r="CW423" s="229">
        <f t="shared" si="1321"/>
        <v>8</v>
      </c>
      <c r="CX423" s="229">
        <f t="shared" si="1322"/>
        <v>0</v>
      </c>
      <c r="CY423" s="229">
        <f t="shared" si="1323"/>
        <v>20</v>
      </c>
      <c r="CZ423" s="229">
        <f t="shared" si="1324"/>
        <v>0</v>
      </c>
      <c r="DA423" s="229">
        <f t="shared" si="1325"/>
        <v>120</v>
      </c>
      <c r="DB423" s="228">
        <f t="shared" si="1260"/>
        <v>322.89999999999998</v>
      </c>
      <c r="DC423" s="229"/>
      <c r="DD423" s="229"/>
      <c r="DE423" s="229"/>
      <c r="DF423" s="229"/>
      <c r="DG423" s="229"/>
      <c r="DH423" s="229"/>
      <c r="DI423" s="229"/>
      <c r="DJ423" s="229"/>
      <c r="DK423" s="229"/>
      <c r="DL423" s="229"/>
      <c r="DM423" s="229"/>
      <c r="DN423" s="229"/>
      <c r="DO423" s="228">
        <f t="shared" si="1261"/>
        <v>0</v>
      </c>
      <c r="DP423" s="228">
        <f t="shared" si="1262"/>
        <v>322.89999999999998</v>
      </c>
      <c r="DQ423" s="229">
        <f t="shared" si="1326"/>
        <v>90</v>
      </c>
      <c r="DR423" s="229">
        <f t="shared" si="1327"/>
        <v>3.2</v>
      </c>
      <c r="DS423" s="229">
        <f t="shared" si="1328"/>
        <v>0</v>
      </c>
      <c r="DT423" s="229">
        <f t="shared" si="1329"/>
        <v>1.4</v>
      </c>
      <c r="DU423" s="229">
        <f t="shared" si="1330"/>
        <v>0</v>
      </c>
      <c r="DV423" s="229">
        <f t="shared" si="1331"/>
        <v>80</v>
      </c>
      <c r="DW423" s="229">
        <f t="shared" si="1332"/>
        <v>0</v>
      </c>
      <c r="DX423" s="228">
        <f t="shared" si="1263"/>
        <v>174.60000000000002</v>
      </c>
      <c r="DY423" s="229"/>
      <c r="DZ423" s="229"/>
      <c r="EA423" s="229"/>
      <c r="EB423" s="229"/>
      <c r="EC423" s="229"/>
      <c r="ED423" s="229"/>
      <c r="EE423" s="229"/>
      <c r="EF423" s="228">
        <f t="shared" si="1305"/>
        <v>0</v>
      </c>
      <c r="EG423" s="228">
        <f t="shared" si="1264"/>
        <v>174.60000000000002</v>
      </c>
      <c r="EH423" s="229">
        <f t="shared" si="1306"/>
        <v>30</v>
      </c>
      <c r="EI423" s="229">
        <v>86.32</v>
      </c>
      <c r="EJ423" s="228">
        <f t="shared" si="1366"/>
        <v>116.32</v>
      </c>
      <c r="EK423" s="229"/>
      <c r="EL423" s="229"/>
      <c r="EM423" s="228">
        <f t="shared" si="1368"/>
        <v>0</v>
      </c>
      <c r="EN423" s="229">
        <f t="shared" si="1273"/>
        <v>30</v>
      </c>
      <c r="EO423" s="229">
        <f t="shared" si="1302"/>
        <v>86.32</v>
      </c>
      <c r="EP423" s="228">
        <f>EM423+EJ423</f>
        <v>116.32</v>
      </c>
      <c r="EQ423" s="173">
        <f t="shared" si="1303"/>
        <v>0</v>
      </c>
      <c r="ER423" s="189">
        <v>0</v>
      </c>
      <c r="ES423" s="189">
        <v>17</v>
      </c>
      <c r="ET423" s="189">
        <v>6.9</v>
      </c>
      <c r="EU423" s="189">
        <v>0</v>
      </c>
      <c r="EV423" s="189">
        <v>0</v>
      </c>
      <c r="EW423" s="189">
        <v>151</v>
      </c>
      <c r="EX423" s="189">
        <v>0</v>
      </c>
      <c r="EY423" s="189">
        <v>8</v>
      </c>
      <c r="EZ423" s="189">
        <v>0</v>
      </c>
      <c r="FA423" s="189">
        <v>20</v>
      </c>
      <c r="FB423" s="189">
        <v>0</v>
      </c>
      <c r="FC423" s="189">
        <v>120</v>
      </c>
      <c r="FD423" s="189">
        <v>90</v>
      </c>
      <c r="FE423" s="189">
        <v>3.2</v>
      </c>
      <c r="FF423" s="189">
        <v>0</v>
      </c>
      <c r="FG423" s="189">
        <v>1.4</v>
      </c>
      <c r="FH423" s="189">
        <v>80</v>
      </c>
      <c r="FI423" s="189">
        <v>0</v>
      </c>
      <c r="FJ423" s="189">
        <v>0</v>
      </c>
      <c r="FK423" s="189">
        <v>497.5</v>
      </c>
      <c r="FL423" s="189">
        <v>430</v>
      </c>
      <c r="FN423" s="132">
        <v>30</v>
      </c>
    </row>
    <row r="424" spans="1:170" ht="27.75" customHeight="1">
      <c r="A424" s="88">
        <f>COUNTIF($H$12:H424,H424)</f>
        <v>2</v>
      </c>
      <c r="B424" s="88" t="s">
        <v>2706</v>
      </c>
      <c r="C424" s="88" t="s">
        <v>1628</v>
      </c>
      <c r="D424" s="88"/>
      <c r="E424" s="88"/>
      <c r="F424" s="301" t="s">
        <v>2406</v>
      </c>
      <c r="G424" s="89" t="s">
        <v>2786</v>
      </c>
      <c r="H424" s="88">
        <v>9</v>
      </c>
      <c r="I424" s="88">
        <v>9</v>
      </c>
      <c r="J424" s="88">
        <v>9</v>
      </c>
      <c r="K424" s="90" t="s">
        <v>1101</v>
      </c>
      <c r="L424" s="90" t="s">
        <v>1101</v>
      </c>
      <c r="M424" s="214"/>
      <c r="N424" s="88" t="s">
        <v>1804</v>
      </c>
      <c r="O424" s="216">
        <f t="shared" si="1304"/>
        <v>3.33</v>
      </c>
      <c r="P424" s="88" t="str">
        <f t="shared" si="1333"/>
        <v>B1_4</v>
      </c>
      <c r="Q424" s="88">
        <f t="shared" si="1369"/>
        <v>270</v>
      </c>
      <c r="R424" s="88">
        <f t="shared" si="1370"/>
        <v>120</v>
      </c>
      <c r="S424" s="230"/>
      <c r="T424" s="88" t="s">
        <v>3088</v>
      </c>
      <c r="U424" s="88">
        <f>IF(RIGHT(T424,1)="K",(VLOOKUP(T424,ma_miengiam!$A$3:$B$80,2,0)*100)/2,VLOOKUP(T424,ma_miengiam!$A$3:$B$80,2,0)*100)</f>
        <v>0</v>
      </c>
      <c r="V424" s="88"/>
      <c r="W424" s="220">
        <f>IF(AND(T424="NTS",V424&gt;0),(Q424-(Q424*V424)/12)*VLOOKUP(T424,ma_miengiam!$A$3:$B$80,2,0)+(Q424-(Q424*(12-V424))/12),IF(AND(RIGHT(T424,1)="K",V424&gt;0),(VLOOKUP(T424,ma_miengiam!$A$3:$B$80,2,0)/2)*(Q424*V424)/12,IF(RIGHT(T424,1)="K",(VLOOKUP(T424,ma_miengiam!$A$3:$B$80,2,0)*Q424)/2,IF(V424&gt;0,VLOOKUP(T424,ma_miengiam!$A$3:$B$80,2,0)*Q424*V424/12,VLOOKUP(T424,ma_miengiam!$A$3:$B$80,2,0)*Q424))))</f>
        <v>0</v>
      </c>
      <c r="X424" s="220">
        <f>IF(T424="NTS",VLOOKUP(T424,ma_miengiam!$A$3:$B$80,2,0)*R424*V424,IF(AND(T424="NTS",V424=0),0,IF(AND(LEFT(T424,1)="K",V424=0),VLOOKUP(T424,ma_miengiam!$A$3:$B$80,2,0)*R424,IF(LEFT(T424,1)="K",(VLOOKUP(T424,ma_miengiam!$A$3:$B$80,2,0)*R424/12)*V424,IF(AND(LEFT(T424,1)="S",V424&gt;0),(R424/12)*V424,IF(AND(LEFT(T424,1)="S",V424=0),R424,IF(T424="DH",VLOOKUP(T424,ma_miengiam!$A$3:$B$80,2,0)*R424,0)))))))</f>
        <v>0</v>
      </c>
      <c r="Y424" s="220">
        <f t="shared" si="1344"/>
        <v>270</v>
      </c>
      <c r="Z424" s="220">
        <f t="shared" si="1376"/>
        <v>120</v>
      </c>
      <c r="AA424" s="220">
        <f t="shared" si="1377"/>
        <v>270</v>
      </c>
      <c r="AB424" s="220">
        <f t="shared" si="1377"/>
        <v>120</v>
      </c>
      <c r="AC424" s="220">
        <f t="shared" si="1378"/>
        <v>0</v>
      </c>
      <c r="AD424" s="220">
        <f t="shared" si="1378"/>
        <v>0</v>
      </c>
      <c r="AE424" s="220">
        <f t="shared" si="1378"/>
        <v>270</v>
      </c>
      <c r="AF424" s="220">
        <f t="shared" si="1378"/>
        <v>120</v>
      </c>
      <c r="AG424" s="220">
        <f t="shared" si="1371"/>
        <v>234.12</v>
      </c>
      <c r="AH424" s="220">
        <f t="shared" si="1372"/>
        <v>143.16</v>
      </c>
      <c r="AI424" s="220">
        <f t="shared" si="1373"/>
        <v>90.96</v>
      </c>
      <c r="AJ424" s="220">
        <f t="shared" si="1190"/>
        <v>0</v>
      </c>
      <c r="AK424" s="216">
        <f t="shared" si="1266"/>
        <v>270</v>
      </c>
      <c r="AL424" s="220">
        <f t="shared" si="1251"/>
        <v>205.10000000000002</v>
      </c>
      <c r="AM424" s="220">
        <f t="shared" si="1252"/>
        <v>0</v>
      </c>
      <c r="AN424" s="221">
        <f t="shared" si="1253"/>
        <v>205.10000000000002</v>
      </c>
      <c r="AO424" s="220">
        <f t="shared" si="1254"/>
        <v>0</v>
      </c>
      <c r="AP424" s="220">
        <f t="shared" si="1255"/>
        <v>45</v>
      </c>
      <c r="AQ424" s="220">
        <f t="shared" si="1256"/>
        <v>120</v>
      </c>
      <c r="AR424" s="220">
        <f t="shared" si="1257"/>
        <v>0</v>
      </c>
      <c r="AS424" s="220">
        <f t="shared" si="1258"/>
        <v>0</v>
      </c>
      <c r="AT424" s="216">
        <f t="shared" si="1259"/>
        <v>370.1</v>
      </c>
      <c r="AU424" s="222">
        <f t="shared" si="1300"/>
        <v>-64.899999999999977</v>
      </c>
      <c r="AV424" s="220"/>
      <c r="AW424" s="220">
        <f t="shared" si="1379"/>
        <v>-64.899999999999977</v>
      </c>
      <c r="AX424" s="216">
        <f t="shared" si="1267"/>
        <v>-64.899999999999977</v>
      </c>
      <c r="AY424" s="220">
        <f t="shared" ref="AY424:AY476" si="1386">IF(AN424&gt;=AK424,AO424,IF(AN424+AO424-AK424&gt;=0,AN424+AO424-AK424,0))</f>
        <v>0</v>
      </c>
      <c r="AZ424" s="220">
        <f t="shared" ref="AZ424:AZ476" si="1387">IF(OR(AN424&gt;=AK424,AN424+AO424&gt;=AK424),AP424,IF(AN424+AO424+AP424&gt;AK424,AN424+AO424+AP424-AK424,0))</f>
        <v>0</v>
      </c>
      <c r="BA424" s="220">
        <f t="shared" ref="BA424:BA476" si="1388">IF(OR(AN424&gt;=AK424,AN424+AO424&gt;=AK424,AN424+AO424+AP424&gt;=AK424),AQ424,IF(AN424+AO424+AP424+AQ424&gt;=AK424,AN424+AO424+AP424+AQ424-AK424,0))</f>
        <v>100.10000000000002</v>
      </c>
      <c r="BB424" s="220">
        <f t="shared" ref="BB424:BB476" si="1389">IF(OR(AN424&gt;=AK424,AN424+AO424&gt;=AK424,AN424+AO424+AP424&gt;=AK424,AN424+AO424+AP424+AQ424&gt;=AK424),AR424,IF(AN424+AO424+AP424+AQ424+AR424&gt;=AK424,AN424+AO424+AP424+AQ424+AR424-AK424,0))</f>
        <v>0</v>
      </c>
      <c r="BC424" s="220">
        <f t="shared" ref="BC424:BC476" si="1390">IF(OR(AN424&gt;=AK424,AN424+AO424&gt;=AK424,AN424+AO424+AP424&gt;=AK424,AN424+AO424+AP424+AQ424&gt;=AK424,AN424+AO424+AP424+AQ424+AR424&gt;=AK424),AS424,IF(AN424+AO424+AP424+AQ424+AR424+AS424&gt;=AK424,AN424+AO424+AP424+AQ424+AR424+AS424-AK424,0))</f>
        <v>0</v>
      </c>
      <c r="BD424" s="216">
        <f t="shared" si="1195"/>
        <v>100.10000000000002</v>
      </c>
      <c r="BE424" s="220">
        <f t="shared" si="1380"/>
        <v>0</v>
      </c>
      <c r="BF424" s="220">
        <f t="shared" si="1381"/>
        <v>-45</v>
      </c>
      <c r="BG424" s="220">
        <f t="shared" si="1382"/>
        <v>-19.899999999999977</v>
      </c>
      <c r="BH424" s="220">
        <f t="shared" si="1383"/>
        <v>0</v>
      </c>
      <c r="BI424" s="220">
        <f t="shared" si="1384"/>
        <v>0</v>
      </c>
      <c r="BJ424" s="220" t="s">
        <v>2424</v>
      </c>
      <c r="BK424" s="220"/>
      <c r="BL424" s="223">
        <f t="shared" si="1201"/>
        <v>0</v>
      </c>
      <c r="BM424" s="220">
        <v>3.33</v>
      </c>
      <c r="BN424" s="220"/>
      <c r="BO424" s="220">
        <f t="shared" si="1356"/>
        <v>3.33</v>
      </c>
      <c r="BP424" s="220">
        <f>IF(AND(BL424&gt;0,BL424&lt;tiet!$D$1),BL424,IF(BL424&lt;=0,0,IF(BL424&gt;tiet!$C$1,tiet!$C$1)))</f>
        <v>0</v>
      </c>
      <c r="BQ424" s="87">
        <f t="shared" si="1191"/>
        <v>65000</v>
      </c>
      <c r="BR424" s="224">
        <f t="shared" si="1192"/>
        <v>0</v>
      </c>
      <c r="BS424" s="220">
        <f t="shared" si="1301"/>
        <v>0</v>
      </c>
      <c r="BT424" s="224">
        <f>VLOOKUP(N424,ma_dinhmuc!$A$1:$J$31,10,0)</f>
        <v>51000</v>
      </c>
      <c r="BU424" s="224">
        <f>ROUND(IF(BS424&gt;0,VLOOKUP(N424,ma_dinhmuc!$A$1:$J$31,10,0)*BS424,0),0)</f>
        <v>0</v>
      </c>
      <c r="BV424" s="224">
        <f t="shared" si="1193"/>
        <v>0</v>
      </c>
      <c r="BW424" s="224"/>
      <c r="BX424" s="224">
        <v>0</v>
      </c>
      <c r="BY424" s="224"/>
      <c r="BZ424" s="224"/>
      <c r="CA424" s="224"/>
      <c r="CB424" s="224"/>
      <c r="CC424" s="225">
        <f t="shared" si="1286"/>
        <v>0</v>
      </c>
      <c r="CD424" s="224">
        <f t="shared" si="1287"/>
        <v>0</v>
      </c>
      <c r="CE424" s="224"/>
      <c r="CF424" s="226"/>
      <c r="CG424" s="87"/>
      <c r="CH424" s="87">
        <f t="shared" si="1353"/>
        <v>2</v>
      </c>
      <c r="CI424" s="227" t="str">
        <f t="shared" si="1340"/>
        <v>Nguyễn Thị Hồng</v>
      </c>
      <c r="CJ424" s="227" t="str">
        <f t="shared" si="1341"/>
        <v>Chiên</v>
      </c>
      <c r="CK424" s="87">
        <f t="shared" si="1374"/>
        <v>9</v>
      </c>
      <c r="CL424" s="227" t="str">
        <f t="shared" si="1343"/>
        <v>Ký sinh trùng</v>
      </c>
      <c r="CM424" s="87" t="str">
        <f t="shared" si="1385"/>
        <v>CS2</v>
      </c>
      <c r="CN424" s="87">
        <f t="shared" si="1375"/>
        <v>270</v>
      </c>
      <c r="CO424" s="87">
        <f t="shared" si="1375"/>
        <v>120</v>
      </c>
      <c r="CP424" s="229">
        <f t="shared" si="1314"/>
        <v>0</v>
      </c>
      <c r="CQ424" s="229">
        <f t="shared" si="1315"/>
        <v>13.7</v>
      </c>
      <c r="CR424" s="229">
        <f t="shared" si="1316"/>
        <v>5.5</v>
      </c>
      <c r="CS424" s="229">
        <f t="shared" si="1317"/>
        <v>36</v>
      </c>
      <c r="CT424" s="229">
        <f t="shared" si="1318"/>
        <v>0</v>
      </c>
      <c r="CU424" s="229">
        <f t="shared" si="1319"/>
        <v>65.900000000000006</v>
      </c>
      <c r="CV424" s="229">
        <f t="shared" si="1320"/>
        <v>0</v>
      </c>
      <c r="CW424" s="229">
        <f t="shared" si="1321"/>
        <v>84</v>
      </c>
      <c r="CX424" s="229">
        <f t="shared" si="1322"/>
        <v>0</v>
      </c>
      <c r="CY424" s="229">
        <f t="shared" si="1323"/>
        <v>0</v>
      </c>
      <c r="CZ424" s="229">
        <f t="shared" si="1324"/>
        <v>45</v>
      </c>
      <c r="DA424" s="229">
        <f t="shared" si="1325"/>
        <v>120</v>
      </c>
      <c r="DB424" s="228">
        <f t="shared" si="1260"/>
        <v>370.1</v>
      </c>
      <c r="DC424" s="229"/>
      <c r="DD424" s="229"/>
      <c r="DE424" s="229"/>
      <c r="DF424" s="229"/>
      <c r="DG424" s="229"/>
      <c r="DH424" s="229"/>
      <c r="DI424" s="229"/>
      <c r="DJ424" s="229"/>
      <c r="DK424" s="229"/>
      <c r="DL424" s="229"/>
      <c r="DM424" s="229"/>
      <c r="DN424" s="229"/>
      <c r="DO424" s="228">
        <f t="shared" si="1261"/>
        <v>0</v>
      </c>
      <c r="DP424" s="228">
        <f t="shared" si="1262"/>
        <v>370.1</v>
      </c>
      <c r="DQ424" s="229">
        <f t="shared" si="1326"/>
        <v>0</v>
      </c>
      <c r="DR424" s="229">
        <f t="shared" si="1327"/>
        <v>0</v>
      </c>
      <c r="DS424" s="229">
        <f t="shared" si="1328"/>
        <v>0</v>
      </c>
      <c r="DT424" s="229">
        <f t="shared" si="1329"/>
        <v>0</v>
      </c>
      <c r="DU424" s="229">
        <f t="shared" si="1330"/>
        <v>0</v>
      </c>
      <c r="DV424" s="229">
        <f t="shared" si="1331"/>
        <v>0</v>
      </c>
      <c r="DW424" s="229">
        <f t="shared" si="1332"/>
        <v>0</v>
      </c>
      <c r="DX424" s="228">
        <f t="shared" si="1263"/>
        <v>0</v>
      </c>
      <c r="DY424" s="229"/>
      <c r="DZ424" s="229"/>
      <c r="EA424" s="229"/>
      <c r="EB424" s="229"/>
      <c r="EC424" s="229"/>
      <c r="ED424" s="229"/>
      <c r="EE424" s="229"/>
      <c r="EF424" s="228">
        <f t="shared" si="1305"/>
        <v>0</v>
      </c>
      <c r="EG424" s="228">
        <f t="shared" si="1264"/>
        <v>0</v>
      </c>
      <c r="EH424" s="229">
        <f t="shared" si="1306"/>
        <v>90.96</v>
      </c>
      <c r="EI424" s="229">
        <v>143.16</v>
      </c>
      <c r="EJ424" s="228">
        <f t="shared" si="1366"/>
        <v>234.12</v>
      </c>
      <c r="EK424" s="229"/>
      <c r="EL424" s="229"/>
      <c r="EM424" s="228">
        <f t="shared" si="1368"/>
        <v>0</v>
      </c>
      <c r="EN424" s="229">
        <f t="shared" si="1273"/>
        <v>90.96</v>
      </c>
      <c r="EO424" s="229">
        <f t="shared" si="1302"/>
        <v>143.16</v>
      </c>
      <c r="EP424" s="228">
        <f t="shared" si="1364"/>
        <v>234.12</v>
      </c>
      <c r="EQ424" s="173">
        <f t="shared" si="1303"/>
        <v>0</v>
      </c>
      <c r="ER424" s="189">
        <v>0</v>
      </c>
      <c r="ES424" s="189">
        <v>13.7</v>
      </c>
      <c r="ET424" s="189">
        <v>5.5</v>
      </c>
      <c r="EU424" s="189">
        <v>36</v>
      </c>
      <c r="EV424" s="189">
        <v>0</v>
      </c>
      <c r="EW424" s="189">
        <v>65.900000000000006</v>
      </c>
      <c r="EX424" s="189">
        <v>0</v>
      </c>
      <c r="EY424" s="189">
        <v>84</v>
      </c>
      <c r="EZ424" s="189">
        <v>0</v>
      </c>
      <c r="FA424" s="189">
        <v>0</v>
      </c>
      <c r="FB424" s="189">
        <v>45</v>
      </c>
      <c r="FC424" s="189">
        <v>120</v>
      </c>
      <c r="FD424" s="189">
        <v>0</v>
      </c>
      <c r="FE424" s="189">
        <v>0</v>
      </c>
      <c r="FF424" s="189">
        <v>0</v>
      </c>
      <c r="FG424" s="189">
        <v>0</v>
      </c>
      <c r="FH424" s="189">
        <v>0</v>
      </c>
      <c r="FI424" s="189">
        <v>0</v>
      </c>
      <c r="FJ424" s="189">
        <v>0</v>
      </c>
      <c r="FK424" s="189">
        <v>370.1</v>
      </c>
      <c r="FL424" s="189">
        <v>336</v>
      </c>
      <c r="FN424" s="132">
        <v>90.96</v>
      </c>
    </row>
    <row r="425" spans="1:170" ht="30" customHeight="1">
      <c r="A425" s="88">
        <f>COUNTIF($H$12:H425,H425)</f>
        <v>3</v>
      </c>
      <c r="B425" s="88" t="s">
        <v>2707</v>
      </c>
      <c r="C425" s="88" t="s">
        <v>1629</v>
      </c>
      <c r="D425" s="88"/>
      <c r="E425" s="88"/>
      <c r="F425" s="301" t="s">
        <v>2783</v>
      </c>
      <c r="G425" s="89" t="s">
        <v>917</v>
      </c>
      <c r="H425" s="88">
        <v>9</v>
      </c>
      <c r="I425" s="88">
        <v>9</v>
      </c>
      <c r="J425" s="88">
        <v>9</v>
      </c>
      <c r="K425" s="90" t="s">
        <v>1101</v>
      </c>
      <c r="L425" s="90" t="s">
        <v>1101</v>
      </c>
      <c r="M425" s="214"/>
      <c r="N425" s="88" t="s">
        <v>1804</v>
      </c>
      <c r="O425" s="216">
        <f t="shared" si="1304"/>
        <v>3.33</v>
      </c>
      <c r="P425" s="88" t="str">
        <f t="shared" si="1333"/>
        <v>B1_4</v>
      </c>
      <c r="Q425" s="88">
        <f t="shared" si="1369"/>
        <v>270</v>
      </c>
      <c r="R425" s="88">
        <f t="shared" si="1370"/>
        <v>120</v>
      </c>
      <c r="S425" s="230"/>
      <c r="T425" s="88" t="s">
        <v>3088</v>
      </c>
      <c r="U425" s="88">
        <f>IF(RIGHT(T425,1)="K",(VLOOKUP(T425,ma_miengiam!$A$3:$B$80,2,0)*100)/2,VLOOKUP(T425,ma_miengiam!$A$3:$B$80,2,0)*100)</f>
        <v>0</v>
      </c>
      <c r="V425" s="88"/>
      <c r="W425" s="220">
        <f>IF(AND(T425="NTS",V425&gt;0),(Q425-(Q425*V425)/12)*VLOOKUP(T425,ma_miengiam!$A$3:$B$80,2,0)+(Q425-(Q425*(12-V425))/12),IF(AND(RIGHT(T425,1)="K",V425&gt;0),(VLOOKUP(T425,ma_miengiam!$A$3:$B$80,2,0)/2)*(Q425*V425)/12,IF(RIGHT(T425,1)="K",(VLOOKUP(T425,ma_miengiam!$A$3:$B$80,2,0)*Q425)/2,IF(V425&gt;0,VLOOKUP(T425,ma_miengiam!$A$3:$B$80,2,0)*Q425*V425/12,VLOOKUP(T425,ma_miengiam!$A$3:$B$80,2,0)*Q425))))</f>
        <v>0</v>
      </c>
      <c r="X425" s="220">
        <f>IF(T425="NTS",VLOOKUP(T425,ma_miengiam!$A$3:$B$80,2,0)*R425*V425,IF(AND(T425="NTS",V425=0),0,IF(AND(LEFT(T425,1)="K",V425=0),VLOOKUP(T425,ma_miengiam!$A$3:$B$80,2,0)*R425,IF(LEFT(T425,1)="K",(VLOOKUP(T425,ma_miengiam!$A$3:$B$80,2,0)*R425/12)*V425,IF(AND(LEFT(T425,1)="S",V425&gt;0),(R425/12)*V425,IF(AND(LEFT(T425,1)="S",V425=0),R425,IF(T425="DH",VLOOKUP(T425,ma_miengiam!$A$3:$B$80,2,0)*R425,0)))))))</f>
        <v>0</v>
      </c>
      <c r="Y425" s="220">
        <f t="shared" si="1344"/>
        <v>270</v>
      </c>
      <c r="Z425" s="220">
        <f t="shared" si="1376"/>
        <v>120</v>
      </c>
      <c r="AA425" s="220">
        <f t="shared" si="1377"/>
        <v>270</v>
      </c>
      <c r="AB425" s="220">
        <f t="shared" si="1377"/>
        <v>120</v>
      </c>
      <c r="AC425" s="220">
        <f t="shared" si="1378"/>
        <v>0</v>
      </c>
      <c r="AD425" s="220">
        <f t="shared" si="1378"/>
        <v>0</v>
      </c>
      <c r="AE425" s="220">
        <f t="shared" si="1378"/>
        <v>270</v>
      </c>
      <c r="AF425" s="220">
        <f t="shared" si="1378"/>
        <v>120</v>
      </c>
      <c r="AG425" s="220">
        <f t="shared" si="1371"/>
        <v>183.29</v>
      </c>
      <c r="AH425" s="220">
        <f t="shared" si="1372"/>
        <v>43.16</v>
      </c>
      <c r="AI425" s="220">
        <f t="shared" si="1373"/>
        <v>140.13</v>
      </c>
      <c r="AJ425" s="220">
        <f t="shared" si="1190"/>
        <v>0</v>
      </c>
      <c r="AK425" s="216">
        <f t="shared" si="1266"/>
        <v>270</v>
      </c>
      <c r="AL425" s="220">
        <f t="shared" si="1251"/>
        <v>408.7</v>
      </c>
      <c r="AM425" s="220">
        <f t="shared" si="1252"/>
        <v>0</v>
      </c>
      <c r="AN425" s="221">
        <f t="shared" si="1253"/>
        <v>408.7</v>
      </c>
      <c r="AO425" s="220">
        <f t="shared" si="1254"/>
        <v>0</v>
      </c>
      <c r="AP425" s="220">
        <f t="shared" si="1255"/>
        <v>0</v>
      </c>
      <c r="AQ425" s="220">
        <f t="shared" si="1256"/>
        <v>200</v>
      </c>
      <c r="AR425" s="220">
        <f t="shared" si="1257"/>
        <v>0</v>
      </c>
      <c r="AS425" s="220">
        <f t="shared" si="1258"/>
        <v>0</v>
      </c>
      <c r="AT425" s="216">
        <f t="shared" si="1259"/>
        <v>608.70000000000005</v>
      </c>
      <c r="AU425" s="220">
        <f t="shared" si="1300"/>
        <v>138.69999999999999</v>
      </c>
      <c r="AV425" s="220"/>
      <c r="AW425" s="220">
        <f t="shared" si="1379"/>
        <v>138.69999999999999</v>
      </c>
      <c r="AX425" s="216">
        <f t="shared" si="1267"/>
        <v>0</v>
      </c>
      <c r="AY425" s="220">
        <f t="shared" si="1386"/>
        <v>0</v>
      </c>
      <c r="AZ425" s="220">
        <f t="shared" si="1387"/>
        <v>0</v>
      </c>
      <c r="BA425" s="220">
        <f t="shared" si="1388"/>
        <v>200</v>
      </c>
      <c r="BB425" s="220">
        <f t="shared" si="1389"/>
        <v>0</v>
      </c>
      <c r="BC425" s="220">
        <f t="shared" si="1390"/>
        <v>0</v>
      </c>
      <c r="BD425" s="216">
        <f t="shared" si="1195"/>
        <v>200</v>
      </c>
      <c r="BE425" s="220">
        <f t="shared" si="1380"/>
        <v>0</v>
      </c>
      <c r="BF425" s="220">
        <f t="shared" si="1381"/>
        <v>0</v>
      </c>
      <c r="BG425" s="220">
        <f t="shared" si="1382"/>
        <v>0</v>
      </c>
      <c r="BH425" s="220">
        <f t="shared" si="1383"/>
        <v>0</v>
      </c>
      <c r="BI425" s="220">
        <f t="shared" si="1384"/>
        <v>0</v>
      </c>
      <c r="BJ425" s="220" t="s">
        <v>2424</v>
      </c>
      <c r="BK425" s="220"/>
      <c r="BL425" s="223">
        <f t="shared" si="1201"/>
        <v>138.69999999999999</v>
      </c>
      <c r="BM425" s="220">
        <v>3.33</v>
      </c>
      <c r="BN425" s="220"/>
      <c r="BO425" s="220">
        <f t="shared" si="1356"/>
        <v>3.33</v>
      </c>
      <c r="BP425" s="220">
        <f>IF(AND(BL425&gt;0,BL425&lt;tiet!$D$1),BL425,IF(BL425&lt;=0,0,IF(BL425&gt;tiet!$C$1,tiet!$C$1)))</f>
        <v>138.69999999999999</v>
      </c>
      <c r="BQ425" s="87">
        <f t="shared" si="1191"/>
        <v>65000</v>
      </c>
      <c r="BR425" s="224">
        <f t="shared" ref="BR425:BR477" si="1391">ROUND(BQ425*BP425,0)</f>
        <v>9015500</v>
      </c>
      <c r="BS425" s="220">
        <f t="shared" si="1301"/>
        <v>0</v>
      </c>
      <c r="BT425" s="224">
        <f>VLOOKUP(N425,ma_dinhmuc!$A$1:$J$31,10,0)</f>
        <v>51000</v>
      </c>
      <c r="BU425" s="224">
        <f>ROUND(IF(BS425&gt;0,VLOOKUP(N425,ma_dinhmuc!$A$1:$J$31,10,0)*BS425,0),0)</f>
        <v>0</v>
      </c>
      <c r="BV425" s="224">
        <f t="shared" ref="BV425:BV477" si="1392">ROUND(BU425+BR425,0)</f>
        <v>9015500</v>
      </c>
      <c r="BW425" s="224"/>
      <c r="BX425" s="224">
        <v>0</v>
      </c>
      <c r="BY425" s="224"/>
      <c r="BZ425" s="224"/>
      <c r="CA425" s="224"/>
      <c r="CB425" s="224"/>
      <c r="CC425" s="225">
        <f t="shared" si="1286"/>
        <v>9015500</v>
      </c>
      <c r="CD425" s="224">
        <f t="shared" si="1287"/>
        <v>0</v>
      </c>
      <c r="CE425" s="224"/>
      <c r="CF425" s="226"/>
      <c r="CG425" s="87"/>
      <c r="CH425" s="87">
        <f t="shared" si="1353"/>
        <v>3</v>
      </c>
      <c r="CI425" s="227" t="str">
        <f t="shared" si="1340"/>
        <v>Nguyễn Thị Hoàng</v>
      </c>
      <c r="CJ425" s="227" t="str">
        <f t="shared" si="1341"/>
        <v>Yến</v>
      </c>
      <c r="CK425" s="87">
        <f t="shared" si="1374"/>
        <v>9</v>
      </c>
      <c r="CL425" s="227" t="str">
        <f t="shared" si="1343"/>
        <v>Ký sinh trùng</v>
      </c>
      <c r="CM425" s="87" t="str">
        <f t="shared" si="1385"/>
        <v>CS2</v>
      </c>
      <c r="CN425" s="87">
        <f t="shared" si="1375"/>
        <v>270</v>
      </c>
      <c r="CO425" s="87">
        <f t="shared" si="1375"/>
        <v>120</v>
      </c>
      <c r="CP425" s="229">
        <f t="shared" si="1314"/>
        <v>0</v>
      </c>
      <c r="CQ425" s="229">
        <f t="shared" si="1315"/>
        <v>17.600000000000001</v>
      </c>
      <c r="CR425" s="229">
        <f t="shared" si="1316"/>
        <v>7.1</v>
      </c>
      <c r="CS425" s="229">
        <f t="shared" si="1317"/>
        <v>192</v>
      </c>
      <c r="CT425" s="229">
        <f t="shared" si="1318"/>
        <v>0</v>
      </c>
      <c r="CU425" s="229">
        <f t="shared" si="1319"/>
        <v>96</v>
      </c>
      <c r="CV425" s="229">
        <f t="shared" si="1320"/>
        <v>0</v>
      </c>
      <c r="CW425" s="229">
        <f t="shared" si="1321"/>
        <v>96</v>
      </c>
      <c r="CX425" s="229">
        <f t="shared" si="1322"/>
        <v>0</v>
      </c>
      <c r="CY425" s="229">
        <f t="shared" si="1323"/>
        <v>0</v>
      </c>
      <c r="CZ425" s="229">
        <f t="shared" si="1324"/>
        <v>0</v>
      </c>
      <c r="DA425" s="229">
        <f t="shared" si="1325"/>
        <v>200</v>
      </c>
      <c r="DB425" s="228">
        <f t="shared" si="1260"/>
        <v>608.70000000000005</v>
      </c>
      <c r="DC425" s="229"/>
      <c r="DD425" s="229"/>
      <c r="DE425" s="229"/>
      <c r="DF425" s="229"/>
      <c r="DG425" s="229"/>
      <c r="DH425" s="229"/>
      <c r="DI425" s="229"/>
      <c r="DJ425" s="229"/>
      <c r="DK425" s="229"/>
      <c r="DL425" s="229"/>
      <c r="DM425" s="229"/>
      <c r="DN425" s="229"/>
      <c r="DO425" s="228">
        <f t="shared" si="1261"/>
        <v>0</v>
      </c>
      <c r="DP425" s="228">
        <f t="shared" si="1262"/>
        <v>608.70000000000005</v>
      </c>
      <c r="DQ425" s="229">
        <f t="shared" si="1326"/>
        <v>0</v>
      </c>
      <c r="DR425" s="229">
        <f t="shared" si="1327"/>
        <v>0</v>
      </c>
      <c r="DS425" s="229">
        <f t="shared" si="1328"/>
        <v>0</v>
      </c>
      <c r="DT425" s="229">
        <f t="shared" si="1329"/>
        <v>0</v>
      </c>
      <c r="DU425" s="229">
        <f t="shared" si="1330"/>
        <v>0</v>
      </c>
      <c r="DV425" s="229">
        <f t="shared" si="1331"/>
        <v>0</v>
      </c>
      <c r="DW425" s="229">
        <f t="shared" si="1332"/>
        <v>0</v>
      </c>
      <c r="DX425" s="228">
        <f t="shared" si="1263"/>
        <v>0</v>
      </c>
      <c r="DY425" s="229"/>
      <c r="DZ425" s="229"/>
      <c r="EA425" s="229"/>
      <c r="EB425" s="229"/>
      <c r="EC425" s="229"/>
      <c r="ED425" s="229"/>
      <c r="EE425" s="229"/>
      <c r="EF425" s="228">
        <f t="shared" si="1305"/>
        <v>0</v>
      </c>
      <c r="EG425" s="228">
        <f t="shared" si="1264"/>
        <v>0</v>
      </c>
      <c r="EH425" s="229">
        <f t="shared" si="1306"/>
        <v>140.13</v>
      </c>
      <c r="EI425" s="229">
        <v>43.16</v>
      </c>
      <c r="EJ425" s="228">
        <f t="shared" si="1366"/>
        <v>183.29</v>
      </c>
      <c r="EK425" s="229"/>
      <c r="EL425" s="229"/>
      <c r="EM425" s="228">
        <f t="shared" si="1368"/>
        <v>0</v>
      </c>
      <c r="EN425" s="229">
        <f t="shared" si="1273"/>
        <v>140.13</v>
      </c>
      <c r="EO425" s="229">
        <f t="shared" si="1302"/>
        <v>43.16</v>
      </c>
      <c r="EP425" s="228">
        <f t="shared" si="1364"/>
        <v>183.29</v>
      </c>
      <c r="EQ425" s="173">
        <f t="shared" si="1303"/>
        <v>20.129999999999995</v>
      </c>
      <c r="ER425" s="189">
        <v>0</v>
      </c>
      <c r="ES425" s="189">
        <v>17.600000000000001</v>
      </c>
      <c r="ET425" s="189">
        <v>7.1</v>
      </c>
      <c r="EU425" s="189">
        <v>192</v>
      </c>
      <c r="EV425" s="189">
        <v>0</v>
      </c>
      <c r="EW425" s="189">
        <v>96</v>
      </c>
      <c r="EX425" s="189">
        <v>0</v>
      </c>
      <c r="EY425" s="189">
        <v>96</v>
      </c>
      <c r="EZ425" s="189">
        <v>0</v>
      </c>
      <c r="FA425" s="189">
        <v>0</v>
      </c>
      <c r="FB425" s="189">
        <v>0</v>
      </c>
      <c r="FC425" s="189">
        <v>200</v>
      </c>
      <c r="FD425" s="189">
        <v>0</v>
      </c>
      <c r="FE425" s="189">
        <v>0</v>
      </c>
      <c r="FF425" s="189">
        <v>0</v>
      </c>
      <c r="FG425" s="189">
        <v>0</v>
      </c>
      <c r="FH425" s="189">
        <v>0</v>
      </c>
      <c r="FI425" s="189">
        <v>0</v>
      </c>
      <c r="FJ425" s="189">
        <v>0</v>
      </c>
      <c r="FK425" s="189">
        <v>608.70000000000005</v>
      </c>
      <c r="FL425" s="189">
        <v>566</v>
      </c>
      <c r="FN425" s="132">
        <v>140.13</v>
      </c>
    </row>
    <row r="426" spans="1:170" ht="60">
      <c r="A426" s="88">
        <f>COUNTIF($H$12:H426,H426)</f>
        <v>4</v>
      </c>
      <c r="B426" s="88" t="s">
        <v>2708</v>
      </c>
      <c r="C426" s="88" t="s">
        <v>1630</v>
      </c>
      <c r="D426" s="88"/>
      <c r="E426" s="88"/>
      <c r="F426" s="301" t="s">
        <v>2895</v>
      </c>
      <c r="G426" s="89" t="s">
        <v>13</v>
      </c>
      <c r="H426" s="88">
        <v>9</v>
      </c>
      <c r="I426" s="88"/>
      <c r="J426" s="88">
        <v>9</v>
      </c>
      <c r="K426" s="90"/>
      <c r="L426" s="90" t="s">
        <v>1101</v>
      </c>
      <c r="M426" s="214"/>
      <c r="N426" s="88" t="s">
        <v>1804</v>
      </c>
      <c r="O426" s="216">
        <f>BO426</f>
        <v>3.33</v>
      </c>
      <c r="P426" s="88" t="str">
        <f t="shared" si="1333"/>
        <v>B1_4</v>
      </c>
      <c r="Q426" s="88">
        <f t="shared" si="1369"/>
        <v>270</v>
      </c>
      <c r="R426" s="88">
        <f t="shared" si="1370"/>
        <v>120</v>
      </c>
      <c r="S426" s="230" t="s">
        <v>1427</v>
      </c>
      <c r="T426" s="88" t="s">
        <v>3095</v>
      </c>
      <c r="U426" s="88">
        <f>IF(RIGHT(T426,1)="K",(VLOOKUP(T426,ma_miengiam!$A$3:$B$80,2,0)*100)/2,VLOOKUP(T426,ma_miengiam!$A$3:$B$80,2,0)*100)</f>
        <v>40</v>
      </c>
      <c r="V426" s="88">
        <v>3</v>
      </c>
      <c r="W426" s="220">
        <f>IF(AND(T426="NTS",V426&gt;0),(Q426-(Q426*V426)/12)*VLOOKUP(T426,ma_miengiam!$A$3:$B$80,2,0)+(Q426-(Q426*(12-V426))/12),IF(AND(RIGHT(T426,1)="K",V426&gt;0),(VLOOKUP(T426,ma_miengiam!$A$3:$B$80,2,0)/2)*(Q426*V426)/12,IF(RIGHT(T426,1)="K",(VLOOKUP(T426,ma_miengiam!$A$3:$B$80,2,0)*Q426)/2,IF(V426&gt;0,VLOOKUP(T426,ma_miengiam!$A$3:$B$80,2,0)*Q426*V426/12,VLOOKUP(T426,ma_miengiam!$A$3:$B$80,2,0)*Q426))))</f>
        <v>27</v>
      </c>
      <c r="X426" s="220">
        <f>IF(T426="NTS",VLOOKUP(T426,ma_miengiam!$A$3:$B$80,2,0)*R426*V426,IF(AND(T426="NTS",V426=0),0,IF(AND(LEFT(T426,1)="K",V426=0),VLOOKUP(T426,ma_miengiam!$A$3:$B$80,2,0)*R426,IF(LEFT(T426,1)="K",(VLOOKUP(T426,ma_miengiam!$A$3:$B$80,2,0)*R426/12)*V426,IF(AND(LEFT(T426,1)="S",V426&gt;0),(R426/12)*V426,IF(AND(LEFT(T426,1)="S",V426=0),R426,IF(T426="DH",VLOOKUP(T426,ma_miengiam!$A$3:$B$80,2,0)*R426,0)))))))</f>
        <v>0</v>
      </c>
      <c r="Y426" s="220">
        <f t="shared" si="1344"/>
        <v>40.5</v>
      </c>
      <c r="Z426" s="220">
        <f t="shared" si="1376"/>
        <v>30</v>
      </c>
      <c r="AA426" s="220"/>
      <c r="AB426" s="220"/>
      <c r="AC426" s="220"/>
      <c r="AD426" s="220"/>
      <c r="AE426" s="220"/>
      <c r="AF426" s="220"/>
      <c r="AG426" s="220"/>
      <c r="AH426" s="220"/>
      <c r="AI426" s="220"/>
      <c r="AJ426" s="220"/>
      <c r="AK426" s="216"/>
      <c r="AL426" s="220"/>
      <c r="AM426" s="220"/>
      <c r="AN426" s="221"/>
      <c r="AO426" s="220"/>
      <c r="AP426" s="220"/>
      <c r="AQ426" s="220"/>
      <c r="AR426" s="220"/>
      <c r="AS426" s="220"/>
      <c r="AT426" s="216"/>
      <c r="AU426" s="222"/>
      <c r="AV426" s="220"/>
      <c r="AW426" s="220"/>
      <c r="AX426" s="216"/>
      <c r="AY426" s="220"/>
      <c r="AZ426" s="220"/>
      <c r="BA426" s="220"/>
      <c r="BB426" s="220"/>
      <c r="BC426" s="220"/>
      <c r="BD426" s="216"/>
      <c r="BE426" s="220"/>
      <c r="BF426" s="220"/>
      <c r="BG426" s="220"/>
      <c r="BH426" s="220"/>
      <c r="BI426" s="220"/>
      <c r="BJ426" s="220" t="s">
        <v>2424</v>
      </c>
      <c r="BK426" s="220"/>
      <c r="BL426" s="223">
        <f t="shared" si="1201"/>
        <v>0</v>
      </c>
      <c r="BM426" s="220">
        <v>3.33</v>
      </c>
      <c r="BN426" s="220"/>
      <c r="BO426" s="220">
        <f t="shared" si="1356"/>
        <v>3.33</v>
      </c>
      <c r="BP426" s="220">
        <f>IF(AND(BL426&gt;0,BL426&lt;tiet!$D$1),BL426,IF(BL426&lt;=0,0,IF(BL426&gt;tiet!$C$1,tiet!$C$1)))</f>
        <v>0</v>
      </c>
      <c r="BQ426" s="87">
        <f>VLOOKUP(P426,ma_dinhmuc_moi,4,0)</f>
        <v>65000</v>
      </c>
      <c r="BR426" s="224">
        <f>ROUND(BQ426*BP426,0)</f>
        <v>0</v>
      </c>
      <c r="BS426" s="220">
        <f t="shared" si="1301"/>
        <v>0</v>
      </c>
      <c r="BT426" s="224">
        <f>VLOOKUP(N426,ma_dinhmuc!$A$1:$J$31,10,0)</f>
        <v>51000</v>
      </c>
      <c r="BU426" s="224">
        <f>ROUND(IF(BS426&gt;0,VLOOKUP(N426,ma_dinhmuc!$A$1:$J$31,10,0)*BS426,0),0)</f>
        <v>0</v>
      </c>
      <c r="BV426" s="224">
        <f>ROUND(BU426+BR426,0)</f>
        <v>0</v>
      </c>
      <c r="BW426" s="224"/>
      <c r="BX426" s="224">
        <v>0</v>
      </c>
      <c r="BY426" s="224"/>
      <c r="BZ426" s="224"/>
      <c r="CA426" s="224"/>
      <c r="CB426" s="224"/>
      <c r="CC426" s="225">
        <f>ROUND(IF(BV426+BW426&gt;BX426+BY426+BZ426+CA426+CB426,(BW426+BV426)-(BX426+BY426+BZ426+CA426+CB426+CB426),0),0)</f>
        <v>0</v>
      </c>
      <c r="CD426" s="224">
        <f>ROUND(IF(BV426+BW426&lt;BX426+BY426+BZ426+CA426-CB426,(BX426+BY426+BZ426+CA426-CB426)-(BW426+BV426),0),0)</f>
        <v>0</v>
      </c>
      <c r="CE426" s="224"/>
      <c r="CF426" s="226"/>
      <c r="CG426" s="87"/>
      <c r="CH426" s="87">
        <f t="shared" si="1353"/>
        <v>4</v>
      </c>
      <c r="CI426" s="227" t="str">
        <f t="shared" si="1340"/>
        <v>Nguyễn Văn</v>
      </c>
      <c r="CJ426" s="227" t="str">
        <f t="shared" si="1341"/>
        <v>Phương</v>
      </c>
      <c r="CK426" s="87">
        <f t="shared" si="1374"/>
        <v>9</v>
      </c>
      <c r="CL426" s="227" t="str">
        <f>L426</f>
        <v>Ký sinh trùng</v>
      </c>
      <c r="CM426" s="87" t="str">
        <f t="shared" si="1385"/>
        <v>CS2</v>
      </c>
      <c r="CN426" s="87">
        <f t="shared" si="1375"/>
        <v>270</v>
      </c>
      <c r="CO426" s="87">
        <f t="shared" si="1375"/>
        <v>120</v>
      </c>
      <c r="CP426" s="229">
        <f t="shared" si="1314"/>
        <v>0</v>
      </c>
      <c r="CQ426" s="229">
        <f t="shared" si="1315"/>
        <v>0</v>
      </c>
      <c r="CR426" s="229">
        <f t="shared" si="1316"/>
        <v>0</v>
      </c>
      <c r="CS426" s="229">
        <f t="shared" si="1317"/>
        <v>0</v>
      </c>
      <c r="CT426" s="229">
        <f t="shared" si="1318"/>
        <v>0</v>
      </c>
      <c r="CU426" s="229">
        <f t="shared" si="1319"/>
        <v>0</v>
      </c>
      <c r="CV426" s="229">
        <f t="shared" si="1320"/>
        <v>0</v>
      </c>
      <c r="CW426" s="229">
        <f t="shared" si="1321"/>
        <v>0</v>
      </c>
      <c r="CX426" s="229">
        <f t="shared" si="1322"/>
        <v>0</v>
      </c>
      <c r="CY426" s="229">
        <f t="shared" si="1323"/>
        <v>0</v>
      </c>
      <c r="CZ426" s="229">
        <f t="shared" si="1324"/>
        <v>0</v>
      </c>
      <c r="DA426" s="229">
        <f t="shared" si="1325"/>
        <v>0</v>
      </c>
      <c r="DB426" s="228">
        <f t="shared" si="1260"/>
        <v>0</v>
      </c>
      <c r="DC426" s="229"/>
      <c r="DD426" s="229"/>
      <c r="DE426" s="229"/>
      <c r="DF426" s="229"/>
      <c r="DG426" s="229"/>
      <c r="DH426" s="229"/>
      <c r="DI426" s="229"/>
      <c r="DJ426" s="229"/>
      <c r="DK426" s="229"/>
      <c r="DL426" s="229"/>
      <c r="DM426" s="229"/>
      <c r="DN426" s="229"/>
      <c r="DO426" s="228">
        <f t="shared" si="1261"/>
        <v>0</v>
      </c>
      <c r="DP426" s="228">
        <f t="shared" si="1262"/>
        <v>0</v>
      </c>
      <c r="DQ426" s="229">
        <f t="shared" si="1326"/>
        <v>0</v>
      </c>
      <c r="DR426" s="229">
        <f t="shared" si="1327"/>
        <v>0</v>
      </c>
      <c r="DS426" s="229">
        <f t="shared" si="1328"/>
        <v>0</v>
      </c>
      <c r="DT426" s="229">
        <f t="shared" si="1329"/>
        <v>0</v>
      </c>
      <c r="DU426" s="229">
        <f t="shared" si="1330"/>
        <v>0</v>
      </c>
      <c r="DV426" s="229">
        <f t="shared" si="1331"/>
        <v>0</v>
      </c>
      <c r="DW426" s="229">
        <f t="shared" si="1332"/>
        <v>0</v>
      </c>
      <c r="DX426" s="228">
        <f t="shared" si="1263"/>
        <v>0</v>
      </c>
      <c r="DY426" s="229"/>
      <c r="DZ426" s="229"/>
      <c r="EA426" s="229"/>
      <c r="EB426" s="229"/>
      <c r="EC426" s="229"/>
      <c r="ED426" s="229"/>
      <c r="EE426" s="229"/>
      <c r="EF426" s="228">
        <f t="shared" si="1305"/>
        <v>0</v>
      </c>
      <c r="EG426" s="228">
        <f t="shared" si="1264"/>
        <v>0</v>
      </c>
      <c r="EH426" s="229">
        <f t="shared" si="1306"/>
        <v>0</v>
      </c>
      <c r="EI426" s="229">
        <v>52.07</v>
      </c>
      <c r="EJ426" s="228">
        <f t="shared" si="1366"/>
        <v>52.07</v>
      </c>
      <c r="EK426" s="229"/>
      <c r="EL426" s="229"/>
      <c r="EM426" s="228">
        <f t="shared" si="1368"/>
        <v>0</v>
      </c>
      <c r="EN426" s="229">
        <f t="shared" si="1273"/>
        <v>0</v>
      </c>
      <c r="EO426" s="229">
        <f t="shared" si="1302"/>
        <v>52.07</v>
      </c>
      <c r="EP426" s="228">
        <f>EM426+EJ426</f>
        <v>52.07</v>
      </c>
      <c r="EQ426" s="173">
        <f t="shared" si="1303"/>
        <v>0</v>
      </c>
      <c r="ER426" s="189">
        <v>0</v>
      </c>
      <c r="ES426" s="189">
        <v>0</v>
      </c>
      <c r="ET426" s="189">
        <v>0</v>
      </c>
      <c r="EU426" s="189">
        <v>0</v>
      </c>
      <c r="EV426" s="189">
        <v>0</v>
      </c>
      <c r="EW426" s="189">
        <v>0</v>
      </c>
      <c r="EX426" s="189">
        <v>0</v>
      </c>
      <c r="EY426" s="189">
        <v>0</v>
      </c>
      <c r="EZ426" s="189">
        <v>0</v>
      </c>
      <c r="FA426" s="189">
        <v>0</v>
      </c>
      <c r="FB426" s="189">
        <v>0</v>
      </c>
      <c r="FC426" s="189">
        <v>0</v>
      </c>
      <c r="FD426" s="189">
        <v>0</v>
      </c>
      <c r="FE426" s="189">
        <v>0</v>
      </c>
      <c r="FF426" s="189">
        <v>0</v>
      </c>
      <c r="FG426" s="189">
        <v>0</v>
      </c>
      <c r="FH426" s="189">
        <v>0</v>
      </c>
      <c r="FI426" s="189">
        <v>0</v>
      </c>
      <c r="FJ426" s="189">
        <v>0</v>
      </c>
      <c r="FK426" s="189">
        <v>0</v>
      </c>
      <c r="FL426" s="189">
        <v>0</v>
      </c>
      <c r="FN426" s="132">
        <v>0</v>
      </c>
    </row>
    <row r="427" spans="1:170" ht="30">
      <c r="A427" s="88">
        <f>COUNTIF($H$12:H427,H427)</f>
        <v>5</v>
      </c>
      <c r="B427" s="88" t="s">
        <v>2708</v>
      </c>
      <c r="C427" s="88" t="s">
        <v>1630</v>
      </c>
      <c r="D427" s="88"/>
      <c r="E427" s="88"/>
      <c r="F427" s="301" t="s">
        <v>2895</v>
      </c>
      <c r="G427" s="89" t="s">
        <v>13</v>
      </c>
      <c r="H427" s="88">
        <v>9</v>
      </c>
      <c r="I427" s="88"/>
      <c r="J427" s="88">
        <v>9</v>
      </c>
      <c r="K427" s="90"/>
      <c r="L427" s="90" t="s">
        <v>1101</v>
      </c>
      <c r="M427" s="214"/>
      <c r="N427" s="88" t="s">
        <v>1804</v>
      </c>
      <c r="O427" s="216">
        <f>BO427</f>
        <v>3.33</v>
      </c>
      <c r="P427" s="88" t="str">
        <f>IF(BO427&lt;3.33,"B1_3",IF(AND(BO427&gt;=3.33,BO427&lt;4.65),"B1_4",IF(AND(BO427&gt;=4.65,BO427&lt;5.42),"B1_5",IF(AND(BO427&gt;=5.42,BO427&lt;6.44),"B1_6",IF(AND(BO427&gt;=6.44,BO427&lt;=6.92),"B1_7","B1_8")))))</f>
        <v>B1_4</v>
      </c>
      <c r="Q427" s="88">
        <f>IF(M427&gt;0,VLOOKUP(P427,ma_dinhmuc_moi,2,0)/2,VLOOKUP(P427,ma_dinhmuc_moi,2,0))</f>
        <v>270</v>
      </c>
      <c r="R427" s="88">
        <f>IF(M427&gt;0,VLOOKUP(P427,ma_dinhmuc_moi,3,0)/2,VLOOKUP(P427,ma_dinhmuc_moi,3,0))</f>
        <v>120</v>
      </c>
      <c r="S427" s="230" t="s">
        <v>1428</v>
      </c>
      <c r="T427" s="88" t="s">
        <v>3090</v>
      </c>
      <c r="U427" s="88">
        <f>IF(RIGHT(T427,1)="K",(VLOOKUP(T427,ma_miengiam!$A$3:$B$80,2,0)*100)/2,VLOOKUP(T427,ma_miengiam!$A$3:$B$80,2,0)*100)</f>
        <v>15</v>
      </c>
      <c r="V427" s="88">
        <v>9</v>
      </c>
      <c r="W427" s="220">
        <f>IF(AND(T427="NTS",V427&gt;0),(Q427-(Q427*V427)/12)*VLOOKUP(T427,ma_miengiam!$A$3:$B$80,2,0)+(Q427-(Q427*(12-V427))/12),IF(AND(RIGHT(T427,1)="K",V427&gt;0),(VLOOKUP(T427,ma_miengiam!$A$3:$B$80,2,0)/2)*(Q427*V427)/12,IF(RIGHT(T427,1)="K",(VLOOKUP(T427,ma_miengiam!$A$3:$B$80,2,0)*Q427)/2,IF(V427&gt;0,VLOOKUP(T427,ma_miengiam!$A$3:$B$80,2,0)*Q427*V427/12,VLOOKUP(T427,ma_miengiam!$A$3:$B$80,2,0)*Q427))))</f>
        <v>30.375</v>
      </c>
      <c r="X427" s="220">
        <f>IF(T427="NTS",VLOOKUP(T427,ma_miengiam!$A$3:$B$80,2,0)*R427*V427,IF(AND(T427="NTS",V427=0),0,IF(AND(LEFT(T427,1)="K",V427=0),VLOOKUP(T427,ma_miengiam!$A$3:$B$80,2,0)*R427,IF(LEFT(T427,1)="K",(VLOOKUP(T427,ma_miengiam!$A$3:$B$80,2,0)*R427/12)*V427,IF(AND(LEFT(T427,1)="S",V427&gt;0),(R427/12)*V427,IF(AND(LEFT(T427,1)="S",V427=0),R427,IF(T427="DH",VLOOKUP(T427,ma_miengiam!$A$3:$B$80,2,0)*R427,0)))))))</f>
        <v>0</v>
      </c>
      <c r="Y427" s="220">
        <f>IF(AND(T427="DH",V427&gt;0),(S427*V427/12),IF(AND(T427&lt;&gt;"NTS",V427&gt;0),(Q427*V427/12)-W427,IF(AND(T427="NTS",V427&gt;0),Q427-W427,Q427-W427)))</f>
        <v>172.125</v>
      </c>
      <c r="Z427" s="220">
        <f>IF(AND(T427="SĐH",V427&gt;0),(R427/12)*V427-X427,IF(AND(T427="DH",V427&gt;0),(R427*V427/12),IF(AND(T427&lt;&gt;"NTS",V427&gt;0),(R427*V427/12)-X427,IF(AND(T427="NTS",V427&gt;0),R427-X427,R427-X427))))</f>
        <v>90</v>
      </c>
      <c r="AA427" s="220"/>
      <c r="AB427" s="220"/>
      <c r="AC427" s="220"/>
      <c r="AD427" s="220"/>
      <c r="AE427" s="220"/>
      <c r="AF427" s="220"/>
      <c r="AG427" s="220"/>
      <c r="AH427" s="220"/>
      <c r="AI427" s="220"/>
      <c r="AJ427" s="220"/>
      <c r="AK427" s="216"/>
      <c r="AL427" s="220"/>
      <c r="AM427" s="220"/>
      <c r="AN427" s="221"/>
      <c r="AO427" s="220"/>
      <c r="AP427" s="220"/>
      <c r="AQ427" s="220"/>
      <c r="AR427" s="220"/>
      <c r="AS427" s="220"/>
      <c r="AT427" s="216"/>
      <c r="AU427" s="222"/>
      <c r="AV427" s="220"/>
      <c r="AW427" s="220"/>
      <c r="AX427" s="216"/>
      <c r="AY427" s="220"/>
      <c r="AZ427" s="220"/>
      <c r="BA427" s="220"/>
      <c r="BB427" s="220"/>
      <c r="BC427" s="220"/>
      <c r="BD427" s="216"/>
      <c r="BE427" s="220"/>
      <c r="BF427" s="220"/>
      <c r="BG427" s="220"/>
      <c r="BH427" s="220"/>
      <c r="BI427" s="220"/>
      <c r="BJ427" s="220" t="s">
        <v>2424</v>
      </c>
      <c r="BK427" s="220"/>
      <c r="BL427" s="223">
        <f>IF(AW427&lt;BK427,0,IF(AND(BK427=0,AW427&gt;0),AW427,IF(AW427&lt;0,0,IF(BK427&gt;0,AW427-BK427,IF(BK427&lt;0,0,AW427)))))</f>
        <v>0</v>
      </c>
      <c r="BM427" s="220">
        <v>3.33</v>
      </c>
      <c r="BN427" s="220"/>
      <c r="BO427" s="220">
        <f>ROUND(BM427+(BM427*BN427),2)</f>
        <v>3.33</v>
      </c>
      <c r="BP427" s="220">
        <f>IF(AND(BL427&gt;0,BL427&lt;tiet!$D$1),BL427,IF(BL427&lt;=0,0,IF(BL427&gt;tiet!$C$1,tiet!$C$1)))</f>
        <v>0</v>
      </c>
      <c r="BQ427" s="87">
        <f>VLOOKUP(P427,ma_dinhmuc_moi,4,0)</f>
        <v>65000</v>
      </c>
      <c r="BR427" s="224">
        <f>ROUND(BQ427*BP427,0)</f>
        <v>0</v>
      </c>
      <c r="BS427" s="220">
        <f t="shared" si="1301"/>
        <v>0</v>
      </c>
      <c r="BT427" s="224">
        <f>VLOOKUP(N427,ma_dinhmuc!$A$1:$J$31,10,0)</f>
        <v>51000</v>
      </c>
      <c r="BU427" s="224">
        <f>ROUND(IF(BS427&gt;0,VLOOKUP(N427,ma_dinhmuc!$A$1:$J$31,10,0)*BS427,0),0)</f>
        <v>0</v>
      </c>
      <c r="BV427" s="224">
        <f>ROUND(BU427+BR427,0)</f>
        <v>0</v>
      </c>
      <c r="BW427" s="224"/>
      <c r="BX427" s="224">
        <v>0</v>
      </c>
      <c r="BY427" s="224"/>
      <c r="BZ427" s="224"/>
      <c r="CA427" s="224"/>
      <c r="CB427" s="224"/>
      <c r="CC427" s="225">
        <f>ROUND(IF(BV427+BW427&gt;BX427+BY427+BZ427+CA427+CB427,(BW427+BV427)-(BX427+BY427+BZ427+CA427+CB427+CB427),0),0)</f>
        <v>0</v>
      </c>
      <c r="CD427" s="224">
        <f>ROUND(IF(BV427+BW427&lt;BX427+BY427+BZ427+CA427-CB427,(BX427+BY427+BZ427+CA427-CB427)-(BW427+BV427),0),0)</f>
        <v>0</v>
      </c>
      <c r="CE427" s="224"/>
      <c r="CF427" s="226"/>
      <c r="CG427" s="87"/>
      <c r="CH427" s="87">
        <f>A427</f>
        <v>5</v>
      </c>
      <c r="CI427" s="227" t="str">
        <f t="shared" ref="CI427:CK428" si="1393">F427</f>
        <v>Nguyễn Văn</v>
      </c>
      <c r="CJ427" s="227" t="str">
        <f t="shared" si="1393"/>
        <v>Phương</v>
      </c>
      <c r="CK427" s="87">
        <f t="shared" si="1393"/>
        <v>9</v>
      </c>
      <c r="CL427" s="227" t="str">
        <f>L427</f>
        <v>Ký sinh trùng</v>
      </c>
      <c r="CM427" s="87" t="str">
        <f>N427</f>
        <v>CS2</v>
      </c>
      <c r="CN427" s="87">
        <f>Q427</f>
        <v>270</v>
      </c>
      <c r="CO427" s="87">
        <f>R427</f>
        <v>120</v>
      </c>
      <c r="CP427" s="229">
        <f t="shared" si="1314"/>
        <v>0</v>
      </c>
      <c r="CQ427" s="229">
        <f t="shared" si="1315"/>
        <v>0</v>
      </c>
      <c r="CR427" s="229">
        <f t="shared" si="1316"/>
        <v>0</v>
      </c>
      <c r="CS427" s="229">
        <f t="shared" si="1317"/>
        <v>0</v>
      </c>
      <c r="CT427" s="229">
        <f t="shared" si="1318"/>
        <v>0</v>
      </c>
      <c r="CU427" s="229">
        <f t="shared" si="1319"/>
        <v>0</v>
      </c>
      <c r="CV427" s="229">
        <f t="shared" si="1320"/>
        <v>0</v>
      </c>
      <c r="CW427" s="229">
        <f t="shared" si="1321"/>
        <v>0</v>
      </c>
      <c r="CX427" s="229">
        <f t="shared" si="1322"/>
        <v>0</v>
      </c>
      <c r="CY427" s="229">
        <f t="shared" si="1323"/>
        <v>0</v>
      </c>
      <c r="CZ427" s="229">
        <f t="shared" si="1324"/>
        <v>0</v>
      </c>
      <c r="DA427" s="229">
        <f t="shared" si="1325"/>
        <v>0</v>
      </c>
      <c r="DB427" s="228">
        <f>SUM(CP427:DA427)</f>
        <v>0</v>
      </c>
      <c r="DC427" s="229"/>
      <c r="DD427" s="229"/>
      <c r="DE427" s="229"/>
      <c r="DF427" s="229"/>
      <c r="DG427" s="229"/>
      <c r="DH427" s="229"/>
      <c r="DI427" s="229"/>
      <c r="DJ427" s="229"/>
      <c r="DK427" s="229"/>
      <c r="DL427" s="229"/>
      <c r="DM427" s="229"/>
      <c r="DN427" s="229"/>
      <c r="DO427" s="228">
        <f>SUM(DC427:DN427)</f>
        <v>0</v>
      </c>
      <c r="DP427" s="228">
        <f>DO427+DB427</f>
        <v>0</v>
      </c>
      <c r="DQ427" s="229">
        <f t="shared" si="1326"/>
        <v>0</v>
      </c>
      <c r="DR427" s="229">
        <f t="shared" si="1327"/>
        <v>0</v>
      </c>
      <c r="DS427" s="229">
        <f t="shared" si="1328"/>
        <v>0</v>
      </c>
      <c r="DT427" s="229">
        <f t="shared" si="1329"/>
        <v>0</v>
      </c>
      <c r="DU427" s="229">
        <f t="shared" si="1330"/>
        <v>0</v>
      </c>
      <c r="DV427" s="229">
        <f t="shared" si="1331"/>
        <v>0</v>
      </c>
      <c r="DW427" s="229">
        <f t="shared" si="1332"/>
        <v>0</v>
      </c>
      <c r="DX427" s="228">
        <f>SUM(DQ427:DW427)</f>
        <v>0</v>
      </c>
      <c r="DY427" s="229"/>
      <c r="DZ427" s="229"/>
      <c r="EA427" s="229"/>
      <c r="EB427" s="229"/>
      <c r="EC427" s="229"/>
      <c r="ED427" s="229"/>
      <c r="EE427" s="229"/>
      <c r="EF427" s="228">
        <f t="shared" si="1305"/>
        <v>0</v>
      </c>
      <c r="EG427" s="228">
        <f>EF427+DX427</f>
        <v>0</v>
      </c>
      <c r="EH427" s="229">
        <f t="shared" si="1306"/>
        <v>0</v>
      </c>
      <c r="EI427" s="229">
        <v>52.07</v>
      </c>
      <c r="EJ427" s="228">
        <f t="shared" si="1366"/>
        <v>52.07</v>
      </c>
      <c r="EK427" s="229"/>
      <c r="EL427" s="229"/>
      <c r="EM427" s="228">
        <f t="shared" si="1368"/>
        <v>0</v>
      </c>
      <c r="EN427" s="229">
        <f>EK427+EH427+EL427</f>
        <v>0</v>
      </c>
      <c r="EO427" s="229">
        <f>EI427</f>
        <v>52.07</v>
      </c>
      <c r="EP427" s="228">
        <f>EM427+EJ427</f>
        <v>52.07</v>
      </c>
      <c r="EQ427" s="173">
        <f t="shared" si="1303"/>
        <v>0</v>
      </c>
      <c r="ER427" s="189">
        <v>0</v>
      </c>
      <c r="ES427" s="189">
        <v>0</v>
      </c>
      <c r="ET427" s="189">
        <v>0</v>
      </c>
      <c r="EU427" s="189">
        <v>0</v>
      </c>
      <c r="EV427" s="189">
        <v>0</v>
      </c>
      <c r="EW427" s="189">
        <v>0</v>
      </c>
      <c r="EX427" s="189">
        <v>0</v>
      </c>
      <c r="EY427" s="189">
        <v>0</v>
      </c>
      <c r="EZ427" s="189">
        <v>0</v>
      </c>
      <c r="FA427" s="189">
        <v>0</v>
      </c>
      <c r="FB427" s="189">
        <v>0</v>
      </c>
      <c r="FC427" s="189">
        <v>0</v>
      </c>
      <c r="FD427" s="189">
        <v>0</v>
      </c>
      <c r="FE427" s="189">
        <v>0</v>
      </c>
      <c r="FF427" s="189">
        <v>0</v>
      </c>
      <c r="FG427" s="189">
        <v>0</v>
      </c>
      <c r="FH427" s="189">
        <v>0</v>
      </c>
      <c r="FI427" s="189">
        <v>0</v>
      </c>
      <c r="FJ427" s="189">
        <v>0</v>
      </c>
      <c r="FK427" s="189">
        <v>0</v>
      </c>
      <c r="FL427" s="189">
        <v>0</v>
      </c>
      <c r="FN427" s="132">
        <v>0</v>
      </c>
    </row>
    <row r="428" spans="1:170" ht="30">
      <c r="A428" s="88">
        <f>COUNTIF($H$12:H428,H428)</f>
        <v>6</v>
      </c>
      <c r="B428" s="88" t="s">
        <v>2708</v>
      </c>
      <c r="C428" s="88" t="s">
        <v>1630</v>
      </c>
      <c r="D428" s="88"/>
      <c r="E428" s="88"/>
      <c r="F428" s="301" t="s">
        <v>2895</v>
      </c>
      <c r="G428" s="89" t="s">
        <v>13</v>
      </c>
      <c r="H428" s="88">
        <v>9</v>
      </c>
      <c r="I428" s="88">
        <v>9</v>
      </c>
      <c r="J428" s="88">
        <v>9</v>
      </c>
      <c r="K428" s="90" t="s">
        <v>1101</v>
      </c>
      <c r="L428" s="90" t="s">
        <v>1101</v>
      </c>
      <c r="M428" s="214"/>
      <c r="N428" s="88" t="s">
        <v>1804</v>
      </c>
      <c r="O428" s="216">
        <f>BO428</f>
        <v>3.33</v>
      </c>
      <c r="P428" s="88" t="str">
        <f>IF(BO428&lt;3.33,"B1_3",IF(AND(BO428&gt;=3.33,BO428&lt;4.65),"B1_4",IF(AND(BO428&gt;=4.65,BO428&lt;5.42),"B1_5",IF(AND(BO428&gt;=5.42,BO428&lt;6.44),"B1_6",IF(AND(BO428&gt;=6.44,BO428&lt;=6.92),"B1_7","B1_8")))))</f>
        <v>B1_4</v>
      </c>
      <c r="Q428" s="88">
        <f>IF(M428&gt;0,VLOOKUP(P428,ma_dinhmuc_moi,2,0)/2,VLOOKUP(P428,ma_dinhmuc_moi,2,0))</f>
        <v>270</v>
      </c>
      <c r="R428" s="88">
        <f>IF(M428&gt;0,VLOOKUP(P428,ma_dinhmuc_moi,3,0)/2,VLOOKUP(P428,ma_dinhmuc_moi,3,0))</f>
        <v>120</v>
      </c>
      <c r="S428" s="230" t="s">
        <v>1428</v>
      </c>
      <c r="T428" s="88" t="s">
        <v>3090</v>
      </c>
      <c r="U428" s="88">
        <f>IF(RIGHT(T428,1)="K",(VLOOKUP(T428,ma_miengiam!$A$3:$B$80,2,0)*100)/2,VLOOKUP(T428,ma_miengiam!$A$3:$B$80,2,0)*100)</f>
        <v>15</v>
      </c>
      <c r="V428" s="88"/>
      <c r="W428" s="220">
        <f>W427+W426</f>
        <v>57.375</v>
      </c>
      <c r="X428" s="220">
        <f>X427+X426</f>
        <v>0</v>
      </c>
      <c r="Y428" s="220">
        <f>Y427+Y426</f>
        <v>212.625</v>
      </c>
      <c r="Z428" s="220">
        <f>Z427+Z426</f>
        <v>120</v>
      </c>
      <c r="AA428" s="220">
        <f t="shared" ref="AA428:AB431" si="1394">Q428</f>
        <v>270</v>
      </c>
      <c r="AB428" s="220">
        <f t="shared" si="1394"/>
        <v>120</v>
      </c>
      <c r="AC428" s="220">
        <f>W428</f>
        <v>57.375</v>
      </c>
      <c r="AD428" s="220">
        <f>X428</f>
        <v>0</v>
      </c>
      <c r="AE428" s="220">
        <f>Y428</f>
        <v>212.625</v>
      </c>
      <c r="AF428" s="220">
        <f>Z428</f>
        <v>120</v>
      </c>
      <c r="AG428" s="220">
        <f>AH428+AI428</f>
        <v>66.36</v>
      </c>
      <c r="AH428" s="220">
        <f>EO428</f>
        <v>52.07</v>
      </c>
      <c r="AI428" s="220">
        <f>EN428</f>
        <v>14.29</v>
      </c>
      <c r="AJ428" s="220">
        <f>IF(AG428-Z428&gt;0,0,AG428-Z428)</f>
        <v>-53.64</v>
      </c>
      <c r="AK428" s="216">
        <f>IF(AJ428&gt;=0,Y428,Y428-AJ428)</f>
        <v>266.26499999999999</v>
      </c>
      <c r="AL428" s="220">
        <f>SUM(CP428:CX428)+SUM(DC428:DK428)</f>
        <v>487</v>
      </c>
      <c r="AM428" s="220">
        <f>SUM(DQ428:DU428)+SUM(DY428:EC428)</f>
        <v>0</v>
      </c>
      <c r="AN428" s="221">
        <f>AM428+AL428</f>
        <v>487</v>
      </c>
      <c r="AO428" s="220">
        <f>CY428+DL428</f>
        <v>0</v>
      </c>
      <c r="AP428" s="220">
        <f>CZ428+DM428</f>
        <v>30</v>
      </c>
      <c r="AQ428" s="220">
        <f>DA428+DN428</f>
        <v>160</v>
      </c>
      <c r="AR428" s="220">
        <f>DV428+ED428</f>
        <v>0</v>
      </c>
      <c r="AS428" s="220">
        <f>DW428+EE428</f>
        <v>0</v>
      </c>
      <c r="AT428" s="216">
        <f>AN428+SUM(AO428:AS428)</f>
        <v>677</v>
      </c>
      <c r="AU428" s="222">
        <f>AN428-AK428</f>
        <v>220.73500000000001</v>
      </c>
      <c r="AV428" s="220"/>
      <c r="AW428" s="220">
        <f>IF(AU428&gt;0,AU428,AV428+AU428)</f>
        <v>220.73500000000001</v>
      </c>
      <c r="AX428" s="216">
        <f>IF(AN428&gt;AK428,0,IF(AW428&lt;0,AN428-AK428+AV428,IF(AW428&gt;=0,0)))</f>
        <v>0</v>
      </c>
      <c r="AY428" s="220">
        <f>IF(AN428&gt;=AK428,AO428,IF(AN428+AO428-AK428&gt;=0,AN428+AO428-AK428,0))</f>
        <v>0</v>
      </c>
      <c r="AZ428" s="220">
        <f>IF(OR(AN428&gt;=AK428,AN428+AO428&gt;=AK428),AP428,IF(AN428+AO428+AP428&gt;AK428,AN428+AO428+AP428-AK428,0))</f>
        <v>30</v>
      </c>
      <c r="BA428" s="220">
        <f>IF(OR(AN428&gt;=AK428,AN428+AO428&gt;=AK428,AN428+AO428+AP428&gt;=AK428),AQ428,IF(AN428+AO428+AP428+AQ428&gt;=AK428,AN428+AO428+AP428+AQ428-AK428,0))</f>
        <v>160</v>
      </c>
      <c r="BB428" s="220">
        <f>IF(OR(AN428&gt;=AK428,AN428+AO428&gt;=AK428,AN428+AO428+AP428&gt;=AK428,AN428+AO428+AP428+AQ428&gt;=AK428),AR428,IF(AN428+AO428+AP428+AQ428+AR428&gt;=AK428,AN428+AO428+AP428+AQ428+AR428-AK428,0))</f>
        <v>0</v>
      </c>
      <c r="BC428" s="220">
        <f>IF(OR(AN428&gt;=AK428,AN428+AO428&gt;=AK428,AN428+AO428+AP428&gt;=AK428,AN428+AO428+AP428+AQ428&gt;=AK428,AN428+AO428+AP428+AQ428+AR428&gt;=AK428),AS428,IF(AN428+AO428+AP428+AQ428+AR428+AS428&gt;=AK428,AN428+AO428+AP428+AQ428+AR428+AS428-AK428,0))</f>
        <v>0</v>
      </c>
      <c r="BD428" s="216">
        <f>SUM(AY428:BC428)</f>
        <v>190</v>
      </c>
      <c r="BE428" s="220">
        <f>AY428-AO428</f>
        <v>0</v>
      </c>
      <c r="BF428" s="220">
        <f>AZ428-AP428</f>
        <v>0</v>
      </c>
      <c r="BG428" s="220">
        <f>BA428-AQ428</f>
        <v>0</v>
      </c>
      <c r="BH428" s="220">
        <f>BB428-AR428</f>
        <v>0</v>
      </c>
      <c r="BI428" s="220">
        <f>BC428-AS428</f>
        <v>0</v>
      </c>
      <c r="BJ428" s="220" t="s">
        <v>2424</v>
      </c>
      <c r="BK428" s="220"/>
      <c r="BL428" s="223">
        <f>IF(AW428&lt;BK428,0,IF(AND(BK428=0,AW428&gt;0),AW428,IF(AW428&lt;0,0,IF(BK428&gt;0,AW428-BK428,IF(BK428&lt;0,0,AW428)))))</f>
        <v>220.73500000000001</v>
      </c>
      <c r="BM428" s="220">
        <v>3.33</v>
      </c>
      <c r="BN428" s="220"/>
      <c r="BO428" s="220">
        <f>ROUND(BM428+(BM428*BN428),2)</f>
        <v>3.33</v>
      </c>
      <c r="BP428" s="220">
        <f>IF(AND(BL428&gt;0,BL428&lt;tiet!$D$1),BL428,IF(BL428&lt;=0,0,IF(BL428&gt;tiet!$C$1,tiet!$C$1)))</f>
        <v>200</v>
      </c>
      <c r="BQ428" s="87">
        <f>VLOOKUP(P428,ma_dinhmuc_moi,4,0)</f>
        <v>65000</v>
      </c>
      <c r="BR428" s="224">
        <f>ROUND(BQ428*BP428,0)</f>
        <v>13000000</v>
      </c>
      <c r="BS428" s="220">
        <f t="shared" si="1301"/>
        <v>20.735000000000014</v>
      </c>
      <c r="BT428" s="224">
        <f>VLOOKUP(N428,ma_dinhmuc!$A$1:$J$31,10,0)</f>
        <v>51000</v>
      </c>
      <c r="BU428" s="224">
        <f>ROUND(IF(BS428&gt;0,VLOOKUP(N428,ma_dinhmuc!$A$1:$J$31,10,0)*BS428,0),0)</f>
        <v>1057485</v>
      </c>
      <c r="BV428" s="224">
        <f>ROUND(BU428+BR428,0)</f>
        <v>14057485</v>
      </c>
      <c r="BW428" s="224"/>
      <c r="BX428" s="224">
        <v>0</v>
      </c>
      <c r="BY428" s="224"/>
      <c r="BZ428" s="224"/>
      <c r="CA428" s="224"/>
      <c r="CB428" s="224"/>
      <c r="CC428" s="225">
        <f>ROUND(IF(BV428+BW428&gt;BX428+BY428+BZ428+CA428+CB428,(BW428+BV428)-(BX428+BY428+BZ428+CA428+CB428+CB428),0),0)</f>
        <v>14057485</v>
      </c>
      <c r="CD428" s="224">
        <f>ROUND(IF(BV428+BW428&lt;BX428+BY428+BZ428+CA428-CB428,(BX428+BY428+BZ428+CA428-CB428)-(BW428+BV428),0),0)</f>
        <v>0</v>
      </c>
      <c r="CE428" s="224"/>
      <c r="CF428" s="226"/>
      <c r="CG428" s="87"/>
      <c r="CH428" s="87">
        <f>A428</f>
        <v>6</v>
      </c>
      <c r="CI428" s="227" t="str">
        <f t="shared" si="1393"/>
        <v>Nguyễn Văn</v>
      </c>
      <c r="CJ428" s="227" t="str">
        <f t="shared" si="1393"/>
        <v>Phương</v>
      </c>
      <c r="CK428" s="87">
        <f t="shared" si="1393"/>
        <v>9</v>
      </c>
      <c r="CL428" s="227" t="str">
        <f>L428</f>
        <v>Ký sinh trùng</v>
      </c>
      <c r="CM428" s="87" t="str">
        <f>N428</f>
        <v>CS2</v>
      </c>
      <c r="CN428" s="87">
        <f>Q428</f>
        <v>270</v>
      </c>
      <c r="CO428" s="87">
        <f>R428</f>
        <v>120</v>
      </c>
      <c r="CP428" s="229">
        <f t="shared" si="1314"/>
        <v>0</v>
      </c>
      <c r="CQ428" s="229">
        <f t="shared" si="1315"/>
        <v>10.1</v>
      </c>
      <c r="CR428" s="229">
        <f t="shared" si="1316"/>
        <v>4.0999999999999996</v>
      </c>
      <c r="CS428" s="229">
        <f t="shared" si="1317"/>
        <v>336</v>
      </c>
      <c r="CT428" s="229">
        <f t="shared" si="1318"/>
        <v>0</v>
      </c>
      <c r="CU428" s="229">
        <f t="shared" si="1319"/>
        <v>44.8</v>
      </c>
      <c r="CV428" s="229">
        <f t="shared" si="1320"/>
        <v>0</v>
      </c>
      <c r="CW428" s="229">
        <f t="shared" si="1321"/>
        <v>92</v>
      </c>
      <c r="CX428" s="229">
        <f t="shared" si="1322"/>
        <v>0</v>
      </c>
      <c r="CY428" s="229">
        <f t="shared" si="1323"/>
        <v>0</v>
      </c>
      <c r="CZ428" s="229">
        <f t="shared" si="1324"/>
        <v>30</v>
      </c>
      <c r="DA428" s="229">
        <f t="shared" si="1325"/>
        <v>160</v>
      </c>
      <c r="DB428" s="228">
        <f>SUM(CP428:DA428)</f>
        <v>677</v>
      </c>
      <c r="DC428" s="229"/>
      <c r="DD428" s="229"/>
      <c r="DE428" s="229"/>
      <c r="DF428" s="229"/>
      <c r="DG428" s="229"/>
      <c r="DH428" s="229"/>
      <c r="DI428" s="229"/>
      <c r="DJ428" s="229"/>
      <c r="DK428" s="229"/>
      <c r="DL428" s="229"/>
      <c r="DM428" s="229"/>
      <c r="DN428" s="229"/>
      <c r="DO428" s="228">
        <f>SUM(DC428:DN428)</f>
        <v>0</v>
      </c>
      <c r="DP428" s="228">
        <f>DO428+DB428</f>
        <v>677</v>
      </c>
      <c r="DQ428" s="229">
        <f t="shared" si="1326"/>
        <v>0</v>
      </c>
      <c r="DR428" s="229">
        <f t="shared" si="1327"/>
        <v>0</v>
      </c>
      <c r="DS428" s="229">
        <f t="shared" si="1328"/>
        <v>0</v>
      </c>
      <c r="DT428" s="229">
        <f t="shared" si="1329"/>
        <v>0</v>
      </c>
      <c r="DU428" s="229">
        <f t="shared" si="1330"/>
        <v>0</v>
      </c>
      <c r="DV428" s="229">
        <f t="shared" si="1331"/>
        <v>0</v>
      </c>
      <c r="DW428" s="229">
        <f t="shared" si="1332"/>
        <v>0</v>
      </c>
      <c r="DX428" s="228">
        <f>SUM(DQ428:DW428)</f>
        <v>0</v>
      </c>
      <c r="DY428" s="229"/>
      <c r="DZ428" s="229"/>
      <c r="EA428" s="229"/>
      <c r="EB428" s="229"/>
      <c r="EC428" s="229"/>
      <c r="ED428" s="229"/>
      <c r="EE428" s="229"/>
      <c r="EF428" s="228">
        <f t="shared" si="1305"/>
        <v>0</v>
      </c>
      <c r="EG428" s="228">
        <f>EF428+DX428</f>
        <v>0</v>
      </c>
      <c r="EH428" s="229">
        <f t="shared" si="1306"/>
        <v>14.29</v>
      </c>
      <c r="EI428" s="229">
        <v>52.07</v>
      </c>
      <c r="EJ428" s="228">
        <f t="shared" si="1366"/>
        <v>66.36</v>
      </c>
      <c r="EK428" s="229"/>
      <c r="EL428" s="229"/>
      <c r="EM428" s="228">
        <f t="shared" si="1368"/>
        <v>0</v>
      </c>
      <c r="EN428" s="229">
        <f>EK428+EH428+EL428</f>
        <v>14.29</v>
      </c>
      <c r="EO428" s="229">
        <f>EI428</f>
        <v>52.07</v>
      </c>
      <c r="EP428" s="228">
        <f>EM428+EJ428</f>
        <v>66.36</v>
      </c>
      <c r="EQ428" s="173">
        <f t="shared" si="1303"/>
        <v>0</v>
      </c>
      <c r="ER428" s="189">
        <v>0</v>
      </c>
      <c r="ES428" s="189">
        <v>10.1</v>
      </c>
      <c r="ET428" s="189">
        <v>4.0999999999999996</v>
      </c>
      <c r="EU428" s="189">
        <v>336</v>
      </c>
      <c r="EV428" s="189">
        <v>0</v>
      </c>
      <c r="EW428" s="189">
        <v>44.8</v>
      </c>
      <c r="EX428" s="189">
        <v>0</v>
      </c>
      <c r="EY428" s="189">
        <v>92</v>
      </c>
      <c r="EZ428" s="189">
        <v>0</v>
      </c>
      <c r="FA428" s="189">
        <v>0</v>
      </c>
      <c r="FB428" s="189">
        <v>30</v>
      </c>
      <c r="FC428" s="189">
        <v>160</v>
      </c>
      <c r="FD428" s="189">
        <v>0</v>
      </c>
      <c r="FE428" s="189">
        <v>0</v>
      </c>
      <c r="FF428" s="189">
        <v>0</v>
      </c>
      <c r="FG428" s="189">
        <v>0</v>
      </c>
      <c r="FH428" s="189">
        <v>0</v>
      </c>
      <c r="FI428" s="189">
        <v>0</v>
      </c>
      <c r="FJ428" s="189">
        <v>0</v>
      </c>
      <c r="FK428" s="189">
        <v>677</v>
      </c>
      <c r="FL428" s="189">
        <v>645</v>
      </c>
      <c r="FN428" s="132">
        <v>14.29</v>
      </c>
    </row>
    <row r="429" spans="1:170" ht="24" customHeight="1">
      <c r="A429" s="88">
        <f>COUNTIF($H$12:H429,H429)</f>
        <v>7</v>
      </c>
      <c r="B429" s="88" t="s">
        <v>2709</v>
      </c>
      <c r="C429" s="88" t="s">
        <v>1631</v>
      </c>
      <c r="D429" s="88"/>
      <c r="E429" s="88"/>
      <c r="F429" s="301" t="s">
        <v>1139</v>
      </c>
      <c r="G429" s="89" t="s">
        <v>3118</v>
      </c>
      <c r="H429" s="88">
        <v>9</v>
      </c>
      <c r="I429" s="88">
        <v>9</v>
      </c>
      <c r="J429" s="88">
        <v>9</v>
      </c>
      <c r="K429" s="90" t="s">
        <v>1101</v>
      </c>
      <c r="L429" s="90" t="s">
        <v>1101</v>
      </c>
      <c r="M429" s="214"/>
      <c r="N429" s="88" t="s">
        <v>1804</v>
      </c>
      <c r="O429" s="216">
        <f t="shared" si="1304"/>
        <v>2.67</v>
      </c>
      <c r="P429" s="88" t="str">
        <f t="shared" si="1333"/>
        <v>B1_3</v>
      </c>
      <c r="Q429" s="88">
        <f t="shared" si="1369"/>
        <v>270</v>
      </c>
      <c r="R429" s="88">
        <f t="shared" si="1370"/>
        <v>100</v>
      </c>
      <c r="S429" s="218" t="s">
        <v>2461</v>
      </c>
      <c r="T429" s="88" t="s">
        <v>2961</v>
      </c>
      <c r="U429" s="88">
        <f>IF(RIGHT(T429,1)="K",(VLOOKUP(T429,ma_miengiam!$A$3:$B$80,2,0)*100)/2,VLOOKUP(T429,ma_miengiam!$A$3:$B$80,2,0)*100)</f>
        <v>100</v>
      </c>
      <c r="V429" s="88"/>
      <c r="W429" s="220">
        <f>IF(AND(T429="NTS",V429&gt;0),(Q429-(Q429*V429)/12)*VLOOKUP(T429,ma_miengiam!$A$3:$B$80,2,0)+(Q429-(Q429*(12-V429))/12),IF(AND(RIGHT(T429,1)="K",V429&gt;0),(VLOOKUP(T429,ma_miengiam!$A$3:$B$80,2,0)/2)*(Q429*V429)/12,IF(RIGHT(T429,1)="K",(VLOOKUP(T429,ma_miengiam!$A$3:$B$80,2,0)*Q429)/2,IF(V429&gt;0,VLOOKUP(T429,ma_miengiam!$A$3:$B$80,2,0)*Q429*V429/12,VLOOKUP(T429,ma_miengiam!$A$3:$B$80,2,0)*Q429))))</f>
        <v>270</v>
      </c>
      <c r="X429" s="220">
        <f>IF(T429="NTS",VLOOKUP(T429,ma_miengiam!$A$3:$B$80,2,0)*R429*V429,IF(AND(T429="NTS",V429=0),0,IF(AND(LEFT(T429,1)="K",V429=0),VLOOKUP(T429,ma_miengiam!$A$3:$B$80,2,0)*R429,IF(LEFT(T429,1)="K",(VLOOKUP(T429,ma_miengiam!$A$3:$B$80,2,0)*R429/12)*V429,IF(AND(LEFT(T429,1)="S",V429&gt;0),(R429/12)*V429,IF(AND(LEFT(T429,1)="S",V429=0),R429,IF(T429="DH",VLOOKUP(T429,ma_miengiam!$A$3:$B$80,2,0)*R429,0)))))))</f>
        <v>100</v>
      </c>
      <c r="Y429" s="220">
        <f t="shared" si="1344"/>
        <v>0</v>
      </c>
      <c r="Z429" s="220">
        <f t="shared" si="1376"/>
        <v>0</v>
      </c>
      <c r="AA429" s="220">
        <f t="shared" si="1394"/>
        <v>270</v>
      </c>
      <c r="AB429" s="220">
        <f t="shared" si="1394"/>
        <v>100</v>
      </c>
      <c r="AC429" s="220">
        <f t="shared" ref="AC429:AF430" si="1395">W429</f>
        <v>270</v>
      </c>
      <c r="AD429" s="220">
        <f t="shared" si="1395"/>
        <v>100</v>
      </c>
      <c r="AE429" s="220">
        <f t="shared" si="1395"/>
        <v>0</v>
      </c>
      <c r="AF429" s="220">
        <f t="shared" si="1395"/>
        <v>0</v>
      </c>
      <c r="AG429" s="220">
        <f t="shared" si="1371"/>
        <v>143.16</v>
      </c>
      <c r="AH429" s="220">
        <f t="shared" si="1372"/>
        <v>143.16</v>
      </c>
      <c r="AI429" s="220">
        <f t="shared" si="1373"/>
        <v>0</v>
      </c>
      <c r="AJ429" s="220">
        <f t="shared" ref="AJ429:AJ478" si="1396">IF(AG429-Z429&gt;0,0,AG429-Z429)</f>
        <v>0</v>
      </c>
      <c r="AK429" s="216">
        <f t="shared" si="1266"/>
        <v>0</v>
      </c>
      <c r="AL429" s="220">
        <f t="shared" si="1251"/>
        <v>0</v>
      </c>
      <c r="AM429" s="220">
        <f t="shared" si="1252"/>
        <v>0</v>
      </c>
      <c r="AN429" s="221">
        <f t="shared" si="1253"/>
        <v>0</v>
      </c>
      <c r="AO429" s="220">
        <f t="shared" si="1254"/>
        <v>0</v>
      </c>
      <c r="AP429" s="220">
        <f t="shared" si="1255"/>
        <v>0</v>
      </c>
      <c r="AQ429" s="220">
        <f t="shared" si="1256"/>
        <v>0</v>
      </c>
      <c r="AR429" s="220">
        <f t="shared" si="1257"/>
        <v>0</v>
      </c>
      <c r="AS429" s="220">
        <f t="shared" si="1258"/>
        <v>0</v>
      </c>
      <c r="AT429" s="216">
        <f t="shared" si="1259"/>
        <v>0</v>
      </c>
      <c r="AU429" s="222">
        <f t="shared" si="1300"/>
        <v>0</v>
      </c>
      <c r="AV429" s="220"/>
      <c r="AW429" s="220">
        <f t="shared" si="1379"/>
        <v>0</v>
      </c>
      <c r="AX429" s="216">
        <f t="shared" si="1267"/>
        <v>0</v>
      </c>
      <c r="AY429" s="220">
        <f t="shared" si="1386"/>
        <v>0</v>
      </c>
      <c r="AZ429" s="220">
        <f t="shared" si="1387"/>
        <v>0</v>
      </c>
      <c r="BA429" s="220">
        <f t="shared" si="1388"/>
        <v>0</v>
      </c>
      <c r="BB429" s="220">
        <f t="shared" si="1389"/>
        <v>0</v>
      </c>
      <c r="BC429" s="220">
        <f t="shared" si="1390"/>
        <v>0</v>
      </c>
      <c r="BD429" s="216">
        <f t="shared" si="1195"/>
        <v>0</v>
      </c>
      <c r="BE429" s="220">
        <f t="shared" si="1380"/>
        <v>0</v>
      </c>
      <c r="BF429" s="220">
        <f t="shared" si="1381"/>
        <v>0</v>
      </c>
      <c r="BG429" s="220">
        <f t="shared" si="1382"/>
        <v>0</v>
      </c>
      <c r="BH429" s="220">
        <f t="shared" si="1383"/>
        <v>0</v>
      </c>
      <c r="BI429" s="220">
        <f t="shared" si="1384"/>
        <v>0</v>
      </c>
      <c r="BJ429" s="220" t="s">
        <v>2424</v>
      </c>
      <c r="BK429" s="220"/>
      <c r="BL429" s="223">
        <f t="shared" si="1201"/>
        <v>0</v>
      </c>
      <c r="BM429" s="220">
        <v>2.67</v>
      </c>
      <c r="BN429" s="220"/>
      <c r="BO429" s="220">
        <f t="shared" si="1356"/>
        <v>2.67</v>
      </c>
      <c r="BP429" s="220">
        <f>IF(AND(BL429&gt;0,BL429&lt;tiet!$D$1),BL429,IF(BL429&lt;=0,0,IF(BL429&gt;tiet!$C$1,tiet!$C$1)))</f>
        <v>0</v>
      </c>
      <c r="BQ429" s="87">
        <f t="shared" ref="BQ429:BQ478" si="1397">VLOOKUP(P429,ma_dinhmuc_moi,4,0)</f>
        <v>60000</v>
      </c>
      <c r="BR429" s="224">
        <f t="shared" si="1391"/>
        <v>0</v>
      </c>
      <c r="BS429" s="220">
        <f t="shared" si="1301"/>
        <v>0</v>
      </c>
      <c r="BT429" s="224">
        <f>VLOOKUP(N429,ma_dinhmuc!$A$1:$J$31,10,0)</f>
        <v>51000</v>
      </c>
      <c r="BU429" s="224">
        <f>ROUND(IF(BS429&gt;0,VLOOKUP(N429,ma_dinhmuc!$A$1:$J$31,10,0)*BS429,0),0)</f>
        <v>0</v>
      </c>
      <c r="BV429" s="224">
        <f t="shared" si="1392"/>
        <v>0</v>
      </c>
      <c r="BW429" s="224"/>
      <c r="BX429" s="224">
        <v>0</v>
      </c>
      <c r="BY429" s="224"/>
      <c r="BZ429" s="224"/>
      <c r="CA429" s="224"/>
      <c r="CB429" s="224"/>
      <c r="CC429" s="225">
        <f t="shared" si="1286"/>
        <v>0</v>
      </c>
      <c r="CD429" s="224">
        <f t="shared" si="1287"/>
        <v>0</v>
      </c>
      <c r="CE429" s="224"/>
      <c r="CF429" s="226"/>
      <c r="CG429" s="87"/>
      <c r="CH429" s="87">
        <f t="shared" si="1353"/>
        <v>7</v>
      </c>
      <c r="CI429" s="227" t="str">
        <f t="shared" si="1340"/>
        <v>Nguyễn Thị</v>
      </c>
      <c r="CJ429" s="227" t="str">
        <f t="shared" si="1341"/>
        <v>Nhiên</v>
      </c>
      <c r="CK429" s="87">
        <f t="shared" si="1374"/>
        <v>9</v>
      </c>
      <c r="CL429" s="227" t="str">
        <f t="shared" si="1343"/>
        <v>Ký sinh trùng</v>
      </c>
      <c r="CM429" s="87" t="str">
        <f t="shared" si="1385"/>
        <v>CS2</v>
      </c>
      <c r="CN429" s="87">
        <f t="shared" si="1375"/>
        <v>270</v>
      </c>
      <c r="CO429" s="87">
        <f t="shared" si="1375"/>
        <v>100</v>
      </c>
      <c r="CP429" s="229">
        <f t="shared" si="1314"/>
        <v>0</v>
      </c>
      <c r="CQ429" s="229">
        <f t="shared" si="1315"/>
        <v>0</v>
      </c>
      <c r="CR429" s="229">
        <f t="shared" si="1316"/>
        <v>0</v>
      </c>
      <c r="CS429" s="229">
        <f t="shared" si="1317"/>
        <v>0</v>
      </c>
      <c r="CT429" s="229">
        <f t="shared" si="1318"/>
        <v>0</v>
      </c>
      <c r="CU429" s="229">
        <f t="shared" si="1319"/>
        <v>0</v>
      </c>
      <c r="CV429" s="229">
        <f t="shared" si="1320"/>
        <v>0</v>
      </c>
      <c r="CW429" s="229">
        <f t="shared" si="1321"/>
        <v>0</v>
      </c>
      <c r="CX429" s="229">
        <f t="shared" si="1322"/>
        <v>0</v>
      </c>
      <c r="CY429" s="229">
        <f t="shared" si="1323"/>
        <v>0</v>
      </c>
      <c r="CZ429" s="229">
        <f t="shared" si="1324"/>
        <v>0</v>
      </c>
      <c r="DA429" s="229">
        <f t="shared" si="1325"/>
        <v>0</v>
      </c>
      <c r="DB429" s="228">
        <f t="shared" si="1260"/>
        <v>0</v>
      </c>
      <c r="DC429" s="229"/>
      <c r="DD429" s="229"/>
      <c r="DE429" s="229"/>
      <c r="DF429" s="229"/>
      <c r="DG429" s="229"/>
      <c r="DH429" s="229"/>
      <c r="DI429" s="229"/>
      <c r="DJ429" s="229"/>
      <c r="DK429" s="229"/>
      <c r="DL429" s="229"/>
      <c r="DM429" s="229"/>
      <c r="DN429" s="229"/>
      <c r="DO429" s="228">
        <f t="shared" si="1261"/>
        <v>0</v>
      </c>
      <c r="DP429" s="228">
        <f t="shared" si="1262"/>
        <v>0</v>
      </c>
      <c r="DQ429" s="229">
        <f t="shared" si="1326"/>
        <v>0</v>
      </c>
      <c r="DR429" s="229">
        <f t="shared" si="1327"/>
        <v>0</v>
      </c>
      <c r="DS429" s="229">
        <f t="shared" si="1328"/>
        <v>0</v>
      </c>
      <c r="DT429" s="229">
        <f t="shared" si="1329"/>
        <v>0</v>
      </c>
      <c r="DU429" s="229">
        <f t="shared" si="1330"/>
        <v>0</v>
      </c>
      <c r="DV429" s="229">
        <f t="shared" si="1331"/>
        <v>0</v>
      </c>
      <c r="DW429" s="229">
        <f t="shared" si="1332"/>
        <v>0</v>
      </c>
      <c r="DX429" s="228">
        <f t="shared" si="1263"/>
        <v>0</v>
      </c>
      <c r="DY429" s="229"/>
      <c r="DZ429" s="229"/>
      <c r="EA429" s="229"/>
      <c r="EB429" s="229"/>
      <c r="EC429" s="229"/>
      <c r="ED429" s="229"/>
      <c r="EE429" s="229"/>
      <c r="EF429" s="228">
        <f t="shared" si="1305"/>
        <v>0</v>
      </c>
      <c r="EG429" s="228">
        <f t="shared" si="1264"/>
        <v>0</v>
      </c>
      <c r="EH429" s="229">
        <f t="shared" si="1306"/>
        <v>0</v>
      </c>
      <c r="EI429" s="229">
        <v>143.16</v>
      </c>
      <c r="EJ429" s="228">
        <f t="shared" si="1366"/>
        <v>143.16</v>
      </c>
      <c r="EK429" s="229"/>
      <c r="EL429" s="229"/>
      <c r="EM429" s="228">
        <f t="shared" si="1368"/>
        <v>0</v>
      </c>
      <c r="EN429" s="229">
        <f t="shared" si="1273"/>
        <v>0</v>
      </c>
      <c r="EO429" s="229">
        <f t="shared" si="1302"/>
        <v>143.16</v>
      </c>
      <c r="EP429" s="228">
        <f t="shared" si="1364"/>
        <v>143.16</v>
      </c>
      <c r="EQ429" s="173">
        <f t="shared" si="1303"/>
        <v>0</v>
      </c>
      <c r="ER429" s="189">
        <v>0</v>
      </c>
      <c r="ES429" s="189">
        <v>0</v>
      </c>
      <c r="ET429" s="189">
        <v>0</v>
      </c>
      <c r="EU429" s="189">
        <v>0</v>
      </c>
      <c r="EV429" s="189">
        <v>0</v>
      </c>
      <c r="EW429" s="189">
        <v>0</v>
      </c>
      <c r="EX429" s="189">
        <v>0</v>
      </c>
      <c r="EY429" s="189">
        <v>0</v>
      </c>
      <c r="EZ429" s="189">
        <v>0</v>
      </c>
      <c r="FA429" s="189">
        <v>0</v>
      </c>
      <c r="FB429" s="189">
        <v>0</v>
      </c>
      <c r="FC429" s="189">
        <v>0</v>
      </c>
      <c r="FD429" s="189">
        <v>0</v>
      </c>
      <c r="FE429" s="189">
        <v>0</v>
      </c>
      <c r="FF429" s="189">
        <v>0</v>
      </c>
      <c r="FG429" s="189">
        <v>0</v>
      </c>
      <c r="FH429" s="189">
        <v>0</v>
      </c>
      <c r="FI429" s="189">
        <v>0</v>
      </c>
      <c r="FJ429" s="189">
        <v>0</v>
      </c>
      <c r="FK429" s="189">
        <v>0</v>
      </c>
      <c r="FL429" s="189">
        <v>0</v>
      </c>
      <c r="FN429" s="132">
        <v>0</v>
      </c>
    </row>
    <row r="430" spans="1:170" ht="30" customHeight="1">
      <c r="A430" s="88">
        <f>COUNTIF($H$12:H430,H430)</f>
        <v>8</v>
      </c>
      <c r="B430" s="88" t="s">
        <v>2710</v>
      </c>
      <c r="C430" s="88" t="s">
        <v>1632</v>
      </c>
      <c r="D430" s="88"/>
      <c r="E430" s="88"/>
      <c r="F430" s="301" t="s">
        <v>914</v>
      </c>
      <c r="G430" s="89" t="s">
        <v>1909</v>
      </c>
      <c r="H430" s="88">
        <v>9</v>
      </c>
      <c r="I430" s="88">
        <v>9</v>
      </c>
      <c r="J430" s="88">
        <v>9</v>
      </c>
      <c r="K430" s="90" t="s">
        <v>1101</v>
      </c>
      <c r="L430" s="90" t="s">
        <v>1101</v>
      </c>
      <c r="M430" s="214"/>
      <c r="N430" s="88" t="s">
        <v>1804</v>
      </c>
      <c r="O430" s="216">
        <f t="shared" ref="O430:O449" si="1398">BO430</f>
        <v>3</v>
      </c>
      <c r="P430" s="88" t="str">
        <f t="shared" si="1333"/>
        <v>B1_3</v>
      </c>
      <c r="Q430" s="88">
        <f t="shared" si="1369"/>
        <v>270</v>
      </c>
      <c r="R430" s="88">
        <f t="shared" si="1370"/>
        <v>100</v>
      </c>
      <c r="S430" s="218" t="s">
        <v>399</v>
      </c>
      <c r="T430" s="88" t="s">
        <v>2961</v>
      </c>
      <c r="U430" s="88">
        <f>IF(RIGHT(T430,1)="K",(VLOOKUP(T430,ma_miengiam!$A$3:$B$80,2,0)*100)/2,VLOOKUP(T430,ma_miengiam!$A$3:$B$80,2,0)*100)</f>
        <v>100</v>
      </c>
      <c r="V430" s="88"/>
      <c r="W430" s="220">
        <f>IF(AND(T430="NTS",V430&gt;0),(Q430-(Q430*V430)/12)*VLOOKUP(T430,ma_miengiam!$A$3:$B$80,2,0)+(Q430-(Q430*(12-V430))/12),IF(AND(RIGHT(T430,1)="K",V430&gt;0),(VLOOKUP(T430,ma_miengiam!$A$3:$B$80,2,0)/2)*(Q430*V430)/12,IF(RIGHT(T430,1)="K",(VLOOKUP(T430,ma_miengiam!$A$3:$B$80,2,0)*Q430)/2,IF(V430&gt;0,VLOOKUP(T430,ma_miengiam!$A$3:$B$80,2,0)*Q430*V430/12,VLOOKUP(T430,ma_miengiam!$A$3:$B$80,2,0)*Q430))))</f>
        <v>270</v>
      </c>
      <c r="X430" s="220">
        <f>IF(T430="NTS",VLOOKUP(T430,ma_miengiam!$A$3:$B$80,2,0)*R430*V430,IF(AND(T430="NTS",V430=0),0,IF(AND(LEFT(T430,1)="K",V430=0),VLOOKUP(T430,ma_miengiam!$A$3:$B$80,2,0)*R430,IF(LEFT(T430,1)="K",(VLOOKUP(T430,ma_miengiam!$A$3:$B$80,2,0)*R430/12)*V430,IF(AND(LEFT(T430,1)="S",V430&gt;0),(R430/12)*V430,IF(AND(LEFT(T430,1)="S",V430=0),R430,IF(T430="DH",VLOOKUP(T430,ma_miengiam!$A$3:$B$80,2,0)*R430,0)))))))</f>
        <v>100</v>
      </c>
      <c r="Y430" s="220">
        <f t="shared" si="1344"/>
        <v>0</v>
      </c>
      <c r="Z430" s="220">
        <f t="shared" si="1376"/>
        <v>0</v>
      </c>
      <c r="AA430" s="220">
        <f t="shared" si="1394"/>
        <v>270</v>
      </c>
      <c r="AB430" s="220">
        <f t="shared" si="1394"/>
        <v>100</v>
      </c>
      <c r="AC430" s="220">
        <f t="shared" si="1395"/>
        <v>270</v>
      </c>
      <c r="AD430" s="220">
        <f t="shared" si="1395"/>
        <v>100</v>
      </c>
      <c r="AE430" s="220">
        <f t="shared" si="1395"/>
        <v>0</v>
      </c>
      <c r="AF430" s="220">
        <f t="shared" si="1395"/>
        <v>0</v>
      </c>
      <c r="AG430" s="220">
        <f t="shared" si="1371"/>
        <v>174.12</v>
      </c>
      <c r="AH430" s="220">
        <f t="shared" si="1372"/>
        <v>143.16</v>
      </c>
      <c r="AI430" s="220">
        <f t="shared" si="1373"/>
        <v>30.96</v>
      </c>
      <c r="AJ430" s="220">
        <f t="shared" si="1396"/>
        <v>0</v>
      </c>
      <c r="AK430" s="216">
        <f t="shared" si="1266"/>
        <v>0</v>
      </c>
      <c r="AL430" s="220">
        <f t="shared" si="1251"/>
        <v>0</v>
      </c>
      <c r="AM430" s="220">
        <f t="shared" si="1252"/>
        <v>0</v>
      </c>
      <c r="AN430" s="221">
        <f t="shared" si="1253"/>
        <v>0</v>
      </c>
      <c r="AO430" s="220">
        <f t="shared" si="1254"/>
        <v>0</v>
      </c>
      <c r="AP430" s="220">
        <f t="shared" si="1255"/>
        <v>0</v>
      </c>
      <c r="AQ430" s="220">
        <f t="shared" si="1256"/>
        <v>0</v>
      </c>
      <c r="AR430" s="220">
        <f t="shared" si="1257"/>
        <v>0</v>
      </c>
      <c r="AS430" s="220">
        <f t="shared" si="1258"/>
        <v>0</v>
      </c>
      <c r="AT430" s="216">
        <f t="shared" si="1259"/>
        <v>0</v>
      </c>
      <c r="AU430" s="222">
        <f t="shared" si="1300"/>
        <v>0</v>
      </c>
      <c r="AV430" s="220"/>
      <c r="AW430" s="220">
        <f t="shared" si="1379"/>
        <v>0</v>
      </c>
      <c r="AX430" s="216">
        <f t="shared" si="1267"/>
        <v>0</v>
      </c>
      <c r="AY430" s="220">
        <f t="shared" si="1386"/>
        <v>0</v>
      </c>
      <c r="AZ430" s="220">
        <f t="shared" si="1387"/>
        <v>0</v>
      </c>
      <c r="BA430" s="220">
        <f t="shared" si="1388"/>
        <v>0</v>
      </c>
      <c r="BB430" s="220">
        <f t="shared" si="1389"/>
        <v>0</v>
      </c>
      <c r="BC430" s="220">
        <f t="shared" si="1390"/>
        <v>0</v>
      </c>
      <c r="BD430" s="216">
        <f t="shared" si="1195"/>
        <v>0</v>
      </c>
      <c r="BE430" s="220">
        <f t="shared" si="1380"/>
        <v>0</v>
      </c>
      <c r="BF430" s="220">
        <f t="shared" si="1381"/>
        <v>0</v>
      </c>
      <c r="BG430" s="220">
        <f t="shared" si="1382"/>
        <v>0</v>
      </c>
      <c r="BH430" s="220">
        <f t="shared" si="1383"/>
        <v>0</v>
      </c>
      <c r="BI430" s="220">
        <f t="shared" si="1384"/>
        <v>0</v>
      </c>
      <c r="BJ430" s="220" t="s">
        <v>2424</v>
      </c>
      <c r="BK430" s="220"/>
      <c r="BL430" s="223">
        <f t="shared" si="1201"/>
        <v>0</v>
      </c>
      <c r="BM430" s="220">
        <v>3</v>
      </c>
      <c r="BN430" s="220"/>
      <c r="BO430" s="220">
        <f t="shared" si="1356"/>
        <v>3</v>
      </c>
      <c r="BP430" s="220">
        <f>IF(AND(BL430&gt;0,BL430&lt;tiet!$D$1),BL430,IF(BL430&lt;=0,0,IF(BL430&gt;tiet!$C$1,tiet!$C$1)))</f>
        <v>0</v>
      </c>
      <c r="BQ430" s="87">
        <f t="shared" si="1397"/>
        <v>60000</v>
      </c>
      <c r="BR430" s="224">
        <f t="shared" si="1391"/>
        <v>0</v>
      </c>
      <c r="BS430" s="220">
        <f t="shared" si="1301"/>
        <v>0</v>
      </c>
      <c r="BT430" s="224">
        <f>VLOOKUP(N430,ma_dinhmuc!$A$1:$J$31,10,0)</f>
        <v>51000</v>
      </c>
      <c r="BU430" s="224">
        <f>ROUND(IF(BS430&gt;0,VLOOKUP(N430,ma_dinhmuc!$A$1:$J$31,10,0)*BS430,0),0)</f>
        <v>0</v>
      </c>
      <c r="BV430" s="224">
        <f t="shared" si="1392"/>
        <v>0</v>
      </c>
      <c r="BW430" s="224"/>
      <c r="BX430" s="224">
        <v>0</v>
      </c>
      <c r="BY430" s="224"/>
      <c r="BZ430" s="224"/>
      <c r="CA430" s="224"/>
      <c r="CB430" s="224"/>
      <c r="CC430" s="225">
        <f t="shared" si="1286"/>
        <v>0</v>
      </c>
      <c r="CD430" s="224">
        <f t="shared" si="1287"/>
        <v>0</v>
      </c>
      <c r="CE430" s="224"/>
      <c r="CF430" s="226"/>
      <c r="CG430" s="87"/>
      <c r="CH430" s="87">
        <f t="shared" si="1353"/>
        <v>8</v>
      </c>
      <c r="CI430" s="227" t="str">
        <f t="shared" si="1340"/>
        <v>Dương Đức</v>
      </c>
      <c r="CJ430" s="227" t="str">
        <f t="shared" si="1341"/>
        <v>Hiếu</v>
      </c>
      <c r="CK430" s="87">
        <f t="shared" si="1374"/>
        <v>9</v>
      </c>
      <c r="CL430" s="227" t="str">
        <f t="shared" si="1343"/>
        <v>Ký sinh trùng</v>
      </c>
      <c r="CM430" s="87" t="str">
        <f t="shared" si="1385"/>
        <v>CS2</v>
      </c>
      <c r="CN430" s="87">
        <f t="shared" si="1375"/>
        <v>270</v>
      </c>
      <c r="CO430" s="87">
        <f t="shared" si="1375"/>
        <v>100</v>
      </c>
      <c r="CP430" s="229">
        <f t="shared" si="1314"/>
        <v>0</v>
      </c>
      <c r="CQ430" s="229">
        <f t="shared" si="1315"/>
        <v>0</v>
      </c>
      <c r="CR430" s="229">
        <f t="shared" si="1316"/>
        <v>0</v>
      </c>
      <c r="CS430" s="229">
        <f t="shared" si="1317"/>
        <v>0</v>
      </c>
      <c r="CT430" s="229">
        <f t="shared" si="1318"/>
        <v>0</v>
      </c>
      <c r="CU430" s="229">
        <f t="shared" si="1319"/>
        <v>0</v>
      </c>
      <c r="CV430" s="229">
        <f t="shared" si="1320"/>
        <v>0</v>
      </c>
      <c r="CW430" s="229">
        <f t="shared" si="1321"/>
        <v>0</v>
      </c>
      <c r="CX430" s="229">
        <f t="shared" si="1322"/>
        <v>0</v>
      </c>
      <c r="CY430" s="229">
        <f t="shared" si="1323"/>
        <v>0</v>
      </c>
      <c r="CZ430" s="229">
        <f t="shared" si="1324"/>
        <v>0</v>
      </c>
      <c r="DA430" s="229">
        <f t="shared" si="1325"/>
        <v>0</v>
      </c>
      <c r="DB430" s="228">
        <f t="shared" si="1260"/>
        <v>0</v>
      </c>
      <c r="DC430" s="229"/>
      <c r="DD430" s="229"/>
      <c r="DE430" s="229"/>
      <c r="DF430" s="229"/>
      <c r="DG430" s="229"/>
      <c r="DH430" s="229"/>
      <c r="DI430" s="229"/>
      <c r="DJ430" s="229"/>
      <c r="DK430" s="229"/>
      <c r="DL430" s="229"/>
      <c r="DM430" s="229"/>
      <c r="DN430" s="229"/>
      <c r="DO430" s="228">
        <f t="shared" si="1261"/>
        <v>0</v>
      </c>
      <c r="DP430" s="228">
        <f t="shared" si="1262"/>
        <v>0</v>
      </c>
      <c r="DQ430" s="229">
        <f t="shared" si="1326"/>
        <v>0</v>
      </c>
      <c r="DR430" s="229">
        <f t="shared" si="1327"/>
        <v>0</v>
      </c>
      <c r="DS430" s="229">
        <f t="shared" si="1328"/>
        <v>0</v>
      </c>
      <c r="DT430" s="229">
        <f t="shared" si="1329"/>
        <v>0</v>
      </c>
      <c r="DU430" s="229">
        <f t="shared" si="1330"/>
        <v>0</v>
      </c>
      <c r="DV430" s="229">
        <f t="shared" si="1331"/>
        <v>0</v>
      </c>
      <c r="DW430" s="229">
        <f t="shared" si="1332"/>
        <v>0</v>
      </c>
      <c r="DX430" s="228">
        <f t="shared" si="1263"/>
        <v>0</v>
      </c>
      <c r="DY430" s="229"/>
      <c r="DZ430" s="229"/>
      <c r="EA430" s="229"/>
      <c r="EB430" s="229"/>
      <c r="EC430" s="229"/>
      <c r="ED430" s="229"/>
      <c r="EE430" s="229"/>
      <c r="EF430" s="228">
        <f t="shared" si="1305"/>
        <v>0</v>
      </c>
      <c r="EG430" s="228">
        <f t="shared" si="1264"/>
        <v>0</v>
      </c>
      <c r="EH430" s="229">
        <f t="shared" si="1306"/>
        <v>30.96</v>
      </c>
      <c r="EI430" s="229">
        <v>143.16</v>
      </c>
      <c r="EJ430" s="228">
        <f t="shared" si="1366"/>
        <v>174.12</v>
      </c>
      <c r="EK430" s="229"/>
      <c r="EL430" s="229"/>
      <c r="EM430" s="228">
        <f t="shared" si="1368"/>
        <v>0</v>
      </c>
      <c r="EN430" s="229">
        <f t="shared" si="1273"/>
        <v>30.96</v>
      </c>
      <c r="EO430" s="229">
        <f t="shared" si="1302"/>
        <v>143.16</v>
      </c>
      <c r="EP430" s="228">
        <f t="shared" si="1364"/>
        <v>174.12</v>
      </c>
      <c r="EQ430" s="173">
        <f t="shared" si="1303"/>
        <v>30.96</v>
      </c>
      <c r="ER430" s="189">
        <v>0</v>
      </c>
      <c r="ES430" s="189">
        <v>0</v>
      </c>
      <c r="ET430" s="189">
        <v>0</v>
      </c>
      <c r="EU430" s="189">
        <v>0</v>
      </c>
      <c r="EV430" s="189">
        <v>0</v>
      </c>
      <c r="EW430" s="189">
        <v>0</v>
      </c>
      <c r="EX430" s="189">
        <v>0</v>
      </c>
      <c r="EY430" s="189">
        <v>0</v>
      </c>
      <c r="EZ430" s="189">
        <v>0</v>
      </c>
      <c r="FA430" s="189">
        <v>0</v>
      </c>
      <c r="FB430" s="189">
        <v>0</v>
      </c>
      <c r="FC430" s="189">
        <v>0</v>
      </c>
      <c r="FD430" s="189">
        <v>0</v>
      </c>
      <c r="FE430" s="189">
        <v>0</v>
      </c>
      <c r="FF430" s="189">
        <v>0</v>
      </c>
      <c r="FG430" s="189">
        <v>0</v>
      </c>
      <c r="FH430" s="189">
        <v>0</v>
      </c>
      <c r="FI430" s="189">
        <v>0</v>
      </c>
      <c r="FJ430" s="189">
        <v>0</v>
      </c>
      <c r="FK430" s="189">
        <v>0</v>
      </c>
      <c r="FL430" s="189">
        <v>0</v>
      </c>
      <c r="FN430" s="132">
        <v>30.96</v>
      </c>
    </row>
    <row r="431" spans="1:170" ht="30" customHeight="1">
      <c r="A431" s="88">
        <f>COUNTIF($H$12:H431,H431)</f>
        <v>9</v>
      </c>
      <c r="B431" s="88" t="s">
        <v>2711</v>
      </c>
      <c r="C431" s="88" t="s">
        <v>1633</v>
      </c>
      <c r="D431" s="88"/>
      <c r="E431" s="88"/>
      <c r="F431" s="301" t="s">
        <v>632</v>
      </c>
      <c r="G431" s="89" t="s">
        <v>1115</v>
      </c>
      <c r="H431" s="88">
        <v>9</v>
      </c>
      <c r="I431" s="88">
        <v>9</v>
      </c>
      <c r="J431" s="88">
        <v>9</v>
      </c>
      <c r="K431" s="90" t="s">
        <v>1101</v>
      </c>
      <c r="L431" s="90" t="s">
        <v>1101</v>
      </c>
      <c r="M431" s="214"/>
      <c r="N431" s="88" t="s">
        <v>1804</v>
      </c>
      <c r="O431" s="216">
        <f t="shared" si="1398"/>
        <v>3.33</v>
      </c>
      <c r="P431" s="88" t="str">
        <f t="shared" si="1333"/>
        <v>B1_4</v>
      </c>
      <c r="Q431" s="88">
        <f t="shared" si="1369"/>
        <v>270</v>
      </c>
      <c r="R431" s="88">
        <f t="shared" si="1370"/>
        <v>120</v>
      </c>
      <c r="S431" s="231" t="s">
        <v>2031</v>
      </c>
      <c r="T431" s="214" t="s">
        <v>3091</v>
      </c>
      <c r="U431" s="88">
        <f>IF(RIGHT(T431,1)="K",(VLOOKUP(T431,ma_miengiam!$A$3:$B$80,2,0)*100)/2,VLOOKUP(T431,ma_miengiam!$A$3:$B$80,2,0)*100)</f>
        <v>20</v>
      </c>
      <c r="V431" s="88"/>
      <c r="W431" s="220">
        <f>IF(AND(T431="NTS",V431&gt;0),(Q431-(Q431*V431)/12)*VLOOKUP(T431,ma_miengiam!$A$3:$B$80,2,0)+(Q431-(Q431*(12-V431))/12),IF(AND(RIGHT(T431,1)="K",V431&gt;0),(VLOOKUP(T431,ma_miengiam!$A$3:$B$80,2,0)/2)*(Q431*V431)/12,IF(RIGHT(T431,1)="K",(VLOOKUP(T431,ma_miengiam!$A$3:$B$80,2,0)*Q431)/2,IF(V431&gt;0,VLOOKUP(T431,ma_miengiam!$A$3:$B$80,2,0)*Q431*V431/12,VLOOKUP(T431,ma_miengiam!$A$3:$B$80,2,0)*Q431))))</f>
        <v>54</v>
      </c>
      <c r="X431" s="220">
        <f>IF(T431="NTS",VLOOKUP(T431,ma_miengiam!$A$3:$B$80,2,0)*R431*V431,IF(AND(T431="NTS",V431=0),0,IF(AND(LEFT(T431,1)="K",V431=0),VLOOKUP(T431,ma_miengiam!$A$3:$B$80,2,0)*R431,IF(LEFT(T431,1)="K",(VLOOKUP(T431,ma_miengiam!$A$3:$B$80,2,0)*R431/12)*V431,IF(AND(LEFT(T431,1)="S",V431&gt;0),(R431/12)*V431,IF(AND(LEFT(T431,1)="S",V431=0),R431,IF(T431="DH",VLOOKUP(T431,ma_miengiam!$A$3:$B$80,2,0)*R431,0)))))))</f>
        <v>0</v>
      </c>
      <c r="Y431" s="220">
        <f t="shared" si="1344"/>
        <v>216</v>
      </c>
      <c r="Z431" s="220">
        <f t="shared" si="1376"/>
        <v>120</v>
      </c>
      <c r="AA431" s="220">
        <f t="shared" si="1394"/>
        <v>270</v>
      </c>
      <c r="AB431" s="220">
        <f t="shared" si="1394"/>
        <v>120</v>
      </c>
      <c r="AC431" s="220">
        <f>W431</f>
        <v>54</v>
      </c>
      <c r="AD431" s="220">
        <f>X431</f>
        <v>0</v>
      </c>
      <c r="AE431" s="220">
        <f>Y431</f>
        <v>216</v>
      </c>
      <c r="AF431" s="220">
        <f>Z431</f>
        <v>120</v>
      </c>
      <c r="AG431" s="220">
        <f>AH431+AI431</f>
        <v>152.75</v>
      </c>
      <c r="AH431" s="220">
        <f>EO431</f>
        <v>51.79</v>
      </c>
      <c r="AI431" s="220">
        <f>EN431</f>
        <v>100.96</v>
      </c>
      <c r="AJ431" s="220">
        <f>IF(AG431-Z431&gt;0,0,AG431-Z431)</f>
        <v>0</v>
      </c>
      <c r="AK431" s="216">
        <f t="shared" si="1266"/>
        <v>216</v>
      </c>
      <c r="AL431" s="220">
        <f t="shared" si="1251"/>
        <v>175.5</v>
      </c>
      <c r="AM431" s="220">
        <f t="shared" si="1252"/>
        <v>19.399999999999999</v>
      </c>
      <c r="AN431" s="221">
        <f t="shared" si="1253"/>
        <v>194.9</v>
      </c>
      <c r="AO431" s="220">
        <f t="shared" si="1254"/>
        <v>0</v>
      </c>
      <c r="AP431" s="220">
        <f t="shared" si="1255"/>
        <v>15</v>
      </c>
      <c r="AQ431" s="220">
        <f t="shared" si="1256"/>
        <v>200</v>
      </c>
      <c r="AR431" s="220">
        <f t="shared" si="1257"/>
        <v>40</v>
      </c>
      <c r="AS431" s="220">
        <f t="shared" si="1258"/>
        <v>0</v>
      </c>
      <c r="AT431" s="216">
        <f t="shared" si="1259"/>
        <v>449.9</v>
      </c>
      <c r="AU431" s="222">
        <f t="shared" si="1300"/>
        <v>-21.099999999999994</v>
      </c>
      <c r="AV431" s="220"/>
      <c r="AW431" s="220">
        <f t="shared" si="1379"/>
        <v>-21.099999999999994</v>
      </c>
      <c r="AX431" s="216">
        <f t="shared" si="1267"/>
        <v>-21.099999999999994</v>
      </c>
      <c r="AY431" s="220">
        <f t="shared" si="1386"/>
        <v>0</v>
      </c>
      <c r="AZ431" s="220">
        <f t="shared" si="1387"/>
        <v>0</v>
      </c>
      <c r="BA431" s="220">
        <f t="shared" si="1388"/>
        <v>193.89999999999998</v>
      </c>
      <c r="BB431" s="220">
        <f t="shared" si="1389"/>
        <v>40</v>
      </c>
      <c r="BC431" s="220">
        <f t="shared" si="1390"/>
        <v>0</v>
      </c>
      <c r="BD431" s="216">
        <f t="shared" si="1195"/>
        <v>233.89999999999998</v>
      </c>
      <c r="BE431" s="220">
        <f t="shared" si="1380"/>
        <v>0</v>
      </c>
      <c r="BF431" s="220">
        <f t="shared" si="1381"/>
        <v>-15</v>
      </c>
      <c r="BG431" s="220">
        <f t="shared" si="1382"/>
        <v>-6.1000000000000227</v>
      </c>
      <c r="BH431" s="220">
        <f t="shared" si="1383"/>
        <v>0</v>
      </c>
      <c r="BI431" s="220">
        <f t="shared" si="1384"/>
        <v>0</v>
      </c>
      <c r="BJ431" s="220" t="s">
        <v>2424</v>
      </c>
      <c r="BK431" s="220"/>
      <c r="BL431" s="223">
        <f t="shared" si="1201"/>
        <v>0</v>
      </c>
      <c r="BM431" s="220">
        <v>3.33</v>
      </c>
      <c r="BN431" s="220"/>
      <c r="BO431" s="220">
        <f t="shared" si="1356"/>
        <v>3.33</v>
      </c>
      <c r="BP431" s="220">
        <f>IF(AND(BL431&gt;0,BL431&lt;tiet!$D$1),BL431,IF(BL431&lt;=0,0,IF(BL431&gt;tiet!$C$1,tiet!$C$1)))</f>
        <v>0</v>
      </c>
      <c r="BQ431" s="87">
        <f>VLOOKUP(P431,ma_dinhmuc_moi,4,0)</f>
        <v>65000</v>
      </c>
      <c r="BR431" s="224">
        <f>ROUND(BQ431*BP431,0)</f>
        <v>0</v>
      </c>
      <c r="BS431" s="220">
        <f t="shared" si="1301"/>
        <v>0</v>
      </c>
      <c r="BT431" s="224">
        <f>VLOOKUP(N431,ma_dinhmuc!$A$1:$J$31,10,0)</f>
        <v>51000</v>
      </c>
      <c r="BU431" s="224">
        <f>ROUND(IF(BS431&gt;0,VLOOKUP(N431,ma_dinhmuc!$A$1:$J$31,10,0)*BS431,0),0)</f>
        <v>0</v>
      </c>
      <c r="BV431" s="224">
        <f>ROUND(BU431+BR431,0)</f>
        <v>0</v>
      </c>
      <c r="BW431" s="224"/>
      <c r="BX431" s="224">
        <v>0</v>
      </c>
      <c r="BY431" s="224"/>
      <c r="BZ431" s="224"/>
      <c r="CA431" s="224"/>
      <c r="CB431" s="224"/>
      <c r="CC431" s="225">
        <f>ROUND(IF(BV431+BW431&gt;BX431+BY431+BZ431+CA431+CB431,(BW431+BV431)-(BX431+BY431+BZ431+CA431+CB431+CB431),0),0)</f>
        <v>0</v>
      </c>
      <c r="CD431" s="224">
        <f>ROUND(IF(BV431+BW431&lt;BX431+BY431+BZ431+CA431-CB431,(BX431+BY431+BZ431+CA431-CB431)-(BW431+BV431),0),0)</f>
        <v>0</v>
      </c>
      <c r="CE431" s="224"/>
      <c r="CF431" s="226"/>
      <c r="CG431" s="87"/>
      <c r="CH431" s="87">
        <f t="shared" si="1353"/>
        <v>9</v>
      </c>
      <c r="CI431" s="227" t="str">
        <f t="shared" si="1340"/>
        <v>Bùi Khánh</v>
      </c>
      <c r="CJ431" s="227" t="str">
        <f t="shared" si="1341"/>
        <v>Linh</v>
      </c>
      <c r="CK431" s="87">
        <f>H431</f>
        <v>9</v>
      </c>
      <c r="CL431" s="227" t="str">
        <f>L431</f>
        <v>Ký sinh trùng</v>
      </c>
      <c r="CM431" s="87" t="str">
        <f t="shared" si="1385"/>
        <v>CS2</v>
      </c>
      <c r="CN431" s="87">
        <f t="shared" ref="CN431:CN443" si="1399">Q431</f>
        <v>270</v>
      </c>
      <c r="CO431" s="87">
        <f t="shared" ref="CO431:CO443" si="1400">R431</f>
        <v>120</v>
      </c>
      <c r="CP431" s="229">
        <f t="shared" si="1314"/>
        <v>0</v>
      </c>
      <c r="CQ431" s="229">
        <f t="shared" si="1315"/>
        <v>27.6</v>
      </c>
      <c r="CR431" s="229">
        <f t="shared" si="1316"/>
        <v>11.1</v>
      </c>
      <c r="CS431" s="229">
        <f t="shared" si="1317"/>
        <v>0</v>
      </c>
      <c r="CT431" s="229">
        <f t="shared" si="1318"/>
        <v>0</v>
      </c>
      <c r="CU431" s="229">
        <f t="shared" si="1319"/>
        <v>116.8</v>
      </c>
      <c r="CV431" s="229">
        <f t="shared" si="1320"/>
        <v>0</v>
      </c>
      <c r="CW431" s="229">
        <f t="shared" si="1321"/>
        <v>20</v>
      </c>
      <c r="CX431" s="229">
        <f t="shared" si="1322"/>
        <v>0</v>
      </c>
      <c r="CY431" s="229">
        <f t="shared" si="1323"/>
        <v>0</v>
      </c>
      <c r="CZ431" s="229">
        <f t="shared" si="1324"/>
        <v>15</v>
      </c>
      <c r="DA431" s="229">
        <f t="shared" si="1325"/>
        <v>200</v>
      </c>
      <c r="DB431" s="228">
        <f t="shared" si="1260"/>
        <v>390.5</v>
      </c>
      <c r="DC431" s="229"/>
      <c r="DD431" s="229"/>
      <c r="DE431" s="229"/>
      <c r="DF431" s="229"/>
      <c r="DG431" s="229"/>
      <c r="DH431" s="229"/>
      <c r="DI431" s="229"/>
      <c r="DJ431" s="229"/>
      <c r="DK431" s="229"/>
      <c r="DL431" s="229"/>
      <c r="DM431" s="229"/>
      <c r="DN431" s="229"/>
      <c r="DO431" s="228">
        <f t="shared" si="1261"/>
        <v>0</v>
      </c>
      <c r="DP431" s="228">
        <f t="shared" si="1262"/>
        <v>390.5</v>
      </c>
      <c r="DQ431" s="229">
        <f t="shared" si="1326"/>
        <v>18</v>
      </c>
      <c r="DR431" s="229">
        <f t="shared" si="1327"/>
        <v>1</v>
      </c>
      <c r="DS431" s="229">
        <f t="shared" si="1328"/>
        <v>0</v>
      </c>
      <c r="DT431" s="229">
        <f t="shared" si="1329"/>
        <v>0.4</v>
      </c>
      <c r="DU431" s="229">
        <f t="shared" si="1330"/>
        <v>0</v>
      </c>
      <c r="DV431" s="229">
        <f t="shared" si="1331"/>
        <v>40</v>
      </c>
      <c r="DW431" s="229">
        <f t="shared" si="1332"/>
        <v>0</v>
      </c>
      <c r="DX431" s="228">
        <f t="shared" si="1263"/>
        <v>59.4</v>
      </c>
      <c r="DY431" s="229"/>
      <c r="DZ431" s="229"/>
      <c r="EA431" s="229"/>
      <c r="EB431" s="229"/>
      <c r="EC431" s="229"/>
      <c r="ED431" s="229"/>
      <c r="EE431" s="229"/>
      <c r="EF431" s="228">
        <f t="shared" si="1305"/>
        <v>0</v>
      </c>
      <c r="EG431" s="228">
        <f t="shared" si="1264"/>
        <v>59.4</v>
      </c>
      <c r="EH431" s="229">
        <f t="shared" si="1306"/>
        <v>100.96</v>
      </c>
      <c r="EI431" s="229">
        <v>51.79</v>
      </c>
      <c r="EJ431" s="228">
        <f t="shared" si="1366"/>
        <v>152.75</v>
      </c>
      <c r="EK431" s="229"/>
      <c r="EL431" s="229"/>
      <c r="EM431" s="228">
        <f t="shared" si="1368"/>
        <v>0</v>
      </c>
      <c r="EN431" s="229">
        <f t="shared" si="1273"/>
        <v>100.96</v>
      </c>
      <c r="EO431" s="229">
        <f t="shared" si="1302"/>
        <v>51.79</v>
      </c>
      <c r="EP431" s="228">
        <f t="shared" ref="EP431:EP449" si="1401">EM431+EJ431</f>
        <v>152.75</v>
      </c>
      <c r="EQ431" s="173">
        <f t="shared" si="1303"/>
        <v>0</v>
      </c>
      <c r="ER431" s="189">
        <v>0</v>
      </c>
      <c r="ES431" s="189">
        <v>27.6</v>
      </c>
      <c r="ET431" s="189">
        <v>11.1</v>
      </c>
      <c r="EU431" s="189">
        <v>0</v>
      </c>
      <c r="EV431" s="189">
        <v>0</v>
      </c>
      <c r="EW431" s="189">
        <v>116.8</v>
      </c>
      <c r="EX431" s="189">
        <v>0</v>
      </c>
      <c r="EY431" s="189">
        <v>20</v>
      </c>
      <c r="EZ431" s="189">
        <v>0</v>
      </c>
      <c r="FA431" s="189">
        <v>0</v>
      </c>
      <c r="FB431" s="189">
        <v>15</v>
      </c>
      <c r="FC431" s="189">
        <v>200</v>
      </c>
      <c r="FD431" s="189">
        <v>18</v>
      </c>
      <c r="FE431" s="189">
        <v>1</v>
      </c>
      <c r="FF431" s="189">
        <v>0</v>
      </c>
      <c r="FG431" s="189">
        <v>0.4</v>
      </c>
      <c r="FH431" s="189">
        <v>40</v>
      </c>
      <c r="FI431" s="189">
        <v>0</v>
      </c>
      <c r="FJ431" s="189">
        <v>0</v>
      </c>
      <c r="FK431" s="189">
        <v>449.9</v>
      </c>
      <c r="FL431" s="189">
        <v>361</v>
      </c>
      <c r="FN431" s="132">
        <v>100.96</v>
      </c>
    </row>
    <row r="432" spans="1:170" ht="30.75" customHeight="1">
      <c r="A432" s="88">
        <f>COUNTIF($H$12:H432,H432)</f>
        <v>10</v>
      </c>
      <c r="B432" s="88" t="s">
        <v>2712</v>
      </c>
      <c r="C432" s="88" t="s">
        <v>1634</v>
      </c>
      <c r="D432" s="88"/>
      <c r="E432" s="88"/>
      <c r="F432" s="301" t="s">
        <v>1906</v>
      </c>
      <c r="G432" s="89" t="s">
        <v>913</v>
      </c>
      <c r="H432" s="88">
        <v>9</v>
      </c>
      <c r="I432" s="88">
        <v>9</v>
      </c>
      <c r="J432" s="88">
        <v>9</v>
      </c>
      <c r="K432" s="90" t="s">
        <v>1102</v>
      </c>
      <c r="L432" s="90" t="s">
        <v>1102</v>
      </c>
      <c r="M432" s="214"/>
      <c r="N432" s="88" t="s">
        <v>605</v>
      </c>
      <c r="O432" s="216">
        <f t="shared" si="1398"/>
        <v>6.56</v>
      </c>
      <c r="P432" s="88" t="str">
        <f t="shared" si="1333"/>
        <v>B1_7</v>
      </c>
      <c r="Q432" s="88">
        <f t="shared" si="1369"/>
        <v>270</v>
      </c>
      <c r="R432" s="88">
        <f t="shared" si="1370"/>
        <v>200</v>
      </c>
      <c r="S432" s="218"/>
      <c r="T432" s="219" t="s">
        <v>3088</v>
      </c>
      <c r="U432" s="88">
        <f>IF(RIGHT(T432,1)="K",(VLOOKUP(T432,ma_miengiam!$A$3:$B$80,2,0)*100)/2,VLOOKUP(T432,ma_miengiam!$A$3:$B$80,2,0)*100)</f>
        <v>0</v>
      </c>
      <c r="V432" s="88"/>
      <c r="W432" s="220">
        <f>IF(AND(T432="NTS",V432&gt;0),(Q432-(Q432*V432)/12)*VLOOKUP(T432,ma_miengiam!$A$3:$B$80,2,0)+(Q432-(Q432*(12-V432))/12),IF(AND(RIGHT(T432,1)="K",V432&gt;0),(VLOOKUP(T432,ma_miengiam!$A$3:$B$80,2,0)/2)*(Q432*V432)/12,IF(RIGHT(T432,1)="K",(VLOOKUP(T432,ma_miengiam!$A$3:$B$80,2,0)*Q432)/2,IF(V432&gt;0,VLOOKUP(T432,ma_miengiam!$A$3:$B$80,2,0)*Q432*V432/12,VLOOKUP(T432,ma_miengiam!$A$3:$B$80,2,0)*Q432))))</f>
        <v>0</v>
      </c>
      <c r="X432" s="220">
        <f>IF(T432="NTS",VLOOKUP(T432,ma_miengiam!$A$3:$B$80,2,0)*R432*V432,IF(AND(T432="NTS",V432=0),0,IF(AND(LEFT(T432,1)="K",V432=0),VLOOKUP(T432,ma_miengiam!$A$3:$B$80,2,0)*R432,IF(LEFT(T432,1)="K",(VLOOKUP(T432,ma_miengiam!$A$3:$B$80,2,0)*R432/12)*V432,IF(AND(LEFT(T432,1)="S",V432&gt;0),(R432/12)*V432,IF(AND(LEFT(T432,1)="S",V432=0),R432,IF(T432="DH",VLOOKUP(T432,ma_miengiam!$A$3:$B$80,2,0)*R432,0)))))))</f>
        <v>0</v>
      </c>
      <c r="Y432" s="220">
        <f>IF(AND(T432="DH",V432&gt;0),(S432*V432/12),IF(AND(T432&lt;&gt;"NTS",V432&gt;0),(Q432*V432/12)-W432,IF(AND(T432="NTS",V432&gt;0),Q432-W432,Q432-W432)))</f>
        <v>270</v>
      </c>
      <c r="Z432" s="220">
        <f>IF(AND(T432="SĐH",V432&gt;0),(R432/12)*V432-X432,IF(AND(T432="DH",V432&gt;0),(R432*V432/12),IF(AND(T432&lt;&gt;"NTS",V432&gt;0),(R432*V432/12)-X432,IF(AND(T432="NTS",V432&gt;0),R432-X432,R432-X432))))</f>
        <v>200</v>
      </c>
      <c r="AA432" s="220">
        <f t="shared" ref="AA432:AB434" si="1402">Q432</f>
        <v>270</v>
      </c>
      <c r="AB432" s="220">
        <f t="shared" si="1402"/>
        <v>200</v>
      </c>
      <c r="AC432" s="220">
        <f t="shared" ref="AC432:AF434" si="1403">W432</f>
        <v>0</v>
      </c>
      <c r="AD432" s="220">
        <f t="shared" si="1403"/>
        <v>0</v>
      </c>
      <c r="AE432" s="220">
        <f t="shared" si="1403"/>
        <v>270</v>
      </c>
      <c r="AF432" s="220">
        <f t="shared" si="1403"/>
        <v>200</v>
      </c>
      <c r="AG432" s="220">
        <f t="shared" ref="AG432:AG439" si="1404">AH432+AI432</f>
        <v>169.57</v>
      </c>
      <c r="AH432" s="220">
        <f t="shared" ref="AH432:AH439" si="1405">EO432</f>
        <v>104.29</v>
      </c>
      <c r="AI432" s="220">
        <f t="shared" ref="AI432:AI439" si="1406">EN432</f>
        <v>65.28</v>
      </c>
      <c r="AJ432" s="220">
        <f>IF(AG432-Z432&gt;0,0,AG432-Z432)</f>
        <v>-30.430000000000007</v>
      </c>
      <c r="AK432" s="216">
        <f t="shared" si="1266"/>
        <v>300.43</v>
      </c>
      <c r="AL432" s="220">
        <f>SUM(CP432:CX432)+SUM(DC432:DK432)</f>
        <v>232.6</v>
      </c>
      <c r="AM432" s="220">
        <f>SUM(DQ432:DU432)+SUM(DY432:EC432)</f>
        <v>111.4</v>
      </c>
      <c r="AN432" s="221">
        <f>AM432+AL432</f>
        <v>344</v>
      </c>
      <c r="AO432" s="220">
        <f>CY432+DL432</f>
        <v>0</v>
      </c>
      <c r="AP432" s="220">
        <f>CZ432+DM432</f>
        <v>0</v>
      </c>
      <c r="AQ432" s="220">
        <f>DA432+DN432</f>
        <v>220</v>
      </c>
      <c r="AR432" s="220">
        <f>DV432+ED432</f>
        <v>118</v>
      </c>
      <c r="AS432" s="220">
        <f>DW432+EE432</f>
        <v>0</v>
      </c>
      <c r="AT432" s="216">
        <f>AN432+SUM(AO432:AS432)</f>
        <v>682</v>
      </c>
      <c r="AU432" s="222">
        <f>AN432-AK432</f>
        <v>43.569999999999993</v>
      </c>
      <c r="AV432" s="220"/>
      <c r="AW432" s="220">
        <f>IF(AU432&gt;0,AU432,AV432+AU432)</f>
        <v>43.569999999999993</v>
      </c>
      <c r="AX432" s="216">
        <f t="shared" si="1267"/>
        <v>0</v>
      </c>
      <c r="AY432" s="220">
        <f>IF(AN432&gt;=AK432,AO432,IF(AN432+AO432-AK432&gt;=0,AN432+AO432-AK432,0))</f>
        <v>0</v>
      </c>
      <c r="AZ432" s="220">
        <f>IF(OR(AN432&gt;=AK432,AN432+AO432&gt;=AK432),AP432,IF(AN432+AO432+AP432&gt;AK432,AN432+AO432+AP432-AK432,0))</f>
        <v>0</v>
      </c>
      <c r="BA432" s="220">
        <f>IF(OR(AN432&gt;=AK432,AN432+AO432&gt;=AK432,AN432+AO432+AP432&gt;=AK432),AQ432,IF(AN432+AO432+AP432+AQ432&gt;=AK432,AN432+AO432+AP432+AQ432-AK432,0))</f>
        <v>220</v>
      </c>
      <c r="BB432" s="220">
        <f>IF(OR(AN432&gt;=AK432,AN432+AO432&gt;=AK432,AN432+AO432+AP432&gt;=AK432,AN432+AO432+AP432+AQ432&gt;=AK432),AR432,IF(AN432+AO432+AP432+AQ432+AR432&gt;=AK432,AN432+AO432+AP432+AQ432+AR432-AK432,0))</f>
        <v>118</v>
      </c>
      <c r="BC432" s="220">
        <f>IF(OR(AN432&gt;=AK432,AN432+AO432&gt;=AK432,AN432+AO432+AP432&gt;=AK432,AN432+AO432+AP432+AQ432&gt;=AK432,AN432+AO432+AP432+AQ432+AR432&gt;=AK432),AS432,IF(AN432+AO432+AP432+AQ432+AR432+AS432&gt;=AK432,AN432+AO432+AP432+AQ432+AR432+AS432-AK432,0))</f>
        <v>0</v>
      </c>
      <c r="BD432" s="216">
        <f t="shared" si="1195"/>
        <v>338</v>
      </c>
      <c r="BE432" s="220">
        <f>AY432-AO432</f>
        <v>0</v>
      </c>
      <c r="BF432" s="220">
        <f>AZ432-AP432</f>
        <v>0</v>
      </c>
      <c r="BG432" s="220">
        <f>BA432-AQ432</f>
        <v>0</v>
      </c>
      <c r="BH432" s="220">
        <f>BB432-AR432</f>
        <v>0</v>
      </c>
      <c r="BI432" s="220">
        <f>BC432-AS432</f>
        <v>0</v>
      </c>
      <c r="BJ432" s="220" t="s">
        <v>2425</v>
      </c>
      <c r="BK432" s="220"/>
      <c r="BL432" s="223">
        <f t="shared" si="1201"/>
        <v>43.569999999999993</v>
      </c>
      <c r="BM432" s="220">
        <v>6.56</v>
      </c>
      <c r="BN432" s="220"/>
      <c r="BO432" s="220">
        <f>ROUND(BM432+(BM432*BN432),2)</f>
        <v>6.56</v>
      </c>
      <c r="BP432" s="220">
        <f>IF(AND(BL432&gt;0,BL432&lt;tiet!$D$1),BL432,IF(BL432&lt;=0,0,IF(BL432&gt;tiet!$C$1,tiet!$C$1)))</f>
        <v>43.569999999999993</v>
      </c>
      <c r="BQ432" s="87">
        <f>VLOOKUP(P432,ma_dinhmuc_moi,4,0)</f>
        <v>80000</v>
      </c>
      <c r="BR432" s="224">
        <f>ROUND(BQ432*BP432,0)</f>
        <v>3485600</v>
      </c>
      <c r="BS432" s="220">
        <f t="shared" si="1301"/>
        <v>0</v>
      </c>
      <c r="BT432" s="224">
        <f>VLOOKUP(N432,ma_dinhmuc!$A$1:$J$31,10,0)</f>
        <v>65000</v>
      </c>
      <c r="BU432" s="224">
        <f>ROUND(IF(BS432&gt;0,VLOOKUP(N432,ma_dinhmuc!$A$1:$J$31,10,0)*BS432,0),0)</f>
        <v>0</v>
      </c>
      <c r="BV432" s="224">
        <f>ROUND(BU432+BR432,0)</f>
        <v>3485600</v>
      </c>
      <c r="BW432" s="224"/>
      <c r="BX432" s="224">
        <v>0</v>
      </c>
      <c r="BY432" s="224"/>
      <c r="BZ432" s="224"/>
      <c r="CA432" s="224"/>
      <c r="CB432" s="224"/>
      <c r="CC432" s="225">
        <f>ROUND(IF(BV432+BW432&gt;BX432+BY432+BZ432+CA432+CB432,(BW432+BV432)-(BX432+BY432+BZ432+CA432+CB432+CB432),0),0)</f>
        <v>3485600</v>
      </c>
      <c r="CD432" s="224">
        <f>ROUND(IF(BV432+BW432&lt;BX432+BY432+BZ432+CA432-CB432,(BX432+BY432+BZ432+CA432-CB432)-(BW432+BV432),0),0)</f>
        <v>0</v>
      </c>
      <c r="CE432" s="224"/>
      <c r="CF432" s="226"/>
      <c r="CG432" s="87"/>
      <c r="CH432" s="87">
        <f>A432</f>
        <v>10</v>
      </c>
      <c r="CI432" s="227" t="str">
        <f t="shared" si="1340"/>
        <v>Phạm Hồng</v>
      </c>
      <c r="CJ432" s="227" t="str">
        <f t="shared" si="1341"/>
        <v>Ngân</v>
      </c>
      <c r="CK432" s="87">
        <f>H432</f>
        <v>9</v>
      </c>
      <c r="CL432" s="227" t="str">
        <f>L432</f>
        <v>Thú y cộng đồng</v>
      </c>
      <c r="CM432" s="87" t="str">
        <f>N432</f>
        <v>CS4</v>
      </c>
      <c r="CN432" s="87">
        <f>Q432</f>
        <v>270</v>
      </c>
      <c r="CO432" s="87">
        <f>R432</f>
        <v>200</v>
      </c>
      <c r="CP432" s="229">
        <f t="shared" si="1314"/>
        <v>0</v>
      </c>
      <c r="CQ432" s="229">
        <f t="shared" si="1315"/>
        <v>21.1</v>
      </c>
      <c r="CR432" s="229">
        <f t="shared" si="1316"/>
        <v>16.2</v>
      </c>
      <c r="CS432" s="229">
        <f t="shared" si="1317"/>
        <v>0</v>
      </c>
      <c r="CT432" s="229">
        <f t="shared" si="1318"/>
        <v>0</v>
      </c>
      <c r="CU432" s="229">
        <f t="shared" si="1319"/>
        <v>107.3</v>
      </c>
      <c r="CV432" s="229">
        <f t="shared" si="1320"/>
        <v>0</v>
      </c>
      <c r="CW432" s="229">
        <f t="shared" si="1321"/>
        <v>88</v>
      </c>
      <c r="CX432" s="229">
        <f t="shared" si="1322"/>
        <v>0</v>
      </c>
      <c r="CY432" s="229">
        <f t="shared" si="1323"/>
        <v>0</v>
      </c>
      <c r="CZ432" s="229">
        <f t="shared" si="1324"/>
        <v>0</v>
      </c>
      <c r="DA432" s="229">
        <f t="shared" si="1325"/>
        <v>220</v>
      </c>
      <c r="DB432" s="228">
        <f>SUM(CP432:DA432)</f>
        <v>452.6</v>
      </c>
      <c r="DC432" s="229"/>
      <c r="DD432" s="229"/>
      <c r="DE432" s="229"/>
      <c r="DF432" s="229"/>
      <c r="DG432" s="229"/>
      <c r="DH432" s="229"/>
      <c r="DI432" s="229"/>
      <c r="DJ432" s="229"/>
      <c r="DK432" s="229"/>
      <c r="DL432" s="229"/>
      <c r="DM432" s="229"/>
      <c r="DN432" s="229"/>
      <c r="DO432" s="228">
        <f>SUM(DC432:DN432)</f>
        <v>0</v>
      </c>
      <c r="DP432" s="228">
        <f>DO432+DB432</f>
        <v>452.6</v>
      </c>
      <c r="DQ432" s="229">
        <f t="shared" si="1326"/>
        <v>108</v>
      </c>
      <c r="DR432" s="229">
        <f t="shared" si="1327"/>
        <v>2.4</v>
      </c>
      <c r="DS432" s="229">
        <f t="shared" si="1328"/>
        <v>0</v>
      </c>
      <c r="DT432" s="229">
        <f t="shared" si="1329"/>
        <v>1</v>
      </c>
      <c r="DU432" s="229">
        <f t="shared" si="1330"/>
        <v>0</v>
      </c>
      <c r="DV432" s="229">
        <f t="shared" si="1331"/>
        <v>118</v>
      </c>
      <c r="DW432" s="229">
        <f t="shared" si="1332"/>
        <v>0</v>
      </c>
      <c r="DX432" s="228">
        <f>SUM(DQ432:DW432)</f>
        <v>229.4</v>
      </c>
      <c r="DY432" s="229"/>
      <c r="DZ432" s="229"/>
      <c r="EA432" s="229"/>
      <c r="EB432" s="229"/>
      <c r="EC432" s="229"/>
      <c r="ED432" s="229"/>
      <c r="EE432" s="229"/>
      <c r="EF432" s="228">
        <f t="shared" si="1305"/>
        <v>0</v>
      </c>
      <c r="EG432" s="228">
        <f>EF432+DX432</f>
        <v>229.4</v>
      </c>
      <c r="EH432" s="229">
        <f t="shared" si="1306"/>
        <v>65.28</v>
      </c>
      <c r="EI432" s="229">
        <v>104.29</v>
      </c>
      <c r="EJ432" s="228">
        <f t="shared" si="1366"/>
        <v>169.57</v>
      </c>
      <c r="EK432" s="229"/>
      <c r="EL432" s="229"/>
      <c r="EM432" s="228">
        <f t="shared" si="1368"/>
        <v>0</v>
      </c>
      <c r="EN432" s="229">
        <f>EK432+EH432+EL432</f>
        <v>65.28</v>
      </c>
      <c r="EO432" s="229">
        <f>EI432</f>
        <v>104.29</v>
      </c>
      <c r="EP432" s="228">
        <f t="shared" si="1401"/>
        <v>169.57</v>
      </c>
      <c r="EQ432" s="173">
        <f t="shared" si="1303"/>
        <v>0</v>
      </c>
      <c r="ER432" s="189">
        <v>0</v>
      </c>
      <c r="ES432" s="189">
        <v>21.1</v>
      </c>
      <c r="ET432" s="189">
        <v>16.2</v>
      </c>
      <c r="EU432" s="189">
        <v>0</v>
      </c>
      <c r="EV432" s="189">
        <v>0</v>
      </c>
      <c r="EW432" s="189">
        <v>107.3</v>
      </c>
      <c r="EX432" s="189">
        <v>0</v>
      </c>
      <c r="EY432" s="189">
        <v>88</v>
      </c>
      <c r="EZ432" s="189">
        <v>0</v>
      </c>
      <c r="FA432" s="189">
        <v>0</v>
      </c>
      <c r="FB432" s="189">
        <v>0</v>
      </c>
      <c r="FC432" s="189">
        <v>220</v>
      </c>
      <c r="FD432" s="189">
        <v>108</v>
      </c>
      <c r="FE432" s="189">
        <v>2.4</v>
      </c>
      <c r="FF432" s="189">
        <v>0</v>
      </c>
      <c r="FG432" s="189">
        <v>1</v>
      </c>
      <c r="FH432" s="189">
        <v>118</v>
      </c>
      <c r="FI432" s="189">
        <v>0</v>
      </c>
      <c r="FJ432" s="189">
        <v>0</v>
      </c>
      <c r="FK432" s="189">
        <v>682</v>
      </c>
      <c r="FL432" s="189">
        <v>600</v>
      </c>
      <c r="FN432" s="132">
        <v>65.28</v>
      </c>
    </row>
    <row r="433" spans="1:170" ht="30" customHeight="1">
      <c r="A433" s="88">
        <f>COUNTIF($H$12:H433,H433)</f>
        <v>11</v>
      </c>
      <c r="B433" s="88" t="s">
        <v>2713</v>
      </c>
      <c r="C433" s="88" t="s">
        <v>1635</v>
      </c>
      <c r="D433" s="88"/>
      <c r="E433" s="88"/>
      <c r="F433" s="301" t="s">
        <v>2824</v>
      </c>
      <c r="G433" s="89" t="s">
        <v>2911</v>
      </c>
      <c r="H433" s="88">
        <v>9</v>
      </c>
      <c r="I433" s="88">
        <v>9</v>
      </c>
      <c r="J433" s="88">
        <v>9</v>
      </c>
      <c r="K433" s="90" t="s">
        <v>1102</v>
      </c>
      <c r="L433" s="90" t="s">
        <v>1102</v>
      </c>
      <c r="M433" s="214"/>
      <c r="N433" s="88" t="s">
        <v>1804</v>
      </c>
      <c r="O433" s="216">
        <f t="shared" si="1398"/>
        <v>3.33</v>
      </c>
      <c r="P433" s="88" t="str">
        <f t="shared" si="1333"/>
        <v>B1_4</v>
      </c>
      <c r="Q433" s="88">
        <f t="shared" si="1369"/>
        <v>270</v>
      </c>
      <c r="R433" s="88">
        <f t="shared" si="1370"/>
        <v>120</v>
      </c>
      <c r="S433" s="233" t="s">
        <v>2060</v>
      </c>
      <c r="T433" s="219" t="s">
        <v>3088</v>
      </c>
      <c r="U433" s="88">
        <f>IF(RIGHT(T433,1)="K",(VLOOKUP(T433,ma_miengiam!$A$3:$B$80,2,0)*100)/2,VLOOKUP(T433,ma_miengiam!$A$3:$B$80,2,0)*100)</f>
        <v>0</v>
      </c>
      <c r="V433" s="88"/>
      <c r="W433" s="220">
        <f>IF(AND(T433="NTS",V433&gt;0),(Q433-(Q433*V433)/12)*VLOOKUP(T433,ma_miengiam!$A$3:$B$80,2,0)+(Q433-(Q433*(12-V433))/12),IF(AND(RIGHT(T433,1)="K",V433&gt;0),(VLOOKUP(T433,ma_miengiam!$A$3:$B$80,2,0)/2)*(Q433*V433)/12,IF(RIGHT(T433,1)="K",(VLOOKUP(T433,ma_miengiam!$A$3:$B$80,2,0)*Q433)/2,IF(V433&gt;0,VLOOKUP(T433,ma_miengiam!$A$3:$B$80,2,0)*Q433*V433/12,VLOOKUP(T433,ma_miengiam!$A$3:$B$80,2,0)*Q433))))</f>
        <v>0</v>
      </c>
      <c r="X433" s="220">
        <f>IF(T433="NTS",VLOOKUP(T433,ma_miengiam!$A$3:$B$80,2,0)*R433*V433,IF(AND(T433="NTS",V433=0),0,IF(AND(LEFT(T433,1)="K",V433=0),VLOOKUP(T433,ma_miengiam!$A$3:$B$80,2,0)*R433,IF(LEFT(T433,1)="K",(VLOOKUP(T433,ma_miengiam!$A$3:$B$80,2,0)*R433/12)*V433,IF(AND(LEFT(T433,1)="S",V433&gt;0),(R433/12)*V433,IF(AND(LEFT(T433,1)="S",V433=0),R433,IF(T433="DH",VLOOKUP(T433,ma_miengiam!$A$3:$B$80,2,0)*R433,0)))))))</f>
        <v>0</v>
      </c>
      <c r="Y433" s="220">
        <f t="shared" si="1344"/>
        <v>270</v>
      </c>
      <c r="Z433" s="220">
        <f>IF(AND(T433="SĐH",V433&gt;0),(R433/12)*V433-X433,IF(AND(T433="DH",V433&gt;0),(R433*V433/12),IF(AND(T433&lt;&gt;"NTS",V433&gt;0),(R433*V433/12)-X433,IF(AND(T433="NTS",V433&gt;0),R433-X433,R433-X433))))</f>
        <v>120</v>
      </c>
      <c r="AA433" s="220">
        <f t="shared" si="1402"/>
        <v>270</v>
      </c>
      <c r="AB433" s="220">
        <f t="shared" si="1402"/>
        <v>120</v>
      </c>
      <c r="AC433" s="220">
        <f t="shared" si="1403"/>
        <v>0</v>
      </c>
      <c r="AD433" s="220">
        <f t="shared" si="1403"/>
        <v>0</v>
      </c>
      <c r="AE433" s="220">
        <f t="shared" si="1403"/>
        <v>270</v>
      </c>
      <c r="AF433" s="220">
        <f t="shared" si="1403"/>
        <v>120</v>
      </c>
      <c r="AG433" s="220">
        <f t="shared" si="1404"/>
        <v>276.94333333333333</v>
      </c>
      <c r="AH433" s="220">
        <f t="shared" si="1405"/>
        <v>60.003333333333337</v>
      </c>
      <c r="AI433" s="220">
        <f t="shared" si="1406"/>
        <v>216.94</v>
      </c>
      <c r="AJ433" s="220">
        <f t="shared" si="1396"/>
        <v>0</v>
      </c>
      <c r="AK433" s="216">
        <f t="shared" si="1266"/>
        <v>270</v>
      </c>
      <c r="AL433" s="220">
        <f t="shared" si="1251"/>
        <v>562.79999999999995</v>
      </c>
      <c r="AM433" s="220">
        <f t="shared" si="1252"/>
        <v>0</v>
      </c>
      <c r="AN433" s="216">
        <f t="shared" si="1253"/>
        <v>562.79999999999995</v>
      </c>
      <c r="AO433" s="220">
        <f t="shared" si="1254"/>
        <v>0</v>
      </c>
      <c r="AP433" s="220">
        <f t="shared" si="1255"/>
        <v>30</v>
      </c>
      <c r="AQ433" s="220">
        <f t="shared" si="1256"/>
        <v>160</v>
      </c>
      <c r="AR433" s="220">
        <f t="shared" si="1257"/>
        <v>0</v>
      </c>
      <c r="AS433" s="220">
        <f t="shared" si="1258"/>
        <v>0</v>
      </c>
      <c r="AT433" s="216">
        <f t="shared" si="1259"/>
        <v>752.8</v>
      </c>
      <c r="AU433" s="220">
        <f t="shared" si="1300"/>
        <v>292.79999999999995</v>
      </c>
      <c r="AV433" s="220"/>
      <c r="AW433" s="220">
        <f t="shared" si="1379"/>
        <v>292.79999999999995</v>
      </c>
      <c r="AX433" s="216">
        <f t="shared" si="1267"/>
        <v>0</v>
      </c>
      <c r="AY433" s="220">
        <f t="shared" si="1386"/>
        <v>0</v>
      </c>
      <c r="AZ433" s="220">
        <f t="shared" si="1387"/>
        <v>30</v>
      </c>
      <c r="BA433" s="220">
        <f t="shared" si="1388"/>
        <v>160</v>
      </c>
      <c r="BB433" s="220">
        <f t="shared" si="1389"/>
        <v>0</v>
      </c>
      <c r="BC433" s="220">
        <f t="shared" si="1390"/>
        <v>0</v>
      </c>
      <c r="BD433" s="216">
        <f t="shared" si="1195"/>
        <v>190</v>
      </c>
      <c r="BE433" s="220">
        <f t="shared" si="1380"/>
        <v>0</v>
      </c>
      <c r="BF433" s="220">
        <f t="shared" si="1381"/>
        <v>0</v>
      </c>
      <c r="BG433" s="220">
        <f t="shared" si="1382"/>
        <v>0</v>
      </c>
      <c r="BH433" s="220">
        <f t="shared" si="1383"/>
        <v>0</v>
      </c>
      <c r="BI433" s="220">
        <f t="shared" si="1384"/>
        <v>0</v>
      </c>
      <c r="BJ433" s="220" t="s">
        <v>2425</v>
      </c>
      <c r="BK433" s="220"/>
      <c r="BL433" s="223">
        <f t="shared" si="1201"/>
        <v>292.79999999999995</v>
      </c>
      <c r="BM433" s="220">
        <v>3.33</v>
      </c>
      <c r="BN433" s="220"/>
      <c r="BO433" s="220">
        <f t="shared" si="1356"/>
        <v>3.33</v>
      </c>
      <c r="BP433" s="220">
        <f>IF(AND(BL433&gt;0,BL433&lt;tiet!$D$1),BL433,IF(BL433&lt;=0,0,IF(BL433&gt;tiet!$C$1,tiet!$C$1)))</f>
        <v>200</v>
      </c>
      <c r="BQ433" s="87">
        <f t="shared" si="1397"/>
        <v>65000</v>
      </c>
      <c r="BR433" s="224">
        <f t="shared" si="1391"/>
        <v>13000000</v>
      </c>
      <c r="BS433" s="220">
        <f t="shared" si="1301"/>
        <v>92.799999999999955</v>
      </c>
      <c r="BT433" s="224">
        <f>VLOOKUP(N433,ma_dinhmuc!$A$1:$J$31,10,0)</f>
        <v>51000</v>
      </c>
      <c r="BU433" s="224">
        <f>ROUND(IF(BS433&gt;0,VLOOKUP(N433,ma_dinhmuc!$A$1:$J$31,10,0)*BS433,0),0)</f>
        <v>4732800</v>
      </c>
      <c r="BV433" s="224">
        <f t="shared" si="1392"/>
        <v>17732800</v>
      </c>
      <c r="BW433" s="224"/>
      <c r="BX433" s="224">
        <v>0</v>
      </c>
      <c r="BY433" s="224"/>
      <c r="BZ433" s="224"/>
      <c r="CA433" s="224"/>
      <c r="CB433" s="224"/>
      <c r="CC433" s="225">
        <f t="shared" si="1286"/>
        <v>17732800</v>
      </c>
      <c r="CD433" s="224">
        <f t="shared" si="1287"/>
        <v>0</v>
      </c>
      <c r="CE433" s="224"/>
      <c r="CF433" s="226"/>
      <c r="CG433" s="87"/>
      <c r="CH433" s="87">
        <f t="shared" ref="CH433:CH454" si="1407">A433</f>
        <v>11</v>
      </c>
      <c r="CI433" s="227" t="str">
        <f t="shared" si="1340"/>
        <v>Vũ Thị Thu</v>
      </c>
      <c r="CJ433" s="227" t="str">
        <f t="shared" si="1341"/>
        <v>Trà</v>
      </c>
      <c r="CK433" s="87">
        <f>H433</f>
        <v>9</v>
      </c>
      <c r="CL433" s="227" t="str">
        <f t="shared" si="1343"/>
        <v>Thú y cộng đồng</v>
      </c>
      <c r="CM433" s="87" t="str">
        <f t="shared" si="1385"/>
        <v>CS2</v>
      </c>
      <c r="CN433" s="87">
        <f t="shared" si="1399"/>
        <v>270</v>
      </c>
      <c r="CO433" s="87">
        <f t="shared" si="1400"/>
        <v>120</v>
      </c>
      <c r="CP433" s="229">
        <f t="shared" si="1314"/>
        <v>0</v>
      </c>
      <c r="CQ433" s="229">
        <f t="shared" si="1315"/>
        <v>44.8</v>
      </c>
      <c r="CR433" s="229">
        <f t="shared" si="1316"/>
        <v>18.100000000000001</v>
      </c>
      <c r="CS433" s="229">
        <f t="shared" si="1317"/>
        <v>100.8</v>
      </c>
      <c r="CT433" s="229">
        <f t="shared" si="1318"/>
        <v>0</v>
      </c>
      <c r="CU433" s="229">
        <f t="shared" si="1319"/>
        <v>131.1</v>
      </c>
      <c r="CV433" s="229">
        <f t="shared" si="1320"/>
        <v>0</v>
      </c>
      <c r="CW433" s="229">
        <f t="shared" si="1321"/>
        <v>268</v>
      </c>
      <c r="CX433" s="229">
        <f t="shared" si="1322"/>
        <v>0</v>
      </c>
      <c r="CY433" s="229">
        <f t="shared" si="1323"/>
        <v>0</v>
      </c>
      <c r="CZ433" s="229">
        <f t="shared" si="1324"/>
        <v>30</v>
      </c>
      <c r="DA433" s="229">
        <f t="shared" si="1325"/>
        <v>160</v>
      </c>
      <c r="DB433" s="228">
        <f t="shared" si="1260"/>
        <v>752.8</v>
      </c>
      <c r="DC433" s="229"/>
      <c r="DD433" s="229"/>
      <c r="DE433" s="229"/>
      <c r="DF433" s="229"/>
      <c r="DG433" s="229"/>
      <c r="DH433" s="229"/>
      <c r="DI433" s="229"/>
      <c r="DJ433" s="229"/>
      <c r="DK433" s="229"/>
      <c r="DL433" s="229"/>
      <c r="DM433" s="229"/>
      <c r="DN433" s="229"/>
      <c r="DO433" s="228">
        <f t="shared" si="1261"/>
        <v>0</v>
      </c>
      <c r="DP433" s="228">
        <f t="shared" si="1262"/>
        <v>752.8</v>
      </c>
      <c r="DQ433" s="229">
        <f t="shared" si="1326"/>
        <v>0</v>
      </c>
      <c r="DR433" s="229">
        <f t="shared" si="1327"/>
        <v>0</v>
      </c>
      <c r="DS433" s="229">
        <f t="shared" si="1328"/>
        <v>0</v>
      </c>
      <c r="DT433" s="229">
        <f t="shared" si="1329"/>
        <v>0</v>
      </c>
      <c r="DU433" s="229">
        <f t="shared" si="1330"/>
        <v>0</v>
      </c>
      <c r="DV433" s="229">
        <f t="shared" si="1331"/>
        <v>0</v>
      </c>
      <c r="DW433" s="229">
        <f t="shared" si="1332"/>
        <v>0</v>
      </c>
      <c r="DX433" s="228">
        <f t="shared" si="1263"/>
        <v>0</v>
      </c>
      <c r="DY433" s="229"/>
      <c r="DZ433" s="229"/>
      <c r="EA433" s="229"/>
      <c r="EB433" s="229"/>
      <c r="EC433" s="229"/>
      <c r="ED433" s="229"/>
      <c r="EE433" s="229"/>
      <c r="EF433" s="228">
        <f t="shared" si="1305"/>
        <v>0</v>
      </c>
      <c r="EG433" s="228">
        <f t="shared" si="1264"/>
        <v>0</v>
      </c>
      <c r="EH433" s="229">
        <f t="shared" si="1306"/>
        <v>216.94</v>
      </c>
      <c r="EI433" s="229">
        <v>60.003333333333337</v>
      </c>
      <c r="EJ433" s="228">
        <f t="shared" si="1366"/>
        <v>276.94333333333333</v>
      </c>
      <c r="EK433" s="229"/>
      <c r="EL433" s="229"/>
      <c r="EM433" s="228">
        <f t="shared" si="1368"/>
        <v>0</v>
      </c>
      <c r="EN433" s="229">
        <f t="shared" si="1273"/>
        <v>216.94</v>
      </c>
      <c r="EO433" s="229">
        <f t="shared" si="1302"/>
        <v>60.003333333333337</v>
      </c>
      <c r="EP433" s="228">
        <f t="shared" si="1401"/>
        <v>276.94333333333333</v>
      </c>
      <c r="EQ433" s="173">
        <f t="shared" si="1303"/>
        <v>96.94</v>
      </c>
      <c r="ER433" s="189">
        <v>0</v>
      </c>
      <c r="ES433" s="189">
        <v>44.8</v>
      </c>
      <c r="ET433" s="189">
        <v>18.100000000000001</v>
      </c>
      <c r="EU433" s="189">
        <v>100.8</v>
      </c>
      <c r="EV433" s="189">
        <v>0</v>
      </c>
      <c r="EW433" s="189">
        <v>131.1</v>
      </c>
      <c r="EX433" s="189">
        <v>0</v>
      </c>
      <c r="EY433" s="189">
        <v>268</v>
      </c>
      <c r="EZ433" s="189">
        <v>0</v>
      </c>
      <c r="FA433" s="189">
        <v>0</v>
      </c>
      <c r="FB433" s="189">
        <v>30</v>
      </c>
      <c r="FC433" s="189">
        <v>160</v>
      </c>
      <c r="FD433" s="189">
        <v>0</v>
      </c>
      <c r="FE433" s="189">
        <v>0</v>
      </c>
      <c r="FF433" s="189">
        <v>0</v>
      </c>
      <c r="FG433" s="189">
        <v>0</v>
      </c>
      <c r="FH433" s="189">
        <v>0</v>
      </c>
      <c r="FI433" s="189">
        <v>0</v>
      </c>
      <c r="FJ433" s="189">
        <v>0</v>
      </c>
      <c r="FK433" s="189">
        <v>752.8</v>
      </c>
      <c r="FL433" s="189">
        <v>642.79999999999995</v>
      </c>
      <c r="FN433" s="132">
        <v>216.94</v>
      </c>
    </row>
    <row r="434" spans="1:170" ht="30" customHeight="1">
      <c r="A434" s="88">
        <f>COUNTIF($H$12:H434,H434)</f>
        <v>12</v>
      </c>
      <c r="B434" s="88" t="s">
        <v>2714</v>
      </c>
      <c r="C434" s="88" t="s">
        <v>1636</v>
      </c>
      <c r="D434" s="88"/>
      <c r="E434" s="88"/>
      <c r="F434" s="301" t="s">
        <v>2787</v>
      </c>
      <c r="G434" s="89" t="s">
        <v>1573</v>
      </c>
      <c r="H434" s="88">
        <v>9</v>
      </c>
      <c r="I434" s="88">
        <v>9</v>
      </c>
      <c r="J434" s="88">
        <v>9</v>
      </c>
      <c r="K434" s="90" t="s">
        <v>1102</v>
      </c>
      <c r="L434" s="90" t="s">
        <v>1102</v>
      </c>
      <c r="M434" s="214"/>
      <c r="N434" s="88" t="s">
        <v>1804</v>
      </c>
      <c r="O434" s="216">
        <f t="shared" si="1398"/>
        <v>3</v>
      </c>
      <c r="P434" s="88" t="str">
        <f t="shared" si="1333"/>
        <v>B1_3</v>
      </c>
      <c r="Q434" s="88">
        <f t="shared" si="1369"/>
        <v>270</v>
      </c>
      <c r="R434" s="88">
        <f t="shared" si="1370"/>
        <v>100</v>
      </c>
      <c r="S434" s="233" t="s">
        <v>2654</v>
      </c>
      <c r="T434" s="219" t="s">
        <v>3088</v>
      </c>
      <c r="U434" s="88">
        <f>IF(RIGHT(T434,1)="K",(VLOOKUP(T434,ma_miengiam!$A$3:$B$80,2,0)*100)/2,VLOOKUP(T434,ma_miengiam!$A$3:$B$80,2,0)*100)</f>
        <v>0</v>
      </c>
      <c r="V434" s="88">
        <v>9</v>
      </c>
      <c r="W434" s="220">
        <f>IF(AND(T434="NTS",V434&gt;0),(Q434-(Q434*V434)/12)*VLOOKUP(T434,ma_miengiam!$A$3:$B$80,2,0)+(Q434-(Q434*(12-V434))/12),IF(AND(RIGHT(T434,1)="K",V434&gt;0),(VLOOKUP(T434,ma_miengiam!$A$3:$B$80,2,0)/2)*(Q434*V434)/12,IF(RIGHT(T434,1)="K",(VLOOKUP(T434,ma_miengiam!$A$3:$B$80,2,0)*Q434)/2,IF(V434&gt;0,VLOOKUP(T434,ma_miengiam!$A$3:$B$80,2,0)*Q434*V434/12,VLOOKUP(T434,ma_miengiam!$A$3:$B$80,2,0)*Q434))))</f>
        <v>0</v>
      </c>
      <c r="X434" s="220">
        <f>IF(T434="NTS",VLOOKUP(T434,ma_miengiam!$A$3:$B$80,2,0)*R434*V434,IF(AND(T434="NTS",V434=0),0,IF(AND(LEFT(T434,1)="K",V434=0),VLOOKUP(T434,ma_miengiam!$A$3:$B$80,2,0)*R434,IF(LEFT(T434,1)="K",(VLOOKUP(T434,ma_miengiam!$A$3:$B$80,2,0)*R434/12)*V434,IF(AND(LEFT(T434,1)="S",V434&gt;0),(R434/12)*V434,IF(AND(LEFT(T434,1)="S",V434=0),R434,IF(T434="DH",VLOOKUP(T434,ma_miengiam!$A$3:$B$80,2,0)*R434,0)))))))</f>
        <v>0</v>
      </c>
      <c r="Y434" s="220">
        <f t="shared" si="1344"/>
        <v>202.5</v>
      </c>
      <c r="Z434" s="220">
        <f>IF(AND(T434="SĐH",V434&gt;0),(R434/12)*V434-X434,IF(AND(T434="DH",V434&gt;0),(R434*V434/12),IF(AND(T434&lt;&gt;"NTS",V434&gt;0),(R434*V434/12)-X434,IF(AND(T434="NTS",V434&gt;0),R434-X434,R434-X434))))</f>
        <v>75</v>
      </c>
      <c r="AA434" s="220">
        <f t="shared" si="1402"/>
        <v>270</v>
      </c>
      <c r="AB434" s="220">
        <f t="shared" si="1402"/>
        <v>100</v>
      </c>
      <c r="AC434" s="220">
        <f t="shared" si="1403"/>
        <v>0</v>
      </c>
      <c r="AD434" s="220">
        <f t="shared" si="1403"/>
        <v>0</v>
      </c>
      <c r="AE434" s="220">
        <f t="shared" si="1403"/>
        <v>202.5</v>
      </c>
      <c r="AF434" s="220">
        <f t="shared" si="1403"/>
        <v>75</v>
      </c>
      <c r="AG434" s="220">
        <f t="shared" si="1404"/>
        <v>101.67</v>
      </c>
      <c r="AH434" s="220">
        <f t="shared" si="1405"/>
        <v>101.67</v>
      </c>
      <c r="AI434" s="220">
        <f t="shared" si="1406"/>
        <v>0</v>
      </c>
      <c r="AJ434" s="220">
        <f t="shared" si="1396"/>
        <v>0</v>
      </c>
      <c r="AK434" s="216">
        <f t="shared" si="1266"/>
        <v>202.5</v>
      </c>
      <c r="AL434" s="220">
        <f t="shared" si="1251"/>
        <v>142.80000000000001</v>
      </c>
      <c r="AM434" s="220">
        <f t="shared" si="1252"/>
        <v>0</v>
      </c>
      <c r="AN434" s="221">
        <f t="shared" si="1253"/>
        <v>142.80000000000001</v>
      </c>
      <c r="AO434" s="220">
        <f t="shared" si="1254"/>
        <v>0</v>
      </c>
      <c r="AP434" s="220">
        <f t="shared" si="1255"/>
        <v>0</v>
      </c>
      <c r="AQ434" s="220">
        <f t="shared" si="1256"/>
        <v>0</v>
      </c>
      <c r="AR434" s="220">
        <f t="shared" si="1257"/>
        <v>0</v>
      </c>
      <c r="AS434" s="220">
        <f t="shared" si="1258"/>
        <v>0</v>
      </c>
      <c r="AT434" s="216">
        <f t="shared" si="1259"/>
        <v>142.80000000000001</v>
      </c>
      <c r="AU434" s="222">
        <f t="shared" si="1300"/>
        <v>-59.699999999999989</v>
      </c>
      <c r="AV434" s="220"/>
      <c r="AW434" s="220">
        <f t="shared" si="1379"/>
        <v>-59.699999999999989</v>
      </c>
      <c r="AX434" s="216">
        <f t="shared" si="1267"/>
        <v>-59.699999999999989</v>
      </c>
      <c r="AY434" s="220">
        <f t="shared" si="1386"/>
        <v>0</v>
      </c>
      <c r="AZ434" s="220">
        <f t="shared" si="1387"/>
        <v>0</v>
      </c>
      <c r="BA434" s="220">
        <f t="shared" si="1388"/>
        <v>0</v>
      </c>
      <c r="BB434" s="220">
        <f t="shared" si="1389"/>
        <v>0</v>
      </c>
      <c r="BC434" s="220">
        <f t="shared" si="1390"/>
        <v>0</v>
      </c>
      <c r="BD434" s="216">
        <f t="shared" si="1195"/>
        <v>0</v>
      </c>
      <c r="BE434" s="220">
        <f t="shared" si="1380"/>
        <v>0</v>
      </c>
      <c r="BF434" s="220">
        <f t="shared" si="1381"/>
        <v>0</v>
      </c>
      <c r="BG434" s="220">
        <f t="shared" si="1382"/>
        <v>0</v>
      </c>
      <c r="BH434" s="220">
        <f t="shared" si="1383"/>
        <v>0</v>
      </c>
      <c r="BI434" s="220">
        <f t="shared" si="1384"/>
        <v>0</v>
      </c>
      <c r="BJ434" s="220" t="s">
        <v>2425</v>
      </c>
      <c r="BK434" s="220"/>
      <c r="BL434" s="223">
        <f t="shared" si="1201"/>
        <v>0</v>
      </c>
      <c r="BM434" s="220">
        <v>3</v>
      </c>
      <c r="BN434" s="220"/>
      <c r="BO434" s="220">
        <f t="shared" si="1356"/>
        <v>3</v>
      </c>
      <c r="BP434" s="220">
        <f>IF(AND(BL434&gt;0,BL434&lt;tiet!$D$1),BL434,IF(BL434&lt;=0,0,IF(BL434&gt;tiet!$C$1,tiet!$C$1)))</f>
        <v>0</v>
      </c>
      <c r="BQ434" s="87">
        <f t="shared" si="1397"/>
        <v>60000</v>
      </c>
      <c r="BR434" s="224">
        <f t="shared" si="1391"/>
        <v>0</v>
      </c>
      <c r="BS434" s="220">
        <f t="shared" si="1301"/>
        <v>0</v>
      </c>
      <c r="BT434" s="224">
        <f>VLOOKUP(N434,ma_dinhmuc!$A$1:$J$31,10,0)</f>
        <v>51000</v>
      </c>
      <c r="BU434" s="224">
        <f>ROUND(IF(BS434&gt;0,VLOOKUP(N434,ma_dinhmuc!$A$1:$J$31,10,0)*BS434,0),0)</f>
        <v>0</v>
      </c>
      <c r="BV434" s="224">
        <f t="shared" si="1392"/>
        <v>0</v>
      </c>
      <c r="BW434" s="224"/>
      <c r="BX434" s="224">
        <v>0</v>
      </c>
      <c r="BY434" s="224"/>
      <c r="BZ434" s="224"/>
      <c r="CA434" s="224"/>
      <c r="CB434" s="224"/>
      <c r="CC434" s="225">
        <f t="shared" si="1286"/>
        <v>0</v>
      </c>
      <c r="CD434" s="224">
        <f t="shared" si="1287"/>
        <v>0</v>
      </c>
      <c r="CE434" s="224"/>
      <c r="CF434" s="226"/>
      <c r="CG434" s="87"/>
      <c r="CH434" s="87">
        <f t="shared" si="1407"/>
        <v>12</v>
      </c>
      <c r="CI434" s="227" t="str">
        <f t="shared" si="1340"/>
        <v>Hoàng Minh</v>
      </c>
      <c r="CJ434" s="227" t="str">
        <f t="shared" si="1341"/>
        <v>Đức</v>
      </c>
      <c r="CK434" s="87">
        <f>H434</f>
        <v>9</v>
      </c>
      <c r="CL434" s="227" t="str">
        <f t="shared" ref="CL434:CL464" si="1408">L434</f>
        <v>Thú y cộng đồng</v>
      </c>
      <c r="CM434" s="87" t="str">
        <f t="shared" si="1385"/>
        <v>CS2</v>
      </c>
      <c r="CN434" s="87">
        <f t="shared" si="1399"/>
        <v>270</v>
      </c>
      <c r="CO434" s="87">
        <f t="shared" si="1400"/>
        <v>100</v>
      </c>
      <c r="CP434" s="229">
        <f t="shared" si="1314"/>
        <v>0</v>
      </c>
      <c r="CQ434" s="229">
        <f t="shared" si="1315"/>
        <v>6</v>
      </c>
      <c r="CR434" s="229">
        <f t="shared" si="1316"/>
        <v>0</v>
      </c>
      <c r="CS434" s="229">
        <f t="shared" si="1317"/>
        <v>100.8</v>
      </c>
      <c r="CT434" s="229">
        <f t="shared" si="1318"/>
        <v>0</v>
      </c>
      <c r="CU434" s="229">
        <f t="shared" si="1319"/>
        <v>0</v>
      </c>
      <c r="CV434" s="229">
        <f t="shared" si="1320"/>
        <v>0</v>
      </c>
      <c r="CW434" s="229">
        <f t="shared" si="1321"/>
        <v>36</v>
      </c>
      <c r="CX434" s="229">
        <f t="shared" si="1322"/>
        <v>0</v>
      </c>
      <c r="CY434" s="229">
        <f t="shared" si="1323"/>
        <v>0</v>
      </c>
      <c r="CZ434" s="229">
        <f t="shared" si="1324"/>
        <v>0</v>
      </c>
      <c r="DA434" s="229">
        <f t="shared" si="1325"/>
        <v>0</v>
      </c>
      <c r="DB434" s="228">
        <f t="shared" si="1260"/>
        <v>142.80000000000001</v>
      </c>
      <c r="DC434" s="229"/>
      <c r="DD434" s="229"/>
      <c r="DE434" s="229"/>
      <c r="DF434" s="229"/>
      <c r="DG434" s="229"/>
      <c r="DH434" s="229"/>
      <c r="DI434" s="229"/>
      <c r="DJ434" s="229"/>
      <c r="DK434" s="229"/>
      <c r="DL434" s="229"/>
      <c r="DM434" s="229"/>
      <c r="DN434" s="229"/>
      <c r="DO434" s="228">
        <f t="shared" si="1261"/>
        <v>0</v>
      </c>
      <c r="DP434" s="228">
        <f t="shared" si="1262"/>
        <v>142.80000000000001</v>
      </c>
      <c r="DQ434" s="229">
        <f t="shared" si="1326"/>
        <v>0</v>
      </c>
      <c r="DR434" s="229">
        <f t="shared" si="1327"/>
        <v>0</v>
      </c>
      <c r="DS434" s="229">
        <f t="shared" si="1328"/>
        <v>0</v>
      </c>
      <c r="DT434" s="229">
        <f t="shared" si="1329"/>
        <v>0</v>
      </c>
      <c r="DU434" s="229">
        <f t="shared" si="1330"/>
        <v>0</v>
      </c>
      <c r="DV434" s="229">
        <f t="shared" si="1331"/>
        <v>0</v>
      </c>
      <c r="DW434" s="229">
        <f t="shared" si="1332"/>
        <v>0</v>
      </c>
      <c r="DX434" s="228">
        <f t="shared" si="1263"/>
        <v>0</v>
      </c>
      <c r="DY434" s="229"/>
      <c r="DZ434" s="229"/>
      <c r="EA434" s="229"/>
      <c r="EB434" s="229"/>
      <c r="EC434" s="229"/>
      <c r="ED434" s="229"/>
      <c r="EE434" s="229"/>
      <c r="EF434" s="228">
        <f t="shared" si="1305"/>
        <v>0</v>
      </c>
      <c r="EG434" s="228">
        <f t="shared" si="1264"/>
        <v>0</v>
      </c>
      <c r="EH434" s="229">
        <f t="shared" si="1306"/>
        <v>0</v>
      </c>
      <c r="EI434" s="229">
        <v>101.67</v>
      </c>
      <c r="EJ434" s="228">
        <f t="shared" si="1366"/>
        <v>101.67</v>
      </c>
      <c r="EK434" s="229"/>
      <c r="EL434" s="229"/>
      <c r="EM434" s="228">
        <f t="shared" si="1368"/>
        <v>0</v>
      </c>
      <c r="EN434" s="229">
        <f t="shared" si="1273"/>
        <v>0</v>
      </c>
      <c r="EO434" s="229">
        <f t="shared" si="1302"/>
        <v>101.67</v>
      </c>
      <c r="EP434" s="228">
        <f t="shared" si="1401"/>
        <v>101.67</v>
      </c>
      <c r="EQ434" s="173">
        <f t="shared" si="1303"/>
        <v>0</v>
      </c>
      <c r="ER434" s="189">
        <v>0</v>
      </c>
      <c r="ES434" s="189">
        <v>6</v>
      </c>
      <c r="ET434" s="189">
        <v>0</v>
      </c>
      <c r="EU434" s="189">
        <v>100.8</v>
      </c>
      <c r="EV434" s="189">
        <v>0</v>
      </c>
      <c r="EW434" s="189">
        <v>0</v>
      </c>
      <c r="EX434" s="189">
        <v>0</v>
      </c>
      <c r="EY434" s="189">
        <v>36</v>
      </c>
      <c r="EZ434" s="189">
        <v>0</v>
      </c>
      <c r="FA434" s="189">
        <v>0</v>
      </c>
      <c r="FB434" s="189">
        <v>0</v>
      </c>
      <c r="FC434" s="189">
        <v>0</v>
      </c>
      <c r="FD434" s="189">
        <v>0</v>
      </c>
      <c r="FE434" s="189">
        <v>0</v>
      </c>
      <c r="FF434" s="189">
        <v>0</v>
      </c>
      <c r="FG434" s="189">
        <v>0</v>
      </c>
      <c r="FH434" s="189">
        <v>0</v>
      </c>
      <c r="FI434" s="189">
        <v>0</v>
      </c>
      <c r="FJ434" s="189">
        <v>0</v>
      </c>
      <c r="FK434" s="189">
        <v>142.80000000000001</v>
      </c>
      <c r="FL434" s="189">
        <v>133.80000000000001</v>
      </c>
      <c r="FN434" s="132">
        <v>0</v>
      </c>
    </row>
    <row r="435" spans="1:170" ht="38.25" customHeight="1">
      <c r="A435" s="88">
        <f>COUNTIF($H$12:H435,H435)</f>
        <v>13</v>
      </c>
      <c r="B435" s="88" t="s">
        <v>2715</v>
      </c>
      <c r="C435" s="88" t="s">
        <v>1637</v>
      </c>
      <c r="D435" s="88"/>
      <c r="E435" s="88"/>
      <c r="F435" s="301" t="s">
        <v>1139</v>
      </c>
      <c r="G435" s="303" t="s">
        <v>1648</v>
      </c>
      <c r="H435" s="88">
        <v>9</v>
      </c>
      <c r="I435" s="88">
        <v>9</v>
      </c>
      <c r="J435" s="88">
        <v>9</v>
      </c>
      <c r="K435" s="90" t="s">
        <v>1102</v>
      </c>
      <c r="L435" s="90" t="s">
        <v>1102</v>
      </c>
      <c r="M435" s="214"/>
      <c r="N435" s="88" t="s">
        <v>1804</v>
      </c>
      <c r="O435" s="216">
        <f>BO435</f>
        <v>3.33</v>
      </c>
      <c r="P435" s="88" t="str">
        <f>IF(BO435&lt;3.33,"B1_3",IF(AND(BO435&gt;=3.33,BO435&lt;4.65),"B1_4",IF(AND(BO435&gt;=4.65,BO435&lt;5.42),"B1_5",IF(AND(BO435&gt;=5.42,BO435&lt;6.44),"B1_6",IF(AND(BO435&gt;=6.44,BO435&lt;=6.92),"B1_7","B1_8")))))</f>
        <v>B1_4</v>
      </c>
      <c r="Q435" s="88">
        <f t="shared" si="1369"/>
        <v>270</v>
      </c>
      <c r="R435" s="88">
        <f t="shared" si="1370"/>
        <v>120</v>
      </c>
      <c r="S435" s="230" t="s">
        <v>2325</v>
      </c>
      <c r="T435" s="88" t="s">
        <v>3090</v>
      </c>
      <c r="U435" s="88">
        <f>IF(RIGHT(T435,1)="K",(VLOOKUP(T435,ma_miengiam!$A$3:$B$80,2,0)*100)/2,VLOOKUP(T435,ma_miengiam!$A$3:$B$80,2,0)*100)</f>
        <v>15</v>
      </c>
      <c r="V435" s="88"/>
      <c r="W435" s="220">
        <f>IF(AND(T435="NTS",V435&gt;0),(Q435-(Q435*V435)/12)*VLOOKUP(T435,ma_miengiam!$A$3:$B$80,2,0)+(Q435-(Q435*(12-V435))/12),IF(AND(RIGHT(T435,1)="K",V435&gt;0),(VLOOKUP(T435,ma_miengiam!$A$3:$B$80,2,0)/2)*(Q435*V435)/12,IF(RIGHT(T435,1)="K",(VLOOKUP(T435,ma_miengiam!$A$3:$B$80,2,0)*Q435)/2,IF(V435&gt;0,VLOOKUP(T435,ma_miengiam!$A$3:$B$80,2,0)*Q435*V435/12,VLOOKUP(T435,ma_miengiam!$A$3:$B$80,2,0)*Q435))))</f>
        <v>40.5</v>
      </c>
      <c r="X435" s="220">
        <f>IF(T435="NTS",VLOOKUP(T435,ma_miengiam!$A$3:$B$80,2,0)*R435*V435,IF(AND(T435="NTS",V435=0),0,IF(AND(LEFT(T435,1)="K",V435=0),VLOOKUP(T435,ma_miengiam!$A$3:$B$80,2,0)*R435,IF(LEFT(T435,1)="K",(VLOOKUP(T435,ma_miengiam!$A$3:$B$80,2,0)*R435/12)*V435,IF(AND(LEFT(T435,1)="S",V435&gt;0),(R435/12)*V435,IF(AND(LEFT(T435,1)="S",V435=0),R435,IF(T435="DH",VLOOKUP(T435,ma_miengiam!$A$3:$B$80,2,0)*R435,0)))))))</f>
        <v>0</v>
      </c>
      <c r="Y435" s="220">
        <f>IF(AND(T435="DH",V435&gt;0),(S435*V435/12),IF(AND(T435&lt;&gt;"NTS",V435&gt;0),(Q435*V435/12)-W435,IF(AND(T435="NTS",V435&gt;0),Q435-W435,Q435-W435)))</f>
        <v>229.5</v>
      </c>
      <c r="Z435" s="220">
        <f>IF(AND(T435="SĐH",V435&gt;0),(R435/12)*V435-X435,IF(AND(T435="DH",V435&gt;0),(R435*V435/12),IF(AND(T435&lt;&gt;"NTS",V435&gt;0),(R435*V435/12)-X435,IF(AND(T435="NTS",V435&gt;0),R435-X435,R435-X435))))</f>
        <v>120</v>
      </c>
      <c r="AA435" s="220">
        <f>Q435</f>
        <v>270</v>
      </c>
      <c r="AB435" s="220">
        <f>R435</f>
        <v>120</v>
      </c>
      <c r="AC435" s="220">
        <f>W435</f>
        <v>40.5</v>
      </c>
      <c r="AD435" s="220">
        <f>X435</f>
        <v>0</v>
      </c>
      <c r="AE435" s="220">
        <f>Y435</f>
        <v>229.5</v>
      </c>
      <c r="AF435" s="220">
        <f>Z435</f>
        <v>120</v>
      </c>
      <c r="AG435" s="220">
        <f>AH435+AI435</f>
        <v>138.11000000000001</v>
      </c>
      <c r="AH435" s="220">
        <f>EO435</f>
        <v>2</v>
      </c>
      <c r="AI435" s="220">
        <f>EN435</f>
        <v>136.11000000000001</v>
      </c>
      <c r="AJ435" s="220">
        <f>IF(AG435-Z435&gt;0,0,AG435-Z435)</f>
        <v>0</v>
      </c>
      <c r="AK435" s="216">
        <f>IF(AJ435&gt;=0,Y435,Y435-AJ435)</f>
        <v>229.5</v>
      </c>
      <c r="AL435" s="220">
        <f>SUM(CP435:CX435)+SUM(DC435:DK435)</f>
        <v>355.5</v>
      </c>
      <c r="AM435" s="220">
        <f>SUM(DQ435:DU435)+SUM(DY435:EC435)</f>
        <v>19.299999999999997</v>
      </c>
      <c r="AN435" s="221">
        <f>AM435+AL435</f>
        <v>374.8</v>
      </c>
      <c r="AO435" s="220">
        <f t="shared" ref="AO435:AQ436" si="1409">CY435+DL435</f>
        <v>0</v>
      </c>
      <c r="AP435" s="220">
        <f t="shared" si="1409"/>
        <v>30</v>
      </c>
      <c r="AQ435" s="220">
        <f t="shared" si="1409"/>
        <v>160</v>
      </c>
      <c r="AR435" s="220">
        <f>DV435+ED435</f>
        <v>40</v>
      </c>
      <c r="AS435" s="220">
        <f>DW435+EE435</f>
        <v>0</v>
      </c>
      <c r="AT435" s="216">
        <f>AN435+SUM(AO435:AS435)</f>
        <v>604.79999999999995</v>
      </c>
      <c r="AU435" s="222">
        <f>AN435-AK435</f>
        <v>145.30000000000001</v>
      </c>
      <c r="AV435" s="220"/>
      <c r="AW435" s="220">
        <f>IF(AU435&gt;0,AU435,AV435+AU435)</f>
        <v>145.30000000000001</v>
      </c>
      <c r="AX435" s="216">
        <f t="shared" si="1267"/>
        <v>0</v>
      </c>
      <c r="AY435" s="220">
        <f>IF(AN435&gt;=AK435,AO435,IF(AN435+AO435-AK435&gt;=0,AN435+AO435-AK435,0))</f>
        <v>0</v>
      </c>
      <c r="AZ435" s="220">
        <f>IF(OR(AN435&gt;=AK435,AN435+AO435&gt;=AK435),AP435,IF(AN435+AO435+AP435&gt;AK435,AN435+AO435+AP435-AK435,0))</f>
        <v>30</v>
      </c>
      <c r="BA435" s="220">
        <f>IF(OR(AN435&gt;=AK435,AN435+AO435&gt;=AK435,AN435+AO435+AP435&gt;=AK435),AQ435,IF(AN435+AO435+AP435+AQ435&gt;=AK435,AN435+AO435+AP435+AQ435-AK435,0))</f>
        <v>160</v>
      </c>
      <c r="BB435" s="220">
        <f>IF(OR(AN435&gt;=AK435,AN435+AO435&gt;=AK435,AN435+AO435+AP435&gt;=AK435,AN435+AO435+AP435+AQ435&gt;=AK435),AR435,IF(AN435+AO435+AP435+AQ435+AR435&gt;=AK435,AN435+AO435+AP435+AQ435+AR435-AK435,0))</f>
        <v>40</v>
      </c>
      <c r="BC435" s="220">
        <f>IF(OR(AN435&gt;=AK435,AN435+AO435&gt;=AK435,AN435+AO435+AP435&gt;=AK435,AN435+AO435+AP435+AQ435&gt;=AK435,AN435+AO435+AP435+AQ435+AR435&gt;=AK435),AS435,IF(AN435+AO435+AP435+AQ435+AR435+AS435&gt;=AK435,AN435+AO435+AP435+AQ435+AR435+AS435-AK435,0))</f>
        <v>0</v>
      </c>
      <c r="BD435" s="216">
        <f t="shared" ref="BD435:BD497" si="1410">SUM(AY435:BC435)</f>
        <v>230</v>
      </c>
      <c r="BE435" s="220">
        <f t="shared" ref="BE435:BI436" si="1411">AY435-AO435</f>
        <v>0</v>
      </c>
      <c r="BF435" s="220">
        <f t="shared" si="1411"/>
        <v>0</v>
      </c>
      <c r="BG435" s="220">
        <f t="shared" si="1411"/>
        <v>0</v>
      </c>
      <c r="BH435" s="220">
        <f t="shared" si="1411"/>
        <v>0</v>
      </c>
      <c r="BI435" s="220">
        <f t="shared" si="1411"/>
        <v>0</v>
      </c>
      <c r="BJ435" s="220" t="s">
        <v>2425</v>
      </c>
      <c r="BK435" s="220"/>
      <c r="BL435" s="223">
        <f t="shared" si="1201"/>
        <v>145.30000000000001</v>
      </c>
      <c r="BM435" s="220">
        <v>3.33</v>
      </c>
      <c r="BN435" s="220"/>
      <c r="BO435" s="220">
        <f>ROUND(BM435+(BM435*BN435),2)</f>
        <v>3.33</v>
      </c>
      <c r="BP435" s="220">
        <f>IF(AND(BL435&gt;0,BL435&lt;tiet!$D$1),BL435,IF(BL435&lt;=0,0,IF(BL435&gt;tiet!$C$1,tiet!$C$1)))</f>
        <v>145.30000000000001</v>
      </c>
      <c r="BQ435" s="87">
        <f>VLOOKUP(P435,ma_dinhmuc_moi,4,0)</f>
        <v>65000</v>
      </c>
      <c r="BR435" s="224">
        <f>ROUND(BQ435*BP435,0)</f>
        <v>9444500</v>
      </c>
      <c r="BS435" s="220">
        <f t="shared" si="1301"/>
        <v>0</v>
      </c>
      <c r="BT435" s="224">
        <f>VLOOKUP(N435,ma_dinhmuc!$A$1:$J$31,10,0)</f>
        <v>51000</v>
      </c>
      <c r="BU435" s="224">
        <f>ROUND(IF(BS435&gt;0,VLOOKUP(N435,ma_dinhmuc!$A$1:$J$31,10,0)*BS435,0),0)</f>
        <v>0</v>
      </c>
      <c r="BV435" s="224">
        <f>ROUND(BU435+BR435,0)</f>
        <v>9444500</v>
      </c>
      <c r="BW435" s="224"/>
      <c r="BX435" s="224">
        <v>0</v>
      </c>
      <c r="BY435" s="224"/>
      <c r="BZ435" s="224"/>
      <c r="CA435" s="224"/>
      <c r="CB435" s="224"/>
      <c r="CC435" s="225">
        <f>ROUND(IF(BV435+BW435&gt;BX435+BY435+BZ435+CA435+CB435,(BW435+BV435)-(BX435+BY435+BZ435+CA435+CB435+CB435),0),0)</f>
        <v>9444500</v>
      </c>
      <c r="CD435" s="224">
        <f>ROUND(IF(BV435+BW435&lt;BX435+BY435+BZ435+CA435-CB435,(BX435+BY435+BZ435+CA435-CB435)-(BW435+BV435),0),0)</f>
        <v>0</v>
      </c>
      <c r="CE435" s="224"/>
      <c r="CF435" s="226"/>
      <c r="CG435" s="87"/>
      <c r="CH435" s="87">
        <f>A435</f>
        <v>13</v>
      </c>
      <c r="CI435" s="227" t="str">
        <f t="shared" ref="CI435:CI449" si="1412">F435</f>
        <v>Nguyễn Thị</v>
      </c>
      <c r="CJ435" s="227" t="str">
        <f t="shared" ref="CJ435:CJ449" si="1413">G435</f>
        <v>Trang</v>
      </c>
      <c r="CK435" s="87">
        <f t="shared" ref="CK435:CK449" si="1414">H435</f>
        <v>9</v>
      </c>
      <c r="CL435" s="227" t="str">
        <f>L435</f>
        <v>Thú y cộng đồng</v>
      </c>
      <c r="CM435" s="87" t="str">
        <f>N435</f>
        <v>CS2</v>
      </c>
      <c r="CN435" s="87">
        <f>Q435</f>
        <v>270</v>
      </c>
      <c r="CO435" s="87">
        <f>R435</f>
        <v>120</v>
      </c>
      <c r="CP435" s="229">
        <f t="shared" si="1314"/>
        <v>0</v>
      </c>
      <c r="CQ435" s="229">
        <f t="shared" si="1315"/>
        <v>49</v>
      </c>
      <c r="CR435" s="229">
        <f t="shared" si="1316"/>
        <v>19.7</v>
      </c>
      <c r="CS435" s="229">
        <f t="shared" si="1317"/>
        <v>37.200000000000003</v>
      </c>
      <c r="CT435" s="229">
        <f t="shared" si="1318"/>
        <v>0</v>
      </c>
      <c r="CU435" s="229">
        <f t="shared" si="1319"/>
        <v>129.6</v>
      </c>
      <c r="CV435" s="229">
        <f t="shared" si="1320"/>
        <v>0</v>
      </c>
      <c r="CW435" s="229">
        <f t="shared" si="1321"/>
        <v>120</v>
      </c>
      <c r="CX435" s="229">
        <f t="shared" si="1322"/>
        <v>0</v>
      </c>
      <c r="CY435" s="229">
        <f t="shared" si="1323"/>
        <v>0</v>
      </c>
      <c r="CZ435" s="229">
        <f t="shared" si="1324"/>
        <v>30</v>
      </c>
      <c r="DA435" s="229">
        <f t="shared" si="1325"/>
        <v>160</v>
      </c>
      <c r="DB435" s="228">
        <f>SUM(CP435:DA435)</f>
        <v>545.5</v>
      </c>
      <c r="DC435" s="229"/>
      <c r="DD435" s="229"/>
      <c r="DE435" s="229"/>
      <c r="DF435" s="229"/>
      <c r="DG435" s="229"/>
      <c r="DH435" s="229"/>
      <c r="DI435" s="229"/>
      <c r="DJ435" s="229"/>
      <c r="DK435" s="229"/>
      <c r="DL435" s="229"/>
      <c r="DM435" s="229"/>
      <c r="DN435" s="229"/>
      <c r="DO435" s="228">
        <f>SUM(DC435:DN435)</f>
        <v>0</v>
      </c>
      <c r="DP435" s="228">
        <f>DO435+DB435</f>
        <v>545.5</v>
      </c>
      <c r="DQ435" s="229">
        <f t="shared" si="1326"/>
        <v>18</v>
      </c>
      <c r="DR435" s="229">
        <f t="shared" si="1327"/>
        <v>0.9</v>
      </c>
      <c r="DS435" s="229">
        <f t="shared" si="1328"/>
        <v>0</v>
      </c>
      <c r="DT435" s="229">
        <f t="shared" si="1329"/>
        <v>0.4</v>
      </c>
      <c r="DU435" s="229">
        <f t="shared" si="1330"/>
        <v>0</v>
      </c>
      <c r="DV435" s="229">
        <f t="shared" si="1331"/>
        <v>40</v>
      </c>
      <c r="DW435" s="229">
        <f t="shared" si="1332"/>
        <v>0</v>
      </c>
      <c r="DX435" s="228">
        <f>SUM(DQ435:DW435)</f>
        <v>59.3</v>
      </c>
      <c r="DY435" s="229"/>
      <c r="DZ435" s="229"/>
      <c r="EA435" s="229"/>
      <c r="EB435" s="229"/>
      <c r="EC435" s="229"/>
      <c r="ED435" s="229"/>
      <c r="EE435" s="229"/>
      <c r="EF435" s="228">
        <f t="shared" si="1305"/>
        <v>0</v>
      </c>
      <c r="EG435" s="228">
        <f>EF435+DX435</f>
        <v>59.3</v>
      </c>
      <c r="EH435" s="229">
        <f t="shared" si="1306"/>
        <v>136.11000000000001</v>
      </c>
      <c r="EI435" s="229">
        <v>2</v>
      </c>
      <c r="EJ435" s="228">
        <f t="shared" si="1366"/>
        <v>138.11000000000001</v>
      </c>
      <c r="EK435" s="229"/>
      <c r="EL435" s="229"/>
      <c r="EM435" s="228">
        <f t="shared" si="1368"/>
        <v>0</v>
      </c>
      <c r="EN435" s="229">
        <f>EK435+EH435+EL435</f>
        <v>136.11000000000001</v>
      </c>
      <c r="EO435" s="229">
        <f>EI435</f>
        <v>2</v>
      </c>
      <c r="EP435" s="228">
        <f>EM435+EJ435</f>
        <v>138.11000000000001</v>
      </c>
      <c r="EQ435" s="173">
        <f t="shared" si="1303"/>
        <v>16.110000000000014</v>
      </c>
      <c r="ER435" s="189">
        <v>0</v>
      </c>
      <c r="ES435" s="189">
        <v>49</v>
      </c>
      <c r="ET435" s="189">
        <v>19.7</v>
      </c>
      <c r="EU435" s="189">
        <v>37.200000000000003</v>
      </c>
      <c r="EV435" s="189">
        <v>0</v>
      </c>
      <c r="EW435" s="189">
        <v>129.6</v>
      </c>
      <c r="EX435" s="189">
        <v>0</v>
      </c>
      <c r="EY435" s="189">
        <v>120</v>
      </c>
      <c r="EZ435" s="189">
        <v>0</v>
      </c>
      <c r="FA435" s="189">
        <v>0</v>
      </c>
      <c r="FB435" s="189">
        <v>30</v>
      </c>
      <c r="FC435" s="189">
        <v>160</v>
      </c>
      <c r="FD435" s="189">
        <v>18</v>
      </c>
      <c r="FE435" s="189">
        <v>0.9</v>
      </c>
      <c r="FF435" s="189">
        <v>0</v>
      </c>
      <c r="FG435" s="189">
        <v>0.4</v>
      </c>
      <c r="FH435" s="189">
        <v>40</v>
      </c>
      <c r="FI435" s="189">
        <v>0</v>
      </c>
      <c r="FJ435" s="189">
        <v>0</v>
      </c>
      <c r="FK435" s="189">
        <v>604.79999999999995</v>
      </c>
      <c r="FL435" s="189">
        <v>513.20000000000005</v>
      </c>
      <c r="FN435" s="132">
        <v>136.11000000000001</v>
      </c>
    </row>
    <row r="436" spans="1:170" ht="45">
      <c r="A436" s="88">
        <f>COUNTIF($H$12:H439,H436)</f>
        <v>17</v>
      </c>
      <c r="B436" s="88" t="s">
        <v>2717</v>
      </c>
      <c r="C436" s="88" t="s">
        <v>1639</v>
      </c>
      <c r="D436" s="88"/>
      <c r="E436" s="88"/>
      <c r="F436" s="301" t="s">
        <v>2789</v>
      </c>
      <c r="G436" s="89" t="s">
        <v>2790</v>
      </c>
      <c r="H436" s="88">
        <v>9</v>
      </c>
      <c r="I436" s="88">
        <v>9</v>
      </c>
      <c r="J436" s="88">
        <v>9</v>
      </c>
      <c r="K436" s="90" t="s">
        <v>1102</v>
      </c>
      <c r="L436" s="90" t="s">
        <v>1102</v>
      </c>
      <c r="M436" s="214"/>
      <c r="N436" s="88" t="s">
        <v>606</v>
      </c>
      <c r="O436" s="216">
        <f t="shared" si="1398"/>
        <v>5.08</v>
      </c>
      <c r="P436" s="88" t="str">
        <f t="shared" si="1333"/>
        <v>B1_5</v>
      </c>
      <c r="Q436" s="88">
        <f t="shared" si="1369"/>
        <v>270</v>
      </c>
      <c r="R436" s="88">
        <f t="shared" si="1370"/>
        <v>150</v>
      </c>
      <c r="S436" s="230" t="s">
        <v>2384</v>
      </c>
      <c r="T436" s="88" t="s">
        <v>3091</v>
      </c>
      <c r="U436" s="88">
        <f>IF(RIGHT(T436,1)="K",(VLOOKUP(T436,ma_miengiam!$A$3:$B$80,2,0)*100)/2,VLOOKUP(T436,ma_miengiam!$A$3:$B$80,2,0)*100)</f>
        <v>20</v>
      </c>
      <c r="V436" s="88"/>
      <c r="W436" s="220">
        <f>IF(AND(T436="NTS",V436&gt;0),(Q436-(Q436*V436)/12)*VLOOKUP(T436,ma_miengiam!$A$3:$B$80,2,0)+(Q436-(Q436*(12-V436))/12),IF(AND(RIGHT(T436,1)="K",V436&gt;0),(VLOOKUP(T436,ma_miengiam!$A$3:$B$80,2,0)/2)*(Q436*V436)/12,IF(RIGHT(T436,1)="K",(VLOOKUP(T436,ma_miengiam!$A$3:$B$80,2,0)*Q436)/2,IF(V436&gt;0,VLOOKUP(T436,ma_miengiam!$A$3:$B$80,2,0)*Q436*V436/12,VLOOKUP(T436,ma_miengiam!$A$3:$B$80,2,0)*Q436))))</f>
        <v>54</v>
      </c>
      <c r="X436" s="220">
        <f>IF(T436="NTS",VLOOKUP(T436,ma_miengiam!$A$3:$B$80,2,0)*R436*V436,IF(AND(T436="NTS",V436=0),0,IF(AND(LEFT(T436,1)="K",V436=0),VLOOKUP(T436,ma_miengiam!$A$3:$B$80,2,0)*R436,IF(LEFT(T436,1)="K",(VLOOKUP(T436,ma_miengiam!$A$3:$B$80,2,0)*R436/12)*V436,IF(AND(LEFT(T436,1)="S",V436&gt;0),(R436/12)*V436,IF(AND(LEFT(T436,1)="S",V436=0),R436,IF(T436="DH",VLOOKUP(T436,ma_miengiam!$A$3:$B$80,2,0)*R436,0)))))))</f>
        <v>0</v>
      </c>
      <c r="Y436" s="220">
        <f>IF(AND(T436="DH",V436&gt;0),(S436*V436/12),IF(AND(T436&lt;&gt;"NTS",V436&gt;0),(Q436*V436/12)-W436,IF(AND(T436="NTS",V436&gt;0),Q436-W436,Q436-W436)))</f>
        <v>216</v>
      </c>
      <c r="Z436" s="220">
        <f t="shared" ref="Z436:Z441" si="1415">IF(AND(T436="SĐH",V436&gt;0),(R436/12)*V436-X436,IF(AND(T436="DH",V436&gt;0),(R436*V436/12),IF(AND(T436&lt;&gt;"NTS",V436&gt;0),(R436*V436/12)-X436,IF(AND(T436="NTS",V436&gt;0),R436-X436,R436-X436))))</f>
        <v>150</v>
      </c>
      <c r="AA436" s="220">
        <f t="shared" ref="AA436:AB440" si="1416">Q436</f>
        <v>270</v>
      </c>
      <c r="AB436" s="220">
        <f t="shared" si="1416"/>
        <v>150</v>
      </c>
      <c r="AC436" s="220">
        <f t="shared" ref="AC436:AF437" si="1417">W436</f>
        <v>54</v>
      </c>
      <c r="AD436" s="220">
        <f t="shared" si="1417"/>
        <v>0</v>
      </c>
      <c r="AE436" s="220">
        <f t="shared" si="1417"/>
        <v>216</v>
      </c>
      <c r="AF436" s="220">
        <f t="shared" si="1417"/>
        <v>150</v>
      </c>
      <c r="AG436" s="220">
        <f t="shared" si="1404"/>
        <v>32.36</v>
      </c>
      <c r="AH436" s="220">
        <f t="shared" si="1405"/>
        <v>2.5</v>
      </c>
      <c r="AI436" s="220">
        <f t="shared" si="1406"/>
        <v>29.86</v>
      </c>
      <c r="AJ436" s="220">
        <f>IF(AG436-Z436&gt;0,0,AG436-Z436)</f>
        <v>-117.64</v>
      </c>
      <c r="AK436" s="216">
        <f t="shared" si="1266"/>
        <v>333.64</v>
      </c>
      <c r="AL436" s="220">
        <f>SUM(CP436:CX436)+SUM(DC436:DK436)</f>
        <v>209.7</v>
      </c>
      <c r="AM436" s="220">
        <f>SUM(DQ436:DU436)+SUM(DY436:EC436)</f>
        <v>18.400000000000002</v>
      </c>
      <c r="AN436" s="221">
        <f>AM436+AL436</f>
        <v>228.1</v>
      </c>
      <c r="AO436" s="220">
        <f t="shared" si="1409"/>
        <v>0</v>
      </c>
      <c r="AP436" s="220">
        <f t="shared" si="1409"/>
        <v>0</v>
      </c>
      <c r="AQ436" s="220">
        <f t="shared" si="1409"/>
        <v>200</v>
      </c>
      <c r="AR436" s="220">
        <f>DV436+ED436</f>
        <v>40</v>
      </c>
      <c r="AS436" s="220">
        <f>DW436+EE436</f>
        <v>0</v>
      </c>
      <c r="AT436" s="216">
        <f>AN436+SUM(AO436:AS436)</f>
        <v>468.1</v>
      </c>
      <c r="AU436" s="222">
        <f>AN436-AK436</f>
        <v>-105.53999999999999</v>
      </c>
      <c r="AV436" s="220"/>
      <c r="AW436" s="220">
        <f>IF(AU436&gt;0,AU436,AV436+AU436)</f>
        <v>-105.53999999999999</v>
      </c>
      <c r="AX436" s="216">
        <f t="shared" si="1267"/>
        <v>-105.53999999999999</v>
      </c>
      <c r="AY436" s="220">
        <f>IF(AN436&gt;=AK436,AO436,IF(AN436+AO436-AK436&gt;=0,AN436+AO436-AK436,0))</f>
        <v>0</v>
      </c>
      <c r="AZ436" s="220">
        <f>IF(OR(AN436&gt;=AK436,AN436+AO436&gt;=AK436),AP436,IF(AN436+AO436+AP436&gt;AK436,AN436+AO436+AP436-AK436,0))</f>
        <v>0</v>
      </c>
      <c r="BA436" s="220">
        <f>IF(OR(AN436&gt;=AK436,AN436+AO436&gt;=AK436,AN436+AO436+AP436&gt;=AK436),AQ436,IF(AN436+AO436+AP436+AQ436&gt;=AK436,AN436+AO436+AP436+AQ436-AK436,0))</f>
        <v>94.460000000000036</v>
      </c>
      <c r="BB436" s="220">
        <f>IF(OR(AN436&gt;=AK436,AN436+AO436&gt;=AK436,AN436+AO436+AP436&gt;=AK436,AN436+AO436+AP436+AQ436&gt;=AK436),AR436,IF(AN436+AO436+AP436+AQ436+AR436&gt;=AK436,AN436+AO436+AP436+AQ436+AR436-AK436,0))</f>
        <v>40</v>
      </c>
      <c r="BC436" s="220">
        <f>IF(OR(AN436&gt;=AK436,AN436+AO436&gt;=AK436,AN436+AO436+AP436&gt;=AK436,AN436+AO436+AP436+AQ436&gt;=AK436,AN436+AO436+AP436+AQ436+AR436&gt;=AK436),AS436,IF(AN436+AO436+AP436+AQ436+AR436+AS436&gt;=AK436,AN436+AO436+AP436+AQ436+AR436+AS436-AK436,0))</f>
        <v>0</v>
      </c>
      <c r="BD436" s="216">
        <f t="shared" si="1410"/>
        <v>134.46000000000004</v>
      </c>
      <c r="BE436" s="220">
        <f t="shared" si="1411"/>
        <v>0</v>
      </c>
      <c r="BF436" s="220">
        <f t="shared" si="1411"/>
        <v>0</v>
      </c>
      <c r="BG436" s="220">
        <f t="shared" si="1411"/>
        <v>-105.53999999999996</v>
      </c>
      <c r="BH436" s="220">
        <f t="shared" si="1411"/>
        <v>0</v>
      </c>
      <c r="BI436" s="220">
        <f t="shared" si="1411"/>
        <v>0</v>
      </c>
      <c r="BJ436" s="220" t="s">
        <v>1925</v>
      </c>
      <c r="BK436" s="220"/>
      <c r="BL436" s="223">
        <f t="shared" si="1201"/>
        <v>0</v>
      </c>
      <c r="BM436" s="220">
        <v>5.08</v>
      </c>
      <c r="BN436" s="220"/>
      <c r="BO436" s="220">
        <f>ROUND(BM436+(BM436*BN436),2)</f>
        <v>5.08</v>
      </c>
      <c r="BP436" s="220">
        <f>IF(AND(BL436&gt;0,BL436&lt;tiet!$D$1),BL436,IF(BL436&lt;=0,0,IF(BL436&gt;tiet!$C$1,tiet!$C$1)))</f>
        <v>0</v>
      </c>
      <c r="BQ436" s="87">
        <f>VLOOKUP(P436,ma_dinhmuc_moi,4,0)</f>
        <v>70000</v>
      </c>
      <c r="BR436" s="224">
        <f>ROUND(BQ436*BP436,0)</f>
        <v>0</v>
      </c>
      <c r="BS436" s="220">
        <f t="shared" si="1301"/>
        <v>0</v>
      </c>
      <c r="BT436" s="224">
        <f>VLOOKUP(N436,ma_dinhmuc!$A$1:$J$31,10,0)</f>
        <v>55000</v>
      </c>
      <c r="BU436" s="224">
        <f>ROUND(IF(BS436&gt;0,VLOOKUP(N436,ma_dinhmuc!$A$1:$J$31,10,0)*BS436,0),0)</f>
        <v>0</v>
      </c>
      <c r="BV436" s="224">
        <f>ROUND(BU436+BR436,0)</f>
        <v>0</v>
      </c>
      <c r="BW436" s="224"/>
      <c r="BX436" s="224">
        <v>0</v>
      </c>
      <c r="BY436" s="224"/>
      <c r="BZ436" s="224"/>
      <c r="CA436" s="224"/>
      <c r="CB436" s="224"/>
      <c r="CC436" s="225">
        <f>ROUND(IF(BV436+BW436&gt;BX436+BY436+BZ436+CA436+CB436,(BW436+BV436)-(BX436+BY436+BZ436+CA436+CB436+CB436),0),0)</f>
        <v>0</v>
      </c>
      <c r="CD436" s="224">
        <f>ROUND(IF(BV436+BW436&lt;BX436+BY436+BZ436+CA436-CB436,(BX436+BY436+BZ436+CA436-CB436)-(BW436+BV436),0),0)</f>
        <v>0</v>
      </c>
      <c r="CE436" s="224"/>
      <c r="CF436" s="226"/>
      <c r="CG436" s="87"/>
      <c r="CH436" s="87">
        <f>A436</f>
        <v>17</v>
      </c>
      <c r="CI436" s="227" t="str">
        <f t="shared" si="1412"/>
        <v>Dương Văn</v>
      </c>
      <c r="CJ436" s="227" t="str">
        <f t="shared" si="1413"/>
        <v>Nhiệm</v>
      </c>
      <c r="CK436" s="87">
        <f t="shared" si="1414"/>
        <v>9</v>
      </c>
      <c r="CL436" s="227" t="str">
        <f>L436</f>
        <v>Thú y cộng đồng</v>
      </c>
      <c r="CM436" s="87" t="str">
        <f>N436</f>
        <v>CS3</v>
      </c>
      <c r="CN436" s="87">
        <f>Q436</f>
        <v>270</v>
      </c>
      <c r="CO436" s="87">
        <f>R436</f>
        <v>150</v>
      </c>
      <c r="CP436" s="229">
        <f t="shared" si="1314"/>
        <v>0</v>
      </c>
      <c r="CQ436" s="229">
        <f t="shared" si="1315"/>
        <v>26.2</v>
      </c>
      <c r="CR436" s="229">
        <f t="shared" si="1316"/>
        <v>10.5</v>
      </c>
      <c r="CS436" s="229">
        <f t="shared" si="1317"/>
        <v>0</v>
      </c>
      <c r="CT436" s="229">
        <f t="shared" si="1318"/>
        <v>0</v>
      </c>
      <c r="CU436" s="229">
        <f t="shared" si="1319"/>
        <v>157</v>
      </c>
      <c r="CV436" s="229">
        <f t="shared" si="1320"/>
        <v>0</v>
      </c>
      <c r="CW436" s="229">
        <f t="shared" si="1321"/>
        <v>16</v>
      </c>
      <c r="CX436" s="229">
        <f t="shared" si="1322"/>
        <v>0</v>
      </c>
      <c r="CY436" s="229">
        <f t="shared" si="1323"/>
        <v>0</v>
      </c>
      <c r="CZ436" s="229">
        <f t="shared" si="1324"/>
        <v>0</v>
      </c>
      <c r="DA436" s="229">
        <f t="shared" si="1325"/>
        <v>200</v>
      </c>
      <c r="DB436" s="228">
        <f>SUM(CP436:DA436)</f>
        <v>409.7</v>
      </c>
      <c r="DC436" s="229"/>
      <c r="DD436" s="229"/>
      <c r="DE436" s="229"/>
      <c r="DF436" s="229"/>
      <c r="DG436" s="229"/>
      <c r="DH436" s="229"/>
      <c r="DI436" s="229"/>
      <c r="DJ436" s="229"/>
      <c r="DK436" s="229"/>
      <c r="DL436" s="229"/>
      <c r="DM436" s="229"/>
      <c r="DN436" s="229"/>
      <c r="DO436" s="228">
        <f>SUM(DC436:DN436)</f>
        <v>0</v>
      </c>
      <c r="DP436" s="228">
        <f>DO436+DB436</f>
        <v>409.7</v>
      </c>
      <c r="DQ436" s="229">
        <f t="shared" si="1326"/>
        <v>18</v>
      </c>
      <c r="DR436" s="229">
        <f t="shared" si="1327"/>
        <v>0.3</v>
      </c>
      <c r="DS436" s="229">
        <f t="shared" si="1328"/>
        <v>0</v>
      </c>
      <c r="DT436" s="229">
        <f t="shared" si="1329"/>
        <v>0.1</v>
      </c>
      <c r="DU436" s="229">
        <f t="shared" si="1330"/>
        <v>0</v>
      </c>
      <c r="DV436" s="229">
        <f t="shared" si="1331"/>
        <v>40</v>
      </c>
      <c r="DW436" s="229">
        <f t="shared" si="1332"/>
        <v>0</v>
      </c>
      <c r="DX436" s="228">
        <f>SUM(DQ436:DW436)</f>
        <v>58.400000000000006</v>
      </c>
      <c r="DY436" s="229"/>
      <c r="DZ436" s="229"/>
      <c r="EA436" s="229"/>
      <c r="EB436" s="229"/>
      <c r="EC436" s="229"/>
      <c r="ED436" s="229"/>
      <c r="EE436" s="229"/>
      <c r="EF436" s="228">
        <f t="shared" si="1305"/>
        <v>0</v>
      </c>
      <c r="EG436" s="228">
        <f>EF436+DX436</f>
        <v>58.400000000000006</v>
      </c>
      <c r="EH436" s="229">
        <f t="shared" si="1306"/>
        <v>29.86</v>
      </c>
      <c r="EI436" s="229">
        <v>2.5</v>
      </c>
      <c r="EJ436" s="228">
        <f t="shared" si="1366"/>
        <v>32.36</v>
      </c>
      <c r="EK436" s="229"/>
      <c r="EL436" s="229"/>
      <c r="EM436" s="228">
        <f t="shared" si="1368"/>
        <v>0</v>
      </c>
      <c r="EN436" s="229">
        <f>EK436+EH436+EL436</f>
        <v>29.86</v>
      </c>
      <c r="EO436" s="229">
        <f>EI436</f>
        <v>2.5</v>
      </c>
      <c r="EP436" s="228">
        <f t="shared" si="1401"/>
        <v>32.36</v>
      </c>
      <c r="EQ436" s="173">
        <f t="shared" si="1303"/>
        <v>0</v>
      </c>
      <c r="ER436" s="189">
        <v>0</v>
      </c>
      <c r="ES436" s="189">
        <v>26.2</v>
      </c>
      <c r="ET436" s="189">
        <v>10.5</v>
      </c>
      <c r="EU436" s="189">
        <v>0</v>
      </c>
      <c r="EV436" s="189">
        <v>0</v>
      </c>
      <c r="EW436" s="189">
        <v>157</v>
      </c>
      <c r="EX436" s="189">
        <v>0</v>
      </c>
      <c r="EY436" s="189">
        <v>16</v>
      </c>
      <c r="EZ436" s="189">
        <v>0</v>
      </c>
      <c r="FA436" s="189">
        <v>0</v>
      </c>
      <c r="FB436" s="189">
        <v>0</v>
      </c>
      <c r="FC436" s="189">
        <v>200</v>
      </c>
      <c r="FD436" s="189">
        <v>18</v>
      </c>
      <c r="FE436" s="189">
        <v>0.3</v>
      </c>
      <c r="FF436" s="189">
        <v>0</v>
      </c>
      <c r="FG436" s="189">
        <v>0.1</v>
      </c>
      <c r="FH436" s="189">
        <v>40</v>
      </c>
      <c r="FI436" s="189">
        <v>0</v>
      </c>
      <c r="FJ436" s="189">
        <v>0</v>
      </c>
      <c r="FK436" s="189">
        <v>468.1</v>
      </c>
      <c r="FL436" s="189">
        <v>435</v>
      </c>
      <c r="FN436" s="132">
        <v>29.86</v>
      </c>
    </row>
    <row r="437" spans="1:170" ht="29.25" customHeight="1">
      <c r="A437" s="88">
        <f>COUNTIF($H$12:H437,H437)</f>
        <v>15</v>
      </c>
      <c r="B437" s="88" t="s">
        <v>2716</v>
      </c>
      <c r="C437" s="88" t="s">
        <v>1638</v>
      </c>
      <c r="D437" s="88"/>
      <c r="E437" s="88"/>
      <c r="F437" s="301" t="s">
        <v>2788</v>
      </c>
      <c r="G437" s="89" t="s">
        <v>1909</v>
      </c>
      <c r="H437" s="88">
        <v>9</v>
      </c>
      <c r="I437" s="88">
        <v>9</v>
      </c>
      <c r="J437" s="88">
        <v>9</v>
      </c>
      <c r="K437" s="90" t="s">
        <v>1102</v>
      </c>
      <c r="L437" s="90" t="s">
        <v>1102</v>
      </c>
      <c r="M437" s="214"/>
      <c r="N437" s="88" t="s">
        <v>1804</v>
      </c>
      <c r="O437" s="216">
        <f t="shared" si="1398"/>
        <v>3.33</v>
      </c>
      <c r="P437" s="88" t="str">
        <f t="shared" si="1333"/>
        <v>B1_4</v>
      </c>
      <c r="Q437" s="88">
        <f t="shared" si="1369"/>
        <v>270</v>
      </c>
      <c r="R437" s="88">
        <f t="shared" si="1370"/>
        <v>120</v>
      </c>
      <c r="S437" s="233" t="s">
        <v>1926</v>
      </c>
      <c r="T437" s="88" t="s">
        <v>2961</v>
      </c>
      <c r="U437" s="88">
        <f>IF(RIGHT(T437,1)="K",(VLOOKUP(T437,ma_miengiam!$A$3:$B$80,2,0)*100)/2,VLOOKUP(T437,ma_miengiam!$A$3:$B$80,2,0)*100)</f>
        <v>100</v>
      </c>
      <c r="V437" s="88"/>
      <c r="W437" s="220">
        <f>IF(AND(T437="NTS",V437&gt;0),(Q437-(Q437*V437)/12)*VLOOKUP(T437,ma_miengiam!$A$3:$B$80,2,0)+(Q437-(Q437*(12-V437))/12),IF(AND(RIGHT(T437,1)="K",V437&gt;0),(VLOOKUP(T437,ma_miengiam!$A$3:$B$80,2,0)/2)*(Q437*V437)/12,IF(RIGHT(T437,1)="K",(VLOOKUP(T437,ma_miengiam!$A$3:$B$80,2,0)*Q437)/2,IF(V437&gt;0,VLOOKUP(T437,ma_miengiam!$A$3:$B$80,2,0)*Q437*V437/12,VLOOKUP(T437,ma_miengiam!$A$3:$B$80,2,0)*Q437))))</f>
        <v>270</v>
      </c>
      <c r="X437" s="220">
        <f>IF(T437="NTS",VLOOKUP(T437,ma_miengiam!$A$3:$B$80,2,0)*R437*V437,IF(AND(T437="NTS",V437=0),0,IF(AND(LEFT(T437,1)="K",V437=0),VLOOKUP(T437,ma_miengiam!$A$3:$B$80,2,0)*R437,IF(LEFT(T437,1)="K",(VLOOKUP(T437,ma_miengiam!$A$3:$B$80,2,0)*R437/12)*V437,IF(AND(LEFT(T437,1)="S",V437&gt;0),(R437/12)*V437,IF(AND(LEFT(T437,1)="S",V437=0),R437,IF(T437="DH",VLOOKUP(T437,ma_miengiam!$A$3:$B$80,2,0)*R437,0)))))))</f>
        <v>120</v>
      </c>
      <c r="Y437" s="220">
        <f t="shared" si="1344"/>
        <v>0</v>
      </c>
      <c r="Z437" s="220">
        <f t="shared" si="1415"/>
        <v>0</v>
      </c>
      <c r="AA437" s="220">
        <f t="shared" si="1416"/>
        <v>270</v>
      </c>
      <c r="AB437" s="220">
        <f t="shared" si="1416"/>
        <v>120</v>
      </c>
      <c r="AC437" s="220">
        <f t="shared" si="1417"/>
        <v>270</v>
      </c>
      <c r="AD437" s="220">
        <f t="shared" si="1417"/>
        <v>120</v>
      </c>
      <c r="AE437" s="220">
        <f t="shared" si="1417"/>
        <v>0</v>
      </c>
      <c r="AF437" s="220">
        <f t="shared" si="1417"/>
        <v>0</v>
      </c>
      <c r="AG437" s="220">
        <f t="shared" si="1404"/>
        <v>101.67</v>
      </c>
      <c r="AH437" s="220">
        <f t="shared" si="1405"/>
        <v>101.67</v>
      </c>
      <c r="AI437" s="220">
        <f t="shared" si="1406"/>
        <v>0</v>
      </c>
      <c r="AJ437" s="220">
        <f t="shared" si="1396"/>
        <v>0</v>
      </c>
      <c r="AK437" s="216">
        <f t="shared" si="1266"/>
        <v>0</v>
      </c>
      <c r="AL437" s="220">
        <f t="shared" si="1251"/>
        <v>0</v>
      </c>
      <c r="AM437" s="220">
        <f t="shared" si="1252"/>
        <v>0</v>
      </c>
      <c r="AN437" s="221">
        <f t="shared" si="1253"/>
        <v>0</v>
      </c>
      <c r="AO437" s="220">
        <f t="shared" si="1254"/>
        <v>0</v>
      </c>
      <c r="AP437" s="220">
        <f t="shared" si="1255"/>
        <v>0</v>
      </c>
      <c r="AQ437" s="220">
        <f t="shared" si="1256"/>
        <v>0</v>
      </c>
      <c r="AR437" s="220">
        <f t="shared" si="1257"/>
        <v>0</v>
      </c>
      <c r="AS437" s="220">
        <f t="shared" si="1258"/>
        <v>0</v>
      </c>
      <c r="AT437" s="216">
        <f t="shared" si="1259"/>
        <v>0</v>
      </c>
      <c r="AU437" s="222">
        <f t="shared" si="1300"/>
        <v>0</v>
      </c>
      <c r="AV437" s="220"/>
      <c r="AW437" s="220">
        <f t="shared" si="1379"/>
        <v>0</v>
      </c>
      <c r="AX437" s="216">
        <f t="shared" si="1267"/>
        <v>0</v>
      </c>
      <c r="AY437" s="220">
        <f t="shared" si="1386"/>
        <v>0</v>
      </c>
      <c r="AZ437" s="220">
        <f t="shared" si="1387"/>
        <v>0</v>
      </c>
      <c r="BA437" s="220">
        <f t="shared" si="1388"/>
        <v>0</v>
      </c>
      <c r="BB437" s="220">
        <f t="shared" si="1389"/>
        <v>0</v>
      </c>
      <c r="BC437" s="220">
        <f t="shared" si="1390"/>
        <v>0</v>
      </c>
      <c r="BD437" s="216">
        <f t="shared" si="1410"/>
        <v>0</v>
      </c>
      <c r="BE437" s="220">
        <f t="shared" si="1380"/>
        <v>0</v>
      </c>
      <c r="BF437" s="220">
        <f t="shared" si="1381"/>
        <v>0</v>
      </c>
      <c r="BG437" s="220">
        <f t="shared" si="1382"/>
        <v>0</v>
      </c>
      <c r="BH437" s="220">
        <f t="shared" si="1383"/>
        <v>0</v>
      </c>
      <c r="BI437" s="220">
        <f t="shared" si="1384"/>
        <v>0</v>
      </c>
      <c r="BJ437" s="220" t="s">
        <v>1925</v>
      </c>
      <c r="BK437" s="220"/>
      <c r="BL437" s="223">
        <f t="shared" si="1201"/>
        <v>0</v>
      </c>
      <c r="BM437" s="220">
        <v>3.33</v>
      </c>
      <c r="BN437" s="220"/>
      <c r="BO437" s="220">
        <f t="shared" ref="BO437:BO449" si="1418">ROUND(BM437+(BM437*BN437),2)</f>
        <v>3.33</v>
      </c>
      <c r="BP437" s="220">
        <f>IF(AND(BL437&gt;0,BL437&lt;tiet!$D$1),BL437,IF(BL437&lt;=0,0,IF(BL437&gt;tiet!$C$1,tiet!$C$1)))</f>
        <v>0</v>
      </c>
      <c r="BQ437" s="87">
        <f t="shared" si="1397"/>
        <v>65000</v>
      </c>
      <c r="BR437" s="224">
        <f t="shared" si="1391"/>
        <v>0</v>
      </c>
      <c r="BS437" s="220">
        <f t="shared" si="1301"/>
        <v>0</v>
      </c>
      <c r="BT437" s="224">
        <f>VLOOKUP(N437,ma_dinhmuc!$A$1:$J$31,10,0)</f>
        <v>51000</v>
      </c>
      <c r="BU437" s="224">
        <f>ROUND(IF(BS437&gt;0,VLOOKUP(N437,ma_dinhmuc!$A$1:$J$31,10,0)*BS437,0),0)</f>
        <v>0</v>
      </c>
      <c r="BV437" s="224">
        <f t="shared" si="1392"/>
        <v>0</v>
      </c>
      <c r="BW437" s="224"/>
      <c r="BX437" s="224">
        <v>0</v>
      </c>
      <c r="BY437" s="224"/>
      <c r="BZ437" s="224"/>
      <c r="CA437" s="224"/>
      <c r="CB437" s="224"/>
      <c r="CC437" s="225">
        <f t="shared" ref="CC437:CC494" si="1419">ROUND(IF(BV437+BW437&gt;BX437+BY437+BZ437+CA437+CB437,(BW437+BV437)-(BX437+BY437+BZ437+CA437+CB437+CB437),0),0)</f>
        <v>0</v>
      </c>
      <c r="CD437" s="224">
        <f t="shared" ref="CD437:CD494" si="1420">ROUND(IF(BV437+BW437&lt;BX437+BY437+BZ437+CA437-CB437,(BX437+BY437+BZ437+CA437-CB437)-(BW437+BV437),0),0)</f>
        <v>0</v>
      </c>
      <c r="CE437" s="224"/>
      <c r="CF437" s="226"/>
      <c r="CG437" s="87"/>
      <c r="CH437" s="87">
        <f t="shared" si="1407"/>
        <v>15</v>
      </c>
      <c r="CI437" s="227" t="str">
        <f t="shared" si="1412"/>
        <v>Đồng Văn</v>
      </c>
      <c r="CJ437" s="227" t="str">
        <f t="shared" si="1413"/>
        <v>Hiếu</v>
      </c>
      <c r="CK437" s="87">
        <f t="shared" si="1414"/>
        <v>9</v>
      </c>
      <c r="CL437" s="227" t="str">
        <f t="shared" si="1408"/>
        <v>Thú y cộng đồng</v>
      </c>
      <c r="CM437" s="87" t="str">
        <f t="shared" si="1385"/>
        <v>CS2</v>
      </c>
      <c r="CN437" s="87">
        <f t="shared" si="1399"/>
        <v>270</v>
      </c>
      <c r="CO437" s="87">
        <f t="shared" si="1400"/>
        <v>120</v>
      </c>
      <c r="CP437" s="229">
        <f t="shared" si="1314"/>
        <v>0</v>
      </c>
      <c r="CQ437" s="229">
        <f t="shared" si="1315"/>
        <v>0</v>
      </c>
      <c r="CR437" s="229">
        <f t="shared" si="1316"/>
        <v>0</v>
      </c>
      <c r="CS437" s="229">
        <f t="shared" si="1317"/>
        <v>0</v>
      </c>
      <c r="CT437" s="229">
        <f t="shared" si="1318"/>
        <v>0</v>
      </c>
      <c r="CU437" s="229">
        <f t="shared" si="1319"/>
        <v>0</v>
      </c>
      <c r="CV437" s="229">
        <f t="shared" si="1320"/>
        <v>0</v>
      </c>
      <c r="CW437" s="229">
        <f t="shared" si="1321"/>
        <v>0</v>
      </c>
      <c r="CX437" s="229">
        <f t="shared" si="1322"/>
        <v>0</v>
      </c>
      <c r="CY437" s="229">
        <f t="shared" si="1323"/>
        <v>0</v>
      </c>
      <c r="CZ437" s="229">
        <f t="shared" si="1324"/>
        <v>0</v>
      </c>
      <c r="DA437" s="229">
        <f t="shared" si="1325"/>
        <v>0</v>
      </c>
      <c r="DB437" s="228">
        <f t="shared" si="1260"/>
        <v>0</v>
      </c>
      <c r="DC437" s="229"/>
      <c r="DD437" s="229"/>
      <c r="DE437" s="229"/>
      <c r="DF437" s="229"/>
      <c r="DG437" s="229"/>
      <c r="DH437" s="229"/>
      <c r="DI437" s="229"/>
      <c r="DJ437" s="229"/>
      <c r="DK437" s="229"/>
      <c r="DL437" s="229"/>
      <c r="DM437" s="229"/>
      <c r="DN437" s="229"/>
      <c r="DO437" s="228">
        <f t="shared" si="1261"/>
        <v>0</v>
      </c>
      <c r="DP437" s="228">
        <f t="shared" si="1262"/>
        <v>0</v>
      </c>
      <c r="DQ437" s="229">
        <f t="shared" si="1326"/>
        <v>0</v>
      </c>
      <c r="DR437" s="229">
        <f t="shared" si="1327"/>
        <v>0</v>
      </c>
      <c r="DS437" s="229">
        <f t="shared" si="1328"/>
        <v>0</v>
      </c>
      <c r="DT437" s="229">
        <f t="shared" si="1329"/>
        <v>0</v>
      </c>
      <c r="DU437" s="229">
        <f t="shared" si="1330"/>
        <v>0</v>
      </c>
      <c r="DV437" s="229">
        <f t="shared" si="1331"/>
        <v>0</v>
      </c>
      <c r="DW437" s="229">
        <f t="shared" si="1332"/>
        <v>0</v>
      </c>
      <c r="DX437" s="228">
        <f t="shared" si="1263"/>
        <v>0</v>
      </c>
      <c r="DY437" s="229"/>
      <c r="DZ437" s="229"/>
      <c r="EA437" s="229"/>
      <c r="EB437" s="229"/>
      <c r="EC437" s="229"/>
      <c r="ED437" s="229"/>
      <c r="EE437" s="229"/>
      <c r="EF437" s="228">
        <f t="shared" si="1305"/>
        <v>0</v>
      </c>
      <c r="EG437" s="228">
        <f t="shared" si="1264"/>
        <v>0</v>
      </c>
      <c r="EH437" s="229">
        <f t="shared" si="1306"/>
        <v>0</v>
      </c>
      <c r="EI437" s="229">
        <v>101.67</v>
      </c>
      <c r="EJ437" s="228">
        <f t="shared" si="1366"/>
        <v>101.67</v>
      </c>
      <c r="EK437" s="229"/>
      <c r="EL437" s="229"/>
      <c r="EM437" s="228">
        <f t="shared" si="1368"/>
        <v>0</v>
      </c>
      <c r="EN437" s="229">
        <f t="shared" si="1273"/>
        <v>0</v>
      </c>
      <c r="EO437" s="229">
        <f t="shared" si="1302"/>
        <v>101.67</v>
      </c>
      <c r="EP437" s="228">
        <f t="shared" si="1401"/>
        <v>101.67</v>
      </c>
      <c r="EQ437" s="173">
        <f t="shared" si="1303"/>
        <v>0</v>
      </c>
      <c r="ER437" s="189">
        <v>0</v>
      </c>
      <c r="ES437" s="189">
        <v>0</v>
      </c>
      <c r="ET437" s="189">
        <v>0</v>
      </c>
      <c r="EU437" s="189">
        <v>0</v>
      </c>
      <c r="EV437" s="189">
        <v>0</v>
      </c>
      <c r="EW437" s="189">
        <v>0</v>
      </c>
      <c r="EX437" s="189">
        <v>0</v>
      </c>
      <c r="EY437" s="189">
        <v>0</v>
      </c>
      <c r="EZ437" s="189">
        <v>0</v>
      </c>
      <c r="FA437" s="189">
        <v>0</v>
      </c>
      <c r="FB437" s="189">
        <v>0</v>
      </c>
      <c r="FC437" s="189">
        <v>0</v>
      </c>
      <c r="FD437" s="189">
        <v>0</v>
      </c>
      <c r="FE437" s="189">
        <v>0</v>
      </c>
      <c r="FF437" s="189">
        <v>0</v>
      </c>
      <c r="FG437" s="189">
        <v>0</v>
      </c>
      <c r="FH437" s="189">
        <v>0</v>
      </c>
      <c r="FI437" s="189">
        <v>0</v>
      </c>
      <c r="FJ437" s="189">
        <v>0</v>
      </c>
      <c r="FK437" s="189">
        <v>0</v>
      </c>
      <c r="FL437" s="189">
        <v>0</v>
      </c>
      <c r="FN437" s="132">
        <v>0</v>
      </c>
    </row>
    <row r="438" spans="1:170" ht="34.5" customHeight="1">
      <c r="A438" s="88">
        <f>COUNTIF($H$12:H438,H438)</f>
        <v>16</v>
      </c>
      <c r="B438" s="88" t="s">
        <v>2718</v>
      </c>
      <c r="C438" s="88" t="s">
        <v>1640</v>
      </c>
      <c r="D438" s="88"/>
      <c r="E438" s="88"/>
      <c r="F438" s="301" t="s">
        <v>2791</v>
      </c>
      <c r="G438" s="303" t="s">
        <v>2088</v>
      </c>
      <c r="H438" s="88">
        <v>9</v>
      </c>
      <c r="I438" s="88">
        <v>9</v>
      </c>
      <c r="J438" s="88">
        <v>9</v>
      </c>
      <c r="K438" s="90" t="s">
        <v>1102</v>
      </c>
      <c r="L438" s="90" t="s">
        <v>1102</v>
      </c>
      <c r="M438" s="214"/>
      <c r="N438" s="88" t="s">
        <v>1804</v>
      </c>
      <c r="O438" s="216">
        <f t="shared" si="1398"/>
        <v>3</v>
      </c>
      <c r="P438" s="88" t="str">
        <f t="shared" si="1333"/>
        <v>B1_3</v>
      </c>
      <c r="Q438" s="88">
        <f t="shared" si="1369"/>
        <v>270</v>
      </c>
      <c r="R438" s="88">
        <f t="shared" si="1370"/>
        <v>100</v>
      </c>
      <c r="S438" s="218" t="s">
        <v>526</v>
      </c>
      <c r="T438" s="88" t="s">
        <v>3091</v>
      </c>
      <c r="U438" s="88">
        <f>IF(RIGHT(T438,1)="K",(VLOOKUP(T438,ma_miengiam!$A$3:$B$80,2,0)*100)/2,VLOOKUP(T438,ma_miengiam!$A$3:$B$80,2,0)*100)</f>
        <v>20</v>
      </c>
      <c r="V438" s="88"/>
      <c r="W438" s="220">
        <f>IF(AND(T438="NTS",V438&gt;0),(Q438-(Q438*V438)/12)*VLOOKUP(T438,ma_miengiam!$A$3:$B$80,2,0)+(Q438-(Q438*(12-V438))/12),IF(AND(RIGHT(T438,1)="K",V438&gt;0),(VLOOKUP(T438,ma_miengiam!$A$3:$B$80,2,0)/2)*(Q438*V438)/12,IF(RIGHT(T438,1)="K",(VLOOKUP(T438,ma_miengiam!$A$3:$B$80,2,0)*Q438)/2,IF(V438&gt;0,VLOOKUP(T438,ma_miengiam!$A$3:$B$80,2,0)*Q438*V438/12,VLOOKUP(T438,ma_miengiam!$A$3:$B$80,2,0)*Q438))))</f>
        <v>54</v>
      </c>
      <c r="X438" s="220">
        <f>IF(T438="NTS",VLOOKUP(T438,ma_miengiam!$A$3:$B$80,2,0)*R438*V438,IF(AND(T438="NTS",V438=0),0,IF(AND(LEFT(T438,1)="K",V438=0),VLOOKUP(T438,ma_miengiam!$A$3:$B$80,2,0)*R438,IF(LEFT(T438,1)="K",(VLOOKUP(T438,ma_miengiam!$A$3:$B$80,2,0)*R438/12)*V438,IF(AND(LEFT(T438,1)="S",V438&gt;0),(R438/12)*V438,IF(AND(LEFT(T438,1)="S",V438=0),R438,IF(T438="DH",VLOOKUP(T438,ma_miengiam!$A$3:$B$80,2,0)*R438,0)))))))</f>
        <v>0</v>
      </c>
      <c r="Y438" s="220">
        <f t="shared" si="1344"/>
        <v>216</v>
      </c>
      <c r="Z438" s="220">
        <f t="shared" si="1415"/>
        <v>100</v>
      </c>
      <c r="AA438" s="220">
        <f t="shared" si="1416"/>
        <v>270</v>
      </c>
      <c r="AB438" s="220">
        <f t="shared" si="1416"/>
        <v>100</v>
      </c>
      <c r="AC438" s="220">
        <f t="shared" ref="AC438:AF439" si="1421">W438</f>
        <v>54</v>
      </c>
      <c r="AD438" s="220">
        <f t="shared" si="1421"/>
        <v>0</v>
      </c>
      <c r="AE438" s="220">
        <f t="shared" si="1421"/>
        <v>216</v>
      </c>
      <c r="AF438" s="220">
        <f t="shared" si="1421"/>
        <v>100</v>
      </c>
      <c r="AG438" s="220">
        <f t="shared" si="1404"/>
        <v>577.9</v>
      </c>
      <c r="AH438" s="220">
        <f t="shared" si="1405"/>
        <v>66.55</v>
      </c>
      <c r="AI438" s="220">
        <f t="shared" si="1406"/>
        <v>511.35</v>
      </c>
      <c r="AJ438" s="220">
        <f>IF(AG438-Z438&gt;0,0,AG438-Z438)</f>
        <v>0</v>
      </c>
      <c r="AK438" s="216">
        <f t="shared" si="1266"/>
        <v>216</v>
      </c>
      <c r="AL438" s="220">
        <f t="shared" si="1251"/>
        <v>471.8</v>
      </c>
      <c r="AM438" s="220">
        <f t="shared" si="1252"/>
        <v>0</v>
      </c>
      <c r="AN438" s="221">
        <f t="shared" si="1253"/>
        <v>471.8</v>
      </c>
      <c r="AO438" s="220">
        <f t="shared" si="1254"/>
        <v>0</v>
      </c>
      <c r="AP438" s="220">
        <f t="shared" si="1255"/>
        <v>30</v>
      </c>
      <c r="AQ438" s="220">
        <f t="shared" si="1256"/>
        <v>180</v>
      </c>
      <c r="AR438" s="220">
        <f t="shared" si="1257"/>
        <v>98</v>
      </c>
      <c r="AS438" s="220">
        <f t="shared" si="1258"/>
        <v>0</v>
      </c>
      <c r="AT438" s="216">
        <f t="shared" si="1259"/>
        <v>779.8</v>
      </c>
      <c r="AU438" s="220">
        <f>AN438-AK438</f>
        <v>255.8</v>
      </c>
      <c r="AV438" s="220"/>
      <c r="AW438" s="220">
        <f t="shared" si="1379"/>
        <v>255.8</v>
      </c>
      <c r="AX438" s="216">
        <f t="shared" si="1267"/>
        <v>0</v>
      </c>
      <c r="AY438" s="220">
        <f t="shared" si="1386"/>
        <v>0</v>
      </c>
      <c r="AZ438" s="220">
        <f t="shared" si="1387"/>
        <v>30</v>
      </c>
      <c r="BA438" s="220">
        <f t="shared" si="1388"/>
        <v>180</v>
      </c>
      <c r="BB438" s="220">
        <f t="shared" si="1389"/>
        <v>98</v>
      </c>
      <c r="BC438" s="220">
        <f t="shared" si="1390"/>
        <v>0</v>
      </c>
      <c r="BD438" s="216">
        <f t="shared" si="1410"/>
        <v>308</v>
      </c>
      <c r="BE438" s="220">
        <f t="shared" si="1380"/>
        <v>0</v>
      </c>
      <c r="BF438" s="220">
        <f t="shared" si="1381"/>
        <v>0</v>
      </c>
      <c r="BG438" s="220">
        <f t="shared" si="1382"/>
        <v>0</v>
      </c>
      <c r="BH438" s="220">
        <f t="shared" si="1383"/>
        <v>0</v>
      </c>
      <c r="BI438" s="220">
        <f t="shared" si="1384"/>
        <v>0</v>
      </c>
      <c r="BJ438" s="220" t="s">
        <v>1925</v>
      </c>
      <c r="BK438" s="220"/>
      <c r="BL438" s="223">
        <f t="shared" ref="BL438:BL502" si="1422">IF(AW438&lt;BK438,0,IF(AND(BK438=0,AW438&gt;0),AW438,IF(AW438&lt;0,0,IF(BK438&gt;0,AW438-BK438,IF(BK438&lt;0,0,AW438)))))</f>
        <v>255.8</v>
      </c>
      <c r="BM438" s="220">
        <v>3</v>
      </c>
      <c r="BN438" s="220"/>
      <c r="BO438" s="220">
        <f>ROUND(BM438+(BM438*BN438),2)</f>
        <v>3</v>
      </c>
      <c r="BP438" s="220">
        <f>IF(AND(BL438&gt;0,BL438&lt;tiet!$D$1),BL438,IF(BL438&lt;=0,0,IF(BL438&gt;tiet!$C$1,tiet!$C$1)))</f>
        <v>200</v>
      </c>
      <c r="BQ438" s="87">
        <f>VLOOKUP(P438,ma_dinhmuc_moi,4,0)</f>
        <v>60000</v>
      </c>
      <c r="BR438" s="224">
        <f>ROUND(BQ438*BP438,0)</f>
        <v>12000000</v>
      </c>
      <c r="BS438" s="220">
        <f t="shared" si="1301"/>
        <v>55.800000000000011</v>
      </c>
      <c r="BT438" s="224">
        <f>VLOOKUP(N438,ma_dinhmuc!$A$1:$J$31,10,0)</f>
        <v>51000</v>
      </c>
      <c r="BU438" s="224">
        <f>ROUND(IF(BS438&gt;0,VLOOKUP(N438,ma_dinhmuc!$A$1:$J$31,10,0)*BS438,0),0)</f>
        <v>2845800</v>
      </c>
      <c r="BV438" s="224">
        <f>ROUND(BU438+BR438,0)</f>
        <v>14845800</v>
      </c>
      <c r="BW438" s="224"/>
      <c r="BX438" s="224">
        <v>0</v>
      </c>
      <c r="BY438" s="224"/>
      <c r="BZ438" s="224"/>
      <c r="CA438" s="224"/>
      <c r="CB438" s="224"/>
      <c r="CC438" s="225">
        <f>ROUND(IF(BV438+BW438&gt;BX438+BY438+BZ438+CA438+CB438,(BW438+BV438)-(BX438+BY438+BZ438+CA438+CB438+CB438),0),0)</f>
        <v>14845800</v>
      </c>
      <c r="CD438" s="224">
        <f>ROUND(IF(BV438+BW438&lt;BX438+BY438+BZ438+CA438-CB438,(BX438+BY438+BZ438+CA438-CB438)-(BW438+BV438),0),0)</f>
        <v>0</v>
      </c>
      <c r="CE438" s="224"/>
      <c r="CF438" s="226"/>
      <c r="CG438" s="87"/>
      <c r="CH438" s="87">
        <f>A438</f>
        <v>16</v>
      </c>
      <c r="CI438" s="227" t="str">
        <f t="shared" si="1412"/>
        <v>Nguyễn Thị Hương</v>
      </c>
      <c r="CJ438" s="227" t="str">
        <f t="shared" si="1413"/>
        <v>Giang</v>
      </c>
      <c r="CK438" s="87">
        <f t="shared" si="1414"/>
        <v>9</v>
      </c>
      <c r="CL438" s="227" t="str">
        <f>L438</f>
        <v>Thú y cộng đồng</v>
      </c>
      <c r="CM438" s="87" t="str">
        <f t="shared" si="1385"/>
        <v>CS2</v>
      </c>
      <c r="CN438" s="87">
        <f>Q438</f>
        <v>270</v>
      </c>
      <c r="CO438" s="87">
        <f>R438</f>
        <v>100</v>
      </c>
      <c r="CP438" s="229">
        <f t="shared" si="1314"/>
        <v>0</v>
      </c>
      <c r="CQ438" s="229">
        <f t="shared" si="1315"/>
        <v>31.2</v>
      </c>
      <c r="CR438" s="229">
        <f t="shared" si="1316"/>
        <v>7.6</v>
      </c>
      <c r="CS438" s="229">
        <f t="shared" si="1317"/>
        <v>144</v>
      </c>
      <c r="CT438" s="229">
        <f t="shared" si="1318"/>
        <v>0</v>
      </c>
      <c r="CU438" s="229">
        <f t="shared" si="1319"/>
        <v>185</v>
      </c>
      <c r="CV438" s="229">
        <f t="shared" si="1320"/>
        <v>0</v>
      </c>
      <c r="CW438" s="229">
        <f t="shared" si="1321"/>
        <v>104</v>
      </c>
      <c r="CX438" s="229">
        <f t="shared" si="1322"/>
        <v>0</v>
      </c>
      <c r="CY438" s="229">
        <f t="shared" si="1323"/>
        <v>0</v>
      </c>
      <c r="CZ438" s="229">
        <f t="shared" si="1324"/>
        <v>30</v>
      </c>
      <c r="DA438" s="229">
        <f t="shared" si="1325"/>
        <v>180</v>
      </c>
      <c r="DB438" s="228">
        <f t="shared" si="1260"/>
        <v>681.8</v>
      </c>
      <c r="DC438" s="229"/>
      <c r="DD438" s="229"/>
      <c r="DE438" s="229"/>
      <c r="DF438" s="229"/>
      <c r="DG438" s="229"/>
      <c r="DH438" s="229"/>
      <c r="DI438" s="229"/>
      <c r="DJ438" s="229"/>
      <c r="DK438" s="229"/>
      <c r="DL438" s="229"/>
      <c r="DM438" s="229"/>
      <c r="DN438" s="229"/>
      <c r="DO438" s="228">
        <f t="shared" si="1261"/>
        <v>0</v>
      </c>
      <c r="DP438" s="228">
        <f t="shared" si="1262"/>
        <v>681.8</v>
      </c>
      <c r="DQ438" s="229">
        <f t="shared" si="1326"/>
        <v>0</v>
      </c>
      <c r="DR438" s="229">
        <f t="shared" si="1327"/>
        <v>0</v>
      </c>
      <c r="DS438" s="229">
        <f t="shared" si="1328"/>
        <v>0</v>
      </c>
      <c r="DT438" s="229">
        <f t="shared" si="1329"/>
        <v>0</v>
      </c>
      <c r="DU438" s="229">
        <f t="shared" si="1330"/>
        <v>0</v>
      </c>
      <c r="DV438" s="229">
        <f t="shared" si="1331"/>
        <v>98</v>
      </c>
      <c r="DW438" s="229">
        <f t="shared" si="1332"/>
        <v>0</v>
      </c>
      <c r="DX438" s="228">
        <f t="shared" si="1263"/>
        <v>98</v>
      </c>
      <c r="DY438" s="229"/>
      <c r="DZ438" s="229"/>
      <c r="EA438" s="229"/>
      <c r="EB438" s="229"/>
      <c r="EC438" s="229"/>
      <c r="ED438" s="229"/>
      <c r="EE438" s="229"/>
      <c r="EF438" s="228">
        <f t="shared" si="1305"/>
        <v>0</v>
      </c>
      <c r="EG438" s="228">
        <f t="shared" si="1264"/>
        <v>98</v>
      </c>
      <c r="EH438" s="229">
        <f t="shared" si="1306"/>
        <v>511.35</v>
      </c>
      <c r="EI438" s="229">
        <v>66.55</v>
      </c>
      <c r="EJ438" s="228">
        <f t="shared" si="1366"/>
        <v>577.9</v>
      </c>
      <c r="EK438" s="229"/>
      <c r="EL438" s="229"/>
      <c r="EM438" s="228">
        <f t="shared" si="1368"/>
        <v>0</v>
      </c>
      <c r="EN438" s="229">
        <f t="shared" ref="EN438:EN492" si="1423">EK438+EH438+EL438</f>
        <v>511.35</v>
      </c>
      <c r="EO438" s="229">
        <f>EI438</f>
        <v>66.55</v>
      </c>
      <c r="EP438" s="228">
        <f t="shared" si="1401"/>
        <v>577.9</v>
      </c>
      <c r="EQ438" s="173">
        <f t="shared" si="1303"/>
        <v>411.35</v>
      </c>
      <c r="ER438" s="189">
        <v>0</v>
      </c>
      <c r="ES438" s="189">
        <v>31.2</v>
      </c>
      <c r="ET438" s="189">
        <v>7.6</v>
      </c>
      <c r="EU438" s="189">
        <v>144</v>
      </c>
      <c r="EV438" s="189">
        <v>0</v>
      </c>
      <c r="EW438" s="189">
        <v>185</v>
      </c>
      <c r="EX438" s="189">
        <v>0</v>
      </c>
      <c r="EY438" s="189">
        <v>104</v>
      </c>
      <c r="EZ438" s="189">
        <v>0</v>
      </c>
      <c r="FA438" s="189">
        <v>0</v>
      </c>
      <c r="FB438" s="189">
        <v>30</v>
      </c>
      <c r="FC438" s="189">
        <v>180</v>
      </c>
      <c r="FD438" s="189">
        <v>0</v>
      </c>
      <c r="FE438" s="189">
        <v>0</v>
      </c>
      <c r="FF438" s="189">
        <v>0</v>
      </c>
      <c r="FG438" s="189">
        <v>0</v>
      </c>
      <c r="FH438" s="189">
        <v>98</v>
      </c>
      <c r="FI438" s="189">
        <v>0</v>
      </c>
      <c r="FJ438" s="189">
        <v>0</v>
      </c>
      <c r="FK438" s="189">
        <v>779.8</v>
      </c>
      <c r="FL438" s="189">
        <v>736</v>
      </c>
      <c r="FN438" s="132">
        <v>511.35</v>
      </c>
    </row>
    <row r="439" spans="1:170" ht="28.5" customHeight="1">
      <c r="A439" s="88">
        <f>COUNTIF($H$12:H439,H439)</f>
        <v>17</v>
      </c>
      <c r="B439" s="88" t="s">
        <v>2719</v>
      </c>
      <c r="C439" s="88" t="s">
        <v>1641</v>
      </c>
      <c r="D439" s="88"/>
      <c r="E439" s="88"/>
      <c r="F439" s="301" t="s">
        <v>633</v>
      </c>
      <c r="G439" s="89" t="s">
        <v>17</v>
      </c>
      <c r="H439" s="88">
        <v>9</v>
      </c>
      <c r="I439" s="88">
        <v>9</v>
      </c>
      <c r="J439" s="88">
        <v>9</v>
      </c>
      <c r="K439" s="90" t="s">
        <v>1102</v>
      </c>
      <c r="L439" s="90" t="s">
        <v>1102</v>
      </c>
      <c r="M439" s="214"/>
      <c r="N439" s="88" t="s">
        <v>1804</v>
      </c>
      <c r="O439" s="216">
        <f t="shared" si="1398"/>
        <v>2.67</v>
      </c>
      <c r="P439" s="88" t="str">
        <f t="shared" si="1333"/>
        <v>B1_3</v>
      </c>
      <c r="Q439" s="88">
        <f t="shared" si="1369"/>
        <v>270</v>
      </c>
      <c r="R439" s="88">
        <f t="shared" si="1370"/>
        <v>100</v>
      </c>
      <c r="S439" s="231" t="s">
        <v>1860</v>
      </c>
      <c r="T439" s="88" t="s">
        <v>3091</v>
      </c>
      <c r="U439" s="88">
        <f>IF(RIGHT(T439,1)="K",(VLOOKUP(T439,ma_miengiam!$A$3:$B$80,2,0)*100)/2,VLOOKUP(T439,ma_miengiam!$A$3:$B$80,2,0)*100)</f>
        <v>20</v>
      </c>
      <c r="V439" s="88"/>
      <c r="W439" s="220">
        <f>IF(AND(T439="NTS",V439&gt;0),(Q439-(Q439*V439)/12)*VLOOKUP(T439,ma_miengiam!$A$3:$B$80,2,0)+(Q439-(Q439*(12-V439))/12),IF(AND(RIGHT(T439,1)="K",V439&gt;0),(VLOOKUP(T439,ma_miengiam!$A$3:$B$80,2,0)/2)*(Q439*V439)/12,IF(RIGHT(T439,1)="K",(VLOOKUP(T439,ma_miengiam!$A$3:$B$80,2,0)*Q439)/2,IF(V439&gt;0,VLOOKUP(T439,ma_miengiam!$A$3:$B$80,2,0)*Q439*V439/12,VLOOKUP(T439,ma_miengiam!$A$3:$B$80,2,0)*Q439))))</f>
        <v>54</v>
      </c>
      <c r="X439" s="220">
        <f>IF(T439="NTS",VLOOKUP(T439,ma_miengiam!$A$3:$B$80,2,0)*R439*V439,IF(AND(T439="NTS",V439=0),0,IF(AND(LEFT(T439,1)="K",V439=0),VLOOKUP(T439,ma_miengiam!$A$3:$B$80,2,0)*R439,IF(LEFT(T439,1)="K",(VLOOKUP(T439,ma_miengiam!$A$3:$B$80,2,0)*R439/12)*V439,IF(AND(LEFT(T439,1)="S",V439&gt;0),(R439/12)*V439,IF(AND(LEFT(T439,1)="S",V439=0),R439,IF(T439="DH",VLOOKUP(T439,ma_miengiam!$A$3:$B$80,2,0)*R439,0)))))))</f>
        <v>0</v>
      </c>
      <c r="Y439" s="220">
        <f t="shared" si="1344"/>
        <v>216</v>
      </c>
      <c r="Z439" s="220">
        <f t="shared" si="1415"/>
        <v>100</v>
      </c>
      <c r="AA439" s="220">
        <f t="shared" si="1416"/>
        <v>270</v>
      </c>
      <c r="AB439" s="220">
        <f t="shared" si="1416"/>
        <v>100</v>
      </c>
      <c r="AC439" s="220">
        <f t="shared" si="1421"/>
        <v>54</v>
      </c>
      <c r="AD439" s="220">
        <f t="shared" si="1421"/>
        <v>0</v>
      </c>
      <c r="AE439" s="220">
        <f t="shared" si="1421"/>
        <v>216</v>
      </c>
      <c r="AF439" s="220">
        <f t="shared" si="1421"/>
        <v>100</v>
      </c>
      <c r="AG439" s="220">
        <f t="shared" si="1404"/>
        <v>132.78</v>
      </c>
      <c r="AH439" s="220">
        <f t="shared" si="1405"/>
        <v>1.67</v>
      </c>
      <c r="AI439" s="220">
        <f t="shared" si="1406"/>
        <v>131.11000000000001</v>
      </c>
      <c r="AJ439" s="220">
        <f t="shared" si="1396"/>
        <v>0</v>
      </c>
      <c r="AK439" s="216">
        <f t="shared" si="1266"/>
        <v>216</v>
      </c>
      <c r="AL439" s="220">
        <f t="shared" si="1251"/>
        <v>581.6</v>
      </c>
      <c r="AM439" s="220">
        <f t="shared" si="1252"/>
        <v>0</v>
      </c>
      <c r="AN439" s="221">
        <f t="shared" si="1253"/>
        <v>581.6</v>
      </c>
      <c r="AO439" s="220">
        <f t="shared" si="1254"/>
        <v>0</v>
      </c>
      <c r="AP439" s="220">
        <f t="shared" si="1255"/>
        <v>15</v>
      </c>
      <c r="AQ439" s="220">
        <f t="shared" si="1256"/>
        <v>200</v>
      </c>
      <c r="AR439" s="220">
        <f t="shared" si="1257"/>
        <v>0</v>
      </c>
      <c r="AS439" s="220">
        <f t="shared" si="1258"/>
        <v>0</v>
      </c>
      <c r="AT439" s="216">
        <f t="shared" si="1259"/>
        <v>796.6</v>
      </c>
      <c r="AU439" s="222">
        <f t="shared" si="1300"/>
        <v>365.6</v>
      </c>
      <c r="AV439" s="220"/>
      <c r="AW439" s="220">
        <f t="shared" si="1379"/>
        <v>365.6</v>
      </c>
      <c r="AX439" s="216">
        <f t="shared" si="1267"/>
        <v>0</v>
      </c>
      <c r="AY439" s="220">
        <f t="shared" si="1386"/>
        <v>0</v>
      </c>
      <c r="AZ439" s="220">
        <f t="shared" si="1387"/>
        <v>15</v>
      </c>
      <c r="BA439" s="220">
        <f t="shared" si="1388"/>
        <v>200</v>
      </c>
      <c r="BB439" s="220">
        <f t="shared" si="1389"/>
        <v>0</v>
      </c>
      <c r="BC439" s="220">
        <f t="shared" si="1390"/>
        <v>0</v>
      </c>
      <c r="BD439" s="216">
        <f t="shared" si="1410"/>
        <v>215</v>
      </c>
      <c r="BE439" s="220">
        <f t="shared" si="1380"/>
        <v>0</v>
      </c>
      <c r="BF439" s="220">
        <f t="shared" si="1381"/>
        <v>0</v>
      </c>
      <c r="BG439" s="220">
        <f t="shared" si="1382"/>
        <v>0</v>
      </c>
      <c r="BH439" s="220">
        <f t="shared" si="1383"/>
        <v>0</v>
      </c>
      <c r="BI439" s="220">
        <f t="shared" si="1384"/>
        <v>0</v>
      </c>
      <c r="BJ439" s="220" t="s">
        <v>1925</v>
      </c>
      <c r="BK439" s="220"/>
      <c r="BL439" s="223">
        <f t="shared" si="1422"/>
        <v>365.6</v>
      </c>
      <c r="BM439" s="220">
        <v>2.67</v>
      </c>
      <c r="BN439" s="220"/>
      <c r="BO439" s="220">
        <f t="shared" si="1418"/>
        <v>2.67</v>
      </c>
      <c r="BP439" s="220">
        <f>IF(AND(BL439&gt;0,BL439&lt;tiet!$D$1),BL439,IF(BL439&lt;=0,0,IF(BL439&gt;tiet!$C$1,tiet!$C$1)))</f>
        <v>200</v>
      </c>
      <c r="BQ439" s="87">
        <f t="shared" si="1397"/>
        <v>60000</v>
      </c>
      <c r="BR439" s="224">
        <f t="shared" si="1391"/>
        <v>12000000</v>
      </c>
      <c r="BS439" s="220">
        <f t="shared" si="1301"/>
        <v>165.60000000000002</v>
      </c>
      <c r="BT439" s="224">
        <f>VLOOKUP(N439,ma_dinhmuc!$A$1:$J$31,10,0)</f>
        <v>51000</v>
      </c>
      <c r="BU439" s="224">
        <f>ROUND(IF(BS439&gt;0,VLOOKUP(N439,ma_dinhmuc!$A$1:$J$31,10,0)*BS439,0),0)</f>
        <v>8445600</v>
      </c>
      <c r="BV439" s="224">
        <f t="shared" si="1392"/>
        <v>20445600</v>
      </c>
      <c r="BW439" s="224"/>
      <c r="BX439" s="224">
        <v>0</v>
      </c>
      <c r="BY439" s="224"/>
      <c r="BZ439" s="224"/>
      <c r="CA439" s="224"/>
      <c r="CB439" s="224"/>
      <c r="CC439" s="225">
        <f t="shared" si="1419"/>
        <v>20445600</v>
      </c>
      <c r="CD439" s="224">
        <f t="shared" si="1420"/>
        <v>0</v>
      </c>
      <c r="CE439" s="224"/>
      <c r="CF439" s="226"/>
      <c r="CG439" s="87"/>
      <c r="CH439" s="87">
        <f t="shared" si="1407"/>
        <v>17</v>
      </c>
      <c r="CI439" s="227" t="str">
        <f t="shared" si="1412"/>
        <v>Cam Thị Thu</v>
      </c>
      <c r="CJ439" s="227" t="str">
        <f t="shared" si="1413"/>
        <v>Hà</v>
      </c>
      <c r="CK439" s="87">
        <f t="shared" si="1414"/>
        <v>9</v>
      </c>
      <c r="CL439" s="227" t="str">
        <f t="shared" si="1408"/>
        <v>Thú y cộng đồng</v>
      </c>
      <c r="CM439" s="87" t="str">
        <f t="shared" si="1385"/>
        <v>CS2</v>
      </c>
      <c r="CN439" s="87">
        <f t="shared" si="1399"/>
        <v>270</v>
      </c>
      <c r="CO439" s="87">
        <f t="shared" si="1400"/>
        <v>100</v>
      </c>
      <c r="CP439" s="229">
        <f t="shared" si="1314"/>
        <v>0</v>
      </c>
      <c r="CQ439" s="229">
        <f t="shared" si="1315"/>
        <v>61.3</v>
      </c>
      <c r="CR439" s="229">
        <f t="shared" si="1316"/>
        <v>24.5</v>
      </c>
      <c r="CS439" s="229">
        <f t="shared" si="1317"/>
        <v>100.8</v>
      </c>
      <c r="CT439" s="229">
        <f t="shared" si="1318"/>
        <v>0</v>
      </c>
      <c r="CU439" s="229">
        <f t="shared" si="1319"/>
        <v>159</v>
      </c>
      <c r="CV439" s="229">
        <f t="shared" si="1320"/>
        <v>0</v>
      </c>
      <c r="CW439" s="229">
        <f t="shared" si="1321"/>
        <v>236</v>
      </c>
      <c r="CX439" s="229">
        <f t="shared" si="1322"/>
        <v>0</v>
      </c>
      <c r="CY439" s="229">
        <f t="shared" si="1323"/>
        <v>0</v>
      </c>
      <c r="CZ439" s="229">
        <f t="shared" si="1324"/>
        <v>15</v>
      </c>
      <c r="DA439" s="229">
        <f t="shared" si="1325"/>
        <v>200</v>
      </c>
      <c r="DB439" s="228">
        <f t="shared" si="1260"/>
        <v>796.6</v>
      </c>
      <c r="DC439" s="229"/>
      <c r="DD439" s="229"/>
      <c r="DE439" s="229"/>
      <c r="DF439" s="229"/>
      <c r="DG439" s="229"/>
      <c r="DH439" s="229"/>
      <c r="DI439" s="229"/>
      <c r="DJ439" s="229"/>
      <c r="DK439" s="229"/>
      <c r="DL439" s="229"/>
      <c r="DM439" s="229"/>
      <c r="DN439" s="229"/>
      <c r="DO439" s="228">
        <f t="shared" si="1261"/>
        <v>0</v>
      </c>
      <c r="DP439" s="228">
        <f t="shared" si="1262"/>
        <v>796.6</v>
      </c>
      <c r="DQ439" s="229">
        <f t="shared" si="1326"/>
        <v>0</v>
      </c>
      <c r="DR439" s="229">
        <f t="shared" si="1327"/>
        <v>0</v>
      </c>
      <c r="DS439" s="229">
        <f t="shared" si="1328"/>
        <v>0</v>
      </c>
      <c r="DT439" s="229">
        <f t="shared" si="1329"/>
        <v>0</v>
      </c>
      <c r="DU439" s="229">
        <f t="shared" si="1330"/>
        <v>0</v>
      </c>
      <c r="DV439" s="229">
        <f t="shared" si="1331"/>
        <v>0</v>
      </c>
      <c r="DW439" s="229">
        <f t="shared" si="1332"/>
        <v>0</v>
      </c>
      <c r="DX439" s="228">
        <f t="shared" si="1263"/>
        <v>0</v>
      </c>
      <c r="DY439" s="229"/>
      <c r="DZ439" s="229"/>
      <c r="EA439" s="229"/>
      <c r="EB439" s="229"/>
      <c r="EC439" s="229"/>
      <c r="ED439" s="229"/>
      <c r="EE439" s="229"/>
      <c r="EF439" s="228">
        <f t="shared" si="1305"/>
        <v>0</v>
      </c>
      <c r="EG439" s="228">
        <f t="shared" si="1264"/>
        <v>0</v>
      </c>
      <c r="EH439" s="229">
        <f t="shared" si="1306"/>
        <v>131.11000000000001</v>
      </c>
      <c r="EI439" s="229">
        <v>1.67</v>
      </c>
      <c r="EJ439" s="228">
        <f t="shared" si="1366"/>
        <v>132.78</v>
      </c>
      <c r="EK439" s="229"/>
      <c r="EL439" s="229"/>
      <c r="EM439" s="228">
        <f t="shared" si="1368"/>
        <v>0</v>
      </c>
      <c r="EN439" s="229">
        <f t="shared" si="1423"/>
        <v>131.11000000000001</v>
      </c>
      <c r="EO439" s="229">
        <f t="shared" si="1302"/>
        <v>1.67</v>
      </c>
      <c r="EP439" s="228">
        <f t="shared" si="1401"/>
        <v>132.78</v>
      </c>
      <c r="EQ439" s="173">
        <f t="shared" si="1303"/>
        <v>31.110000000000014</v>
      </c>
      <c r="ER439" s="189">
        <v>0</v>
      </c>
      <c r="ES439" s="189">
        <v>61.3</v>
      </c>
      <c r="ET439" s="189">
        <v>24.5</v>
      </c>
      <c r="EU439" s="189">
        <v>100.8</v>
      </c>
      <c r="EV439" s="189">
        <v>0</v>
      </c>
      <c r="EW439" s="189">
        <v>159</v>
      </c>
      <c r="EX439" s="189">
        <v>0</v>
      </c>
      <c r="EY439" s="189">
        <v>236</v>
      </c>
      <c r="EZ439" s="189">
        <v>0</v>
      </c>
      <c r="FA439" s="189">
        <v>0</v>
      </c>
      <c r="FB439" s="189">
        <v>15</v>
      </c>
      <c r="FC439" s="189">
        <v>200</v>
      </c>
      <c r="FD439" s="189">
        <v>0</v>
      </c>
      <c r="FE439" s="189">
        <v>0</v>
      </c>
      <c r="FF439" s="189">
        <v>0</v>
      </c>
      <c r="FG439" s="189">
        <v>0</v>
      </c>
      <c r="FH439" s="189">
        <v>0</v>
      </c>
      <c r="FI439" s="189">
        <v>0</v>
      </c>
      <c r="FJ439" s="189">
        <v>0</v>
      </c>
      <c r="FK439" s="189">
        <v>796.6</v>
      </c>
      <c r="FL439" s="189">
        <v>659.8</v>
      </c>
      <c r="FN439" s="132">
        <v>131.11000000000001</v>
      </c>
    </row>
    <row r="440" spans="1:170" ht="30" customHeight="1">
      <c r="A440" s="88">
        <f>COUNTIF($H$12:H440,H440)</f>
        <v>18</v>
      </c>
      <c r="B440" s="88" t="s">
        <v>2720</v>
      </c>
      <c r="C440" s="88" t="s">
        <v>1642</v>
      </c>
      <c r="D440" s="88"/>
      <c r="E440" s="88"/>
      <c r="F440" s="301" t="s">
        <v>2792</v>
      </c>
      <c r="G440" s="89" t="s">
        <v>26</v>
      </c>
      <c r="H440" s="88">
        <v>9</v>
      </c>
      <c r="I440" s="88">
        <v>9</v>
      </c>
      <c r="J440" s="88">
        <v>9</v>
      </c>
      <c r="K440" s="90" t="s">
        <v>1103</v>
      </c>
      <c r="L440" s="90" t="s">
        <v>1103</v>
      </c>
      <c r="M440" s="214"/>
      <c r="N440" s="88" t="s">
        <v>605</v>
      </c>
      <c r="O440" s="216">
        <f t="shared" si="1398"/>
        <v>7.28</v>
      </c>
      <c r="P440" s="88" t="str">
        <f t="shared" si="1333"/>
        <v>B1_8</v>
      </c>
      <c r="Q440" s="88">
        <f t="shared" si="1369"/>
        <v>270</v>
      </c>
      <c r="R440" s="88">
        <f t="shared" si="1370"/>
        <v>280</v>
      </c>
      <c r="S440" s="230" t="s">
        <v>3176</v>
      </c>
      <c r="T440" s="88" t="s">
        <v>3088</v>
      </c>
      <c r="U440" s="88">
        <f>IF(RIGHT(T440,1)="K",(VLOOKUP(T440,ma_miengiam!$A$3:$B$80,2,0)*100)/2,VLOOKUP(T440,ma_miengiam!$A$3:$B$80,2,0)*100)</f>
        <v>0</v>
      </c>
      <c r="V440" s="88">
        <v>8</v>
      </c>
      <c r="W440" s="220">
        <f>IF(AND(T440="NTS",V440&gt;0),(Q440-(Q440*V440)/12)*VLOOKUP(T440,ma_miengiam!$A$3:$B$80,2,0)+(Q440-(Q440*(12-V440))/12),IF(AND(RIGHT(T440,1)="K",V440&gt;0),(VLOOKUP(T440,ma_miengiam!$A$3:$B$80,2,0)/2)*(Q440*V440)/12,IF(RIGHT(T440,1)="K",(VLOOKUP(T440,ma_miengiam!$A$3:$B$80,2,0)*Q440)/2,IF(V440&gt;0,VLOOKUP(T440,ma_miengiam!$A$3:$B$80,2,0)*Q440*V440/12,VLOOKUP(T440,ma_miengiam!$A$3:$B$80,2,0)*Q440))))</f>
        <v>0</v>
      </c>
      <c r="X440" s="220">
        <f>IF(T440="NTS",VLOOKUP(T440,ma_miengiam!$A$3:$B$80,2,0)*R440*V440,IF(AND(T440="NTS",V440=0),0,IF(AND(LEFT(T440,1)="K",V440=0),VLOOKUP(T440,ma_miengiam!$A$3:$B$80,2,0)*R440,IF(LEFT(T440,1)="K",(VLOOKUP(T440,ma_miengiam!$A$3:$B$80,2,0)*R440/12)*V440,IF(AND(LEFT(T440,1)="S",V440&gt;0),(R440/12)*V440,IF(AND(LEFT(T440,1)="S",V440=0),R440,IF(T440="DH",VLOOKUP(T440,ma_miengiam!$A$3:$B$80,2,0)*R440,0)))))))</f>
        <v>0</v>
      </c>
      <c r="Y440" s="220">
        <f t="shared" si="1344"/>
        <v>180</v>
      </c>
      <c r="Z440" s="220">
        <f t="shared" si="1415"/>
        <v>186.66666666666666</v>
      </c>
      <c r="AA440" s="220">
        <f t="shared" si="1416"/>
        <v>270</v>
      </c>
      <c r="AB440" s="220">
        <f t="shared" si="1416"/>
        <v>280</v>
      </c>
      <c r="AC440" s="220">
        <f>W440</f>
        <v>0</v>
      </c>
      <c r="AD440" s="220">
        <f>X440</f>
        <v>0</v>
      </c>
      <c r="AE440" s="220">
        <f>Y440</f>
        <v>180</v>
      </c>
      <c r="AF440" s="220">
        <f>Z440</f>
        <v>186.66666666666666</v>
      </c>
      <c r="AG440" s="220">
        <f t="shared" ref="AG440:AG449" si="1424">AH440+AI440</f>
        <v>266</v>
      </c>
      <c r="AH440" s="220">
        <f t="shared" ref="AH440:AH449" si="1425">EO440</f>
        <v>146</v>
      </c>
      <c r="AI440" s="220">
        <f t="shared" ref="AI440:AI449" si="1426">EN440</f>
        <v>120</v>
      </c>
      <c r="AJ440" s="220">
        <f>IF(AG440-Z440&gt;0,0,AG440-Z440)</f>
        <v>0</v>
      </c>
      <c r="AK440" s="216">
        <f t="shared" si="1266"/>
        <v>180</v>
      </c>
      <c r="AL440" s="220">
        <f t="shared" si="1251"/>
        <v>174.1</v>
      </c>
      <c r="AM440" s="220">
        <f t="shared" si="1252"/>
        <v>57.2</v>
      </c>
      <c r="AN440" s="221">
        <f t="shared" si="1253"/>
        <v>231.3</v>
      </c>
      <c r="AO440" s="220">
        <f t="shared" si="1254"/>
        <v>0</v>
      </c>
      <c r="AP440" s="220">
        <f t="shared" si="1255"/>
        <v>0</v>
      </c>
      <c r="AQ440" s="220">
        <f t="shared" si="1256"/>
        <v>320</v>
      </c>
      <c r="AR440" s="220">
        <f t="shared" si="1257"/>
        <v>80</v>
      </c>
      <c r="AS440" s="220">
        <f t="shared" si="1258"/>
        <v>0</v>
      </c>
      <c r="AT440" s="216">
        <f t="shared" si="1259"/>
        <v>631.29999999999995</v>
      </c>
      <c r="AU440" s="222">
        <f t="shared" si="1300"/>
        <v>51.300000000000011</v>
      </c>
      <c r="AV440" s="220"/>
      <c r="AW440" s="220">
        <f t="shared" si="1379"/>
        <v>51.300000000000011</v>
      </c>
      <c r="AX440" s="216">
        <f t="shared" si="1267"/>
        <v>0</v>
      </c>
      <c r="AY440" s="220">
        <f t="shared" si="1386"/>
        <v>0</v>
      </c>
      <c r="AZ440" s="220">
        <f t="shared" si="1387"/>
        <v>0</v>
      </c>
      <c r="BA440" s="220">
        <f t="shared" si="1388"/>
        <v>320</v>
      </c>
      <c r="BB440" s="220">
        <f t="shared" si="1389"/>
        <v>80</v>
      </c>
      <c r="BC440" s="220">
        <f t="shared" si="1390"/>
        <v>0</v>
      </c>
      <c r="BD440" s="216">
        <f t="shared" si="1410"/>
        <v>400</v>
      </c>
      <c r="BE440" s="220">
        <f t="shared" si="1380"/>
        <v>0</v>
      </c>
      <c r="BF440" s="220">
        <f t="shared" si="1381"/>
        <v>0</v>
      </c>
      <c r="BG440" s="220">
        <f t="shared" si="1382"/>
        <v>0</v>
      </c>
      <c r="BH440" s="220">
        <f t="shared" si="1383"/>
        <v>0</v>
      </c>
      <c r="BI440" s="220">
        <f t="shared" si="1384"/>
        <v>0</v>
      </c>
      <c r="BJ440" s="220" t="s">
        <v>2426</v>
      </c>
      <c r="BK440" s="220"/>
      <c r="BL440" s="223">
        <f t="shared" si="1422"/>
        <v>51.300000000000011</v>
      </c>
      <c r="BM440" s="220">
        <v>7.28</v>
      </c>
      <c r="BN440" s="220"/>
      <c r="BO440" s="220">
        <f t="shared" si="1418"/>
        <v>7.28</v>
      </c>
      <c r="BP440" s="220">
        <f>IF(AND(BL440&gt;0,BL440&lt;tiet!$D$1),BL440,IF(BL440&lt;=0,0,IF(BL440&gt;tiet!$C$1,tiet!$C$1)))</f>
        <v>51.300000000000011</v>
      </c>
      <c r="BQ440" s="87">
        <f>VLOOKUP(P440,ma_dinhmuc_moi,4,0)</f>
        <v>85000</v>
      </c>
      <c r="BR440" s="224">
        <f>ROUND(BQ440*BP440,0)</f>
        <v>4360500</v>
      </c>
      <c r="BS440" s="220">
        <f t="shared" si="1301"/>
        <v>0</v>
      </c>
      <c r="BT440" s="224">
        <f>VLOOKUP(N440,ma_dinhmuc!$A$1:$J$31,10,0)</f>
        <v>65000</v>
      </c>
      <c r="BU440" s="224">
        <f>ROUND(IF(BS440&gt;0,VLOOKUP(N440,ma_dinhmuc!$A$1:$J$31,10,0)*BS440,0),0)</f>
        <v>0</v>
      </c>
      <c r="BV440" s="224">
        <f>ROUND(BU440+BR440,0)</f>
        <v>4360500</v>
      </c>
      <c r="BW440" s="224"/>
      <c r="BX440" s="224">
        <v>0</v>
      </c>
      <c r="BY440" s="224"/>
      <c r="BZ440" s="224"/>
      <c r="CA440" s="224"/>
      <c r="CB440" s="224"/>
      <c r="CC440" s="225">
        <f>ROUND(IF(BV440+BW440&gt;BX440+BY440+BZ440+CA440+CB440,(BW440+BV440)-(BX440+BY440+BZ440+CA440+CB440+CB440),0),0)</f>
        <v>4360500</v>
      </c>
      <c r="CD440" s="224">
        <f>ROUND(IF(BV440+BW440&lt;BX440+BY440+BZ440+CA440-CB440,(BX440+BY440+BZ440+CA440-CB440)-(BW440+BV440),0),0)</f>
        <v>0</v>
      </c>
      <c r="CE440" s="224"/>
      <c r="CF440" s="226"/>
      <c r="CG440" s="87"/>
      <c r="CH440" s="87">
        <f t="shared" si="1407"/>
        <v>18</v>
      </c>
      <c r="CI440" s="227" t="str">
        <f t="shared" si="1412"/>
        <v>Chu Đức</v>
      </c>
      <c r="CJ440" s="227" t="str">
        <f t="shared" si="1413"/>
        <v>Thắng</v>
      </c>
      <c r="CK440" s="87">
        <f t="shared" si="1414"/>
        <v>9</v>
      </c>
      <c r="CL440" s="227" t="str">
        <f t="shared" si="1408"/>
        <v>Nội - Chẩn - Dược lý</v>
      </c>
      <c r="CM440" s="87" t="str">
        <f t="shared" si="1385"/>
        <v>CS4</v>
      </c>
      <c r="CN440" s="87">
        <f t="shared" si="1399"/>
        <v>270</v>
      </c>
      <c r="CO440" s="87">
        <f t="shared" si="1400"/>
        <v>280</v>
      </c>
      <c r="CP440" s="229">
        <f t="shared" si="1314"/>
        <v>0</v>
      </c>
      <c r="CQ440" s="229">
        <f t="shared" si="1315"/>
        <v>38.1</v>
      </c>
      <c r="CR440" s="229">
        <f t="shared" si="1316"/>
        <v>15.4</v>
      </c>
      <c r="CS440" s="229">
        <f t="shared" si="1317"/>
        <v>0</v>
      </c>
      <c r="CT440" s="229">
        <f t="shared" si="1318"/>
        <v>0</v>
      </c>
      <c r="CU440" s="229">
        <f t="shared" si="1319"/>
        <v>120.6</v>
      </c>
      <c r="CV440" s="229">
        <f t="shared" si="1320"/>
        <v>0</v>
      </c>
      <c r="CW440" s="229">
        <f t="shared" si="1321"/>
        <v>0</v>
      </c>
      <c r="CX440" s="229">
        <f t="shared" si="1322"/>
        <v>0</v>
      </c>
      <c r="CY440" s="229">
        <f t="shared" si="1323"/>
        <v>0</v>
      </c>
      <c r="CZ440" s="229">
        <f t="shared" si="1324"/>
        <v>0</v>
      </c>
      <c r="DA440" s="229">
        <f t="shared" si="1325"/>
        <v>320</v>
      </c>
      <c r="DB440" s="228">
        <f t="shared" si="1260"/>
        <v>494.1</v>
      </c>
      <c r="DC440" s="229"/>
      <c r="DD440" s="229"/>
      <c r="DE440" s="229"/>
      <c r="DF440" s="229"/>
      <c r="DG440" s="229"/>
      <c r="DH440" s="229"/>
      <c r="DI440" s="229"/>
      <c r="DJ440" s="229"/>
      <c r="DK440" s="229"/>
      <c r="DL440" s="229"/>
      <c r="DM440" s="229"/>
      <c r="DN440" s="229"/>
      <c r="DO440" s="228">
        <f t="shared" si="1261"/>
        <v>0</v>
      </c>
      <c r="DP440" s="228">
        <f t="shared" si="1262"/>
        <v>494.1</v>
      </c>
      <c r="DQ440" s="229">
        <f t="shared" si="1326"/>
        <v>54</v>
      </c>
      <c r="DR440" s="229">
        <f t="shared" si="1327"/>
        <v>2.2000000000000002</v>
      </c>
      <c r="DS440" s="229">
        <f t="shared" si="1328"/>
        <v>0</v>
      </c>
      <c r="DT440" s="229">
        <f t="shared" si="1329"/>
        <v>1</v>
      </c>
      <c r="DU440" s="229">
        <f t="shared" si="1330"/>
        <v>0</v>
      </c>
      <c r="DV440" s="229">
        <f t="shared" si="1331"/>
        <v>80</v>
      </c>
      <c r="DW440" s="229">
        <f t="shared" si="1332"/>
        <v>0</v>
      </c>
      <c r="DX440" s="228">
        <f t="shared" si="1263"/>
        <v>137.19999999999999</v>
      </c>
      <c r="DY440" s="229"/>
      <c r="DZ440" s="229"/>
      <c r="EA440" s="229"/>
      <c r="EB440" s="229"/>
      <c r="EC440" s="229"/>
      <c r="ED440" s="229"/>
      <c r="EE440" s="229"/>
      <c r="EF440" s="228">
        <f t="shared" si="1305"/>
        <v>0</v>
      </c>
      <c r="EG440" s="228">
        <f t="shared" si="1264"/>
        <v>137.19999999999999</v>
      </c>
      <c r="EH440" s="229">
        <f t="shared" si="1306"/>
        <v>120</v>
      </c>
      <c r="EI440" s="229">
        <v>146</v>
      </c>
      <c r="EJ440" s="228">
        <f t="shared" si="1366"/>
        <v>266</v>
      </c>
      <c r="EK440" s="229"/>
      <c r="EL440" s="229"/>
      <c r="EM440" s="228">
        <f t="shared" si="1368"/>
        <v>0</v>
      </c>
      <c r="EN440" s="229">
        <f t="shared" si="1423"/>
        <v>120</v>
      </c>
      <c r="EO440" s="229">
        <f t="shared" si="1302"/>
        <v>146</v>
      </c>
      <c r="EP440" s="228">
        <f t="shared" si="1401"/>
        <v>266</v>
      </c>
      <c r="EQ440" s="173">
        <f t="shared" si="1303"/>
        <v>0</v>
      </c>
      <c r="ER440" s="189">
        <v>0</v>
      </c>
      <c r="ES440" s="189">
        <v>38.1</v>
      </c>
      <c r="ET440" s="189">
        <v>15.4</v>
      </c>
      <c r="EU440" s="189">
        <v>0</v>
      </c>
      <c r="EV440" s="189">
        <v>0</v>
      </c>
      <c r="EW440" s="189">
        <v>120.6</v>
      </c>
      <c r="EX440" s="189">
        <v>0</v>
      </c>
      <c r="EY440" s="189">
        <v>0</v>
      </c>
      <c r="EZ440" s="189">
        <v>0</v>
      </c>
      <c r="FA440" s="189">
        <v>0</v>
      </c>
      <c r="FB440" s="189">
        <v>0</v>
      </c>
      <c r="FC440" s="189">
        <v>320</v>
      </c>
      <c r="FD440" s="189">
        <v>54</v>
      </c>
      <c r="FE440" s="189">
        <v>2.2000000000000002</v>
      </c>
      <c r="FF440" s="189">
        <v>0</v>
      </c>
      <c r="FG440" s="189">
        <v>1</v>
      </c>
      <c r="FH440" s="189">
        <v>80</v>
      </c>
      <c r="FI440" s="189">
        <v>0</v>
      </c>
      <c r="FJ440" s="189">
        <v>0</v>
      </c>
      <c r="FK440" s="189">
        <v>631.29999999999995</v>
      </c>
      <c r="FL440" s="189">
        <v>554</v>
      </c>
      <c r="FN440" s="132">
        <v>120</v>
      </c>
    </row>
    <row r="441" spans="1:170" ht="30" customHeight="1">
      <c r="A441" s="88">
        <f>COUNTIF($H$12:H441,H441)</f>
        <v>19</v>
      </c>
      <c r="B441" s="88" t="s">
        <v>2721</v>
      </c>
      <c r="C441" s="88" t="s">
        <v>730</v>
      </c>
      <c r="D441" s="88"/>
      <c r="E441" s="88"/>
      <c r="F441" s="301" t="s">
        <v>2793</v>
      </c>
      <c r="G441" s="89" t="s">
        <v>2794</v>
      </c>
      <c r="H441" s="88">
        <v>9</v>
      </c>
      <c r="I441" s="88">
        <v>9</v>
      </c>
      <c r="J441" s="88">
        <v>9</v>
      </c>
      <c r="K441" s="90" t="s">
        <v>1103</v>
      </c>
      <c r="L441" s="90" t="s">
        <v>1103</v>
      </c>
      <c r="M441" s="214"/>
      <c r="N441" s="88" t="s">
        <v>605</v>
      </c>
      <c r="O441" s="216">
        <f t="shared" si="1398"/>
        <v>6.92</v>
      </c>
      <c r="P441" s="88" t="str">
        <f t="shared" si="1333"/>
        <v>B1_7</v>
      </c>
      <c r="Q441" s="88">
        <f t="shared" si="1369"/>
        <v>270</v>
      </c>
      <c r="R441" s="88">
        <f t="shared" si="1370"/>
        <v>200</v>
      </c>
      <c r="S441" s="231"/>
      <c r="T441" s="215" t="s">
        <v>3091</v>
      </c>
      <c r="U441" s="88">
        <f>IF(RIGHT(T441,1)="K",(VLOOKUP(T441,ma_miengiam!$A$3:$B$80,2,0)*100)/2,VLOOKUP(T441,ma_miengiam!$A$3:$B$80,2,0)*100)</f>
        <v>20</v>
      </c>
      <c r="V441" s="88"/>
      <c r="W441" s="220">
        <f>IF(AND(T441="NTS",V441&gt;0),(Q441-(Q441*V441)/12)*VLOOKUP(T441,ma_miengiam!$A$3:$B$80,2,0)+(Q441-(Q441*(12-V441))/12),IF(AND(RIGHT(T441,1)="K",V441&gt;0),(VLOOKUP(T441,ma_miengiam!$A$3:$B$80,2,0)/2)*(Q441*V441)/12,IF(RIGHT(T441,1)="K",(VLOOKUP(T441,ma_miengiam!$A$3:$B$80,2,0)*Q441)/2,IF(V441&gt;0,VLOOKUP(T441,ma_miengiam!$A$3:$B$80,2,0)*Q441*V441/12,VLOOKUP(T441,ma_miengiam!$A$3:$B$80,2,0)*Q441))))</f>
        <v>54</v>
      </c>
      <c r="X441" s="220">
        <f>IF(T441="NTS",VLOOKUP(T441,ma_miengiam!$A$3:$B$80,2,0)*R441*V441,IF(AND(T441="NTS",V441=0),0,IF(AND(LEFT(T441,1)="K",V441=0),VLOOKUP(T441,ma_miengiam!$A$3:$B$80,2,0)*R441,IF(LEFT(T441,1)="K",(VLOOKUP(T441,ma_miengiam!$A$3:$B$80,2,0)*R441/12)*V441,IF(AND(LEFT(T441,1)="S",V441&gt;0),(R441/12)*V441,IF(AND(LEFT(T441,1)="S",V441=0),R441,IF(T441="DH",VLOOKUP(T441,ma_miengiam!$A$3:$B$80,2,0)*R441,0)))))))</f>
        <v>0</v>
      </c>
      <c r="Y441" s="220">
        <f t="shared" si="1344"/>
        <v>216</v>
      </c>
      <c r="Z441" s="220">
        <f t="shared" si="1415"/>
        <v>200</v>
      </c>
      <c r="AA441" s="220">
        <f t="shared" ref="AA441:AB443" si="1427">Q441</f>
        <v>270</v>
      </c>
      <c r="AB441" s="220">
        <f t="shared" si="1427"/>
        <v>200</v>
      </c>
      <c r="AC441" s="220">
        <f t="shared" ref="AC441:AF443" si="1428">W441</f>
        <v>54</v>
      </c>
      <c r="AD441" s="220">
        <f t="shared" si="1428"/>
        <v>0</v>
      </c>
      <c r="AE441" s="220">
        <f t="shared" si="1428"/>
        <v>216</v>
      </c>
      <c r="AF441" s="220">
        <f t="shared" si="1428"/>
        <v>200</v>
      </c>
      <c r="AG441" s="220">
        <f t="shared" si="1424"/>
        <v>288.33</v>
      </c>
      <c r="AH441" s="220">
        <f t="shared" si="1425"/>
        <v>0</v>
      </c>
      <c r="AI441" s="220">
        <f t="shared" si="1426"/>
        <v>288.33</v>
      </c>
      <c r="AJ441" s="220">
        <f>IF(AG441-Z441&gt;0,0,AG441-Z441)</f>
        <v>0</v>
      </c>
      <c r="AK441" s="216">
        <f t="shared" si="1266"/>
        <v>216</v>
      </c>
      <c r="AL441" s="220">
        <f t="shared" si="1251"/>
        <v>238.8</v>
      </c>
      <c r="AM441" s="220">
        <f t="shared" si="1252"/>
        <v>112.2</v>
      </c>
      <c r="AN441" s="221">
        <f t="shared" si="1253"/>
        <v>351</v>
      </c>
      <c r="AO441" s="220">
        <f t="shared" si="1254"/>
        <v>0</v>
      </c>
      <c r="AP441" s="220">
        <f t="shared" si="1255"/>
        <v>30</v>
      </c>
      <c r="AQ441" s="220">
        <f t="shared" si="1256"/>
        <v>280</v>
      </c>
      <c r="AR441" s="220">
        <f t="shared" si="1257"/>
        <v>68</v>
      </c>
      <c r="AS441" s="220">
        <f t="shared" si="1258"/>
        <v>0</v>
      </c>
      <c r="AT441" s="216">
        <f t="shared" si="1259"/>
        <v>729</v>
      </c>
      <c r="AU441" s="222">
        <f t="shared" si="1300"/>
        <v>135</v>
      </c>
      <c r="AV441" s="220"/>
      <c r="AW441" s="220">
        <f t="shared" si="1379"/>
        <v>135</v>
      </c>
      <c r="AX441" s="216">
        <f t="shared" si="1267"/>
        <v>0</v>
      </c>
      <c r="AY441" s="220">
        <f t="shared" si="1386"/>
        <v>0</v>
      </c>
      <c r="AZ441" s="220">
        <f t="shared" si="1387"/>
        <v>30</v>
      </c>
      <c r="BA441" s="220">
        <f t="shared" si="1388"/>
        <v>280</v>
      </c>
      <c r="BB441" s="220">
        <f t="shared" si="1389"/>
        <v>68</v>
      </c>
      <c r="BC441" s="220">
        <f t="shared" si="1390"/>
        <v>0</v>
      </c>
      <c r="BD441" s="216">
        <f t="shared" si="1410"/>
        <v>378</v>
      </c>
      <c r="BE441" s="220">
        <f t="shared" si="1380"/>
        <v>0</v>
      </c>
      <c r="BF441" s="220">
        <f t="shared" si="1381"/>
        <v>0</v>
      </c>
      <c r="BG441" s="220">
        <f t="shared" si="1382"/>
        <v>0</v>
      </c>
      <c r="BH441" s="220">
        <f t="shared" si="1383"/>
        <v>0</v>
      </c>
      <c r="BI441" s="220">
        <f t="shared" si="1384"/>
        <v>0</v>
      </c>
      <c r="BJ441" s="220" t="s">
        <v>2426</v>
      </c>
      <c r="BK441" s="220"/>
      <c r="BL441" s="223">
        <f t="shared" si="1422"/>
        <v>135</v>
      </c>
      <c r="BM441" s="220">
        <v>6.92</v>
      </c>
      <c r="BN441" s="220"/>
      <c r="BO441" s="220">
        <f t="shared" si="1418"/>
        <v>6.92</v>
      </c>
      <c r="BP441" s="220">
        <f>IF(AND(BL441&gt;0,BL441&lt;tiet!$D$1),BL441,IF(BL441&lt;=0,0,IF(BL441&gt;tiet!$C$1,tiet!$C$1)))</f>
        <v>135</v>
      </c>
      <c r="BQ441" s="87">
        <f>VLOOKUP(P441,ma_dinhmuc_moi,4,0)</f>
        <v>80000</v>
      </c>
      <c r="BR441" s="224">
        <f>ROUND(BQ441*BP441,0)</f>
        <v>10800000</v>
      </c>
      <c r="BS441" s="220">
        <f t="shared" si="1301"/>
        <v>0</v>
      </c>
      <c r="BT441" s="224">
        <f>VLOOKUP(N441,ma_dinhmuc!$A$1:$J$31,10,0)</f>
        <v>65000</v>
      </c>
      <c r="BU441" s="224">
        <f>ROUND(IF(BS441&gt;0,VLOOKUP(N441,ma_dinhmuc!$A$1:$J$31,10,0)*BS441,0),0)</f>
        <v>0</v>
      </c>
      <c r="BV441" s="224">
        <f>ROUND(BU441+BR441,0)</f>
        <v>10800000</v>
      </c>
      <c r="BW441" s="224"/>
      <c r="BX441" s="224">
        <v>0</v>
      </c>
      <c r="BY441" s="224"/>
      <c r="BZ441" s="224"/>
      <c r="CA441" s="224"/>
      <c r="CB441" s="224"/>
      <c r="CC441" s="225">
        <f>ROUND(IF(BV441+BW441&gt;BX441+BY441+BZ441+CA441+CB441,(BW441+BV441)-(BX441+BY441+BZ441+CA441+CB441+CB441),0),0)</f>
        <v>10800000</v>
      </c>
      <c r="CD441" s="224">
        <f>ROUND(IF(BV441+BW441&lt;BX441+BY441+BZ441+CA441-CB441,(BX441+BY441+BZ441+CA441-CB441)-(BW441+BV441),0),0)</f>
        <v>0</v>
      </c>
      <c r="CE441" s="224"/>
      <c r="CF441" s="226"/>
      <c r="CG441" s="87"/>
      <c r="CH441" s="87">
        <f t="shared" si="1407"/>
        <v>19</v>
      </c>
      <c r="CI441" s="227" t="str">
        <f t="shared" si="1412"/>
        <v>Phạm Ngọc</v>
      </c>
      <c r="CJ441" s="227" t="str">
        <f t="shared" si="1413"/>
        <v>Thạch</v>
      </c>
      <c r="CK441" s="87">
        <f t="shared" si="1414"/>
        <v>9</v>
      </c>
      <c r="CL441" s="227" t="str">
        <f t="shared" si="1408"/>
        <v>Nội - Chẩn - Dược lý</v>
      </c>
      <c r="CM441" s="87" t="str">
        <f t="shared" si="1385"/>
        <v>CS4</v>
      </c>
      <c r="CN441" s="87">
        <f t="shared" si="1399"/>
        <v>270</v>
      </c>
      <c r="CO441" s="87">
        <f t="shared" si="1400"/>
        <v>200</v>
      </c>
      <c r="CP441" s="229">
        <f t="shared" si="1314"/>
        <v>0</v>
      </c>
      <c r="CQ441" s="229">
        <f t="shared" si="1315"/>
        <v>23.4</v>
      </c>
      <c r="CR441" s="229">
        <f t="shared" si="1316"/>
        <v>9.4</v>
      </c>
      <c r="CS441" s="229">
        <f t="shared" si="1317"/>
        <v>0</v>
      </c>
      <c r="CT441" s="229">
        <f t="shared" si="1318"/>
        <v>0</v>
      </c>
      <c r="CU441" s="229">
        <f t="shared" si="1319"/>
        <v>138</v>
      </c>
      <c r="CV441" s="229">
        <f t="shared" si="1320"/>
        <v>0</v>
      </c>
      <c r="CW441" s="229">
        <f t="shared" si="1321"/>
        <v>68</v>
      </c>
      <c r="CX441" s="229">
        <f t="shared" si="1322"/>
        <v>0</v>
      </c>
      <c r="CY441" s="229">
        <f t="shared" si="1323"/>
        <v>0</v>
      </c>
      <c r="CZ441" s="229">
        <f t="shared" si="1324"/>
        <v>30</v>
      </c>
      <c r="DA441" s="229">
        <f t="shared" si="1325"/>
        <v>280</v>
      </c>
      <c r="DB441" s="228">
        <f t="shared" ref="DB441:DB504" si="1429">SUM(CP441:DA441)</f>
        <v>548.79999999999995</v>
      </c>
      <c r="DC441" s="229"/>
      <c r="DD441" s="229"/>
      <c r="DE441" s="229"/>
      <c r="DF441" s="229"/>
      <c r="DG441" s="229"/>
      <c r="DH441" s="229"/>
      <c r="DI441" s="229"/>
      <c r="DJ441" s="229"/>
      <c r="DK441" s="229"/>
      <c r="DL441" s="229"/>
      <c r="DM441" s="229"/>
      <c r="DN441" s="229"/>
      <c r="DO441" s="228">
        <f t="shared" si="1261"/>
        <v>0</v>
      </c>
      <c r="DP441" s="228">
        <f t="shared" si="1262"/>
        <v>548.79999999999995</v>
      </c>
      <c r="DQ441" s="229">
        <f t="shared" si="1326"/>
        <v>108</v>
      </c>
      <c r="DR441" s="229">
        <f t="shared" si="1327"/>
        <v>3</v>
      </c>
      <c r="DS441" s="229">
        <f t="shared" si="1328"/>
        <v>0</v>
      </c>
      <c r="DT441" s="229">
        <f t="shared" si="1329"/>
        <v>1.2</v>
      </c>
      <c r="DU441" s="229">
        <f t="shared" si="1330"/>
        <v>0</v>
      </c>
      <c r="DV441" s="229">
        <f t="shared" si="1331"/>
        <v>68</v>
      </c>
      <c r="DW441" s="229">
        <f t="shared" si="1332"/>
        <v>0</v>
      </c>
      <c r="DX441" s="228">
        <f t="shared" ref="DX441:DX504" si="1430">SUM(DQ441:DW441)</f>
        <v>180.2</v>
      </c>
      <c r="DY441" s="229"/>
      <c r="DZ441" s="229"/>
      <c r="EA441" s="229"/>
      <c r="EB441" s="229"/>
      <c r="EC441" s="229"/>
      <c r="ED441" s="229"/>
      <c r="EE441" s="229"/>
      <c r="EF441" s="228">
        <f t="shared" si="1305"/>
        <v>0</v>
      </c>
      <c r="EG441" s="228">
        <f t="shared" si="1264"/>
        <v>180.2</v>
      </c>
      <c r="EH441" s="229">
        <f t="shared" si="1306"/>
        <v>288.33</v>
      </c>
      <c r="EI441" s="229">
        <v>0</v>
      </c>
      <c r="EJ441" s="228">
        <f t="shared" si="1366"/>
        <v>288.33</v>
      </c>
      <c r="EK441" s="229"/>
      <c r="EL441" s="229"/>
      <c r="EM441" s="228">
        <f t="shared" si="1368"/>
        <v>0</v>
      </c>
      <c r="EN441" s="229">
        <f t="shared" si="1423"/>
        <v>288.33</v>
      </c>
      <c r="EO441" s="229">
        <f t="shared" si="1302"/>
        <v>0</v>
      </c>
      <c r="EP441" s="228">
        <f t="shared" si="1401"/>
        <v>288.33</v>
      </c>
      <c r="EQ441" s="173">
        <f t="shared" si="1303"/>
        <v>88.329999999999984</v>
      </c>
      <c r="ER441" s="189">
        <v>0</v>
      </c>
      <c r="ES441" s="189">
        <v>23.4</v>
      </c>
      <c r="ET441" s="189">
        <v>9.4</v>
      </c>
      <c r="EU441" s="189">
        <v>0</v>
      </c>
      <c r="EV441" s="189">
        <v>0</v>
      </c>
      <c r="EW441" s="189">
        <v>138</v>
      </c>
      <c r="EX441" s="189">
        <v>0</v>
      </c>
      <c r="EY441" s="189">
        <v>68</v>
      </c>
      <c r="EZ441" s="189">
        <v>0</v>
      </c>
      <c r="FA441" s="189">
        <v>0</v>
      </c>
      <c r="FB441" s="189">
        <v>30</v>
      </c>
      <c r="FC441" s="189">
        <v>280</v>
      </c>
      <c r="FD441" s="189">
        <v>108</v>
      </c>
      <c r="FE441" s="189">
        <v>3</v>
      </c>
      <c r="FF441" s="189">
        <v>0</v>
      </c>
      <c r="FG441" s="189">
        <v>1.2</v>
      </c>
      <c r="FH441" s="189">
        <v>68</v>
      </c>
      <c r="FI441" s="189">
        <v>0</v>
      </c>
      <c r="FJ441" s="189">
        <v>0</v>
      </c>
      <c r="FK441" s="189">
        <v>729</v>
      </c>
      <c r="FL441" s="189">
        <v>636</v>
      </c>
      <c r="FN441" s="132">
        <v>288.33</v>
      </c>
    </row>
    <row r="442" spans="1:170" ht="30" customHeight="1">
      <c r="A442" s="88">
        <f>COUNTIF($H$12:H442,H442)</f>
        <v>20</v>
      </c>
      <c r="B442" s="88" t="s">
        <v>2722</v>
      </c>
      <c r="C442" s="88" t="s">
        <v>731</v>
      </c>
      <c r="D442" s="88"/>
      <c r="E442" s="88"/>
      <c r="F442" s="301" t="s">
        <v>1433</v>
      </c>
      <c r="G442" s="89" t="s">
        <v>963</v>
      </c>
      <c r="H442" s="88">
        <v>9</v>
      </c>
      <c r="I442" s="88">
        <v>9</v>
      </c>
      <c r="J442" s="88">
        <v>9</v>
      </c>
      <c r="K442" s="90" t="s">
        <v>1103</v>
      </c>
      <c r="L442" s="90" t="s">
        <v>1103</v>
      </c>
      <c r="M442" s="214"/>
      <c r="N442" s="88" t="s">
        <v>1804</v>
      </c>
      <c r="O442" s="216">
        <f t="shared" si="1398"/>
        <v>3.66</v>
      </c>
      <c r="P442" s="88" t="str">
        <f t="shared" si="1333"/>
        <v>B1_4</v>
      </c>
      <c r="Q442" s="88">
        <f t="shared" si="1369"/>
        <v>270</v>
      </c>
      <c r="R442" s="88">
        <f t="shared" si="1370"/>
        <v>120</v>
      </c>
      <c r="S442" s="230" t="s">
        <v>2385</v>
      </c>
      <c r="T442" s="88" t="s">
        <v>3090</v>
      </c>
      <c r="U442" s="88">
        <f>IF(RIGHT(T442,1)="K",(VLOOKUP(T442,ma_miengiam!$A$3:$B$80,2,0)*100)/2,VLOOKUP(T442,ma_miengiam!$A$3:$B$80,2,0)*100)</f>
        <v>15</v>
      </c>
      <c r="V442" s="88"/>
      <c r="W442" s="220">
        <f>IF(AND(T442="NTS",V442&gt;0),(Q442-(Q442*V442)/12)*VLOOKUP(T442,ma_miengiam!$A$3:$B$80,2,0)+(Q442-(Q442*(12-V442))/12),IF(AND(RIGHT(T442,1)="K",V442&gt;0),(VLOOKUP(T442,ma_miengiam!$A$3:$B$80,2,0)/2)*(Q442*V442)/12,IF(RIGHT(T442,1)="K",(VLOOKUP(T442,ma_miengiam!$A$3:$B$80,2,0)*Q442)/2,IF(V442&gt;0,VLOOKUP(T442,ma_miengiam!$A$3:$B$80,2,0)*Q442*V442/12,VLOOKUP(T442,ma_miengiam!$A$3:$B$80,2,0)*Q442))))</f>
        <v>40.5</v>
      </c>
      <c r="X442" s="220">
        <f>IF(T442="NTS",VLOOKUP(T442,ma_miengiam!$A$3:$B$80,2,0)*R442*V442,IF(AND(T442="NTS",V442=0),0,IF(AND(LEFT(T442,1)="K",V442=0),VLOOKUP(T442,ma_miengiam!$A$3:$B$80,2,0)*R442,IF(LEFT(T442,1)="K",(VLOOKUP(T442,ma_miengiam!$A$3:$B$80,2,0)*R442/12)*V442,IF(AND(LEFT(T442,1)="S",V442&gt;0),(R442/12)*V442,IF(AND(LEFT(T442,1)="S",V442=0),R442,IF(T442="DH",VLOOKUP(T442,ma_miengiam!$A$3:$B$80,2,0)*R442,0)))))))</f>
        <v>0</v>
      </c>
      <c r="Y442" s="220">
        <f>IF(AND(T442="DH",V442&gt;0),(S442*V442/12),IF(AND(T442&lt;&gt;"NTS",V442&gt;0),(Q442*V442/12)-W442,IF(AND(T442="NTS",V442&gt;0),Q442-W442,Q442-W442)))</f>
        <v>229.5</v>
      </c>
      <c r="Z442" s="220">
        <f>IF(AND(T442="SĐH",V442&gt;0),(R442/12)*V442-X442,IF(AND(T442="DH",V442&gt;0),(R442*V442/12),IF(AND(T442&lt;&gt;"NTS",V442&gt;0),(R442*V442/12)-X442,IF(AND(T442="NTS",V442&gt;0),R442-X442,R442-X442))))</f>
        <v>120</v>
      </c>
      <c r="AA442" s="220">
        <f t="shared" si="1427"/>
        <v>270</v>
      </c>
      <c r="AB442" s="220">
        <f t="shared" si="1427"/>
        <v>120</v>
      </c>
      <c r="AC442" s="220">
        <f t="shared" si="1428"/>
        <v>40.5</v>
      </c>
      <c r="AD442" s="220">
        <f t="shared" si="1428"/>
        <v>0</v>
      </c>
      <c r="AE442" s="220">
        <f t="shared" si="1428"/>
        <v>229.5</v>
      </c>
      <c r="AF442" s="220">
        <f t="shared" si="1428"/>
        <v>120</v>
      </c>
      <c r="AG442" s="220">
        <f t="shared" si="1424"/>
        <v>530</v>
      </c>
      <c r="AH442" s="220">
        <f t="shared" si="1425"/>
        <v>197.5</v>
      </c>
      <c r="AI442" s="220">
        <f t="shared" si="1426"/>
        <v>332.5</v>
      </c>
      <c r="AJ442" s="220">
        <f t="shared" si="1396"/>
        <v>0</v>
      </c>
      <c r="AK442" s="216">
        <f t="shared" si="1266"/>
        <v>229.5</v>
      </c>
      <c r="AL442" s="220">
        <f t="shared" ref="AL442:AL504" si="1431">SUM(CP442:CX442)+SUM(DC442:DK442)</f>
        <v>380.4</v>
      </c>
      <c r="AM442" s="220">
        <f t="shared" ref="AM442:AM504" si="1432">SUM(DQ442:DU442)+SUM(DY442:EC442)</f>
        <v>0</v>
      </c>
      <c r="AN442" s="221">
        <f t="shared" ref="AN442:AN504" si="1433">AM442+AL442</f>
        <v>380.4</v>
      </c>
      <c r="AO442" s="220">
        <f t="shared" ref="AO442:AO504" si="1434">CY442+DL442</f>
        <v>0</v>
      </c>
      <c r="AP442" s="220">
        <f t="shared" ref="AP442:AP504" si="1435">CZ442+DM442</f>
        <v>30</v>
      </c>
      <c r="AQ442" s="220">
        <f t="shared" ref="AQ442:AQ504" si="1436">DA442+DN442</f>
        <v>180</v>
      </c>
      <c r="AR442" s="220">
        <f t="shared" ref="AR442:AR504" si="1437">DV442+ED442</f>
        <v>0</v>
      </c>
      <c r="AS442" s="220">
        <f t="shared" ref="AS442:AS504" si="1438">DW442+EE442</f>
        <v>0</v>
      </c>
      <c r="AT442" s="216">
        <f t="shared" ref="AT442:AT504" si="1439">AN442+SUM(AO442:AS442)</f>
        <v>590.4</v>
      </c>
      <c r="AU442" s="222">
        <f t="shared" si="1300"/>
        <v>150.89999999999998</v>
      </c>
      <c r="AV442" s="220"/>
      <c r="AW442" s="220">
        <f t="shared" si="1379"/>
        <v>150.89999999999998</v>
      </c>
      <c r="AX442" s="216">
        <f t="shared" si="1267"/>
        <v>0</v>
      </c>
      <c r="AY442" s="220">
        <f t="shared" si="1386"/>
        <v>0</v>
      </c>
      <c r="AZ442" s="220">
        <f t="shared" si="1387"/>
        <v>30</v>
      </c>
      <c r="BA442" s="220">
        <f t="shared" si="1388"/>
        <v>180</v>
      </c>
      <c r="BB442" s="220">
        <f t="shared" si="1389"/>
        <v>0</v>
      </c>
      <c r="BC442" s="220">
        <f t="shared" si="1390"/>
        <v>0</v>
      </c>
      <c r="BD442" s="216">
        <f t="shared" si="1410"/>
        <v>210</v>
      </c>
      <c r="BE442" s="220">
        <f t="shared" si="1380"/>
        <v>0</v>
      </c>
      <c r="BF442" s="220">
        <f t="shared" si="1381"/>
        <v>0</v>
      </c>
      <c r="BG442" s="220">
        <f t="shared" si="1382"/>
        <v>0</v>
      </c>
      <c r="BH442" s="220">
        <f t="shared" si="1383"/>
        <v>0</v>
      </c>
      <c r="BI442" s="220">
        <f t="shared" si="1384"/>
        <v>0</v>
      </c>
      <c r="BJ442" s="220" t="s">
        <v>2426</v>
      </c>
      <c r="BK442" s="220"/>
      <c r="BL442" s="223">
        <f t="shared" si="1422"/>
        <v>150.89999999999998</v>
      </c>
      <c r="BM442" s="220">
        <v>3.66</v>
      </c>
      <c r="BN442" s="220"/>
      <c r="BO442" s="220">
        <f t="shared" si="1418"/>
        <v>3.66</v>
      </c>
      <c r="BP442" s="220">
        <f>IF(AND(BL442&gt;0,BL442&lt;tiet!$D$1),BL442,IF(BL442&lt;=0,0,IF(BL442&gt;tiet!$C$1,tiet!$C$1)))</f>
        <v>150.89999999999998</v>
      </c>
      <c r="BQ442" s="87">
        <f t="shared" si="1397"/>
        <v>65000</v>
      </c>
      <c r="BR442" s="224">
        <f t="shared" si="1391"/>
        <v>9808500</v>
      </c>
      <c r="BS442" s="220">
        <f t="shared" si="1301"/>
        <v>0</v>
      </c>
      <c r="BT442" s="224">
        <f>VLOOKUP(N442,ma_dinhmuc!$A$1:$J$31,10,0)</f>
        <v>51000</v>
      </c>
      <c r="BU442" s="224">
        <f>ROUND(IF(BS442&gt;0,VLOOKUP(N442,ma_dinhmuc!$A$1:$J$31,10,0)*BS442,0),0)</f>
        <v>0</v>
      </c>
      <c r="BV442" s="224">
        <f t="shared" si="1392"/>
        <v>9808500</v>
      </c>
      <c r="BW442" s="224"/>
      <c r="BX442" s="224">
        <v>0</v>
      </c>
      <c r="BY442" s="224"/>
      <c r="BZ442" s="224"/>
      <c r="CA442" s="224"/>
      <c r="CB442" s="224"/>
      <c r="CC442" s="225">
        <f t="shared" si="1419"/>
        <v>9808500</v>
      </c>
      <c r="CD442" s="224">
        <f t="shared" si="1420"/>
        <v>0</v>
      </c>
      <c r="CE442" s="224"/>
      <c r="CF442" s="226"/>
      <c r="CG442" s="87"/>
      <c r="CH442" s="87">
        <f t="shared" si="1407"/>
        <v>20</v>
      </c>
      <c r="CI442" s="227" t="str">
        <f t="shared" si="1412"/>
        <v>Phạm Thị Lan</v>
      </c>
      <c r="CJ442" s="227" t="str">
        <f t="shared" si="1413"/>
        <v>Hương</v>
      </c>
      <c r="CK442" s="87">
        <f t="shared" si="1414"/>
        <v>9</v>
      </c>
      <c r="CL442" s="227" t="str">
        <f t="shared" si="1408"/>
        <v>Nội - Chẩn - Dược lý</v>
      </c>
      <c r="CM442" s="87" t="str">
        <f t="shared" si="1385"/>
        <v>CS2</v>
      </c>
      <c r="CN442" s="87">
        <f t="shared" si="1399"/>
        <v>270</v>
      </c>
      <c r="CO442" s="87">
        <f t="shared" si="1400"/>
        <v>120</v>
      </c>
      <c r="CP442" s="229">
        <f t="shared" si="1314"/>
        <v>0</v>
      </c>
      <c r="CQ442" s="229">
        <f t="shared" si="1315"/>
        <v>48.5</v>
      </c>
      <c r="CR442" s="229">
        <f t="shared" si="1316"/>
        <v>19.600000000000001</v>
      </c>
      <c r="CS442" s="229">
        <f t="shared" si="1317"/>
        <v>0</v>
      </c>
      <c r="CT442" s="229">
        <f t="shared" si="1318"/>
        <v>0</v>
      </c>
      <c r="CU442" s="229">
        <f t="shared" si="1319"/>
        <v>132.30000000000001</v>
      </c>
      <c r="CV442" s="229">
        <f t="shared" si="1320"/>
        <v>0</v>
      </c>
      <c r="CW442" s="229">
        <f t="shared" si="1321"/>
        <v>180</v>
      </c>
      <c r="CX442" s="229">
        <f t="shared" si="1322"/>
        <v>0</v>
      </c>
      <c r="CY442" s="229">
        <f t="shared" si="1323"/>
        <v>0</v>
      </c>
      <c r="CZ442" s="229">
        <f t="shared" si="1324"/>
        <v>30</v>
      </c>
      <c r="DA442" s="229">
        <f t="shared" si="1325"/>
        <v>180</v>
      </c>
      <c r="DB442" s="228">
        <f t="shared" si="1429"/>
        <v>590.4</v>
      </c>
      <c r="DC442" s="229"/>
      <c r="DD442" s="229"/>
      <c r="DE442" s="229"/>
      <c r="DF442" s="229"/>
      <c r="DG442" s="229"/>
      <c r="DH442" s="229"/>
      <c r="DI442" s="229"/>
      <c r="DJ442" s="229"/>
      <c r="DK442" s="229"/>
      <c r="DL442" s="229"/>
      <c r="DM442" s="229"/>
      <c r="DN442" s="229"/>
      <c r="DO442" s="228">
        <f t="shared" ref="DO442:DO504" si="1440">SUM(DC442:DN442)</f>
        <v>0</v>
      </c>
      <c r="DP442" s="228">
        <f t="shared" ref="DP442:DP504" si="1441">DO442+DB442</f>
        <v>590.4</v>
      </c>
      <c r="DQ442" s="229">
        <f t="shared" si="1326"/>
        <v>0</v>
      </c>
      <c r="DR442" s="229">
        <f t="shared" si="1327"/>
        <v>0</v>
      </c>
      <c r="DS442" s="229">
        <f t="shared" si="1328"/>
        <v>0</v>
      </c>
      <c r="DT442" s="229">
        <f t="shared" si="1329"/>
        <v>0</v>
      </c>
      <c r="DU442" s="229">
        <f t="shared" si="1330"/>
        <v>0</v>
      </c>
      <c r="DV442" s="229">
        <f t="shared" si="1331"/>
        <v>0</v>
      </c>
      <c r="DW442" s="229">
        <f t="shared" si="1332"/>
        <v>0</v>
      </c>
      <c r="DX442" s="228">
        <f t="shared" si="1430"/>
        <v>0</v>
      </c>
      <c r="DY442" s="229"/>
      <c r="DZ442" s="229"/>
      <c r="EA442" s="229"/>
      <c r="EB442" s="229"/>
      <c r="EC442" s="229"/>
      <c r="ED442" s="229"/>
      <c r="EE442" s="229"/>
      <c r="EF442" s="228">
        <f t="shared" si="1305"/>
        <v>0</v>
      </c>
      <c r="EG442" s="228">
        <f t="shared" ref="EG442:EG504" si="1442">EF442+DX442</f>
        <v>0</v>
      </c>
      <c r="EH442" s="229">
        <f t="shared" si="1306"/>
        <v>332.5</v>
      </c>
      <c r="EI442" s="229">
        <v>197.5</v>
      </c>
      <c r="EJ442" s="228">
        <f t="shared" ref="EJ442:EJ503" si="1443">SUM(EH442:EI442)</f>
        <v>530</v>
      </c>
      <c r="EK442" s="229"/>
      <c r="EL442" s="229"/>
      <c r="EM442" s="228">
        <f t="shared" si="1368"/>
        <v>0</v>
      </c>
      <c r="EN442" s="229">
        <f t="shared" si="1423"/>
        <v>332.5</v>
      </c>
      <c r="EO442" s="229">
        <f t="shared" si="1302"/>
        <v>197.5</v>
      </c>
      <c r="EP442" s="228">
        <f t="shared" si="1401"/>
        <v>530</v>
      </c>
      <c r="EQ442" s="173">
        <f t="shared" si="1303"/>
        <v>212.5</v>
      </c>
      <c r="ER442" s="189">
        <v>0</v>
      </c>
      <c r="ES442" s="189">
        <v>48.5</v>
      </c>
      <c r="ET442" s="189">
        <v>19.600000000000001</v>
      </c>
      <c r="EU442" s="189">
        <v>0</v>
      </c>
      <c r="EV442" s="189">
        <v>0</v>
      </c>
      <c r="EW442" s="189">
        <v>132.30000000000001</v>
      </c>
      <c r="EX442" s="189">
        <v>0</v>
      </c>
      <c r="EY442" s="189">
        <v>180</v>
      </c>
      <c r="EZ442" s="189">
        <v>0</v>
      </c>
      <c r="FA442" s="189">
        <v>0</v>
      </c>
      <c r="FB442" s="189">
        <v>30</v>
      </c>
      <c r="FC442" s="189">
        <v>180</v>
      </c>
      <c r="FD442" s="189">
        <v>0</v>
      </c>
      <c r="FE442" s="189">
        <v>0</v>
      </c>
      <c r="FF442" s="189">
        <v>0</v>
      </c>
      <c r="FG442" s="189">
        <v>0</v>
      </c>
      <c r="FH442" s="189">
        <v>0</v>
      </c>
      <c r="FI442" s="189">
        <v>0</v>
      </c>
      <c r="FJ442" s="189">
        <v>0</v>
      </c>
      <c r="FK442" s="189">
        <v>590.4</v>
      </c>
      <c r="FL442" s="189">
        <v>474</v>
      </c>
      <c r="FN442" s="132">
        <v>332.5</v>
      </c>
    </row>
    <row r="443" spans="1:170" ht="30">
      <c r="A443" s="88">
        <f>COUNTIF($H$12:H443,H443)</f>
        <v>21</v>
      </c>
      <c r="B443" s="88" t="s">
        <v>2723</v>
      </c>
      <c r="C443" s="88" t="s">
        <v>732</v>
      </c>
      <c r="D443" s="88"/>
      <c r="E443" s="88"/>
      <c r="F443" s="301" t="s">
        <v>1944</v>
      </c>
      <c r="G443" s="89" t="s">
        <v>1945</v>
      </c>
      <c r="H443" s="88">
        <v>9</v>
      </c>
      <c r="I443" s="88">
        <v>9</v>
      </c>
      <c r="J443" s="88">
        <v>9</v>
      </c>
      <c r="K443" s="90" t="s">
        <v>1103</v>
      </c>
      <c r="L443" s="90" t="s">
        <v>1103</v>
      </c>
      <c r="M443" s="214"/>
      <c r="N443" s="88" t="s">
        <v>606</v>
      </c>
      <c r="O443" s="216">
        <f t="shared" si="1398"/>
        <v>4.4000000000000004</v>
      </c>
      <c r="P443" s="88" t="str">
        <f t="shared" si="1333"/>
        <v>B1_4</v>
      </c>
      <c r="Q443" s="88">
        <f t="shared" si="1369"/>
        <v>270</v>
      </c>
      <c r="R443" s="88">
        <f t="shared" si="1370"/>
        <v>120</v>
      </c>
      <c r="S443" s="231" t="s">
        <v>2674</v>
      </c>
      <c r="T443" s="88" t="s">
        <v>3091</v>
      </c>
      <c r="U443" s="88">
        <f>IF(RIGHT(T443,1)="K",(VLOOKUP(T443,ma_miengiam!$A$3:$B$80,2,0)*100)/2,VLOOKUP(T443,ma_miengiam!$A$3:$B$80,2,0)*100)</f>
        <v>20</v>
      </c>
      <c r="V443" s="88">
        <v>9</v>
      </c>
      <c r="W443" s="220">
        <f>IF(AND(T443="NTS",V443&gt;0),(Q443-(Q443*V443)/12)*VLOOKUP(T443,ma_miengiam!$A$3:$B$80,2,0)+(Q443-(Q443*(12-V443))/12),IF(AND(RIGHT(T443,1)="K",V443&gt;0),(VLOOKUP(T443,ma_miengiam!$A$3:$B$80,2,0)/2)*(Q443*V443)/12,IF(RIGHT(T443,1)="K",(VLOOKUP(T443,ma_miengiam!$A$3:$B$80,2,0)*Q443)/2,IF(V443&gt;0,VLOOKUP(T443,ma_miengiam!$A$3:$B$80,2,0)*Q443*V443/12,VLOOKUP(T443,ma_miengiam!$A$3:$B$80,2,0)*Q443))))</f>
        <v>40.5</v>
      </c>
      <c r="X443" s="220">
        <f>IF(T443="NTS",VLOOKUP(T443,ma_miengiam!$A$3:$B$80,2,0)*R443*V443,IF(AND(T443="NTS",V443=0),0,IF(AND(LEFT(T443,1)="K",V443=0),VLOOKUP(T443,ma_miengiam!$A$3:$B$80,2,0)*R443,IF(LEFT(T443,1)="K",(VLOOKUP(T443,ma_miengiam!$A$3:$B$80,2,0)*R443/12)*V443,IF(AND(LEFT(T443,1)="S",V443&gt;0),(R443/12)*V443,IF(AND(LEFT(T443,1)="S",V443=0),R443,IF(T443="DH",VLOOKUP(T443,ma_miengiam!$A$3:$B$80,2,0)*R443,0)))))))</f>
        <v>0</v>
      </c>
      <c r="Y443" s="220">
        <f t="shared" si="1344"/>
        <v>162</v>
      </c>
      <c r="Z443" s="220">
        <f t="shared" ref="Z443:Z449" si="1444">IF(AND(T443="SĐH",V443&gt;0),(R443/12)*V443-X443,IF(AND(T443="DH",V443&gt;0),(R443*V443/12),IF(AND(T443&lt;&gt;"NTS",V443&gt;0),(R443*V443/12)-X443,IF(AND(T443="NTS",V443&gt;0),R443-X443,R443-X443))))</f>
        <v>90</v>
      </c>
      <c r="AA443" s="220">
        <f t="shared" si="1427"/>
        <v>270</v>
      </c>
      <c r="AB443" s="220">
        <f t="shared" si="1427"/>
        <v>120</v>
      </c>
      <c r="AC443" s="220">
        <f t="shared" si="1428"/>
        <v>40.5</v>
      </c>
      <c r="AD443" s="220">
        <f t="shared" si="1428"/>
        <v>0</v>
      </c>
      <c r="AE443" s="220">
        <f t="shared" si="1428"/>
        <v>162</v>
      </c>
      <c r="AF443" s="220">
        <f t="shared" si="1428"/>
        <v>90</v>
      </c>
      <c r="AG443" s="220">
        <f t="shared" si="1424"/>
        <v>207.36</v>
      </c>
      <c r="AH443" s="220">
        <f t="shared" si="1425"/>
        <v>109.32</v>
      </c>
      <c r="AI443" s="220">
        <f t="shared" si="1426"/>
        <v>98.04</v>
      </c>
      <c r="AJ443" s="220">
        <f t="shared" si="1396"/>
        <v>0</v>
      </c>
      <c r="AK443" s="216">
        <f t="shared" si="1266"/>
        <v>162</v>
      </c>
      <c r="AL443" s="220">
        <f t="shared" si="1431"/>
        <v>8</v>
      </c>
      <c r="AM443" s="220">
        <f t="shared" si="1432"/>
        <v>0</v>
      </c>
      <c r="AN443" s="216">
        <f t="shared" si="1433"/>
        <v>8</v>
      </c>
      <c r="AO443" s="220">
        <f t="shared" si="1434"/>
        <v>0</v>
      </c>
      <c r="AP443" s="220">
        <f t="shared" si="1435"/>
        <v>0</v>
      </c>
      <c r="AQ443" s="220">
        <f t="shared" si="1436"/>
        <v>200</v>
      </c>
      <c r="AR443" s="220">
        <f t="shared" si="1437"/>
        <v>0</v>
      </c>
      <c r="AS443" s="220">
        <f t="shared" si="1438"/>
        <v>0</v>
      </c>
      <c r="AT443" s="216">
        <f t="shared" si="1439"/>
        <v>208</v>
      </c>
      <c r="AU443" s="220">
        <f t="shared" si="1300"/>
        <v>-154</v>
      </c>
      <c r="AV443" s="220"/>
      <c r="AW443" s="220">
        <f t="shared" si="1379"/>
        <v>-154</v>
      </c>
      <c r="AX443" s="216">
        <f t="shared" si="1267"/>
        <v>-154</v>
      </c>
      <c r="AY443" s="220">
        <f t="shared" si="1386"/>
        <v>0</v>
      </c>
      <c r="AZ443" s="220">
        <f t="shared" si="1387"/>
        <v>0</v>
      </c>
      <c r="BA443" s="220">
        <f t="shared" si="1388"/>
        <v>46</v>
      </c>
      <c r="BB443" s="220">
        <f t="shared" si="1389"/>
        <v>0</v>
      </c>
      <c r="BC443" s="220">
        <f t="shared" si="1390"/>
        <v>0</v>
      </c>
      <c r="BD443" s="216">
        <f t="shared" si="1410"/>
        <v>46</v>
      </c>
      <c r="BE443" s="220">
        <f t="shared" si="1380"/>
        <v>0</v>
      </c>
      <c r="BF443" s="220">
        <f t="shared" si="1381"/>
        <v>0</v>
      </c>
      <c r="BG443" s="220">
        <f t="shared" si="1382"/>
        <v>-154</v>
      </c>
      <c r="BH443" s="220">
        <f t="shared" si="1383"/>
        <v>0</v>
      </c>
      <c r="BI443" s="220">
        <f t="shared" si="1384"/>
        <v>0</v>
      </c>
      <c r="BJ443" s="220" t="s">
        <v>2426</v>
      </c>
      <c r="BK443" s="220"/>
      <c r="BL443" s="223">
        <f t="shared" si="1422"/>
        <v>0</v>
      </c>
      <c r="BM443" s="220">
        <v>4.4000000000000004</v>
      </c>
      <c r="BN443" s="220"/>
      <c r="BO443" s="220">
        <f t="shared" si="1418"/>
        <v>4.4000000000000004</v>
      </c>
      <c r="BP443" s="220">
        <f>IF(AND(BL443&gt;0,BL443&lt;tiet!$D$1),BL443,IF(BL443&lt;=0,0,IF(BL443&gt;tiet!$C$1,tiet!$C$1)))</f>
        <v>0</v>
      </c>
      <c r="BQ443" s="87">
        <f t="shared" si="1397"/>
        <v>65000</v>
      </c>
      <c r="BR443" s="224">
        <f t="shared" si="1391"/>
        <v>0</v>
      </c>
      <c r="BS443" s="220">
        <f t="shared" si="1301"/>
        <v>0</v>
      </c>
      <c r="BT443" s="224">
        <f>VLOOKUP(N443,ma_dinhmuc!$A$1:$J$31,10,0)</f>
        <v>55000</v>
      </c>
      <c r="BU443" s="224">
        <f>ROUND(IF(BS443&gt;0,VLOOKUP(N443,ma_dinhmuc!$A$1:$J$31,10,0)*BS443,0),0)</f>
        <v>0</v>
      </c>
      <c r="BV443" s="224">
        <f t="shared" si="1392"/>
        <v>0</v>
      </c>
      <c r="BW443" s="224"/>
      <c r="BX443" s="224">
        <v>0</v>
      </c>
      <c r="BY443" s="224"/>
      <c r="BZ443" s="224"/>
      <c r="CA443" s="224"/>
      <c r="CB443" s="224"/>
      <c r="CC443" s="225">
        <f t="shared" si="1419"/>
        <v>0</v>
      </c>
      <c r="CD443" s="224">
        <f t="shared" si="1420"/>
        <v>0</v>
      </c>
      <c r="CE443" s="224"/>
      <c r="CF443" s="226"/>
      <c r="CG443" s="87"/>
      <c r="CH443" s="87">
        <f t="shared" si="1407"/>
        <v>21</v>
      </c>
      <c r="CI443" s="227" t="str">
        <f t="shared" si="1412"/>
        <v>Đàm Văn</v>
      </c>
      <c r="CJ443" s="227" t="str">
        <f t="shared" si="1413"/>
        <v>Phải</v>
      </c>
      <c r="CK443" s="87">
        <f t="shared" si="1414"/>
        <v>9</v>
      </c>
      <c r="CL443" s="227" t="str">
        <f t="shared" si="1408"/>
        <v>Nội - Chẩn - Dược lý</v>
      </c>
      <c r="CM443" s="87" t="str">
        <f t="shared" si="1385"/>
        <v>CS3</v>
      </c>
      <c r="CN443" s="87">
        <f t="shared" si="1399"/>
        <v>270</v>
      </c>
      <c r="CO443" s="87">
        <f t="shared" si="1400"/>
        <v>120</v>
      </c>
      <c r="CP443" s="229">
        <f t="shared" si="1314"/>
        <v>0</v>
      </c>
      <c r="CQ443" s="229">
        <f t="shared" si="1315"/>
        <v>0</v>
      </c>
      <c r="CR443" s="229">
        <f t="shared" si="1316"/>
        <v>0</v>
      </c>
      <c r="CS443" s="229">
        <f t="shared" si="1317"/>
        <v>0</v>
      </c>
      <c r="CT443" s="229">
        <f t="shared" si="1318"/>
        <v>0</v>
      </c>
      <c r="CU443" s="229">
        <f t="shared" si="1319"/>
        <v>0</v>
      </c>
      <c r="CV443" s="229">
        <f t="shared" si="1320"/>
        <v>0</v>
      </c>
      <c r="CW443" s="229">
        <f t="shared" si="1321"/>
        <v>8</v>
      </c>
      <c r="CX443" s="229">
        <f t="shared" si="1322"/>
        <v>0</v>
      </c>
      <c r="CY443" s="229">
        <f t="shared" si="1323"/>
        <v>0</v>
      </c>
      <c r="CZ443" s="229">
        <f t="shared" si="1324"/>
        <v>0</v>
      </c>
      <c r="DA443" s="229">
        <f t="shared" si="1325"/>
        <v>200</v>
      </c>
      <c r="DB443" s="228">
        <f t="shared" si="1429"/>
        <v>208</v>
      </c>
      <c r="DC443" s="229"/>
      <c r="DD443" s="229"/>
      <c r="DE443" s="229"/>
      <c r="DF443" s="229"/>
      <c r="DG443" s="229"/>
      <c r="DH443" s="229"/>
      <c r="DI443" s="229"/>
      <c r="DJ443" s="229"/>
      <c r="DK443" s="229"/>
      <c r="DL443" s="229"/>
      <c r="DM443" s="229"/>
      <c r="DN443" s="229"/>
      <c r="DO443" s="228">
        <f t="shared" si="1440"/>
        <v>0</v>
      </c>
      <c r="DP443" s="228">
        <f t="shared" si="1441"/>
        <v>208</v>
      </c>
      <c r="DQ443" s="229">
        <f t="shared" si="1326"/>
        <v>0</v>
      </c>
      <c r="DR443" s="229">
        <f t="shared" si="1327"/>
        <v>0</v>
      </c>
      <c r="DS443" s="229">
        <f t="shared" si="1328"/>
        <v>0</v>
      </c>
      <c r="DT443" s="229">
        <f t="shared" si="1329"/>
        <v>0</v>
      </c>
      <c r="DU443" s="229">
        <f t="shared" si="1330"/>
        <v>0</v>
      </c>
      <c r="DV443" s="229">
        <f t="shared" si="1331"/>
        <v>0</v>
      </c>
      <c r="DW443" s="229">
        <f t="shared" si="1332"/>
        <v>0</v>
      </c>
      <c r="DX443" s="228">
        <f t="shared" si="1430"/>
        <v>0</v>
      </c>
      <c r="DY443" s="229"/>
      <c r="DZ443" s="229"/>
      <c r="EA443" s="229"/>
      <c r="EB443" s="229"/>
      <c r="EC443" s="229"/>
      <c r="ED443" s="229"/>
      <c r="EE443" s="229"/>
      <c r="EF443" s="228">
        <f t="shared" si="1305"/>
        <v>0</v>
      </c>
      <c r="EG443" s="228">
        <f t="shared" si="1442"/>
        <v>0</v>
      </c>
      <c r="EH443" s="229">
        <f t="shared" si="1306"/>
        <v>98.04</v>
      </c>
      <c r="EI443" s="229">
        <v>109.32</v>
      </c>
      <c r="EJ443" s="228">
        <f t="shared" si="1443"/>
        <v>207.36</v>
      </c>
      <c r="EK443" s="229"/>
      <c r="EL443" s="229"/>
      <c r="EM443" s="228">
        <f t="shared" si="1368"/>
        <v>0</v>
      </c>
      <c r="EN443" s="229">
        <f t="shared" si="1423"/>
        <v>98.04</v>
      </c>
      <c r="EO443" s="229">
        <f t="shared" si="1302"/>
        <v>109.32</v>
      </c>
      <c r="EP443" s="228">
        <f t="shared" si="1401"/>
        <v>207.36</v>
      </c>
      <c r="EQ443" s="173">
        <f t="shared" si="1303"/>
        <v>8.0400000000000063</v>
      </c>
      <c r="ER443" s="189">
        <v>0</v>
      </c>
      <c r="ES443" s="189">
        <v>0</v>
      </c>
      <c r="ET443" s="189">
        <v>0</v>
      </c>
      <c r="EU443" s="189">
        <v>0</v>
      </c>
      <c r="EV443" s="189">
        <v>0</v>
      </c>
      <c r="EW443" s="189">
        <v>0</v>
      </c>
      <c r="EX443" s="189">
        <v>0</v>
      </c>
      <c r="EY443" s="189">
        <v>8</v>
      </c>
      <c r="EZ443" s="189">
        <v>0</v>
      </c>
      <c r="FA443" s="189">
        <v>0</v>
      </c>
      <c r="FB443" s="189">
        <v>0</v>
      </c>
      <c r="FC443" s="189">
        <v>200</v>
      </c>
      <c r="FD443" s="189">
        <v>0</v>
      </c>
      <c r="FE443" s="189">
        <v>0</v>
      </c>
      <c r="FF443" s="189">
        <v>0</v>
      </c>
      <c r="FG443" s="189">
        <v>0</v>
      </c>
      <c r="FH443" s="189">
        <v>0</v>
      </c>
      <c r="FI443" s="189">
        <v>0</v>
      </c>
      <c r="FJ443" s="189">
        <v>0</v>
      </c>
      <c r="FK443" s="189">
        <v>208</v>
      </c>
      <c r="FL443" s="189">
        <v>208</v>
      </c>
      <c r="FN443" s="132">
        <v>98.04</v>
      </c>
    </row>
    <row r="444" spans="1:170" ht="30" customHeight="1">
      <c r="A444" s="88">
        <f>COUNTIF($H$12:H448,H444)</f>
        <v>26</v>
      </c>
      <c r="B444" s="88" t="s">
        <v>2724</v>
      </c>
      <c r="C444" s="88" t="s">
        <v>733</v>
      </c>
      <c r="D444" s="88"/>
      <c r="E444" s="88"/>
      <c r="F444" s="301" t="s">
        <v>1139</v>
      </c>
      <c r="G444" s="89" t="s">
        <v>1408</v>
      </c>
      <c r="H444" s="88">
        <v>9</v>
      </c>
      <c r="I444" s="88">
        <v>9</v>
      </c>
      <c r="J444" s="88">
        <v>9</v>
      </c>
      <c r="K444" s="90" t="s">
        <v>1103</v>
      </c>
      <c r="L444" s="90" t="s">
        <v>1103</v>
      </c>
      <c r="M444" s="214"/>
      <c r="N444" s="88" t="s">
        <v>1804</v>
      </c>
      <c r="O444" s="216">
        <f t="shared" si="1398"/>
        <v>3</v>
      </c>
      <c r="P444" s="88" t="str">
        <f t="shared" si="1333"/>
        <v>B1_3</v>
      </c>
      <c r="Q444" s="88">
        <f t="shared" si="1369"/>
        <v>270</v>
      </c>
      <c r="R444" s="88">
        <f t="shared" si="1370"/>
        <v>100</v>
      </c>
      <c r="S444" s="231" t="s">
        <v>797</v>
      </c>
      <c r="T444" s="214" t="s">
        <v>3091</v>
      </c>
      <c r="U444" s="88">
        <f>IF(RIGHT(T444,1)="K",(VLOOKUP(T444,ma_miengiam!$A$3:$B$80,2,0)*100)/2,VLOOKUP(T444,ma_miengiam!$A$3:$B$80,2,0)*100)</f>
        <v>20</v>
      </c>
      <c r="V444" s="88">
        <v>5</v>
      </c>
      <c r="W444" s="220">
        <f>IF(AND(T444="NTS",V444&gt;0),(Q444-(Q444*V444)/12)*VLOOKUP(T444,ma_miengiam!$A$3:$B$80,2,0)+(Q444-(Q444*(12-V444))/12),IF(AND(RIGHT(T444,1)="K",V444&gt;0),(VLOOKUP(T444,ma_miengiam!$A$3:$B$80,2,0)/2)*(Q444*V444)/12,IF(RIGHT(T444,1)="K",(VLOOKUP(T444,ma_miengiam!$A$3:$B$80,2,0)*Q444)/2,IF(V444&gt;0,VLOOKUP(T444,ma_miengiam!$A$3:$B$80,2,0)*Q444*V444/12,VLOOKUP(T444,ma_miengiam!$A$3:$B$80,2,0)*Q444))))</f>
        <v>22.5</v>
      </c>
      <c r="X444" s="220">
        <f>IF(T444="NTS",VLOOKUP(T444,ma_miengiam!$A$3:$B$80,2,0)*R444*V444,IF(AND(T444="NTS",V444=0),0,IF(AND(LEFT(T444,1)="K",V444=0),VLOOKUP(T444,ma_miengiam!$A$3:$B$80,2,0)*R444,IF(LEFT(T444,1)="K",(VLOOKUP(T444,ma_miengiam!$A$3:$B$80,2,0)*R444/12)*V444,IF(AND(LEFT(T444,1)="S",V444&gt;0),(R444/12)*V444,IF(AND(LEFT(T444,1)="S",V444=0),R444,IF(T444="DH",VLOOKUP(T444,ma_miengiam!$A$3:$B$80,2,0)*R444,0)))))))</f>
        <v>0</v>
      </c>
      <c r="Y444" s="220">
        <f t="shared" si="1344"/>
        <v>90</v>
      </c>
      <c r="Z444" s="220">
        <f t="shared" si="1444"/>
        <v>41.666666666666664</v>
      </c>
      <c r="AA444" s="220">
        <f t="shared" ref="AA444:AB446" si="1445">Q444</f>
        <v>270</v>
      </c>
      <c r="AB444" s="220">
        <f t="shared" si="1445"/>
        <v>100</v>
      </c>
      <c r="AC444" s="220">
        <f>W444</f>
        <v>22.5</v>
      </c>
      <c r="AD444" s="220">
        <f>X444</f>
        <v>0</v>
      </c>
      <c r="AE444" s="220">
        <f>Y444</f>
        <v>90</v>
      </c>
      <c r="AF444" s="220">
        <f>Z444</f>
        <v>41.666666666666664</v>
      </c>
      <c r="AG444" s="220">
        <f t="shared" si="1424"/>
        <v>0</v>
      </c>
      <c r="AH444" s="220">
        <f t="shared" si="1425"/>
        <v>0</v>
      </c>
      <c r="AI444" s="220">
        <f t="shared" si="1426"/>
        <v>0</v>
      </c>
      <c r="AJ444" s="220">
        <f>IF(AG444-Z444&gt;0,0,AG444-Z444)</f>
        <v>-41.666666666666664</v>
      </c>
      <c r="AK444" s="216">
        <f t="shared" si="1266"/>
        <v>131.66666666666666</v>
      </c>
      <c r="AL444" s="220">
        <f t="shared" si="1431"/>
        <v>0</v>
      </c>
      <c r="AM444" s="220">
        <f t="shared" si="1432"/>
        <v>0</v>
      </c>
      <c r="AN444" s="221">
        <f t="shared" si="1433"/>
        <v>0</v>
      </c>
      <c r="AO444" s="220">
        <f t="shared" si="1434"/>
        <v>0</v>
      </c>
      <c r="AP444" s="220">
        <f t="shared" si="1435"/>
        <v>0</v>
      </c>
      <c r="AQ444" s="220">
        <f t="shared" si="1436"/>
        <v>0</v>
      </c>
      <c r="AR444" s="220">
        <f t="shared" si="1437"/>
        <v>0</v>
      </c>
      <c r="AS444" s="220">
        <f t="shared" si="1438"/>
        <v>0</v>
      </c>
      <c r="AT444" s="216">
        <f t="shared" si="1439"/>
        <v>0</v>
      </c>
      <c r="AU444" s="222">
        <f t="shared" si="1300"/>
        <v>-131.66666666666666</v>
      </c>
      <c r="AV444" s="220"/>
      <c r="AW444" s="220">
        <f t="shared" si="1379"/>
        <v>-131.66666666666666</v>
      </c>
      <c r="AX444" s="216">
        <f t="shared" si="1267"/>
        <v>-131.66666666666666</v>
      </c>
      <c r="AY444" s="220">
        <f t="shared" si="1386"/>
        <v>0</v>
      </c>
      <c r="AZ444" s="220">
        <f t="shared" si="1387"/>
        <v>0</v>
      </c>
      <c r="BA444" s="220">
        <f t="shared" si="1388"/>
        <v>0</v>
      </c>
      <c r="BB444" s="220">
        <f t="shared" si="1389"/>
        <v>0</v>
      </c>
      <c r="BC444" s="220">
        <f t="shared" si="1390"/>
        <v>0</v>
      </c>
      <c r="BD444" s="216">
        <f t="shared" si="1410"/>
        <v>0</v>
      </c>
      <c r="BE444" s="220">
        <f t="shared" si="1380"/>
        <v>0</v>
      </c>
      <c r="BF444" s="220">
        <f t="shared" si="1381"/>
        <v>0</v>
      </c>
      <c r="BG444" s="220">
        <f t="shared" si="1382"/>
        <v>0</v>
      </c>
      <c r="BH444" s="220">
        <f t="shared" si="1383"/>
        <v>0</v>
      </c>
      <c r="BI444" s="220">
        <f t="shared" si="1384"/>
        <v>0</v>
      </c>
      <c r="BJ444" s="220" t="s">
        <v>2426</v>
      </c>
      <c r="BK444" s="220"/>
      <c r="BL444" s="223">
        <f t="shared" si="1422"/>
        <v>0</v>
      </c>
      <c r="BM444" s="220">
        <v>3</v>
      </c>
      <c r="BN444" s="220"/>
      <c r="BO444" s="220">
        <f t="shared" si="1418"/>
        <v>3</v>
      </c>
      <c r="BP444" s="220">
        <f>IF(AND(BL444&gt;0,BL444&lt;tiet!$D$1),BL444,IF(BL444&lt;=0,0,IF(BL444&gt;tiet!$C$1,tiet!$C$1)))</f>
        <v>0</v>
      </c>
      <c r="BQ444" s="87">
        <f>VLOOKUP(P444,ma_dinhmuc_moi,4,0)</f>
        <v>60000</v>
      </c>
      <c r="BR444" s="224">
        <f>ROUND(BQ444*BP444,0)</f>
        <v>0</v>
      </c>
      <c r="BS444" s="220">
        <f t="shared" si="1301"/>
        <v>0</v>
      </c>
      <c r="BT444" s="224">
        <f>VLOOKUP(N444,ma_dinhmuc!$A$1:$J$31,10,0)</f>
        <v>51000</v>
      </c>
      <c r="BU444" s="224">
        <f>ROUND(IF(BS444&gt;0,VLOOKUP(N444,ma_dinhmuc!$A$1:$J$31,10,0)*BS444,0),0)</f>
        <v>0</v>
      </c>
      <c r="BV444" s="224">
        <f>ROUND(BU444+BR444,0)</f>
        <v>0</v>
      </c>
      <c r="BW444" s="224"/>
      <c r="BX444" s="224">
        <v>0</v>
      </c>
      <c r="BY444" s="224"/>
      <c r="BZ444" s="224"/>
      <c r="CA444" s="224"/>
      <c r="CB444" s="224"/>
      <c r="CC444" s="225">
        <f t="shared" si="1419"/>
        <v>0</v>
      </c>
      <c r="CD444" s="224">
        <f t="shared" si="1420"/>
        <v>0</v>
      </c>
      <c r="CE444" s="224"/>
      <c r="CF444" s="226"/>
      <c r="CG444" s="87"/>
      <c r="CH444" s="87">
        <f t="shared" si="1407"/>
        <v>26</v>
      </c>
      <c r="CI444" s="227" t="str">
        <f t="shared" si="1412"/>
        <v>Nguyễn Thị</v>
      </c>
      <c r="CJ444" s="227" t="str">
        <f t="shared" si="1413"/>
        <v>Bẩy</v>
      </c>
      <c r="CK444" s="87">
        <f t="shared" si="1414"/>
        <v>9</v>
      </c>
      <c r="CL444" s="227" t="str">
        <f t="shared" si="1408"/>
        <v>Nội - Chẩn - Dược lý</v>
      </c>
      <c r="CM444" s="87" t="str">
        <f t="shared" si="1385"/>
        <v>CS2</v>
      </c>
      <c r="CN444" s="87">
        <f>Q444</f>
        <v>270</v>
      </c>
      <c r="CO444" s="87">
        <f>R444</f>
        <v>100</v>
      </c>
      <c r="CP444" s="229">
        <f t="shared" si="1314"/>
        <v>0</v>
      </c>
      <c r="CQ444" s="229">
        <f t="shared" si="1315"/>
        <v>0</v>
      </c>
      <c r="CR444" s="229">
        <f t="shared" si="1316"/>
        <v>0</v>
      </c>
      <c r="CS444" s="229">
        <f t="shared" si="1317"/>
        <v>0</v>
      </c>
      <c r="CT444" s="229">
        <f t="shared" si="1318"/>
        <v>0</v>
      </c>
      <c r="CU444" s="229">
        <f t="shared" si="1319"/>
        <v>0</v>
      </c>
      <c r="CV444" s="229">
        <f t="shared" si="1320"/>
        <v>0</v>
      </c>
      <c r="CW444" s="229">
        <f t="shared" si="1321"/>
        <v>0</v>
      </c>
      <c r="CX444" s="229">
        <f t="shared" si="1322"/>
        <v>0</v>
      </c>
      <c r="CY444" s="229">
        <f t="shared" si="1323"/>
        <v>0</v>
      </c>
      <c r="CZ444" s="229">
        <f t="shared" si="1324"/>
        <v>0</v>
      </c>
      <c r="DA444" s="229">
        <f t="shared" si="1325"/>
        <v>0</v>
      </c>
      <c r="DB444" s="228">
        <f t="shared" si="1429"/>
        <v>0</v>
      </c>
      <c r="DC444" s="229"/>
      <c r="DD444" s="229"/>
      <c r="DE444" s="229"/>
      <c r="DF444" s="229"/>
      <c r="DG444" s="229"/>
      <c r="DH444" s="229"/>
      <c r="DI444" s="229"/>
      <c r="DJ444" s="229"/>
      <c r="DK444" s="229"/>
      <c r="DL444" s="229"/>
      <c r="DM444" s="229"/>
      <c r="DN444" s="229"/>
      <c r="DO444" s="228">
        <f t="shared" si="1440"/>
        <v>0</v>
      </c>
      <c r="DP444" s="228">
        <f t="shared" si="1441"/>
        <v>0</v>
      </c>
      <c r="DQ444" s="229">
        <f t="shared" si="1326"/>
        <v>0</v>
      </c>
      <c r="DR444" s="229">
        <f t="shared" si="1327"/>
        <v>0</v>
      </c>
      <c r="DS444" s="229">
        <f t="shared" si="1328"/>
        <v>0</v>
      </c>
      <c r="DT444" s="229">
        <f t="shared" si="1329"/>
        <v>0</v>
      </c>
      <c r="DU444" s="229">
        <f t="shared" si="1330"/>
        <v>0</v>
      </c>
      <c r="DV444" s="229">
        <f t="shared" si="1331"/>
        <v>0</v>
      </c>
      <c r="DW444" s="229">
        <f t="shared" si="1332"/>
        <v>0</v>
      </c>
      <c r="DX444" s="228">
        <f t="shared" si="1430"/>
        <v>0</v>
      </c>
      <c r="DY444" s="229"/>
      <c r="DZ444" s="229"/>
      <c r="EA444" s="229"/>
      <c r="EB444" s="229"/>
      <c r="EC444" s="229"/>
      <c r="ED444" s="229"/>
      <c r="EE444" s="229"/>
      <c r="EF444" s="228">
        <f t="shared" si="1305"/>
        <v>0</v>
      </c>
      <c r="EG444" s="228">
        <f t="shared" si="1442"/>
        <v>0</v>
      </c>
      <c r="EH444" s="229">
        <f t="shared" si="1306"/>
        <v>0</v>
      </c>
      <c r="EI444" s="229">
        <v>0</v>
      </c>
      <c r="EJ444" s="228">
        <f>SUM(EH444:EI444)</f>
        <v>0</v>
      </c>
      <c r="EK444" s="229"/>
      <c r="EL444" s="229"/>
      <c r="EM444" s="228">
        <f t="shared" si="1368"/>
        <v>0</v>
      </c>
      <c r="EN444" s="229">
        <f t="shared" si="1423"/>
        <v>0</v>
      </c>
      <c r="EO444" s="229">
        <f t="shared" si="1302"/>
        <v>0</v>
      </c>
      <c r="EP444" s="228">
        <f t="shared" si="1401"/>
        <v>0</v>
      </c>
      <c r="EQ444" s="173">
        <f t="shared" si="1303"/>
        <v>0</v>
      </c>
      <c r="ER444" s="189">
        <v>0</v>
      </c>
      <c r="ES444" s="189">
        <v>0</v>
      </c>
      <c r="ET444" s="189">
        <v>0</v>
      </c>
      <c r="EU444" s="189">
        <v>0</v>
      </c>
      <c r="EV444" s="189">
        <v>0</v>
      </c>
      <c r="EW444" s="189">
        <v>0</v>
      </c>
      <c r="EX444" s="189">
        <v>0</v>
      </c>
      <c r="EY444" s="189">
        <v>0</v>
      </c>
      <c r="EZ444" s="189">
        <v>0</v>
      </c>
      <c r="FA444" s="189">
        <v>0</v>
      </c>
      <c r="FB444" s="189">
        <v>0</v>
      </c>
      <c r="FC444" s="189">
        <v>0</v>
      </c>
      <c r="FD444" s="189">
        <v>0</v>
      </c>
      <c r="FE444" s="189">
        <v>0</v>
      </c>
      <c r="FF444" s="189">
        <v>0</v>
      </c>
      <c r="FG444" s="189">
        <v>0</v>
      </c>
      <c r="FH444" s="189">
        <v>0</v>
      </c>
      <c r="FI444" s="189">
        <v>0</v>
      </c>
      <c r="FJ444" s="189">
        <v>0</v>
      </c>
      <c r="FK444" s="189">
        <v>0</v>
      </c>
      <c r="FL444" s="189">
        <v>0</v>
      </c>
      <c r="FN444" s="132">
        <v>0</v>
      </c>
    </row>
    <row r="445" spans="1:170" ht="30" customHeight="1">
      <c r="A445" s="88">
        <f>COUNTIF($H$12:H445,H445)</f>
        <v>23</v>
      </c>
      <c r="B445" s="88" t="s">
        <v>2725</v>
      </c>
      <c r="C445" s="88" t="s">
        <v>734</v>
      </c>
      <c r="D445" s="88"/>
      <c r="E445" s="88"/>
      <c r="F445" s="301" t="s">
        <v>1946</v>
      </c>
      <c r="G445" s="89" t="s">
        <v>1947</v>
      </c>
      <c r="H445" s="88">
        <v>9</v>
      </c>
      <c r="I445" s="88">
        <v>9</v>
      </c>
      <c r="J445" s="88">
        <v>9</v>
      </c>
      <c r="K445" s="90" t="s">
        <v>1103</v>
      </c>
      <c r="L445" s="90" t="s">
        <v>1103</v>
      </c>
      <c r="M445" s="214"/>
      <c r="N445" s="88" t="s">
        <v>1804</v>
      </c>
      <c r="O445" s="216">
        <f t="shared" si="1398"/>
        <v>3.99</v>
      </c>
      <c r="P445" s="88" t="str">
        <f t="shared" si="1333"/>
        <v>B1_4</v>
      </c>
      <c r="Q445" s="88">
        <f t="shared" si="1369"/>
        <v>270</v>
      </c>
      <c r="R445" s="88">
        <f t="shared" si="1370"/>
        <v>120</v>
      </c>
      <c r="S445" s="233" t="s">
        <v>798</v>
      </c>
      <c r="T445" s="88" t="s">
        <v>2961</v>
      </c>
      <c r="U445" s="88">
        <f>IF(RIGHT(T445,1)="K",(VLOOKUP(T445,ma_miengiam!$A$3:$B$80,2,0)*100)/2,VLOOKUP(T445,ma_miengiam!$A$3:$B$80,2,0)*100)</f>
        <v>100</v>
      </c>
      <c r="V445" s="88"/>
      <c r="W445" s="220">
        <f>IF(AND(T445="NTS",V445&gt;0),(Q445-(Q445*V445)/12)*VLOOKUP(T445,ma_miengiam!$A$3:$B$80,2,0)+(Q445-(Q445*(12-V445))/12),IF(AND(RIGHT(T445,1)="K",V445&gt;0),(VLOOKUP(T445,ma_miengiam!$A$3:$B$80,2,0)/2)*(Q445*V445)/12,IF(RIGHT(T445,1)="K",(VLOOKUP(T445,ma_miengiam!$A$3:$B$80,2,0)*Q445)/2,IF(V445&gt;0,VLOOKUP(T445,ma_miengiam!$A$3:$B$80,2,0)*Q445*V445/12,VLOOKUP(T445,ma_miengiam!$A$3:$B$80,2,0)*Q445))))</f>
        <v>270</v>
      </c>
      <c r="X445" s="220">
        <f>IF(T445="NTS",VLOOKUP(T445,ma_miengiam!$A$3:$B$80,2,0)*R445*V445,IF(AND(T445="NTS",V445=0),0,IF(AND(LEFT(T445,1)="K",V445=0),VLOOKUP(T445,ma_miengiam!$A$3:$B$80,2,0)*R445,IF(LEFT(T445,1)="K",(VLOOKUP(T445,ma_miengiam!$A$3:$B$80,2,0)*R445/12)*V445,IF(AND(LEFT(T445,1)="S",V445&gt;0),(R445/12)*V445,IF(AND(LEFT(T445,1)="S",V445=0),R445,IF(T445="DH",VLOOKUP(T445,ma_miengiam!$A$3:$B$80,2,0)*R445,0)))))))</f>
        <v>120</v>
      </c>
      <c r="Y445" s="220">
        <f t="shared" si="1344"/>
        <v>0</v>
      </c>
      <c r="Z445" s="220">
        <f t="shared" si="1444"/>
        <v>0</v>
      </c>
      <c r="AA445" s="220">
        <f t="shared" si="1445"/>
        <v>270</v>
      </c>
      <c r="AB445" s="220">
        <f t="shared" si="1445"/>
        <v>120</v>
      </c>
      <c r="AC445" s="220">
        <f t="shared" ref="AC445:AF446" si="1446">W445</f>
        <v>270</v>
      </c>
      <c r="AD445" s="220">
        <f t="shared" si="1446"/>
        <v>120</v>
      </c>
      <c r="AE445" s="220">
        <f t="shared" si="1446"/>
        <v>0</v>
      </c>
      <c r="AF445" s="220">
        <f t="shared" si="1446"/>
        <v>0</v>
      </c>
      <c r="AG445" s="220">
        <f t="shared" si="1424"/>
        <v>107.55</v>
      </c>
      <c r="AH445" s="220">
        <f t="shared" si="1425"/>
        <v>107.55</v>
      </c>
      <c r="AI445" s="220">
        <f t="shared" si="1426"/>
        <v>0</v>
      </c>
      <c r="AJ445" s="220">
        <f>IF(AG445-Z445&gt;0,0,AG445-Z445)</f>
        <v>0</v>
      </c>
      <c r="AK445" s="216">
        <f t="shared" si="1266"/>
        <v>0</v>
      </c>
      <c r="AL445" s="220">
        <f t="shared" si="1431"/>
        <v>400.8</v>
      </c>
      <c r="AM445" s="220">
        <f t="shared" si="1432"/>
        <v>0</v>
      </c>
      <c r="AN445" s="216">
        <f t="shared" si="1433"/>
        <v>400.8</v>
      </c>
      <c r="AO445" s="220">
        <f t="shared" si="1434"/>
        <v>0</v>
      </c>
      <c r="AP445" s="220">
        <f t="shared" si="1435"/>
        <v>0</v>
      </c>
      <c r="AQ445" s="220">
        <f t="shared" si="1436"/>
        <v>0</v>
      </c>
      <c r="AR445" s="220">
        <f t="shared" si="1437"/>
        <v>0</v>
      </c>
      <c r="AS445" s="220">
        <f t="shared" si="1438"/>
        <v>0</v>
      </c>
      <c r="AT445" s="216">
        <f t="shared" si="1439"/>
        <v>400.8</v>
      </c>
      <c r="AU445" s="220">
        <f t="shared" ref="AU445:AU502" si="1447">AN445-AK445</f>
        <v>400.8</v>
      </c>
      <c r="AV445" s="220"/>
      <c r="AW445" s="220">
        <f t="shared" si="1379"/>
        <v>400.8</v>
      </c>
      <c r="AX445" s="216">
        <f t="shared" ref="AX445:AX506" si="1448">IF(AN445&gt;AK445,0,IF(AW445&lt;0,AN445-AK445+AV445,IF(AW445&gt;=0,0)))</f>
        <v>0</v>
      </c>
      <c r="AY445" s="220">
        <f t="shared" si="1386"/>
        <v>0</v>
      </c>
      <c r="AZ445" s="220">
        <f t="shared" si="1387"/>
        <v>0</v>
      </c>
      <c r="BA445" s="220">
        <f t="shared" si="1388"/>
        <v>0</v>
      </c>
      <c r="BB445" s="220">
        <f t="shared" si="1389"/>
        <v>0</v>
      </c>
      <c r="BC445" s="220">
        <f t="shared" si="1390"/>
        <v>0</v>
      </c>
      <c r="BD445" s="216">
        <f t="shared" si="1410"/>
        <v>0</v>
      </c>
      <c r="BE445" s="220">
        <f t="shared" si="1380"/>
        <v>0</v>
      </c>
      <c r="BF445" s="220">
        <f t="shared" si="1381"/>
        <v>0</v>
      </c>
      <c r="BG445" s="220">
        <f t="shared" si="1382"/>
        <v>0</v>
      </c>
      <c r="BH445" s="220">
        <f t="shared" si="1383"/>
        <v>0</v>
      </c>
      <c r="BI445" s="220">
        <f t="shared" si="1384"/>
        <v>0</v>
      </c>
      <c r="BJ445" s="220" t="s">
        <v>187</v>
      </c>
      <c r="BK445" s="220"/>
      <c r="BL445" s="223">
        <f t="shared" si="1422"/>
        <v>400.8</v>
      </c>
      <c r="BM445" s="220">
        <v>3.99</v>
      </c>
      <c r="BN445" s="220"/>
      <c r="BO445" s="220">
        <f t="shared" si="1418"/>
        <v>3.99</v>
      </c>
      <c r="BP445" s="220">
        <f>IF(AND(BL445&gt;0,BL445&lt;tiet!$D$1),BL445,IF(BL445&lt;=0,0,IF(BL445&gt;tiet!$C$1,tiet!$C$1)))</f>
        <v>200</v>
      </c>
      <c r="BQ445" s="87">
        <f>VLOOKUP(P445,ma_dinhmuc_moi,4,0)</f>
        <v>65000</v>
      </c>
      <c r="BR445" s="224">
        <f>ROUND(BQ445*BP445,0)</f>
        <v>13000000</v>
      </c>
      <c r="BS445" s="220">
        <f t="shared" si="1301"/>
        <v>200.8</v>
      </c>
      <c r="BT445" s="224">
        <f>VLOOKUP(N445,ma_dinhmuc!$A$1:$J$31,10,0)</f>
        <v>51000</v>
      </c>
      <c r="BU445" s="224">
        <f>ROUND(IF(BS445&gt;0,VLOOKUP(N445,ma_dinhmuc!$A$1:$J$31,10,0)*BS445,0),0)</f>
        <v>10240800</v>
      </c>
      <c r="BV445" s="224">
        <f>ROUND(BU445+BR445,0)</f>
        <v>23240800</v>
      </c>
      <c r="BW445" s="224"/>
      <c r="BX445" s="224">
        <v>0</v>
      </c>
      <c r="BY445" s="224"/>
      <c r="BZ445" s="224"/>
      <c r="CA445" s="224"/>
      <c r="CB445" s="224"/>
      <c r="CC445" s="225">
        <f>ROUND(IF(BV445+BW445&gt;BX445+BY445+BZ445+CA445+CB445,(BW445+BV445)-(BX445+BY445+BZ445+CA445+CB445+CB445),0),0)</f>
        <v>23240800</v>
      </c>
      <c r="CD445" s="224">
        <f>ROUND(IF(BV445+BW445&lt;BX445+BY445+BZ445+CA445-CB445,(BX445+BY445+BZ445+CA445-CB445)-(BW445+BV445),0),0)</f>
        <v>0</v>
      </c>
      <c r="CE445" s="224"/>
      <c r="CF445" s="226"/>
      <c r="CG445" s="87"/>
      <c r="CH445" s="87">
        <f t="shared" si="1407"/>
        <v>23</v>
      </c>
      <c r="CI445" s="227" t="str">
        <f t="shared" si="1412"/>
        <v>Đào Công</v>
      </c>
      <c r="CJ445" s="227" t="str">
        <f t="shared" si="1413"/>
        <v>Duẩn</v>
      </c>
      <c r="CK445" s="87">
        <f t="shared" si="1414"/>
        <v>9</v>
      </c>
      <c r="CL445" s="227" t="str">
        <f t="shared" si="1408"/>
        <v>Nội - Chẩn - Dược lý</v>
      </c>
      <c r="CM445" s="87" t="str">
        <f t="shared" si="1385"/>
        <v>CS2</v>
      </c>
      <c r="CN445" s="87">
        <f t="shared" ref="CN445:CN450" si="1449">Q445</f>
        <v>270</v>
      </c>
      <c r="CO445" s="87">
        <f t="shared" ref="CO445:CO450" si="1450">R445</f>
        <v>120</v>
      </c>
      <c r="CP445" s="229">
        <f t="shared" si="1314"/>
        <v>0</v>
      </c>
      <c r="CQ445" s="229">
        <f t="shared" si="1315"/>
        <v>79.599999999999994</v>
      </c>
      <c r="CR445" s="229">
        <f t="shared" si="1316"/>
        <v>32.200000000000003</v>
      </c>
      <c r="CS445" s="229">
        <f t="shared" si="1317"/>
        <v>0</v>
      </c>
      <c r="CT445" s="229">
        <f t="shared" si="1318"/>
        <v>0</v>
      </c>
      <c r="CU445" s="229">
        <f t="shared" si="1319"/>
        <v>289</v>
      </c>
      <c r="CV445" s="229">
        <f t="shared" si="1320"/>
        <v>0</v>
      </c>
      <c r="CW445" s="229">
        <f t="shared" si="1321"/>
        <v>0</v>
      </c>
      <c r="CX445" s="229">
        <f t="shared" si="1322"/>
        <v>0</v>
      </c>
      <c r="CY445" s="229">
        <f t="shared" si="1323"/>
        <v>0</v>
      </c>
      <c r="CZ445" s="229">
        <f t="shared" si="1324"/>
        <v>0</v>
      </c>
      <c r="DA445" s="229">
        <f t="shared" si="1325"/>
        <v>0</v>
      </c>
      <c r="DB445" s="228">
        <f t="shared" si="1429"/>
        <v>400.8</v>
      </c>
      <c r="DC445" s="229"/>
      <c r="DD445" s="229"/>
      <c r="DE445" s="229"/>
      <c r="DF445" s="229"/>
      <c r="DG445" s="229"/>
      <c r="DH445" s="229"/>
      <c r="DI445" s="229"/>
      <c r="DJ445" s="229"/>
      <c r="DK445" s="229"/>
      <c r="DL445" s="229"/>
      <c r="DM445" s="229"/>
      <c r="DN445" s="229"/>
      <c r="DO445" s="228">
        <f t="shared" si="1440"/>
        <v>0</v>
      </c>
      <c r="DP445" s="228">
        <f t="shared" si="1441"/>
        <v>400.8</v>
      </c>
      <c r="DQ445" s="229">
        <f t="shared" si="1326"/>
        <v>0</v>
      </c>
      <c r="DR445" s="229">
        <f t="shared" si="1327"/>
        <v>0</v>
      </c>
      <c r="DS445" s="229">
        <f t="shared" si="1328"/>
        <v>0</v>
      </c>
      <c r="DT445" s="229">
        <f t="shared" si="1329"/>
        <v>0</v>
      </c>
      <c r="DU445" s="229">
        <f t="shared" si="1330"/>
        <v>0</v>
      </c>
      <c r="DV445" s="229">
        <f t="shared" si="1331"/>
        <v>0</v>
      </c>
      <c r="DW445" s="229">
        <f t="shared" si="1332"/>
        <v>0</v>
      </c>
      <c r="DX445" s="228">
        <f t="shared" si="1430"/>
        <v>0</v>
      </c>
      <c r="DY445" s="229"/>
      <c r="DZ445" s="229"/>
      <c r="EA445" s="229"/>
      <c r="EB445" s="229"/>
      <c r="EC445" s="229"/>
      <c r="ED445" s="229"/>
      <c r="EE445" s="229"/>
      <c r="EF445" s="228">
        <f t="shared" si="1305"/>
        <v>0</v>
      </c>
      <c r="EG445" s="228">
        <f t="shared" si="1442"/>
        <v>0</v>
      </c>
      <c r="EH445" s="229">
        <f t="shared" si="1306"/>
        <v>0</v>
      </c>
      <c r="EI445" s="229">
        <v>107.55</v>
      </c>
      <c r="EJ445" s="228">
        <f>SUM(EH445:EI445)</f>
        <v>107.55</v>
      </c>
      <c r="EK445" s="229"/>
      <c r="EL445" s="229"/>
      <c r="EM445" s="228">
        <f t="shared" si="1368"/>
        <v>0</v>
      </c>
      <c r="EN445" s="229">
        <f t="shared" si="1423"/>
        <v>0</v>
      </c>
      <c r="EO445" s="229">
        <f t="shared" ref="EO445:EO502" si="1451">EI445</f>
        <v>107.55</v>
      </c>
      <c r="EP445" s="228">
        <f t="shared" si="1401"/>
        <v>107.55</v>
      </c>
      <c r="EQ445" s="173">
        <f t="shared" si="1303"/>
        <v>0</v>
      </c>
      <c r="ER445" s="189">
        <v>0</v>
      </c>
      <c r="ES445" s="189">
        <v>79.599999999999994</v>
      </c>
      <c r="ET445" s="189">
        <v>32.200000000000003</v>
      </c>
      <c r="EU445" s="189">
        <v>0</v>
      </c>
      <c r="EV445" s="189">
        <v>0</v>
      </c>
      <c r="EW445" s="189">
        <v>289</v>
      </c>
      <c r="EX445" s="189">
        <v>0</v>
      </c>
      <c r="EY445" s="189">
        <v>0</v>
      </c>
      <c r="EZ445" s="189">
        <v>0</v>
      </c>
      <c r="FA445" s="189">
        <v>0</v>
      </c>
      <c r="FB445" s="189">
        <v>0</v>
      </c>
      <c r="FC445" s="189">
        <v>0</v>
      </c>
      <c r="FD445" s="189">
        <v>0</v>
      </c>
      <c r="FE445" s="189">
        <v>0</v>
      </c>
      <c r="FF445" s="189">
        <v>0</v>
      </c>
      <c r="FG445" s="189">
        <v>0</v>
      </c>
      <c r="FH445" s="189">
        <v>0</v>
      </c>
      <c r="FI445" s="189">
        <v>0</v>
      </c>
      <c r="FJ445" s="189">
        <v>0</v>
      </c>
      <c r="FK445" s="189">
        <v>400.8</v>
      </c>
      <c r="FL445" s="189">
        <v>288</v>
      </c>
      <c r="FN445" s="132">
        <v>0</v>
      </c>
    </row>
    <row r="446" spans="1:170" ht="30" customHeight="1">
      <c r="A446" s="88">
        <f>COUNTIF($H$12:H446,H446)</f>
        <v>24</v>
      </c>
      <c r="B446" s="88" t="s">
        <v>2726</v>
      </c>
      <c r="C446" s="88" t="s">
        <v>735</v>
      </c>
      <c r="D446" s="88"/>
      <c r="E446" s="88"/>
      <c r="F446" s="301" t="s">
        <v>650</v>
      </c>
      <c r="G446" s="303" t="s">
        <v>1114</v>
      </c>
      <c r="H446" s="88">
        <v>9</v>
      </c>
      <c r="I446" s="88">
        <v>9</v>
      </c>
      <c r="J446" s="88">
        <v>9</v>
      </c>
      <c r="K446" s="90" t="s">
        <v>1103</v>
      </c>
      <c r="L446" s="90" t="s">
        <v>1103</v>
      </c>
      <c r="M446" s="214"/>
      <c r="N446" s="88" t="s">
        <v>1804</v>
      </c>
      <c r="O446" s="216">
        <f t="shared" si="1398"/>
        <v>3.33</v>
      </c>
      <c r="P446" s="88" t="str">
        <f t="shared" si="1333"/>
        <v>B1_4</v>
      </c>
      <c r="Q446" s="88">
        <f t="shared" si="1369"/>
        <v>270</v>
      </c>
      <c r="R446" s="88">
        <f t="shared" si="1370"/>
        <v>120</v>
      </c>
      <c r="S446" s="218" t="s">
        <v>3189</v>
      </c>
      <c r="T446" s="88" t="s">
        <v>2961</v>
      </c>
      <c r="U446" s="88">
        <f>IF(RIGHT(T446,1)="K",(VLOOKUP(T446,ma_miengiam!$A$3:$B$80,2,0)*100)/2,VLOOKUP(T446,ma_miengiam!$A$3:$B$80,2,0)*100)</f>
        <v>100</v>
      </c>
      <c r="V446" s="88"/>
      <c r="W446" s="220">
        <f>IF(AND(T446="NTS",V446&gt;0),(Q446-(Q446*V446)/12)*VLOOKUP(T446,ma_miengiam!$A$3:$B$80,2,0)+(Q446-(Q446*(12-V446))/12),IF(AND(RIGHT(T446,1)="K",V446&gt;0),(VLOOKUP(T446,ma_miengiam!$A$3:$B$80,2,0)/2)*(Q446*V446)/12,IF(RIGHT(T446,1)="K",(VLOOKUP(T446,ma_miengiam!$A$3:$B$80,2,0)*Q446)/2,IF(V446&gt;0,VLOOKUP(T446,ma_miengiam!$A$3:$B$80,2,0)*Q446*V446/12,VLOOKUP(T446,ma_miengiam!$A$3:$B$80,2,0)*Q446))))</f>
        <v>270</v>
      </c>
      <c r="X446" s="220">
        <f>IF(T446="NTS",VLOOKUP(T446,ma_miengiam!$A$3:$B$80,2,0)*R446*V446,IF(AND(T446="NTS",V446=0),0,IF(AND(LEFT(T446,1)="K",V446=0),VLOOKUP(T446,ma_miengiam!$A$3:$B$80,2,0)*R446,IF(LEFT(T446,1)="K",(VLOOKUP(T446,ma_miengiam!$A$3:$B$80,2,0)*R446/12)*V446,IF(AND(LEFT(T446,1)="S",V446&gt;0),(R446/12)*V446,IF(AND(LEFT(T446,1)="S",V446=0),R446,IF(T446="DH",VLOOKUP(T446,ma_miengiam!$A$3:$B$80,2,0)*R446,0)))))))</f>
        <v>120</v>
      </c>
      <c r="Y446" s="220">
        <f t="shared" si="1344"/>
        <v>0</v>
      </c>
      <c r="Z446" s="220">
        <f t="shared" si="1444"/>
        <v>0</v>
      </c>
      <c r="AA446" s="220">
        <f t="shared" si="1445"/>
        <v>270</v>
      </c>
      <c r="AB446" s="220">
        <f t="shared" si="1445"/>
        <v>120</v>
      </c>
      <c r="AC446" s="220">
        <f t="shared" si="1446"/>
        <v>270</v>
      </c>
      <c r="AD446" s="220">
        <f t="shared" si="1446"/>
        <v>120</v>
      </c>
      <c r="AE446" s="220">
        <f t="shared" si="1446"/>
        <v>0</v>
      </c>
      <c r="AF446" s="220">
        <f t="shared" si="1446"/>
        <v>0</v>
      </c>
      <c r="AG446" s="220">
        <f t="shared" si="1424"/>
        <v>16.670000000000002</v>
      </c>
      <c r="AH446" s="220">
        <f t="shared" si="1425"/>
        <v>0</v>
      </c>
      <c r="AI446" s="220">
        <f t="shared" si="1426"/>
        <v>16.670000000000002</v>
      </c>
      <c r="AJ446" s="220">
        <f t="shared" si="1396"/>
        <v>0</v>
      </c>
      <c r="AK446" s="216">
        <f t="shared" si="1266"/>
        <v>0</v>
      </c>
      <c r="AL446" s="220">
        <f t="shared" si="1431"/>
        <v>0</v>
      </c>
      <c r="AM446" s="220">
        <f t="shared" si="1432"/>
        <v>0</v>
      </c>
      <c r="AN446" s="216">
        <f t="shared" si="1433"/>
        <v>0</v>
      </c>
      <c r="AO446" s="220">
        <f t="shared" si="1434"/>
        <v>0</v>
      </c>
      <c r="AP446" s="220">
        <f t="shared" si="1435"/>
        <v>0</v>
      </c>
      <c r="AQ446" s="220">
        <f t="shared" si="1436"/>
        <v>0</v>
      </c>
      <c r="AR446" s="220">
        <f t="shared" si="1437"/>
        <v>0</v>
      </c>
      <c r="AS446" s="220">
        <f t="shared" si="1438"/>
        <v>0</v>
      </c>
      <c r="AT446" s="216">
        <f t="shared" si="1439"/>
        <v>0</v>
      </c>
      <c r="AU446" s="220">
        <f t="shared" si="1447"/>
        <v>0</v>
      </c>
      <c r="AV446" s="220"/>
      <c r="AW446" s="220">
        <f t="shared" si="1379"/>
        <v>0</v>
      </c>
      <c r="AX446" s="216">
        <f t="shared" si="1448"/>
        <v>0</v>
      </c>
      <c r="AY446" s="220">
        <f t="shared" si="1386"/>
        <v>0</v>
      </c>
      <c r="AZ446" s="220">
        <f t="shared" si="1387"/>
        <v>0</v>
      </c>
      <c r="BA446" s="220">
        <f t="shared" si="1388"/>
        <v>0</v>
      </c>
      <c r="BB446" s="220">
        <f t="shared" si="1389"/>
        <v>0</v>
      </c>
      <c r="BC446" s="220">
        <f t="shared" si="1390"/>
        <v>0</v>
      </c>
      <c r="BD446" s="216">
        <f t="shared" si="1410"/>
        <v>0</v>
      </c>
      <c r="BE446" s="220">
        <f t="shared" si="1380"/>
        <v>0</v>
      </c>
      <c r="BF446" s="220">
        <f t="shared" si="1381"/>
        <v>0</v>
      </c>
      <c r="BG446" s="220">
        <f t="shared" si="1382"/>
        <v>0</v>
      </c>
      <c r="BH446" s="220">
        <f t="shared" si="1383"/>
        <v>0</v>
      </c>
      <c r="BI446" s="220">
        <f t="shared" si="1384"/>
        <v>0</v>
      </c>
      <c r="BJ446" s="220" t="s">
        <v>187</v>
      </c>
      <c r="BK446" s="220"/>
      <c r="BL446" s="223">
        <f t="shared" si="1422"/>
        <v>0</v>
      </c>
      <c r="BM446" s="220">
        <v>3.33</v>
      </c>
      <c r="BN446" s="220"/>
      <c r="BO446" s="220">
        <f t="shared" si="1418"/>
        <v>3.33</v>
      </c>
      <c r="BP446" s="220">
        <f>IF(AND(BL446&gt;0,BL446&lt;tiet!$D$1),BL446,IF(BL446&lt;=0,0,IF(BL446&gt;tiet!$C$1,tiet!$C$1)))</f>
        <v>0</v>
      </c>
      <c r="BQ446" s="87">
        <f t="shared" si="1397"/>
        <v>65000</v>
      </c>
      <c r="BR446" s="224">
        <f t="shared" si="1391"/>
        <v>0</v>
      </c>
      <c r="BS446" s="220">
        <f t="shared" si="1301"/>
        <v>0</v>
      </c>
      <c r="BT446" s="224">
        <f>VLOOKUP(N446,ma_dinhmuc!$A$1:$J$31,10,0)</f>
        <v>51000</v>
      </c>
      <c r="BU446" s="224">
        <f>ROUND(IF(BS446&gt;0,VLOOKUP(N446,ma_dinhmuc!$A$1:$J$31,10,0)*BS446,0),0)</f>
        <v>0</v>
      </c>
      <c r="BV446" s="224">
        <f t="shared" si="1392"/>
        <v>0</v>
      </c>
      <c r="BW446" s="224"/>
      <c r="BX446" s="224">
        <v>0</v>
      </c>
      <c r="BY446" s="224"/>
      <c r="BZ446" s="224"/>
      <c r="CA446" s="224"/>
      <c r="CB446" s="224"/>
      <c r="CC446" s="225">
        <f t="shared" si="1419"/>
        <v>0</v>
      </c>
      <c r="CD446" s="224">
        <f t="shared" si="1420"/>
        <v>0</v>
      </c>
      <c r="CE446" s="224"/>
      <c r="CF446" s="226"/>
      <c r="CG446" s="87"/>
      <c r="CH446" s="87">
        <f t="shared" si="1407"/>
        <v>24</v>
      </c>
      <c r="CI446" s="227" t="str">
        <f t="shared" si="1412"/>
        <v>Nguyễn Thành</v>
      </c>
      <c r="CJ446" s="227" t="str">
        <f t="shared" si="1413"/>
        <v>Trung</v>
      </c>
      <c r="CK446" s="87">
        <f t="shared" si="1414"/>
        <v>9</v>
      </c>
      <c r="CL446" s="227" t="str">
        <f t="shared" si="1408"/>
        <v>Nội - Chẩn - Dược lý</v>
      </c>
      <c r="CM446" s="87" t="str">
        <f t="shared" si="1385"/>
        <v>CS2</v>
      </c>
      <c r="CN446" s="87">
        <f t="shared" si="1449"/>
        <v>270</v>
      </c>
      <c r="CO446" s="87">
        <f t="shared" si="1450"/>
        <v>120</v>
      </c>
      <c r="CP446" s="229">
        <f t="shared" si="1314"/>
        <v>0</v>
      </c>
      <c r="CQ446" s="229">
        <f t="shared" si="1315"/>
        <v>0</v>
      </c>
      <c r="CR446" s="229">
        <f t="shared" si="1316"/>
        <v>0</v>
      </c>
      <c r="CS446" s="229">
        <f t="shared" si="1317"/>
        <v>0</v>
      </c>
      <c r="CT446" s="229">
        <f t="shared" si="1318"/>
        <v>0</v>
      </c>
      <c r="CU446" s="229">
        <f t="shared" si="1319"/>
        <v>0</v>
      </c>
      <c r="CV446" s="229">
        <f t="shared" si="1320"/>
        <v>0</v>
      </c>
      <c r="CW446" s="229">
        <f t="shared" si="1321"/>
        <v>0</v>
      </c>
      <c r="CX446" s="229">
        <f t="shared" si="1322"/>
        <v>0</v>
      </c>
      <c r="CY446" s="229">
        <f t="shared" si="1323"/>
        <v>0</v>
      </c>
      <c r="CZ446" s="229">
        <f t="shared" si="1324"/>
        <v>0</v>
      </c>
      <c r="DA446" s="229">
        <f t="shared" si="1325"/>
        <v>0</v>
      </c>
      <c r="DB446" s="228">
        <f t="shared" si="1429"/>
        <v>0</v>
      </c>
      <c r="DC446" s="229"/>
      <c r="DD446" s="229"/>
      <c r="DE446" s="229"/>
      <c r="DF446" s="229"/>
      <c r="DG446" s="229"/>
      <c r="DH446" s="229"/>
      <c r="DI446" s="229"/>
      <c r="DJ446" s="229"/>
      <c r="DK446" s="229"/>
      <c r="DL446" s="229"/>
      <c r="DM446" s="229"/>
      <c r="DN446" s="229"/>
      <c r="DO446" s="228">
        <f t="shared" si="1440"/>
        <v>0</v>
      </c>
      <c r="DP446" s="228">
        <f t="shared" si="1441"/>
        <v>0</v>
      </c>
      <c r="DQ446" s="229">
        <f t="shared" si="1326"/>
        <v>0</v>
      </c>
      <c r="DR446" s="229">
        <f t="shared" si="1327"/>
        <v>0</v>
      </c>
      <c r="DS446" s="229">
        <f t="shared" si="1328"/>
        <v>0</v>
      </c>
      <c r="DT446" s="229">
        <f t="shared" si="1329"/>
        <v>0</v>
      </c>
      <c r="DU446" s="229">
        <f t="shared" si="1330"/>
        <v>0</v>
      </c>
      <c r="DV446" s="229">
        <f t="shared" si="1331"/>
        <v>0</v>
      </c>
      <c r="DW446" s="229">
        <f t="shared" si="1332"/>
        <v>0</v>
      </c>
      <c r="DX446" s="228">
        <f t="shared" si="1430"/>
        <v>0</v>
      </c>
      <c r="DY446" s="229"/>
      <c r="DZ446" s="229"/>
      <c r="EA446" s="229"/>
      <c r="EB446" s="229"/>
      <c r="EC446" s="229"/>
      <c r="ED446" s="229"/>
      <c r="EE446" s="229"/>
      <c r="EF446" s="228">
        <f t="shared" si="1305"/>
        <v>0</v>
      </c>
      <c r="EG446" s="228">
        <f t="shared" si="1442"/>
        <v>0</v>
      </c>
      <c r="EH446" s="229">
        <f t="shared" si="1306"/>
        <v>16.670000000000002</v>
      </c>
      <c r="EI446" s="229">
        <v>0</v>
      </c>
      <c r="EJ446" s="228">
        <f t="shared" si="1443"/>
        <v>16.670000000000002</v>
      </c>
      <c r="EK446" s="229"/>
      <c r="EL446" s="229"/>
      <c r="EM446" s="228">
        <f t="shared" si="1368"/>
        <v>0</v>
      </c>
      <c r="EN446" s="229">
        <f t="shared" si="1423"/>
        <v>16.670000000000002</v>
      </c>
      <c r="EO446" s="229">
        <f t="shared" si="1451"/>
        <v>0</v>
      </c>
      <c r="EP446" s="228">
        <f t="shared" si="1401"/>
        <v>16.670000000000002</v>
      </c>
      <c r="EQ446" s="173">
        <f t="shared" si="1303"/>
        <v>16.670000000000002</v>
      </c>
      <c r="ER446" s="189">
        <v>0</v>
      </c>
      <c r="ES446" s="189">
        <v>0</v>
      </c>
      <c r="ET446" s="189">
        <v>0</v>
      </c>
      <c r="EU446" s="189">
        <v>0</v>
      </c>
      <c r="EV446" s="189">
        <v>0</v>
      </c>
      <c r="EW446" s="189">
        <v>0</v>
      </c>
      <c r="EX446" s="189">
        <v>0</v>
      </c>
      <c r="EY446" s="189">
        <v>0</v>
      </c>
      <c r="EZ446" s="189">
        <v>0</v>
      </c>
      <c r="FA446" s="189">
        <v>0</v>
      </c>
      <c r="FB446" s="189">
        <v>0</v>
      </c>
      <c r="FC446" s="189">
        <v>0</v>
      </c>
      <c r="FD446" s="189">
        <v>0</v>
      </c>
      <c r="FE446" s="189">
        <v>0</v>
      </c>
      <c r="FF446" s="189">
        <v>0</v>
      </c>
      <c r="FG446" s="189">
        <v>0</v>
      </c>
      <c r="FH446" s="189">
        <v>0</v>
      </c>
      <c r="FI446" s="189">
        <v>0</v>
      </c>
      <c r="FJ446" s="189">
        <v>0</v>
      </c>
      <c r="FK446" s="189">
        <v>0</v>
      </c>
      <c r="FL446" s="189">
        <v>0</v>
      </c>
      <c r="FN446" s="132">
        <v>16.670000000000002</v>
      </c>
    </row>
    <row r="447" spans="1:170" ht="29.25" customHeight="1">
      <c r="A447" s="88">
        <f>COUNTIF($H$12:H447,H447)</f>
        <v>25</v>
      </c>
      <c r="B447" s="88" t="s">
        <v>2727</v>
      </c>
      <c r="C447" s="88" t="s">
        <v>736</v>
      </c>
      <c r="D447" s="88"/>
      <c r="E447" s="88"/>
      <c r="F447" s="301" t="s">
        <v>1139</v>
      </c>
      <c r="G447" s="89" t="s">
        <v>35</v>
      </c>
      <c r="H447" s="88">
        <v>9</v>
      </c>
      <c r="I447" s="88">
        <v>9</v>
      </c>
      <c r="J447" s="88">
        <v>9</v>
      </c>
      <c r="K447" s="90" t="s">
        <v>1103</v>
      </c>
      <c r="L447" s="90" t="s">
        <v>1103</v>
      </c>
      <c r="M447" s="214"/>
      <c r="N447" s="88" t="s">
        <v>1804</v>
      </c>
      <c r="O447" s="216">
        <f t="shared" si="1398"/>
        <v>3</v>
      </c>
      <c r="P447" s="88" t="str">
        <f t="shared" si="1333"/>
        <v>B1_3</v>
      </c>
      <c r="Q447" s="88">
        <f t="shared" si="1369"/>
        <v>270</v>
      </c>
      <c r="R447" s="88">
        <f t="shared" si="1370"/>
        <v>100</v>
      </c>
      <c r="S447" s="233" t="s">
        <v>2</v>
      </c>
      <c r="T447" s="88" t="s">
        <v>2961</v>
      </c>
      <c r="U447" s="88">
        <f>IF(RIGHT(T447,1)="K",(VLOOKUP(T447,ma_miengiam!$A$3:$B$80,2,0)*100)/2,VLOOKUP(T447,ma_miengiam!$A$3:$B$80,2,0)*100)</f>
        <v>100</v>
      </c>
      <c r="V447" s="88"/>
      <c r="W447" s="220">
        <f>IF(AND(T447="NTS",V447&gt;0),(Q447-(Q447*V447)/12)*VLOOKUP(T447,ma_miengiam!$A$3:$B$80,2,0)+(Q447-(Q447*(12-V447))/12),IF(AND(RIGHT(T447,1)="K",V447&gt;0),(VLOOKUP(T447,ma_miengiam!$A$3:$B$80,2,0)/2)*(Q447*V447)/12,IF(RIGHT(T447,1)="K",(VLOOKUP(T447,ma_miengiam!$A$3:$B$80,2,0)*Q447)/2,IF(V447&gt;0,VLOOKUP(T447,ma_miengiam!$A$3:$B$80,2,0)*Q447*V447/12,VLOOKUP(T447,ma_miengiam!$A$3:$B$80,2,0)*Q447))))</f>
        <v>270</v>
      </c>
      <c r="X447" s="220">
        <f>IF(T447="NTS",VLOOKUP(T447,ma_miengiam!$A$3:$B$80,2,0)*R447*V447,IF(AND(T447="NTS",V447=0),0,IF(AND(LEFT(T447,1)="K",V447=0),VLOOKUP(T447,ma_miengiam!$A$3:$B$80,2,0)*R447,IF(LEFT(T447,1)="K",(VLOOKUP(T447,ma_miengiam!$A$3:$B$80,2,0)*R447/12)*V447,IF(AND(LEFT(T447,1)="S",V447&gt;0),(R447/12)*V447,IF(AND(LEFT(T447,1)="S",V447=0),R447,IF(T447="DH",VLOOKUP(T447,ma_miengiam!$A$3:$B$80,2,0)*R447,0)))))))</f>
        <v>100</v>
      </c>
      <c r="Y447" s="220">
        <f t="shared" si="1344"/>
        <v>0</v>
      </c>
      <c r="Z447" s="220">
        <f t="shared" si="1444"/>
        <v>0</v>
      </c>
      <c r="AA447" s="220">
        <f t="shared" ref="AA447:AB449" si="1452">Q447</f>
        <v>270</v>
      </c>
      <c r="AB447" s="220">
        <f t="shared" si="1452"/>
        <v>100</v>
      </c>
      <c r="AC447" s="220">
        <f t="shared" ref="AC447:AF448" si="1453">W447</f>
        <v>270</v>
      </c>
      <c r="AD447" s="220">
        <f t="shared" si="1453"/>
        <v>100</v>
      </c>
      <c r="AE447" s="220">
        <f t="shared" si="1453"/>
        <v>0</v>
      </c>
      <c r="AF447" s="220">
        <f t="shared" si="1453"/>
        <v>0</v>
      </c>
      <c r="AG447" s="220">
        <f t="shared" si="1424"/>
        <v>164.64</v>
      </c>
      <c r="AH447" s="220">
        <f t="shared" si="1425"/>
        <v>152.13999999999999</v>
      </c>
      <c r="AI447" s="220">
        <f t="shared" si="1426"/>
        <v>12.5</v>
      </c>
      <c r="AJ447" s="220">
        <f t="shared" si="1396"/>
        <v>0</v>
      </c>
      <c r="AK447" s="216">
        <f t="shared" ref="AK447:AK508" si="1454">IF(AJ447&gt;=0,Y447,Y447-AJ447)</f>
        <v>0</v>
      </c>
      <c r="AL447" s="220">
        <f t="shared" si="1431"/>
        <v>0</v>
      </c>
      <c r="AM447" s="220">
        <f t="shared" si="1432"/>
        <v>0</v>
      </c>
      <c r="AN447" s="216">
        <f t="shared" si="1433"/>
        <v>0</v>
      </c>
      <c r="AO447" s="220">
        <f t="shared" si="1434"/>
        <v>0</v>
      </c>
      <c r="AP447" s="220">
        <f t="shared" si="1435"/>
        <v>0</v>
      </c>
      <c r="AQ447" s="220">
        <f t="shared" si="1436"/>
        <v>0</v>
      </c>
      <c r="AR447" s="220">
        <f t="shared" si="1437"/>
        <v>0</v>
      </c>
      <c r="AS447" s="220">
        <f t="shared" si="1438"/>
        <v>0</v>
      </c>
      <c r="AT447" s="216">
        <f t="shared" si="1439"/>
        <v>0</v>
      </c>
      <c r="AU447" s="220">
        <f t="shared" si="1447"/>
        <v>0</v>
      </c>
      <c r="AV447" s="220"/>
      <c r="AW447" s="220">
        <f t="shared" si="1379"/>
        <v>0</v>
      </c>
      <c r="AX447" s="216">
        <f t="shared" si="1448"/>
        <v>0</v>
      </c>
      <c r="AY447" s="220">
        <f t="shared" si="1386"/>
        <v>0</v>
      </c>
      <c r="AZ447" s="220">
        <f t="shared" si="1387"/>
        <v>0</v>
      </c>
      <c r="BA447" s="220">
        <f t="shared" si="1388"/>
        <v>0</v>
      </c>
      <c r="BB447" s="220">
        <f t="shared" si="1389"/>
        <v>0</v>
      </c>
      <c r="BC447" s="220">
        <f t="shared" si="1390"/>
        <v>0</v>
      </c>
      <c r="BD447" s="216">
        <f t="shared" si="1410"/>
        <v>0</v>
      </c>
      <c r="BE447" s="220">
        <f t="shared" si="1380"/>
        <v>0</v>
      </c>
      <c r="BF447" s="220">
        <f t="shared" si="1381"/>
        <v>0</v>
      </c>
      <c r="BG447" s="220">
        <f t="shared" si="1382"/>
        <v>0</v>
      </c>
      <c r="BH447" s="220">
        <f t="shared" si="1383"/>
        <v>0</v>
      </c>
      <c r="BI447" s="220">
        <f t="shared" si="1384"/>
        <v>0</v>
      </c>
      <c r="BJ447" s="220" t="s">
        <v>187</v>
      </c>
      <c r="BK447" s="220"/>
      <c r="BL447" s="223">
        <f t="shared" si="1422"/>
        <v>0</v>
      </c>
      <c r="BM447" s="220">
        <v>3</v>
      </c>
      <c r="BN447" s="220"/>
      <c r="BO447" s="220">
        <f t="shared" si="1418"/>
        <v>3</v>
      </c>
      <c r="BP447" s="220">
        <f>IF(AND(BL447&gt;0,BL447&lt;tiet!$D$1),BL447,IF(BL447&lt;=0,0,IF(BL447&gt;tiet!$C$1,tiet!$C$1)))</f>
        <v>0</v>
      </c>
      <c r="BQ447" s="87">
        <f t="shared" si="1397"/>
        <v>60000</v>
      </c>
      <c r="BR447" s="224">
        <f t="shared" si="1391"/>
        <v>0</v>
      </c>
      <c r="BS447" s="220">
        <f t="shared" si="1301"/>
        <v>0</v>
      </c>
      <c r="BT447" s="224">
        <f>VLOOKUP(N447,ma_dinhmuc!$A$1:$J$31,10,0)</f>
        <v>51000</v>
      </c>
      <c r="BU447" s="224">
        <f>ROUND(IF(BS447&gt;0,VLOOKUP(N447,ma_dinhmuc!$A$1:$J$31,10,0)*BS447,0),0)</f>
        <v>0</v>
      </c>
      <c r="BV447" s="224">
        <f t="shared" si="1392"/>
        <v>0</v>
      </c>
      <c r="BW447" s="224"/>
      <c r="BX447" s="224">
        <v>0</v>
      </c>
      <c r="BY447" s="224"/>
      <c r="BZ447" s="224"/>
      <c r="CA447" s="224"/>
      <c r="CB447" s="224"/>
      <c r="CC447" s="225">
        <f t="shared" si="1419"/>
        <v>0</v>
      </c>
      <c r="CD447" s="224">
        <f t="shared" si="1420"/>
        <v>0</v>
      </c>
      <c r="CE447" s="224"/>
      <c r="CF447" s="226"/>
      <c r="CG447" s="87"/>
      <c r="CH447" s="87">
        <f t="shared" si="1407"/>
        <v>25</v>
      </c>
      <c r="CI447" s="227" t="str">
        <f t="shared" si="1412"/>
        <v>Nguyễn Thị</v>
      </c>
      <c r="CJ447" s="227" t="str">
        <f t="shared" si="1413"/>
        <v>Hằng</v>
      </c>
      <c r="CK447" s="87">
        <f t="shared" si="1414"/>
        <v>9</v>
      </c>
      <c r="CL447" s="227" t="str">
        <f t="shared" si="1408"/>
        <v>Nội - Chẩn - Dược lý</v>
      </c>
      <c r="CM447" s="87" t="str">
        <f t="shared" si="1385"/>
        <v>CS2</v>
      </c>
      <c r="CN447" s="87">
        <f t="shared" si="1449"/>
        <v>270</v>
      </c>
      <c r="CO447" s="87">
        <f t="shared" si="1450"/>
        <v>100</v>
      </c>
      <c r="CP447" s="229">
        <f t="shared" si="1314"/>
        <v>0</v>
      </c>
      <c r="CQ447" s="229">
        <f t="shared" si="1315"/>
        <v>0</v>
      </c>
      <c r="CR447" s="229">
        <f t="shared" si="1316"/>
        <v>0</v>
      </c>
      <c r="CS447" s="229">
        <f t="shared" si="1317"/>
        <v>0</v>
      </c>
      <c r="CT447" s="229">
        <f t="shared" si="1318"/>
        <v>0</v>
      </c>
      <c r="CU447" s="229">
        <f t="shared" si="1319"/>
        <v>0</v>
      </c>
      <c r="CV447" s="229">
        <f t="shared" si="1320"/>
        <v>0</v>
      </c>
      <c r="CW447" s="229">
        <f t="shared" si="1321"/>
        <v>0</v>
      </c>
      <c r="CX447" s="229">
        <f t="shared" si="1322"/>
        <v>0</v>
      </c>
      <c r="CY447" s="229">
        <f t="shared" si="1323"/>
        <v>0</v>
      </c>
      <c r="CZ447" s="229">
        <f t="shared" si="1324"/>
        <v>0</v>
      </c>
      <c r="DA447" s="229">
        <f t="shared" si="1325"/>
        <v>0</v>
      </c>
      <c r="DB447" s="228">
        <f t="shared" si="1429"/>
        <v>0</v>
      </c>
      <c r="DC447" s="229"/>
      <c r="DD447" s="229"/>
      <c r="DE447" s="229"/>
      <c r="DF447" s="229"/>
      <c r="DG447" s="229"/>
      <c r="DH447" s="229"/>
      <c r="DI447" s="229"/>
      <c r="DJ447" s="229"/>
      <c r="DK447" s="229"/>
      <c r="DL447" s="229"/>
      <c r="DM447" s="229"/>
      <c r="DN447" s="229"/>
      <c r="DO447" s="228">
        <f t="shared" si="1440"/>
        <v>0</v>
      </c>
      <c r="DP447" s="228">
        <f t="shared" si="1441"/>
        <v>0</v>
      </c>
      <c r="DQ447" s="229">
        <f t="shared" si="1326"/>
        <v>0</v>
      </c>
      <c r="DR447" s="229">
        <f t="shared" si="1327"/>
        <v>0</v>
      </c>
      <c r="DS447" s="229">
        <f t="shared" si="1328"/>
        <v>0</v>
      </c>
      <c r="DT447" s="229">
        <f t="shared" si="1329"/>
        <v>0</v>
      </c>
      <c r="DU447" s="229">
        <f t="shared" si="1330"/>
        <v>0</v>
      </c>
      <c r="DV447" s="229">
        <f t="shared" si="1331"/>
        <v>0</v>
      </c>
      <c r="DW447" s="229">
        <f t="shared" si="1332"/>
        <v>0</v>
      </c>
      <c r="DX447" s="228">
        <f t="shared" si="1430"/>
        <v>0</v>
      </c>
      <c r="DY447" s="229"/>
      <c r="DZ447" s="229"/>
      <c r="EA447" s="229"/>
      <c r="EB447" s="229"/>
      <c r="EC447" s="229"/>
      <c r="ED447" s="229"/>
      <c r="EE447" s="229"/>
      <c r="EF447" s="228">
        <f t="shared" si="1305"/>
        <v>0</v>
      </c>
      <c r="EG447" s="228">
        <f t="shared" si="1442"/>
        <v>0</v>
      </c>
      <c r="EH447" s="229">
        <f t="shared" si="1306"/>
        <v>12.5</v>
      </c>
      <c r="EI447" s="229">
        <v>152.13999999999999</v>
      </c>
      <c r="EJ447" s="228">
        <f t="shared" si="1443"/>
        <v>164.64</v>
      </c>
      <c r="EK447" s="229"/>
      <c r="EL447" s="229"/>
      <c r="EM447" s="228">
        <f t="shared" si="1368"/>
        <v>0</v>
      </c>
      <c r="EN447" s="229">
        <f t="shared" si="1423"/>
        <v>12.5</v>
      </c>
      <c r="EO447" s="229">
        <f t="shared" si="1451"/>
        <v>152.13999999999999</v>
      </c>
      <c r="EP447" s="228">
        <f t="shared" si="1401"/>
        <v>164.64</v>
      </c>
      <c r="EQ447" s="173">
        <f t="shared" si="1303"/>
        <v>12.5</v>
      </c>
      <c r="ER447" s="189">
        <v>0</v>
      </c>
      <c r="ES447" s="189">
        <v>0</v>
      </c>
      <c r="ET447" s="189">
        <v>0</v>
      </c>
      <c r="EU447" s="189">
        <v>0</v>
      </c>
      <c r="EV447" s="189">
        <v>0</v>
      </c>
      <c r="EW447" s="189">
        <v>0</v>
      </c>
      <c r="EX447" s="189">
        <v>0</v>
      </c>
      <c r="EY447" s="189">
        <v>0</v>
      </c>
      <c r="EZ447" s="189">
        <v>0</v>
      </c>
      <c r="FA447" s="189">
        <v>0</v>
      </c>
      <c r="FB447" s="189">
        <v>0</v>
      </c>
      <c r="FC447" s="189">
        <v>0</v>
      </c>
      <c r="FD447" s="189">
        <v>0</v>
      </c>
      <c r="FE447" s="189">
        <v>0</v>
      </c>
      <c r="FF447" s="189">
        <v>0</v>
      </c>
      <c r="FG447" s="189">
        <v>0</v>
      </c>
      <c r="FH447" s="189">
        <v>0</v>
      </c>
      <c r="FI447" s="189">
        <v>0</v>
      </c>
      <c r="FJ447" s="189">
        <v>0</v>
      </c>
      <c r="FK447" s="189">
        <v>0</v>
      </c>
      <c r="FL447" s="189">
        <v>0</v>
      </c>
      <c r="FN447" s="132">
        <v>12.5</v>
      </c>
    </row>
    <row r="448" spans="1:170" ht="30" customHeight="1">
      <c r="A448" s="88">
        <f>COUNTIF($H$12:H448,H448)</f>
        <v>26</v>
      </c>
      <c r="B448" s="88" t="s">
        <v>2728</v>
      </c>
      <c r="C448" s="88" t="s">
        <v>737</v>
      </c>
      <c r="D448" s="88"/>
      <c r="E448" s="88"/>
      <c r="F448" s="301" t="s">
        <v>1147</v>
      </c>
      <c r="G448" s="89" t="s">
        <v>2293</v>
      </c>
      <c r="H448" s="88">
        <v>9</v>
      </c>
      <c r="I448" s="88">
        <v>9</v>
      </c>
      <c r="J448" s="88">
        <v>9</v>
      </c>
      <c r="K448" s="90" t="s">
        <v>1103</v>
      </c>
      <c r="L448" s="90" t="s">
        <v>1103</v>
      </c>
      <c r="M448" s="214"/>
      <c r="N448" s="88" t="s">
        <v>1804</v>
      </c>
      <c r="O448" s="216">
        <f t="shared" si="1398"/>
        <v>3</v>
      </c>
      <c r="P448" s="88" t="str">
        <f t="shared" si="1333"/>
        <v>B1_3</v>
      </c>
      <c r="Q448" s="88">
        <f t="shared" si="1369"/>
        <v>270</v>
      </c>
      <c r="R448" s="88">
        <f t="shared" si="1370"/>
        <v>100</v>
      </c>
      <c r="S448" s="231" t="s">
        <v>427</v>
      </c>
      <c r="T448" s="88" t="s">
        <v>2961</v>
      </c>
      <c r="U448" s="88">
        <f>IF(RIGHT(T448,1)="K",(VLOOKUP(T448,ma_miengiam!$A$3:$B$80,2,0)*100)/2,VLOOKUP(T448,ma_miengiam!$A$3:$B$80,2,0)*100)</f>
        <v>100</v>
      </c>
      <c r="V448" s="88"/>
      <c r="W448" s="220">
        <f>IF(AND(T448="NTS",V448&gt;0),(Q448-(Q448*V448)/12)*VLOOKUP(T448,ma_miengiam!$A$3:$B$80,2,0)+(Q448-(Q448*(12-V448))/12),IF(AND(RIGHT(T448,1)="K",V448&gt;0),(VLOOKUP(T448,ma_miengiam!$A$3:$B$80,2,0)/2)*(Q448*V448)/12,IF(RIGHT(T448,1)="K",(VLOOKUP(T448,ma_miengiam!$A$3:$B$80,2,0)*Q448)/2,IF(V448&gt;0,VLOOKUP(T448,ma_miengiam!$A$3:$B$80,2,0)*Q448*V448/12,VLOOKUP(T448,ma_miengiam!$A$3:$B$80,2,0)*Q448))))</f>
        <v>270</v>
      </c>
      <c r="X448" s="220">
        <f>IF(T448="NTS",VLOOKUP(T448,ma_miengiam!$A$3:$B$80,2,0)*R448*V448,IF(AND(T448="NTS",V448=0),0,IF(AND(LEFT(T448,1)="K",V448=0),VLOOKUP(T448,ma_miengiam!$A$3:$B$80,2,0)*R448,IF(LEFT(T448,1)="K",(VLOOKUP(T448,ma_miengiam!$A$3:$B$80,2,0)*R448/12)*V448,IF(AND(LEFT(T448,1)="S",V448&gt;0),(R448/12)*V448,IF(AND(LEFT(T448,1)="S",V448=0),R448,IF(T448="DH",VLOOKUP(T448,ma_miengiam!$A$3:$B$80,2,0)*R448,0)))))))</f>
        <v>100</v>
      </c>
      <c r="Y448" s="220">
        <f t="shared" si="1344"/>
        <v>0</v>
      </c>
      <c r="Z448" s="220">
        <f t="shared" si="1444"/>
        <v>0</v>
      </c>
      <c r="AA448" s="220">
        <f t="shared" si="1452"/>
        <v>270</v>
      </c>
      <c r="AB448" s="220">
        <f t="shared" si="1452"/>
        <v>100</v>
      </c>
      <c r="AC448" s="220">
        <f t="shared" si="1453"/>
        <v>270</v>
      </c>
      <c r="AD448" s="220">
        <f t="shared" si="1453"/>
        <v>100</v>
      </c>
      <c r="AE448" s="220">
        <f t="shared" si="1453"/>
        <v>0</v>
      </c>
      <c r="AF448" s="220">
        <f t="shared" si="1453"/>
        <v>0</v>
      </c>
      <c r="AG448" s="220">
        <f t="shared" si="1424"/>
        <v>89.62</v>
      </c>
      <c r="AH448" s="220">
        <f t="shared" si="1425"/>
        <v>89.62</v>
      </c>
      <c r="AI448" s="220">
        <f t="shared" si="1426"/>
        <v>0</v>
      </c>
      <c r="AJ448" s="220">
        <f t="shared" si="1396"/>
        <v>0</v>
      </c>
      <c r="AK448" s="216">
        <f t="shared" si="1454"/>
        <v>0</v>
      </c>
      <c r="AL448" s="220">
        <f t="shared" si="1431"/>
        <v>0</v>
      </c>
      <c r="AM448" s="220">
        <f t="shared" si="1432"/>
        <v>0</v>
      </c>
      <c r="AN448" s="216">
        <f t="shared" si="1433"/>
        <v>0</v>
      </c>
      <c r="AO448" s="220">
        <f t="shared" si="1434"/>
        <v>0</v>
      </c>
      <c r="AP448" s="220">
        <f t="shared" si="1435"/>
        <v>0</v>
      </c>
      <c r="AQ448" s="220">
        <f t="shared" si="1436"/>
        <v>0</v>
      </c>
      <c r="AR448" s="220">
        <f t="shared" si="1437"/>
        <v>0</v>
      </c>
      <c r="AS448" s="220">
        <f t="shared" si="1438"/>
        <v>0</v>
      </c>
      <c r="AT448" s="216">
        <f t="shared" si="1439"/>
        <v>0</v>
      </c>
      <c r="AU448" s="220">
        <f t="shared" si="1447"/>
        <v>0</v>
      </c>
      <c r="AV448" s="220"/>
      <c r="AW448" s="220">
        <f t="shared" si="1379"/>
        <v>0</v>
      </c>
      <c r="AX448" s="216">
        <f t="shared" si="1448"/>
        <v>0</v>
      </c>
      <c r="AY448" s="220">
        <f t="shared" si="1386"/>
        <v>0</v>
      </c>
      <c r="AZ448" s="220">
        <f t="shared" si="1387"/>
        <v>0</v>
      </c>
      <c r="BA448" s="220">
        <f t="shared" si="1388"/>
        <v>0</v>
      </c>
      <c r="BB448" s="220">
        <f t="shared" si="1389"/>
        <v>0</v>
      </c>
      <c r="BC448" s="220">
        <f t="shared" si="1390"/>
        <v>0</v>
      </c>
      <c r="BD448" s="216">
        <f t="shared" si="1410"/>
        <v>0</v>
      </c>
      <c r="BE448" s="220">
        <f t="shared" si="1380"/>
        <v>0</v>
      </c>
      <c r="BF448" s="220">
        <f t="shared" si="1381"/>
        <v>0</v>
      </c>
      <c r="BG448" s="220">
        <f t="shared" si="1382"/>
        <v>0</v>
      </c>
      <c r="BH448" s="220">
        <f t="shared" si="1383"/>
        <v>0</v>
      </c>
      <c r="BI448" s="220">
        <f t="shared" si="1384"/>
        <v>0</v>
      </c>
      <c r="BJ448" s="220" t="s">
        <v>187</v>
      </c>
      <c r="BK448" s="220"/>
      <c r="BL448" s="223">
        <f t="shared" si="1422"/>
        <v>0</v>
      </c>
      <c r="BM448" s="220">
        <v>3</v>
      </c>
      <c r="BN448" s="220"/>
      <c r="BO448" s="220">
        <f t="shared" si="1418"/>
        <v>3</v>
      </c>
      <c r="BP448" s="220">
        <f>IF(AND(BL448&gt;0,BL448&lt;tiet!$D$1),BL448,IF(BL448&lt;=0,0,IF(BL448&gt;tiet!$C$1,tiet!$C$1)))</f>
        <v>0</v>
      </c>
      <c r="BQ448" s="87">
        <f t="shared" si="1397"/>
        <v>60000</v>
      </c>
      <c r="BR448" s="224">
        <f t="shared" si="1391"/>
        <v>0</v>
      </c>
      <c r="BS448" s="220">
        <f t="shared" si="1301"/>
        <v>0</v>
      </c>
      <c r="BT448" s="224">
        <f>VLOOKUP(N448,ma_dinhmuc!$A$1:$J$31,10,0)</f>
        <v>51000</v>
      </c>
      <c r="BU448" s="224">
        <f>ROUND(IF(BS448&gt;0,VLOOKUP(N448,ma_dinhmuc!$A$1:$J$31,10,0)*BS448,0),0)</f>
        <v>0</v>
      </c>
      <c r="BV448" s="224">
        <f t="shared" si="1392"/>
        <v>0</v>
      </c>
      <c r="BW448" s="224"/>
      <c r="BX448" s="224">
        <v>0</v>
      </c>
      <c r="BY448" s="224"/>
      <c r="BZ448" s="224"/>
      <c r="CA448" s="224"/>
      <c r="CB448" s="224"/>
      <c r="CC448" s="225">
        <f t="shared" si="1419"/>
        <v>0</v>
      </c>
      <c r="CD448" s="224">
        <f t="shared" si="1420"/>
        <v>0</v>
      </c>
      <c r="CE448" s="224"/>
      <c r="CF448" s="226"/>
      <c r="CG448" s="87"/>
      <c r="CH448" s="87">
        <f t="shared" si="1407"/>
        <v>26</v>
      </c>
      <c r="CI448" s="227" t="str">
        <f t="shared" si="1412"/>
        <v>Nguyễn Mạnh</v>
      </c>
      <c r="CJ448" s="227" t="str">
        <f t="shared" si="1413"/>
        <v>Tường</v>
      </c>
      <c r="CK448" s="87">
        <f t="shared" si="1414"/>
        <v>9</v>
      </c>
      <c r="CL448" s="227" t="str">
        <f t="shared" si="1408"/>
        <v>Nội - Chẩn - Dược lý</v>
      </c>
      <c r="CM448" s="87" t="str">
        <f t="shared" si="1385"/>
        <v>CS2</v>
      </c>
      <c r="CN448" s="87">
        <f t="shared" si="1449"/>
        <v>270</v>
      </c>
      <c r="CO448" s="87">
        <f t="shared" si="1450"/>
        <v>100</v>
      </c>
      <c r="CP448" s="229">
        <f t="shared" si="1314"/>
        <v>0</v>
      </c>
      <c r="CQ448" s="229">
        <f t="shared" si="1315"/>
        <v>0</v>
      </c>
      <c r="CR448" s="229">
        <f t="shared" si="1316"/>
        <v>0</v>
      </c>
      <c r="CS448" s="229">
        <f t="shared" si="1317"/>
        <v>0</v>
      </c>
      <c r="CT448" s="229">
        <f t="shared" si="1318"/>
        <v>0</v>
      </c>
      <c r="CU448" s="229">
        <f t="shared" si="1319"/>
        <v>0</v>
      </c>
      <c r="CV448" s="229">
        <f t="shared" si="1320"/>
        <v>0</v>
      </c>
      <c r="CW448" s="229">
        <f t="shared" si="1321"/>
        <v>0</v>
      </c>
      <c r="CX448" s="229">
        <f t="shared" si="1322"/>
        <v>0</v>
      </c>
      <c r="CY448" s="229">
        <f t="shared" si="1323"/>
        <v>0</v>
      </c>
      <c r="CZ448" s="229">
        <f t="shared" si="1324"/>
        <v>0</v>
      </c>
      <c r="DA448" s="229">
        <f t="shared" si="1325"/>
        <v>0</v>
      </c>
      <c r="DB448" s="228">
        <f t="shared" si="1429"/>
        <v>0</v>
      </c>
      <c r="DC448" s="229"/>
      <c r="DD448" s="229"/>
      <c r="DE448" s="229"/>
      <c r="DF448" s="229"/>
      <c r="DG448" s="229"/>
      <c r="DH448" s="229"/>
      <c r="DI448" s="229"/>
      <c r="DJ448" s="229"/>
      <c r="DK448" s="229"/>
      <c r="DL448" s="229"/>
      <c r="DM448" s="229"/>
      <c r="DN448" s="229"/>
      <c r="DO448" s="228">
        <f t="shared" si="1440"/>
        <v>0</v>
      </c>
      <c r="DP448" s="228">
        <f t="shared" si="1441"/>
        <v>0</v>
      </c>
      <c r="DQ448" s="229">
        <f t="shared" si="1326"/>
        <v>0</v>
      </c>
      <c r="DR448" s="229">
        <f t="shared" si="1327"/>
        <v>0</v>
      </c>
      <c r="DS448" s="229">
        <f t="shared" si="1328"/>
        <v>0</v>
      </c>
      <c r="DT448" s="229">
        <f t="shared" si="1329"/>
        <v>0</v>
      </c>
      <c r="DU448" s="229">
        <f t="shared" si="1330"/>
        <v>0</v>
      </c>
      <c r="DV448" s="229">
        <f t="shared" si="1331"/>
        <v>0</v>
      </c>
      <c r="DW448" s="229">
        <f t="shared" si="1332"/>
        <v>0</v>
      </c>
      <c r="DX448" s="228">
        <f t="shared" si="1430"/>
        <v>0</v>
      </c>
      <c r="DY448" s="229"/>
      <c r="DZ448" s="229"/>
      <c r="EA448" s="229"/>
      <c r="EB448" s="229"/>
      <c r="EC448" s="229"/>
      <c r="ED448" s="229"/>
      <c r="EE448" s="229"/>
      <c r="EF448" s="228">
        <f t="shared" si="1305"/>
        <v>0</v>
      </c>
      <c r="EG448" s="228">
        <f t="shared" si="1442"/>
        <v>0</v>
      </c>
      <c r="EH448" s="229">
        <f t="shared" si="1306"/>
        <v>0</v>
      </c>
      <c r="EI448" s="229">
        <v>89.62</v>
      </c>
      <c r="EJ448" s="228">
        <f>SUM(EH448:EI448)</f>
        <v>89.62</v>
      </c>
      <c r="EK448" s="229"/>
      <c r="EL448" s="229"/>
      <c r="EM448" s="228">
        <f t="shared" si="1368"/>
        <v>0</v>
      </c>
      <c r="EN448" s="229">
        <f t="shared" si="1423"/>
        <v>0</v>
      </c>
      <c r="EO448" s="229">
        <f t="shared" si="1451"/>
        <v>89.62</v>
      </c>
      <c r="EP448" s="228">
        <f t="shared" si="1401"/>
        <v>89.62</v>
      </c>
      <c r="EQ448" s="173">
        <f t="shared" si="1303"/>
        <v>0</v>
      </c>
      <c r="ER448" s="189">
        <v>0</v>
      </c>
      <c r="ES448" s="189">
        <v>0</v>
      </c>
      <c r="ET448" s="189">
        <v>0</v>
      </c>
      <c r="EU448" s="189">
        <v>0</v>
      </c>
      <c r="EV448" s="189">
        <v>0</v>
      </c>
      <c r="EW448" s="189">
        <v>0</v>
      </c>
      <c r="EX448" s="189">
        <v>0</v>
      </c>
      <c r="EY448" s="189">
        <v>0</v>
      </c>
      <c r="EZ448" s="189">
        <v>0</v>
      </c>
      <c r="FA448" s="189">
        <v>0</v>
      </c>
      <c r="FB448" s="189">
        <v>0</v>
      </c>
      <c r="FC448" s="189">
        <v>0</v>
      </c>
      <c r="FD448" s="189">
        <v>0</v>
      </c>
      <c r="FE448" s="189">
        <v>0</v>
      </c>
      <c r="FF448" s="189">
        <v>0</v>
      </c>
      <c r="FG448" s="189">
        <v>0</v>
      </c>
      <c r="FH448" s="189">
        <v>0</v>
      </c>
      <c r="FI448" s="189">
        <v>0</v>
      </c>
      <c r="FJ448" s="189">
        <v>0</v>
      </c>
      <c r="FK448" s="189">
        <v>0</v>
      </c>
      <c r="FL448" s="189">
        <v>0</v>
      </c>
      <c r="FN448" s="132">
        <v>0</v>
      </c>
    </row>
    <row r="449" spans="1:170" ht="30" customHeight="1">
      <c r="A449" s="88">
        <f>COUNTIF($H$12:H449,H449)</f>
        <v>27</v>
      </c>
      <c r="B449" s="88" t="s">
        <v>2729</v>
      </c>
      <c r="C449" s="88" t="s">
        <v>738</v>
      </c>
      <c r="D449" s="88"/>
      <c r="E449" s="88"/>
      <c r="F449" s="301" t="s">
        <v>2897</v>
      </c>
      <c r="G449" s="89" t="s">
        <v>17</v>
      </c>
      <c r="H449" s="88">
        <v>9</v>
      </c>
      <c r="I449" s="88">
        <v>9</v>
      </c>
      <c r="J449" s="88">
        <v>9</v>
      </c>
      <c r="K449" s="90" t="s">
        <v>1103</v>
      </c>
      <c r="L449" s="90" t="s">
        <v>1103</v>
      </c>
      <c r="M449" s="214"/>
      <c r="N449" s="88" t="s">
        <v>1804</v>
      </c>
      <c r="O449" s="216">
        <f t="shared" si="1398"/>
        <v>3.33</v>
      </c>
      <c r="P449" s="88" t="str">
        <f t="shared" si="1333"/>
        <v>B1_4</v>
      </c>
      <c r="Q449" s="88">
        <f t="shared" si="1369"/>
        <v>270</v>
      </c>
      <c r="R449" s="88">
        <f t="shared" si="1370"/>
        <v>120</v>
      </c>
      <c r="S449" s="231"/>
      <c r="T449" s="88" t="s">
        <v>3088</v>
      </c>
      <c r="U449" s="88">
        <f>IF(RIGHT(T449,1)="K",(VLOOKUP(T449,ma_miengiam!$A$3:$B$80,2,0)*100)/2,VLOOKUP(T449,ma_miengiam!$A$3:$B$80,2,0)*100)</f>
        <v>0</v>
      </c>
      <c r="V449" s="88"/>
      <c r="W449" s="220">
        <f>IF(AND(T449="NTS",V449&gt;0),(Q449-(Q449*V449)/12)*VLOOKUP(T449,ma_miengiam!$A$3:$B$80,2,0)+(Q449-(Q449*(12-V449))/12),IF(AND(RIGHT(T449,1)="K",V449&gt;0),(VLOOKUP(T449,ma_miengiam!$A$3:$B$80,2,0)/2)*(Q449*V449)/12,IF(RIGHT(T449,1)="K",(VLOOKUP(T449,ma_miengiam!$A$3:$B$80,2,0)*Q449)/2,IF(V449&gt;0,VLOOKUP(T449,ma_miengiam!$A$3:$B$80,2,0)*Q449*V449/12,VLOOKUP(T449,ma_miengiam!$A$3:$B$80,2,0)*Q449))))</f>
        <v>0</v>
      </c>
      <c r="X449" s="220">
        <f>IF(T449="NTS",VLOOKUP(T449,ma_miengiam!$A$3:$B$80,2,0)*R449*V449,IF(AND(T449="NTS",V449=0),0,IF(AND(LEFT(T449,1)="K",V449=0),VLOOKUP(T449,ma_miengiam!$A$3:$B$80,2,0)*R449,IF(LEFT(T449,1)="K",(VLOOKUP(T449,ma_miengiam!$A$3:$B$80,2,0)*R449/12)*V449,IF(AND(LEFT(T449,1)="S",V449&gt;0),(R449/12)*V449,IF(AND(LEFT(T449,1)="S",V449=0),R449,IF(T449="DH",VLOOKUP(T449,ma_miengiam!$A$3:$B$80,2,0)*R449,0)))))))</f>
        <v>0</v>
      </c>
      <c r="Y449" s="220">
        <f t="shared" si="1344"/>
        <v>270</v>
      </c>
      <c r="Z449" s="220">
        <f t="shared" si="1444"/>
        <v>120</v>
      </c>
      <c r="AA449" s="220">
        <f t="shared" si="1452"/>
        <v>270</v>
      </c>
      <c r="AB449" s="220">
        <f t="shared" si="1452"/>
        <v>120</v>
      </c>
      <c r="AC449" s="220">
        <f t="shared" ref="AC449:AF450" si="1455">W449</f>
        <v>0</v>
      </c>
      <c r="AD449" s="220">
        <f t="shared" si="1455"/>
        <v>0</v>
      </c>
      <c r="AE449" s="220">
        <f t="shared" si="1455"/>
        <v>270</v>
      </c>
      <c r="AF449" s="220">
        <f t="shared" si="1455"/>
        <v>120</v>
      </c>
      <c r="AG449" s="220">
        <f t="shared" si="1424"/>
        <v>225.92000000000002</v>
      </c>
      <c r="AH449" s="220">
        <f t="shared" si="1425"/>
        <v>1.7600000000000051</v>
      </c>
      <c r="AI449" s="220">
        <f t="shared" si="1426"/>
        <v>224.16</v>
      </c>
      <c r="AJ449" s="220">
        <f>IF(AG449-Z449&gt;0,0,AG449-Z449)</f>
        <v>0</v>
      </c>
      <c r="AK449" s="216">
        <f t="shared" si="1454"/>
        <v>270</v>
      </c>
      <c r="AL449" s="220">
        <f t="shared" si="1431"/>
        <v>495</v>
      </c>
      <c r="AM449" s="220">
        <f t="shared" si="1432"/>
        <v>112.39999999999999</v>
      </c>
      <c r="AN449" s="221">
        <f t="shared" si="1433"/>
        <v>607.4</v>
      </c>
      <c r="AO449" s="220">
        <f t="shared" si="1434"/>
        <v>0</v>
      </c>
      <c r="AP449" s="220">
        <f t="shared" si="1435"/>
        <v>15</v>
      </c>
      <c r="AQ449" s="220">
        <f t="shared" si="1436"/>
        <v>200</v>
      </c>
      <c r="AR449" s="220">
        <f t="shared" si="1437"/>
        <v>0</v>
      </c>
      <c r="AS449" s="220">
        <f t="shared" si="1438"/>
        <v>0</v>
      </c>
      <c r="AT449" s="216">
        <f t="shared" si="1439"/>
        <v>822.4</v>
      </c>
      <c r="AU449" s="222">
        <f t="shared" si="1447"/>
        <v>337.4</v>
      </c>
      <c r="AV449" s="220"/>
      <c r="AW449" s="220">
        <f t="shared" si="1379"/>
        <v>337.4</v>
      </c>
      <c r="AX449" s="216">
        <f t="shared" si="1448"/>
        <v>0</v>
      </c>
      <c r="AY449" s="220">
        <f t="shared" si="1386"/>
        <v>0</v>
      </c>
      <c r="AZ449" s="220">
        <f t="shared" si="1387"/>
        <v>15</v>
      </c>
      <c r="BA449" s="220">
        <f t="shared" si="1388"/>
        <v>200</v>
      </c>
      <c r="BB449" s="220">
        <f t="shared" si="1389"/>
        <v>0</v>
      </c>
      <c r="BC449" s="220">
        <f t="shared" si="1390"/>
        <v>0</v>
      </c>
      <c r="BD449" s="216">
        <f t="shared" si="1410"/>
        <v>215</v>
      </c>
      <c r="BE449" s="220">
        <f t="shared" si="1380"/>
        <v>0</v>
      </c>
      <c r="BF449" s="220">
        <f t="shared" si="1381"/>
        <v>0</v>
      </c>
      <c r="BG449" s="220">
        <f t="shared" si="1382"/>
        <v>0</v>
      </c>
      <c r="BH449" s="220">
        <f t="shared" si="1383"/>
        <v>0</v>
      </c>
      <c r="BI449" s="220">
        <f t="shared" si="1384"/>
        <v>0</v>
      </c>
      <c r="BJ449" s="220" t="s">
        <v>2487</v>
      </c>
      <c r="BK449" s="220"/>
      <c r="BL449" s="223">
        <f t="shared" si="1422"/>
        <v>337.4</v>
      </c>
      <c r="BM449" s="220">
        <v>3.33</v>
      </c>
      <c r="BN449" s="220"/>
      <c r="BO449" s="220">
        <f t="shared" si="1418"/>
        <v>3.33</v>
      </c>
      <c r="BP449" s="220">
        <f>IF(AND(BL449&gt;0,BL449&lt;tiet!$D$1),BL449,IF(BL449&lt;=0,0,IF(BL449&gt;tiet!$C$1,tiet!$C$1)))</f>
        <v>200</v>
      </c>
      <c r="BQ449" s="87">
        <f>VLOOKUP(P449,ma_dinhmuc_moi,4,0)</f>
        <v>65000</v>
      </c>
      <c r="BR449" s="224">
        <f>ROUND(BQ449*BP449,0)</f>
        <v>13000000</v>
      </c>
      <c r="BS449" s="220">
        <f t="shared" si="1301"/>
        <v>137.39999999999998</v>
      </c>
      <c r="BT449" s="224">
        <f>VLOOKUP(N449,ma_dinhmuc!$A$1:$J$31,10,0)</f>
        <v>51000</v>
      </c>
      <c r="BU449" s="224">
        <f>ROUND(IF(BS449&gt;0,VLOOKUP(N449,ma_dinhmuc!$A$1:$J$31,10,0)*BS449,0),0)</f>
        <v>7007400</v>
      </c>
      <c r="BV449" s="224">
        <f>ROUND(BU449+BR449,0)</f>
        <v>20007400</v>
      </c>
      <c r="BW449" s="224"/>
      <c r="BX449" s="224">
        <v>0</v>
      </c>
      <c r="BY449" s="224"/>
      <c r="BZ449" s="224"/>
      <c r="CA449" s="224"/>
      <c r="CB449" s="224"/>
      <c r="CC449" s="225">
        <f t="shared" si="1419"/>
        <v>20007400</v>
      </c>
      <c r="CD449" s="224">
        <f t="shared" si="1420"/>
        <v>0</v>
      </c>
      <c r="CE449" s="224"/>
      <c r="CF449" s="226"/>
      <c r="CG449" s="87"/>
      <c r="CH449" s="87">
        <f t="shared" si="1407"/>
        <v>27</v>
      </c>
      <c r="CI449" s="227" t="str">
        <f t="shared" si="1412"/>
        <v>Nguyễn Thị Thanh</v>
      </c>
      <c r="CJ449" s="227" t="str">
        <f t="shared" si="1413"/>
        <v>Hà</v>
      </c>
      <c r="CK449" s="87">
        <f t="shared" si="1414"/>
        <v>9</v>
      </c>
      <c r="CL449" s="227" t="str">
        <f t="shared" si="1408"/>
        <v>Nội - Chẩn - Dược lý</v>
      </c>
      <c r="CM449" s="87" t="str">
        <f t="shared" si="1385"/>
        <v>CS2</v>
      </c>
      <c r="CN449" s="87">
        <f t="shared" si="1449"/>
        <v>270</v>
      </c>
      <c r="CO449" s="87">
        <f t="shared" si="1450"/>
        <v>120</v>
      </c>
      <c r="CP449" s="229">
        <f t="shared" si="1314"/>
        <v>0</v>
      </c>
      <c r="CQ449" s="229">
        <f t="shared" si="1315"/>
        <v>141.5</v>
      </c>
      <c r="CR449" s="229">
        <f t="shared" si="1316"/>
        <v>56.7</v>
      </c>
      <c r="CS449" s="229">
        <f t="shared" si="1317"/>
        <v>0</v>
      </c>
      <c r="CT449" s="229">
        <f t="shared" si="1318"/>
        <v>0</v>
      </c>
      <c r="CU449" s="229">
        <f t="shared" si="1319"/>
        <v>280.8</v>
      </c>
      <c r="CV449" s="229">
        <f t="shared" si="1320"/>
        <v>0</v>
      </c>
      <c r="CW449" s="229">
        <f t="shared" si="1321"/>
        <v>16</v>
      </c>
      <c r="CX449" s="229">
        <f t="shared" si="1322"/>
        <v>0</v>
      </c>
      <c r="CY449" s="229">
        <f t="shared" si="1323"/>
        <v>0</v>
      </c>
      <c r="CZ449" s="229">
        <f t="shared" si="1324"/>
        <v>15</v>
      </c>
      <c r="DA449" s="229">
        <f t="shared" si="1325"/>
        <v>200</v>
      </c>
      <c r="DB449" s="228">
        <f t="shared" si="1429"/>
        <v>710</v>
      </c>
      <c r="DC449" s="229"/>
      <c r="DD449" s="229"/>
      <c r="DE449" s="229"/>
      <c r="DF449" s="229"/>
      <c r="DG449" s="229"/>
      <c r="DH449" s="229"/>
      <c r="DI449" s="229"/>
      <c r="DJ449" s="229"/>
      <c r="DK449" s="229"/>
      <c r="DL449" s="229"/>
      <c r="DM449" s="229"/>
      <c r="DN449" s="229"/>
      <c r="DO449" s="228">
        <f t="shared" si="1440"/>
        <v>0</v>
      </c>
      <c r="DP449" s="228">
        <f t="shared" si="1441"/>
        <v>710</v>
      </c>
      <c r="DQ449" s="229">
        <f t="shared" si="1326"/>
        <v>108</v>
      </c>
      <c r="DR449" s="229">
        <f t="shared" si="1327"/>
        <v>3.1</v>
      </c>
      <c r="DS449" s="229">
        <f t="shared" si="1328"/>
        <v>0</v>
      </c>
      <c r="DT449" s="229">
        <f t="shared" si="1329"/>
        <v>1.3</v>
      </c>
      <c r="DU449" s="229">
        <f t="shared" si="1330"/>
        <v>0</v>
      </c>
      <c r="DV449" s="229">
        <f t="shared" si="1331"/>
        <v>0</v>
      </c>
      <c r="DW449" s="229">
        <f t="shared" si="1332"/>
        <v>0</v>
      </c>
      <c r="DX449" s="228">
        <f t="shared" si="1430"/>
        <v>112.39999999999999</v>
      </c>
      <c r="DY449" s="229"/>
      <c r="DZ449" s="229"/>
      <c r="EA449" s="229"/>
      <c r="EB449" s="229"/>
      <c r="EC449" s="229"/>
      <c r="ED449" s="229"/>
      <c r="EE449" s="229"/>
      <c r="EF449" s="228">
        <f t="shared" si="1305"/>
        <v>0</v>
      </c>
      <c r="EG449" s="228">
        <f t="shared" si="1442"/>
        <v>112.39999999999999</v>
      </c>
      <c r="EH449" s="229">
        <f t="shared" si="1306"/>
        <v>224.16</v>
      </c>
      <c r="EI449" s="229">
        <v>1.7600000000000051</v>
      </c>
      <c r="EJ449" s="228">
        <f>SUM(EH449:EI449)</f>
        <v>225.92000000000002</v>
      </c>
      <c r="EK449" s="229"/>
      <c r="EL449" s="229"/>
      <c r="EM449" s="228">
        <f t="shared" si="1368"/>
        <v>0</v>
      </c>
      <c r="EN449" s="229">
        <f t="shared" si="1423"/>
        <v>224.16</v>
      </c>
      <c r="EO449" s="229">
        <f t="shared" si="1451"/>
        <v>1.7600000000000051</v>
      </c>
      <c r="EP449" s="228">
        <f t="shared" si="1401"/>
        <v>225.92000000000002</v>
      </c>
      <c r="EQ449" s="173">
        <f t="shared" si="1303"/>
        <v>104.16</v>
      </c>
      <c r="ER449" s="189">
        <v>0</v>
      </c>
      <c r="ES449" s="189">
        <v>141.5</v>
      </c>
      <c r="ET449" s="189">
        <v>56.7</v>
      </c>
      <c r="EU449" s="189">
        <v>0</v>
      </c>
      <c r="EV449" s="189">
        <v>0</v>
      </c>
      <c r="EW449" s="189">
        <v>280.8</v>
      </c>
      <c r="EX449" s="189">
        <v>0</v>
      </c>
      <c r="EY449" s="189">
        <v>16</v>
      </c>
      <c r="EZ449" s="189">
        <v>0</v>
      </c>
      <c r="FA449" s="189">
        <v>0</v>
      </c>
      <c r="FB449" s="189">
        <v>15</v>
      </c>
      <c r="FC449" s="189">
        <v>200</v>
      </c>
      <c r="FD449" s="189">
        <v>108</v>
      </c>
      <c r="FE449" s="189">
        <v>3.1</v>
      </c>
      <c r="FF449" s="189">
        <v>0</v>
      </c>
      <c r="FG449" s="189">
        <v>1.3</v>
      </c>
      <c r="FH449" s="189">
        <v>0</v>
      </c>
      <c r="FI449" s="189">
        <v>0</v>
      </c>
      <c r="FJ449" s="189">
        <v>0</v>
      </c>
      <c r="FK449" s="189">
        <v>822.4</v>
      </c>
      <c r="FL449" s="189">
        <v>517</v>
      </c>
      <c r="FN449" s="132">
        <v>224.16</v>
      </c>
    </row>
    <row r="450" spans="1:170" ht="26.25" customHeight="1">
      <c r="A450" s="88">
        <f>COUNTIF($H$12:H450,H450)</f>
        <v>28</v>
      </c>
      <c r="B450" s="88" t="s">
        <v>2730</v>
      </c>
      <c r="C450" s="88" t="s">
        <v>739</v>
      </c>
      <c r="D450" s="88"/>
      <c r="E450" s="88"/>
      <c r="F450" s="301" t="s">
        <v>2294</v>
      </c>
      <c r="G450" s="89" t="s">
        <v>2295</v>
      </c>
      <c r="H450" s="88">
        <v>9</v>
      </c>
      <c r="I450" s="88">
        <v>9</v>
      </c>
      <c r="J450" s="88">
        <v>9</v>
      </c>
      <c r="K450" s="90" t="s">
        <v>1104</v>
      </c>
      <c r="L450" s="90" t="s">
        <v>1104</v>
      </c>
      <c r="M450" s="214"/>
      <c r="N450" s="88" t="s">
        <v>1804</v>
      </c>
      <c r="O450" s="216">
        <f t="shared" ref="O450:O457" si="1456">BO450</f>
        <v>3.33</v>
      </c>
      <c r="P450" s="88" t="str">
        <f t="shared" si="1333"/>
        <v>B1_4</v>
      </c>
      <c r="Q450" s="88">
        <f t="shared" si="1369"/>
        <v>270</v>
      </c>
      <c r="R450" s="88">
        <f t="shared" si="1370"/>
        <v>120</v>
      </c>
      <c r="S450" s="234" t="s">
        <v>2350</v>
      </c>
      <c r="T450" s="88" t="s">
        <v>2961</v>
      </c>
      <c r="U450" s="88">
        <f>IF(RIGHT(T450,1)="K",(VLOOKUP(T450,ma_miengiam!$A$3:$B$80,2,0)*100)/2,VLOOKUP(T450,ma_miengiam!$A$3:$B$80,2,0)*100)</f>
        <v>100</v>
      </c>
      <c r="V450" s="88"/>
      <c r="W450" s="220">
        <f>IF(AND(T450="NTS",V450&gt;0),(Q450-(Q450*V450)/12)*VLOOKUP(T450,ma_miengiam!$A$3:$B$80,2,0)+(Q450-(Q450*(12-V450))/12),IF(AND(RIGHT(T450,1)="K",V450&gt;0),(VLOOKUP(T450,ma_miengiam!$A$3:$B$80,2,0)/2)*(Q450*V450)/12,IF(RIGHT(T450,1)="K",(VLOOKUP(T450,ma_miengiam!$A$3:$B$80,2,0)*Q450)/2,IF(V450&gt;0,VLOOKUP(T450,ma_miengiam!$A$3:$B$80,2,0)*Q450*V450/12,VLOOKUP(T450,ma_miengiam!$A$3:$B$80,2,0)*Q450))))</f>
        <v>270</v>
      </c>
      <c r="X450" s="220">
        <f>IF(T450="NTS",VLOOKUP(T450,ma_miengiam!$A$3:$B$80,2,0)*R450*V450,IF(AND(T450="NTS",V450=0),0,IF(AND(LEFT(T450,1)="K",V450=0),VLOOKUP(T450,ma_miengiam!$A$3:$B$80,2,0)*R450,IF(LEFT(T450,1)="K",(VLOOKUP(T450,ma_miengiam!$A$3:$B$80,2,0)*R450/12)*V450,IF(AND(LEFT(T450,1)="S",V450&gt;0),(R450/12)*V450,IF(AND(LEFT(T450,1)="S",V450=0),R450,IF(T450="DH",VLOOKUP(T450,ma_miengiam!$A$3:$B$80,2,0)*R450,0)))))))</f>
        <v>120</v>
      </c>
      <c r="Y450" s="220">
        <f t="shared" si="1344"/>
        <v>0</v>
      </c>
      <c r="Z450" s="220">
        <f t="shared" ref="Z450:Z485" si="1457">IF(AND(T450="SĐH",V450&gt;0),(R450/12)*V450-X450,IF(AND(T450="DH",V450&gt;0),(R450*V450/12),IF(AND(T450&lt;&gt;"NTS",V450&gt;0),(R450*V450/12)-X450,IF(AND(T450="NTS",V450&gt;0),R450-X450,R450-X450))))</f>
        <v>0</v>
      </c>
      <c r="AA450" s="220">
        <f>Q450</f>
        <v>270</v>
      </c>
      <c r="AB450" s="220">
        <f>R450</f>
        <v>120</v>
      </c>
      <c r="AC450" s="220">
        <f t="shared" si="1455"/>
        <v>270</v>
      </c>
      <c r="AD450" s="220">
        <f t="shared" si="1455"/>
        <v>120</v>
      </c>
      <c r="AE450" s="220">
        <f t="shared" si="1455"/>
        <v>0</v>
      </c>
      <c r="AF450" s="220">
        <f t="shared" si="1455"/>
        <v>0</v>
      </c>
      <c r="AG450" s="220">
        <f>AH450+AI450</f>
        <v>145.06</v>
      </c>
      <c r="AH450" s="220">
        <f>EO450</f>
        <v>145.06</v>
      </c>
      <c r="AI450" s="220">
        <f>EN450</f>
        <v>0</v>
      </c>
      <c r="AJ450" s="220">
        <f t="shared" si="1396"/>
        <v>0</v>
      </c>
      <c r="AK450" s="216">
        <f t="shared" si="1454"/>
        <v>0</v>
      </c>
      <c r="AL450" s="220">
        <f t="shared" si="1431"/>
        <v>0</v>
      </c>
      <c r="AM450" s="220">
        <f t="shared" si="1432"/>
        <v>0</v>
      </c>
      <c r="AN450" s="216">
        <f t="shared" si="1433"/>
        <v>0</v>
      </c>
      <c r="AO450" s="220">
        <f t="shared" si="1434"/>
        <v>0</v>
      </c>
      <c r="AP450" s="220">
        <f t="shared" si="1435"/>
        <v>0</v>
      </c>
      <c r="AQ450" s="220">
        <f t="shared" si="1436"/>
        <v>0</v>
      </c>
      <c r="AR450" s="220">
        <f t="shared" si="1437"/>
        <v>0</v>
      </c>
      <c r="AS450" s="220">
        <f t="shared" si="1438"/>
        <v>0</v>
      </c>
      <c r="AT450" s="216">
        <f t="shared" si="1439"/>
        <v>0</v>
      </c>
      <c r="AU450" s="220">
        <f t="shared" si="1447"/>
        <v>0</v>
      </c>
      <c r="AV450" s="220"/>
      <c r="AW450" s="220">
        <f t="shared" si="1379"/>
        <v>0</v>
      </c>
      <c r="AX450" s="216">
        <f t="shared" si="1448"/>
        <v>0</v>
      </c>
      <c r="AY450" s="220">
        <f t="shared" si="1386"/>
        <v>0</v>
      </c>
      <c r="AZ450" s="220">
        <f t="shared" si="1387"/>
        <v>0</v>
      </c>
      <c r="BA450" s="220">
        <f t="shared" si="1388"/>
        <v>0</v>
      </c>
      <c r="BB450" s="220">
        <f t="shared" si="1389"/>
        <v>0</v>
      </c>
      <c r="BC450" s="220">
        <f t="shared" si="1390"/>
        <v>0</v>
      </c>
      <c r="BD450" s="216">
        <f t="shared" si="1410"/>
        <v>0</v>
      </c>
      <c r="BE450" s="220">
        <f t="shared" si="1380"/>
        <v>0</v>
      </c>
      <c r="BF450" s="220">
        <f t="shared" si="1381"/>
        <v>0</v>
      </c>
      <c r="BG450" s="220">
        <f t="shared" si="1382"/>
        <v>0</v>
      </c>
      <c r="BH450" s="220">
        <f t="shared" si="1383"/>
        <v>0</v>
      </c>
      <c r="BI450" s="220">
        <f t="shared" si="1384"/>
        <v>0</v>
      </c>
      <c r="BJ450" s="220" t="s">
        <v>2427</v>
      </c>
      <c r="BK450" s="220"/>
      <c r="BL450" s="223">
        <f t="shared" si="1422"/>
        <v>0</v>
      </c>
      <c r="BM450" s="220">
        <v>3.33</v>
      </c>
      <c r="BN450" s="220"/>
      <c r="BO450" s="220">
        <f t="shared" ref="BO450:BO457" si="1458">ROUND(BM450+(BM450*BN450),2)</f>
        <v>3.33</v>
      </c>
      <c r="BP450" s="220">
        <f>IF(AND(BL450&gt;0,BL450&lt;tiet!$D$1),BL450,IF(BL450&lt;=0,0,IF(BL450&gt;tiet!$C$1,tiet!$C$1)))</f>
        <v>0</v>
      </c>
      <c r="BQ450" s="87">
        <f t="shared" si="1397"/>
        <v>65000</v>
      </c>
      <c r="BR450" s="224">
        <f t="shared" si="1391"/>
        <v>0</v>
      </c>
      <c r="BS450" s="220">
        <f t="shared" si="1301"/>
        <v>0</v>
      </c>
      <c r="BT450" s="224">
        <f>VLOOKUP(N450,ma_dinhmuc!$A$1:$J$31,10,0)</f>
        <v>51000</v>
      </c>
      <c r="BU450" s="224">
        <f>ROUND(IF(BS450&gt;0,VLOOKUP(N450,ma_dinhmuc!$A$1:$J$31,10,0)*BS450,0),0)</f>
        <v>0</v>
      </c>
      <c r="BV450" s="224">
        <f t="shared" si="1392"/>
        <v>0</v>
      </c>
      <c r="BW450" s="224"/>
      <c r="BX450" s="224">
        <v>0</v>
      </c>
      <c r="BY450" s="224"/>
      <c r="BZ450" s="224"/>
      <c r="CA450" s="224"/>
      <c r="CB450" s="224"/>
      <c r="CC450" s="225">
        <f t="shared" si="1419"/>
        <v>0</v>
      </c>
      <c r="CD450" s="224">
        <f t="shared" si="1420"/>
        <v>0</v>
      </c>
      <c r="CE450" s="224"/>
      <c r="CF450" s="226"/>
      <c r="CG450" s="87"/>
      <c r="CH450" s="87">
        <f t="shared" si="1407"/>
        <v>28</v>
      </c>
      <c r="CI450" s="227" t="str">
        <f t="shared" ref="CI450:CJ456" si="1459">F450</f>
        <v>Nguyễn Thị Mai</v>
      </c>
      <c r="CJ450" s="227" t="str">
        <f t="shared" si="1459"/>
        <v>Thơ</v>
      </c>
      <c r="CK450" s="87">
        <f t="shared" ref="CK450:CK457" si="1460">H450</f>
        <v>9</v>
      </c>
      <c r="CL450" s="227" t="str">
        <f t="shared" si="1408"/>
        <v>Ngoại sản</v>
      </c>
      <c r="CM450" s="87" t="str">
        <f t="shared" si="1385"/>
        <v>CS2</v>
      </c>
      <c r="CN450" s="87">
        <f t="shared" si="1449"/>
        <v>270</v>
      </c>
      <c r="CO450" s="87">
        <f t="shared" si="1450"/>
        <v>120</v>
      </c>
      <c r="CP450" s="229">
        <f t="shared" si="1314"/>
        <v>0</v>
      </c>
      <c r="CQ450" s="229">
        <f t="shared" si="1315"/>
        <v>0</v>
      </c>
      <c r="CR450" s="229">
        <f t="shared" si="1316"/>
        <v>0</v>
      </c>
      <c r="CS450" s="229">
        <f t="shared" si="1317"/>
        <v>0</v>
      </c>
      <c r="CT450" s="229">
        <f t="shared" si="1318"/>
        <v>0</v>
      </c>
      <c r="CU450" s="229">
        <f t="shared" si="1319"/>
        <v>0</v>
      </c>
      <c r="CV450" s="229">
        <f t="shared" si="1320"/>
        <v>0</v>
      </c>
      <c r="CW450" s="229">
        <f t="shared" si="1321"/>
        <v>0</v>
      </c>
      <c r="CX450" s="229">
        <f t="shared" si="1322"/>
        <v>0</v>
      </c>
      <c r="CY450" s="229">
        <f t="shared" si="1323"/>
        <v>0</v>
      </c>
      <c r="CZ450" s="229">
        <f t="shared" si="1324"/>
        <v>0</v>
      </c>
      <c r="DA450" s="229">
        <f t="shared" si="1325"/>
        <v>0</v>
      </c>
      <c r="DB450" s="228">
        <f t="shared" si="1429"/>
        <v>0</v>
      </c>
      <c r="DC450" s="229"/>
      <c r="DD450" s="229"/>
      <c r="DE450" s="229"/>
      <c r="DF450" s="229"/>
      <c r="DG450" s="229"/>
      <c r="DH450" s="229"/>
      <c r="DI450" s="229"/>
      <c r="DJ450" s="229"/>
      <c r="DK450" s="229"/>
      <c r="DL450" s="229"/>
      <c r="DM450" s="229"/>
      <c r="DN450" s="229"/>
      <c r="DO450" s="228">
        <f t="shared" si="1440"/>
        <v>0</v>
      </c>
      <c r="DP450" s="228">
        <f t="shared" si="1441"/>
        <v>0</v>
      </c>
      <c r="DQ450" s="229">
        <f t="shared" si="1326"/>
        <v>0</v>
      </c>
      <c r="DR450" s="229">
        <f t="shared" si="1327"/>
        <v>0</v>
      </c>
      <c r="DS450" s="229">
        <f t="shared" si="1328"/>
        <v>0</v>
      </c>
      <c r="DT450" s="229">
        <f t="shared" si="1329"/>
        <v>0</v>
      </c>
      <c r="DU450" s="229">
        <f t="shared" si="1330"/>
        <v>0</v>
      </c>
      <c r="DV450" s="229">
        <f t="shared" si="1331"/>
        <v>0</v>
      </c>
      <c r="DW450" s="229">
        <f t="shared" si="1332"/>
        <v>0</v>
      </c>
      <c r="DX450" s="228">
        <f t="shared" si="1430"/>
        <v>0</v>
      </c>
      <c r="DY450" s="229"/>
      <c r="DZ450" s="229"/>
      <c r="EA450" s="229"/>
      <c r="EB450" s="229"/>
      <c r="EC450" s="229"/>
      <c r="ED450" s="229"/>
      <c r="EE450" s="229"/>
      <c r="EF450" s="228">
        <f t="shared" si="1305"/>
        <v>0</v>
      </c>
      <c r="EG450" s="228">
        <f t="shared" si="1442"/>
        <v>0</v>
      </c>
      <c r="EH450" s="229">
        <f t="shared" si="1306"/>
        <v>0</v>
      </c>
      <c r="EI450" s="229">
        <v>145.06</v>
      </c>
      <c r="EJ450" s="228">
        <f t="shared" si="1443"/>
        <v>145.06</v>
      </c>
      <c r="EK450" s="229"/>
      <c r="EL450" s="229"/>
      <c r="EM450" s="228">
        <f t="shared" si="1368"/>
        <v>0</v>
      </c>
      <c r="EN450" s="229">
        <f t="shared" si="1423"/>
        <v>0</v>
      </c>
      <c r="EO450" s="229">
        <f t="shared" si="1451"/>
        <v>145.06</v>
      </c>
      <c r="EP450" s="228">
        <f t="shared" ref="EP450:EP472" si="1461">EM450+EJ450</f>
        <v>145.06</v>
      </c>
      <c r="EQ450" s="173">
        <f t="shared" si="1303"/>
        <v>0</v>
      </c>
      <c r="ER450" s="189">
        <v>0</v>
      </c>
      <c r="ES450" s="189">
        <v>0</v>
      </c>
      <c r="ET450" s="189">
        <v>0</v>
      </c>
      <c r="EU450" s="189">
        <v>0</v>
      </c>
      <c r="EV450" s="189">
        <v>0</v>
      </c>
      <c r="EW450" s="189">
        <v>0</v>
      </c>
      <c r="EX450" s="189">
        <v>0</v>
      </c>
      <c r="EY450" s="189">
        <v>0</v>
      </c>
      <c r="EZ450" s="189">
        <v>0</v>
      </c>
      <c r="FA450" s="189">
        <v>0</v>
      </c>
      <c r="FB450" s="189">
        <v>0</v>
      </c>
      <c r="FC450" s="189">
        <v>0</v>
      </c>
      <c r="FD450" s="189">
        <v>0</v>
      </c>
      <c r="FE450" s="189">
        <v>0</v>
      </c>
      <c r="FF450" s="189">
        <v>0</v>
      </c>
      <c r="FG450" s="189">
        <v>0</v>
      </c>
      <c r="FH450" s="189">
        <v>0</v>
      </c>
      <c r="FI450" s="189">
        <v>0</v>
      </c>
      <c r="FJ450" s="189">
        <v>0</v>
      </c>
      <c r="FK450" s="189">
        <v>0</v>
      </c>
      <c r="FL450" s="189">
        <v>0</v>
      </c>
      <c r="FN450" s="132">
        <v>0</v>
      </c>
    </row>
    <row r="451" spans="1:170" ht="30" customHeight="1">
      <c r="A451" s="88">
        <f>COUNTIF($H$12:H451,H451)</f>
        <v>29</v>
      </c>
      <c r="B451" s="88" t="s">
        <v>2731</v>
      </c>
      <c r="C451" s="88" t="s">
        <v>740</v>
      </c>
      <c r="D451" s="88"/>
      <c r="E451" s="88"/>
      <c r="F451" s="301" t="s">
        <v>2296</v>
      </c>
      <c r="G451" s="89" t="s">
        <v>2297</v>
      </c>
      <c r="H451" s="88">
        <v>9</v>
      </c>
      <c r="I451" s="88"/>
      <c r="J451" s="88">
        <v>9</v>
      </c>
      <c r="K451" s="90"/>
      <c r="L451" s="90" t="s">
        <v>1104</v>
      </c>
      <c r="M451" s="214"/>
      <c r="N451" s="88" t="s">
        <v>1804</v>
      </c>
      <c r="O451" s="216">
        <f t="shared" si="1456"/>
        <v>3</v>
      </c>
      <c r="P451" s="88" t="str">
        <f t="shared" si="1333"/>
        <v>B1_3</v>
      </c>
      <c r="Q451" s="88">
        <f t="shared" si="1369"/>
        <v>270</v>
      </c>
      <c r="R451" s="88">
        <f t="shared" si="1370"/>
        <v>100</v>
      </c>
      <c r="S451" s="218"/>
      <c r="T451" s="88" t="s">
        <v>3088</v>
      </c>
      <c r="U451" s="88">
        <f>IF(RIGHT(T451,1)="K",(VLOOKUP(T451,ma_miengiam!$A$3:$B$80,2,0)*100)/2,VLOOKUP(T451,ma_miengiam!$A$3:$B$80,2,0)*100)</f>
        <v>0</v>
      </c>
      <c r="V451" s="88">
        <v>5</v>
      </c>
      <c r="W451" s="220">
        <f>IF(AND(T451="NTS",V451&gt;0),(Q451-(Q451*V451)/12)*VLOOKUP(T451,ma_miengiam!$A$3:$B$80,2,0)+(Q451-(Q451*(12-V451))/12),IF(AND(RIGHT(T451,1)="K",V451&gt;0),(VLOOKUP(T451,ma_miengiam!$A$3:$B$80,2,0)/2)*(Q451*V451)/12,IF(RIGHT(T451,1)="K",(VLOOKUP(T451,ma_miengiam!$A$3:$B$80,2,0)*Q451)/2,IF(V451&gt;0,VLOOKUP(T451,ma_miengiam!$A$3:$B$80,2,0)*Q451*V451/12,VLOOKUP(T451,ma_miengiam!$A$3:$B$80,2,0)*Q451))))</f>
        <v>0</v>
      </c>
      <c r="X451" s="220">
        <f>IF(T451="NTS",VLOOKUP(T451,ma_miengiam!$A$3:$B$80,2,0)*R451*V451,IF(AND(T451="NTS",V451=0),0,IF(AND(LEFT(T451,1)="K",V451=0),VLOOKUP(T451,ma_miengiam!$A$3:$B$80,2,0)*R451,IF(LEFT(T451,1)="K",(VLOOKUP(T451,ma_miengiam!$A$3:$B$80,2,0)*R451/12)*V451,IF(AND(LEFT(T451,1)="S",V451&gt;0),(R451/12)*V451,IF(AND(LEFT(T451,1)="S",V451=0),R451,IF(T451="DH",VLOOKUP(T451,ma_miengiam!$A$3:$B$80,2,0)*R451,0)))))))</f>
        <v>0</v>
      </c>
      <c r="Y451" s="220">
        <f t="shared" si="1344"/>
        <v>112.5</v>
      </c>
      <c r="Z451" s="220">
        <f t="shared" si="1457"/>
        <v>41.666666666666664</v>
      </c>
      <c r="AA451" s="220"/>
      <c r="AB451" s="220"/>
      <c r="AC451" s="220"/>
      <c r="AD451" s="220"/>
      <c r="AE451" s="220"/>
      <c r="AF451" s="220"/>
      <c r="AG451" s="220"/>
      <c r="AH451" s="220"/>
      <c r="AI451" s="220"/>
      <c r="AJ451" s="220"/>
      <c r="AK451" s="216"/>
      <c r="AL451" s="220"/>
      <c r="AM451" s="220"/>
      <c r="AN451" s="221"/>
      <c r="AO451" s="220"/>
      <c r="AP451" s="220"/>
      <c r="AQ451" s="220"/>
      <c r="AR451" s="220"/>
      <c r="AS451" s="220"/>
      <c r="AT451" s="216"/>
      <c r="AU451" s="222"/>
      <c r="AV451" s="220"/>
      <c r="AW451" s="220"/>
      <c r="AX451" s="216"/>
      <c r="AY451" s="220"/>
      <c r="AZ451" s="220"/>
      <c r="BA451" s="220"/>
      <c r="BB451" s="220"/>
      <c r="BC451" s="220"/>
      <c r="BD451" s="216"/>
      <c r="BE451" s="220"/>
      <c r="BF451" s="220"/>
      <c r="BG451" s="220"/>
      <c r="BH451" s="220"/>
      <c r="BI451" s="220"/>
      <c r="BJ451" s="220" t="s">
        <v>2427</v>
      </c>
      <c r="BK451" s="220"/>
      <c r="BL451" s="223">
        <f t="shared" si="1422"/>
        <v>0</v>
      </c>
      <c r="BM451" s="220">
        <v>3</v>
      </c>
      <c r="BN451" s="220"/>
      <c r="BO451" s="220">
        <f t="shared" si="1458"/>
        <v>3</v>
      </c>
      <c r="BP451" s="220">
        <f>IF(AND(BL451&gt;0,BL451&lt;tiet!$D$1),BL451,IF(BL451&lt;=0,0,IF(BL451&gt;tiet!$C$1,tiet!$C$1)))</f>
        <v>0</v>
      </c>
      <c r="BQ451" s="87">
        <f t="shared" si="1397"/>
        <v>60000</v>
      </c>
      <c r="BR451" s="224">
        <f t="shared" si="1391"/>
        <v>0</v>
      </c>
      <c r="BS451" s="220">
        <f t="shared" si="1301"/>
        <v>0</v>
      </c>
      <c r="BT451" s="224">
        <f>VLOOKUP(N451,ma_dinhmuc!$A$1:$J$31,10,0)</f>
        <v>51000</v>
      </c>
      <c r="BU451" s="224">
        <f>ROUND(IF(BS451&gt;0,VLOOKUP(N451,ma_dinhmuc!$A$1:$J$31,10,0)*BS451,0),0)</f>
        <v>0</v>
      </c>
      <c r="BV451" s="224">
        <f t="shared" si="1392"/>
        <v>0</v>
      </c>
      <c r="BW451" s="224"/>
      <c r="BX451" s="224">
        <v>0</v>
      </c>
      <c r="BY451" s="224"/>
      <c r="BZ451" s="224"/>
      <c r="CA451" s="224"/>
      <c r="CB451" s="224"/>
      <c r="CC451" s="225">
        <f t="shared" si="1419"/>
        <v>0</v>
      </c>
      <c r="CD451" s="224">
        <f t="shared" si="1420"/>
        <v>0</v>
      </c>
      <c r="CE451" s="224"/>
      <c r="CF451" s="226"/>
      <c r="CG451" s="87"/>
      <c r="CH451" s="87">
        <f t="shared" si="1407"/>
        <v>29</v>
      </c>
      <c r="CI451" s="227" t="str">
        <f t="shared" si="1459"/>
        <v xml:space="preserve">Nguyễn Công </v>
      </c>
      <c r="CJ451" s="227" t="str">
        <f t="shared" si="1459"/>
        <v>Toản</v>
      </c>
      <c r="CK451" s="87">
        <f t="shared" si="1460"/>
        <v>9</v>
      </c>
      <c r="CL451" s="227" t="str">
        <f t="shared" si="1408"/>
        <v>Ngoại sản</v>
      </c>
      <c r="CM451" s="87" t="str">
        <f t="shared" si="1385"/>
        <v>CS2</v>
      </c>
      <c r="CN451" s="87">
        <f t="shared" ref="CN451:CO456" si="1462">Q451</f>
        <v>270</v>
      </c>
      <c r="CO451" s="87">
        <f t="shared" si="1462"/>
        <v>100</v>
      </c>
      <c r="CP451" s="229">
        <f t="shared" si="1314"/>
        <v>0</v>
      </c>
      <c r="CQ451" s="229">
        <f t="shared" si="1315"/>
        <v>0</v>
      </c>
      <c r="CR451" s="229">
        <f t="shared" si="1316"/>
        <v>0</v>
      </c>
      <c r="CS451" s="229">
        <f t="shared" si="1317"/>
        <v>0</v>
      </c>
      <c r="CT451" s="229">
        <f t="shared" si="1318"/>
        <v>0</v>
      </c>
      <c r="CU451" s="229">
        <f t="shared" si="1319"/>
        <v>0</v>
      </c>
      <c r="CV451" s="229">
        <f t="shared" si="1320"/>
        <v>0</v>
      </c>
      <c r="CW451" s="229">
        <f t="shared" si="1321"/>
        <v>0</v>
      </c>
      <c r="CX451" s="229">
        <f t="shared" si="1322"/>
        <v>0</v>
      </c>
      <c r="CY451" s="229">
        <f t="shared" si="1323"/>
        <v>0</v>
      </c>
      <c r="CZ451" s="229">
        <f t="shared" si="1324"/>
        <v>0</v>
      </c>
      <c r="DA451" s="229">
        <f t="shared" si="1325"/>
        <v>0</v>
      </c>
      <c r="DB451" s="228">
        <f t="shared" si="1429"/>
        <v>0</v>
      </c>
      <c r="DC451" s="229"/>
      <c r="DD451" s="229"/>
      <c r="DE451" s="229"/>
      <c r="DF451" s="229"/>
      <c r="DG451" s="229"/>
      <c r="DH451" s="229"/>
      <c r="DI451" s="229"/>
      <c r="DJ451" s="229"/>
      <c r="DK451" s="229"/>
      <c r="DL451" s="229"/>
      <c r="DM451" s="229"/>
      <c r="DN451" s="229"/>
      <c r="DO451" s="228">
        <f t="shared" si="1440"/>
        <v>0</v>
      </c>
      <c r="DP451" s="228">
        <f t="shared" si="1441"/>
        <v>0</v>
      </c>
      <c r="DQ451" s="229">
        <f t="shared" si="1326"/>
        <v>0</v>
      </c>
      <c r="DR451" s="229">
        <f t="shared" si="1327"/>
        <v>0</v>
      </c>
      <c r="DS451" s="229">
        <f t="shared" si="1328"/>
        <v>0</v>
      </c>
      <c r="DT451" s="229">
        <f t="shared" si="1329"/>
        <v>0</v>
      </c>
      <c r="DU451" s="229">
        <f t="shared" si="1330"/>
        <v>0</v>
      </c>
      <c r="DV451" s="229">
        <f t="shared" si="1331"/>
        <v>0</v>
      </c>
      <c r="DW451" s="229">
        <f t="shared" si="1332"/>
        <v>0</v>
      </c>
      <c r="DX451" s="228">
        <f t="shared" si="1430"/>
        <v>0</v>
      </c>
      <c r="DY451" s="229"/>
      <c r="DZ451" s="229"/>
      <c r="EA451" s="229"/>
      <c r="EB451" s="229"/>
      <c r="EC451" s="229"/>
      <c r="ED451" s="229"/>
      <c r="EE451" s="229"/>
      <c r="EF451" s="228">
        <f t="shared" si="1305"/>
        <v>0</v>
      </c>
      <c r="EG451" s="228">
        <f t="shared" si="1442"/>
        <v>0</v>
      </c>
      <c r="EH451" s="229">
        <f t="shared" si="1306"/>
        <v>0</v>
      </c>
      <c r="EI451" s="229">
        <v>120.06</v>
      </c>
      <c r="EJ451" s="228">
        <f t="shared" si="1443"/>
        <v>120.06</v>
      </c>
      <c r="EK451" s="229"/>
      <c r="EL451" s="229"/>
      <c r="EM451" s="228">
        <f t="shared" si="1368"/>
        <v>0</v>
      </c>
      <c r="EN451" s="229">
        <f t="shared" si="1423"/>
        <v>0</v>
      </c>
      <c r="EO451" s="229">
        <f t="shared" si="1451"/>
        <v>120.06</v>
      </c>
      <c r="EP451" s="228">
        <f t="shared" si="1461"/>
        <v>120.06</v>
      </c>
      <c r="EQ451" s="173">
        <f t="shared" si="1303"/>
        <v>0</v>
      </c>
      <c r="ER451" s="189">
        <v>0</v>
      </c>
      <c r="ES451" s="189">
        <v>0</v>
      </c>
      <c r="ET451" s="189">
        <v>0</v>
      </c>
      <c r="EU451" s="189">
        <v>0</v>
      </c>
      <c r="EV451" s="189">
        <v>0</v>
      </c>
      <c r="EW451" s="189">
        <v>0</v>
      </c>
      <c r="EX451" s="189">
        <v>0</v>
      </c>
      <c r="EY451" s="189">
        <v>0</v>
      </c>
      <c r="EZ451" s="189">
        <v>0</v>
      </c>
      <c r="FA451" s="189">
        <v>0</v>
      </c>
      <c r="FB451" s="189">
        <v>0</v>
      </c>
      <c r="FC451" s="189">
        <v>0</v>
      </c>
      <c r="FD451" s="189">
        <v>0</v>
      </c>
      <c r="FE451" s="189">
        <v>0</v>
      </c>
      <c r="FF451" s="189">
        <v>0</v>
      </c>
      <c r="FG451" s="189">
        <v>0</v>
      </c>
      <c r="FH451" s="189">
        <v>0</v>
      </c>
      <c r="FI451" s="189">
        <v>0</v>
      </c>
      <c r="FJ451" s="189">
        <v>0</v>
      </c>
      <c r="FK451" s="189">
        <v>0</v>
      </c>
      <c r="FL451" s="189">
        <v>0</v>
      </c>
      <c r="FN451" s="132">
        <v>0</v>
      </c>
    </row>
    <row r="452" spans="1:170" ht="30" customHeight="1">
      <c r="A452" s="88">
        <f>COUNTIF($H$12:H452,H452)</f>
        <v>30</v>
      </c>
      <c r="B452" s="88" t="s">
        <v>2731</v>
      </c>
      <c r="C452" s="88" t="s">
        <v>740</v>
      </c>
      <c r="D452" s="88"/>
      <c r="E452" s="88"/>
      <c r="F452" s="301" t="s">
        <v>2296</v>
      </c>
      <c r="G452" s="89" t="s">
        <v>2297</v>
      </c>
      <c r="H452" s="88">
        <v>9</v>
      </c>
      <c r="I452" s="88"/>
      <c r="J452" s="88">
        <v>9</v>
      </c>
      <c r="K452" s="90"/>
      <c r="L452" s="90" t="s">
        <v>1104</v>
      </c>
      <c r="M452" s="214"/>
      <c r="N452" s="88" t="s">
        <v>1804</v>
      </c>
      <c r="O452" s="216">
        <f>BO452</f>
        <v>3</v>
      </c>
      <c r="P452" s="88" t="str">
        <f>IF(BO452&lt;3.33,"B1_3",IF(AND(BO452&gt;=3.33,BO452&lt;4.65),"B1_4",IF(AND(BO452&gt;=4.65,BO452&lt;5.42),"B1_5",IF(AND(BO452&gt;=5.42,BO452&lt;6.44),"B1_6",IF(AND(BO452&gt;=6.44,BO452&lt;=6.92),"B1_7","B1_8")))))</f>
        <v>B1_3</v>
      </c>
      <c r="Q452" s="88">
        <f>IF(M452&gt;0,VLOOKUP(P452,ma_dinhmuc_moi,2,0)/2,VLOOKUP(P452,ma_dinhmuc_moi,2,0))</f>
        <v>270</v>
      </c>
      <c r="R452" s="88">
        <f>IF(M452&gt;0,VLOOKUP(P452,ma_dinhmuc_moi,3,0)/2,VLOOKUP(P452,ma_dinhmuc_moi,3,0))</f>
        <v>100</v>
      </c>
      <c r="S452" s="218" t="s">
        <v>1429</v>
      </c>
      <c r="T452" s="88" t="s">
        <v>3095</v>
      </c>
      <c r="U452" s="88">
        <f>IF(RIGHT(T452,1)="K",(VLOOKUP(T452,ma_miengiam!$A$3:$B$80,2,0)*100)/2,VLOOKUP(T452,ma_miengiam!$A$3:$B$80,2,0)*100)</f>
        <v>40</v>
      </c>
      <c r="V452" s="88">
        <v>7</v>
      </c>
      <c r="W452" s="220">
        <f>IF(AND(T452="NTS",V452&gt;0),(Q452-(Q452*V452)/12)*VLOOKUP(T452,ma_miengiam!$A$3:$B$80,2,0)+(Q452-(Q452*(12-V452))/12),IF(AND(RIGHT(T452,1)="K",V452&gt;0),(VLOOKUP(T452,ma_miengiam!$A$3:$B$80,2,0)/2)*(Q452*V452)/12,IF(RIGHT(T452,1)="K",(VLOOKUP(T452,ma_miengiam!$A$3:$B$80,2,0)*Q452)/2,IF(V452&gt;0,VLOOKUP(T452,ma_miengiam!$A$3:$B$80,2,0)*Q452*V452/12,VLOOKUP(T452,ma_miengiam!$A$3:$B$80,2,0)*Q452))))</f>
        <v>63</v>
      </c>
      <c r="X452" s="220">
        <f>IF(T452="NTS",VLOOKUP(T452,ma_miengiam!$A$3:$B$80,2,0)*R452*V452,IF(AND(T452="NTS",V452=0),0,IF(AND(LEFT(T452,1)="K",V452=0),VLOOKUP(T452,ma_miengiam!$A$3:$B$80,2,0)*R452,IF(LEFT(T452,1)="K",(VLOOKUP(T452,ma_miengiam!$A$3:$B$80,2,0)*R452/12)*V452,IF(AND(LEFT(T452,1)="S",V452&gt;0),(R452/12)*V452,IF(AND(LEFT(T452,1)="S",V452=0),R452,IF(T452="DH",VLOOKUP(T452,ma_miengiam!$A$3:$B$80,2,0)*R452,0)))))))</f>
        <v>0</v>
      </c>
      <c r="Y452" s="220">
        <f>IF(AND(T452="DH",V452&gt;0),(S452*V452/12),IF(AND(T452&lt;&gt;"NTS",V452&gt;0),(Q452*V452/12)-W452,IF(AND(T452="NTS",V452&gt;0),Q452-W452,Q452-W452)))</f>
        <v>94.5</v>
      </c>
      <c r="Z452" s="220">
        <f>IF(AND(T452="SĐH",V452&gt;0),(R452/12)*V452-X452,IF(AND(T452="DH",V452&gt;0),(R452*V452/12),IF(AND(T452&lt;&gt;"NTS",V452&gt;0),(R452*V452/12)-X452,IF(AND(T452="NTS",V452&gt;0),R452-X452,R452-X452))))</f>
        <v>58.333333333333336</v>
      </c>
      <c r="AA452" s="220"/>
      <c r="AB452" s="220"/>
      <c r="AC452" s="220"/>
      <c r="AD452" s="220"/>
      <c r="AE452" s="220"/>
      <c r="AF452" s="220"/>
      <c r="AG452" s="220"/>
      <c r="AH452" s="220"/>
      <c r="AI452" s="220"/>
      <c r="AJ452" s="220"/>
      <c r="AK452" s="216"/>
      <c r="AL452" s="220"/>
      <c r="AM452" s="220"/>
      <c r="AN452" s="221"/>
      <c r="AO452" s="220"/>
      <c r="AP452" s="220"/>
      <c r="AQ452" s="220"/>
      <c r="AR452" s="220"/>
      <c r="AS452" s="220"/>
      <c r="AT452" s="216"/>
      <c r="AU452" s="222"/>
      <c r="AV452" s="220"/>
      <c r="AW452" s="220"/>
      <c r="AX452" s="216"/>
      <c r="AY452" s="220"/>
      <c r="AZ452" s="220"/>
      <c r="BA452" s="220"/>
      <c r="BB452" s="220"/>
      <c r="BC452" s="220"/>
      <c r="BD452" s="216"/>
      <c r="BE452" s="220"/>
      <c r="BF452" s="220"/>
      <c r="BG452" s="220"/>
      <c r="BH452" s="220"/>
      <c r="BI452" s="220"/>
      <c r="BJ452" s="220" t="s">
        <v>2427</v>
      </c>
      <c r="BK452" s="220"/>
      <c r="BL452" s="223">
        <f>IF(AW452&lt;BK452,0,IF(AND(BK452=0,AW452&gt;0),AW452,IF(AW452&lt;0,0,IF(BK452&gt;0,AW452-BK452,IF(BK452&lt;0,0,AW452)))))</f>
        <v>0</v>
      </c>
      <c r="BM452" s="220">
        <v>3</v>
      </c>
      <c r="BN452" s="220"/>
      <c r="BO452" s="220">
        <f t="shared" si="1458"/>
        <v>3</v>
      </c>
      <c r="BP452" s="220">
        <f>IF(AND(BL452&gt;0,BL452&lt;tiet!$D$1),BL452,IF(BL452&lt;=0,0,IF(BL452&gt;tiet!$C$1,tiet!$C$1)))</f>
        <v>0</v>
      </c>
      <c r="BQ452" s="87">
        <f>VLOOKUP(P452,ma_dinhmuc_moi,4,0)</f>
        <v>60000</v>
      </c>
      <c r="BR452" s="224">
        <f>ROUND(BQ452*BP452,0)</f>
        <v>0</v>
      </c>
      <c r="BS452" s="220">
        <f t="shared" si="1301"/>
        <v>0</v>
      </c>
      <c r="BT452" s="224">
        <f>VLOOKUP(N452,ma_dinhmuc!$A$1:$J$31,10,0)</f>
        <v>51000</v>
      </c>
      <c r="BU452" s="224">
        <f>ROUND(IF(BS452&gt;0,VLOOKUP(N452,ma_dinhmuc!$A$1:$J$31,10,0)*BS452,0),0)</f>
        <v>0</v>
      </c>
      <c r="BV452" s="224">
        <f>ROUND(BU452+BR452,0)</f>
        <v>0</v>
      </c>
      <c r="BW452" s="224"/>
      <c r="BX452" s="224">
        <v>0</v>
      </c>
      <c r="BY452" s="224"/>
      <c r="BZ452" s="224"/>
      <c r="CA452" s="224"/>
      <c r="CB452" s="224"/>
      <c r="CC452" s="225">
        <f>ROUND(IF(BV452+BW452&gt;BX452+BY452+BZ452+CA452+CB452,(BW452+BV452)-(BX452+BY452+BZ452+CA452+CB452+CB452),0),0)</f>
        <v>0</v>
      </c>
      <c r="CD452" s="224">
        <f>ROUND(IF(BV452+BW452&lt;BX452+BY452+BZ452+CA452-CB452,(BX452+BY452+BZ452+CA452-CB452)-(BW452+BV452),0),0)</f>
        <v>0</v>
      </c>
      <c r="CE452" s="224"/>
      <c r="CF452" s="226"/>
      <c r="CG452" s="87"/>
      <c r="CH452" s="87">
        <f>A452</f>
        <v>30</v>
      </c>
      <c r="CI452" s="227" t="str">
        <f t="shared" ref="CI452:CK453" si="1463">F452</f>
        <v xml:space="preserve">Nguyễn Công </v>
      </c>
      <c r="CJ452" s="227" t="str">
        <f t="shared" si="1463"/>
        <v>Toản</v>
      </c>
      <c r="CK452" s="87">
        <f t="shared" si="1463"/>
        <v>9</v>
      </c>
      <c r="CL452" s="227" t="str">
        <f>L452</f>
        <v>Ngoại sản</v>
      </c>
      <c r="CM452" s="87" t="str">
        <f>N452</f>
        <v>CS2</v>
      </c>
      <c r="CN452" s="87">
        <f>Q452</f>
        <v>270</v>
      </c>
      <c r="CO452" s="87">
        <f>R452</f>
        <v>100</v>
      </c>
      <c r="CP452" s="229">
        <f t="shared" si="1314"/>
        <v>0</v>
      </c>
      <c r="CQ452" s="229">
        <f t="shared" si="1315"/>
        <v>0</v>
      </c>
      <c r="CR452" s="229">
        <f t="shared" si="1316"/>
        <v>0</v>
      </c>
      <c r="CS452" s="229">
        <f t="shared" si="1317"/>
        <v>0</v>
      </c>
      <c r="CT452" s="229">
        <f t="shared" si="1318"/>
        <v>0</v>
      </c>
      <c r="CU452" s="229">
        <f t="shared" si="1319"/>
        <v>0</v>
      </c>
      <c r="CV452" s="229">
        <f t="shared" si="1320"/>
        <v>0</v>
      </c>
      <c r="CW452" s="229">
        <f t="shared" si="1321"/>
        <v>0</v>
      </c>
      <c r="CX452" s="229">
        <f t="shared" si="1322"/>
        <v>0</v>
      </c>
      <c r="CY452" s="229">
        <f t="shared" si="1323"/>
        <v>0</v>
      </c>
      <c r="CZ452" s="229">
        <f t="shared" si="1324"/>
        <v>0</v>
      </c>
      <c r="DA452" s="229">
        <f t="shared" si="1325"/>
        <v>0</v>
      </c>
      <c r="DB452" s="228">
        <f>SUM(CP452:DA452)</f>
        <v>0</v>
      </c>
      <c r="DC452" s="229"/>
      <c r="DD452" s="229"/>
      <c r="DE452" s="229"/>
      <c r="DF452" s="229"/>
      <c r="DG452" s="229"/>
      <c r="DH452" s="229"/>
      <c r="DI452" s="229"/>
      <c r="DJ452" s="229"/>
      <c r="DK452" s="229"/>
      <c r="DL452" s="229"/>
      <c r="DM452" s="229"/>
      <c r="DN452" s="229"/>
      <c r="DO452" s="228">
        <f>SUM(DC452:DN452)</f>
        <v>0</v>
      </c>
      <c r="DP452" s="228">
        <f>DO452+DB452</f>
        <v>0</v>
      </c>
      <c r="DQ452" s="229">
        <f t="shared" si="1326"/>
        <v>0</v>
      </c>
      <c r="DR452" s="229">
        <f t="shared" si="1327"/>
        <v>0</v>
      </c>
      <c r="DS452" s="229">
        <f t="shared" si="1328"/>
        <v>0</v>
      </c>
      <c r="DT452" s="229">
        <f t="shared" si="1329"/>
        <v>0</v>
      </c>
      <c r="DU452" s="229">
        <f t="shared" si="1330"/>
        <v>0</v>
      </c>
      <c r="DV452" s="229">
        <f t="shared" si="1331"/>
        <v>0</v>
      </c>
      <c r="DW452" s="229">
        <f t="shared" si="1332"/>
        <v>0</v>
      </c>
      <c r="DX452" s="228">
        <f>SUM(DQ452:DW452)</f>
        <v>0</v>
      </c>
      <c r="DY452" s="229"/>
      <c r="DZ452" s="229"/>
      <c r="EA452" s="229"/>
      <c r="EB452" s="229"/>
      <c r="EC452" s="229"/>
      <c r="ED452" s="229"/>
      <c r="EE452" s="229"/>
      <c r="EF452" s="228">
        <f t="shared" si="1305"/>
        <v>0</v>
      </c>
      <c r="EG452" s="228">
        <f>EF452+DX452</f>
        <v>0</v>
      </c>
      <c r="EH452" s="229">
        <f t="shared" si="1306"/>
        <v>0</v>
      </c>
      <c r="EI452" s="229">
        <v>120.06</v>
      </c>
      <c r="EJ452" s="228">
        <f>SUM(EH452:EI452)</f>
        <v>120.06</v>
      </c>
      <c r="EK452" s="229"/>
      <c r="EL452" s="229"/>
      <c r="EM452" s="228">
        <f t="shared" si="1368"/>
        <v>0</v>
      </c>
      <c r="EN452" s="229">
        <f>EK452+EH452+EL452</f>
        <v>0</v>
      </c>
      <c r="EO452" s="229">
        <f>EI452</f>
        <v>120.06</v>
      </c>
      <c r="EP452" s="228">
        <f>EM452+EJ452</f>
        <v>120.06</v>
      </c>
      <c r="EQ452" s="173">
        <f t="shared" si="1303"/>
        <v>0</v>
      </c>
      <c r="ER452" s="189">
        <v>0</v>
      </c>
      <c r="ES452" s="189">
        <v>0</v>
      </c>
      <c r="ET452" s="189">
        <v>0</v>
      </c>
      <c r="EU452" s="189">
        <v>0</v>
      </c>
      <c r="EV452" s="189">
        <v>0</v>
      </c>
      <c r="EW452" s="189">
        <v>0</v>
      </c>
      <c r="EX452" s="189">
        <v>0</v>
      </c>
      <c r="EY452" s="189">
        <v>0</v>
      </c>
      <c r="EZ452" s="189">
        <v>0</v>
      </c>
      <c r="FA452" s="189">
        <v>0</v>
      </c>
      <c r="FB452" s="189">
        <v>0</v>
      </c>
      <c r="FC452" s="189">
        <v>0</v>
      </c>
      <c r="FD452" s="189">
        <v>0</v>
      </c>
      <c r="FE452" s="189">
        <v>0</v>
      </c>
      <c r="FF452" s="189">
        <v>0</v>
      </c>
      <c r="FG452" s="189">
        <v>0</v>
      </c>
      <c r="FH452" s="189">
        <v>0</v>
      </c>
      <c r="FI452" s="189">
        <v>0</v>
      </c>
      <c r="FJ452" s="189">
        <v>0</v>
      </c>
      <c r="FK452" s="189">
        <v>0</v>
      </c>
      <c r="FL452" s="189">
        <v>0</v>
      </c>
      <c r="FN452" s="132">
        <v>0</v>
      </c>
    </row>
    <row r="453" spans="1:170" ht="30" customHeight="1">
      <c r="A453" s="88">
        <f>COUNTIF($H$12:H453,H453)</f>
        <v>31</v>
      </c>
      <c r="B453" s="88" t="s">
        <v>2731</v>
      </c>
      <c r="C453" s="88" t="s">
        <v>740</v>
      </c>
      <c r="D453" s="88"/>
      <c r="E453" s="88"/>
      <c r="F453" s="301" t="s">
        <v>2296</v>
      </c>
      <c r="G453" s="89" t="s">
        <v>2297</v>
      </c>
      <c r="H453" s="88">
        <v>9</v>
      </c>
      <c r="I453" s="88">
        <v>9</v>
      </c>
      <c r="J453" s="88">
        <v>9</v>
      </c>
      <c r="K453" s="90" t="s">
        <v>1104</v>
      </c>
      <c r="L453" s="90" t="s">
        <v>1104</v>
      </c>
      <c r="M453" s="214"/>
      <c r="N453" s="88" t="s">
        <v>1804</v>
      </c>
      <c r="O453" s="216">
        <f>BO453</f>
        <v>3</v>
      </c>
      <c r="P453" s="88" t="str">
        <f>IF(BO453&lt;3.33,"B1_3",IF(AND(BO453&gt;=3.33,BO453&lt;4.65),"B1_4",IF(AND(BO453&gt;=4.65,BO453&lt;5.42),"B1_5",IF(AND(BO453&gt;=5.42,BO453&lt;6.44),"B1_6",IF(AND(BO453&gt;=6.44,BO453&lt;=6.92),"B1_7","B1_8")))))</f>
        <v>B1_3</v>
      </c>
      <c r="Q453" s="88">
        <f>IF(M453&gt;0,VLOOKUP(P453,ma_dinhmuc_moi,2,0)/2,VLOOKUP(P453,ma_dinhmuc_moi,2,0))</f>
        <v>270</v>
      </c>
      <c r="R453" s="88">
        <f>IF(M453&gt;0,VLOOKUP(P453,ma_dinhmuc_moi,3,0)/2,VLOOKUP(P453,ma_dinhmuc_moi,3,0))</f>
        <v>100</v>
      </c>
      <c r="S453" s="218" t="s">
        <v>1429</v>
      </c>
      <c r="T453" s="88" t="s">
        <v>3095</v>
      </c>
      <c r="U453" s="88">
        <f>IF(RIGHT(T453,1)="K",(VLOOKUP(T453,ma_miengiam!$A$3:$B$80,2,0)*100)/2,VLOOKUP(T453,ma_miengiam!$A$3:$B$80,2,0)*100)</f>
        <v>40</v>
      </c>
      <c r="V453" s="88"/>
      <c r="W453" s="220">
        <f>W452+W451</f>
        <v>63</v>
      </c>
      <c r="X453" s="220">
        <f>X452+X451</f>
        <v>0</v>
      </c>
      <c r="Y453" s="220">
        <f>Y452+Y451</f>
        <v>207</v>
      </c>
      <c r="Z453" s="220">
        <f>Z452+Z451</f>
        <v>100</v>
      </c>
      <c r="AA453" s="220">
        <f>Q453</f>
        <v>270</v>
      </c>
      <c r="AB453" s="220">
        <f>R453</f>
        <v>100</v>
      </c>
      <c r="AC453" s="220">
        <f t="shared" ref="AC453:AF454" si="1464">W453</f>
        <v>63</v>
      </c>
      <c r="AD453" s="220">
        <f t="shared" si="1464"/>
        <v>0</v>
      </c>
      <c r="AE453" s="220">
        <f t="shared" si="1464"/>
        <v>207</v>
      </c>
      <c r="AF453" s="220">
        <f t="shared" si="1464"/>
        <v>100</v>
      </c>
      <c r="AG453" s="220">
        <f t="shared" ref="AG453:AG460" si="1465">AH453+AI453</f>
        <v>194.34</v>
      </c>
      <c r="AH453" s="220">
        <f t="shared" ref="AH453:AH460" si="1466">EO453</f>
        <v>120.06</v>
      </c>
      <c r="AI453" s="220">
        <f t="shared" ref="AI453:AI460" si="1467">EN453</f>
        <v>74.28</v>
      </c>
      <c r="AJ453" s="220">
        <f>IF(AG453-Z453&gt;0,0,AG453-Z453)</f>
        <v>0</v>
      </c>
      <c r="AK453" s="216">
        <f>IF(AJ453&gt;=0,Y453,Y453-AJ453)</f>
        <v>207</v>
      </c>
      <c r="AL453" s="220">
        <f>SUM(CP453:CX453)+SUM(DC453:DK453)</f>
        <v>348.6</v>
      </c>
      <c r="AM453" s="220">
        <f>SUM(DQ453:DU453)+SUM(DY453:EC453)</f>
        <v>0</v>
      </c>
      <c r="AN453" s="221">
        <f>AM453+AL453</f>
        <v>348.6</v>
      </c>
      <c r="AO453" s="220">
        <f>CY453+DL453</f>
        <v>0</v>
      </c>
      <c r="AP453" s="220">
        <f>CZ453+DM453</f>
        <v>15</v>
      </c>
      <c r="AQ453" s="220">
        <f>DA453+DN453</f>
        <v>140</v>
      </c>
      <c r="AR453" s="220">
        <f>DV453+ED453</f>
        <v>0</v>
      </c>
      <c r="AS453" s="220">
        <f>DW453+EE453</f>
        <v>0</v>
      </c>
      <c r="AT453" s="216">
        <f>AN453+SUM(AO453:AS453)</f>
        <v>503.6</v>
      </c>
      <c r="AU453" s="222">
        <f>AN453-AK453</f>
        <v>141.60000000000002</v>
      </c>
      <c r="AV453" s="220"/>
      <c r="AW453" s="220">
        <f>IF(AU453&gt;0,AU453,AV453+AU453)</f>
        <v>141.60000000000002</v>
      </c>
      <c r="AX453" s="216">
        <f>IF(AN453&gt;AK453,0,IF(AW453&lt;0,AN453-AK453+AV453,IF(AW453&gt;=0,0)))</f>
        <v>0</v>
      </c>
      <c r="AY453" s="220">
        <f>IF(AN453&gt;=AK453,AO453,IF(AN453+AO453-AK453&gt;=0,AN453+AO453-AK453,0))</f>
        <v>0</v>
      </c>
      <c r="AZ453" s="220">
        <f>IF(OR(AN453&gt;=AK453,AN453+AO453&gt;=AK453),AP453,IF(AN453+AO453+AP453&gt;AK453,AN453+AO453+AP453-AK453,0))</f>
        <v>15</v>
      </c>
      <c r="BA453" s="220">
        <f>IF(OR(AN453&gt;=AK453,AN453+AO453&gt;=AK453,AN453+AO453+AP453&gt;=AK453),AQ453,IF(AN453+AO453+AP453+AQ453&gt;=AK453,AN453+AO453+AP453+AQ453-AK453,0))</f>
        <v>140</v>
      </c>
      <c r="BB453" s="220">
        <f>IF(OR(AN453&gt;=AK453,AN453+AO453&gt;=AK453,AN453+AO453+AP453&gt;=AK453,AN453+AO453+AP453+AQ453&gt;=AK453),AR453,IF(AN453+AO453+AP453+AQ453+AR453&gt;=AK453,AN453+AO453+AP453+AQ453+AR453-AK453,0))</f>
        <v>0</v>
      </c>
      <c r="BC453" s="220">
        <f>IF(OR(AN453&gt;=AK453,AN453+AO453&gt;=AK453,AN453+AO453+AP453&gt;=AK453,AN453+AO453+AP453+AQ453&gt;=AK453,AN453+AO453+AP453+AQ453+AR453&gt;=AK453),AS453,IF(AN453+AO453+AP453+AQ453+AR453+AS453&gt;=AK453,AN453+AO453+AP453+AQ453+AR453+AS453-AK453,0))</f>
        <v>0</v>
      </c>
      <c r="BD453" s="216">
        <f>SUM(AY453:BC453)</f>
        <v>155</v>
      </c>
      <c r="BE453" s="220">
        <f>AY453-AO453</f>
        <v>0</v>
      </c>
      <c r="BF453" s="220">
        <f>AZ453-AP453</f>
        <v>0</v>
      </c>
      <c r="BG453" s="220">
        <f>BA453-AQ453</f>
        <v>0</v>
      </c>
      <c r="BH453" s="220">
        <f>BB453-AR453</f>
        <v>0</v>
      </c>
      <c r="BI453" s="220">
        <f>BC453-AS453</f>
        <v>0</v>
      </c>
      <c r="BJ453" s="220" t="s">
        <v>2427</v>
      </c>
      <c r="BK453" s="220"/>
      <c r="BL453" s="223">
        <f>IF(AW453&lt;BK453,0,IF(AND(BK453=0,AW453&gt;0),AW453,IF(AW453&lt;0,0,IF(BK453&gt;0,AW453-BK453,IF(BK453&lt;0,0,AW453)))))</f>
        <v>141.60000000000002</v>
      </c>
      <c r="BM453" s="220">
        <v>3</v>
      </c>
      <c r="BN453" s="220"/>
      <c r="BO453" s="220">
        <f t="shared" si="1458"/>
        <v>3</v>
      </c>
      <c r="BP453" s="220">
        <f>IF(AND(BL453&gt;0,BL453&lt;tiet!$D$1),BL453,IF(BL453&lt;=0,0,IF(BL453&gt;tiet!$C$1,tiet!$C$1)))</f>
        <v>141.60000000000002</v>
      </c>
      <c r="BQ453" s="87">
        <f>VLOOKUP(P453,ma_dinhmuc_moi,4,0)</f>
        <v>60000</v>
      </c>
      <c r="BR453" s="224">
        <f>ROUND(BQ453*BP453,0)</f>
        <v>8496000</v>
      </c>
      <c r="BS453" s="220">
        <f t="shared" si="1301"/>
        <v>0</v>
      </c>
      <c r="BT453" s="224">
        <f>VLOOKUP(N453,ma_dinhmuc!$A$1:$J$31,10,0)</f>
        <v>51000</v>
      </c>
      <c r="BU453" s="224">
        <f>ROUND(IF(BS453&gt;0,VLOOKUP(N453,ma_dinhmuc!$A$1:$J$31,10,0)*BS453,0),0)</f>
        <v>0</v>
      </c>
      <c r="BV453" s="224">
        <f>ROUND(BU453+BR453,0)</f>
        <v>8496000</v>
      </c>
      <c r="BW453" s="224"/>
      <c r="BX453" s="224">
        <v>0</v>
      </c>
      <c r="BY453" s="224"/>
      <c r="BZ453" s="224"/>
      <c r="CA453" s="224"/>
      <c r="CB453" s="224"/>
      <c r="CC453" s="225">
        <f>ROUND(IF(BV453+BW453&gt;BX453+BY453+BZ453+CA453+CB453,(BW453+BV453)-(BX453+BY453+BZ453+CA453+CB453+CB453),0),0)</f>
        <v>8496000</v>
      </c>
      <c r="CD453" s="224">
        <f>ROUND(IF(BV453+BW453&lt;BX453+BY453+BZ453+CA453-CB453,(BX453+BY453+BZ453+CA453-CB453)-(BW453+BV453),0),0)</f>
        <v>0</v>
      </c>
      <c r="CE453" s="224"/>
      <c r="CF453" s="226"/>
      <c r="CG453" s="87"/>
      <c r="CH453" s="87">
        <f>A453</f>
        <v>31</v>
      </c>
      <c r="CI453" s="227" t="str">
        <f t="shared" si="1463"/>
        <v xml:space="preserve">Nguyễn Công </v>
      </c>
      <c r="CJ453" s="227" t="str">
        <f t="shared" si="1463"/>
        <v>Toản</v>
      </c>
      <c r="CK453" s="87">
        <f t="shared" si="1463"/>
        <v>9</v>
      </c>
      <c r="CL453" s="227" t="str">
        <f>L453</f>
        <v>Ngoại sản</v>
      </c>
      <c r="CM453" s="87" t="str">
        <f>N453</f>
        <v>CS2</v>
      </c>
      <c r="CN453" s="87">
        <f>Q453</f>
        <v>270</v>
      </c>
      <c r="CO453" s="87">
        <f>R453</f>
        <v>100</v>
      </c>
      <c r="CP453" s="229">
        <f t="shared" si="1314"/>
        <v>0</v>
      </c>
      <c r="CQ453" s="229">
        <f t="shared" si="1315"/>
        <v>39</v>
      </c>
      <c r="CR453" s="229">
        <f t="shared" si="1316"/>
        <v>15.6</v>
      </c>
      <c r="CS453" s="229">
        <f t="shared" si="1317"/>
        <v>0</v>
      </c>
      <c r="CT453" s="229">
        <f t="shared" si="1318"/>
        <v>0</v>
      </c>
      <c r="CU453" s="229">
        <f t="shared" si="1319"/>
        <v>156</v>
      </c>
      <c r="CV453" s="229">
        <f t="shared" si="1320"/>
        <v>0</v>
      </c>
      <c r="CW453" s="229">
        <f t="shared" si="1321"/>
        <v>138</v>
      </c>
      <c r="CX453" s="229">
        <f t="shared" si="1322"/>
        <v>0</v>
      </c>
      <c r="CY453" s="229">
        <f t="shared" si="1323"/>
        <v>0</v>
      </c>
      <c r="CZ453" s="229">
        <f t="shared" si="1324"/>
        <v>15</v>
      </c>
      <c r="DA453" s="229">
        <f t="shared" si="1325"/>
        <v>140</v>
      </c>
      <c r="DB453" s="228">
        <f>SUM(CP453:DA453)</f>
        <v>503.6</v>
      </c>
      <c r="DC453" s="229"/>
      <c r="DD453" s="229"/>
      <c r="DE453" s="229"/>
      <c r="DF453" s="229"/>
      <c r="DG453" s="229"/>
      <c r="DH453" s="229"/>
      <c r="DI453" s="229"/>
      <c r="DJ453" s="229"/>
      <c r="DK453" s="229"/>
      <c r="DL453" s="229"/>
      <c r="DM453" s="229"/>
      <c r="DN453" s="229"/>
      <c r="DO453" s="228">
        <f>SUM(DC453:DN453)</f>
        <v>0</v>
      </c>
      <c r="DP453" s="228">
        <f>DO453+DB453</f>
        <v>503.6</v>
      </c>
      <c r="DQ453" s="229">
        <f t="shared" si="1326"/>
        <v>0</v>
      </c>
      <c r="DR453" s="229">
        <f t="shared" si="1327"/>
        <v>0</v>
      </c>
      <c r="DS453" s="229">
        <f t="shared" si="1328"/>
        <v>0</v>
      </c>
      <c r="DT453" s="229">
        <f t="shared" si="1329"/>
        <v>0</v>
      </c>
      <c r="DU453" s="229">
        <f t="shared" si="1330"/>
        <v>0</v>
      </c>
      <c r="DV453" s="229">
        <f t="shared" si="1331"/>
        <v>0</v>
      </c>
      <c r="DW453" s="229">
        <f t="shared" si="1332"/>
        <v>0</v>
      </c>
      <c r="DX453" s="228">
        <f>SUM(DQ453:DW453)</f>
        <v>0</v>
      </c>
      <c r="DY453" s="229"/>
      <c r="DZ453" s="229"/>
      <c r="EA453" s="229"/>
      <c r="EB453" s="229"/>
      <c r="EC453" s="229"/>
      <c r="ED453" s="229"/>
      <c r="EE453" s="229"/>
      <c r="EF453" s="228">
        <f t="shared" si="1305"/>
        <v>0</v>
      </c>
      <c r="EG453" s="228">
        <f>EF453+DX453</f>
        <v>0</v>
      </c>
      <c r="EH453" s="229">
        <f t="shared" si="1306"/>
        <v>74.28</v>
      </c>
      <c r="EI453" s="229">
        <v>120.06</v>
      </c>
      <c r="EJ453" s="228">
        <f>SUM(EH453:EI453)</f>
        <v>194.34</v>
      </c>
      <c r="EK453" s="229"/>
      <c r="EL453" s="229"/>
      <c r="EM453" s="228">
        <f t="shared" ref="EM453:EM484" si="1468">SUM(EK453:EL453)</f>
        <v>0</v>
      </c>
      <c r="EN453" s="229">
        <f>EK453+EH453+EL453</f>
        <v>74.28</v>
      </c>
      <c r="EO453" s="229">
        <f>EI453</f>
        <v>120.06</v>
      </c>
      <c r="EP453" s="228">
        <f>EM453+EJ453</f>
        <v>194.34</v>
      </c>
      <c r="EQ453" s="173">
        <f t="shared" si="1303"/>
        <v>0</v>
      </c>
      <c r="ER453" s="189">
        <v>0</v>
      </c>
      <c r="ES453" s="189">
        <v>39</v>
      </c>
      <c r="ET453" s="189">
        <v>15.6</v>
      </c>
      <c r="EU453" s="189">
        <v>0</v>
      </c>
      <c r="EV453" s="189">
        <v>0</v>
      </c>
      <c r="EW453" s="189">
        <v>156</v>
      </c>
      <c r="EX453" s="189">
        <v>0</v>
      </c>
      <c r="EY453" s="189">
        <v>138</v>
      </c>
      <c r="EZ453" s="189">
        <v>0</v>
      </c>
      <c r="FA453" s="189">
        <v>0</v>
      </c>
      <c r="FB453" s="189">
        <v>15</v>
      </c>
      <c r="FC453" s="189">
        <v>140</v>
      </c>
      <c r="FD453" s="189">
        <v>0</v>
      </c>
      <c r="FE453" s="189">
        <v>0</v>
      </c>
      <c r="FF453" s="189">
        <v>0</v>
      </c>
      <c r="FG453" s="189">
        <v>0</v>
      </c>
      <c r="FH453" s="189">
        <v>0</v>
      </c>
      <c r="FI453" s="189">
        <v>0</v>
      </c>
      <c r="FJ453" s="189">
        <v>0</v>
      </c>
      <c r="FK453" s="189">
        <v>503.6</v>
      </c>
      <c r="FL453" s="189">
        <v>407</v>
      </c>
      <c r="FN453" s="132">
        <v>74.28</v>
      </c>
    </row>
    <row r="454" spans="1:170" ht="30" customHeight="1">
      <c r="A454" s="88">
        <f>COUNTIF($H$12:H454,H454)</f>
        <v>32</v>
      </c>
      <c r="B454" s="88" t="s">
        <v>2732</v>
      </c>
      <c r="C454" s="88" t="s">
        <v>355</v>
      </c>
      <c r="D454" s="88"/>
      <c r="E454" s="88"/>
      <c r="F454" s="301" t="s">
        <v>2895</v>
      </c>
      <c r="G454" s="303" t="s">
        <v>1772</v>
      </c>
      <c r="H454" s="88">
        <v>9</v>
      </c>
      <c r="I454" s="88">
        <v>9</v>
      </c>
      <c r="J454" s="88">
        <v>9</v>
      </c>
      <c r="K454" s="90" t="s">
        <v>1104</v>
      </c>
      <c r="L454" s="90" t="s">
        <v>1104</v>
      </c>
      <c r="M454" s="214"/>
      <c r="N454" s="88" t="s">
        <v>605</v>
      </c>
      <c r="O454" s="216">
        <f t="shared" si="1456"/>
        <v>7.28</v>
      </c>
      <c r="P454" s="88" t="str">
        <f t="shared" si="1333"/>
        <v>B1_8</v>
      </c>
      <c r="Q454" s="88">
        <f t="shared" si="1369"/>
        <v>270</v>
      </c>
      <c r="R454" s="88">
        <f t="shared" si="1370"/>
        <v>280</v>
      </c>
      <c r="S454" s="218"/>
      <c r="T454" s="88" t="s">
        <v>3088</v>
      </c>
      <c r="U454" s="88">
        <f>IF(RIGHT(T454,1)="K",(VLOOKUP(T454,ma_miengiam!$A$3:$B$80,2,0)*100)/2,VLOOKUP(T454,ma_miengiam!$A$3:$B$80,2,0)*100)</f>
        <v>0</v>
      </c>
      <c r="V454" s="88"/>
      <c r="W454" s="220">
        <f>IF(AND(T454="NTS",V454&gt;0),(Q454-(Q454*V454)/12)*VLOOKUP(T454,ma_miengiam!$A$3:$B$80,2,0)+(Q454-(Q454*(12-V454))/12),IF(AND(RIGHT(T454,1)="K",V454&gt;0),(VLOOKUP(T454,ma_miengiam!$A$3:$B$80,2,0)/2)*(Q454*V454)/12,IF(RIGHT(T454,1)="K",(VLOOKUP(T454,ma_miengiam!$A$3:$B$80,2,0)*Q454)/2,IF(V454&gt;0,VLOOKUP(T454,ma_miengiam!$A$3:$B$80,2,0)*Q454*V454/12,VLOOKUP(T454,ma_miengiam!$A$3:$B$80,2,0)*Q454))))</f>
        <v>0</v>
      </c>
      <c r="X454" s="220">
        <f>IF(T454="NTS",VLOOKUP(T454,ma_miengiam!$A$3:$B$80,2,0)*R454*V454,IF(AND(T454="NTS",V454=0),0,IF(AND(LEFT(T454,1)="K",V454=0),VLOOKUP(T454,ma_miengiam!$A$3:$B$80,2,0)*R454,IF(LEFT(T454,1)="K",(VLOOKUP(T454,ma_miengiam!$A$3:$B$80,2,0)*R454/12)*V454,IF(AND(LEFT(T454,1)="S",V454&gt;0),(R454/12)*V454,IF(AND(LEFT(T454,1)="S",V454=0),R454,IF(T454="DH",VLOOKUP(T454,ma_miengiam!$A$3:$B$80,2,0)*R454,0)))))))</f>
        <v>0</v>
      </c>
      <c r="Y454" s="220">
        <f t="shared" si="1344"/>
        <v>270</v>
      </c>
      <c r="Z454" s="220">
        <f t="shared" si="1457"/>
        <v>280</v>
      </c>
      <c r="AA454" s="220">
        <f>Q454</f>
        <v>270</v>
      </c>
      <c r="AB454" s="220">
        <f>R454</f>
        <v>280</v>
      </c>
      <c r="AC454" s="220">
        <f t="shared" si="1464"/>
        <v>0</v>
      </c>
      <c r="AD454" s="220">
        <f t="shared" si="1464"/>
        <v>0</v>
      </c>
      <c r="AE454" s="220">
        <f t="shared" si="1464"/>
        <v>270</v>
      </c>
      <c r="AF454" s="220">
        <f t="shared" si="1464"/>
        <v>280</v>
      </c>
      <c r="AG454" s="220">
        <f t="shared" si="1465"/>
        <v>620.33000000000004</v>
      </c>
      <c r="AH454" s="220">
        <f t="shared" si="1466"/>
        <v>336.16</v>
      </c>
      <c r="AI454" s="220">
        <f t="shared" si="1467"/>
        <v>284.17</v>
      </c>
      <c r="AJ454" s="220">
        <f t="shared" si="1396"/>
        <v>0</v>
      </c>
      <c r="AK454" s="216">
        <f t="shared" si="1454"/>
        <v>270</v>
      </c>
      <c r="AL454" s="220">
        <f t="shared" si="1431"/>
        <v>236.3</v>
      </c>
      <c r="AM454" s="220">
        <f t="shared" si="1432"/>
        <v>38.200000000000003</v>
      </c>
      <c r="AN454" s="221">
        <f t="shared" si="1433"/>
        <v>274.5</v>
      </c>
      <c r="AO454" s="220">
        <f t="shared" si="1434"/>
        <v>0</v>
      </c>
      <c r="AP454" s="220">
        <f t="shared" si="1435"/>
        <v>30</v>
      </c>
      <c r="AQ454" s="220">
        <f t="shared" si="1436"/>
        <v>300</v>
      </c>
      <c r="AR454" s="220">
        <f t="shared" si="1437"/>
        <v>80</v>
      </c>
      <c r="AS454" s="220">
        <f t="shared" si="1438"/>
        <v>0</v>
      </c>
      <c r="AT454" s="216">
        <f t="shared" si="1439"/>
        <v>684.5</v>
      </c>
      <c r="AU454" s="222">
        <f t="shared" si="1447"/>
        <v>4.5</v>
      </c>
      <c r="AV454" s="220"/>
      <c r="AW454" s="220">
        <f t="shared" si="1379"/>
        <v>4.5</v>
      </c>
      <c r="AX454" s="216">
        <f t="shared" si="1448"/>
        <v>0</v>
      </c>
      <c r="AY454" s="220">
        <f t="shared" si="1386"/>
        <v>0</v>
      </c>
      <c r="AZ454" s="220">
        <f t="shared" si="1387"/>
        <v>30</v>
      </c>
      <c r="BA454" s="220">
        <f t="shared" si="1388"/>
        <v>300</v>
      </c>
      <c r="BB454" s="220">
        <f t="shared" si="1389"/>
        <v>80</v>
      </c>
      <c r="BC454" s="220">
        <f t="shared" si="1390"/>
        <v>0</v>
      </c>
      <c r="BD454" s="216">
        <f t="shared" si="1410"/>
        <v>410</v>
      </c>
      <c r="BE454" s="220">
        <f t="shared" si="1380"/>
        <v>0</v>
      </c>
      <c r="BF454" s="220">
        <f t="shared" si="1381"/>
        <v>0</v>
      </c>
      <c r="BG454" s="220">
        <f t="shared" si="1382"/>
        <v>0</v>
      </c>
      <c r="BH454" s="220">
        <f t="shared" si="1383"/>
        <v>0</v>
      </c>
      <c r="BI454" s="220">
        <f t="shared" si="1384"/>
        <v>0</v>
      </c>
      <c r="BJ454" s="220" t="s">
        <v>186</v>
      </c>
      <c r="BK454" s="220"/>
      <c r="BL454" s="223">
        <f t="shared" si="1422"/>
        <v>4.5</v>
      </c>
      <c r="BM454" s="220">
        <v>7.28</v>
      </c>
      <c r="BN454" s="220"/>
      <c r="BO454" s="220">
        <f t="shared" si="1458"/>
        <v>7.28</v>
      </c>
      <c r="BP454" s="220">
        <f>IF(AND(BL454&gt;0,BL454&lt;tiet!$D$1),BL454,IF(BL454&lt;=0,0,IF(BL454&gt;tiet!$C$1,tiet!$C$1)))</f>
        <v>4.5</v>
      </c>
      <c r="BQ454" s="87">
        <f t="shared" si="1397"/>
        <v>85000</v>
      </c>
      <c r="BR454" s="224">
        <f t="shared" si="1391"/>
        <v>382500</v>
      </c>
      <c r="BS454" s="220">
        <f t="shared" si="1301"/>
        <v>0</v>
      </c>
      <c r="BT454" s="224">
        <f>VLOOKUP(N454,ma_dinhmuc!$A$1:$J$31,10,0)</f>
        <v>65000</v>
      </c>
      <c r="BU454" s="224">
        <f>ROUND(IF(BS454&gt;0,VLOOKUP(N454,ma_dinhmuc!$A$1:$J$31,10,0)*BS454,0),0)</f>
        <v>0</v>
      </c>
      <c r="BV454" s="224">
        <f t="shared" si="1392"/>
        <v>382500</v>
      </c>
      <c r="BW454" s="224"/>
      <c r="BX454" s="224">
        <v>0</v>
      </c>
      <c r="BY454" s="224"/>
      <c r="BZ454" s="224"/>
      <c r="CA454" s="224"/>
      <c r="CB454" s="224"/>
      <c r="CC454" s="225">
        <f t="shared" si="1419"/>
        <v>382500</v>
      </c>
      <c r="CD454" s="224">
        <f t="shared" si="1420"/>
        <v>0</v>
      </c>
      <c r="CE454" s="224"/>
      <c r="CF454" s="226"/>
      <c r="CG454" s="87"/>
      <c r="CH454" s="87">
        <f t="shared" si="1407"/>
        <v>32</v>
      </c>
      <c r="CI454" s="227" t="str">
        <f t="shared" si="1459"/>
        <v>Nguyễn Văn</v>
      </c>
      <c r="CJ454" s="227" t="str">
        <f t="shared" si="1459"/>
        <v>Thanh</v>
      </c>
      <c r="CK454" s="87">
        <f t="shared" si="1460"/>
        <v>9</v>
      </c>
      <c r="CL454" s="227" t="str">
        <f t="shared" si="1408"/>
        <v>Ngoại sản</v>
      </c>
      <c r="CM454" s="87" t="str">
        <f t="shared" si="1385"/>
        <v>CS4</v>
      </c>
      <c r="CN454" s="87">
        <f t="shared" si="1462"/>
        <v>270</v>
      </c>
      <c r="CO454" s="87">
        <f t="shared" si="1462"/>
        <v>280</v>
      </c>
      <c r="CP454" s="229">
        <f t="shared" si="1314"/>
        <v>0</v>
      </c>
      <c r="CQ454" s="229">
        <f t="shared" si="1315"/>
        <v>20.2</v>
      </c>
      <c r="CR454" s="229">
        <f t="shared" si="1316"/>
        <v>8.1</v>
      </c>
      <c r="CS454" s="229">
        <f t="shared" si="1317"/>
        <v>0</v>
      </c>
      <c r="CT454" s="229">
        <f t="shared" si="1318"/>
        <v>0</v>
      </c>
      <c r="CU454" s="229">
        <f t="shared" si="1319"/>
        <v>148</v>
      </c>
      <c r="CV454" s="229">
        <f t="shared" si="1320"/>
        <v>0</v>
      </c>
      <c r="CW454" s="229">
        <f t="shared" si="1321"/>
        <v>60</v>
      </c>
      <c r="CX454" s="229">
        <f t="shared" si="1322"/>
        <v>0</v>
      </c>
      <c r="CY454" s="229">
        <f t="shared" si="1323"/>
        <v>0</v>
      </c>
      <c r="CZ454" s="229">
        <f t="shared" si="1324"/>
        <v>30</v>
      </c>
      <c r="DA454" s="229">
        <f t="shared" si="1325"/>
        <v>300</v>
      </c>
      <c r="DB454" s="228">
        <f t="shared" si="1429"/>
        <v>566.29999999999995</v>
      </c>
      <c r="DC454" s="229"/>
      <c r="DD454" s="229"/>
      <c r="DE454" s="229"/>
      <c r="DF454" s="229"/>
      <c r="DG454" s="229"/>
      <c r="DH454" s="229"/>
      <c r="DI454" s="229"/>
      <c r="DJ454" s="229"/>
      <c r="DK454" s="229"/>
      <c r="DL454" s="229"/>
      <c r="DM454" s="229"/>
      <c r="DN454" s="229"/>
      <c r="DO454" s="228">
        <f t="shared" si="1440"/>
        <v>0</v>
      </c>
      <c r="DP454" s="228">
        <f t="shared" si="1441"/>
        <v>566.29999999999995</v>
      </c>
      <c r="DQ454" s="229">
        <f t="shared" si="1326"/>
        <v>36</v>
      </c>
      <c r="DR454" s="229">
        <f t="shared" si="1327"/>
        <v>1.6</v>
      </c>
      <c r="DS454" s="229">
        <f t="shared" si="1328"/>
        <v>0</v>
      </c>
      <c r="DT454" s="229">
        <f t="shared" si="1329"/>
        <v>0.6</v>
      </c>
      <c r="DU454" s="229">
        <f t="shared" si="1330"/>
        <v>0</v>
      </c>
      <c r="DV454" s="229">
        <f t="shared" si="1331"/>
        <v>80</v>
      </c>
      <c r="DW454" s="229">
        <f t="shared" si="1332"/>
        <v>0</v>
      </c>
      <c r="DX454" s="228">
        <f t="shared" si="1430"/>
        <v>118.2</v>
      </c>
      <c r="DY454" s="229"/>
      <c r="DZ454" s="229"/>
      <c r="EA454" s="229"/>
      <c r="EB454" s="229"/>
      <c r="EC454" s="229"/>
      <c r="ED454" s="229"/>
      <c r="EE454" s="229"/>
      <c r="EF454" s="228">
        <f t="shared" si="1305"/>
        <v>0</v>
      </c>
      <c r="EG454" s="228">
        <f t="shared" si="1442"/>
        <v>118.2</v>
      </c>
      <c r="EH454" s="229">
        <f t="shared" si="1306"/>
        <v>284.17</v>
      </c>
      <c r="EI454" s="229">
        <v>336.16</v>
      </c>
      <c r="EJ454" s="228">
        <f>SUM(EH454:EI454)</f>
        <v>620.33000000000004</v>
      </c>
      <c r="EK454" s="229"/>
      <c r="EL454" s="229"/>
      <c r="EM454" s="228">
        <f t="shared" si="1468"/>
        <v>0</v>
      </c>
      <c r="EN454" s="229">
        <f t="shared" si="1423"/>
        <v>284.17</v>
      </c>
      <c r="EO454" s="229">
        <f t="shared" si="1451"/>
        <v>336.16</v>
      </c>
      <c r="EP454" s="228">
        <f>EM454+EJ454</f>
        <v>620.33000000000004</v>
      </c>
      <c r="EQ454" s="173">
        <f t="shared" si="1303"/>
        <v>4.1700000000000159</v>
      </c>
      <c r="ER454" s="189">
        <v>0</v>
      </c>
      <c r="ES454" s="189">
        <v>20.2</v>
      </c>
      <c r="ET454" s="189">
        <v>8.1</v>
      </c>
      <c r="EU454" s="189">
        <v>0</v>
      </c>
      <c r="EV454" s="189">
        <v>0</v>
      </c>
      <c r="EW454" s="189">
        <v>148</v>
      </c>
      <c r="EX454" s="189">
        <v>0</v>
      </c>
      <c r="EY454" s="189">
        <v>60</v>
      </c>
      <c r="EZ454" s="189">
        <v>0</v>
      </c>
      <c r="FA454" s="189">
        <v>0</v>
      </c>
      <c r="FB454" s="189">
        <v>30</v>
      </c>
      <c r="FC454" s="189">
        <v>300</v>
      </c>
      <c r="FD454" s="189">
        <v>36</v>
      </c>
      <c r="FE454" s="189">
        <v>1.6</v>
      </c>
      <c r="FF454" s="189">
        <v>0</v>
      </c>
      <c r="FG454" s="189">
        <v>0.6</v>
      </c>
      <c r="FH454" s="189">
        <v>80</v>
      </c>
      <c r="FI454" s="189">
        <v>0</v>
      </c>
      <c r="FJ454" s="189">
        <v>0</v>
      </c>
      <c r="FK454" s="189">
        <v>684.5</v>
      </c>
      <c r="FL454" s="189">
        <v>650</v>
      </c>
      <c r="FN454" s="132">
        <v>284.17</v>
      </c>
    </row>
    <row r="455" spans="1:170" ht="36" customHeight="1">
      <c r="A455" s="88">
        <f>COUNTIF($H$12:H455,H455)</f>
        <v>33</v>
      </c>
      <c r="B455" s="88" t="s">
        <v>2733</v>
      </c>
      <c r="C455" s="88" t="s">
        <v>356</v>
      </c>
      <c r="D455" s="88"/>
      <c r="E455" s="88"/>
      <c r="F455" s="301" t="s">
        <v>1185</v>
      </c>
      <c r="G455" s="89" t="s">
        <v>2298</v>
      </c>
      <c r="H455" s="88">
        <v>9</v>
      </c>
      <c r="I455" s="88">
        <v>9</v>
      </c>
      <c r="J455" s="88">
        <v>9</v>
      </c>
      <c r="K455" s="90" t="s">
        <v>1104</v>
      </c>
      <c r="L455" s="90" t="s">
        <v>1104</v>
      </c>
      <c r="M455" s="214"/>
      <c r="N455" s="88" t="s">
        <v>1804</v>
      </c>
      <c r="O455" s="216">
        <f t="shared" si="1456"/>
        <v>3.33</v>
      </c>
      <c r="P455" s="88" t="str">
        <f t="shared" si="1333"/>
        <v>B1_4</v>
      </c>
      <c r="Q455" s="88">
        <f t="shared" si="1369"/>
        <v>270</v>
      </c>
      <c r="R455" s="88">
        <f t="shared" si="1370"/>
        <v>120</v>
      </c>
      <c r="S455" s="218" t="s">
        <v>924</v>
      </c>
      <c r="T455" s="88" t="s">
        <v>3091</v>
      </c>
      <c r="U455" s="88">
        <f>IF(RIGHT(T455,1)="K",(VLOOKUP(T455,ma_miengiam!$A$3:$B$80,2,0)*100)/2,VLOOKUP(T455,ma_miengiam!$A$3:$B$80,2,0)*100)</f>
        <v>20</v>
      </c>
      <c r="V455" s="88"/>
      <c r="W455" s="220">
        <f>IF(AND(T455="NTS",V455&gt;0),(Q455-(Q455*V455)/12)*VLOOKUP(T455,ma_miengiam!$A$3:$B$80,2,0)+(Q455-(Q455*(12-V455))/12),IF(AND(RIGHT(T455,1)="K",V455&gt;0),(VLOOKUP(T455,ma_miengiam!$A$3:$B$80,2,0)/2)*(Q455*V455)/12,IF(RIGHT(T455,1)="K",(VLOOKUP(T455,ma_miengiam!$A$3:$B$80,2,0)*Q455)/2,IF(V455&gt;0,VLOOKUP(T455,ma_miengiam!$A$3:$B$80,2,0)*Q455*V455/12,VLOOKUP(T455,ma_miengiam!$A$3:$B$80,2,0)*Q455))))</f>
        <v>54</v>
      </c>
      <c r="X455" s="220">
        <f>IF(T455="NTS",VLOOKUP(T455,ma_miengiam!$A$3:$B$80,2,0)*R455*V455,IF(AND(T455="NTS",V455=0),0,IF(AND(LEFT(T455,1)="K",V455=0),VLOOKUP(T455,ma_miengiam!$A$3:$B$80,2,0)*R455,IF(LEFT(T455,1)="K",(VLOOKUP(T455,ma_miengiam!$A$3:$B$80,2,0)*R455/12)*V455,IF(AND(LEFT(T455,1)="S",V455&gt;0),(R455/12)*V455,IF(AND(LEFT(T455,1)="S",V455=0),R455,IF(T455="DH",VLOOKUP(T455,ma_miengiam!$A$3:$B$80,2,0)*R455,0)))))))</f>
        <v>0</v>
      </c>
      <c r="Y455" s="220">
        <f t="shared" si="1344"/>
        <v>216</v>
      </c>
      <c r="Z455" s="220">
        <f t="shared" si="1457"/>
        <v>120</v>
      </c>
      <c r="AA455" s="220">
        <f t="shared" ref="AA455:AB460" si="1469">Q455</f>
        <v>270</v>
      </c>
      <c r="AB455" s="220">
        <f t="shared" si="1469"/>
        <v>120</v>
      </c>
      <c r="AC455" s="220">
        <f t="shared" ref="AC455:AF456" si="1470">W455</f>
        <v>54</v>
      </c>
      <c r="AD455" s="220">
        <f t="shared" si="1470"/>
        <v>0</v>
      </c>
      <c r="AE455" s="220">
        <f t="shared" si="1470"/>
        <v>216</v>
      </c>
      <c r="AF455" s="220">
        <f t="shared" si="1470"/>
        <v>120</v>
      </c>
      <c r="AG455" s="220">
        <f t="shared" si="1465"/>
        <v>149.34</v>
      </c>
      <c r="AH455" s="220">
        <f t="shared" si="1466"/>
        <v>120.06</v>
      </c>
      <c r="AI455" s="220">
        <f t="shared" si="1467"/>
        <v>29.28</v>
      </c>
      <c r="AJ455" s="220">
        <f t="shared" si="1396"/>
        <v>0</v>
      </c>
      <c r="AK455" s="216">
        <f t="shared" si="1454"/>
        <v>216</v>
      </c>
      <c r="AL455" s="220">
        <f t="shared" si="1431"/>
        <v>632.4</v>
      </c>
      <c r="AM455" s="220">
        <f t="shared" si="1432"/>
        <v>0</v>
      </c>
      <c r="AN455" s="221">
        <f t="shared" si="1433"/>
        <v>632.4</v>
      </c>
      <c r="AO455" s="220">
        <f t="shared" si="1434"/>
        <v>0</v>
      </c>
      <c r="AP455" s="220">
        <f t="shared" si="1435"/>
        <v>0</v>
      </c>
      <c r="AQ455" s="220">
        <f t="shared" si="1436"/>
        <v>300</v>
      </c>
      <c r="AR455" s="220">
        <f t="shared" si="1437"/>
        <v>0</v>
      </c>
      <c r="AS455" s="220">
        <f t="shared" si="1438"/>
        <v>0</v>
      </c>
      <c r="AT455" s="216">
        <f t="shared" si="1439"/>
        <v>932.4</v>
      </c>
      <c r="AU455" s="222">
        <f t="shared" si="1447"/>
        <v>416.4</v>
      </c>
      <c r="AV455" s="220"/>
      <c r="AW455" s="220">
        <f t="shared" si="1379"/>
        <v>416.4</v>
      </c>
      <c r="AX455" s="216">
        <f t="shared" si="1448"/>
        <v>0</v>
      </c>
      <c r="AY455" s="220">
        <f t="shared" si="1386"/>
        <v>0</v>
      </c>
      <c r="AZ455" s="220">
        <f t="shared" si="1387"/>
        <v>0</v>
      </c>
      <c r="BA455" s="220">
        <f t="shared" si="1388"/>
        <v>300</v>
      </c>
      <c r="BB455" s="220">
        <f t="shared" si="1389"/>
        <v>0</v>
      </c>
      <c r="BC455" s="220">
        <f t="shared" si="1390"/>
        <v>0</v>
      </c>
      <c r="BD455" s="216">
        <f t="shared" si="1410"/>
        <v>300</v>
      </c>
      <c r="BE455" s="220">
        <f t="shared" si="1380"/>
        <v>0</v>
      </c>
      <c r="BF455" s="220">
        <f t="shared" si="1381"/>
        <v>0</v>
      </c>
      <c r="BG455" s="220">
        <f t="shared" si="1382"/>
        <v>0</v>
      </c>
      <c r="BH455" s="220">
        <f t="shared" si="1383"/>
        <v>0</v>
      </c>
      <c r="BI455" s="220">
        <f t="shared" si="1384"/>
        <v>0</v>
      </c>
      <c r="BJ455" s="220" t="s">
        <v>186</v>
      </c>
      <c r="BK455" s="220"/>
      <c r="BL455" s="223">
        <f t="shared" si="1422"/>
        <v>416.4</v>
      </c>
      <c r="BM455" s="220">
        <v>3.33</v>
      </c>
      <c r="BN455" s="220"/>
      <c r="BO455" s="220">
        <f t="shared" si="1458"/>
        <v>3.33</v>
      </c>
      <c r="BP455" s="220">
        <f>IF(AND(BL455&gt;0,BL455&lt;tiet!$D$1),BL455,IF(BL455&lt;=0,0,IF(BL455&gt;tiet!$C$1,tiet!$C$1)))</f>
        <v>200</v>
      </c>
      <c r="BQ455" s="87">
        <f t="shared" si="1397"/>
        <v>65000</v>
      </c>
      <c r="BR455" s="224">
        <f t="shared" si="1391"/>
        <v>13000000</v>
      </c>
      <c r="BS455" s="220">
        <f t="shared" si="1301"/>
        <v>216.39999999999998</v>
      </c>
      <c r="BT455" s="224">
        <f>VLOOKUP(N455,ma_dinhmuc!$A$1:$J$31,10,0)</f>
        <v>51000</v>
      </c>
      <c r="BU455" s="224">
        <f>ROUND(IF(BS455&gt;0,VLOOKUP(N455,ma_dinhmuc!$A$1:$J$31,10,0)*BS455,0),0)</f>
        <v>11036400</v>
      </c>
      <c r="BV455" s="224">
        <f t="shared" si="1392"/>
        <v>24036400</v>
      </c>
      <c r="BW455" s="224"/>
      <c r="BX455" s="224">
        <v>0</v>
      </c>
      <c r="BY455" s="224"/>
      <c r="BZ455" s="224"/>
      <c r="CA455" s="224"/>
      <c r="CB455" s="224"/>
      <c r="CC455" s="225">
        <f t="shared" si="1419"/>
        <v>24036400</v>
      </c>
      <c r="CD455" s="224">
        <f t="shared" si="1420"/>
        <v>0</v>
      </c>
      <c r="CE455" s="224"/>
      <c r="CF455" s="226"/>
      <c r="CG455" s="87"/>
      <c r="CH455" s="87">
        <f t="shared" ref="CH455:CH471" si="1471">A455</f>
        <v>33</v>
      </c>
      <c r="CI455" s="227" t="str">
        <f t="shared" si="1459"/>
        <v>Đỗ Thị Kim</v>
      </c>
      <c r="CJ455" s="227" t="str">
        <f t="shared" si="1459"/>
        <v>Lành</v>
      </c>
      <c r="CK455" s="87">
        <f t="shared" si="1460"/>
        <v>9</v>
      </c>
      <c r="CL455" s="227" t="str">
        <f t="shared" si="1408"/>
        <v>Ngoại sản</v>
      </c>
      <c r="CM455" s="87" t="str">
        <f t="shared" si="1385"/>
        <v>CS2</v>
      </c>
      <c r="CN455" s="87">
        <f t="shared" si="1462"/>
        <v>270</v>
      </c>
      <c r="CO455" s="87">
        <f t="shared" si="1462"/>
        <v>120</v>
      </c>
      <c r="CP455" s="229">
        <f t="shared" si="1314"/>
        <v>0</v>
      </c>
      <c r="CQ455" s="229">
        <f t="shared" si="1315"/>
        <v>30.6</v>
      </c>
      <c r="CR455" s="229">
        <f t="shared" si="1316"/>
        <v>12.3</v>
      </c>
      <c r="CS455" s="229">
        <f t="shared" si="1317"/>
        <v>162</v>
      </c>
      <c r="CT455" s="229">
        <f t="shared" si="1318"/>
        <v>0</v>
      </c>
      <c r="CU455" s="229">
        <f t="shared" si="1319"/>
        <v>151.5</v>
      </c>
      <c r="CV455" s="229">
        <f t="shared" si="1320"/>
        <v>0</v>
      </c>
      <c r="CW455" s="229">
        <f t="shared" si="1321"/>
        <v>276</v>
      </c>
      <c r="CX455" s="229">
        <f t="shared" si="1322"/>
        <v>0</v>
      </c>
      <c r="CY455" s="229">
        <f t="shared" si="1323"/>
        <v>0</v>
      </c>
      <c r="CZ455" s="229">
        <f t="shared" si="1324"/>
        <v>0</v>
      </c>
      <c r="DA455" s="229">
        <f t="shared" si="1325"/>
        <v>300</v>
      </c>
      <c r="DB455" s="228">
        <f t="shared" si="1429"/>
        <v>932.4</v>
      </c>
      <c r="DC455" s="229"/>
      <c r="DD455" s="229"/>
      <c r="DE455" s="229"/>
      <c r="DF455" s="229"/>
      <c r="DG455" s="229"/>
      <c r="DH455" s="229"/>
      <c r="DI455" s="229"/>
      <c r="DJ455" s="229"/>
      <c r="DK455" s="229"/>
      <c r="DL455" s="229"/>
      <c r="DM455" s="229"/>
      <c r="DN455" s="229"/>
      <c r="DO455" s="228">
        <f t="shared" si="1440"/>
        <v>0</v>
      </c>
      <c r="DP455" s="228">
        <f t="shared" si="1441"/>
        <v>932.4</v>
      </c>
      <c r="DQ455" s="229">
        <f t="shared" si="1326"/>
        <v>0</v>
      </c>
      <c r="DR455" s="229">
        <f t="shared" si="1327"/>
        <v>0</v>
      </c>
      <c r="DS455" s="229">
        <f t="shared" si="1328"/>
        <v>0</v>
      </c>
      <c r="DT455" s="229">
        <f t="shared" si="1329"/>
        <v>0</v>
      </c>
      <c r="DU455" s="229">
        <f t="shared" si="1330"/>
        <v>0</v>
      </c>
      <c r="DV455" s="229">
        <f t="shared" si="1331"/>
        <v>0</v>
      </c>
      <c r="DW455" s="229">
        <f t="shared" si="1332"/>
        <v>0</v>
      </c>
      <c r="DX455" s="228">
        <f t="shared" si="1430"/>
        <v>0</v>
      </c>
      <c r="DY455" s="229"/>
      <c r="DZ455" s="229"/>
      <c r="EA455" s="229"/>
      <c r="EB455" s="229"/>
      <c r="EC455" s="229"/>
      <c r="ED455" s="229"/>
      <c r="EE455" s="229"/>
      <c r="EF455" s="228">
        <f t="shared" si="1305"/>
        <v>0</v>
      </c>
      <c r="EG455" s="228">
        <f t="shared" si="1442"/>
        <v>0</v>
      </c>
      <c r="EH455" s="229">
        <f t="shared" si="1306"/>
        <v>29.28</v>
      </c>
      <c r="EI455" s="229">
        <v>120.06</v>
      </c>
      <c r="EJ455" s="228">
        <f t="shared" si="1443"/>
        <v>149.34</v>
      </c>
      <c r="EK455" s="229"/>
      <c r="EL455" s="229"/>
      <c r="EM455" s="228">
        <f t="shared" si="1468"/>
        <v>0</v>
      </c>
      <c r="EN455" s="229">
        <f t="shared" si="1423"/>
        <v>29.28</v>
      </c>
      <c r="EO455" s="229">
        <f t="shared" si="1451"/>
        <v>120.06</v>
      </c>
      <c r="EP455" s="228">
        <f t="shared" si="1461"/>
        <v>149.34</v>
      </c>
      <c r="EQ455" s="173">
        <f t="shared" si="1303"/>
        <v>0</v>
      </c>
      <c r="ER455" s="189">
        <v>0</v>
      </c>
      <c r="ES455" s="189">
        <v>30.6</v>
      </c>
      <c r="ET455" s="189">
        <v>12.3</v>
      </c>
      <c r="EU455" s="189">
        <v>162</v>
      </c>
      <c r="EV455" s="189">
        <v>0</v>
      </c>
      <c r="EW455" s="189">
        <v>151.5</v>
      </c>
      <c r="EX455" s="189">
        <v>0</v>
      </c>
      <c r="EY455" s="189">
        <v>276</v>
      </c>
      <c r="EZ455" s="189">
        <v>0</v>
      </c>
      <c r="FA455" s="189">
        <v>0</v>
      </c>
      <c r="FB455" s="189">
        <v>0</v>
      </c>
      <c r="FC455" s="189">
        <v>300</v>
      </c>
      <c r="FD455" s="189">
        <v>0</v>
      </c>
      <c r="FE455" s="189">
        <v>0</v>
      </c>
      <c r="FF455" s="189">
        <v>0</v>
      </c>
      <c r="FG455" s="189">
        <v>0</v>
      </c>
      <c r="FH455" s="189">
        <v>0</v>
      </c>
      <c r="FI455" s="189">
        <v>0</v>
      </c>
      <c r="FJ455" s="189">
        <v>0</v>
      </c>
      <c r="FK455" s="189">
        <v>932.4</v>
      </c>
      <c r="FL455" s="189">
        <v>848</v>
      </c>
      <c r="FN455" s="132">
        <v>29.28</v>
      </c>
    </row>
    <row r="456" spans="1:170" ht="30" customHeight="1">
      <c r="A456" s="88">
        <f>COUNTIF($H$12:H456,H456)</f>
        <v>34</v>
      </c>
      <c r="B456" s="88" t="s">
        <v>2734</v>
      </c>
      <c r="C456" s="88" t="s">
        <v>357</v>
      </c>
      <c r="D456" s="88"/>
      <c r="E456" s="88"/>
      <c r="F456" s="301" t="s">
        <v>2299</v>
      </c>
      <c r="G456" s="303" t="s">
        <v>1113</v>
      </c>
      <c r="H456" s="88">
        <v>9</v>
      </c>
      <c r="I456" s="88">
        <v>9</v>
      </c>
      <c r="J456" s="88">
        <v>9</v>
      </c>
      <c r="K456" s="90" t="s">
        <v>1104</v>
      </c>
      <c r="L456" s="90" t="s">
        <v>1104</v>
      </c>
      <c r="M456" s="214"/>
      <c r="N456" s="88" t="s">
        <v>1804</v>
      </c>
      <c r="O456" s="216">
        <f>BO456</f>
        <v>3.66</v>
      </c>
      <c r="P456" s="88" t="str">
        <f t="shared" si="1333"/>
        <v>B1_4</v>
      </c>
      <c r="Q456" s="88">
        <f t="shared" si="1369"/>
        <v>270</v>
      </c>
      <c r="R456" s="88">
        <f t="shared" si="1370"/>
        <v>120</v>
      </c>
      <c r="S456" s="230" t="s">
        <v>689</v>
      </c>
      <c r="T456" s="88" t="s">
        <v>3090</v>
      </c>
      <c r="U456" s="88">
        <f>IF(RIGHT(T456,1)="K",(VLOOKUP(T456,ma_miengiam!$A$3:$B$80,2,0)*100)/2,VLOOKUP(T456,ma_miengiam!$A$3:$B$80,2,0)*100)</f>
        <v>15</v>
      </c>
      <c r="V456" s="88"/>
      <c r="W456" s="220">
        <f>IF(AND(T456="NTS",V456&gt;0),(Q456-(Q456*V456)/12)*VLOOKUP(T456,ma_miengiam!$A$3:$B$80,2,0)+(Q456-(Q456*(12-V456))/12),IF(AND(RIGHT(T456,1)="K",V456&gt;0),(VLOOKUP(T456,ma_miengiam!$A$3:$B$80,2,0)/2)*(Q456*V456)/12,IF(RIGHT(T456,1)="K",(VLOOKUP(T456,ma_miengiam!$A$3:$B$80,2,0)*Q456)/2,IF(V456&gt;0,VLOOKUP(T456,ma_miengiam!$A$3:$B$80,2,0)*Q456*V456/12,VLOOKUP(T456,ma_miengiam!$A$3:$B$80,2,0)*Q456))))</f>
        <v>40.5</v>
      </c>
      <c r="X456" s="220">
        <f>IF(T456="NTS",VLOOKUP(T456,ma_miengiam!$A$3:$B$80,2,0)*R456*V456,IF(AND(T456="NTS",V456=0),0,IF(AND(LEFT(T456,1)="K",V456=0),VLOOKUP(T456,ma_miengiam!$A$3:$B$80,2,0)*R456,IF(LEFT(T456,1)="K",(VLOOKUP(T456,ma_miengiam!$A$3:$B$80,2,0)*R456/12)*V456,IF(AND(LEFT(T456,1)="S",V456&gt;0),(R456/12)*V456,IF(AND(LEFT(T456,1)="S",V456=0),R456,IF(T456="DH",VLOOKUP(T456,ma_miengiam!$A$3:$B$80,2,0)*R456,0)))))))</f>
        <v>0</v>
      </c>
      <c r="Y456" s="220">
        <f t="shared" si="1344"/>
        <v>229.5</v>
      </c>
      <c r="Z456" s="220">
        <f>IF(AND(T456="SĐH",V456&gt;0),(R456/12)*V456-X456,IF(AND(T456="DH",V456&gt;0),(R456*V456/12),IF(AND(T456&lt;&gt;"NTS",V456&gt;0),(R456*V456/12)-X456,IF(AND(T456="NTS",V456&gt;0),R456-X456,R456-X456))))</f>
        <v>120</v>
      </c>
      <c r="AA456" s="220">
        <f t="shared" si="1469"/>
        <v>270</v>
      </c>
      <c r="AB456" s="220">
        <f t="shared" si="1469"/>
        <v>120</v>
      </c>
      <c r="AC456" s="220">
        <f t="shared" si="1470"/>
        <v>40.5</v>
      </c>
      <c r="AD456" s="220">
        <f t="shared" si="1470"/>
        <v>0</v>
      </c>
      <c r="AE456" s="220">
        <f t="shared" si="1470"/>
        <v>229.5</v>
      </c>
      <c r="AF456" s="220">
        <f t="shared" si="1470"/>
        <v>120</v>
      </c>
      <c r="AG456" s="220">
        <f t="shared" si="1465"/>
        <v>158.35</v>
      </c>
      <c r="AH456" s="220">
        <f t="shared" si="1466"/>
        <v>144.07</v>
      </c>
      <c r="AI456" s="220">
        <f t="shared" si="1467"/>
        <v>14.28</v>
      </c>
      <c r="AJ456" s="220">
        <f>IF(AG456-Z456&gt;0,0,AG456-Z456)</f>
        <v>0</v>
      </c>
      <c r="AK456" s="216">
        <f t="shared" si="1454"/>
        <v>229.5</v>
      </c>
      <c r="AL456" s="220">
        <f t="shared" si="1431"/>
        <v>461.5</v>
      </c>
      <c r="AM456" s="220">
        <f t="shared" si="1432"/>
        <v>38.200000000000003</v>
      </c>
      <c r="AN456" s="221">
        <f t="shared" si="1433"/>
        <v>499.7</v>
      </c>
      <c r="AO456" s="220">
        <f t="shared" si="1434"/>
        <v>0</v>
      </c>
      <c r="AP456" s="220">
        <f t="shared" si="1435"/>
        <v>0</v>
      </c>
      <c r="AQ456" s="220">
        <f t="shared" si="1436"/>
        <v>300</v>
      </c>
      <c r="AR456" s="220">
        <f t="shared" si="1437"/>
        <v>40</v>
      </c>
      <c r="AS456" s="220">
        <f t="shared" si="1438"/>
        <v>0</v>
      </c>
      <c r="AT456" s="216">
        <f t="shared" si="1439"/>
        <v>839.7</v>
      </c>
      <c r="AU456" s="222">
        <f t="shared" si="1447"/>
        <v>270.2</v>
      </c>
      <c r="AV456" s="220"/>
      <c r="AW456" s="220">
        <f t="shared" si="1379"/>
        <v>270.2</v>
      </c>
      <c r="AX456" s="216">
        <f t="shared" si="1448"/>
        <v>0</v>
      </c>
      <c r="AY456" s="220">
        <f t="shared" si="1386"/>
        <v>0</v>
      </c>
      <c r="AZ456" s="220">
        <f t="shared" si="1387"/>
        <v>0</v>
      </c>
      <c r="BA456" s="220">
        <f t="shared" si="1388"/>
        <v>300</v>
      </c>
      <c r="BB456" s="220">
        <f t="shared" si="1389"/>
        <v>40</v>
      </c>
      <c r="BC456" s="220">
        <f t="shared" si="1390"/>
        <v>0</v>
      </c>
      <c r="BD456" s="216">
        <f t="shared" si="1410"/>
        <v>340</v>
      </c>
      <c r="BE456" s="220">
        <f t="shared" si="1380"/>
        <v>0</v>
      </c>
      <c r="BF456" s="220">
        <f t="shared" si="1381"/>
        <v>0</v>
      </c>
      <c r="BG456" s="220">
        <f t="shared" si="1382"/>
        <v>0</v>
      </c>
      <c r="BH456" s="220">
        <f t="shared" si="1383"/>
        <v>0</v>
      </c>
      <c r="BI456" s="220">
        <f t="shared" si="1384"/>
        <v>0</v>
      </c>
      <c r="BJ456" s="220" t="s">
        <v>186</v>
      </c>
      <c r="BK456" s="220"/>
      <c r="BL456" s="223">
        <f t="shared" si="1422"/>
        <v>270.2</v>
      </c>
      <c r="BM456" s="220">
        <v>3.66</v>
      </c>
      <c r="BN456" s="220"/>
      <c r="BO456" s="220">
        <f t="shared" si="1458"/>
        <v>3.66</v>
      </c>
      <c r="BP456" s="220">
        <f>IF(AND(BL456&gt;0,BL456&lt;tiet!$D$1),BL456,IF(BL456&lt;=0,0,IF(BL456&gt;tiet!$C$1,tiet!$C$1)))</f>
        <v>200</v>
      </c>
      <c r="BQ456" s="87">
        <f>VLOOKUP(P456,ma_dinhmuc_moi,4,0)</f>
        <v>65000</v>
      </c>
      <c r="BR456" s="224">
        <f>ROUND(BQ456*BP456,0)</f>
        <v>13000000</v>
      </c>
      <c r="BS456" s="220">
        <f t="shared" si="1301"/>
        <v>70.199999999999989</v>
      </c>
      <c r="BT456" s="224">
        <f>VLOOKUP(N456,ma_dinhmuc!$A$1:$J$31,10,0)</f>
        <v>51000</v>
      </c>
      <c r="BU456" s="224">
        <f>ROUND(IF(BS456&gt;0,VLOOKUP(N456,ma_dinhmuc!$A$1:$J$31,10,0)*BS456,0),0)</f>
        <v>3580200</v>
      </c>
      <c r="BV456" s="224">
        <f>ROUND(BU456+BR456,0)</f>
        <v>16580200</v>
      </c>
      <c r="BW456" s="224"/>
      <c r="BX456" s="224">
        <v>0</v>
      </c>
      <c r="BY456" s="224"/>
      <c r="BZ456" s="224"/>
      <c r="CA456" s="224"/>
      <c r="CB456" s="224"/>
      <c r="CC456" s="225">
        <f>ROUND(IF(BV456+BW456&gt;BX456+BY456+BZ456+CA456+CB456,(BW456+BV456)-(BX456+BY456+BZ456+CA456+CB456+CB456),0),0)</f>
        <v>16580200</v>
      </c>
      <c r="CD456" s="224">
        <f>ROUND(IF(BV456+BW456&lt;BX456+BY456+BZ456+CA456-CB456,(BX456+BY456+BZ456+CA456-CB456)-(BW456+BV456),0),0)</f>
        <v>0</v>
      </c>
      <c r="CE456" s="224"/>
      <c r="CF456" s="226"/>
      <c r="CG456" s="87"/>
      <c r="CH456" s="87">
        <f t="shared" si="1471"/>
        <v>34</v>
      </c>
      <c r="CI456" s="227" t="str">
        <f t="shared" si="1459"/>
        <v>Nguyễn Hoài</v>
      </c>
      <c r="CJ456" s="227" t="str">
        <f t="shared" si="1459"/>
        <v>Nam</v>
      </c>
      <c r="CK456" s="87">
        <f>H456</f>
        <v>9</v>
      </c>
      <c r="CL456" s="227" t="str">
        <f t="shared" si="1408"/>
        <v>Ngoại sản</v>
      </c>
      <c r="CM456" s="87" t="str">
        <f t="shared" si="1385"/>
        <v>CS2</v>
      </c>
      <c r="CN456" s="87">
        <f t="shared" si="1462"/>
        <v>270</v>
      </c>
      <c r="CO456" s="87">
        <f t="shared" si="1462"/>
        <v>120</v>
      </c>
      <c r="CP456" s="229">
        <f t="shared" si="1314"/>
        <v>0</v>
      </c>
      <c r="CQ456" s="229">
        <f t="shared" si="1315"/>
        <v>42.7</v>
      </c>
      <c r="CR456" s="229">
        <f t="shared" si="1316"/>
        <v>17.100000000000001</v>
      </c>
      <c r="CS456" s="229">
        <f t="shared" si="1317"/>
        <v>0</v>
      </c>
      <c r="CT456" s="229">
        <f t="shared" si="1318"/>
        <v>0</v>
      </c>
      <c r="CU456" s="229">
        <f t="shared" si="1319"/>
        <v>197.7</v>
      </c>
      <c r="CV456" s="229">
        <f t="shared" si="1320"/>
        <v>0</v>
      </c>
      <c r="CW456" s="229">
        <f t="shared" si="1321"/>
        <v>204</v>
      </c>
      <c r="CX456" s="229">
        <f t="shared" si="1322"/>
        <v>0</v>
      </c>
      <c r="CY456" s="229">
        <f t="shared" si="1323"/>
        <v>0</v>
      </c>
      <c r="CZ456" s="229">
        <f t="shared" si="1324"/>
        <v>0</v>
      </c>
      <c r="DA456" s="229">
        <f t="shared" si="1325"/>
        <v>300</v>
      </c>
      <c r="DB456" s="228">
        <f t="shared" si="1429"/>
        <v>761.5</v>
      </c>
      <c r="DC456" s="229"/>
      <c r="DD456" s="229"/>
      <c r="DE456" s="229"/>
      <c r="DF456" s="229"/>
      <c r="DG456" s="229"/>
      <c r="DH456" s="229"/>
      <c r="DI456" s="229"/>
      <c r="DJ456" s="229"/>
      <c r="DK456" s="229"/>
      <c r="DL456" s="229"/>
      <c r="DM456" s="229"/>
      <c r="DN456" s="229"/>
      <c r="DO456" s="228">
        <f t="shared" si="1440"/>
        <v>0</v>
      </c>
      <c r="DP456" s="228">
        <f t="shared" si="1441"/>
        <v>761.5</v>
      </c>
      <c r="DQ456" s="229">
        <f t="shared" si="1326"/>
        <v>36</v>
      </c>
      <c r="DR456" s="229">
        <f t="shared" si="1327"/>
        <v>1.6</v>
      </c>
      <c r="DS456" s="229">
        <f t="shared" si="1328"/>
        <v>0</v>
      </c>
      <c r="DT456" s="229">
        <f t="shared" si="1329"/>
        <v>0.6</v>
      </c>
      <c r="DU456" s="229">
        <f t="shared" si="1330"/>
        <v>0</v>
      </c>
      <c r="DV456" s="229">
        <f t="shared" si="1331"/>
        <v>40</v>
      </c>
      <c r="DW456" s="229">
        <f t="shared" si="1332"/>
        <v>0</v>
      </c>
      <c r="DX456" s="228">
        <f t="shared" si="1430"/>
        <v>78.2</v>
      </c>
      <c r="DY456" s="229"/>
      <c r="DZ456" s="229"/>
      <c r="EA456" s="229"/>
      <c r="EB456" s="229"/>
      <c r="EC456" s="229"/>
      <c r="ED456" s="229"/>
      <c r="EE456" s="229"/>
      <c r="EF456" s="228">
        <f t="shared" si="1305"/>
        <v>0</v>
      </c>
      <c r="EG456" s="228">
        <f t="shared" si="1442"/>
        <v>78.2</v>
      </c>
      <c r="EH456" s="229">
        <f t="shared" si="1306"/>
        <v>14.28</v>
      </c>
      <c r="EI456" s="229">
        <v>144.07</v>
      </c>
      <c r="EJ456" s="228">
        <f>SUM(EH456:EI456)</f>
        <v>158.35</v>
      </c>
      <c r="EK456" s="229"/>
      <c r="EL456" s="229"/>
      <c r="EM456" s="228">
        <f t="shared" si="1468"/>
        <v>0</v>
      </c>
      <c r="EN456" s="229">
        <f t="shared" si="1423"/>
        <v>14.28</v>
      </c>
      <c r="EO456" s="229">
        <f t="shared" si="1451"/>
        <v>144.07</v>
      </c>
      <c r="EP456" s="228">
        <f>EM456+EJ456</f>
        <v>158.35</v>
      </c>
      <c r="EQ456" s="173">
        <f t="shared" si="1303"/>
        <v>0</v>
      </c>
      <c r="ER456" s="189">
        <v>0</v>
      </c>
      <c r="ES456" s="189">
        <v>42.7</v>
      </c>
      <c r="ET456" s="189">
        <v>17.100000000000001</v>
      </c>
      <c r="EU456" s="189">
        <v>0</v>
      </c>
      <c r="EV456" s="189">
        <v>0</v>
      </c>
      <c r="EW456" s="189">
        <v>197.7</v>
      </c>
      <c r="EX456" s="189">
        <v>0</v>
      </c>
      <c r="EY456" s="189">
        <v>204</v>
      </c>
      <c r="EZ456" s="189">
        <v>0</v>
      </c>
      <c r="FA456" s="189">
        <v>0</v>
      </c>
      <c r="FB456" s="189">
        <v>0</v>
      </c>
      <c r="FC456" s="189">
        <v>300</v>
      </c>
      <c r="FD456" s="189">
        <v>36</v>
      </c>
      <c r="FE456" s="189">
        <v>1.6</v>
      </c>
      <c r="FF456" s="189">
        <v>0</v>
      </c>
      <c r="FG456" s="189">
        <v>0.6</v>
      </c>
      <c r="FH456" s="189">
        <v>40</v>
      </c>
      <c r="FI456" s="189">
        <v>0</v>
      </c>
      <c r="FJ456" s="189">
        <v>0</v>
      </c>
      <c r="FK456" s="189">
        <v>839.7</v>
      </c>
      <c r="FL456" s="189">
        <v>711</v>
      </c>
      <c r="FN456" s="132">
        <v>14.28</v>
      </c>
    </row>
    <row r="457" spans="1:170" ht="30" customHeight="1">
      <c r="A457" s="88">
        <f>COUNTIF($H$12:H457,H457)</f>
        <v>35</v>
      </c>
      <c r="B457" s="88" t="s">
        <v>2735</v>
      </c>
      <c r="C457" s="88" t="s">
        <v>358</v>
      </c>
      <c r="D457" s="88"/>
      <c r="E457" s="88"/>
      <c r="F457" s="301" t="s">
        <v>1162</v>
      </c>
      <c r="G457" s="89" t="s">
        <v>1434</v>
      </c>
      <c r="H457" s="88">
        <v>9</v>
      </c>
      <c r="I457" s="88">
        <v>9</v>
      </c>
      <c r="J457" s="88">
        <v>9</v>
      </c>
      <c r="K457" s="90" t="s">
        <v>1104</v>
      </c>
      <c r="L457" s="90" t="s">
        <v>1104</v>
      </c>
      <c r="M457" s="214"/>
      <c r="N457" s="88" t="s">
        <v>1804</v>
      </c>
      <c r="O457" s="216">
        <f t="shared" si="1456"/>
        <v>3</v>
      </c>
      <c r="P457" s="88" t="str">
        <f t="shared" si="1333"/>
        <v>B1_3</v>
      </c>
      <c r="Q457" s="88">
        <f t="shared" si="1369"/>
        <v>270</v>
      </c>
      <c r="R457" s="88">
        <f t="shared" si="1370"/>
        <v>100</v>
      </c>
      <c r="S457" s="218"/>
      <c r="T457" s="88" t="s">
        <v>3088</v>
      </c>
      <c r="U457" s="88">
        <f>IF(RIGHT(T457,1)="K",(VLOOKUP(T457,ma_miengiam!$A$3:$B$80,2,0)*100)/2,VLOOKUP(T457,ma_miengiam!$A$3:$B$80,2,0)*100)</f>
        <v>0</v>
      </c>
      <c r="V457" s="88"/>
      <c r="W457" s="220">
        <f>IF(AND(T457="NTS",V457&gt;0),(Q457-(Q457*V457)/12)*VLOOKUP(T457,ma_miengiam!$A$3:$B$80,2,0)+(Q457-(Q457*(12-V457))/12),IF(AND(RIGHT(T457,1)="K",V457&gt;0),(VLOOKUP(T457,ma_miengiam!$A$3:$B$80,2,0)/2)*(Q457*V457)/12,IF(RIGHT(T457,1)="K",(VLOOKUP(T457,ma_miengiam!$A$3:$B$80,2,0)*Q457)/2,IF(V457&gt;0,VLOOKUP(T457,ma_miengiam!$A$3:$B$80,2,0)*Q457*V457/12,VLOOKUP(T457,ma_miengiam!$A$3:$B$80,2,0)*Q457))))</f>
        <v>0</v>
      </c>
      <c r="X457" s="220">
        <f>IF(T457="NTS",VLOOKUP(T457,ma_miengiam!$A$3:$B$80,2,0)*R457*V457,IF(AND(T457="NTS",V457=0),0,IF(AND(LEFT(T457,1)="K",V457=0),VLOOKUP(T457,ma_miengiam!$A$3:$B$80,2,0)*R457,IF(LEFT(T457,1)="K",(VLOOKUP(T457,ma_miengiam!$A$3:$B$80,2,0)*R457/12)*V457,IF(AND(LEFT(T457,1)="S",V457&gt;0),(R457/12)*V457,IF(AND(LEFT(T457,1)="S",V457=0),R457,IF(T457="DH",VLOOKUP(T457,ma_miengiam!$A$3:$B$80,2,0)*R457,0)))))))</f>
        <v>0</v>
      </c>
      <c r="Y457" s="220">
        <f t="shared" si="1344"/>
        <v>270</v>
      </c>
      <c r="Z457" s="220">
        <f t="shared" si="1457"/>
        <v>100</v>
      </c>
      <c r="AA457" s="220">
        <f t="shared" si="1469"/>
        <v>270</v>
      </c>
      <c r="AB457" s="220">
        <f t="shared" si="1469"/>
        <v>100</v>
      </c>
      <c r="AC457" s="220">
        <f t="shared" ref="AC457:AF458" si="1472">W457</f>
        <v>0</v>
      </c>
      <c r="AD457" s="220">
        <f t="shared" si="1472"/>
        <v>0</v>
      </c>
      <c r="AE457" s="220">
        <f t="shared" si="1472"/>
        <v>270</v>
      </c>
      <c r="AF457" s="220">
        <f t="shared" si="1472"/>
        <v>100</v>
      </c>
      <c r="AG457" s="220">
        <f t="shared" si="1465"/>
        <v>161.73000000000002</v>
      </c>
      <c r="AH457" s="220">
        <f t="shared" si="1466"/>
        <v>120.06</v>
      </c>
      <c r="AI457" s="220">
        <f t="shared" si="1467"/>
        <v>41.67</v>
      </c>
      <c r="AJ457" s="220">
        <f t="shared" si="1396"/>
        <v>0</v>
      </c>
      <c r="AK457" s="216">
        <f t="shared" si="1454"/>
        <v>270</v>
      </c>
      <c r="AL457" s="220">
        <f t="shared" si="1431"/>
        <v>781.59999999999991</v>
      </c>
      <c r="AM457" s="220">
        <f t="shared" si="1432"/>
        <v>0</v>
      </c>
      <c r="AN457" s="221">
        <f t="shared" si="1433"/>
        <v>781.59999999999991</v>
      </c>
      <c r="AO457" s="220">
        <f t="shared" si="1434"/>
        <v>0</v>
      </c>
      <c r="AP457" s="220">
        <f t="shared" si="1435"/>
        <v>15</v>
      </c>
      <c r="AQ457" s="220">
        <f t="shared" si="1436"/>
        <v>160</v>
      </c>
      <c r="AR457" s="220">
        <f t="shared" si="1437"/>
        <v>0</v>
      </c>
      <c r="AS457" s="220">
        <f t="shared" si="1438"/>
        <v>0</v>
      </c>
      <c r="AT457" s="216">
        <f t="shared" si="1439"/>
        <v>956.59999999999991</v>
      </c>
      <c r="AU457" s="222">
        <f t="shared" si="1447"/>
        <v>511.59999999999991</v>
      </c>
      <c r="AV457" s="220"/>
      <c r="AW457" s="220">
        <f t="shared" si="1379"/>
        <v>511.59999999999991</v>
      </c>
      <c r="AX457" s="216">
        <f t="shared" si="1448"/>
        <v>0</v>
      </c>
      <c r="AY457" s="220">
        <f t="shared" si="1386"/>
        <v>0</v>
      </c>
      <c r="AZ457" s="220">
        <f t="shared" si="1387"/>
        <v>15</v>
      </c>
      <c r="BA457" s="220">
        <f t="shared" si="1388"/>
        <v>160</v>
      </c>
      <c r="BB457" s="220">
        <f t="shared" si="1389"/>
        <v>0</v>
      </c>
      <c r="BC457" s="220">
        <f t="shared" si="1390"/>
        <v>0</v>
      </c>
      <c r="BD457" s="216">
        <f t="shared" si="1410"/>
        <v>175</v>
      </c>
      <c r="BE457" s="220">
        <f t="shared" si="1380"/>
        <v>0</v>
      </c>
      <c r="BF457" s="220">
        <f t="shared" si="1381"/>
        <v>0</v>
      </c>
      <c r="BG457" s="220">
        <f t="shared" si="1382"/>
        <v>0</v>
      </c>
      <c r="BH457" s="220">
        <f t="shared" si="1383"/>
        <v>0</v>
      </c>
      <c r="BI457" s="220">
        <f t="shared" si="1384"/>
        <v>0</v>
      </c>
      <c r="BJ457" s="220" t="s">
        <v>186</v>
      </c>
      <c r="BK457" s="220"/>
      <c r="BL457" s="223">
        <f t="shared" si="1422"/>
        <v>511.59999999999991</v>
      </c>
      <c r="BM457" s="220">
        <v>3</v>
      </c>
      <c r="BN457" s="220"/>
      <c r="BO457" s="220">
        <f t="shared" si="1458"/>
        <v>3</v>
      </c>
      <c r="BP457" s="220">
        <f>IF(AND(BL457&gt;0,BL457&lt;tiet!$D$1),BL457,IF(BL457&lt;=0,0,IF(BL457&gt;tiet!$C$1,tiet!$C$1)))</f>
        <v>200</v>
      </c>
      <c r="BQ457" s="87">
        <f t="shared" si="1397"/>
        <v>60000</v>
      </c>
      <c r="BR457" s="224">
        <f t="shared" si="1391"/>
        <v>12000000</v>
      </c>
      <c r="BS457" s="220">
        <f t="shared" si="1301"/>
        <v>311.59999999999991</v>
      </c>
      <c r="BT457" s="224">
        <f>VLOOKUP(N457,ma_dinhmuc!$A$1:$J$31,10,0)</f>
        <v>51000</v>
      </c>
      <c r="BU457" s="224">
        <f>ROUND(IF(BS457&gt;0,VLOOKUP(N457,ma_dinhmuc!$A$1:$J$31,10,0)*BS457,0),0)</f>
        <v>15891600</v>
      </c>
      <c r="BV457" s="224">
        <f t="shared" si="1392"/>
        <v>27891600</v>
      </c>
      <c r="BW457" s="224"/>
      <c r="BX457" s="224">
        <v>0</v>
      </c>
      <c r="BY457" s="224"/>
      <c r="BZ457" s="224"/>
      <c r="CA457" s="224"/>
      <c r="CB457" s="224"/>
      <c r="CC457" s="225">
        <f t="shared" si="1419"/>
        <v>27891600</v>
      </c>
      <c r="CD457" s="224">
        <f t="shared" si="1420"/>
        <v>0</v>
      </c>
      <c r="CE457" s="224"/>
      <c r="CF457" s="226"/>
      <c r="CG457" s="87"/>
      <c r="CH457" s="87">
        <f t="shared" si="1471"/>
        <v>35</v>
      </c>
      <c r="CI457" s="227" t="str">
        <f t="shared" ref="CI457:CJ461" si="1473">F457</f>
        <v>Nguyễn Đức</v>
      </c>
      <c r="CJ457" s="227" t="str">
        <f t="shared" si="1473"/>
        <v>Trường</v>
      </c>
      <c r="CK457" s="87">
        <f t="shared" si="1460"/>
        <v>9</v>
      </c>
      <c r="CL457" s="227" t="str">
        <f t="shared" si="1408"/>
        <v>Ngoại sản</v>
      </c>
      <c r="CM457" s="87" t="str">
        <f t="shared" si="1385"/>
        <v>CS2</v>
      </c>
      <c r="CN457" s="87">
        <f t="shared" ref="CN457:CO461" si="1474">Q457</f>
        <v>270</v>
      </c>
      <c r="CO457" s="87">
        <f t="shared" si="1474"/>
        <v>100</v>
      </c>
      <c r="CP457" s="229">
        <f t="shared" si="1314"/>
        <v>0</v>
      </c>
      <c r="CQ457" s="229">
        <f t="shared" si="1315"/>
        <v>37.200000000000003</v>
      </c>
      <c r="CR457" s="229">
        <f t="shared" si="1316"/>
        <v>15</v>
      </c>
      <c r="CS457" s="229">
        <f t="shared" si="1317"/>
        <v>338.4</v>
      </c>
      <c r="CT457" s="229">
        <f t="shared" si="1318"/>
        <v>0</v>
      </c>
      <c r="CU457" s="229">
        <f t="shared" si="1319"/>
        <v>180</v>
      </c>
      <c r="CV457" s="229">
        <f t="shared" si="1320"/>
        <v>0</v>
      </c>
      <c r="CW457" s="229">
        <f t="shared" si="1321"/>
        <v>211</v>
      </c>
      <c r="CX457" s="229">
        <f t="shared" si="1322"/>
        <v>0</v>
      </c>
      <c r="CY457" s="229">
        <f t="shared" si="1323"/>
        <v>0</v>
      </c>
      <c r="CZ457" s="229">
        <f t="shared" si="1324"/>
        <v>15</v>
      </c>
      <c r="DA457" s="229">
        <f t="shared" si="1325"/>
        <v>160</v>
      </c>
      <c r="DB457" s="228">
        <f t="shared" si="1429"/>
        <v>956.59999999999991</v>
      </c>
      <c r="DC457" s="229"/>
      <c r="DD457" s="229"/>
      <c r="DE457" s="229"/>
      <c r="DF457" s="229"/>
      <c r="DG457" s="229"/>
      <c r="DH457" s="229"/>
      <c r="DI457" s="229"/>
      <c r="DJ457" s="229"/>
      <c r="DK457" s="229"/>
      <c r="DL457" s="229"/>
      <c r="DM457" s="229"/>
      <c r="DN457" s="229"/>
      <c r="DO457" s="228">
        <f t="shared" si="1440"/>
        <v>0</v>
      </c>
      <c r="DP457" s="228">
        <f t="shared" si="1441"/>
        <v>956.59999999999991</v>
      </c>
      <c r="DQ457" s="229">
        <f t="shared" si="1326"/>
        <v>0</v>
      </c>
      <c r="DR457" s="229">
        <f t="shared" si="1327"/>
        <v>0</v>
      </c>
      <c r="DS457" s="229">
        <f t="shared" si="1328"/>
        <v>0</v>
      </c>
      <c r="DT457" s="229">
        <f t="shared" si="1329"/>
        <v>0</v>
      </c>
      <c r="DU457" s="229">
        <f t="shared" si="1330"/>
        <v>0</v>
      </c>
      <c r="DV457" s="229">
        <f t="shared" si="1331"/>
        <v>0</v>
      </c>
      <c r="DW457" s="229">
        <f t="shared" si="1332"/>
        <v>0</v>
      </c>
      <c r="DX457" s="228">
        <f t="shared" si="1430"/>
        <v>0</v>
      </c>
      <c r="DY457" s="229"/>
      <c r="DZ457" s="229"/>
      <c r="EA457" s="229"/>
      <c r="EB457" s="229"/>
      <c r="EC457" s="229"/>
      <c r="ED457" s="229"/>
      <c r="EE457" s="229"/>
      <c r="EF457" s="228">
        <f t="shared" si="1305"/>
        <v>0</v>
      </c>
      <c r="EG457" s="228">
        <f t="shared" si="1442"/>
        <v>0</v>
      </c>
      <c r="EH457" s="229">
        <f t="shared" si="1306"/>
        <v>41.67</v>
      </c>
      <c r="EI457" s="229">
        <v>120.06</v>
      </c>
      <c r="EJ457" s="228">
        <f t="shared" si="1443"/>
        <v>161.73000000000002</v>
      </c>
      <c r="EK457" s="229"/>
      <c r="EL457" s="229"/>
      <c r="EM457" s="228">
        <f t="shared" si="1468"/>
        <v>0</v>
      </c>
      <c r="EN457" s="229">
        <f t="shared" si="1423"/>
        <v>41.67</v>
      </c>
      <c r="EO457" s="229">
        <f t="shared" si="1451"/>
        <v>120.06</v>
      </c>
      <c r="EP457" s="228">
        <f t="shared" si="1461"/>
        <v>161.73000000000002</v>
      </c>
      <c r="EQ457" s="173">
        <f t="shared" si="1303"/>
        <v>0</v>
      </c>
      <c r="ER457" s="189">
        <v>0</v>
      </c>
      <c r="ES457" s="189">
        <v>37.200000000000003</v>
      </c>
      <c r="ET457" s="189">
        <v>15</v>
      </c>
      <c r="EU457" s="189">
        <v>338.4</v>
      </c>
      <c r="EV457" s="189">
        <v>0</v>
      </c>
      <c r="EW457" s="189">
        <v>180</v>
      </c>
      <c r="EX457" s="189">
        <v>0</v>
      </c>
      <c r="EY457" s="189">
        <v>211</v>
      </c>
      <c r="EZ457" s="189">
        <v>0</v>
      </c>
      <c r="FA457" s="189">
        <v>0</v>
      </c>
      <c r="FB457" s="189">
        <v>15</v>
      </c>
      <c r="FC457" s="189">
        <v>160</v>
      </c>
      <c r="FD457" s="189">
        <v>0</v>
      </c>
      <c r="FE457" s="189">
        <v>0</v>
      </c>
      <c r="FF457" s="189">
        <v>0</v>
      </c>
      <c r="FG457" s="189">
        <v>0</v>
      </c>
      <c r="FH457" s="189">
        <v>0</v>
      </c>
      <c r="FI457" s="189">
        <v>0</v>
      </c>
      <c r="FJ457" s="189">
        <v>0</v>
      </c>
      <c r="FK457" s="189">
        <v>956.6</v>
      </c>
      <c r="FL457" s="189">
        <v>865.4</v>
      </c>
      <c r="FN457" s="132">
        <v>41.67</v>
      </c>
    </row>
    <row r="458" spans="1:170" ht="30" customHeight="1">
      <c r="A458" s="88">
        <f>COUNTIF($H$12:H458,H458)</f>
        <v>36</v>
      </c>
      <c r="B458" s="88" t="s">
        <v>2736</v>
      </c>
      <c r="C458" s="88" t="s">
        <v>359</v>
      </c>
      <c r="D458" s="88"/>
      <c r="E458" s="88"/>
      <c r="F458" s="301" t="s">
        <v>2300</v>
      </c>
      <c r="G458" s="303" t="s">
        <v>3022</v>
      </c>
      <c r="H458" s="88">
        <v>9</v>
      </c>
      <c r="I458" s="88">
        <v>9</v>
      </c>
      <c r="J458" s="88">
        <v>9</v>
      </c>
      <c r="K458" s="90" t="s">
        <v>1104</v>
      </c>
      <c r="L458" s="90" t="s">
        <v>1104</v>
      </c>
      <c r="M458" s="214"/>
      <c r="N458" s="88" t="s">
        <v>605</v>
      </c>
      <c r="O458" s="216">
        <f t="shared" ref="O458:O463" si="1475">BO458</f>
        <v>6.2</v>
      </c>
      <c r="P458" s="88" t="str">
        <f t="shared" si="1333"/>
        <v>B1_6</v>
      </c>
      <c r="Q458" s="88">
        <f t="shared" si="1369"/>
        <v>270</v>
      </c>
      <c r="R458" s="88">
        <f t="shared" si="1370"/>
        <v>170</v>
      </c>
      <c r="S458" s="230" t="s">
        <v>2031</v>
      </c>
      <c r="T458" s="88" t="s">
        <v>3091</v>
      </c>
      <c r="U458" s="88">
        <f>IF(RIGHT(T458,1)="K",(VLOOKUP(T458,ma_miengiam!$A$3:$B$80,2,0)*100)/2,VLOOKUP(T458,ma_miengiam!$A$3:$B$80,2,0)*100)</f>
        <v>20</v>
      </c>
      <c r="V458" s="88"/>
      <c r="W458" s="220">
        <f>IF(AND(T458="NTS",V458&gt;0),(Q458-(Q458*V458)/12)*VLOOKUP(T458,ma_miengiam!$A$3:$B$80,2,0)+(Q458-(Q458*(12-V458))/12),IF(AND(RIGHT(T458,1)="K",V458&gt;0),(VLOOKUP(T458,ma_miengiam!$A$3:$B$80,2,0)/2)*(Q458*V458)/12,IF(RIGHT(T458,1)="K",(VLOOKUP(T458,ma_miengiam!$A$3:$B$80,2,0)*Q458)/2,IF(V458&gt;0,VLOOKUP(T458,ma_miengiam!$A$3:$B$80,2,0)*Q458*V458/12,VLOOKUP(T458,ma_miengiam!$A$3:$B$80,2,0)*Q458))))</f>
        <v>54</v>
      </c>
      <c r="X458" s="220">
        <f>IF(T458="NTS",VLOOKUP(T458,ma_miengiam!$A$3:$B$80,2,0)*R458*V458,IF(AND(T458="NTS",V458=0),0,IF(AND(LEFT(T458,1)="K",V458=0),VLOOKUP(T458,ma_miengiam!$A$3:$B$80,2,0)*R458,IF(LEFT(T458,1)="K",(VLOOKUP(T458,ma_miengiam!$A$3:$B$80,2,0)*R458/12)*V458,IF(AND(LEFT(T458,1)="S",V458&gt;0),(R458/12)*V458,IF(AND(LEFT(T458,1)="S",V458=0),R458,IF(T458="DH",VLOOKUP(T458,ma_miengiam!$A$3:$B$80,2,0)*R458,0)))))))</f>
        <v>0</v>
      </c>
      <c r="Y458" s="220">
        <f t="shared" si="1344"/>
        <v>216</v>
      </c>
      <c r="Z458" s="220">
        <f t="shared" si="1457"/>
        <v>170</v>
      </c>
      <c r="AA458" s="220">
        <f t="shared" si="1469"/>
        <v>270</v>
      </c>
      <c r="AB458" s="220">
        <f t="shared" si="1469"/>
        <v>170</v>
      </c>
      <c r="AC458" s="220">
        <f t="shared" si="1472"/>
        <v>54</v>
      </c>
      <c r="AD458" s="220">
        <f t="shared" si="1472"/>
        <v>0</v>
      </c>
      <c r="AE458" s="220">
        <f t="shared" si="1472"/>
        <v>216</v>
      </c>
      <c r="AF458" s="220">
        <f t="shared" si="1472"/>
        <v>170</v>
      </c>
      <c r="AG458" s="220">
        <f t="shared" si="1465"/>
        <v>312.64999999999998</v>
      </c>
      <c r="AH458" s="220">
        <f t="shared" si="1466"/>
        <v>204.09</v>
      </c>
      <c r="AI458" s="220">
        <f t="shared" si="1467"/>
        <v>108.56</v>
      </c>
      <c r="AJ458" s="220">
        <f t="shared" si="1396"/>
        <v>0</v>
      </c>
      <c r="AK458" s="216">
        <f t="shared" si="1454"/>
        <v>216</v>
      </c>
      <c r="AL458" s="220">
        <f t="shared" si="1431"/>
        <v>335.4</v>
      </c>
      <c r="AM458" s="220">
        <f t="shared" si="1432"/>
        <v>37.800000000000004</v>
      </c>
      <c r="AN458" s="221">
        <f t="shared" si="1433"/>
        <v>373.2</v>
      </c>
      <c r="AO458" s="220">
        <f t="shared" si="1434"/>
        <v>40</v>
      </c>
      <c r="AP458" s="220">
        <f t="shared" si="1435"/>
        <v>15</v>
      </c>
      <c r="AQ458" s="220">
        <f t="shared" si="1436"/>
        <v>250</v>
      </c>
      <c r="AR458" s="220">
        <f t="shared" si="1437"/>
        <v>28</v>
      </c>
      <c r="AS458" s="220">
        <f t="shared" si="1438"/>
        <v>50</v>
      </c>
      <c r="AT458" s="216">
        <f t="shared" si="1439"/>
        <v>756.2</v>
      </c>
      <c r="AU458" s="222">
        <f t="shared" si="1447"/>
        <v>157.19999999999999</v>
      </c>
      <c r="AV458" s="220"/>
      <c r="AW458" s="220">
        <f t="shared" si="1379"/>
        <v>157.19999999999999</v>
      </c>
      <c r="AX458" s="216">
        <f t="shared" si="1448"/>
        <v>0</v>
      </c>
      <c r="AY458" s="220">
        <f t="shared" si="1386"/>
        <v>40</v>
      </c>
      <c r="AZ458" s="220">
        <f t="shared" si="1387"/>
        <v>15</v>
      </c>
      <c r="BA458" s="220">
        <f t="shared" si="1388"/>
        <v>250</v>
      </c>
      <c r="BB458" s="220">
        <f t="shared" si="1389"/>
        <v>28</v>
      </c>
      <c r="BC458" s="220">
        <f t="shared" si="1390"/>
        <v>50</v>
      </c>
      <c r="BD458" s="216">
        <f t="shared" si="1410"/>
        <v>383</v>
      </c>
      <c r="BE458" s="220">
        <f t="shared" si="1380"/>
        <v>0</v>
      </c>
      <c r="BF458" s="220">
        <f t="shared" si="1381"/>
        <v>0</v>
      </c>
      <c r="BG458" s="220">
        <f t="shared" si="1382"/>
        <v>0</v>
      </c>
      <c r="BH458" s="220">
        <f t="shared" si="1383"/>
        <v>0</v>
      </c>
      <c r="BI458" s="220">
        <f t="shared" si="1384"/>
        <v>0</v>
      </c>
      <c r="BJ458" s="220" t="s">
        <v>186</v>
      </c>
      <c r="BK458" s="220"/>
      <c r="BL458" s="223">
        <f t="shared" si="1422"/>
        <v>157.19999999999999</v>
      </c>
      <c r="BM458" s="220">
        <v>6.2</v>
      </c>
      <c r="BN458" s="220"/>
      <c r="BO458" s="220">
        <f t="shared" ref="BO458:BO463" si="1476">ROUND(BM458+(BM458*BN458),2)</f>
        <v>6.2</v>
      </c>
      <c r="BP458" s="220">
        <f>IF(AND(BL458&gt;0,BL458&lt;tiet!$D$1),BL458,IF(BL458&lt;=0,0,IF(BL458&gt;tiet!$C$1,tiet!$C$1)))</f>
        <v>157.19999999999999</v>
      </c>
      <c r="BQ458" s="87">
        <f t="shared" si="1397"/>
        <v>75000</v>
      </c>
      <c r="BR458" s="224">
        <f t="shared" si="1391"/>
        <v>11790000</v>
      </c>
      <c r="BS458" s="220">
        <f t="shared" si="1301"/>
        <v>0</v>
      </c>
      <c r="BT458" s="224">
        <f>VLOOKUP(N458,ma_dinhmuc!$A$1:$J$31,10,0)</f>
        <v>65000</v>
      </c>
      <c r="BU458" s="224">
        <f>ROUND(IF(BS458&gt;0,VLOOKUP(N458,ma_dinhmuc!$A$1:$J$31,10,0)*BS458,0),0)</f>
        <v>0</v>
      </c>
      <c r="BV458" s="224">
        <f t="shared" si="1392"/>
        <v>11790000</v>
      </c>
      <c r="BW458" s="224"/>
      <c r="BX458" s="224">
        <v>0</v>
      </c>
      <c r="BY458" s="224"/>
      <c r="BZ458" s="224"/>
      <c r="CA458" s="224"/>
      <c r="CB458" s="224"/>
      <c r="CC458" s="225">
        <f t="shared" si="1419"/>
        <v>11790000</v>
      </c>
      <c r="CD458" s="224">
        <f t="shared" si="1420"/>
        <v>0</v>
      </c>
      <c r="CE458" s="224"/>
      <c r="CF458" s="226"/>
      <c r="CG458" s="87"/>
      <c r="CH458" s="87">
        <f t="shared" si="1471"/>
        <v>36</v>
      </c>
      <c r="CI458" s="227" t="str">
        <f t="shared" si="1473"/>
        <v>Sử Thanh</v>
      </c>
      <c r="CJ458" s="227" t="str">
        <f t="shared" si="1473"/>
        <v>Long</v>
      </c>
      <c r="CK458" s="87">
        <f>H458</f>
        <v>9</v>
      </c>
      <c r="CL458" s="227" t="str">
        <f t="shared" si="1408"/>
        <v>Ngoại sản</v>
      </c>
      <c r="CM458" s="87" t="str">
        <f t="shared" si="1385"/>
        <v>CS4</v>
      </c>
      <c r="CN458" s="87">
        <f t="shared" si="1474"/>
        <v>270</v>
      </c>
      <c r="CO458" s="87">
        <f t="shared" si="1474"/>
        <v>170</v>
      </c>
      <c r="CP458" s="229">
        <f t="shared" si="1314"/>
        <v>0</v>
      </c>
      <c r="CQ458" s="229">
        <f t="shared" si="1315"/>
        <v>55</v>
      </c>
      <c r="CR458" s="229">
        <f t="shared" si="1316"/>
        <v>22.1</v>
      </c>
      <c r="CS458" s="229">
        <f t="shared" si="1317"/>
        <v>0</v>
      </c>
      <c r="CT458" s="229">
        <f t="shared" si="1318"/>
        <v>0</v>
      </c>
      <c r="CU458" s="229">
        <f t="shared" si="1319"/>
        <v>250.3</v>
      </c>
      <c r="CV458" s="229">
        <f t="shared" si="1320"/>
        <v>0</v>
      </c>
      <c r="CW458" s="229">
        <f t="shared" si="1321"/>
        <v>8</v>
      </c>
      <c r="CX458" s="229">
        <f t="shared" si="1322"/>
        <v>0</v>
      </c>
      <c r="CY458" s="229">
        <f t="shared" si="1323"/>
        <v>40</v>
      </c>
      <c r="CZ458" s="229">
        <f t="shared" si="1324"/>
        <v>15</v>
      </c>
      <c r="DA458" s="229">
        <f t="shared" si="1325"/>
        <v>250</v>
      </c>
      <c r="DB458" s="228">
        <f t="shared" si="1429"/>
        <v>640.4</v>
      </c>
      <c r="DC458" s="229"/>
      <c r="DD458" s="229"/>
      <c r="DE458" s="229"/>
      <c r="DF458" s="229"/>
      <c r="DG458" s="229"/>
      <c r="DH458" s="229"/>
      <c r="DI458" s="229"/>
      <c r="DJ458" s="229"/>
      <c r="DK458" s="229"/>
      <c r="DL458" s="229"/>
      <c r="DM458" s="229"/>
      <c r="DN458" s="229"/>
      <c r="DO458" s="228">
        <f t="shared" si="1440"/>
        <v>0</v>
      </c>
      <c r="DP458" s="228">
        <f t="shared" si="1441"/>
        <v>640.4</v>
      </c>
      <c r="DQ458" s="229">
        <f t="shared" si="1326"/>
        <v>36</v>
      </c>
      <c r="DR458" s="229">
        <f t="shared" si="1327"/>
        <v>1.2</v>
      </c>
      <c r="DS458" s="229">
        <f t="shared" si="1328"/>
        <v>0</v>
      </c>
      <c r="DT458" s="229">
        <f t="shared" si="1329"/>
        <v>0.6</v>
      </c>
      <c r="DU458" s="229">
        <f t="shared" si="1330"/>
        <v>0</v>
      </c>
      <c r="DV458" s="229">
        <f t="shared" si="1331"/>
        <v>28</v>
      </c>
      <c r="DW458" s="229">
        <f t="shared" si="1332"/>
        <v>50</v>
      </c>
      <c r="DX458" s="228">
        <f t="shared" si="1430"/>
        <v>115.80000000000001</v>
      </c>
      <c r="DY458" s="229"/>
      <c r="DZ458" s="229"/>
      <c r="EA458" s="229"/>
      <c r="EB458" s="229"/>
      <c r="EC458" s="229"/>
      <c r="ED458" s="229"/>
      <c r="EE458" s="229"/>
      <c r="EF458" s="228">
        <f t="shared" si="1305"/>
        <v>0</v>
      </c>
      <c r="EG458" s="228">
        <f t="shared" si="1442"/>
        <v>115.80000000000001</v>
      </c>
      <c r="EH458" s="229">
        <f t="shared" si="1306"/>
        <v>108.56</v>
      </c>
      <c r="EI458" s="229">
        <v>204.09</v>
      </c>
      <c r="EJ458" s="228">
        <f>SUM(EH458:EI458)</f>
        <v>312.64999999999998</v>
      </c>
      <c r="EK458" s="229"/>
      <c r="EL458" s="229"/>
      <c r="EM458" s="228">
        <f t="shared" si="1468"/>
        <v>0</v>
      </c>
      <c r="EN458" s="229">
        <f t="shared" si="1423"/>
        <v>108.56</v>
      </c>
      <c r="EO458" s="229">
        <f t="shared" si="1451"/>
        <v>204.09</v>
      </c>
      <c r="EP458" s="228">
        <f>EM458+EJ458</f>
        <v>312.64999999999998</v>
      </c>
      <c r="EQ458" s="173">
        <f t="shared" si="1303"/>
        <v>0</v>
      </c>
      <c r="ER458" s="189">
        <v>0</v>
      </c>
      <c r="ES458" s="189">
        <v>55</v>
      </c>
      <c r="ET458" s="189">
        <v>22.1</v>
      </c>
      <c r="EU458" s="189">
        <v>0</v>
      </c>
      <c r="EV458" s="189">
        <v>0</v>
      </c>
      <c r="EW458" s="189">
        <v>250.3</v>
      </c>
      <c r="EX458" s="189">
        <v>0</v>
      </c>
      <c r="EY458" s="189">
        <v>8</v>
      </c>
      <c r="EZ458" s="189">
        <v>0</v>
      </c>
      <c r="FA458" s="189">
        <v>40</v>
      </c>
      <c r="FB458" s="189">
        <v>15</v>
      </c>
      <c r="FC458" s="189">
        <v>250</v>
      </c>
      <c r="FD458" s="189">
        <v>36</v>
      </c>
      <c r="FE458" s="189">
        <v>1.2</v>
      </c>
      <c r="FF458" s="189">
        <v>0</v>
      </c>
      <c r="FG458" s="189">
        <v>0.6</v>
      </c>
      <c r="FH458" s="189">
        <v>28</v>
      </c>
      <c r="FI458" s="189">
        <v>0</v>
      </c>
      <c r="FJ458" s="189">
        <v>50</v>
      </c>
      <c r="FK458" s="189">
        <v>756.2</v>
      </c>
      <c r="FL458" s="189">
        <v>645</v>
      </c>
      <c r="FN458" s="132">
        <v>108.56</v>
      </c>
    </row>
    <row r="459" spans="1:170" ht="30" customHeight="1">
      <c r="A459" s="88">
        <f>COUNTIF($H$12:H621,H459)</f>
        <v>72</v>
      </c>
      <c r="B459" s="88" t="s">
        <v>2565</v>
      </c>
      <c r="C459" s="88" t="s">
        <v>1389</v>
      </c>
      <c r="D459" s="88"/>
      <c r="E459" s="88"/>
      <c r="F459" s="301" t="s">
        <v>375</v>
      </c>
      <c r="G459" s="303" t="s">
        <v>1114</v>
      </c>
      <c r="H459" s="88">
        <v>9</v>
      </c>
      <c r="I459" s="88">
        <v>9</v>
      </c>
      <c r="J459" s="88">
        <v>9</v>
      </c>
      <c r="K459" s="90" t="s">
        <v>1104</v>
      </c>
      <c r="L459" s="90" t="s">
        <v>1104</v>
      </c>
      <c r="M459" s="214"/>
      <c r="N459" s="88" t="s">
        <v>1804</v>
      </c>
      <c r="O459" s="216">
        <f t="shared" si="1475"/>
        <v>3.99</v>
      </c>
      <c r="P459" s="88" t="str">
        <f t="shared" si="1333"/>
        <v>B1_4</v>
      </c>
      <c r="Q459" s="88">
        <f t="shared" si="1369"/>
        <v>270</v>
      </c>
      <c r="R459" s="88">
        <f t="shared" si="1370"/>
        <v>120</v>
      </c>
      <c r="S459" s="218"/>
      <c r="T459" s="88" t="s">
        <v>3088</v>
      </c>
      <c r="U459" s="88">
        <f>IF(RIGHT(T459,1)="K",(VLOOKUP(T459,ma_miengiam!$A$3:$B$80,2,0)*100)/2,VLOOKUP(T459,ma_miengiam!$A$3:$B$80,2,0)*100)</f>
        <v>0</v>
      </c>
      <c r="V459" s="88"/>
      <c r="W459" s="220">
        <f>IF(AND(T459="NTS",V459&gt;0),(Q459-(Q459*V459)/12)*VLOOKUP(T459,ma_miengiam!$A$3:$B$80,2,0)+(Q459-(Q459*(12-V459))/12),IF(AND(RIGHT(T459,1)="K",V459&gt;0),(VLOOKUP(T459,ma_miengiam!$A$3:$B$80,2,0)/2)*(Q459*V459)/12,IF(RIGHT(T459,1)="K",(VLOOKUP(T459,ma_miengiam!$A$3:$B$80,2,0)*Q459)/2,IF(V459&gt;0,VLOOKUP(T459,ma_miengiam!$A$3:$B$80,2,0)*Q459*V459/12,VLOOKUP(T459,ma_miengiam!$A$3:$B$80,2,0)*Q459))))</f>
        <v>0</v>
      </c>
      <c r="X459" s="220">
        <f>IF(T459="NTS",VLOOKUP(T459,ma_miengiam!$A$3:$B$80,2,0)*R459*V459,IF(AND(T459="NTS",V459=0),0,IF(AND(LEFT(T459,1)="K",V459=0),VLOOKUP(T459,ma_miengiam!$A$3:$B$80,2,0)*R459,IF(LEFT(T459,1)="K",(VLOOKUP(T459,ma_miengiam!$A$3:$B$80,2,0)*R459/12)*V459,IF(AND(LEFT(T459,1)="S",V459&gt;0),(R459/12)*V459,IF(AND(LEFT(T459,1)="S",V459=0),R459,IF(T459="DH",VLOOKUP(T459,ma_miengiam!$A$3:$B$80,2,0)*R459,0)))))))</f>
        <v>0</v>
      </c>
      <c r="Y459" s="220">
        <f>IF(AND(T459="DH",V459&gt;0),(S459*V459/12),IF(AND(T459&lt;&gt;"NTS",V459&gt;0),(Q459*V459/12)-W459,IF(AND(T459="NTS",V459&gt;0),Q459-W459,Q459-W459)))</f>
        <v>270</v>
      </c>
      <c r="Z459" s="220">
        <f>IF(AND(T459="SĐH",V459&gt;0),(R459/12)*V459-X459,IF(AND(T459="DH",V459&gt;0),(R459*V459/12),IF(AND(T459&lt;&gt;"NTS",V459&gt;0),(R459*V459/12)-X459,IF(AND(T459="NTS",V459&gt;0),R459-X459,R459-X459))))</f>
        <v>120</v>
      </c>
      <c r="AA459" s="220">
        <f t="shared" si="1469"/>
        <v>270</v>
      </c>
      <c r="AB459" s="220">
        <f t="shared" si="1469"/>
        <v>120</v>
      </c>
      <c r="AC459" s="220">
        <f t="shared" ref="AC459:AF460" si="1477">W459</f>
        <v>0</v>
      </c>
      <c r="AD459" s="220">
        <f t="shared" si="1477"/>
        <v>0</v>
      </c>
      <c r="AE459" s="220">
        <f t="shared" si="1477"/>
        <v>270</v>
      </c>
      <c r="AF459" s="220">
        <f t="shared" si="1477"/>
        <v>120</v>
      </c>
      <c r="AG459" s="220">
        <f t="shared" si="1465"/>
        <v>14.28</v>
      </c>
      <c r="AH459" s="220">
        <f t="shared" si="1466"/>
        <v>0</v>
      </c>
      <c r="AI459" s="220">
        <f t="shared" si="1467"/>
        <v>14.28</v>
      </c>
      <c r="AJ459" s="220">
        <f>IF(AG459-Z459&gt;0,0,AG459-Z459)</f>
        <v>-105.72</v>
      </c>
      <c r="AK459" s="216">
        <f t="shared" si="1454"/>
        <v>375.72</v>
      </c>
      <c r="AL459" s="220">
        <f>SUM(CP459:CX459)+SUM(DC459:DK459)</f>
        <v>194</v>
      </c>
      <c r="AM459" s="220">
        <f>SUM(DQ459:DU459)+SUM(DY459:EC459)</f>
        <v>0</v>
      </c>
      <c r="AN459" s="221">
        <f>AM459+AL459</f>
        <v>194</v>
      </c>
      <c r="AO459" s="220">
        <f>CY459+DL459</f>
        <v>0</v>
      </c>
      <c r="AP459" s="220">
        <f>CZ459+DM459</f>
        <v>15</v>
      </c>
      <c r="AQ459" s="220">
        <f>DA459+DN459</f>
        <v>120</v>
      </c>
      <c r="AR459" s="220">
        <f>DV459+ED459</f>
        <v>0</v>
      </c>
      <c r="AS459" s="220">
        <f>DW459+EE459</f>
        <v>0</v>
      </c>
      <c r="AT459" s="216">
        <f>AN459+SUM(AO459:AS459)</f>
        <v>329</v>
      </c>
      <c r="AU459" s="222">
        <f>AN459-AK459</f>
        <v>-181.72000000000003</v>
      </c>
      <c r="AV459" s="220"/>
      <c r="AW459" s="220">
        <f>IF(AU459&gt;0,AU459,AV459+AU459)</f>
        <v>-181.72000000000003</v>
      </c>
      <c r="AX459" s="216">
        <f t="shared" si="1448"/>
        <v>-181.72000000000003</v>
      </c>
      <c r="AY459" s="220">
        <f>IF(AN459&gt;=AK459,AO459,IF(AN459+AO459-AK459&gt;=0,AN459+AO459-AK459,0))</f>
        <v>0</v>
      </c>
      <c r="AZ459" s="220">
        <f>IF(OR(AN459&gt;=AK459,AN459+AO459&gt;=AK459),AP459,IF(AN459+AO459+AP459&gt;AK459,AN459+AO459+AP459-AK459,0))</f>
        <v>0</v>
      </c>
      <c r="BA459" s="220">
        <f>IF(OR(AN459&gt;=AK459,AN459+AO459&gt;=AK459,AN459+AO459+AP459&gt;=AK459),AQ459,IF(AN459+AO459+AP459+AQ459&gt;=AK459,AN459+AO459+AP459+AQ459-AK459,0))</f>
        <v>0</v>
      </c>
      <c r="BB459" s="220">
        <f>IF(OR(AN459&gt;=AK459,AN459+AO459&gt;=AK459,AN459+AO459+AP459&gt;=AK459,AN459+AO459+AP459+AQ459&gt;=AK459),AR459,IF(AN459+AO459+AP459+AQ459+AR459&gt;=AK459,AN459+AO459+AP459+AQ459+AR459-AK459,0))</f>
        <v>0</v>
      </c>
      <c r="BC459" s="220">
        <f>IF(OR(AN459&gt;=AK459,AN459+AO459&gt;=AK459,AN459+AO459+AP459&gt;=AK459,AN459+AO459+AP459+AQ459&gt;=AK459,AN459+AO459+AP459+AQ459+AR459&gt;=AK459),AS459,IF(AN459+AO459+AP459+AQ459+AR459+AS459&gt;=AK459,AN459+AO459+AP459+AQ459+AR459+AS459-AK459,0))</f>
        <v>0</v>
      </c>
      <c r="BD459" s="216">
        <f t="shared" si="1410"/>
        <v>0</v>
      </c>
      <c r="BE459" s="220">
        <f>AY459-AO459</f>
        <v>0</v>
      </c>
      <c r="BF459" s="220">
        <f>AZ459-AP459</f>
        <v>-15</v>
      </c>
      <c r="BG459" s="220">
        <f>BA459-AQ459</f>
        <v>-120</v>
      </c>
      <c r="BH459" s="220">
        <f>BB459-AR459</f>
        <v>0</v>
      </c>
      <c r="BI459" s="220">
        <f>BC459-AS459</f>
        <v>0</v>
      </c>
      <c r="BJ459" s="220" t="s">
        <v>186</v>
      </c>
      <c r="BK459" s="220"/>
      <c r="BL459" s="223">
        <f t="shared" si="1422"/>
        <v>0</v>
      </c>
      <c r="BM459" s="220">
        <v>3.99</v>
      </c>
      <c r="BN459" s="220"/>
      <c r="BO459" s="220">
        <f t="shared" si="1476"/>
        <v>3.99</v>
      </c>
      <c r="BP459" s="220">
        <f>IF(AND(BL459&gt;0,BL459&lt;tiet!$D$1),BL459,IF(BL459&lt;=0,0,IF(BL459&gt;tiet!$C$1,tiet!$C$1)))</f>
        <v>0</v>
      </c>
      <c r="BQ459" s="87">
        <f>VLOOKUP(P459,ma_dinhmuc_moi,4,0)</f>
        <v>65000</v>
      </c>
      <c r="BR459" s="224">
        <f>ROUND(BQ459*BP459,0)</f>
        <v>0</v>
      </c>
      <c r="BS459" s="220">
        <f t="shared" ref="BS459:BS522" si="1478">BL459-BP459</f>
        <v>0</v>
      </c>
      <c r="BT459" s="224">
        <f>VLOOKUP(N459,ma_dinhmuc!$A$1:$J$31,10,0)</f>
        <v>51000</v>
      </c>
      <c r="BU459" s="224">
        <f>ROUND(IF(BS459&gt;0,VLOOKUP(N459,ma_dinhmuc!$A$1:$J$31,10,0)*BS459,0),0)</f>
        <v>0</v>
      </c>
      <c r="BV459" s="224">
        <f>ROUND(BU459+BR459,0)</f>
        <v>0</v>
      </c>
      <c r="BW459" s="224"/>
      <c r="BX459" s="224">
        <v>0</v>
      </c>
      <c r="BY459" s="224"/>
      <c r="BZ459" s="224"/>
      <c r="CA459" s="224"/>
      <c r="CB459" s="224"/>
      <c r="CC459" s="225">
        <f>ROUND(IF(BV459+BW459&gt;BX459+BY459+BZ459+CA459+CB459,(BW459+BV459)-(BX459+BY459+BZ459+CA459+CB459+CB459),0),0)</f>
        <v>0</v>
      </c>
      <c r="CD459" s="224">
        <f>ROUND(IF(BV459+BW459&lt;BX459+BY459+BZ459+CA459-CB459,(BX459+BY459+BZ459+CA459-CB459)-(BW459+BV459),0),0)</f>
        <v>0</v>
      </c>
      <c r="CE459" s="224"/>
      <c r="CF459" s="226"/>
      <c r="CG459" s="87"/>
      <c r="CH459" s="87">
        <f>A459</f>
        <v>72</v>
      </c>
      <c r="CI459" s="227" t="str">
        <f>F459</f>
        <v>Ngô Thành</v>
      </c>
      <c r="CJ459" s="227" t="str">
        <f>G459</f>
        <v>Trung</v>
      </c>
      <c r="CK459" s="87">
        <f>H459</f>
        <v>9</v>
      </c>
      <c r="CL459" s="227" t="str">
        <f>L459</f>
        <v>Ngoại sản</v>
      </c>
      <c r="CM459" s="87" t="str">
        <f>N459</f>
        <v>CS2</v>
      </c>
      <c r="CN459" s="87">
        <f>Q459</f>
        <v>270</v>
      </c>
      <c r="CO459" s="87">
        <f>R459</f>
        <v>120</v>
      </c>
      <c r="CP459" s="229">
        <f t="shared" si="1314"/>
        <v>0</v>
      </c>
      <c r="CQ459" s="229">
        <f t="shared" si="1315"/>
        <v>0</v>
      </c>
      <c r="CR459" s="229">
        <f t="shared" si="1316"/>
        <v>0</v>
      </c>
      <c r="CS459" s="229">
        <f t="shared" si="1317"/>
        <v>0</v>
      </c>
      <c r="CT459" s="229">
        <f t="shared" si="1318"/>
        <v>0</v>
      </c>
      <c r="CU459" s="229">
        <f t="shared" si="1319"/>
        <v>0</v>
      </c>
      <c r="CV459" s="229">
        <f t="shared" si="1320"/>
        <v>0</v>
      </c>
      <c r="CW459" s="229">
        <f t="shared" si="1321"/>
        <v>194</v>
      </c>
      <c r="CX459" s="229">
        <f t="shared" si="1322"/>
        <v>0</v>
      </c>
      <c r="CY459" s="229">
        <f t="shared" si="1323"/>
        <v>0</v>
      </c>
      <c r="CZ459" s="229">
        <f t="shared" si="1324"/>
        <v>15</v>
      </c>
      <c r="DA459" s="229">
        <f t="shared" si="1325"/>
        <v>120</v>
      </c>
      <c r="DB459" s="228">
        <f>SUM(CP459:DA459)</f>
        <v>329</v>
      </c>
      <c r="DC459" s="229"/>
      <c r="DD459" s="229"/>
      <c r="DE459" s="229"/>
      <c r="DF459" s="229"/>
      <c r="DG459" s="229"/>
      <c r="DH459" s="229"/>
      <c r="DI459" s="229"/>
      <c r="DJ459" s="229"/>
      <c r="DK459" s="229"/>
      <c r="DL459" s="229"/>
      <c r="DM459" s="229"/>
      <c r="DN459" s="229"/>
      <c r="DO459" s="228">
        <f>SUM(DC459:DN459)</f>
        <v>0</v>
      </c>
      <c r="DP459" s="228">
        <f>DO459+DB459</f>
        <v>329</v>
      </c>
      <c r="DQ459" s="229">
        <f t="shared" si="1326"/>
        <v>0</v>
      </c>
      <c r="DR459" s="229">
        <f t="shared" si="1327"/>
        <v>0</v>
      </c>
      <c r="DS459" s="229">
        <f t="shared" si="1328"/>
        <v>0</v>
      </c>
      <c r="DT459" s="229">
        <f t="shared" si="1329"/>
        <v>0</v>
      </c>
      <c r="DU459" s="229">
        <f t="shared" si="1330"/>
        <v>0</v>
      </c>
      <c r="DV459" s="229">
        <f t="shared" si="1331"/>
        <v>0</v>
      </c>
      <c r="DW459" s="229">
        <f t="shared" si="1332"/>
        <v>0</v>
      </c>
      <c r="DX459" s="228">
        <f>SUM(DQ459:DW459)</f>
        <v>0</v>
      </c>
      <c r="DY459" s="229"/>
      <c r="DZ459" s="229"/>
      <c r="EA459" s="229"/>
      <c r="EB459" s="229"/>
      <c r="EC459" s="229"/>
      <c r="ED459" s="229"/>
      <c r="EE459" s="229"/>
      <c r="EF459" s="228">
        <f t="shared" si="1305"/>
        <v>0</v>
      </c>
      <c r="EG459" s="228">
        <f>EF459+DX459</f>
        <v>0</v>
      </c>
      <c r="EH459" s="229">
        <f t="shared" si="1306"/>
        <v>14.28</v>
      </c>
      <c r="EI459" s="229">
        <v>0</v>
      </c>
      <c r="EJ459" s="228">
        <f>SUM(EH459:EI459)</f>
        <v>14.28</v>
      </c>
      <c r="EK459" s="229"/>
      <c r="EL459" s="229"/>
      <c r="EM459" s="228">
        <f t="shared" si="1468"/>
        <v>0</v>
      </c>
      <c r="EN459" s="229">
        <f>EK459+EH459+EL459</f>
        <v>14.28</v>
      </c>
      <c r="EO459" s="229">
        <f>EI459</f>
        <v>0</v>
      </c>
      <c r="EP459" s="228">
        <f>EM459+EJ459</f>
        <v>14.28</v>
      </c>
      <c r="EQ459" s="173">
        <f t="shared" ref="EQ459:EQ522" si="1479">IF(EN459&gt;Z459,EN459-Z459,0)</f>
        <v>0</v>
      </c>
      <c r="ER459" s="189">
        <v>0</v>
      </c>
      <c r="ES459" s="189">
        <v>0</v>
      </c>
      <c r="ET459" s="189">
        <v>0</v>
      </c>
      <c r="EU459" s="189">
        <v>0</v>
      </c>
      <c r="EV459" s="189">
        <v>0</v>
      </c>
      <c r="EW459" s="189">
        <v>0</v>
      </c>
      <c r="EX459" s="189">
        <v>0</v>
      </c>
      <c r="EY459" s="189">
        <v>194</v>
      </c>
      <c r="EZ459" s="189">
        <v>0</v>
      </c>
      <c r="FA459" s="189">
        <v>0</v>
      </c>
      <c r="FB459" s="189">
        <v>15</v>
      </c>
      <c r="FC459" s="189">
        <v>120</v>
      </c>
      <c r="FD459" s="189">
        <v>0</v>
      </c>
      <c r="FE459" s="189">
        <v>0</v>
      </c>
      <c r="FF459" s="189">
        <v>0</v>
      </c>
      <c r="FG459" s="189">
        <v>0</v>
      </c>
      <c r="FH459" s="189">
        <v>0</v>
      </c>
      <c r="FI459" s="189">
        <v>0</v>
      </c>
      <c r="FJ459" s="189">
        <v>0</v>
      </c>
      <c r="FK459" s="189">
        <v>329</v>
      </c>
      <c r="FL459" s="189">
        <v>309</v>
      </c>
      <c r="FN459" s="132">
        <v>14.28</v>
      </c>
    </row>
    <row r="460" spans="1:170" ht="28.5" customHeight="1">
      <c r="A460" s="88">
        <f>COUNTIF($H$12:H460,H460)</f>
        <v>38</v>
      </c>
      <c r="B460" s="88" t="s">
        <v>2737</v>
      </c>
      <c r="C460" s="88" t="s">
        <v>360</v>
      </c>
      <c r="D460" s="88"/>
      <c r="E460" s="88"/>
      <c r="F460" s="301" t="s">
        <v>1141</v>
      </c>
      <c r="G460" s="89" t="s">
        <v>2901</v>
      </c>
      <c r="H460" s="88">
        <v>9</v>
      </c>
      <c r="I460" s="88">
        <v>9</v>
      </c>
      <c r="J460" s="88">
        <v>9</v>
      </c>
      <c r="K460" s="90" t="s">
        <v>1104</v>
      </c>
      <c r="L460" s="90" t="s">
        <v>1104</v>
      </c>
      <c r="M460" s="214"/>
      <c r="N460" s="88" t="s">
        <v>1804</v>
      </c>
      <c r="O460" s="216">
        <f t="shared" si="1475"/>
        <v>2.67</v>
      </c>
      <c r="P460" s="88" t="str">
        <f t="shared" si="1333"/>
        <v>B1_3</v>
      </c>
      <c r="Q460" s="88">
        <f t="shared" si="1369"/>
        <v>270</v>
      </c>
      <c r="R460" s="88">
        <f t="shared" si="1370"/>
        <v>100</v>
      </c>
      <c r="S460" s="231" t="s">
        <v>3</v>
      </c>
      <c r="T460" s="214" t="s">
        <v>2961</v>
      </c>
      <c r="U460" s="88">
        <f>IF(RIGHT(T460,1)="K",(VLOOKUP(T460,ma_miengiam!$A$3:$B$80,2,0)*100)/2,VLOOKUP(T460,ma_miengiam!$A$3:$B$80,2,0)*100)</f>
        <v>100</v>
      </c>
      <c r="V460" s="88"/>
      <c r="W460" s="220">
        <f>IF(AND(T460="NTS",V460&gt;0),(Q460-(Q460*V460)/12)*VLOOKUP(T460,ma_miengiam!$A$3:$B$80,2,0)+(Q460-(Q460*(12-V460))/12),IF(AND(RIGHT(T460,1)="K",V460&gt;0),(VLOOKUP(T460,ma_miengiam!$A$3:$B$80,2,0)/2)*(Q460*V460)/12,IF(RIGHT(T460,1)="K",(VLOOKUP(T460,ma_miengiam!$A$3:$B$80,2,0)*Q460)/2,IF(V460&gt;0,VLOOKUP(T460,ma_miengiam!$A$3:$B$80,2,0)*Q460*V460/12,VLOOKUP(T460,ma_miengiam!$A$3:$B$80,2,0)*Q460))))</f>
        <v>270</v>
      </c>
      <c r="X460" s="220">
        <f>IF(T460="NTS",VLOOKUP(T460,ma_miengiam!$A$3:$B$80,2,0)*R460*V460,IF(AND(T460="NTS",V460=0),0,IF(AND(LEFT(T460,1)="K",V460=0),VLOOKUP(T460,ma_miengiam!$A$3:$B$80,2,0)*R460,IF(LEFT(T460,1)="K",(VLOOKUP(T460,ma_miengiam!$A$3:$B$80,2,0)*R460/12)*V460,IF(AND(LEFT(T460,1)="S",V460&gt;0),(R460/12)*V460,IF(AND(LEFT(T460,1)="S",V460=0),R460,IF(T460="DH",VLOOKUP(T460,ma_miengiam!$A$3:$B$80,2,0)*R460,0)))))))</f>
        <v>100</v>
      </c>
      <c r="Y460" s="220">
        <f t="shared" si="1344"/>
        <v>0</v>
      </c>
      <c r="Z460" s="220">
        <f>IF(AND(T460="SĐH",V460&gt;0),(R460/12)*V460-X460,IF(AND(T460="DH",V460&gt;0),(R460*V460/12),IF(AND(T460&lt;&gt;"NTS",V460&gt;0),(R460*V460/12)-X460,IF(AND(T460="NTS",V460&gt;0),R460-X460,R460-X460))))</f>
        <v>0</v>
      </c>
      <c r="AA460" s="220">
        <f t="shared" si="1469"/>
        <v>270</v>
      </c>
      <c r="AB460" s="220">
        <f t="shared" si="1469"/>
        <v>100</v>
      </c>
      <c r="AC460" s="220">
        <f t="shared" si="1477"/>
        <v>270</v>
      </c>
      <c r="AD460" s="220">
        <f t="shared" si="1477"/>
        <v>100</v>
      </c>
      <c r="AE460" s="220">
        <f t="shared" si="1477"/>
        <v>0</v>
      </c>
      <c r="AF460" s="220">
        <f t="shared" si="1477"/>
        <v>0</v>
      </c>
      <c r="AG460" s="220">
        <f t="shared" si="1465"/>
        <v>220.06</v>
      </c>
      <c r="AH460" s="220">
        <f t="shared" si="1466"/>
        <v>220.06</v>
      </c>
      <c r="AI460" s="220">
        <f t="shared" si="1467"/>
        <v>0</v>
      </c>
      <c r="AJ460" s="220">
        <f>IF(AG460-Z460&gt;0,0,AG460-Z460)</f>
        <v>0</v>
      </c>
      <c r="AK460" s="216">
        <f t="shared" si="1454"/>
        <v>0</v>
      </c>
      <c r="AL460" s="220">
        <f t="shared" si="1431"/>
        <v>0</v>
      </c>
      <c r="AM460" s="220">
        <f t="shared" si="1432"/>
        <v>0</v>
      </c>
      <c r="AN460" s="216">
        <f t="shared" si="1433"/>
        <v>0</v>
      </c>
      <c r="AO460" s="220">
        <f t="shared" si="1434"/>
        <v>0</v>
      </c>
      <c r="AP460" s="220">
        <f t="shared" si="1435"/>
        <v>0</v>
      </c>
      <c r="AQ460" s="220">
        <f t="shared" si="1436"/>
        <v>0</v>
      </c>
      <c r="AR460" s="220">
        <f t="shared" si="1437"/>
        <v>0</v>
      </c>
      <c r="AS460" s="220">
        <f t="shared" si="1438"/>
        <v>0</v>
      </c>
      <c r="AT460" s="216">
        <f t="shared" si="1439"/>
        <v>0</v>
      </c>
      <c r="AU460" s="220">
        <f t="shared" si="1447"/>
        <v>0</v>
      </c>
      <c r="AV460" s="220"/>
      <c r="AW460" s="220">
        <f t="shared" si="1379"/>
        <v>0</v>
      </c>
      <c r="AX460" s="216">
        <f t="shared" si="1448"/>
        <v>0</v>
      </c>
      <c r="AY460" s="220">
        <f t="shared" si="1386"/>
        <v>0</v>
      </c>
      <c r="AZ460" s="220">
        <f t="shared" si="1387"/>
        <v>0</v>
      </c>
      <c r="BA460" s="220">
        <f t="shared" si="1388"/>
        <v>0</v>
      </c>
      <c r="BB460" s="220">
        <f t="shared" si="1389"/>
        <v>0</v>
      </c>
      <c r="BC460" s="220">
        <f t="shared" si="1390"/>
        <v>0</v>
      </c>
      <c r="BD460" s="216">
        <f t="shared" si="1410"/>
        <v>0</v>
      </c>
      <c r="BE460" s="220">
        <f t="shared" si="1380"/>
        <v>0</v>
      </c>
      <c r="BF460" s="220">
        <f t="shared" si="1381"/>
        <v>0</v>
      </c>
      <c r="BG460" s="220">
        <f t="shared" si="1382"/>
        <v>0</v>
      </c>
      <c r="BH460" s="220">
        <f t="shared" si="1383"/>
        <v>0</v>
      </c>
      <c r="BI460" s="220">
        <f t="shared" si="1384"/>
        <v>0</v>
      </c>
      <c r="BJ460" s="220" t="s">
        <v>186</v>
      </c>
      <c r="BK460" s="220"/>
      <c r="BL460" s="223">
        <f t="shared" si="1422"/>
        <v>0</v>
      </c>
      <c r="BM460" s="220">
        <v>2.67</v>
      </c>
      <c r="BN460" s="220"/>
      <c r="BO460" s="220">
        <f t="shared" si="1476"/>
        <v>2.67</v>
      </c>
      <c r="BP460" s="220">
        <f>IF(AND(BL460&gt;0,BL460&lt;tiet!$D$1),BL460,IF(BL460&lt;=0,0,IF(BL460&gt;tiet!$C$1,tiet!$C$1)))</f>
        <v>0</v>
      </c>
      <c r="BQ460" s="87">
        <f>VLOOKUP(P460,ma_dinhmuc_moi,4,0)</f>
        <v>60000</v>
      </c>
      <c r="BR460" s="224">
        <f>ROUND(BQ460*BP460,0)</f>
        <v>0</v>
      </c>
      <c r="BS460" s="220">
        <f t="shared" si="1478"/>
        <v>0</v>
      </c>
      <c r="BT460" s="224">
        <f>VLOOKUP(N460,ma_dinhmuc!$A$1:$J$31,10,0)</f>
        <v>51000</v>
      </c>
      <c r="BU460" s="224">
        <f>ROUND(IF(BS460&gt;0,VLOOKUP(N460,ma_dinhmuc!$A$1:$J$31,10,0)*BS460,0),0)</f>
        <v>0</v>
      </c>
      <c r="BV460" s="224">
        <f>ROUND(BU460+BR460,0)</f>
        <v>0</v>
      </c>
      <c r="BW460" s="224"/>
      <c r="BX460" s="224">
        <v>0</v>
      </c>
      <c r="BY460" s="224"/>
      <c r="BZ460" s="224"/>
      <c r="CA460" s="224"/>
      <c r="CB460" s="224"/>
      <c r="CC460" s="225">
        <f t="shared" si="1419"/>
        <v>0</v>
      </c>
      <c r="CD460" s="224">
        <f t="shared" si="1420"/>
        <v>0</v>
      </c>
      <c r="CE460" s="224"/>
      <c r="CF460" s="226"/>
      <c r="CG460" s="87"/>
      <c r="CH460" s="87">
        <f t="shared" si="1471"/>
        <v>38</v>
      </c>
      <c r="CI460" s="227" t="str">
        <f>F460</f>
        <v>Bùi Văn</v>
      </c>
      <c r="CJ460" s="227" t="str">
        <f>G460</f>
        <v>Dũng</v>
      </c>
      <c r="CK460" s="87">
        <f>H460</f>
        <v>9</v>
      </c>
      <c r="CL460" s="227" t="str">
        <f t="shared" si="1408"/>
        <v>Ngoại sản</v>
      </c>
      <c r="CM460" s="87" t="str">
        <f t="shared" si="1385"/>
        <v>CS2</v>
      </c>
      <c r="CN460" s="87">
        <f>Q460</f>
        <v>270</v>
      </c>
      <c r="CO460" s="87">
        <f>R460</f>
        <v>100</v>
      </c>
      <c r="CP460" s="229">
        <f t="shared" si="1314"/>
        <v>0</v>
      </c>
      <c r="CQ460" s="229">
        <f t="shared" si="1315"/>
        <v>0</v>
      </c>
      <c r="CR460" s="229">
        <f t="shared" si="1316"/>
        <v>0</v>
      </c>
      <c r="CS460" s="229">
        <f t="shared" si="1317"/>
        <v>0</v>
      </c>
      <c r="CT460" s="229">
        <f t="shared" si="1318"/>
        <v>0</v>
      </c>
      <c r="CU460" s="229">
        <f t="shared" si="1319"/>
        <v>0</v>
      </c>
      <c r="CV460" s="229">
        <f t="shared" si="1320"/>
        <v>0</v>
      </c>
      <c r="CW460" s="229">
        <f t="shared" si="1321"/>
        <v>0</v>
      </c>
      <c r="CX460" s="229">
        <f t="shared" si="1322"/>
        <v>0</v>
      </c>
      <c r="CY460" s="229">
        <f t="shared" si="1323"/>
        <v>0</v>
      </c>
      <c r="CZ460" s="229">
        <f t="shared" si="1324"/>
        <v>0</v>
      </c>
      <c r="DA460" s="229">
        <f t="shared" si="1325"/>
        <v>0</v>
      </c>
      <c r="DB460" s="228">
        <f t="shared" si="1429"/>
        <v>0</v>
      </c>
      <c r="DC460" s="229"/>
      <c r="DD460" s="229"/>
      <c r="DE460" s="229"/>
      <c r="DF460" s="229"/>
      <c r="DG460" s="229"/>
      <c r="DH460" s="229"/>
      <c r="DI460" s="229"/>
      <c r="DJ460" s="229"/>
      <c r="DK460" s="229"/>
      <c r="DL460" s="229"/>
      <c r="DM460" s="229"/>
      <c r="DN460" s="229"/>
      <c r="DO460" s="228">
        <f t="shared" si="1440"/>
        <v>0</v>
      </c>
      <c r="DP460" s="228">
        <f t="shared" si="1441"/>
        <v>0</v>
      </c>
      <c r="DQ460" s="229">
        <f t="shared" si="1326"/>
        <v>0</v>
      </c>
      <c r="DR460" s="229">
        <f t="shared" si="1327"/>
        <v>0</v>
      </c>
      <c r="DS460" s="229">
        <f t="shared" si="1328"/>
        <v>0</v>
      </c>
      <c r="DT460" s="229">
        <f t="shared" si="1329"/>
        <v>0</v>
      </c>
      <c r="DU460" s="229">
        <f t="shared" si="1330"/>
        <v>0</v>
      </c>
      <c r="DV460" s="229">
        <f t="shared" si="1331"/>
        <v>0</v>
      </c>
      <c r="DW460" s="229">
        <f t="shared" si="1332"/>
        <v>0</v>
      </c>
      <c r="DX460" s="228">
        <f t="shared" si="1430"/>
        <v>0</v>
      </c>
      <c r="DY460" s="229"/>
      <c r="DZ460" s="229"/>
      <c r="EA460" s="229"/>
      <c r="EB460" s="229"/>
      <c r="EC460" s="229"/>
      <c r="ED460" s="229"/>
      <c r="EE460" s="229"/>
      <c r="EF460" s="228">
        <f t="shared" ref="EF460:EF523" si="1480">SUM(DY460:EE460)</f>
        <v>0</v>
      </c>
      <c r="EG460" s="228">
        <f t="shared" si="1442"/>
        <v>0</v>
      </c>
      <c r="EH460" s="229">
        <f t="shared" ref="EH460:EH523" si="1481">FN460</f>
        <v>0</v>
      </c>
      <c r="EI460" s="229">
        <v>220.06</v>
      </c>
      <c r="EJ460" s="228">
        <f>SUM(EH460:EI460)</f>
        <v>220.06</v>
      </c>
      <c r="EK460" s="229"/>
      <c r="EL460" s="229"/>
      <c r="EM460" s="228">
        <f t="shared" si="1468"/>
        <v>0</v>
      </c>
      <c r="EN460" s="229">
        <f t="shared" si="1423"/>
        <v>0</v>
      </c>
      <c r="EO460" s="229">
        <f t="shared" si="1451"/>
        <v>220.06</v>
      </c>
      <c r="EP460" s="228">
        <f>EM460+EJ460</f>
        <v>220.06</v>
      </c>
      <c r="EQ460" s="173">
        <f t="shared" si="1479"/>
        <v>0</v>
      </c>
      <c r="ER460" s="189">
        <v>0</v>
      </c>
      <c r="ES460" s="189">
        <v>0</v>
      </c>
      <c r="ET460" s="189">
        <v>0</v>
      </c>
      <c r="EU460" s="189">
        <v>0</v>
      </c>
      <c r="EV460" s="189">
        <v>0</v>
      </c>
      <c r="EW460" s="189">
        <v>0</v>
      </c>
      <c r="EX460" s="189">
        <v>0</v>
      </c>
      <c r="EY460" s="189">
        <v>0</v>
      </c>
      <c r="EZ460" s="189">
        <v>0</v>
      </c>
      <c r="FA460" s="189">
        <v>0</v>
      </c>
      <c r="FB460" s="189">
        <v>0</v>
      </c>
      <c r="FC460" s="189">
        <v>0</v>
      </c>
      <c r="FD460" s="189">
        <v>0</v>
      </c>
      <c r="FE460" s="189">
        <v>0</v>
      </c>
      <c r="FF460" s="189">
        <v>0</v>
      </c>
      <c r="FG460" s="189">
        <v>0</v>
      </c>
      <c r="FH460" s="189">
        <v>0</v>
      </c>
      <c r="FI460" s="189">
        <v>0</v>
      </c>
      <c r="FJ460" s="189">
        <v>0</v>
      </c>
      <c r="FK460" s="189">
        <v>0</v>
      </c>
      <c r="FL460" s="189">
        <v>0</v>
      </c>
      <c r="FN460" s="132">
        <v>0</v>
      </c>
    </row>
    <row r="461" spans="1:170" ht="30">
      <c r="A461" s="88">
        <f>COUNTIF($H$12:H461,H461)</f>
        <v>39</v>
      </c>
      <c r="B461" s="88" t="s">
        <v>2738</v>
      </c>
      <c r="C461" s="88" t="s">
        <v>361</v>
      </c>
      <c r="D461" s="88"/>
      <c r="E461" s="88"/>
      <c r="F461" s="301" t="s">
        <v>2446</v>
      </c>
      <c r="G461" s="89" t="s">
        <v>2301</v>
      </c>
      <c r="H461" s="88">
        <v>9</v>
      </c>
      <c r="I461" s="88"/>
      <c r="J461" s="88">
        <v>9</v>
      </c>
      <c r="K461" s="90"/>
      <c r="L461" s="90" t="s">
        <v>1105</v>
      </c>
      <c r="M461" s="214"/>
      <c r="N461" s="88" t="s">
        <v>605</v>
      </c>
      <c r="O461" s="216">
        <f t="shared" si="1475"/>
        <v>6.56</v>
      </c>
      <c r="P461" s="88" t="str">
        <f t="shared" si="1333"/>
        <v>B1_7</v>
      </c>
      <c r="Q461" s="88">
        <f t="shared" si="1369"/>
        <v>270</v>
      </c>
      <c r="R461" s="88">
        <f t="shared" si="1370"/>
        <v>200</v>
      </c>
      <c r="S461" s="218" t="s">
        <v>799</v>
      </c>
      <c r="T461" s="219" t="s">
        <v>3090</v>
      </c>
      <c r="U461" s="88">
        <f>IF(RIGHT(T461,1)="K",(VLOOKUP(T461,ma_miengiam!$A$3:$B$80,2,0)*100)/2,VLOOKUP(T461,ma_miengiam!$A$3:$B$80,2,0)*100)</f>
        <v>15</v>
      </c>
      <c r="V461" s="88">
        <v>4</v>
      </c>
      <c r="W461" s="220">
        <f>IF(AND(T461="NTS",V461&gt;0),(Q461-(Q461*V461)/12)*VLOOKUP(T461,ma_miengiam!$A$3:$B$80,2,0)+(Q461-(Q461*(12-V461))/12),IF(AND(RIGHT(T461,1)="K",V461&gt;0),(VLOOKUP(T461,ma_miengiam!$A$3:$B$80,2,0)/2)*(Q461*V461)/12,IF(RIGHT(T461,1)="K",(VLOOKUP(T461,ma_miengiam!$A$3:$B$80,2,0)*Q461)/2,IF(V461&gt;0,VLOOKUP(T461,ma_miengiam!$A$3:$B$80,2,0)*Q461*V461/12,VLOOKUP(T461,ma_miengiam!$A$3:$B$80,2,0)*Q461))))</f>
        <v>13.5</v>
      </c>
      <c r="X461" s="220">
        <f>IF(T461="NTS",VLOOKUP(T461,ma_miengiam!$A$3:$B$80,2,0)*R461*V461,IF(AND(T461="NTS",V461=0),0,IF(AND(LEFT(T461,1)="K",V461=0),VLOOKUP(T461,ma_miengiam!$A$3:$B$80,2,0)*R461,IF(LEFT(T461,1)="K",(VLOOKUP(T461,ma_miengiam!$A$3:$B$80,2,0)*R461/12)*V461,IF(AND(LEFT(T461,1)="S",V461&gt;0),(R461/12)*V461,IF(AND(LEFT(T461,1)="S",V461=0),R461,IF(T461="DH",VLOOKUP(T461,ma_miengiam!$A$3:$B$80,2,0)*R461,0)))))))</f>
        <v>0</v>
      </c>
      <c r="Y461" s="220">
        <f t="shared" si="1344"/>
        <v>76.5</v>
      </c>
      <c r="Z461" s="220">
        <f t="shared" si="1457"/>
        <v>66.666666666666671</v>
      </c>
      <c r="AA461" s="220"/>
      <c r="AB461" s="220"/>
      <c r="AC461" s="220"/>
      <c r="AD461" s="220"/>
      <c r="AE461" s="220"/>
      <c r="AF461" s="220"/>
      <c r="AG461" s="220"/>
      <c r="AH461" s="220"/>
      <c r="AI461" s="220"/>
      <c r="AJ461" s="220"/>
      <c r="AK461" s="216"/>
      <c r="AL461" s="220"/>
      <c r="AM461" s="220"/>
      <c r="AN461" s="221"/>
      <c r="AO461" s="220"/>
      <c r="AP461" s="220"/>
      <c r="AQ461" s="220"/>
      <c r="AR461" s="220"/>
      <c r="AS461" s="220"/>
      <c r="AT461" s="216"/>
      <c r="AU461" s="222"/>
      <c r="AV461" s="220"/>
      <c r="AW461" s="220"/>
      <c r="AX461" s="216"/>
      <c r="AY461" s="220"/>
      <c r="AZ461" s="220"/>
      <c r="BA461" s="220"/>
      <c r="BB461" s="220"/>
      <c r="BC461" s="220"/>
      <c r="BD461" s="216"/>
      <c r="BE461" s="220"/>
      <c r="BF461" s="220"/>
      <c r="BG461" s="220"/>
      <c r="BH461" s="220"/>
      <c r="BI461" s="220"/>
      <c r="BJ461" s="220" t="s">
        <v>1794</v>
      </c>
      <c r="BK461" s="220"/>
      <c r="BL461" s="223">
        <f t="shared" si="1422"/>
        <v>0</v>
      </c>
      <c r="BM461" s="220">
        <v>6.56</v>
      </c>
      <c r="BN461" s="220"/>
      <c r="BO461" s="220">
        <f t="shared" si="1476"/>
        <v>6.56</v>
      </c>
      <c r="BP461" s="220">
        <f>IF(AND(BL461&gt;0,BL461&lt;tiet!$D$1),BL461,IF(BL461&lt;=0,0,IF(BL461&gt;tiet!$C$1,tiet!$C$1)))</f>
        <v>0</v>
      </c>
      <c r="BQ461" s="87">
        <f t="shared" si="1397"/>
        <v>80000</v>
      </c>
      <c r="BR461" s="224">
        <f t="shared" si="1391"/>
        <v>0</v>
      </c>
      <c r="BS461" s="220">
        <f t="shared" si="1478"/>
        <v>0</v>
      </c>
      <c r="BT461" s="224">
        <f>VLOOKUP(N461,ma_dinhmuc!$A$1:$J$31,10,0)</f>
        <v>65000</v>
      </c>
      <c r="BU461" s="224">
        <f>ROUND(IF(BS461&gt;0,VLOOKUP(N461,ma_dinhmuc!$A$1:$J$31,10,0)*BS461,0),0)</f>
        <v>0</v>
      </c>
      <c r="BV461" s="224">
        <f t="shared" si="1392"/>
        <v>0</v>
      </c>
      <c r="BW461" s="224"/>
      <c r="BX461" s="224">
        <v>0</v>
      </c>
      <c r="BY461" s="224"/>
      <c r="BZ461" s="224"/>
      <c r="CA461" s="224"/>
      <c r="CB461" s="224"/>
      <c r="CC461" s="225">
        <f t="shared" si="1419"/>
        <v>0</v>
      </c>
      <c r="CD461" s="224">
        <f t="shared" si="1420"/>
        <v>0</v>
      </c>
      <c r="CE461" s="224"/>
      <c r="CF461" s="226"/>
      <c r="CG461" s="87"/>
      <c r="CH461" s="87">
        <f t="shared" si="1471"/>
        <v>39</v>
      </c>
      <c r="CI461" s="227" t="str">
        <f t="shared" si="1473"/>
        <v>Trịnh Đình</v>
      </c>
      <c r="CJ461" s="227" t="str">
        <f t="shared" si="1473"/>
        <v>Thâu</v>
      </c>
      <c r="CK461" s="87">
        <f t="shared" ref="CK461:CK472" si="1482">H461</f>
        <v>9</v>
      </c>
      <c r="CL461" s="227" t="str">
        <f t="shared" si="1408"/>
        <v>Tổ chức - Giải phẫu - Phôi thai</v>
      </c>
      <c r="CM461" s="87" t="str">
        <f t="shared" si="1385"/>
        <v>CS4</v>
      </c>
      <c r="CN461" s="87">
        <f t="shared" si="1474"/>
        <v>270</v>
      </c>
      <c r="CO461" s="87">
        <f t="shared" si="1474"/>
        <v>200</v>
      </c>
      <c r="CP461" s="229">
        <f t="shared" ref="CP461:CP524" si="1483">ER461</f>
        <v>0</v>
      </c>
      <c r="CQ461" s="229">
        <f t="shared" ref="CQ461:CQ524" si="1484">ES461</f>
        <v>0</v>
      </c>
      <c r="CR461" s="229">
        <f t="shared" ref="CR461:CR524" si="1485">ET461</f>
        <v>0</v>
      </c>
      <c r="CS461" s="229">
        <f t="shared" ref="CS461:CS524" si="1486">EU461</f>
        <v>0</v>
      </c>
      <c r="CT461" s="229">
        <f t="shared" ref="CT461:CT524" si="1487">EV461</f>
        <v>0</v>
      </c>
      <c r="CU461" s="229">
        <f t="shared" ref="CU461:CU524" si="1488">EW461</f>
        <v>0</v>
      </c>
      <c r="CV461" s="229">
        <f t="shared" ref="CV461:CV524" si="1489">EX461</f>
        <v>0</v>
      </c>
      <c r="CW461" s="229">
        <f t="shared" ref="CW461:CW524" si="1490">EY461</f>
        <v>0</v>
      </c>
      <c r="CX461" s="229">
        <f t="shared" ref="CX461:CX524" si="1491">EZ461</f>
        <v>0</v>
      </c>
      <c r="CY461" s="229">
        <f t="shared" ref="CY461:CY524" si="1492">FA461</f>
        <v>0</v>
      </c>
      <c r="CZ461" s="229">
        <f t="shared" ref="CZ461:CZ524" si="1493">FB461</f>
        <v>0</v>
      </c>
      <c r="DA461" s="229">
        <f t="shared" ref="DA461:DA524" si="1494">FC461</f>
        <v>0</v>
      </c>
      <c r="DB461" s="228">
        <f t="shared" si="1429"/>
        <v>0</v>
      </c>
      <c r="DC461" s="229"/>
      <c r="DD461" s="229"/>
      <c r="DE461" s="229"/>
      <c r="DF461" s="229"/>
      <c r="DG461" s="229"/>
      <c r="DH461" s="229"/>
      <c r="DI461" s="229"/>
      <c r="DJ461" s="229"/>
      <c r="DK461" s="229"/>
      <c r="DL461" s="229"/>
      <c r="DM461" s="229"/>
      <c r="DN461" s="229"/>
      <c r="DO461" s="228">
        <f t="shared" si="1440"/>
        <v>0</v>
      </c>
      <c r="DP461" s="228">
        <f t="shared" si="1441"/>
        <v>0</v>
      </c>
      <c r="DQ461" s="229">
        <f t="shared" ref="DQ461:DQ524" si="1495">FD461</f>
        <v>0</v>
      </c>
      <c r="DR461" s="229">
        <f t="shared" ref="DR461:DR524" si="1496">FE461</f>
        <v>0</v>
      </c>
      <c r="DS461" s="229">
        <f t="shared" ref="DS461:DS524" si="1497">FF461</f>
        <v>0</v>
      </c>
      <c r="DT461" s="229">
        <f t="shared" ref="DT461:DT524" si="1498">FG461</f>
        <v>0</v>
      </c>
      <c r="DU461" s="229">
        <f t="shared" ref="DU461:DU524" si="1499">FI461</f>
        <v>0</v>
      </c>
      <c r="DV461" s="229">
        <f t="shared" ref="DV461:DV524" si="1500">FH461</f>
        <v>0</v>
      </c>
      <c r="DW461" s="229">
        <f t="shared" ref="DW461:DW524" si="1501">FJ461</f>
        <v>0</v>
      </c>
      <c r="DX461" s="228">
        <f t="shared" si="1430"/>
        <v>0</v>
      </c>
      <c r="DY461" s="229"/>
      <c r="DZ461" s="229"/>
      <c r="EA461" s="229"/>
      <c r="EB461" s="229"/>
      <c r="EC461" s="229"/>
      <c r="ED461" s="229"/>
      <c r="EE461" s="229"/>
      <c r="EF461" s="228">
        <f t="shared" si="1480"/>
        <v>0</v>
      </c>
      <c r="EG461" s="228">
        <f t="shared" si="1442"/>
        <v>0</v>
      </c>
      <c r="EH461" s="229">
        <f t="shared" si="1481"/>
        <v>0</v>
      </c>
      <c r="EI461" s="229">
        <v>104.29</v>
      </c>
      <c r="EJ461" s="228">
        <f t="shared" si="1443"/>
        <v>104.29</v>
      </c>
      <c r="EK461" s="229"/>
      <c r="EL461" s="229"/>
      <c r="EM461" s="228">
        <f t="shared" si="1468"/>
        <v>0</v>
      </c>
      <c r="EN461" s="229">
        <f t="shared" si="1423"/>
        <v>0</v>
      </c>
      <c r="EO461" s="229">
        <f t="shared" si="1451"/>
        <v>104.29</v>
      </c>
      <c r="EP461" s="228">
        <f t="shared" si="1461"/>
        <v>104.29</v>
      </c>
      <c r="EQ461" s="173">
        <f t="shared" si="1479"/>
        <v>0</v>
      </c>
      <c r="ER461" s="189">
        <v>0</v>
      </c>
      <c r="ES461" s="189">
        <v>0</v>
      </c>
      <c r="ET461" s="189">
        <v>0</v>
      </c>
      <c r="EU461" s="189">
        <v>0</v>
      </c>
      <c r="EV461" s="189">
        <v>0</v>
      </c>
      <c r="EW461" s="189">
        <v>0</v>
      </c>
      <c r="EX461" s="189">
        <v>0</v>
      </c>
      <c r="EY461" s="189">
        <v>0</v>
      </c>
      <c r="EZ461" s="189">
        <v>0</v>
      </c>
      <c r="FA461" s="189">
        <v>0</v>
      </c>
      <c r="FB461" s="189">
        <v>0</v>
      </c>
      <c r="FC461" s="189">
        <v>0</v>
      </c>
      <c r="FD461" s="189">
        <v>0</v>
      </c>
      <c r="FE461" s="189">
        <v>0</v>
      </c>
      <c r="FF461" s="189">
        <v>0</v>
      </c>
      <c r="FG461" s="189">
        <v>0</v>
      </c>
      <c r="FH461" s="189">
        <v>0</v>
      </c>
      <c r="FI461" s="189">
        <v>0</v>
      </c>
      <c r="FJ461" s="189">
        <v>0</v>
      </c>
      <c r="FK461" s="189">
        <v>0</v>
      </c>
      <c r="FL461" s="189">
        <v>0</v>
      </c>
      <c r="FN461" s="132">
        <v>0</v>
      </c>
    </row>
    <row r="462" spans="1:170" ht="27" customHeight="1">
      <c r="A462" s="88">
        <f>COUNTIF($H$12:H462,H462)</f>
        <v>40</v>
      </c>
      <c r="B462" s="88" t="s">
        <v>2738</v>
      </c>
      <c r="C462" s="88" t="s">
        <v>361</v>
      </c>
      <c r="D462" s="88"/>
      <c r="E462" s="88"/>
      <c r="F462" s="301" t="s">
        <v>2446</v>
      </c>
      <c r="G462" s="89" t="s">
        <v>2301</v>
      </c>
      <c r="H462" s="88">
        <v>9</v>
      </c>
      <c r="I462" s="88"/>
      <c r="J462" s="88">
        <v>9</v>
      </c>
      <c r="K462" s="90"/>
      <c r="L462" s="90" t="s">
        <v>1105</v>
      </c>
      <c r="M462" s="214"/>
      <c r="N462" s="88" t="s">
        <v>605</v>
      </c>
      <c r="O462" s="216">
        <f t="shared" si="1475"/>
        <v>6.56</v>
      </c>
      <c r="P462" s="88" t="str">
        <f>IF(BO462&lt;3.33,"B1_3",IF(AND(BO462&gt;=3.33,BO462&lt;4.65),"B1_4",IF(AND(BO462&gt;=4.65,BO462&lt;5.42),"B1_5",IF(AND(BO462&gt;=5.42,BO462&lt;6.44),"B1_6",IF(AND(BO462&gt;=6.44,BO462&lt;=6.92),"B1_7","B1_8")))))</f>
        <v>B1_7</v>
      </c>
      <c r="Q462" s="88">
        <f>IF(M462&gt;0,VLOOKUP(P462,ma_dinhmuc_moi,2,0)/2,VLOOKUP(P462,ma_dinhmuc_moi,2,0))</f>
        <v>270</v>
      </c>
      <c r="R462" s="88">
        <f>IF(M462&gt;0,VLOOKUP(P462,ma_dinhmuc_moi,3,0)/2,VLOOKUP(P462,ma_dinhmuc_moi,3,0))</f>
        <v>200</v>
      </c>
      <c r="S462" s="218"/>
      <c r="T462" s="219" t="s">
        <v>3088</v>
      </c>
      <c r="U462" s="88">
        <f>IF(RIGHT(T462,1)="K",(VLOOKUP(T462,ma_miengiam!$A$3:$B$80,2,0)*100)/2,VLOOKUP(T462,ma_miengiam!$A$3:$B$80,2,0)*100)</f>
        <v>0</v>
      </c>
      <c r="V462" s="88">
        <v>8</v>
      </c>
      <c r="W462" s="220">
        <f>IF(AND(T462="NTS",V462&gt;0),(Q462-(Q462*V462)/12)*VLOOKUP(T462,ma_miengiam!$A$3:$B$80,2,0)+(Q462-(Q462*(12-V462))/12),IF(AND(RIGHT(T462,1)="K",V462&gt;0),(VLOOKUP(T462,ma_miengiam!$A$3:$B$80,2,0)/2)*(Q462*V462)/12,IF(RIGHT(T462,1)="K",(VLOOKUP(T462,ma_miengiam!$A$3:$B$80,2,0)*Q462)/2,IF(V462&gt;0,VLOOKUP(T462,ma_miengiam!$A$3:$B$80,2,0)*Q462*V462/12,VLOOKUP(T462,ma_miengiam!$A$3:$B$80,2,0)*Q462))))</f>
        <v>0</v>
      </c>
      <c r="X462" s="220">
        <f>IF(T462="NTS",VLOOKUP(T462,ma_miengiam!$A$3:$B$80,2,0)*R462*V462,IF(AND(T462="NTS",V462=0),0,IF(AND(LEFT(T462,1)="K",V462=0),VLOOKUP(T462,ma_miengiam!$A$3:$B$80,2,0)*R462,IF(LEFT(T462,1)="K",(VLOOKUP(T462,ma_miengiam!$A$3:$B$80,2,0)*R462/12)*V462,IF(AND(LEFT(T462,1)="S",V462&gt;0),(R462/12)*V462,IF(AND(LEFT(T462,1)="S",V462=0),R462,IF(T462="DH",VLOOKUP(T462,ma_miengiam!$A$3:$B$80,2,0)*R462,0)))))))</f>
        <v>0</v>
      </c>
      <c r="Y462" s="220">
        <f>IF(AND(T462="DH",V462&gt;0),(S462*V462/12),IF(AND(T462&lt;&gt;"NTS",V462&gt;0),(Q462*V462/12)-W462,IF(AND(T462="NTS",V462&gt;0),Q462-W462,Q462-W462)))</f>
        <v>180</v>
      </c>
      <c r="Z462" s="220">
        <f>IF(AND(T462="SĐH",V462&gt;0),(R462/12)*V462-X462,IF(AND(T462="DH",V462&gt;0),(R462*V462/12),IF(AND(T462&lt;&gt;"NTS",V462&gt;0),(R462*V462/12)-X462,IF(AND(T462="NTS",V462&gt;0),R462-X462,R462-X462))))</f>
        <v>133.33333333333334</v>
      </c>
      <c r="AA462" s="220"/>
      <c r="AB462" s="220"/>
      <c r="AC462" s="220"/>
      <c r="AD462" s="220"/>
      <c r="AE462" s="220"/>
      <c r="AF462" s="220"/>
      <c r="AG462" s="220"/>
      <c r="AH462" s="220"/>
      <c r="AI462" s="220"/>
      <c r="AJ462" s="220"/>
      <c r="AK462" s="216"/>
      <c r="AL462" s="220"/>
      <c r="AM462" s="220"/>
      <c r="AN462" s="221"/>
      <c r="AO462" s="220"/>
      <c r="AP462" s="220"/>
      <c r="AQ462" s="220"/>
      <c r="AR462" s="220"/>
      <c r="AS462" s="220"/>
      <c r="AT462" s="216"/>
      <c r="AU462" s="222"/>
      <c r="AV462" s="220"/>
      <c r="AW462" s="220"/>
      <c r="AX462" s="216"/>
      <c r="AY462" s="220"/>
      <c r="AZ462" s="220"/>
      <c r="BA462" s="220"/>
      <c r="BB462" s="220"/>
      <c r="BC462" s="220"/>
      <c r="BD462" s="216"/>
      <c r="BE462" s="220"/>
      <c r="BF462" s="220"/>
      <c r="BG462" s="220"/>
      <c r="BH462" s="220"/>
      <c r="BI462" s="220"/>
      <c r="BJ462" s="220" t="s">
        <v>1794</v>
      </c>
      <c r="BK462" s="220"/>
      <c r="BL462" s="223">
        <f>IF(AW462&lt;BK462,0,IF(AND(BK462=0,AW462&gt;0),AW462,IF(AW462&lt;0,0,IF(BK462&gt;0,AW462-BK462,IF(BK462&lt;0,0,AW462)))))</f>
        <v>0</v>
      </c>
      <c r="BM462" s="220">
        <v>6.56</v>
      </c>
      <c r="BN462" s="220"/>
      <c r="BO462" s="220">
        <f t="shared" si="1476"/>
        <v>6.56</v>
      </c>
      <c r="BP462" s="220">
        <f>IF(AND(BL462&gt;0,BL462&lt;tiet!$D$1),BL462,IF(BL462&lt;=0,0,IF(BL462&gt;tiet!$C$1,tiet!$C$1)))</f>
        <v>0</v>
      </c>
      <c r="BQ462" s="87">
        <f>VLOOKUP(P462,ma_dinhmuc_moi,4,0)</f>
        <v>80000</v>
      </c>
      <c r="BR462" s="224">
        <f>ROUND(BQ462*BP462,0)</f>
        <v>0</v>
      </c>
      <c r="BS462" s="220">
        <f t="shared" si="1478"/>
        <v>0</v>
      </c>
      <c r="BT462" s="224">
        <f>VLOOKUP(N462,ma_dinhmuc!$A$1:$J$31,10,0)</f>
        <v>65000</v>
      </c>
      <c r="BU462" s="224">
        <f>ROUND(IF(BS462&gt;0,VLOOKUP(N462,ma_dinhmuc!$A$1:$J$31,10,0)*BS462,0),0)</f>
        <v>0</v>
      </c>
      <c r="BV462" s="224">
        <f>ROUND(BU462+BR462,0)</f>
        <v>0</v>
      </c>
      <c r="BW462" s="224"/>
      <c r="BX462" s="224">
        <v>0</v>
      </c>
      <c r="BY462" s="224"/>
      <c r="BZ462" s="224"/>
      <c r="CA462" s="224"/>
      <c r="CB462" s="224"/>
      <c r="CC462" s="225">
        <f>ROUND(IF(BV462+BW462&gt;BX462+BY462+BZ462+CA462+CB462,(BW462+BV462)-(BX462+BY462+BZ462+CA462+CB462+CB462),0),0)</f>
        <v>0</v>
      </c>
      <c r="CD462" s="224">
        <f>ROUND(IF(BV462+BW462&lt;BX462+BY462+BZ462+CA462-CB462,(BX462+BY462+BZ462+CA462-CB462)-(BW462+BV462),0),0)</f>
        <v>0</v>
      </c>
      <c r="CE462" s="224"/>
      <c r="CF462" s="226"/>
      <c r="CG462" s="87"/>
      <c r="CH462" s="87">
        <f>A462</f>
        <v>40</v>
      </c>
      <c r="CI462" s="227" t="str">
        <f t="shared" ref="CI462:CK463" si="1502">F462</f>
        <v>Trịnh Đình</v>
      </c>
      <c r="CJ462" s="227" t="str">
        <f t="shared" si="1502"/>
        <v>Thâu</v>
      </c>
      <c r="CK462" s="87">
        <f t="shared" si="1502"/>
        <v>9</v>
      </c>
      <c r="CL462" s="227" t="str">
        <f>L462</f>
        <v>Tổ chức - Giải phẫu - Phôi thai</v>
      </c>
      <c r="CM462" s="87" t="str">
        <f>N462</f>
        <v>CS4</v>
      </c>
      <c r="CN462" s="87">
        <f>Q462</f>
        <v>270</v>
      </c>
      <c r="CO462" s="87">
        <f>R462</f>
        <v>200</v>
      </c>
      <c r="CP462" s="229">
        <f t="shared" si="1483"/>
        <v>0</v>
      </c>
      <c r="CQ462" s="229">
        <f t="shared" si="1484"/>
        <v>0</v>
      </c>
      <c r="CR462" s="229">
        <f t="shared" si="1485"/>
        <v>0</v>
      </c>
      <c r="CS462" s="229">
        <f t="shared" si="1486"/>
        <v>0</v>
      </c>
      <c r="CT462" s="229">
        <f t="shared" si="1487"/>
        <v>0</v>
      </c>
      <c r="CU462" s="229">
        <f t="shared" si="1488"/>
        <v>0</v>
      </c>
      <c r="CV462" s="229">
        <f t="shared" si="1489"/>
        <v>0</v>
      </c>
      <c r="CW462" s="229">
        <f t="shared" si="1490"/>
        <v>0</v>
      </c>
      <c r="CX462" s="229">
        <f t="shared" si="1491"/>
        <v>0</v>
      </c>
      <c r="CY462" s="229">
        <f t="shared" si="1492"/>
        <v>0</v>
      </c>
      <c r="CZ462" s="229">
        <f t="shared" si="1493"/>
        <v>0</v>
      </c>
      <c r="DA462" s="229">
        <f t="shared" si="1494"/>
        <v>0</v>
      </c>
      <c r="DB462" s="228">
        <f>SUM(CP462:DA462)</f>
        <v>0</v>
      </c>
      <c r="DC462" s="229"/>
      <c r="DD462" s="229"/>
      <c r="DE462" s="229"/>
      <c r="DF462" s="229"/>
      <c r="DG462" s="229"/>
      <c r="DH462" s="229"/>
      <c r="DI462" s="229"/>
      <c r="DJ462" s="229"/>
      <c r="DK462" s="229"/>
      <c r="DL462" s="229"/>
      <c r="DM462" s="229"/>
      <c r="DN462" s="229"/>
      <c r="DO462" s="228">
        <f>SUM(DC462:DN462)</f>
        <v>0</v>
      </c>
      <c r="DP462" s="228">
        <f>DO462+DB462</f>
        <v>0</v>
      </c>
      <c r="DQ462" s="229">
        <f t="shared" si="1495"/>
        <v>0</v>
      </c>
      <c r="DR462" s="229">
        <f t="shared" si="1496"/>
        <v>0</v>
      </c>
      <c r="DS462" s="229">
        <f t="shared" si="1497"/>
        <v>0</v>
      </c>
      <c r="DT462" s="229">
        <f t="shared" si="1498"/>
        <v>0</v>
      </c>
      <c r="DU462" s="229">
        <f t="shared" si="1499"/>
        <v>0</v>
      </c>
      <c r="DV462" s="229">
        <f t="shared" si="1500"/>
        <v>0</v>
      </c>
      <c r="DW462" s="229">
        <f t="shared" si="1501"/>
        <v>0</v>
      </c>
      <c r="DX462" s="228">
        <f>SUM(DQ462:DW462)</f>
        <v>0</v>
      </c>
      <c r="DY462" s="229"/>
      <c r="DZ462" s="229"/>
      <c r="EA462" s="229"/>
      <c r="EB462" s="229"/>
      <c r="EC462" s="229"/>
      <c r="ED462" s="229"/>
      <c r="EE462" s="229"/>
      <c r="EF462" s="228">
        <f t="shared" si="1480"/>
        <v>0</v>
      </c>
      <c r="EG462" s="228">
        <f>EF462+DX462</f>
        <v>0</v>
      </c>
      <c r="EH462" s="229">
        <f t="shared" si="1481"/>
        <v>0</v>
      </c>
      <c r="EI462" s="229">
        <v>104.29</v>
      </c>
      <c r="EJ462" s="228">
        <f>SUM(EH462:EI462)</f>
        <v>104.29</v>
      </c>
      <c r="EK462" s="229"/>
      <c r="EL462" s="229"/>
      <c r="EM462" s="228">
        <f t="shared" si="1468"/>
        <v>0</v>
      </c>
      <c r="EN462" s="229">
        <f>EK462+EH462+EL462</f>
        <v>0</v>
      </c>
      <c r="EO462" s="229">
        <f>EI462</f>
        <v>104.29</v>
      </c>
      <c r="EP462" s="228">
        <f>EM462+EJ462</f>
        <v>104.29</v>
      </c>
      <c r="EQ462" s="173">
        <f t="shared" si="1479"/>
        <v>0</v>
      </c>
      <c r="ER462" s="189">
        <v>0</v>
      </c>
      <c r="ES462" s="189">
        <v>0</v>
      </c>
      <c r="ET462" s="189">
        <v>0</v>
      </c>
      <c r="EU462" s="189">
        <v>0</v>
      </c>
      <c r="EV462" s="189">
        <v>0</v>
      </c>
      <c r="EW462" s="189">
        <v>0</v>
      </c>
      <c r="EX462" s="189">
        <v>0</v>
      </c>
      <c r="EY462" s="189">
        <v>0</v>
      </c>
      <c r="EZ462" s="189">
        <v>0</v>
      </c>
      <c r="FA462" s="189">
        <v>0</v>
      </c>
      <c r="FB462" s="189">
        <v>0</v>
      </c>
      <c r="FC462" s="189">
        <v>0</v>
      </c>
      <c r="FD462" s="189">
        <v>0</v>
      </c>
      <c r="FE462" s="189">
        <v>0</v>
      </c>
      <c r="FF462" s="189">
        <v>0</v>
      </c>
      <c r="FG462" s="189">
        <v>0</v>
      </c>
      <c r="FH462" s="189">
        <v>0</v>
      </c>
      <c r="FI462" s="189">
        <v>0</v>
      </c>
      <c r="FJ462" s="189">
        <v>0</v>
      </c>
      <c r="FK462" s="189">
        <v>0</v>
      </c>
      <c r="FL462" s="189">
        <v>0</v>
      </c>
      <c r="FN462" s="132">
        <v>0</v>
      </c>
    </row>
    <row r="463" spans="1:170" ht="27" customHeight="1">
      <c r="A463" s="88">
        <f>COUNTIF($H$12:H463,H463)</f>
        <v>41</v>
      </c>
      <c r="B463" s="88" t="s">
        <v>2738</v>
      </c>
      <c r="C463" s="88" t="s">
        <v>361</v>
      </c>
      <c r="D463" s="88"/>
      <c r="E463" s="88"/>
      <c r="F463" s="301" t="s">
        <v>2446</v>
      </c>
      <c r="G463" s="89" t="s">
        <v>2301</v>
      </c>
      <c r="H463" s="88">
        <v>9</v>
      </c>
      <c r="I463" s="88">
        <v>9</v>
      </c>
      <c r="J463" s="88">
        <v>9</v>
      </c>
      <c r="K463" s="90" t="s">
        <v>1105</v>
      </c>
      <c r="L463" s="90" t="s">
        <v>1105</v>
      </c>
      <c r="M463" s="214"/>
      <c r="N463" s="88" t="s">
        <v>605</v>
      </c>
      <c r="O463" s="216">
        <f t="shared" si="1475"/>
        <v>6.56</v>
      </c>
      <c r="P463" s="88" t="str">
        <f>IF(BO463&lt;3.33,"B1_3",IF(AND(BO463&gt;=3.33,BO463&lt;4.65),"B1_4",IF(AND(BO463&gt;=4.65,BO463&lt;5.42),"B1_5",IF(AND(BO463&gt;=5.42,BO463&lt;6.44),"B1_6",IF(AND(BO463&gt;=6.44,BO463&lt;=6.92),"B1_7","B1_8")))))</f>
        <v>B1_7</v>
      </c>
      <c r="Q463" s="88">
        <f>IF(M463&gt;0,VLOOKUP(P463,ma_dinhmuc_moi,2,0)/2,VLOOKUP(P463,ma_dinhmuc_moi,2,0))</f>
        <v>270</v>
      </c>
      <c r="R463" s="88">
        <f>IF(M463&gt;0,VLOOKUP(P463,ma_dinhmuc_moi,3,0)/2,VLOOKUP(P463,ma_dinhmuc_moi,3,0))</f>
        <v>200</v>
      </c>
      <c r="S463" s="218"/>
      <c r="T463" s="219" t="s">
        <v>3088</v>
      </c>
      <c r="U463" s="88">
        <f>IF(RIGHT(T463,1)="K",(VLOOKUP(T463,ma_miengiam!$A$3:$B$80,2,0)*100)/2,VLOOKUP(T463,ma_miengiam!$A$3:$B$80,2,0)*100)</f>
        <v>0</v>
      </c>
      <c r="V463" s="88"/>
      <c r="W463" s="220">
        <f>W462+W461</f>
        <v>13.5</v>
      </c>
      <c r="X463" s="220">
        <f>X462+X461</f>
        <v>0</v>
      </c>
      <c r="Y463" s="220">
        <f>Y462+Y461</f>
        <v>256.5</v>
      </c>
      <c r="Z463" s="220">
        <f>Z462+Z461</f>
        <v>200</v>
      </c>
      <c r="AA463" s="220">
        <f>Q463</f>
        <v>270</v>
      </c>
      <c r="AB463" s="220">
        <f>R463</f>
        <v>200</v>
      </c>
      <c r="AC463" s="220">
        <f>W463</f>
        <v>13.5</v>
      </c>
      <c r="AD463" s="220">
        <f>X463</f>
        <v>0</v>
      </c>
      <c r="AE463" s="220">
        <f>Y463</f>
        <v>256.5</v>
      </c>
      <c r="AF463" s="220">
        <f>Z463</f>
        <v>200</v>
      </c>
      <c r="AG463" s="220">
        <f>AH463+AI463</f>
        <v>178.25</v>
      </c>
      <c r="AH463" s="220">
        <f>EO463</f>
        <v>104.29</v>
      </c>
      <c r="AI463" s="220">
        <f>EN463</f>
        <v>73.959999999999994</v>
      </c>
      <c r="AJ463" s="220">
        <f>IF(AG463-Z463&gt;0,0,AG463-Z463)</f>
        <v>-21.75</v>
      </c>
      <c r="AK463" s="216">
        <f>IF(AJ463&gt;=0,Y463,Y463-AJ463)</f>
        <v>278.25</v>
      </c>
      <c r="AL463" s="220">
        <f>SUM(CP463:CX463)+SUM(DC463:DK463)</f>
        <v>243.7</v>
      </c>
      <c r="AM463" s="220">
        <f>SUM(DQ463:DU463)+SUM(DY463:EC463)</f>
        <v>19.299999999999997</v>
      </c>
      <c r="AN463" s="221">
        <f>AM463+AL463</f>
        <v>263</v>
      </c>
      <c r="AO463" s="220">
        <f>CY463+DL463</f>
        <v>0</v>
      </c>
      <c r="AP463" s="220">
        <f>CZ463+DM463</f>
        <v>0</v>
      </c>
      <c r="AQ463" s="220">
        <f>DA463+DN463</f>
        <v>240</v>
      </c>
      <c r="AR463" s="220">
        <f>DV463+ED463</f>
        <v>40</v>
      </c>
      <c r="AS463" s="220">
        <f>DW463+EE463</f>
        <v>0</v>
      </c>
      <c r="AT463" s="216">
        <f>AN463+SUM(AO463:AS463)</f>
        <v>543</v>
      </c>
      <c r="AU463" s="222">
        <f>AN463-AK463</f>
        <v>-15.25</v>
      </c>
      <c r="AV463" s="220"/>
      <c r="AW463" s="220">
        <f>IF(AU463&gt;0,AU463,AV463+AU463)</f>
        <v>-15.25</v>
      </c>
      <c r="AX463" s="216">
        <f>IF(AN463&gt;AK463,0,IF(AW463&lt;0,AN463-AK463+AV463,IF(AW463&gt;=0,0)))</f>
        <v>-15.25</v>
      </c>
      <c r="AY463" s="220">
        <f>IF(AN463&gt;=AK463,AO463,IF(AN463+AO463-AK463&gt;=0,AN463+AO463-AK463,0))</f>
        <v>0</v>
      </c>
      <c r="AZ463" s="220">
        <f>IF(OR(AN463&gt;=AK463,AN463+AO463&gt;=AK463),AP463,IF(AN463+AO463+AP463&gt;AK463,AN463+AO463+AP463-AK463,0))</f>
        <v>0</v>
      </c>
      <c r="BA463" s="220">
        <f>IF(OR(AN463&gt;=AK463,AN463+AO463&gt;=AK463,AN463+AO463+AP463&gt;=AK463),AQ463,IF(AN463+AO463+AP463+AQ463&gt;=AK463,AN463+AO463+AP463+AQ463-AK463,0))</f>
        <v>224.75</v>
      </c>
      <c r="BB463" s="220">
        <f>IF(OR(AN463&gt;=AK463,AN463+AO463&gt;=AK463,AN463+AO463+AP463&gt;=AK463,AN463+AO463+AP463+AQ463&gt;=AK463),AR463,IF(AN463+AO463+AP463+AQ463+AR463&gt;=AK463,AN463+AO463+AP463+AQ463+AR463-AK463,0))</f>
        <v>40</v>
      </c>
      <c r="BC463" s="220">
        <f>IF(OR(AN463&gt;=AK463,AN463+AO463&gt;=AK463,AN463+AO463+AP463&gt;=AK463,AN463+AO463+AP463+AQ463&gt;=AK463,AN463+AO463+AP463+AQ463+AR463&gt;=AK463),AS463,IF(AN463+AO463+AP463+AQ463+AR463+AS463&gt;=AK463,AN463+AO463+AP463+AQ463+AR463+AS463-AK463,0))</f>
        <v>0</v>
      </c>
      <c r="BD463" s="216">
        <f>SUM(AY463:BC463)</f>
        <v>264.75</v>
      </c>
      <c r="BE463" s="220">
        <f>AY463-AO463</f>
        <v>0</v>
      </c>
      <c r="BF463" s="220">
        <f>AZ463-AP463</f>
        <v>0</v>
      </c>
      <c r="BG463" s="220">
        <f>BA463-AQ463</f>
        <v>-15.25</v>
      </c>
      <c r="BH463" s="220">
        <f>BB463-AR463</f>
        <v>0</v>
      </c>
      <c r="BI463" s="220">
        <f>BC463-AS463</f>
        <v>0</v>
      </c>
      <c r="BJ463" s="220" t="s">
        <v>1794</v>
      </c>
      <c r="BK463" s="220"/>
      <c r="BL463" s="223">
        <f>IF(AW463&lt;BK463,0,IF(AND(BK463=0,AW463&gt;0),AW463,IF(AW463&lt;0,0,IF(BK463&gt;0,AW463-BK463,IF(BK463&lt;0,0,AW463)))))</f>
        <v>0</v>
      </c>
      <c r="BM463" s="220">
        <v>6.56</v>
      </c>
      <c r="BN463" s="220"/>
      <c r="BO463" s="220">
        <f t="shared" si="1476"/>
        <v>6.56</v>
      </c>
      <c r="BP463" s="220">
        <f>IF(AND(BL463&gt;0,BL463&lt;tiet!$D$1),BL463,IF(BL463&lt;=0,0,IF(BL463&gt;tiet!$C$1,tiet!$C$1)))</f>
        <v>0</v>
      </c>
      <c r="BQ463" s="87">
        <f>VLOOKUP(P463,ma_dinhmuc_moi,4,0)</f>
        <v>80000</v>
      </c>
      <c r="BR463" s="224">
        <f>ROUND(BQ463*BP463,0)</f>
        <v>0</v>
      </c>
      <c r="BS463" s="220">
        <f t="shared" si="1478"/>
        <v>0</v>
      </c>
      <c r="BT463" s="224">
        <f>VLOOKUP(N463,ma_dinhmuc!$A$1:$J$31,10,0)</f>
        <v>65000</v>
      </c>
      <c r="BU463" s="224">
        <f>ROUND(IF(BS463&gt;0,VLOOKUP(N463,ma_dinhmuc!$A$1:$J$31,10,0)*BS463,0),0)</f>
        <v>0</v>
      </c>
      <c r="BV463" s="224">
        <f>ROUND(BU463+BR463,0)</f>
        <v>0</v>
      </c>
      <c r="BW463" s="224"/>
      <c r="BX463" s="224">
        <v>0</v>
      </c>
      <c r="BY463" s="224"/>
      <c r="BZ463" s="224"/>
      <c r="CA463" s="224"/>
      <c r="CB463" s="224"/>
      <c r="CC463" s="225">
        <f>ROUND(IF(BV463+BW463&gt;BX463+BY463+BZ463+CA463+CB463,(BW463+BV463)-(BX463+BY463+BZ463+CA463+CB463+CB463),0),0)</f>
        <v>0</v>
      </c>
      <c r="CD463" s="224">
        <f>ROUND(IF(BV463+BW463&lt;BX463+BY463+BZ463+CA463-CB463,(BX463+BY463+BZ463+CA463-CB463)-(BW463+BV463),0),0)</f>
        <v>0</v>
      </c>
      <c r="CE463" s="224"/>
      <c r="CF463" s="226"/>
      <c r="CG463" s="87"/>
      <c r="CH463" s="87">
        <f>A463</f>
        <v>41</v>
      </c>
      <c r="CI463" s="227" t="str">
        <f t="shared" si="1502"/>
        <v>Trịnh Đình</v>
      </c>
      <c r="CJ463" s="227" t="str">
        <f t="shared" si="1502"/>
        <v>Thâu</v>
      </c>
      <c r="CK463" s="87">
        <f t="shared" si="1502"/>
        <v>9</v>
      </c>
      <c r="CL463" s="227" t="str">
        <f>L463</f>
        <v>Tổ chức - Giải phẫu - Phôi thai</v>
      </c>
      <c r="CM463" s="87" t="str">
        <f>N463</f>
        <v>CS4</v>
      </c>
      <c r="CN463" s="87">
        <f>Q463</f>
        <v>270</v>
      </c>
      <c r="CO463" s="87">
        <f>R463</f>
        <v>200</v>
      </c>
      <c r="CP463" s="229">
        <f t="shared" si="1483"/>
        <v>0</v>
      </c>
      <c r="CQ463" s="229">
        <f t="shared" si="1484"/>
        <v>15.7</v>
      </c>
      <c r="CR463" s="229">
        <f t="shared" si="1485"/>
        <v>6.3</v>
      </c>
      <c r="CS463" s="229">
        <f t="shared" si="1486"/>
        <v>0</v>
      </c>
      <c r="CT463" s="229">
        <f t="shared" si="1487"/>
        <v>0</v>
      </c>
      <c r="CU463" s="229">
        <f t="shared" si="1488"/>
        <v>61.7</v>
      </c>
      <c r="CV463" s="229">
        <f t="shared" si="1489"/>
        <v>0</v>
      </c>
      <c r="CW463" s="229">
        <f t="shared" si="1490"/>
        <v>160</v>
      </c>
      <c r="CX463" s="229">
        <f t="shared" si="1491"/>
        <v>0</v>
      </c>
      <c r="CY463" s="229">
        <f t="shared" si="1492"/>
        <v>0</v>
      </c>
      <c r="CZ463" s="229">
        <f t="shared" si="1493"/>
        <v>0</v>
      </c>
      <c r="DA463" s="229">
        <f t="shared" si="1494"/>
        <v>240</v>
      </c>
      <c r="DB463" s="228">
        <f>SUM(CP463:DA463)</f>
        <v>483.7</v>
      </c>
      <c r="DC463" s="229"/>
      <c r="DD463" s="229"/>
      <c r="DE463" s="229"/>
      <c r="DF463" s="229"/>
      <c r="DG463" s="229"/>
      <c r="DH463" s="229"/>
      <c r="DI463" s="229"/>
      <c r="DJ463" s="229"/>
      <c r="DK463" s="229"/>
      <c r="DL463" s="229"/>
      <c r="DM463" s="229"/>
      <c r="DN463" s="229"/>
      <c r="DO463" s="228">
        <f>SUM(DC463:DN463)</f>
        <v>0</v>
      </c>
      <c r="DP463" s="228">
        <f>DO463+DB463</f>
        <v>483.7</v>
      </c>
      <c r="DQ463" s="229">
        <f t="shared" si="1495"/>
        <v>18</v>
      </c>
      <c r="DR463" s="229">
        <f t="shared" si="1496"/>
        <v>0.9</v>
      </c>
      <c r="DS463" s="229">
        <f t="shared" si="1497"/>
        <v>0</v>
      </c>
      <c r="DT463" s="229">
        <f t="shared" si="1498"/>
        <v>0.4</v>
      </c>
      <c r="DU463" s="229">
        <f t="shared" si="1499"/>
        <v>0</v>
      </c>
      <c r="DV463" s="229">
        <f t="shared" si="1500"/>
        <v>40</v>
      </c>
      <c r="DW463" s="229">
        <f t="shared" si="1501"/>
        <v>0</v>
      </c>
      <c r="DX463" s="228">
        <f>SUM(DQ463:DW463)</f>
        <v>59.3</v>
      </c>
      <c r="DY463" s="229"/>
      <c r="DZ463" s="229"/>
      <c r="EA463" s="229"/>
      <c r="EB463" s="229"/>
      <c r="EC463" s="229"/>
      <c r="ED463" s="229"/>
      <c r="EE463" s="229"/>
      <c r="EF463" s="228">
        <f t="shared" si="1480"/>
        <v>0</v>
      </c>
      <c r="EG463" s="228">
        <f>EF463+DX463</f>
        <v>59.3</v>
      </c>
      <c r="EH463" s="229">
        <f t="shared" si="1481"/>
        <v>73.959999999999994</v>
      </c>
      <c r="EI463" s="229">
        <v>104.29</v>
      </c>
      <c r="EJ463" s="228">
        <f>SUM(EH463:EI463)</f>
        <v>178.25</v>
      </c>
      <c r="EK463" s="229"/>
      <c r="EL463" s="229"/>
      <c r="EM463" s="228">
        <f t="shared" si="1468"/>
        <v>0</v>
      </c>
      <c r="EN463" s="229">
        <f>EK463+EH463+EL463</f>
        <v>73.959999999999994</v>
      </c>
      <c r="EO463" s="229">
        <f>EI463</f>
        <v>104.29</v>
      </c>
      <c r="EP463" s="228">
        <f>EM463+EJ463</f>
        <v>178.25</v>
      </c>
      <c r="EQ463" s="173">
        <f t="shared" si="1479"/>
        <v>0</v>
      </c>
      <c r="ER463" s="189">
        <v>0</v>
      </c>
      <c r="ES463" s="189">
        <v>15.7</v>
      </c>
      <c r="ET463" s="189">
        <v>6.3</v>
      </c>
      <c r="EU463" s="189">
        <v>0</v>
      </c>
      <c r="EV463" s="189">
        <v>0</v>
      </c>
      <c r="EW463" s="189">
        <v>61.7</v>
      </c>
      <c r="EX463" s="189">
        <v>0</v>
      </c>
      <c r="EY463" s="189">
        <v>160</v>
      </c>
      <c r="EZ463" s="189">
        <v>0</v>
      </c>
      <c r="FA463" s="189">
        <v>0</v>
      </c>
      <c r="FB463" s="189">
        <v>0</v>
      </c>
      <c r="FC463" s="189">
        <v>240</v>
      </c>
      <c r="FD463" s="189">
        <v>18</v>
      </c>
      <c r="FE463" s="189">
        <v>0.9</v>
      </c>
      <c r="FF463" s="189">
        <v>0</v>
      </c>
      <c r="FG463" s="189">
        <v>0.4</v>
      </c>
      <c r="FH463" s="189">
        <v>40</v>
      </c>
      <c r="FI463" s="189">
        <v>0</v>
      </c>
      <c r="FJ463" s="189">
        <v>0</v>
      </c>
      <c r="FK463" s="189">
        <v>543</v>
      </c>
      <c r="FL463" s="189">
        <v>491</v>
      </c>
      <c r="FN463" s="132">
        <v>73.959999999999994</v>
      </c>
    </row>
    <row r="464" spans="1:170" ht="30" customHeight="1">
      <c r="A464" s="88">
        <f>COUNTIF($H$12:H464,H464)</f>
        <v>42</v>
      </c>
      <c r="B464" s="88" t="s">
        <v>2739</v>
      </c>
      <c r="C464" s="88" t="s">
        <v>362</v>
      </c>
      <c r="D464" s="88"/>
      <c r="E464" s="88"/>
      <c r="F464" s="301" t="s">
        <v>2810</v>
      </c>
      <c r="G464" s="303" t="s">
        <v>3080</v>
      </c>
      <c r="H464" s="88">
        <v>9</v>
      </c>
      <c r="I464" s="88">
        <v>9</v>
      </c>
      <c r="J464" s="88">
        <v>9</v>
      </c>
      <c r="K464" s="90" t="s">
        <v>1105</v>
      </c>
      <c r="L464" s="90" t="s">
        <v>1105</v>
      </c>
      <c r="M464" s="214"/>
      <c r="N464" s="88" t="s">
        <v>1804</v>
      </c>
      <c r="O464" s="216">
        <f t="shared" ref="O464:O480" si="1503">BO464</f>
        <v>3</v>
      </c>
      <c r="P464" s="88" t="str">
        <f t="shared" si="1333"/>
        <v>B1_3</v>
      </c>
      <c r="Q464" s="88">
        <f t="shared" si="1369"/>
        <v>270</v>
      </c>
      <c r="R464" s="88">
        <f t="shared" si="1370"/>
        <v>100</v>
      </c>
      <c r="S464" s="218"/>
      <c r="T464" s="88" t="s">
        <v>3088</v>
      </c>
      <c r="U464" s="88">
        <f>IF(RIGHT(T464,1)="K",(VLOOKUP(T464,ma_miengiam!$A$3:$B$80,2,0)*100)/2,VLOOKUP(T464,ma_miengiam!$A$3:$B$80,2,0)*100)</f>
        <v>0</v>
      </c>
      <c r="V464" s="88"/>
      <c r="W464" s="220">
        <f>IF(AND(T464="NTS",V464&gt;0),(Q464-(Q464*V464)/12)*VLOOKUP(T464,ma_miengiam!$A$3:$B$80,2,0)+(Q464-(Q464*(12-V464))/12),IF(AND(RIGHT(T464,1)="K",V464&gt;0),(VLOOKUP(T464,ma_miengiam!$A$3:$B$80,2,0)/2)*(Q464*V464)/12,IF(RIGHT(T464,1)="K",(VLOOKUP(T464,ma_miengiam!$A$3:$B$80,2,0)*Q464)/2,IF(V464&gt;0,VLOOKUP(T464,ma_miengiam!$A$3:$B$80,2,0)*Q464*V464/12,VLOOKUP(T464,ma_miengiam!$A$3:$B$80,2,0)*Q464))))</f>
        <v>0</v>
      </c>
      <c r="X464" s="220">
        <f>IF(T464="NTS",VLOOKUP(T464,ma_miengiam!$A$3:$B$80,2,0)*R464*V464,IF(AND(T464="NTS",V464=0),0,IF(AND(LEFT(T464,1)="K",V464=0),VLOOKUP(T464,ma_miengiam!$A$3:$B$80,2,0)*R464,IF(LEFT(T464,1)="K",(VLOOKUP(T464,ma_miengiam!$A$3:$B$80,2,0)*R464/12)*V464,IF(AND(LEFT(T464,1)="S",V464&gt;0),(R464/12)*V464,IF(AND(LEFT(T464,1)="S",V464=0),R464,IF(T464="DH",VLOOKUP(T464,ma_miengiam!$A$3:$B$80,2,0)*R464,0)))))))</f>
        <v>0</v>
      </c>
      <c r="Y464" s="220">
        <f t="shared" si="1344"/>
        <v>270</v>
      </c>
      <c r="Z464" s="220">
        <f t="shared" si="1457"/>
        <v>100</v>
      </c>
      <c r="AA464" s="220">
        <f t="shared" ref="AA464:AA472" si="1504">Q464</f>
        <v>270</v>
      </c>
      <c r="AB464" s="220">
        <f t="shared" ref="AB464:AB472" si="1505">R464</f>
        <v>100</v>
      </c>
      <c r="AC464" s="220">
        <f t="shared" ref="AC464:AC472" si="1506">W464</f>
        <v>0</v>
      </c>
      <c r="AD464" s="220">
        <f t="shared" ref="AD464:AD472" si="1507">X464</f>
        <v>0</v>
      </c>
      <c r="AE464" s="220">
        <f t="shared" ref="AE464:AE472" si="1508">Y464</f>
        <v>270</v>
      </c>
      <c r="AF464" s="220">
        <f t="shared" ref="AF464:AF472" si="1509">Z464</f>
        <v>100</v>
      </c>
      <c r="AG464" s="220">
        <f t="shared" ref="AG464:AG472" si="1510">AH464+AI464</f>
        <v>0</v>
      </c>
      <c r="AH464" s="220">
        <f t="shared" ref="AH464:AH472" si="1511">EO464</f>
        <v>0</v>
      </c>
      <c r="AI464" s="220">
        <f t="shared" ref="AI464:AI472" si="1512">EN464</f>
        <v>0</v>
      </c>
      <c r="AJ464" s="220">
        <f t="shared" si="1396"/>
        <v>-100</v>
      </c>
      <c r="AK464" s="216">
        <f t="shared" si="1454"/>
        <v>370</v>
      </c>
      <c r="AL464" s="220">
        <f t="shared" si="1431"/>
        <v>525</v>
      </c>
      <c r="AM464" s="220">
        <f t="shared" si="1432"/>
        <v>0</v>
      </c>
      <c r="AN464" s="221">
        <f t="shared" si="1433"/>
        <v>525</v>
      </c>
      <c r="AO464" s="220">
        <f t="shared" si="1434"/>
        <v>0</v>
      </c>
      <c r="AP464" s="220">
        <f t="shared" si="1435"/>
        <v>0</v>
      </c>
      <c r="AQ464" s="220">
        <f t="shared" si="1436"/>
        <v>140</v>
      </c>
      <c r="AR464" s="220">
        <f t="shared" si="1437"/>
        <v>0</v>
      </c>
      <c r="AS464" s="220">
        <f t="shared" si="1438"/>
        <v>0</v>
      </c>
      <c r="AT464" s="216">
        <f t="shared" si="1439"/>
        <v>665</v>
      </c>
      <c r="AU464" s="222">
        <f t="shared" si="1447"/>
        <v>155</v>
      </c>
      <c r="AV464" s="220"/>
      <c r="AW464" s="220">
        <f t="shared" si="1379"/>
        <v>155</v>
      </c>
      <c r="AX464" s="216">
        <f t="shared" si="1448"/>
        <v>0</v>
      </c>
      <c r="AY464" s="220">
        <f t="shared" si="1386"/>
        <v>0</v>
      </c>
      <c r="AZ464" s="220">
        <f t="shared" si="1387"/>
        <v>0</v>
      </c>
      <c r="BA464" s="220">
        <f t="shared" si="1388"/>
        <v>140</v>
      </c>
      <c r="BB464" s="220">
        <f t="shared" si="1389"/>
        <v>0</v>
      </c>
      <c r="BC464" s="220">
        <f t="shared" si="1390"/>
        <v>0</v>
      </c>
      <c r="BD464" s="216">
        <f t="shared" si="1410"/>
        <v>140</v>
      </c>
      <c r="BE464" s="220">
        <f t="shared" si="1380"/>
        <v>0</v>
      </c>
      <c r="BF464" s="220">
        <f t="shared" si="1381"/>
        <v>0</v>
      </c>
      <c r="BG464" s="220">
        <f t="shared" si="1382"/>
        <v>0</v>
      </c>
      <c r="BH464" s="220">
        <f t="shared" si="1383"/>
        <v>0</v>
      </c>
      <c r="BI464" s="220">
        <f t="shared" si="1384"/>
        <v>0</v>
      </c>
      <c r="BJ464" s="220" t="s">
        <v>1794</v>
      </c>
      <c r="BK464" s="220"/>
      <c r="BL464" s="223">
        <f t="shared" si="1422"/>
        <v>155</v>
      </c>
      <c r="BM464" s="220">
        <v>3</v>
      </c>
      <c r="BN464" s="220"/>
      <c r="BO464" s="220">
        <f t="shared" ref="BO464:BO472" si="1513">ROUND(BM464+(BM464*BN464),2)</f>
        <v>3</v>
      </c>
      <c r="BP464" s="220">
        <f>IF(AND(BL464&gt;0,BL464&lt;tiet!$D$1),BL464,IF(BL464&lt;=0,0,IF(BL464&gt;tiet!$C$1,tiet!$C$1)))</f>
        <v>155</v>
      </c>
      <c r="BQ464" s="87">
        <f t="shared" si="1397"/>
        <v>60000</v>
      </c>
      <c r="BR464" s="224">
        <f t="shared" si="1391"/>
        <v>9300000</v>
      </c>
      <c r="BS464" s="220">
        <f t="shared" si="1478"/>
        <v>0</v>
      </c>
      <c r="BT464" s="224">
        <f>VLOOKUP(N464,ma_dinhmuc!$A$1:$J$31,10,0)</f>
        <v>51000</v>
      </c>
      <c r="BU464" s="224">
        <f>ROUND(IF(BS464&gt;0,VLOOKUP(N464,ma_dinhmuc!$A$1:$J$31,10,0)*BS464,0),0)</f>
        <v>0</v>
      </c>
      <c r="BV464" s="224">
        <f t="shared" si="1392"/>
        <v>9300000</v>
      </c>
      <c r="BW464" s="224"/>
      <c r="BX464" s="224">
        <v>0</v>
      </c>
      <c r="BY464" s="224"/>
      <c r="BZ464" s="224"/>
      <c r="CA464" s="224"/>
      <c r="CB464" s="224"/>
      <c r="CC464" s="225">
        <f t="shared" si="1419"/>
        <v>9300000</v>
      </c>
      <c r="CD464" s="224">
        <f t="shared" si="1420"/>
        <v>0</v>
      </c>
      <c r="CE464" s="224"/>
      <c r="CF464" s="226"/>
      <c r="CG464" s="87"/>
      <c r="CH464" s="87">
        <f t="shared" si="1471"/>
        <v>42</v>
      </c>
      <c r="CI464" s="227" t="str">
        <f t="shared" ref="CI464:CI472" si="1514">F464</f>
        <v>Lê Ngọc</v>
      </c>
      <c r="CJ464" s="227" t="str">
        <f t="shared" ref="CJ464:CJ472" si="1515">G464</f>
        <v>Ninh</v>
      </c>
      <c r="CK464" s="87">
        <f t="shared" si="1482"/>
        <v>9</v>
      </c>
      <c r="CL464" s="227" t="str">
        <f t="shared" si="1408"/>
        <v>Tổ chức - Giải phẫu - Phôi thai</v>
      </c>
      <c r="CM464" s="87" t="str">
        <f t="shared" si="1385"/>
        <v>CS2</v>
      </c>
      <c r="CN464" s="87">
        <f t="shared" ref="CN464:CN481" si="1516">Q464</f>
        <v>270</v>
      </c>
      <c r="CO464" s="87">
        <f t="shared" ref="CO464:CO481" si="1517">R464</f>
        <v>100</v>
      </c>
      <c r="CP464" s="229">
        <f t="shared" si="1483"/>
        <v>0</v>
      </c>
      <c r="CQ464" s="229">
        <f t="shared" si="1484"/>
        <v>37.299999999999997</v>
      </c>
      <c r="CR464" s="229">
        <f t="shared" si="1485"/>
        <v>15</v>
      </c>
      <c r="CS464" s="229">
        <f t="shared" si="1486"/>
        <v>0</v>
      </c>
      <c r="CT464" s="229">
        <f t="shared" si="1487"/>
        <v>0</v>
      </c>
      <c r="CU464" s="229">
        <f t="shared" si="1488"/>
        <v>127.7</v>
      </c>
      <c r="CV464" s="229">
        <f t="shared" si="1489"/>
        <v>0</v>
      </c>
      <c r="CW464" s="229">
        <f t="shared" si="1490"/>
        <v>345</v>
      </c>
      <c r="CX464" s="229">
        <f t="shared" si="1491"/>
        <v>0</v>
      </c>
      <c r="CY464" s="229">
        <f t="shared" si="1492"/>
        <v>0</v>
      </c>
      <c r="CZ464" s="229">
        <f t="shared" si="1493"/>
        <v>0</v>
      </c>
      <c r="DA464" s="229">
        <f t="shared" si="1494"/>
        <v>140</v>
      </c>
      <c r="DB464" s="228">
        <f t="shared" si="1429"/>
        <v>665</v>
      </c>
      <c r="DC464" s="229"/>
      <c r="DD464" s="229"/>
      <c r="DE464" s="229"/>
      <c r="DF464" s="229"/>
      <c r="DG464" s="229"/>
      <c r="DH464" s="229"/>
      <c r="DI464" s="229"/>
      <c r="DJ464" s="229"/>
      <c r="DK464" s="229"/>
      <c r="DL464" s="229"/>
      <c r="DM464" s="229"/>
      <c r="DN464" s="229"/>
      <c r="DO464" s="228">
        <f t="shared" si="1440"/>
        <v>0</v>
      </c>
      <c r="DP464" s="228">
        <f t="shared" si="1441"/>
        <v>665</v>
      </c>
      <c r="DQ464" s="229">
        <f t="shared" si="1495"/>
        <v>0</v>
      </c>
      <c r="DR464" s="229">
        <f t="shared" si="1496"/>
        <v>0</v>
      </c>
      <c r="DS464" s="229">
        <f t="shared" si="1497"/>
        <v>0</v>
      </c>
      <c r="DT464" s="229">
        <f t="shared" si="1498"/>
        <v>0</v>
      </c>
      <c r="DU464" s="229">
        <f t="shared" si="1499"/>
        <v>0</v>
      </c>
      <c r="DV464" s="229">
        <f t="shared" si="1500"/>
        <v>0</v>
      </c>
      <c r="DW464" s="229">
        <f t="shared" si="1501"/>
        <v>0</v>
      </c>
      <c r="DX464" s="228">
        <f t="shared" si="1430"/>
        <v>0</v>
      </c>
      <c r="DY464" s="229"/>
      <c r="DZ464" s="229"/>
      <c r="EA464" s="229"/>
      <c r="EB464" s="229"/>
      <c r="EC464" s="229"/>
      <c r="ED464" s="229"/>
      <c r="EE464" s="229"/>
      <c r="EF464" s="228">
        <f t="shared" si="1480"/>
        <v>0</v>
      </c>
      <c r="EG464" s="228">
        <f t="shared" si="1442"/>
        <v>0</v>
      </c>
      <c r="EH464" s="229">
        <f t="shared" si="1481"/>
        <v>0</v>
      </c>
      <c r="EI464" s="229">
        <v>0</v>
      </c>
      <c r="EJ464" s="228">
        <f t="shared" si="1443"/>
        <v>0</v>
      </c>
      <c r="EK464" s="229"/>
      <c r="EL464" s="229"/>
      <c r="EM464" s="228">
        <f t="shared" si="1468"/>
        <v>0</v>
      </c>
      <c r="EN464" s="229">
        <f t="shared" si="1423"/>
        <v>0</v>
      </c>
      <c r="EO464" s="229">
        <f t="shared" si="1451"/>
        <v>0</v>
      </c>
      <c r="EP464" s="228">
        <f t="shared" si="1461"/>
        <v>0</v>
      </c>
      <c r="EQ464" s="173">
        <f t="shared" si="1479"/>
        <v>0</v>
      </c>
      <c r="ER464" s="189">
        <v>0</v>
      </c>
      <c r="ES464" s="189">
        <v>37.299999999999997</v>
      </c>
      <c r="ET464" s="189">
        <v>15</v>
      </c>
      <c r="EU464" s="189">
        <v>0</v>
      </c>
      <c r="EV464" s="189">
        <v>0</v>
      </c>
      <c r="EW464" s="189">
        <v>127.7</v>
      </c>
      <c r="EX464" s="189">
        <v>0</v>
      </c>
      <c r="EY464" s="189">
        <v>345</v>
      </c>
      <c r="EZ464" s="189">
        <v>0</v>
      </c>
      <c r="FA464" s="189">
        <v>0</v>
      </c>
      <c r="FB464" s="189">
        <v>0</v>
      </c>
      <c r="FC464" s="189">
        <v>140</v>
      </c>
      <c r="FD464" s="189">
        <v>0</v>
      </c>
      <c r="FE464" s="189">
        <v>0</v>
      </c>
      <c r="FF464" s="189">
        <v>0</v>
      </c>
      <c r="FG464" s="189">
        <v>0</v>
      </c>
      <c r="FH464" s="189">
        <v>0</v>
      </c>
      <c r="FI464" s="189">
        <v>0</v>
      </c>
      <c r="FJ464" s="189">
        <v>0</v>
      </c>
      <c r="FK464" s="189">
        <v>665</v>
      </c>
      <c r="FL464" s="189">
        <v>521</v>
      </c>
      <c r="FN464" s="132">
        <v>0</v>
      </c>
    </row>
    <row r="465" spans="1:170" ht="30" customHeight="1">
      <c r="A465" s="88">
        <f>COUNTIF($H$12:H465,H465)</f>
        <v>43</v>
      </c>
      <c r="B465" s="88" t="s">
        <v>2740</v>
      </c>
      <c r="C465" s="88" t="s">
        <v>363</v>
      </c>
      <c r="D465" s="88"/>
      <c r="E465" s="88"/>
      <c r="F465" s="301" t="s">
        <v>2302</v>
      </c>
      <c r="G465" s="89" t="s">
        <v>1600</v>
      </c>
      <c r="H465" s="88">
        <v>9</v>
      </c>
      <c r="I465" s="88">
        <v>9</v>
      </c>
      <c r="J465" s="88">
        <v>9</v>
      </c>
      <c r="K465" s="90" t="s">
        <v>1105</v>
      </c>
      <c r="L465" s="90" t="s">
        <v>1105</v>
      </c>
      <c r="M465" s="214"/>
      <c r="N465" s="88" t="s">
        <v>1804</v>
      </c>
      <c r="O465" s="216">
        <f t="shared" si="1503"/>
        <v>3</v>
      </c>
      <c r="P465" s="88" t="str">
        <f t="shared" si="1333"/>
        <v>B1_3</v>
      </c>
      <c r="Q465" s="88">
        <f t="shared" si="1369"/>
        <v>270</v>
      </c>
      <c r="R465" s="88">
        <f t="shared" si="1370"/>
        <v>100</v>
      </c>
      <c r="S465" s="230"/>
      <c r="T465" s="88" t="s">
        <v>3088</v>
      </c>
      <c r="U465" s="88">
        <f>IF(RIGHT(T465,1)="K",(VLOOKUP(T465,ma_miengiam!$A$3:$B$80,2,0)*100)/2,VLOOKUP(T465,ma_miengiam!$A$3:$B$80,2,0)*100)</f>
        <v>0</v>
      </c>
      <c r="V465" s="88"/>
      <c r="W465" s="220">
        <f>IF(AND(T465="NTS",V465&gt;0),(Q465-(Q465*V465)/12)*VLOOKUP(T465,ma_miengiam!$A$3:$B$80,2,0)+(Q465-(Q465*(12-V465))/12),IF(AND(RIGHT(T465,1)="K",V465&gt;0),(VLOOKUP(T465,ma_miengiam!$A$3:$B$80,2,0)/2)*(Q465*V465)/12,IF(RIGHT(T465,1)="K",(VLOOKUP(T465,ma_miengiam!$A$3:$B$80,2,0)*Q465)/2,IF(V465&gt;0,VLOOKUP(T465,ma_miengiam!$A$3:$B$80,2,0)*Q465*V465/12,VLOOKUP(T465,ma_miengiam!$A$3:$B$80,2,0)*Q465))))</f>
        <v>0</v>
      </c>
      <c r="X465" s="220">
        <f>IF(T465="NTS",VLOOKUP(T465,ma_miengiam!$A$3:$B$80,2,0)*R465*V465,IF(AND(T465="NTS",V465=0),0,IF(AND(LEFT(T465,1)="K",V465=0),VLOOKUP(T465,ma_miengiam!$A$3:$B$80,2,0)*R465,IF(LEFT(T465,1)="K",(VLOOKUP(T465,ma_miengiam!$A$3:$B$80,2,0)*R465/12)*V465,IF(AND(LEFT(T465,1)="S",V465&gt;0),(R465/12)*V465,IF(AND(LEFT(T465,1)="S",V465=0),R465,IF(T465="DH",VLOOKUP(T465,ma_miengiam!$A$3:$B$80,2,0)*R465,0)))))))</f>
        <v>0</v>
      </c>
      <c r="Y465" s="220">
        <f t="shared" si="1344"/>
        <v>270</v>
      </c>
      <c r="Z465" s="220">
        <f t="shared" si="1457"/>
        <v>100</v>
      </c>
      <c r="AA465" s="220">
        <f t="shared" si="1504"/>
        <v>270</v>
      </c>
      <c r="AB465" s="220">
        <f t="shared" si="1505"/>
        <v>100</v>
      </c>
      <c r="AC465" s="220">
        <f t="shared" si="1506"/>
        <v>0</v>
      </c>
      <c r="AD465" s="220">
        <f t="shared" si="1507"/>
        <v>0</v>
      </c>
      <c r="AE465" s="220">
        <f t="shared" si="1508"/>
        <v>270</v>
      </c>
      <c r="AF465" s="220">
        <f t="shared" si="1509"/>
        <v>100</v>
      </c>
      <c r="AG465" s="220">
        <f>AH465+AI465</f>
        <v>97.14</v>
      </c>
      <c r="AH465" s="220">
        <f>EO465</f>
        <v>52.14</v>
      </c>
      <c r="AI465" s="220">
        <f>EN465</f>
        <v>45</v>
      </c>
      <c r="AJ465" s="220">
        <f t="shared" si="1396"/>
        <v>-2.8599999999999994</v>
      </c>
      <c r="AK465" s="216">
        <f t="shared" si="1454"/>
        <v>272.86</v>
      </c>
      <c r="AL465" s="220">
        <f t="shared" si="1431"/>
        <v>738</v>
      </c>
      <c r="AM465" s="220">
        <f t="shared" si="1432"/>
        <v>0</v>
      </c>
      <c r="AN465" s="221">
        <f t="shared" si="1433"/>
        <v>738</v>
      </c>
      <c r="AO465" s="220">
        <f t="shared" si="1434"/>
        <v>0</v>
      </c>
      <c r="AP465" s="220">
        <f t="shared" si="1435"/>
        <v>30</v>
      </c>
      <c r="AQ465" s="220">
        <f t="shared" si="1436"/>
        <v>160</v>
      </c>
      <c r="AR465" s="220">
        <f t="shared" si="1437"/>
        <v>0</v>
      </c>
      <c r="AS465" s="220">
        <f t="shared" si="1438"/>
        <v>0</v>
      </c>
      <c r="AT465" s="216">
        <f t="shared" si="1439"/>
        <v>928</v>
      </c>
      <c r="AU465" s="222">
        <f t="shared" si="1447"/>
        <v>465.14</v>
      </c>
      <c r="AV465" s="220"/>
      <c r="AW465" s="220">
        <f t="shared" si="1379"/>
        <v>465.14</v>
      </c>
      <c r="AX465" s="216">
        <f t="shared" si="1448"/>
        <v>0</v>
      </c>
      <c r="AY465" s="220">
        <f t="shared" si="1386"/>
        <v>0</v>
      </c>
      <c r="AZ465" s="220">
        <f t="shared" si="1387"/>
        <v>30</v>
      </c>
      <c r="BA465" s="220">
        <f t="shared" si="1388"/>
        <v>160</v>
      </c>
      <c r="BB465" s="220">
        <f t="shared" si="1389"/>
        <v>0</v>
      </c>
      <c r="BC465" s="220">
        <f t="shared" si="1390"/>
        <v>0</v>
      </c>
      <c r="BD465" s="216">
        <f t="shared" si="1410"/>
        <v>190</v>
      </c>
      <c r="BE465" s="220">
        <f t="shared" si="1380"/>
        <v>0</v>
      </c>
      <c r="BF465" s="220">
        <f t="shared" si="1381"/>
        <v>0</v>
      </c>
      <c r="BG465" s="220">
        <f t="shared" si="1382"/>
        <v>0</v>
      </c>
      <c r="BH465" s="220">
        <f t="shared" si="1383"/>
        <v>0</v>
      </c>
      <c r="BI465" s="220">
        <f t="shared" si="1384"/>
        <v>0</v>
      </c>
      <c r="BJ465" s="220" t="s">
        <v>1794</v>
      </c>
      <c r="BK465" s="220"/>
      <c r="BL465" s="223">
        <f t="shared" si="1422"/>
        <v>465.14</v>
      </c>
      <c r="BM465" s="220">
        <v>3</v>
      </c>
      <c r="BN465" s="220"/>
      <c r="BO465" s="220">
        <f t="shared" si="1513"/>
        <v>3</v>
      </c>
      <c r="BP465" s="220">
        <f>IF(AND(BL465&gt;0,BL465&lt;tiet!$D$1),BL465,IF(BL465&lt;=0,0,IF(BL465&gt;tiet!$C$1,tiet!$C$1)))</f>
        <v>200</v>
      </c>
      <c r="BQ465" s="87">
        <f t="shared" si="1397"/>
        <v>60000</v>
      </c>
      <c r="BR465" s="224">
        <f t="shared" si="1391"/>
        <v>12000000</v>
      </c>
      <c r="BS465" s="220">
        <f t="shared" si="1478"/>
        <v>265.14</v>
      </c>
      <c r="BT465" s="224">
        <f>VLOOKUP(N465,ma_dinhmuc!$A$1:$J$31,10,0)</f>
        <v>51000</v>
      </c>
      <c r="BU465" s="224">
        <f>ROUND(IF(BS465&gt;0,VLOOKUP(N465,ma_dinhmuc!$A$1:$J$31,10,0)*BS465,0),0)</f>
        <v>13522140</v>
      </c>
      <c r="BV465" s="224">
        <f t="shared" si="1392"/>
        <v>25522140</v>
      </c>
      <c r="BW465" s="224"/>
      <c r="BX465" s="224">
        <v>0</v>
      </c>
      <c r="BY465" s="224"/>
      <c r="BZ465" s="224"/>
      <c r="CA465" s="224"/>
      <c r="CB465" s="224"/>
      <c r="CC465" s="225">
        <f t="shared" si="1419"/>
        <v>25522140</v>
      </c>
      <c r="CD465" s="224">
        <f t="shared" si="1420"/>
        <v>0</v>
      </c>
      <c r="CE465" s="224"/>
      <c r="CF465" s="226"/>
      <c r="CG465" s="87"/>
      <c r="CH465" s="87">
        <f t="shared" si="1471"/>
        <v>43</v>
      </c>
      <c r="CI465" s="227" t="str">
        <f t="shared" si="1514"/>
        <v>Vũ Đức</v>
      </c>
      <c r="CJ465" s="227" t="str">
        <f t="shared" si="1515"/>
        <v>Hạnh</v>
      </c>
      <c r="CK465" s="87">
        <f t="shared" si="1482"/>
        <v>9</v>
      </c>
      <c r="CL465" s="227" t="str">
        <f t="shared" ref="CL465:CL480" si="1518">L465</f>
        <v>Tổ chức - Giải phẫu - Phôi thai</v>
      </c>
      <c r="CM465" s="87" t="str">
        <f t="shared" si="1385"/>
        <v>CS2</v>
      </c>
      <c r="CN465" s="87">
        <f t="shared" si="1516"/>
        <v>270</v>
      </c>
      <c r="CO465" s="87">
        <f t="shared" si="1517"/>
        <v>100</v>
      </c>
      <c r="CP465" s="229">
        <f t="shared" si="1483"/>
        <v>0</v>
      </c>
      <c r="CQ465" s="229">
        <f t="shared" si="1484"/>
        <v>37.299999999999997</v>
      </c>
      <c r="CR465" s="229">
        <f t="shared" si="1485"/>
        <v>15</v>
      </c>
      <c r="CS465" s="229">
        <f t="shared" si="1486"/>
        <v>320</v>
      </c>
      <c r="CT465" s="229">
        <f t="shared" si="1487"/>
        <v>0</v>
      </c>
      <c r="CU465" s="229">
        <f t="shared" si="1488"/>
        <v>140.69999999999999</v>
      </c>
      <c r="CV465" s="229">
        <f t="shared" si="1489"/>
        <v>0</v>
      </c>
      <c r="CW465" s="229">
        <f t="shared" si="1490"/>
        <v>225</v>
      </c>
      <c r="CX465" s="229">
        <f t="shared" si="1491"/>
        <v>0</v>
      </c>
      <c r="CY465" s="229">
        <f t="shared" si="1492"/>
        <v>0</v>
      </c>
      <c r="CZ465" s="229">
        <f t="shared" si="1493"/>
        <v>30</v>
      </c>
      <c r="DA465" s="229">
        <f t="shared" si="1494"/>
        <v>160</v>
      </c>
      <c r="DB465" s="228">
        <f t="shared" si="1429"/>
        <v>928</v>
      </c>
      <c r="DC465" s="229"/>
      <c r="DD465" s="229"/>
      <c r="DE465" s="229"/>
      <c r="DF465" s="229"/>
      <c r="DG465" s="229"/>
      <c r="DH465" s="229"/>
      <c r="DI465" s="229"/>
      <c r="DJ465" s="229"/>
      <c r="DK465" s="229"/>
      <c r="DL465" s="229"/>
      <c r="DM465" s="229"/>
      <c r="DN465" s="229"/>
      <c r="DO465" s="228">
        <f t="shared" si="1440"/>
        <v>0</v>
      </c>
      <c r="DP465" s="228">
        <f t="shared" si="1441"/>
        <v>928</v>
      </c>
      <c r="DQ465" s="229">
        <f t="shared" si="1495"/>
        <v>0</v>
      </c>
      <c r="DR465" s="229">
        <f t="shared" si="1496"/>
        <v>0</v>
      </c>
      <c r="DS465" s="229">
        <f t="shared" si="1497"/>
        <v>0</v>
      </c>
      <c r="DT465" s="229">
        <f t="shared" si="1498"/>
        <v>0</v>
      </c>
      <c r="DU465" s="229">
        <f t="shared" si="1499"/>
        <v>0</v>
      </c>
      <c r="DV465" s="229">
        <f t="shared" si="1500"/>
        <v>0</v>
      </c>
      <c r="DW465" s="229">
        <f t="shared" si="1501"/>
        <v>0</v>
      </c>
      <c r="DX465" s="228">
        <f t="shared" si="1430"/>
        <v>0</v>
      </c>
      <c r="DY465" s="229"/>
      <c r="DZ465" s="229"/>
      <c r="EA465" s="229"/>
      <c r="EB465" s="229"/>
      <c r="EC465" s="229"/>
      <c r="ED465" s="229"/>
      <c r="EE465" s="229"/>
      <c r="EF465" s="228">
        <f t="shared" si="1480"/>
        <v>0</v>
      </c>
      <c r="EG465" s="228">
        <f t="shared" si="1442"/>
        <v>0</v>
      </c>
      <c r="EH465" s="229">
        <f t="shared" si="1481"/>
        <v>45</v>
      </c>
      <c r="EI465" s="229">
        <v>52.14</v>
      </c>
      <c r="EJ465" s="228">
        <f>SUM(EH465:EI465)</f>
        <v>97.14</v>
      </c>
      <c r="EK465" s="229"/>
      <c r="EL465" s="229"/>
      <c r="EM465" s="228">
        <f t="shared" si="1468"/>
        <v>0</v>
      </c>
      <c r="EN465" s="229">
        <f t="shared" si="1423"/>
        <v>45</v>
      </c>
      <c r="EO465" s="229">
        <f t="shared" si="1451"/>
        <v>52.14</v>
      </c>
      <c r="EP465" s="228">
        <f>EM465+EJ465</f>
        <v>97.14</v>
      </c>
      <c r="EQ465" s="173">
        <f t="shared" si="1479"/>
        <v>0</v>
      </c>
      <c r="ER465" s="189">
        <v>0</v>
      </c>
      <c r="ES465" s="189">
        <v>37.299999999999997</v>
      </c>
      <c r="ET465" s="189">
        <v>15</v>
      </c>
      <c r="EU465" s="189">
        <v>320</v>
      </c>
      <c r="EV465" s="189">
        <v>0</v>
      </c>
      <c r="EW465" s="189">
        <v>140.69999999999999</v>
      </c>
      <c r="EX465" s="189">
        <v>0</v>
      </c>
      <c r="EY465" s="189">
        <v>225</v>
      </c>
      <c r="EZ465" s="189">
        <v>0</v>
      </c>
      <c r="FA465" s="189">
        <v>0</v>
      </c>
      <c r="FB465" s="189">
        <v>30</v>
      </c>
      <c r="FC465" s="189">
        <v>160</v>
      </c>
      <c r="FD465" s="189">
        <v>0</v>
      </c>
      <c r="FE465" s="189">
        <v>0</v>
      </c>
      <c r="FF465" s="189">
        <v>0</v>
      </c>
      <c r="FG465" s="189">
        <v>0</v>
      </c>
      <c r="FH465" s="189">
        <v>0</v>
      </c>
      <c r="FI465" s="189">
        <v>0</v>
      </c>
      <c r="FJ465" s="189">
        <v>0</v>
      </c>
      <c r="FK465" s="189">
        <v>928</v>
      </c>
      <c r="FL465" s="189">
        <v>801</v>
      </c>
      <c r="FN465" s="132">
        <v>45</v>
      </c>
    </row>
    <row r="466" spans="1:170" ht="30" customHeight="1">
      <c r="A466" s="88">
        <f>COUNTIF($H$12:H466,H466)</f>
        <v>44</v>
      </c>
      <c r="B466" s="88" t="s">
        <v>2741</v>
      </c>
      <c r="C466" s="88" t="s">
        <v>364</v>
      </c>
      <c r="D466" s="88"/>
      <c r="E466" s="88"/>
      <c r="F466" s="301" t="s">
        <v>2458</v>
      </c>
      <c r="G466" s="89" t="s">
        <v>2303</v>
      </c>
      <c r="H466" s="88">
        <v>9</v>
      </c>
      <c r="I466" s="88">
        <v>9</v>
      </c>
      <c r="J466" s="88">
        <v>9</v>
      </c>
      <c r="K466" s="90" t="s">
        <v>1105</v>
      </c>
      <c r="L466" s="90" t="s">
        <v>1105</v>
      </c>
      <c r="M466" s="214"/>
      <c r="N466" s="88" t="s">
        <v>606</v>
      </c>
      <c r="O466" s="216">
        <f t="shared" si="1503"/>
        <v>5.42</v>
      </c>
      <c r="P466" s="88" t="str">
        <f t="shared" ref="P466:P491" si="1519">IF(BO466&lt;3.33,"B1_3",IF(AND(BO466&gt;=3.33,BO466&lt;4.65),"B1_4",IF(AND(BO466&gt;=4.65,BO466&lt;5.42),"B1_5",IF(AND(BO466&gt;=5.42,BO466&lt;6.44),"B1_6",IF(AND(BO466&gt;=6.44,BO466&lt;=6.92),"B1_7","B1_8")))))</f>
        <v>B1_6</v>
      </c>
      <c r="Q466" s="88">
        <f t="shared" si="1369"/>
        <v>270</v>
      </c>
      <c r="R466" s="88">
        <f t="shared" si="1370"/>
        <v>170</v>
      </c>
      <c r="S466" s="230" t="s">
        <v>2031</v>
      </c>
      <c r="T466" s="88" t="s">
        <v>3091</v>
      </c>
      <c r="U466" s="88">
        <f>IF(RIGHT(T466,1)="K",(VLOOKUP(T466,ma_miengiam!$A$3:$B$80,2,0)*100)/2,VLOOKUP(T466,ma_miengiam!$A$3:$B$80,2,0)*100)</f>
        <v>20</v>
      </c>
      <c r="V466" s="88"/>
      <c r="W466" s="220">
        <f>IF(AND(T466="NTS",V466&gt;0),(Q466-(Q466*V466)/12)*VLOOKUP(T466,ma_miengiam!$A$3:$B$80,2,0)+(Q466-(Q466*(12-V466))/12),IF(AND(RIGHT(T466,1)="K",V466&gt;0),(VLOOKUP(T466,ma_miengiam!$A$3:$B$80,2,0)/2)*(Q466*V466)/12,IF(RIGHT(T466,1)="K",(VLOOKUP(T466,ma_miengiam!$A$3:$B$80,2,0)*Q466)/2,IF(V466&gt;0,VLOOKUP(T466,ma_miengiam!$A$3:$B$80,2,0)*Q466*V466/12,VLOOKUP(T466,ma_miengiam!$A$3:$B$80,2,0)*Q466))))</f>
        <v>54</v>
      </c>
      <c r="X466" s="220">
        <f>IF(T466="NTS",VLOOKUP(T466,ma_miengiam!$A$3:$B$80,2,0)*R466*V466,IF(AND(T466="NTS",V466=0),0,IF(AND(LEFT(T466,1)="K",V466=0),VLOOKUP(T466,ma_miengiam!$A$3:$B$80,2,0)*R466,IF(LEFT(T466,1)="K",(VLOOKUP(T466,ma_miengiam!$A$3:$B$80,2,0)*R466/12)*V466,IF(AND(LEFT(T466,1)="S",V466&gt;0),(R466/12)*V466,IF(AND(LEFT(T466,1)="S",V466=0),R466,IF(T466="DH",VLOOKUP(T466,ma_miengiam!$A$3:$B$80,2,0)*R466,0)))))))</f>
        <v>0</v>
      </c>
      <c r="Y466" s="220">
        <f t="shared" si="1344"/>
        <v>216</v>
      </c>
      <c r="Z466" s="220">
        <f t="shared" si="1457"/>
        <v>170</v>
      </c>
      <c r="AA466" s="220">
        <f t="shared" si="1504"/>
        <v>270</v>
      </c>
      <c r="AB466" s="220">
        <f t="shared" si="1505"/>
        <v>170</v>
      </c>
      <c r="AC466" s="220">
        <f t="shared" si="1506"/>
        <v>54</v>
      </c>
      <c r="AD466" s="220">
        <f t="shared" si="1507"/>
        <v>0</v>
      </c>
      <c r="AE466" s="220">
        <f t="shared" si="1508"/>
        <v>216</v>
      </c>
      <c r="AF466" s="220">
        <f t="shared" si="1509"/>
        <v>170</v>
      </c>
      <c r="AG466" s="220">
        <f t="shared" si="1510"/>
        <v>40</v>
      </c>
      <c r="AH466" s="220">
        <f t="shared" si="1511"/>
        <v>0</v>
      </c>
      <c r="AI466" s="220">
        <f t="shared" si="1512"/>
        <v>40</v>
      </c>
      <c r="AJ466" s="220">
        <f t="shared" si="1396"/>
        <v>-130</v>
      </c>
      <c r="AK466" s="216">
        <f t="shared" si="1454"/>
        <v>346</v>
      </c>
      <c r="AL466" s="220">
        <f t="shared" si="1431"/>
        <v>593.9</v>
      </c>
      <c r="AM466" s="220">
        <f t="shared" si="1432"/>
        <v>0</v>
      </c>
      <c r="AN466" s="221">
        <f t="shared" si="1433"/>
        <v>593.9</v>
      </c>
      <c r="AO466" s="220">
        <f t="shared" si="1434"/>
        <v>0</v>
      </c>
      <c r="AP466" s="220">
        <f t="shared" si="1435"/>
        <v>30</v>
      </c>
      <c r="AQ466" s="220">
        <f t="shared" si="1436"/>
        <v>260</v>
      </c>
      <c r="AR466" s="220">
        <f t="shared" si="1437"/>
        <v>120</v>
      </c>
      <c r="AS466" s="220">
        <f t="shared" si="1438"/>
        <v>0</v>
      </c>
      <c r="AT466" s="216">
        <f t="shared" si="1439"/>
        <v>1003.9</v>
      </c>
      <c r="AU466" s="222">
        <f t="shared" si="1447"/>
        <v>247.89999999999998</v>
      </c>
      <c r="AV466" s="220"/>
      <c r="AW466" s="220">
        <f t="shared" si="1379"/>
        <v>247.89999999999998</v>
      </c>
      <c r="AX466" s="216">
        <f t="shared" si="1448"/>
        <v>0</v>
      </c>
      <c r="AY466" s="220">
        <f t="shared" si="1386"/>
        <v>0</v>
      </c>
      <c r="AZ466" s="220">
        <f t="shared" si="1387"/>
        <v>30</v>
      </c>
      <c r="BA466" s="220">
        <f t="shared" si="1388"/>
        <v>260</v>
      </c>
      <c r="BB466" s="220">
        <f t="shared" si="1389"/>
        <v>120</v>
      </c>
      <c r="BC466" s="220">
        <f t="shared" si="1390"/>
        <v>0</v>
      </c>
      <c r="BD466" s="216">
        <f t="shared" si="1410"/>
        <v>410</v>
      </c>
      <c r="BE466" s="220">
        <f t="shared" si="1380"/>
        <v>0</v>
      </c>
      <c r="BF466" s="220">
        <f t="shared" si="1381"/>
        <v>0</v>
      </c>
      <c r="BG466" s="220">
        <f t="shared" si="1382"/>
        <v>0</v>
      </c>
      <c r="BH466" s="220">
        <f t="shared" si="1383"/>
        <v>0</v>
      </c>
      <c r="BI466" s="220">
        <f t="shared" si="1384"/>
        <v>0</v>
      </c>
      <c r="BJ466" s="220" t="s">
        <v>1794</v>
      </c>
      <c r="BK466" s="220"/>
      <c r="BL466" s="223">
        <f t="shared" si="1422"/>
        <v>247.89999999999998</v>
      </c>
      <c r="BM466" s="220">
        <v>5.42</v>
      </c>
      <c r="BN466" s="220"/>
      <c r="BO466" s="220">
        <f t="shared" si="1513"/>
        <v>5.42</v>
      </c>
      <c r="BP466" s="220">
        <f>IF(AND(BL466&gt;0,BL466&lt;tiet!$D$1),BL466,IF(BL466&lt;=0,0,IF(BL466&gt;tiet!$C$1,tiet!$C$1)))</f>
        <v>200</v>
      </c>
      <c r="BQ466" s="87">
        <f t="shared" si="1397"/>
        <v>75000</v>
      </c>
      <c r="BR466" s="224">
        <f t="shared" si="1391"/>
        <v>15000000</v>
      </c>
      <c r="BS466" s="220">
        <f t="shared" si="1478"/>
        <v>47.899999999999977</v>
      </c>
      <c r="BT466" s="224">
        <f>VLOOKUP(N466,ma_dinhmuc!$A$1:$J$31,10,0)</f>
        <v>55000</v>
      </c>
      <c r="BU466" s="224">
        <f>ROUND(IF(BS466&gt;0,VLOOKUP(N466,ma_dinhmuc!$A$1:$J$31,10,0)*BS466,0),0)</f>
        <v>2634500</v>
      </c>
      <c r="BV466" s="224">
        <f t="shared" si="1392"/>
        <v>17634500</v>
      </c>
      <c r="BW466" s="224"/>
      <c r="BX466" s="224">
        <v>0</v>
      </c>
      <c r="BY466" s="224"/>
      <c r="BZ466" s="224"/>
      <c r="CA466" s="224"/>
      <c r="CB466" s="224"/>
      <c r="CC466" s="225">
        <f t="shared" si="1419"/>
        <v>17634500</v>
      </c>
      <c r="CD466" s="224">
        <f t="shared" si="1420"/>
        <v>0</v>
      </c>
      <c r="CE466" s="224"/>
      <c r="CF466" s="226"/>
      <c r="CG466" s="87"/>
      <c r="CH466" s="87">
        <f t="shared" si="1471"/>
        <v>44</v>
      </c>
      <c r="CI466" s="227" t="str">
        <f t="shared" si="1514"/>
        <v>Nguyễn Bá</v>
      </c>
      <c r="CJ466" s="227" t="str">
        <f t="shared" si="1515"/>
        <v>Tiếp</v>
      </c>
      <c r="CK466" s="87">
        <f t="shared" si="1482"/>
        <v>9</v>
      </c>
      <c r="CL466" s="227" t="str">
        <f t="shared" si="1518"/>
        <v>Tổ chức - Giải phẫu - Phôi thai</v>
      </c>
      <c r="CM466" s="87" t="str">
        <f t="shared" si="1385"/>
        <v>CS3</v>
      </c>
      <c r="CN466" s="87">
        <f t="shared" si="1516"/>
        <v>270</v>
      </c>
      <c r="CO466" s="87">
        <f t="shared" si="1517"/>
        <v>170</v>
      </c>
      <c r="CP466" s="229">
        <f t="shared" si="1483"/>
        <v>0</v>
      </c>
      <c r="CQ466" s="229">
        <f t="shared" si="1484"/>
        <v>120.2</v>
      </c>
      <c r="CR466" s="229">
        <f t="shared" si="1485"/>
        <v>48.3</v>
      </c>
      <c r="CS466" s="229">
        <f t="shared" si="1486"/>
        <v>0</v>
      </c>
      <c r="CT466" s="229">
        <f t="shared" si="1487"/>
        <v>0</v>
      </c>
      <c r="CU466" s="229">
        <f t="shared" si="1488"/>
        <v>387.9</v>
      </c>
      <c r="CV466" s="229">
        <f t="shared" si="1489"/>
        <v>0</v>
      </c>
      <c r="CW466" s="229">
        <f t="shared" si="1490"/>
        <v>37.5</v>
      </c>
      <c r="CX466" s="229">
        <f t="shared" si="1491"/>
        <v>0</v>
      </c>
      <c r="CY466" s="229">
        <f t="shared" si="1492"/>
        <v>0</v>
      </c>
      <c r="CZ466" s="229">
        <f t="shared" si="1493"/>
        <v>30</v>
      </c>
      <c r="DA466" s="229">
        <f t="shared" si="1494"/>
        <v>260</v>
      </c>
      <c r="DB466" s="228">
        <f t="shared" si="1429"/>
        <v>883.9</v>
      </c>
      <c r="DC466" s="229"/>
      <c r="DD466" s="229"/>
      <c r="DE466" s="229"/>
      <c r="DF466" s="229"/>
      <c r="DG466" s="229"/>
      <c r="DH466" s="229"/>
      <c r="DI466" s="229"/>
      <c r="DJ466" s="229"/>
      <c r="DK466" s="229"/>
      <c r="DL466" s="229"/>
      <c r="DM466" s="229"/>
      <c r="DN466" s="229"/>
      <c r="DO466" s="228">
        <f t="shared" si="1440"/>
        <v>0</v>
      </c>
      <c r="DP466" s="228">
        <f t="shared" si="1441"/>
        <v>883.9</v>
      </c>
      <c r="DQ466" s="229">
        <f t="shared" si="1495"/>
        <v>0</v>
      </c>
      <c r="DR466" s="229">
        <f t="shared" si="1496"/>
        <v>0</v>
      </c>
      <c r="DS466" s="229">
        <f t="shared" si="1497"/>
        <v>0</v>
      </c>
      <c r="DT466" s="229">
        <f t="shared" si="1498"/>
        <v>0</v>
      </c>
      <c r="DU466" s="229">
        <f t="shared" si="1499"/>
        <v>0</v>
      </c>
      <c r="DV466" s="229">
        <f t="shared" si="1500"/>
        <v>120</v>
      </c>
      <c r="DW466" s="229">
        <f t="shared" si="1501"/>
        <v>0</v>
      </c>
      <c r="DX466" s="228">
        <f t="shared" si="1430"/>
        <v>120</v>
      </c>
      <c r="DY466" s="229"/>
      <c r="DZ466" s="229"/>
      <c r="EA466" s="229"/>
      <c r="EB466" s="229"/>
      <c r="EC466" s="229"/>
      <c r="ED466" s="229"/>
      <c r="EE466" s="229"/>
      <c r="EF466" s="228">
        <f t="shared" si="1480"/>
        <v>0</v>
      </c>
      <c r="EG466" s="228">
        <f t="shared" si="1442"/>
        <v>120</v>
      </c>
      <c r="EH466" s="229">
        <f t="shared" si="1481"/>
        <v>40</v>
      </c>
      <c r="EI466" s="229">
        <v>0</v>
      </c>
      <c r="EJ466" s="228">
        <f t="shared" si="1443"/>
        <v>40</v>
      </c>
      <c r="EK466" s="229"/>
      <c r="EL466" s="229"/>
      <c r="EM466" s="228">
        <f t="shared" si="1468"/>
        <v>0</v>
      </c>
      <c r="EN466" s="229">
        <f t="shared" si="1423"/>
        <v>40</v>
      </c>
      <c r="EO466" s="229">
        <f t="shared" si="1451"/>
        <v>0</v>
      </c>
      <c r="EP466" s="228">
        <f t="shared" si="1461"/>
        <v>40</v>
      </c>
      <c r="EQ466" s="173">
        <f t="shared" si="1479"/>
        <v>0</v>
      </c>
      <c r="ER466" s="189">
        <v>0</v>
      </c>
      <c r="ES466" s="189">
        <v>120.2</v>
      </c>
      <c r="ET466" s="189">
        <v>48.3</v>
      </c>
      <c r="EU466" s="189">
        <v>0</v>
      </c>
      <c r="EV466" s="189">
        <v>0</v>
      </c>
      <c r="EW466" s="189">
        <v>387.9</v>
      </c>
      <c r="EX466" s="189">
        <v>0</v>
      </c>
      <c r="EY466" s="189">
        <v>37.5</v>
      </c>
      <c r="EZ466" s="189">
        <v>0</v>
      </c>
      <c r="FA466" s="189">
        <v>0</v>
      </c>
      <c r="FB466" s="189">
        <v>30</v>
      </c>
      <c r="FC466" s="189">
        <v>260</v>
      </c>
      <c r="FD466" s="189">
        <v>0</v>
      </c>
      <c r="FE466" s="189">
        <v>0</v>
      </c>
      <c r="FF466" s="189">
        <v>0</v>
      </c>
      <c r="FG466" s="189">
        <v>0</v>
      </c>
      <c r="FH466" s="189">
        <v>120</v>
      </c>
      <c r="FI466" s="189">
        <v>0</v>
      </c>
      <c r="FJ466" s="189">
        <v>0</v>
      </c>
      <c r="FK466" s="189">
        <v>1003.9</v>
      </c>
      <c r="FL466" s="189">
        <v>859</v>
      </c>
      <c r="FN466" s="132">
        <v>40</v>
      </c>
    </row>
    <row r="467" spans="1:170" ht="30">
      <c r="A467" s="88">
        <f>COUNTIF($H$12:H467,H467)</f>
        <v>45</v>
      </c>
      <c r="B467" s="88" t="s">
        <v>2742</v>
      </c>
      <c r="C467" s="88" t="s">
        <v>821</v>
      </c>
      <c r="D467" s="88"/>
      <c r="E467" s="88"/>
      <c r="F467" s="301" t="s">
        <v>2304</v>
      </c>
      <c r="G467" s="89" t="s">
        <v>963</v>
      </c>
      <c r="H467" s="88">
        <v>9</v>
      </c>
      <c r="I467" s="88">
        <v>9</v>
      </c>
      <c r="J467" s="88">
        <v>9</v>
      </c>
      <c r="K467" s="90" t="s">
        <v>1105</v>
      </c>
      <c r="L467" s="90" t="s">
        <v>1105</v>
      </c>
      <c r="M467" s="214"/>
      <c r="N467" s="88" t="s">
        <v>605</v>
      </c>
      <c r="O467" s="216">
        <f t="shared" si="1503"/>
        <v>6.2</v>
      </c>
      <c r="P467" s="88" t="str">
        <f t="shared" si="1519"/>
        <v>B1_6</v>
      </c>
      <c r="Q467" s="88">
        <f t="shared" si="1369"/>
        <v>270</v>
      </c>
      <c r="R467" s="88">
        <f t="shared" si="1370"/>
        <v>170</v>
      </c>
      <c r="S467" s="218" t="s">
        <v>2386</v>
      </c>
      <c r="T467" s="88" t="s">
        <v>1751</v>
      </c>
      <c r="U467" s="88">
        <f>IF(RIGHT(T467,1)="K",(VLOOKUP(T467,ma_miengiam!$A$3:$B$80,2,0)*100)/2,VLOOKUP(T467,ma_miengiam!$A$3:$B$80,2,0)*100)</f>
        <v>45</v>
      </c>
      <c r="V467" s="88"/>
      <c r="W467" s="220">
        <f>IF(AND(T467="NTS",V467&gt;0),(Q467-(Q467*V467)/12)*VLOOKUP(T467,ma_miengiam!$A$3:$B$80,2,0)+(Q467-(Q467*(12-V467))/12),IF(AND(RIGHT(T467,1)="K",V467&gt;0),(VLOOKUP(T467,ma_miengiam!$A$3:$B$80,2,0)/2)*(Q467*V467)/12,IF(RIGHT(T467,1)="K",(VLOOKUP(T467,ma_miengiam!$A$3:$B$80,2,0)*Q467)/2,IF(V467&gt;0,VLOOKUP(T467,ma_miengiam!$A$3:$B$80,2,0)*Q467*V467/12,VLOOKUP(T467,ma_miengiam!$A$3:$B$80,2,0)*Q467))))</f>
        <v>121.5</v>
      </c>
      <c r="X467" s="220">
        <f>IF(T467="NTS",VLOOKUP(T467,ma_miengiam!$A$3:$B$80,2,0)*R467*V467,IF(AND(T467="NTS",V467=0),0,IF(AND(LEFT(T467,1)="K",V467=0),VLOOKUP(T467,ma_miengiam!$A$3:$B$80,2,0)*R467,IF(LEFT(T467,1)="K",(VLOOKUP(T467,ma_miengiam!$A$3:$B$80,2,0)*R467/12)*V467,IF(AND(LEFT(T467,1)="S",V467&gt;0),(R467/12)*V467,IF(AND(LEFT(T467,1)="S",V467=0),R467,IF(T467="DH",VLOOKUP(T467,ma_miengiam!$A$3:$B$80,2,0)*R467,0)))))))</f>
        <v>0</v>
      </c>
      <c r="Y467" s="220">
        <f t="shared" si="1344"/>
        <v>148.5</v>
      </c>
      <c r="Z467" s="220">
        <f t="shared" si="1457"/>
        <v>170</v>
      </c>
      <c r="AA467" s="220">
        <f t="shared" si="1504"/>
        <v>270</v>
      </c>
      <c r="AB467" s="220">
        <f t="shared" si="1505"/>
        <v>170</v>
      </c>
      <c r="AC467" s="220">
        <f t="shared" si="1506"/>
        <v>121.5</v>
      </c>
      <c r="AD467" s="220">
        <f t="shared" si="1507"/>
        <v>0</v>
      </c>
      <c r="AE467" s="220">
        <f t="shared" si="1508"/>
        <v>148.5</v>
      </c>
      <c r="AF467" s="220">
        <f t="shared" si="1509"/>
        <v>170</v>
      </c>
      <c r="AG467" s="220">
        <f>AH467+AI467</f>
        <v>348.89</v>
      </c>
      <c r="AH467" s="220">
        <f>EO467</f>
        <v>173.64</v>
      </c>
      <c r="AI467" s="220">
        <f>EN467</f>
        <v>175.25</v>
      </c>
      <c r="AJ467" s="220">
        <f t="shared" si="1396"/>
        <v>0</v>
      </c>
      <c r="AK467" s="216">
        <f t="shared" si="1454"/>
        <v>148.5</v>
      </c>
      <c r="AL467" s="220">
        <f t="shared" si="1431"/>
        <v>295</v>
      </c>
      <c r="AM467" s="220">
        <f t="shared" si="1432"/>
        <v>0</v>
      </c>
      <c r="AN467" s="221">
        <f t="shared" si="1433"/>
        <v>295</v>
      </c>
      <c r="AO467" s="220">
        <f t="shared" si="1434"/>
        <v>0</v>
      </c>
      <c r="AP467" s="220">
        <f t="shared" si="1435"/>
        <v>15</v>
      </c>
      <c r="AQ467" s="220">
        <f t="shared" si="1436"/>
        <v>200</v>
      </c>
      <c r="AR467" s="220">
        <f t="shared" si="1437"/>
        <v>108</v>
      </c>
      <c r="AS467" s="220">
        <f t="shared" si="1438"/>
        <v>0</v>
      </c>
      <c r="AT467" s="216">
        <f t="shared" si="1439"/>
        <v>618</v>
      </c>
      <c r="AU467" s="222">
        <f t="shared" si="1447"/>
        <v>146.5</v>
      </c>
      <c r="AV467" s="220"/>
      <c r="AW467" s="220">
        <f t="shared" si="1379"/>
        <v>146.5</v>
      </c>
      <c r="AX467" s="216">
        <f t="shared" si="1448"/>
        <v>0</v>
      </c>
      <c r="AY467" s="220">
        <f t="shared" si="1386"/>
        <v>0</v>
      </c>
      <c r="AZ467" s="220">
        <f t="shared" si="1387"/>
        <v>15</v>
      </c>
      <c r="BA467" s="220">
        <f t="shared" si="1388"/>
        <v>200</v>
      </c>
      <c r="BB467" s="220">
        <f t="shared" si="1389"/>
        <v>108</v>
      </c>
      <c r="BC467" s="220">
        <f t="shared" si="1390"/>
        <v>0</v>
      </c>
      <c r="BD467" s="216">
        <f t="shared" si="1410"/>
        <v>323</v>
      </c>
      <c r="BE467" s="220">
        <f t="shared" si="1380"/>
        <v>0</v>
      </c>
      <c r="BF467" s="220">
        <f t="shared" si="1381"/>
        <v>0</v>
      </c>
      <c r="BG467" s="220">
        <f t="shared" si="1382"/>
        <v>0</v>
      </c>
      <c r="BH467" s="220">
        <f t="shared" si="1383"/>
        <v>0</v>
      </c>
      <c r="BI467" s="220">
        <f t="shared" si="1384"/>
        <v>0</v>
      </c>
      <c r="BJ467" s="220" t="s">
        <v>1794</v>
      </c>
      <c r="BK467" s="220"/>
      <c r="BL467" s="223">
        <f t="shared" si="1422"/>
        <v>146.5</v>
      </c>
      <c r="BM467" s="220">
        <v>6.2</v>
      </c>
      <c r="BN467" s="220"/>
      <c r="BO467" s="220">
        <f t="shared" si="1513"/>
        <v>6.2</v>
      </c>
      <c r="BP467" s="220">
        <f>IF(AND(BL467&gt;0,BL467&lt;tiet!$D$1),BL467,IF(BL467&lt;=0,0,IF(BL467&gt;tiet!$C$1,tiet!$C$1)))</f>
        <v>146.5</v>
      </c>
      <c r="BQ467" s="87">
        <f t="shared" si="1397"/>
        <v>75000</v>
      </c>
      <c r="BR467" s="224">
        <f t="shared" si="1391"/>
        <v>10987500</v>
      </c>
      <c r="BS467" s="220">
        <f t="shared" si="1478"/>
        <v>0</v>
      </c>
      <c r="BT467" s="224">
        <f>VLOOKUP(N467,ma_dinhmuc!$A$1:$J$31,10,0)</f>
        <v>65000</v>
      </c>
      <c r="BU467" s="224">
        <f>ROUND(IF(BS467&gt;0,VLOOKUP(N467,ma_dinhmuc!$A$1:$J$31,10,0)*BS467,0),0)</f>
        <v>0</v>
      </c>
      <c r="BV467" s="224">
        <f t="shared" si="1392"/>
        <v>10987500</v>
      </c>
      <c r="BW467" s="224"/>
      <c r="BX467" s="224">
        <v>0</v>
      </c>
      <c r="BY467" s="224"/>
      <c r="BZ467" s="224"/>
      <c r="CA467" s="224"/>
      <c r="CB467" s="224"/>
      <c r="CC467" s="225">
        <f t="shared" si="1419"/>
        <v>10987500</v>
      </c>
      <c r="CD467" s="224">
        <f t="shared" si="1420"/>
        <v>0</v>
      </c>
      <c r="CE467" s="224"/>
      <c r="CF467" s="226"/>
      <c r="CG467" s="87"/>
      <c r="CH467" s="87">
        <f t="shared" si="1471"/>
        <v>45</v>
      </c>
      <c r="CI467" s="227" t="str">
        <f t="shared" si="1514"/>
        <v>Lại Thị Lan</v>
      </c>
      <c r="CJ467" s="227" t="str">
        <f t="shared" si="1515"/>
        <v>Hương</v>
      </c>
      <c r="CK467" s="87">
        <f t="shared" si="1482"/>
        <v>9</v>
      </c>
      <c r="CL467" s="227" t="str">
        <f t="shared" si="1518"/>
        <v>Tổ chức - Giải phẫu - Phôi thai</v>
      </c>
      <c r="CM467" s="87" t="str">
        <f t="shared" si="1385"/>
        <v>CS4</v>
      </c>
      <c r="CN467" s="87">
        <f t="shared" si="1516"/>
        <v>270</v>
      </c>
      <c r="CO467" s="87">
        <f t="shared" si="1517"/>
        <v>170</v>
      </c>
      <c r="CP467" s="229">
        <f t="shared" si="1483"/>
        <v>0</v>
      </c>
      <c r="CQ467" s="229">
        <f t="shared" si="1484"/>
        <v>43.8</v>
      </c>
      <c r="CR467" s="229">
        <f t="shared" si="1485"/>
        <v>17.600000000000001</v>
      </c>
      <c r="CS467" s="229">
        <f t="shared" si="1486"/>
        <v>0</v>
      </c>
      <c r="CT467" s="229">
        <f t="shared" si="1487"/>
        <v>0</v>
      </c>
      <c r="CU467" s="229">
        <f t="shared" si="1488"/>
        <v>158.6</v>
      </c>
      <c r="CV467" s="229">
        <f t="shared" si="1489"/>
        <v>0</v>
      </c>
      <c r="CW467" s="229">
        <f t="shared" si="1490"/>
        <v>75</v>
      </c>
      <c r="CX467" s="229">
        <f t="shared" si="1491"/>
        <v>0</v>
      </c>
      <c r="CY467" s="229">
        <f t="shared" si="1492"/>
        <v>0</v>
      </c>
      <c r="CZ467" s="229">
        <f t="shared" si="1493"/>
        <v>15</v>
      </c>
      <c r="DA467" s="229">
        <f t="shared" si="1494"/>
        <v>200</v>
      </c>
      <c r="DB467" s="228">
        <f t="shared" si="1429"/>
        <v>510</v>
      </c>
      <c r="DC467" s="229"/>
      <c r="DD467" s="229"/>
      <c r="DE467" s="229"/>
      <c r="DF467" s="229"/>
      <c r="DG467" s="229"/>
      <c r="DH467" s="229"/>
      <c r="DI467" s="229"/>
      <c r="DJ467" s="229"/>
      <c r="DK467" s="229"/>
      <c r="DL467" s="229"/>
      <c r="DM467" s="229"/>
      <c r="DN467" s="229"/>
      <c r="DO467" s="228">
        <f t="shared" si="1440"/>
        <v>0</v>
      </c>
      <c r="DP467" s="228">
        <f t="shared" si="1441"/>
        <v>510</v>
      </c>
      <c r="DQ467" s="229">
        <f t="shared" si="1495"/>
        <v>0</v>
      </c>
      <c r="DR467" s="229">
        <f t="shared" si="1496"/>
        <v>0</v>
      </c>
      <c r="DS467" s="229">
        <f t="shared" si="1497"/>
        <v>0</v>
      </c>
      <c r="DT467" s="229">
        <f t="shared" si="1498"/>
        <v>0</v>
      </c>
      <c r="DU467" s="229">
        <f t="shared" si="1499"/>
        <v>0</v>
      </c>
      <c r="DV467" s="229">
        <f t="shared" si="1500"/>
        <v>108</v>
      </c>
      <c r="DW467" s="229">
        <f t="shared" si="1501"/>
        <v>0</v>
      </c>
      <c r="DX467" s="228">
        <f t="shared" si="1430"/>
        <v>108</v>
      </c>
      <c r="DY467" s="229"/>
      <c r="DZ467" s="229"/>
      <c r="EA467" s="229"/>
      <c r="EB467" s="229"/>
      <c r="EC467" s="229"/>
      <c r="ED467" s="229"/>
      <c r="EE467" s="229"/>
      <c r="EF467" s="228">
        <f t="shared" si="1480"/>
        <v>0</v>
      </c>
      <c r="EG467" s="228">
        <f t="shared" si="1442"/>
        <v>108</v>
      </c>
      <c r="EH467" s="229">
        <f t="shared" si="1481"/>
        <v>175.25</v>
      </c>
      <c r="EI467" s="229">
        <v>173.64</v>
      </c>
      <c r="EJ467" s="228">
        <f t="shared" si="1443"/>
        <v>348.89</v>
      </c>
      <c r="EK467" s="229"/>
      <c r="EL467" s="229"/>
      <c r="EM467" s="228">
        <f t="shared" si="1468"/>
        <v>0</v>
      </c>
      <c r="EN467" s="229">
        <f t="shared" si="1423"/>
        <v>175.25</v>
      </c>
      <c r="EO467" s="229">
        <f t="shared" si="1451"/>
        <v>173.64</v>
      </c>
      <c r="EP467" s="228">
        <f>EM467+EJ467</f>
        <v>348.89</v>
      </c>
      <c r="EQ467" s="173">
        <f t="shared" si="1479"/>
        <v>5.25</v>
      </c>
      <c r="ER467" s="189">
        <v>0</v>
      </c>
      <c r="ES467" s="189">
        <v>43.8</v>
      </c>
      <c r="ET467" s="189">
        <v>17.600000000000001</v>
      </c>
      <c r="EU467" s="189">
        <v>0</v>
      </c>
      <c r="EV467" s="189">
        <v>0</v>
      </c>
      <c r="EW467" s="189">
        <v>158.6</v>
      </c>
      <c r="EX467" s="189">
        <v>0</v>
      </c>
      <c r="EY467" s="189">
        <v>75</v>
      </c>
      <c r="EZ467" s="189">
        <v>0</v>
      </c>
      <c r="FA467" s="189">
        <v>0</v>
      </c>
      <c r="FB467" s="189">
        <v>15</v>
      </c>
      <c r="FC467" s="189">
        <v>200</v>
      </c>
      <c r="FD467" s="189">
        <v>0</v>
      </c>
      <c r="FE467" s="189">
        <v>0</v>
      </c>
      <c r="FF467" s="189">
        <v>0</v>
      </c>
      <c r="FG467" s="189">
        <v>0</v>
      </c>
      <c r="FH467" s="189">
        <v>108</v>
      </c>
      <c r="FI467" s="189">
        <v>0</v>
      </c>
      <c r="FJ467" s="189">
        <v>0</v>
      </c>
      <c r="FK467" s="189">
        <v>618</v>
      </c>
      <c r="FL467" s="189">
        <v>526</v>
      </c>
      <c r="FN467" s="132">
        <v>175.25</v>
      </c>
    </row>
    <row r="468" spans="1:170" ht="30" customHeight="1">
      <c r="A468" s="88">
        <f>COUNTIF($H$12:H472,H468)</f>
        <v>50</v>
      </c>
      <c r="B468" s="88" t="s">
        <v>2747</v>
      </c>
      <c r="C468" s="88" t="s">
        <v>822</v>
      </c>
      <c r="D468" s="88"/>
      <c r="E468" s="88"/>
      <c r="F468" s="301" t="s">
        <v>2893</v>
      </c>
      <c r="G468" s="89" t="s">
        <v>2089</v>
      </c>
      <c r="H468" s="88">
        <v>9</v>
      </c>
      <c r="I468" s="88">
        <v>9</v>
      </c>
      <c r="J468" s="88">
        <v>9</v>
      </c>
      <c r="K468" s="90" t="s">
        <v>1105</v>
      </c>
      <c r="L468" s="90" t="s">
        <v>1105</v>
      </c>
      <c r="M468" s="214"/>
      <c r="N468" s="88" t="s">
        <v>1804</v>
      </c>
      <c r="O468" s="216">
        <f>BO468</f>
        <v>2.67</v>
      </c>
      <c r="P468" s="88" t="str">
        <f t="shared" si="1519"/>
        <v>B1_3</v>
      </c>
      <c r="Q468" s="88">
        <f t="shared" si="1369"/>
        <v>270</v>
      </c>
      <c r="R468" s="88">
        <f t="shared" si="1370"/>
        <v>100</v>
      </c>
      <c r="S468" s="231" t="s">
        <v>1927</v>
      </c>
      <c r="T468" s="214" t="s">
        <v>2961</v>
      </c>
      <c r="U468" s="88">
        <f>IF(RIGHT(T468,1)="K",(VLOOKUP(T468,ma_miengiam!$A$3:$B$80,2,0)*100)/2,VLOOKUP(T468,ma_miengiam!$A$3:$B$80,2,0)*100)</f>
        <v>100</v>
      </c>
      <c r="V468" s="88"/>
      <c r="W468" s="220">
        <f>IF(AND(T468="NTS",V468&gt;0),(Q468-(Q468*V468)/12)*VLOOKUP(T468,ma_miengiam!$A$3:$B$80,2,0)+(Q468-(Q468*(12-V468))/12),IF(AND(RIGHT(T468,1)="K",V468&gt;0),(VLOOKUP(T468,ma_miengiam!$A$3:$B$80,2,0)/2)*(Q468*V468)/12,IF(RIGHT(T468,1)="K",(VLOOKUP(T468,ma_miengiam!$A$3:$B$80,2,0)*Q468)/2,IF(V468&gt;0,VLOOKUP(T468,ma_miengiam!$A$3:$B$80,2,0)*Q468*V468/12,VLOOKUP(T468,ma_miengiam!$A$3:$B$80,2,0)*Q468))))</f>
        <v>270</v>
      </c>
      <c r="X468" s="220">
        <f>IF(T468="NTS",VLOOKUP(T468,ma_miengiam!$A$3:$B$80,2,0)*R468*V468,IF(AND(T468="NTS",V468=0),0,IF(AND(LEFT(T468,1)="K",V468=0),VLOOKUP(T468,ma_miengiam!$A$3:$B$80,2,0)*R468,IF(LEFT(T468,1)="K",(VLOOKUP(T468,ma_miengiam!$A$3:$B$80,2,0)*R468/12)*V468,IF(AND(LEFT(T468,1)="S",V468&gt;0),(R468/12)*V468,IF(AND(LEFT(T468,1)="S",V468=0),R468,IF(T468="DH",VLOOKUP(T468,ma_miengiam!$A$3:$B$80,2,0)*R468,0)))))))</f>
        <v>100</v>
      </c>
      <c r="Y468" s="220">
        <f t="shared" si="1344"/>
        <v>0</v>
      </c>
      <c r="Z468" s="220">
        <f>IF(AND(T468="SĐH",V468&gt;0),(R468/12)*V468-X468,IF(AND(T468="DH",V468&gt;0),(R468*V468/12),IF(AND(T468&lt;&gt;"NTS",V468&gt;0),(R468*V468/12)-X468,IF(AND(T468="NTS",V468&gt;0),R468-X468,R468-X468))))</f>
        <v>0</v>
      </c>
      <c r="AA468" s="220">
        <f>Q468</f>
        <v>270</v>
      </c>
      <c r="AB468" s="220">
        <f>R468</f>
        <v>100</v>
      </c>
      <c r="AC468" s="220">
        <f>W468</f>
        <v>270</v>
      </c>
      <c r="AD468" s="220">
        <f>X468</f>
        <v>100</v>
      </c>
      <c r="AE468" s="220">
        <f>Y468</f>
        <v>0</v>
      </c>
      <c r="AF468" s="220">
        <f>Z468</f>
        <v>0</v>
      </c>
      <c r="AG468" s="220">
        <f>AH468+AI468</f>
        <v>89.62</v>
      </c>
      <c r="AH468" s="220">
        <f>EO468</f>
        <v>89.62</v>
      </c>
      <c r="AI468" s="220">
        <f>EN468</f>
        <v>0</v>
      </c>
      <c r="AJ468" s="220">
        <f>IF(AG468-Z468&gt;0,0,AG468-Z468)</f>
        <v>0</v>
      </c>
      <c r="AK468" s="216">
        <f t="shared" si="1454"/>
        <v>0</v>
      </c>
      <c r="AL468" s="220">
        <f t="shared" si="1431"/>
        <v>0</v>
      </c>
      <c r="AM468" s="220">
        <f t="shared" si="1432"/>
        <v>0</v>
      </c>
      <c r="AN468" s="221">
        <f t="shared" si="1433"/>
        <v>0</v>
      </c>
      <c r="AO468" s="220">
        <f t="shared" si="1434"/>
        <v>0</v>
      </c>
      <c r="AP468" s="220">
        <f t="shared" si="1435"/>
        <v>0</v>
      </c>
      <c r="AQ468" s="220">
        <f t="shared" si="1436"/>
        <v>0</v>
      </c>
      <c r="AR468" s="220">
        <f t="shared" si="1437"/>
        <v>0</v>
      </c>
      <c r="AS468" s="220">
        <f t="shared" si="1438"/>
        <v>0</v>
      </c>
      <c r="AT468" s="216">
        <f t="shared" si="1439"/>
        <v>0</v>
      </c>
      <c r="AU468" s="222">
        <f>AN468-AK468</f>
        <v>0</v>
      </c>
      <c r="AV468" s="220"/>
      <c r="AW468" s="220">
        <f>IF(AU468&gt;0,AU468,AV468+AU468)</f>
        <v>0</v>
      </c>
      <c r="AX468" s="216">
        <f t="shared" si="1448"/>
        <v>0</v>
      </c>
      <c r="AY468" s="220">
        <f>IF(AN468&gt;=AK468,AO468,IF(AN468+AO468-AK468&gt;=0,AN468+AO468-AK468,0))</f>
        <v>0</v>
      </c>
      <c r="AZ468" s="220">
        <f>IF(OR(AN468&gt;=AK468,AN468+AO468&gt;=AK468),AP468,IF(AN468+AO468+AP468&gt;AK468,AN468+AO468+AP468-AK468,0))</f>
        <v>0</v>
      </c>
      <c r="BA468" s="220">
        <f>IF(OR(AN468&gt;=AK468,AN468+AO468&gt;=AK468,AN468+AO468+AP468&gt;=AK468),AQ468,IF(AN468+AO468+AP468+AQ468&gt;=AK468,AN468+AO468+AP468+AQ468-AK468,0))</f>
        <v>0</v>
      </c>
      <c r="BB468" s="220">
        <f>IF(OR(AN468&gt;=AK468,AN468+AO468&gt;=AK468,AN468+AO468+AP468&gt;=AK468,AN468+AO468+AP468+AQ468&gt;=AK468),AR468,IF(AN468+AO468+AP468+AQ468+AR468&gt;=AK468,AN468+AO468+AP468+AQ468+AR468-AK468,0))</f>
        <v>0</v>
      </c>
      <c r="BC468" s="220">
        <f>IF(OR(AN468&gt;=AK468,AN468+AO468&gt;=AK468,AN468+AO468+AP468&gt;=AK468,AN468+AO468+AP468+AQ468&gt;=AK468,AN468+AO468+AP468+AQ468+AR468&gt;=AK468),AS468,IF(AN468+AO468+AP468+AQ468+AR468+AS468&gt;=AK468,AN468+AO468+AP468+AQ468+AR468+AS468-AK468,0))</f>
        <v>0</v>
      </c>
      <c r="BD468" s="216">
        <f t="shared" si="1410"/>
        <v>0</v>
      </c>
      <c r="BE468" s="220">
        <f>AY468-AO468</f>
        <v>0</v>
      </c>
      <c r="BF468" s="220">
        <f>AZ468-AP468</f>
        <v>0</v>
      </c>
      <c r="BG468" s="220">
        <f>BA468-AQ468</f>
        <v>0</v>
      </c>
      <c r="BH468" s="220">
        <f>BB468-AR468</f>
        <v>0</v>
      </c>
      <c r="BI468" s="220">
        <f>BC468-AS468</f>
        <v>0</v>
      </c>
      <c r="BJ468" s="220" t="s">
        <v>1794</v>
      </c>
      <c r="BK468" s="220"/>
      <c r="BL468" s="223">
        <f t="shared" si="1422"/>
        <v>0</v>
      </c>
      <c r="BM468" s="220">
        <v>2.67</v>
      </c>
      <c r="BN468" s="220"/>
      <c r="BO468" s="220">
        <f t="shared" si="1513"/>
        <v>2.67</v>
      </c>
      <c r="BP468" s="220">
        <f>IF(AND(BL468&gt;0,BL468&lt;tiet!$D$1),BL468,IF(BL468&lt;=0,0,IF(BL468&gt;tiet!$C$1,tiet!$C$1)))</f>
        <v>0</v>
      </c>
      <c r="BQ468" s="87">
        <f>VLOOKUP(P468,ma_dinhmuc_moi,4,0)</f>
        <v>60000</v>
      </c>
      <c r="BR468" s="224">
        <f>ROUND(BQ468*BP468,0)</f>
        <v>0</v>
      </c>
      <c r="BS468" s="220">
        <f t="shared" si="1478"/>
        <v>0</v>
      </c>
      <c r="BT468" s="224">
        <f>VLOOKUP(N468,ma_dinhmuc!$A$1:$J$31,10,0)</f>
        <v>51000</v>
      </c>
      <c r="BU468" s="224">
        <f>ROUND(IF(BS468&gt;0,VLOOKUP(N468,ma_dinhmuc!$A$1:$J$31,10,0)*BS468,0),0)</f>
        <v>0</v>
      </c>
      <c r="BV468" s="224">
        <f>ROUND(BU468+BR468,0)</f>
        <v>0</v>
      </c>
      <c r="BW468" s="224"/>
      <c r="BX468" s="224">
        <v>0</v>
      </c>
      <c r="BY468" s="224"/>
      <c r="BZ468" s="224"/>
      <c r="CA468" s="224"/>
      <c r="CB468" s="224"/>
      <c r="CC468" s="225">
        <f>ROUND(IF(BV468+BW468&gt;BX468+BY468+BZ468+CA468+CB468,(BW468+BV468)-(BX468+BY468+BZ468+CA468+CB468+CB468),0),0)</f>
        <v>0</v>
      </c>
      <c r="CD468" s="224">
        <f>ROUND(IF(BV468+BW468&lt;BX468+BY468+BZ468+CA468-CB468,(BX468+BY468+BZ468+CA468-CB468)-(BW468+BV468),0),0)</f>
        <v>0</v>
      </c>
      <c r="CE468" s="224"/>
      <c r="CF468" s="226"/>
      <c r="CG468" s="87"/>
      <c r="CH468" s="87">
        <f>A468</f>
        <v>50</v>
      </c>
      <c r="CI468" s="227" t="str">
        <f>F468</f>
        <v>Hoàng</v>
      </c>
      <c r="CJ468" s="227" t="str">
        <f>G468</f>
        <v>Minh</v>
      </c>
      <c r="CK468" s="87">
        <f>H468</f>
        <v>9</v>
      </c>
      <c r="CL468" s="227" t="str">
        <f>L468</f>
        <v>Tổ chức - Giải phẫu - Phôi thai</v>
      </c>
      <c r="CM468" s="87" t="str">
        <f>N468</f>
        <v>CS2</v>
      </c>
      <c r="CN468" s="87">
        <f>Q468</f>
        <v>270</v>
      </c>
      <c r="CO468" s="87">
        <f>R468</f>
        <v>100</v>
      </c>
      <c r="CP468" s="229">
        <f t="shared" si="1483"/>
        <v>0</v>
      </c>
      <c r="CQ468" s="229">
        <f t="shared" si="1484"/>
        <v>0</v>
      </c>
      <c r="CR468" s="229">
        <f t="shared" si="1485"/>
        <v>0</v>
      </c>
      <c r="CS468" s="229">
        <f t="shared" si="1486"/>
        <v>0</v>
      </c>
      <c r="CT468" s="229">
        <f t="shared" si="1487"/>
        <v>0</v>
      </c>
      <c r="CU468" s="229">
        <f t="shared" si="1488"/>
        <v>0</v>
      </c>
      <c r="CV468" s="229">
        <f t="shared" si="1489"/>
        <v>0</v>
      </c>
      <c r="CW468" s="229">
        <f t="shared" si="1490"/>
        <v>0</v>
      </c>
      <c r="CX468" s="229">
        <f t="shared" si="1491"/>
        <v>0</v>
      </c>
      <c r="CY468" s="229">
        <f t="shared" si="1492"/>
        <v>0</v>
      </c>
      <c r="CZ468" s="229">
        <f t="shared" si="1493"/>
        <v>0</v>
      </c>
      <c r="DA468" s="229">
        <f t="shared" si="1494"/>
        <v>0</v>
      </c>
      <c r="DB468" s="228">
        <f t="shared" si="1429"/>
        <v>0</v>
      </c>
      <c r="DC468" s="229"/>
      <c r="DD468" s="229"/>
      <c r="DE468" s="229"/>
      <c r="DF468" s="229"/>
      <c r="DG468" s="229"/>
      <c r="DH468" s="229"/>
      <c r="DI468" s="229"/>
      <c r="DJ468" s="229"/>
      <c r="DK468" s="229"/>
      <c r="DL468" s="229"/>
      <c r="DM468" s="229"/>
      <c r="DN468" s="229"/>
      <c r="DO468" s="228">
        <f t="shared" si="1440"/>
        <v>0</v>
      </c>
      <c r="DP468" s="228">
        <f t="shared" si="1441"/>
        <v>0</v>
      </c>
      <c r="DQ468" s="229">
        <f t="shared" si="1495"/>
        <v>0</v>
      </c>
      <c r="DR468" s="229">
        <f t="shared" si="1496"/>
        <v>0</v>
      </c>
      <c r="DS468" s="229">
        <f t="shared" si="1497"/>
        <v>0</v>
      </c>
      <c r="DT468" s="229">
        <f t="shared" si="1498"/>
        <v>0</v>
      </c>
      <c r="DU468" s="229">
        <f t="shared" si="1499"/>
        <v>0</v>
      </c>
      <c r="DV468" s="229">
        <f t="shared" si="1500"/>
        <v>0</v>
      </c>
      <c r="DW468" s="229">
        <f t="shared" si="1501"/>
        <v>0</v>
      </c>
      <c r="DX468" s="228">
        <f t="shared" si="1430"/>
        <v>0</v>
      </c>
      <c r="DY468" s="229"/>
      <c r="DZ468" s="229"/>
      <c r="EA468" s="229"/>
      <c r="EB468" s="229"/>
      <c r="EC468" s="229"/>
      <c r="ED468" s="229"/>
      <c r="EE468" s="229"/>
      <c r="EF468" s="228">
        <f t="shared" si="1480"/>
        <v>0</v>
      </c>
      <c r="EG468" s="228">
        <f t="shared" si="1442"/>
        <v>0</v>
      </c>
      <c r="EH468" s="229">
        <f t="shared" si="1481"/>
        <v>0</v>
      </c>
      <c r="EI468" s="229">
        <v>89.62</v>
      </c>
      <c r="EJ468" s="228">
        <f>SUM(EH468:EI468)</f>
        <v>89.62</v>
      </c>
      <c r="EK468" s="229"/>
      <c r="EL468" s="229"/>
      <c r="EM468" s="228">
        <f t="shared" si="1468"/>
        <v>0</v>
      </c>
      <c r="EN468" s="229">
        <f t="shared" si="1423"/>
        <v>0</v>
      </c>
      <c r="EO468" s="229">
        <f>EI468</f>
        <v>89.62</v>
      </c>
      <c r="EP468" s="228">
        <f>EM468+EJ468</f>
        <v>89.62</v>
      </c>
      <c r="EQ468" s="173">
        <f t="shared" si="1479"/>
        <v>0</v>
      </c>
      <c r="ER468" s="189">
        <v>0</v>
      </c>
      <c r="ES468" s="189">
        <v>0</v>
      </c>
      <c r="ET468" s="189">
        <v>0</v>
      </c>
      <c r="EU468" s="189">
        <v>0</v>
      </c>
      <c r="EV468" s="189">
        <v>0</v>
      </c>
      <c r="EW468" s="189">
        <v>0</v>
      </c>
      <c r="EX468" s="189">
        <v>0</v>
      </c>
      <c r="EY468" s="189">
        <v>0</v>
      </c>
      <c r="EZ468" s="189">
        <v>0</v>
      </c>
      <c r="FA468" s="189">
        <v>0</v>
      </c>
      <c r="FB468" s="189">
        <v>0</v>
      </c>
      <c r="FC468" s="189">
        <v>0</v>
      </c>
      <c r="FD468" s="189">
        <v>0</v>
      </c>
      <c r="FE468" s="189">
        <v>0</v>
      </c>
      <c r="FF468" s="189">
        <v>0</v>
      </c>
      <c r="FG468" s="189">
        <v>0</v>
      </c>
      <c r="FH468" s="189">
        <v>0</v>
      </c>
      <c r="FI468" s="189">
        <v>0</v>
      </c>
      <c r="FJ468" s="189">
        <v>0</v>
      </c>
      <c r="FK468" s="189">
        <v>0</v>
      </c>
      <c r="FL468" s="189">
        <v>0</v>
      </c>
      <c r="FN468" s="132">
        <v>0</v>
      </c>
    </row>
    <row r="469" spans="1:170" ht="30" customHeight="1">
      <c r="A469" s="88">
        <f>COUNTIF($H$12:H469,H469)</f>
        <v>47</v>
      </c>
      <c r="B469" s="88" t="s">
        <v>2743</v>
      </c>
      <c r="C469" s="88" t="s">
        <v>823</v>
      </c>
      <c r="D469" s="88"/>
      <c r="E469" s="88"/>
      <c r="F469" s="301" t="s">
        <v>2787</v>
      </c>
      <c r="G469" s="89" t="s">
        <v>14</v>
      </c>
      <c r="H469" s="88">
        <v>9</v>
      </c>
      <c r="I469" s="88">
        <v>9</v>
      </c>
      <c r="J469" s="88">
        <v>9</v>
      </c>
      <c r="K469" s="90" t="s">
        <v>1105</v>
      </c>
      <c r="L469" s="90" t="s">
        <v>1105</v>
      </c>
      <c r="M469" s="214"/>
      <c r="N469" s="88" t="s">
        <v>1804</v>
      </c>
      <c r="O469" s="216">
        <f t="shared" si="1503"/>
        <v>3.66</v>
      </c>
      <c r="P469" s="88" t="str">
        <f t="shared" si="1519"/>
        <v>B1_4</v>
      </c>
      <c r="Q469" s="88">
        <f t="shared" si="1369"/>
        <v>270</v>
      </c>
      <c r="R469" s="88">
        <f t="shared" si="1370"/>
        <v>120</v>
      </c>
      <c r="S469" s="218" t="s">
        <v>676</v>
      </c>
      <c r="T469" s="219" t="s">
        <v>3089</v>
      </c>
      <c r="U469" s="88">
        <f>IF(RIGHT(T469,1)="K",(VLOOKUP(T469,ma_miengiam!$A$3:$B$80,2,0)*100)/2,VLOOKUP(T469,ma_miengiam!$A$3:$B$80,2,0)*100)</f>
        <v>10</v>
      </c>
      <c r="V469" s="88"/>
      <c r="W469" s="220">
        <f>IF(AND(T469="NTS",V469&gt;0),(Q469-(Q469*V469)/12)*VLOOKUP(T469,ma_miengiam!$A$3:$B$80,2,0)+(Q469-(Q469*(12-V469))/12),IF(AND(RIGHT(T469,1)="K",V469&gt;0),(VLOOKUP(T469,ma_miengiam!$A$3:$B$80,2,0)/2)*(Q469*V469)/12,IF(RIGHT(T469,1)="K",(VLOOKUP(T469,ma_miengiam!$A$3:$B$80,2,0)*Q469)/2,IF(V469&gt;0,VLOOKUP(T469,ma_miengiam!$A$3:$B$80,2,0)*Q469*V469/12,VLOOKUP(T469,ma_miengiam!$A$3:$B$80,2,0)*Q469))))</f>
        <v>27</v>
      </c>
      <c r="X469" s="220">
        <f>IF(T469="NTS",VLOOKUP(T469,ma_miengiam!$A$3:$B$80,2,0)*R469*V469,IF(AND(T469="NTS",V469=0),0,IF(AND(LEFT(T469,1)="K",V469=0),VLOOKUP(T469,ma_miengiam!$A$3:$B$80,2,0)*R469,IF(LEFT(T469,1)="K",(VLOOKUP(T469,ma_miengiam!$A$3:$B$80,2,0)*R469/12)*V469,IF(AND(LEFT(T469,1)="S",V469&gt;0),(R469/12)*V469,IF(AND(LEFT(T469,1)="S",V469=0),R469,IF(T469="DH",VLOOKUP(T469,ma_miengiam!$A$3:$B$80,2,0)*R469,0)))))))</f>
        <v>0</v>
      </c>
      <c r="Y469" s="220">
        <f t="shared" si="1344"/>
        <v>243</v>
      </c>
      <c r="Z469" s="220">
        <f t="shared" si="1457"/>
        <v>120</v>
      </c>
      <c r="AA469" s="220">
        <f t="shared" si="1504"/>
        <v>270</v>
      </c>
      <c r="AB469" s="220">
        <f t="shared" si="1505"/>
        <v>120</v>
      </c>
      <c r="AC469" s="220">
        <f t="shared" si="1506"/>
        <v>27</v>
      </c>
      <c r="AD469" s="220">
        <f t="shared" si="1507"/>
        <v>0</v>
      </c>
      <c r="AE469" s="220">
        <f t="shared" si="1508"/>
        <v>243</v>
      </c>
      <c r="AF469" s="220">
        <f t="shared" si="1509"/>
        <v>120</v>
      </c>
      <c r="AG469" s="220">
        <f t="shared" si="1510"/>
        <v>2</v>
      </c>
      <c r="AH469" s="220">
        <f t="shared" si="1511"/>
        <v>2</v>
      </c>
      <c r="AI469" s="220">
        <f t="shared" si="1512"/>
        <v>0</v>
      </c>
      <c r="AJ469" s="220">
        <f t="shared" si="1396"/>
        <v>-118</v>
      </c>
      <c r="AK469" s="216">
        <f t="shared" si="1454"/>
        <v>361</v>
      </c>
      <c r="AL469" s="220">
        <f t="shared" si="1431"/>
        <v>676.4</v>
      </c>
      <c r="AM469" s="220">
        <f t="shared" si="1432"/>
        <v>9.6999999999999993</v>
      </c>
      <c r="AN469" s="221">
        <f t="shared" si="1433"/>
        <v>686.1</v>
      </c>
      <c r="AO469" s="220">
        <f t="shared" si="1434"/>
        <v>0</v>
      </c>
      <c r="AP469" s="220">
        <f t="shared" si="1435"/>
        <v>15</v>
      </c>
      <c r="AQ469" s="220">
        <f t="shared" si="1436"/>
        <v>240</v>
      </c>
      <c r="AR469" s="220">
        <f t="shared" si="1437"/>
        <v>12</v>
      </c>
      <c r="AS469" s="220">
        <f t="shared" si="1438"/>
        <v>0</v>
      </c>
      <c r="AT469" s="216">
        <f t="shared" si="1439"/>
        <v>953.1</v>
      </c>
      <c r="AU469" s="222">
        <f t="shared" si="1447"/>
        <v>325.10000000000002</v>
      </c>
      <c r="AV469" s="220"/>
      <c r="AW469" s="220">
        <f t="shared" si="1379"/>
        <v>325.10000000000002</v>
      </c>
      <c r="AX469" s="216">
        <f t="shared" si="1448"/>
        <v>0</v>
      </c>
      <c r="AY469" s="220">
        <f t="shared" si="1386"/>
        <v>0</v>
      </c>
      <c r="AZ469" s="220">
        <f t="shared" si="1387"/>
        <v>15</v>
      </c>
      <c r="BA469" s="220">
        <f t="shared" si="1388"/>
        <v>240</v>
      </c>
      <c r="BB469" s="220">
        <f t="shared" si="1389"/>
        <v>12</v>
      </c>
      <c r="BC469" s="220">
        <f t="shared" si="1390"/>
        <v>0</v>
      </c>
      <c r="BD469" s="216">
        <f t="shared" si="1410"/>
        <v>267</v>
      </c>
      <c r="BE469" s="220">
        <f t="shared" si="1380"/>
        <v>0</v>
      </c>
      <c r="BF469" s="220">
        <f t="shared" si="1381"/>
        <v>0</v>
      </c>
      <c r="BG469" s="220">
        <f t="shared" si="1382"/>
        <v>0</v>
      </c>
      <c r="BH469" s="220">
        <f t="shared" si="1383"/>
        <v>0</v>
      </c>
      <c r="BI469" s="220">
        <f t="shared" si="1384"/>
        <v>0</v>
      </c>
      <c r="BJ469" s="220" t="s">
        <v>1795</v>
      </c>
      <c r="BK469" s="220"/>
      <c r="BL469" s="223">
        <f t="shared" si="1422"/>
        <v>325.10000000000002</v>
      </c>
      <c r="BM469" s="220">
        <v>3.66</v>
      </c>
      <c r="BN469" s="220"/>
      <c r="BO469" s="220">
        <f t="shared" si="1513"/>
        <v>3.66</v>
      </c>
      <c r="BP469" s="220">
        <f>IF(AND(BL469&gt;0,BL469&lt;tiet!$D$1),BL469,IF(BL469&lt;=0,0,IF(BL469&gt;tiet!$C$1,tiet!$C$1)))</f>
        <v>200</v>
      </c>
      <c r="BQ469" s="87">
        <f t="shared" si="1397"/>
        <v>65000</v>
      </c>
      <c r="BR469" s="224">
        <f t="shared" si="1391"/>
        <v>13000000</v>
      </c>
      <c r="BS469" s="220">
        <f t="shared" si="1478"/>
        <v>125.10000000000002</v>
      </c>
      <c r="BT469" s="224">
        <f>VLOOKUP(N469,ma_dinhmuc!$A$1:$J$31,10,0)</f>
        <v>51000</v>
      </c>
      <c r="BU469" s="224">
        <f>ROUND(IF(BS469&gt;0,VLOOKUP(N469,ma_dinhmuc!$A$1:$J$31,10,0)*BS469,0),0)</f>
        <v>6380100</v>
      </c>
      <c r="BV469" s="224">
        <f t="shared" si="1392"/>
        <v>19380100</v>
      </c>
      <c r="BW469" s="224"/>
      <c r="BX469" s="224">
        <v>0</v>
      </c>
      <c r="BY469" s="224"/>
      <c r="BZ469" s="224"/>
      <c r="CA469" s="224"/>
      <c r="CB469" s="224"/>
      <c r="CC469" s="225">
        <f t="shared" si="1419"/>
        <v>19380100</v>
      </c>
      <c r="CD469" s="224">
        <f t="shared" si="1420"/>
        <v>0</v>
      </c>
      <c r="CE469" s="224"/>
      <c r="CF469" s="226"/>
      <c r="CG469" s="87"/>
      <c r="CH469" s="87">
        <f t="shared" si="1471"/>
        <v>47</v>
      </c>
      <c r="CI469" s="227" t="str">
        <f t="shared" si="1514"/>
        <v>Hoàng Minh</v>
      </c>
      <c r="CJ469" s="227" t="str">
        <f t="shared" si="1515"/>
        <v>Sơn</v>
      </c>
      <c r="CK469" s="87">
        <f t="shared" si="1482"/>
        <v>9</v>
      </c>
      <c r="CL469" s="227" t="str">
        <f t="shared" si="1518"/>
        <v>Tổ chức - Giải phẫu - Phôi thai</v>
      </c>
      <c r="CM469" s="87" t="str">
        <f t="shared" si="1385"/>
        <v>CS2</v>
      </c>
      <c r="CN469" s="87">
        <f t="shared" si="1516"/>
        <v>270</v>
      </c>
      <c r="CO469" s="87">
        <f t="shared" si="1517"/>
        <v>120</v>
      </c>
      <c r="CP469" s="229">
        <f t="shared" si="1483"/>
        <v>0</v>
      </c>
      <c r="CQ469" s="229">
        <f t="shared" si="1484"/>
        <v>78.2</v>
      </c>
      <c r="CR469" s="229">
        <f t="shared" si="1485"/>
        <v>31.4</v>
      </c>
      <c r="CS469" s="229">
        <f t="shared" si="1486"/>
        <v>160.19999999999999</v>
      </c>
      <c r="CT469" s="229">
        <f t="shared" si="1487"/>
        <v>0</v>
      </c>
      <c r="CU469" s="229">
        <f t="shared" si="1488"/>
        <v>202.6</v>
      </c>
      <c r="CV469" s="229">
        <f t="shared" si="1489"/>
        <v>0</v>
      </c>
      <c r="CW469" s="229">
        <f t="shared" si="1490"/>
        <v>204</v>
      </c>
      <c r="CX469" s="229">
        <f t="shared" si="1491"/>
        <v>0</v>
      </c>
      <c r="CY469" s="229">
        <f t="shared" si="1492"/>
        <v>0</v>
      </c>
      <c r="CZ469" s="229">
        <f t="shared" si="1493"/>
        <v>15</v>
      </c>
      <c r="DA469" s="229">
        <f t="shared" si="1494"/>
        <v>240</v>
      </c>
      <c r="DB469" s="228">
        <f>SUM(CP469:DA469)</f>
        <v>931.4</v>
      </c>
      <c r="DC469" s="229"/>
      <c r="DD469" s="229"/>
      <c r="DE469" s="229"/>
      <c r="DF469" s="229"/>
      <c r="DG469" s="229"/>
      <c r="DH469" s="229"/>
      <c r="DI469" s="229"/>
      <c r="DJ469" s="229"/>
      <c r="DK469" s="229"/>
      <c r="DL469" s="229"/>
      <c r="DM469" s="229"/>
      <c r="DN469" s="229"/>
      <c r="DO469" s="228">
        <f t="shared" si="1440"/>
        <v>0</v>
      </c>
      <c r="DP469" s="228">
        <f t="shared" si="1441"/>
        <v>931.4</v>
      </c>
      <c r="DQ469" s="229">
        <f t="shared" si="1495"/>
        <v>9</v>
      </c>
      <c r="DR469" s="229">
        <f t="shared" si="1496"/>
        <v>0.5</v>
      </c>
      <c r="DS469" s="229">
        <f t="shared" si="1497"/>
        <v>0</v>
      </c>
      <c r="DT469" s="229">
        <f t="shared" si="1498"/>
        <v>0.2</v>
      </c>
      <c r="DU469" s="229">
        <f t="shared" si="1499"/>
        <v>0</v>
      </c>
      <c r="DV469" s="229">
        <f t="shared" si="1500"/>
        <v>12</v>
      </c>
      <c r="DW469" s="229">
        <f t="shared" si="1501"/>
        <v>0</v>
      </c>
      <c r="DX469" s="228">
        <f t="shared" si="1430"/>
        <v>21.7</v>
      </c>
      <c r="DY469" s="229"/>
      <c r="DZ469" s="229"/>
      <c r="EA469" s="229"/>
      <c r="EB469" s="229"/>
      <c r="EC469" s="229"/>
      <c r="ED469" s="229"/>
      <c r="EE469" s="229"/>
      <c r="EF469" s="228">
        <f t="shared" si="1480"/>
        <v>0</v>
      </c>
      <c r="EG469" s="228">
        <f t="shared" si="1442"/>
        <v>21.7</v>
      </c>
      <c r="EH469" s="229">
        <f t="shared" si="1481"/>
        <v>0</v>
      </c>
      <c r="EI469" s="229">
        <v>2</v>
      </c>
      <c r="EJ469" s="228">
        <f t="shared" si="1443"/>
        <v>2</v>
      </c>
      <c r="EK469" s="229"/>
      <c r="EL469" s="229"/>
      <c r="EM469" s="228">
        <f t="shared" si="1468"/>
        <v>0</v>
      </c>
      <c r="EN469" s="229">
        <f t="shared" si="1423"/>
        <v>0</v>
      </c>
      <c r="EO469" s="229">
        <f t="shared" si="1451"/>
        <v>2</v>
      </c>
      <c r="EP469" s="228">
        <f t="shared" si="1461"/>
        <v>2</v>
      </c>
      <c r="EQ469" s="173">
        <f t="shared" si="1479"/>
        <v>0</v>
      </c>
      <c r="ER469" s="189">
        <v>0</v>
      </c>
      <c r="ES469" s="189">
        <v>78.2</v>
      </c>
      <c r="ET469" s="189">
        <v>31.4</v>
      </c>
      <c r="EU469" s="189">
        <v>160.19999999999999</v>
      </c>
      <c r="EV469" s="189">
        <v>0</v>
      </c>
      <c r="EW469" s="189">
        <v>202.6</v>
      </c>
      <c r="EX469" s="189">
        <v>0</v>
      </c>
      <c r="EY469" s="189">
        <v>204</v>
      </c>
      <c r="EZ469" s="189">
        <v>0</v>
      </c>
      <c r="FA469" s="189">
        <v>0</v>
      </c>
      <c r="FB469" s="189">
        <v>15</v>
      </c>
      <c r="FC469" s="189">
        <v>240</v>
      </c>
      <c r="FD469" s="189">
        <v>9</v>
      </c>
      <c r="FE469" s="189">
        <v>0.5</v>
      </c>
      <c r="FF469" s="189">
        <v>0</v>
      </c>
      <c r="FG469" s="189">
        <v>0.2</v>
      </c>
      <c r="FH469" s="189">
        <v>12</v>
      </c>
      <c r="FI469" s="189">
        <v>0</v>
      </c>
      <c r="FJ469" s="189">
        <v>0</v>
      </c>
      <c r="FK469" s="189">
        <v>953.1</v>
      </c>
      <c r="FL469" s="189">
        <v>786.2</v>
      </c>
      <c r="FN469" s="132">
        <v>0</v>
      </c>
    </row>
    <row r="470" spans="1:170" ht="30" customHeight="1">
      <c r="A470" s="88">
        <f>COUNTIF($H$12:H470,H470)</f>
        <v>48</v>
      </c>
      <c r="B470" s="88" t="s">
        <v>2744</v>
      </c>
      <c r="C470" s="88" t="s">
        <v>824</v>
      </c>
      <c r="D470" s="88"/>
      <c r="E470" s="88"/>
      <c r="F470" s="301" t="s">
        <v>2895</v>
      </c>
      <c r="G470" s="89" t="s">
        <v>1787</v>
      </c>
      <c r="H470" s="88">
        <v>9</v>
      </c>
      <c r="I470" s="88">
        <v>9</v>
      </c>
      <c r="J470" s="88">
        <v>9</v>
      </c>
      <c r="K470" s="90" t="s">
        <v>1105</v>
      </c>
      <c r="L470" s="90" t="s">
        <v>1105</v>
      </c>
      <c r="M470" s="214"/>
      <c r="N470" s="88" t="s">
        <v>1804</v>
      </c>
      <c r="O470" s="216">
        <f t="shared" si="1503"/>
        <v>3</v>
      </c>
      <c r="P470" s="88" t="str">
        <f t="shared" si="1519"/>
        <v>B1_3</v>
      </c>
      <c r="Q470" s="88">
        <f t="shared" si="1369"/>
        <v>270</v>
      </c>
      <c r="R470" s="88">
        <f t="shared" si="1370"/>
        <v>100</v>
      </c>
      <c r="S470" s="233" t="s">
        <v>925</v>
      </c>
      <c r="T470" s="88" t="s">
        <v>2961</v>
      </c>
      <c r="U470" s="88">
        <f>IF(RIGHT(T470,1)="K",(VLOOKUP(T470,ma_miengiam!$A$3:$B$80,2,0)*100)/2,VLOOKUP(T470,ma_miengiam!$A$3:$B$80,2,0)*100)</f>
        <v>100</v>
      </c>
      <c r="V470" s="88"/>
      <c r="W470" s="220">
        <f>IF(AND(T470="NTS",V470&gt;0),(Q470-(Q470*V470)/12)*VLOOKUP(T470,ma_miengiam!$A$3:$B$80,2,0)+(Q470-(Q470*(12-V470))/12),IF(AND(RIGHT(T470,1)="K",V470&gt;0),(VLOOKUP(T470,ma_miengiam!$A$3:$B$80,2,0)/2)*(Q470*V470)/12,IF(RIGHT(T470,1)="K",(VLOOKUP(T470,ma_miengiam!$A$3:$B$80,2,0)*Q470)/2,IF(V470&gt;0,VLOOKUP(T470,ma_miengiam!$A$3:$B$80,2,0)*Q470*V470/12,VLOOKUP(T470,ma_miengiam!$A$3:$B$80,2,0)*Q470))))</f>
        <v>270</v>
      </c>
      <c r="X470" s="220">
        <f>IF(T470="NTS",VLOOKUP(T470,ma_miengiam!$A$3:$B$80,2,0)*R470*V470,IF(AND(T470="NTS",V470=0),0,IF(AND(LEFT(T470,1)="K",V470=0),VLOOKUP(T470,ma_miengiam!$A$3:$B$80,2,0)*R470,IF(LEFT(T470,1)="K",(VLOOKUP(T470,ma_miengiam!$A$3:$B$80,2,0)*R470/12)*V470,IF(AND(LEFT(T470,1)="S",V470&gt;0),(R470/12)*V470,IF(AND(LEFT(T470,1)="S",V470=0),R470,IF(T470="DH",VLOOKUP(T470,ma_miengiam!$A$3:$B$80,2,0)*R470,0)))))))</f>
        <v>100</v>
      </c>
      <c r="Y470" s="220">
        <f t="shared" si="1344"/>
        <v>0</v>
      </c>
      <c r="Z470" s="220">
        <f t="shared" si="1457"/>
        <v>0</v>
      </c>
      <c r="AA470" s="220">
        <f t="shared" si="1504"/>
        <v>270</v>
      </c>
      <c r="AB470" s="220">
        <f t="shared" si="1505"/>
        <v>100</v>
      </c>
      <c r="AC470" s="220">
        <f t="shared" si="1506"/>
        <v>270</v>
      </c>
      <c r="AD470" s="220">
        <f t="shared" si="1507"/>
        <v>100</v>
      </c>
      <c r="AE470" s="220">
        <f t="shared" si="1508"/>
        <v>0</v>
      </c>
      <c r="AF470" s="220">
        <f t="shared" si="1509"/>
        <v>0</v>
      </c>
      <c r="AG470" s="220">
        <f t="shared" si="1510"/>
        <v>91.1</v>
      </c>
      <c r="AH470" s="220">
        <f t="shared" si="1511"/>
        <v>91.1</v>
      </c>
      <c r="AI470" s="220">
        <f t="shared" si="1512"/>
        <v>0</v>
      </c>
      <c r="AJ470" s="220">
        <f t="shared" si="1396"/>
        <v>0</v>
      </c>
      <c r="AK470" s="216">
        <f t="shared" si="1454"/>
        <v>0</v>
      </c>
      <c r="AL470" s="220">
        <f t="shared" si="1431"/>
        <v>0</v>
      </c>
      <c r="AM470" s="220">
        <f t="shared" si="1432"/>
        <v>0</v>
      </c>
      <c r="AN470" s="221">
        <f t="shared" si="1433"/>
        <v>0</v>
      </c>
      <c r="AO470" s="220">
        <f t="shared" si="1434"/>
        <v>0</v>
      </c>
      <c r="AP470" s="220">
        <f t="shared" si="1435"/>
        <v>0</v>
      </c>
      <c r="AQ470" s="220">
        <f t="shared" si="1436"/>
        <v>0</v>
      </c>
      <c r="AR470" s="220">
        <f t="shared" si="1437"/>
        <v>0</v>
      </c>
      <c r="AS470" s="220">
        <f t="shared" si="1438"/>
        <v>0</v>
      </c>
      <c r="AT470" s="216">
        <f t="shared" si="1439"/>
        <v>0</v>
      </c>
      <c r="AU470" s="222">
        <f t="shared" si="1447"/>
        <v>0</v>
      </c>
      <c r="AV470" s="220"/>
      <c r="AW470" s="220">
        <f t="shared" si="1379"/>
        <v>0</v>
      </c>
      <c r="AX470" s="216">
        <f t="shared" si="1448"/>
        <v>0</v>
      </c>
      <c r="AY470" s="220">
        <f t="shared" si="1386"/>
        <v>0</v>
      </c>
      <c r="AZ470" s="220">
        <f t="shared" si="1387"/>
        <v>0</v>
      </c>
      <c r="BA470" s="220">
        <f t="shared" si="1388"/>
        <v>0</v>
      </c>
      <c r="BB470" s="220">
        <f t="shared" si="1389"/>
        <v>0</v>
      </c>
      <c r="BC470" s="220">
        <f t="shared" si="1390"/>
        <v>0</v>
      </c>
      <c r="BD470" s="216">
        <f t="shared" si="1410"/>
        <v>0</v>
      </c>
      <c r="BE470" s="220">
        <f t="shared" si="1380"/>
        <v>0</v>
      </c>
      <c r="BF470" s="220">
        <f t="shared" si="1381"/>
        <v>0</v>
      </c>
      <c r="BG470" s="220">
        <f t="shared" si="1382"/>
        <v>0</v>
      </c>
      <c r="BH470" s="220">
        <f t="shared" si="1383"/>
        <v>0</v>
      </c>
      <c r="BI470" s="220">
        <f t="shared" si="1384"/>
        <v>0</v>
      </c>
      <c r="BJ470" s="220" t="s">
        <v>1795</v>
      </c>
      <c r="BK470" s="220"/>
      <c r="BL470" s="223">
        <f t="shared" si="1422"/>
        <v>0</v>
      </c>
      <c r="BM470" s="220">
        <v>3</v>
      </c>
      <c r="BN470" s="220"/>
      <c r="BO470" s="220">
        <f t="shared" si="1513"/>
        <v>3</v>
      </c>
      <c r="BP470" s="220">
        <f>IF(AND(BL470&gt;0,BL470&lt;tiet!$D$1),BL470,IF(BL470&lt;=0,0,IF(BL470&gt;tiet!$C$1,tiet!$C$1)))</f>
        <v>0</v>
      </c>
      <c r="BQ470" s="87">
        <f t="shared" si="1397"/>
        <v>60000</v>
      </c>
      <c r="BR470" s="224">
        <f t="shared" si="1391"/>
        <v>0</v>
      </c>
      <c r="BS470" s="220">
        <f t="shared" si="1478"/>
        <v>0</v>
      </c>
      <c r="BT470" s="224">
        <f>VLOOKUP(N470,ma_dinhmuc!$A$1:$J$31,10,0)</f>
        <v>51000</v>
      </c>
      <c r="BU470" s="224">
        <f>ROUND(IF(BS470&gt;0,VLOOKUP(N470,ma_dinhmuc!$A$1:$J$31,10,0)*BS470,0),0)</f>
        <v>0</v>
      </c>
      <c r="BV470" s="224">
        <f t="shared" si="1392"/>
        <v>0</v>
      </c>
      <c r="BW470" s="224"/>
      <c r="BX470" s="224">
        <v>0</v>
      </c>
      <c r="BY470" s="224"/>
      <c r="BZ470" s="224"/>
      <c r="CA470" s="224"/>
      <c r="CB470" s="224"/>
      <c r="CC470" s="225">
        <f t="shared" si="1419"/>
        <v>0</v>
      </c>
      <c r="CD470" s="224">
        <f t="shared" si="1420"/>
        <v>0</v>
      </c>
      <c r="CE470" s="224"/>
      <c r="CF470" s="226"/>
      <c r="CG470" s="87"/>
      <c r="CH470" s="87">
        <f t="shared" si="1471"/>
        <v>48</v>
      </c>
      <c r="CI470" s="227" t="str">
        <f t="shared" si="1514"/>
        <v>Nguyễn Văn</v>
      </c>
      <c r="CJ470" s="227" t="str">
        <f t="shared" si="1515"/>
        <v>Điệp</v>
      </c>
      <c r="CK470" s="87">
        <f t="shared" si="1482"/>
        <v>9</v>
      </c>
      <c r="CL470" s="227" t="str">
        <f t="shared" si="1518"/>
        <v>Tổ chức - Giải phẫu - Phôi thai</v>
      </c>
      <c r="CM470" s="87" t="str">
        <f t="shared" si="1385"/>
        <v>CS2</v>
      </c>
      <c r="CN470" s="87">
        <f t="shared" si="1516"/>
        <v>270</v>
      </c>
      <c r="CO470" s="87">
        <f t="shared" si="1517"/>
        <v>100</v>
      </c>
      <c r="CP470" s="229">
        <f t="shared" si="1483"/>
        <v>0</v>
      </c>
      <c r="CQ470" s="229">
        <f t="shared" si="1484"/>
        <v>0</v>
      </c>
      <c r="CR470" s="229">
        <f t="shared" si="1485"/>
        <v>0</v>
      </c>
      <c r="CS470" s="229">
        <f t="shared" si="1486"/>
        <v>0</v>
      </c>
      <c r="CT470" s="229">
        <f t="shared" si="1487"/>
        <v>0</v>
      </c>
      <c r="CU470" s="229">
        <f t="shared" si="1488"/>
        <v>0</v>
      </c>
      <c r="CV470" s="229">
        <f t="shared" si="1489"/>
        <v>0</v>
      </c>
      <c r="CW470" s="229">
        <f t="shared" si="1490"/>
        <v>0</v>
      </c>
      <c r="CX470" s="229">
        <f t="shared" si="1491"/>
        <v>0</v>
      </c>
      <c r="CY470" s="229">
        <f t="shared" si="1492"/>
        <v>0</v>
      </c>
      <c r="CZ470" s="229">
        <f t="shared" si="1493"/>
        <v>0</v>
      </c>
      <c r="DA470" s="229">
        <f t="shared" si="1494"/>
        <v>0</v>
      </c>
      <c r="DB470" s="228">
        <f t="shared" si="1429"/>
        <v>0</v>
      </c>
      <c r="DC470" s="229"/>
      <c r="DD470" s="229"/>
      <c r="DE470" s="229"/>
      <c r="DF470" s="229"/>
      <c r="DG470" s="229"/>
      <c r="DH470" s="229"/>
      <c r="DI470" s="229"/>
      <c r="DJ470" s="229"/>
      <c r="DK470" s="229"/>
      <c r="DL470" s="229"/>
      <c r="DM470" s="229"/>
      <c r="DN470" s="229"/>
      <c r="DO470" s="228">
        <f t="shared" si="1440"/>
        <v>0</v>
      </c>
      <c r="DP470" s="228">
        <f t="shared" si="1441"/>
        <v>0</v>
      </c>
      <c r="DQ470" s="229">
        <f t="shared" si="1495"/>
        <v>0</v>
      </c>
      <c r="DR470" s="229">
        <f t="shared" si="1496"/>
        <v>0</v>
      </c>
      <c r="DS470" s="229">
        <f t="shared" si="1497"/>
        <v>0</v>
      </c>
      <c r="DT470" s="229">
        <f t="shared" si="1498"/>
        <v>0</v>
      </c>
      <c r="DU470" s="229">
        <f t="shared" si="1499"/>
        <v>0</v>
      </c>
      <c r="DV470" s="229">
        <f t="shared" si="1500"/>
        <v>0</v>
      </c>
      <c r="DW470" s="229">
        <f t="shared" si="1501"/>
        <v>0</v>
      </c>
      <c r="DX470" s="228">
        <f t="shared" si="1430"/>
        <v>0</v>
      </c>
      <c r="DY470" s="229"/>
      <c r="DZ470" s="229"/>
      <c r="EA470" s="229"/>
      <c r="EB470" s="229"/>
      <c r="EC470" s="229"/>
      <c r="ED470" s="229"/>
      <c r="EE470" s="229"/>
      <c r="EF470" s="228">
        <f t="shared" si="1480"/>
        <v>0</v>
      </c>
      <c r="EG470" s="228">
        <f t="shared" si="1442"/>
        <v>0</v>
      </c>
      <c r="EH470" s="229">
        <f t="shared" si="1481"/>
        <v>0</v>
      </c>
      <c r="EI470" s="229">
        <v>91.1</v>
      </c>
      <c r="EJ470" s="228">
        <f t="shared" si="1443"/>
        <v>91.1</v>
      </c>
      <c r="EK470" s="229"/>
      <c r="EL470" s="229"/>
      <c r="EM470" s="228">
        <f t="shared" si="1468"/>
        <v>0</v>
      </c>
      <c r="EN470" s="229">
        <f t="shared" si="1423"/>
        <v>0</v>
      </c>
      <c r="EO470" s="229">
        <f t="shared" si="1451"/>
        <v>91.1</v>
      </c>
      <c r="EP470" s="228">
        <f t="shared" si="1461"/>
        <v>91.1</v>
      </c>
      <c r="EQ470" s="173">
        <f t="shared" si="1479"/>
        <v>0</v>
      </c>
      <c r="ER470" s="189">
        <v>0</v>
      </c>
      <c r="ES470" s="189">
        <v>0</v>
      </c>
      <c r="ET470" s="189">
        <v>0</v>
      </c>
      <c r="EU470" s="189">
        <v>0</v>
      </c>
      <c r="EV470" s="189">
        <v>0</v>
      </c>
      <c r="EW470" s="189">
        <v>0</v>
      </c>
      <c r="EX470" s="189">
        <v>0</v>
      </c>
      <c r="EY470" s="189">
        <v>0</v>
      </c>
      <c r="EZ470" s="189">
        <v>0</v>
      </c>
      <c r="FA470" s="189">
        <v>0</v>
      </c>
      <c r="FB470" s="189">
        <v>0</v>
      </c>
      <c r="FC470" s="189">
        <v>0</v>
      </c>
      <c r="FD470" s="189">
        <v>0</v>
      </c>
      <c r="FE470" s="189">
        <v>0</v>
      </c>
      <c r="FF470" s="189">
        <v>0</v>
      </c>
      <c r="FG470" s="189">
        <v>0</v>
      </c>
      <c r="FH470" s="189">
        <v>0</v>
      </c>
      <c r="FI470" s="189">
        <v>0</v>
      </c>
      <c r="FJ470" s="189">
        <v>0</v>
      </c>
      <c r="FK470" s="189">
        <v>0</v>
      </c>
      <c r="FL470" s="189">
        <v>0</v>
      </c>
      <c r="FN470" s="132">
        <v>0</v>
      </c>
    </row>
    <row r="471" spans="1:170" ht="31.5" customHeight="1">
      <c r="A471" s="88">
        <f>COUNTIF($H$12:H471,H471)</f>
        <v>49</v>
      </c>
      <c r="B471" s="88" t="s">
        <v>2745</v>
      </c>
      <c r="C471" s="88" t="s">
        <v>825</v>
      </c>
      <c r="D471" s="88"/>
      <c r="E471" s="88"/>
      <c r="F471" s="301" t="s">
        <v>1906</v>
      </c>
      <c r="G471" s="303" t="s">
        <v>1648</v>
      </c>
      <c r="H471" s="88">
        <v>9</v>
      </c>
      <c r="I471" s="88">
        <v>9</v>
      </c>
      <c r="J471" s="88">
        <v>9</v>
      </c>
      <c r="K471" s="90" t="s">
        <v>1105</v>
      </c>
      <c r="L471" s="90" t="s">
        <v>1105</v>
      </c>
      <c r="M471" s="214"/>
      <c r="N471" s="88" t="s">
        <v>1804</v>
      </c>
      <c r="O471" s="216">
        <f t="shared" si="1503"/>
        <v>3.33</v>
      </c>
      <c r="P471" s="88" t="str">
        <f t="shared" si="1519"/>
        <v>B1_4</v>
      </c>
      <c r="Q471" s="88">
        <f t="shared" si="1369"/>
        <v>270</v>
      </c>
      <c r="R471" s="88">
        <f t="shared" si="1370"/>
        <v>120</v>
      </c>
      <c r="S471" s="233" t="s">
        <v>3191</v>
      </c>
      <c r="T471" s="88" t="s">
        <v>2961</v>
      </c>
      <c r="U471" s="88">
        <f>IF(RIGHT(T471,1)="K",(VLOOKUP(T471,ma_miengiam!$A$3:$B$80,2,0)*100)/2,VLOOKUP(T471,ma_miengiam!$A$3:$B$80,2,0)*100)</f>
        <v>100</v>
      </c>
      <c r="V471" s="88"/>
      <c r="W471" s="220">
        <f>IF(AND(T471="NTS",V471&gt;0),(Q471-(Q471*V471)/12)*VLOOKUP(T471,ma_miengiam!$A$3:$B$80,2,0)+(Q471-(Q471*(12-V471))/12),IF(AND(RIGHT(T471,1)="K",V471&gt;0),(VLOOKUP(T471,ma_miengiam!$A$3:$B$80,2,0)/2)*(Q471*V471)/12,IF(RIGHT(T471,1)="K",(VLOOKUP(T471,ma_miengiam!$A$3:$B$80,2,0)*Q471)/2,IF(V471&gt;0,VLOOKUP(T471,ma_miengiam!$A$3:$B$80,2,0)*Q471*V471/12,VLOOKUP(T471,ma_miengiam!$A$3:$B$80,2,0)*Q471))))</f>
        <v>270</v>
      </c>
      <c r="X471" s="220">
        <f>IF(T471="NTS",VLOOKUP(T471,ma_miengiam!$A$3:$B$80,2,0)*R471*V471,IF(AND(T471="NTS",V471=0),0,IF(AND(LEFT(T471,1)="K",V471=0),VLOOKUP(T471,ma_miengiam!$A$3:$B$80,2,0)*R471,IF(LEFT(T471,1)="K",(VLOOKUP(T471,ma_miengiam!$A$3:$B$80,2,0)*R471/12)*V471,IF(AND(LEFT(T471,1)="S",V471&gt;0),(R471/12)*V471,IF(AND(LEFT(T471,1)="S",V471=0),R471,IF(T471="DH",VLOOKUP(T471,ma_miengiam!$A$3:$B$80,2,0)*R471,0)))))))</f>
        <v>120</v>
      </c>
      <c r="Y471" s="220">
        <f t="shared" si="1344"/>
        <v>0</v>
      </c>
      <c r="Z471" s="220">
        <f t="shared" si="1457"/>
        <v>0</v>
      </c>
      <c r="AA471" s="220">
        <f t="shared" si="1504"/>
        <v>270</v>
      </c>
      <c r="AB471" s="220">
        <f t="shared" si="1505"/>
        <v>120</v>
      </c>
      <c r="AC471" s="220">
        <f t="shared" si="1506"/>
        <v>270</v>
      </c>
      <c r="AD471" s="220">
        <f t="shared" si="1507"/>
        <v>120</v>
      </c>
      <c r="AE471" s="220">
        <f t="shared" si="1508"/>
        <v>0</v>
      </c>
      <c r="AF471" s="220">
        <f t="shared" si="1509"/>
        <v>0</v>
      </c>
      <c r="AG471" s="220">
        <f t="shared" si="1510"/>
        <v>0</v>
      </c>
      <c r="AH471" s="220">
        <f t="shared" si="1511"/>
        <v>0</v>
      </c>
      <c r="AI471" s="220">
        <f t="shared" si="1512"/>
        <v>0</v>
      </c>
      <c r="AJ471" s="220">
        <f t="shared" si="1396"/>
        <v>0</v>
      </c>
      <c r="AK471" s="216">
        <f t="shared" si="1454"/>
        <v>0</v>
      </c>
      <c r="AL471" s="220">
        <f t="shared" si="1431"/>
        <v>0</v>
      </c>
      <c r="AM471" s="220">
        <f t="shared" si="1432"/>
        <v>0</v>
      </c>
      <c r="AN471" s="221">
        <f t="shared" si="1433"/>
        <v>0</v>
      </c>
      <c r="AO471" s="220">
        <f t="shared" si="1434"/>
        <v>0</v>
      </c>
      <c r="AP471" s="220">
        <f t="shared" si="1435"/>
        <v>0</v>
      </c>
      <c r="AQ471" s="220">
        <f t="shared" si="1436"/>
        <v>0</v>
      </c>
      <c r="AR471" s="220">
        <f t="shared" si="1437"/>
        <v>0</v>
      </c>
      <c r="AS471" s="220">
        <f t="shared" si="1438"/>
        <v>0</v>
      </c>
      <c r="AT471" s="216">
        <f t="shared" si="1439"/>
        <v>0</v>
      </c>
      <c r="AU471" s="222">
        <f t="shared" si="1447"/>
        <v>0</v>
      </c>
      <c r="AV471" s="220"/>
      <c r="AW471" s="220">
        <f t="shared" si="1379"/>
        <v>0</v>
      </c>
      <c r="AX471" s="216">
        <f t="shared" si="1448"/>
        <v>0</v>
      </c>
      <c r="AY471" s="220">
        <f t="shared" si="1386"/>
        <v>0</v>
      </c>
      <c r="AZ471" s="220">
        <f t="shared" si="1387"/>
        <v>0</v>
      </c>
      <c r="BA471" s="220">
        <f t="shared" si="1388"/>
        <v>0</v>
      </c>
      <c r="BB471" s="220">
        <f t="shared" si="1389"/>
        <v>0</v>
      </c>
      <c r="BC471" s="220">
        <f t="shared" si="1390"/>
        <v>0</v>
      </c>
      <c r="BD471" s="216">
        <f t="shared" si="1410"/>
        <v>0</v>
      </c>
      <c r="BE471" s="220">
        <f t="shared" si="1380"/>
        <v>0</v>
      </c>
      <c r="BF471" s="220">
        <f t="shared" si="1381"/>
        <v>0</v>
      </c>
      <c r="BG471" s="220">
        <f t="shared" si="1382"/>
        <v>0</v>
      </c>
      <c r="BH471" s="220">
        <f t="shared" si="1383"/>
        <v>0</v>
      </c>
      <c r="BI471" s="220">
        <f t="shared" si="1384"/>
        <v>0</v>
      </c>
      <c r="BJ471" s="220" t="s">
        <v>1795</v>
      </c>
      <c r="BK471" s="220"/>
      <c r="BL471" s="223">
        <f t="shared" si="1422"/>
        <v>0</v>
      </c>
      <c r="BM471" s="220">
        <v>3.33</v>
      </c>
      <c r="BN471" s="220"/>
      <c r="BO471" s="220">
        <f t="shared" si="1513"/>
        <v>3.33</v>
      </c>
      <c r="BP471" s="220">
        <f>IF(AND(BL471&gt;0,BL471&lt;tiet!$D$1),BL471,IF(BL471&lt;=0,0,IF(BL471&gt;tiet!$C$1,tiet!$C$1)))</f>
        <v>0</v>
      </c>
      <c r="BQ471" s="87">
        <f t="shared" si="1397"/>
        <v>65000</v>
      </c>
      <c r="BR471" s="224">
        <f t="shared" si="1391"/>
        <v>0</v>
      </c>
      <c r="BS471" s="220">
        <f t="shared" si="1478"/>
        <v>0</v>
      </c>
      <c r="BT471" s="224">
        <f>VLOOKUP(N471,ma_dinhmuc!$A$1:$J$31,10,0)</f>
        <v>51000</v>
      </c>
      <c r="BU471" s="224">
        <f>ROUND(IF(BS471&gt;0,VLOOKUP(N471,ma_dinhmuc!$A$1:$J$31,10,0)*BS471,0),0)</f>
        <v>0</v>
      </c>
      <c r="BV471" s="224">
        <f t="shared" si="1392"/>
        <v>0</v>
      </c>
      <c r="BW471" s="224"/>
      <c r="BX471" s="224">
        <v>0</v>
      </c>
      <c r="BY471" s="224"/>
      <c r="BZ471" s="224"/>
      <c r="CA471" s="224"/>
      <c r="CB471" s="224"/>
      <c r="CC471" s="225">
        <f t="shared" si="1419"/>
        <v>0</v>
      </c>
      <c r="CD471" s="224">
        <f t="shared" si="1420"/>
        <v>0</v>
      </c>
      <c r="CE471" s="224"/>
      <c r="CF471" s="226"/>
      <c r="CG471" s="87"/>
      <c r="CH471" s="87">
        <f t="shared" si="1471"/>
        <v>49</v>
      </c>
      <c r="CI471" s="227" t="str">
        <f t="shared" si="1514"/>
        <v>Phạm Hồng</v>
      </c>
      <c r="CJ471" s="227" t="str">
        <f t="shared" si="1515"/>
        <v>Trang</v>
      </c>
      <c r="CK471" s="87">
        <f t="shared" si="1482"/>
        <v>9</v>
      </c>
      <c r="CL471" s="227" t="str">
        <f t="shared" si="1518"/>
        <v>Tổ chức - Giải phẫu - Phôi thai</v>
      </c>
      <c r="CM471" s="87" t="str">
        <f t="shared" si="1385"/>
        <v>CS2</v>
      </c>
      <c r="CN471" s="87">
        <f t="shared" si="1516"/>
        <v>270</v>
      </c>
      <c r="CO471" s="87">
        <f t="shared" si="1517"/>
        <v>120</v>
      </c>
      <c r="CP471" s="229">
        <f t="shared" si="1483"/>
        <v>0</v>
      </c>
      <c r="CQ471" s="229">
        <f t="shared" si="1484"/>
        <v>0</v>
      </c>
      <c r="CR471" s="229">
        <f t="shared" si="1485"/>
        <v>0</v>
      </c>
      <c r="CS471" s="229">
        <f t="shared" si="1486"/>
        <v>0</v>
      </c>
      <c r="CT471" s="229">
        <f t="shared" si="1487"/>
        <v>0</v>
      </c>
      <c r="CU471" s="229">
        <f t="shared" si="1488"/>
        <v>0</v>
      </c>
      <c r="CV471" s="229">
        <f t="shared" si="1489"/>
        <v>0</v>
      </c>
      <c r="CW471" s="229">
        <f t="shared" si="1490"/>
        <v>0</v>
      </c>
      <c r="CX471" s="229">
        <f t="shared" si="1491"/>
        <v>0</v>
      </c>
      <c r="CY471" s="229">
        <f t="shared" si="1492"/>
        <v>0</v>
      </c>
      <c r="CZ471" s="229">
        <f t="shared" si="1493"/>
        <v>0</v>
      </c>
      <c r="DA471" s="229">
        <f t="shared" si="1494"/>
        <v>0</v>
      </c>
      <c r="DB471" s="228">
        <f t="shared" si="1429"/>
        <v>0</v>
      </c>
      <c r="DC471" s="229"/>
      <c r="DD471" s="229"/>
      <c r="DE471" s="229"/>
      <c r="DF471" s="229"/>
      <c r="DG471" s="229"/>
      <c r="DH471" s="229"/>
      <c r="DI471" s="229"/>
      <c r="DJ471" s="229"/>
      <c r="DK471" s="229"/>
      <c r="DL471" s="229"/>
      <c r="DM471" s="229"/>
      <c r="DN471" s="229"/>
      <c r="DO471" s="228">
        <f t="shared" si="1440"/>
        <v>0</v>
      </c>
      <c r="DP471" s="228">
        <f t="shared" si="1441"/>
        <v>0</v>
      </c>
      <c r="DQ471" s="229">
        <f t="shared" si="1495"/>
        <v>0</v>
      </c>
      <c r="DR471" s="229">
        <f t="shared" si="1496"/>
        <v>0</v>
      </c>
      <c r="DS471" s="229">
        <f t="shared" si="1497"/>
        <v>0</v>
      </c>
      <c r="DT471" s="229">
        <f t="shared" si="1498"/>
        <v>0</v>
      </c>
      <c r="DU471" s="229">
        <f t="shared" si="1499"/>
        <v>0</v>
      </c>
      <c r="DV471" s="229">
        <f t="shared" si="1500"/>
        <v>0</v>
      </c>
      <c r="DW471" s="229">
        <f t="shared" si="1501"/>
        <v>0</v>
      </c>
      <c r="DX471" s="228">
        <f t="shared" si="1430"/>
        <v>0</v>
      </c>
      <c r="DY471" s="229"/>
      <c r="DZ471" s="229"/>
      <c r="EA471" s="229"/>
      <c r="EB471" s="229"/>
      <c r="EC471" s="229"/>
      <c r="ED471" s="229"/>
      <c r="EE471" s="229"/>
      <c r="EF471" s="228">
        <f t="shared" si="1480"/>
        <v>0</v>
      </c>
      <c r="EG471" s="228">
        <f t="shared" si="1442"/>
        <v>0</v>
      </c>
      <c r="EH471" s="229">
        <f t="shared" si="1481"/>
        <v>0</v>
      </c>
      <c r="EI471" s="229">
        <v>0</v>
      </c>
      <c r="EJ471" s="228">
        <f t="shared" si="1443"/>
        <v>0</v>
      </c>
      <c r="EK471" s="229"/>
      <c r="EL471" s="229"/>
      <c r="EM471" s="228">
        <f t="shared" si="1468"/>
        <v>0</v>
      </c>
      <c r="EN471" s="229">
        <f t="shared" si="1423"/>
        <v>0</v>
      </c>
      <c r="EO471" s="229">
        <f t="shared" si="1451"/>
        <v>0</v>
      </c>
      <c r="EP471" s="228">
        <f t="shared" si="1461"/>
        <v>0</v>
      </c>
      <c r="EQ471" s="173">
        <f t="shared" si="1479"/>
        <v>0</v>
      </c>
      <c r="ER471" s="189">
        <v>0</v>
      </c>
      <c r="ES471" s="189">
        <v>0</v>
      </c>
      <c r="ET471" s="189">
        <v>0</v>
      </c>
      <c r="EU471" s="189">
        <v>0</v>
      </c>
      <c r="EV471" s="189">
        <v>0</v>
      </c>
      <c r="EW471" s="189">
        <v>0</v>
      </c>
      <c r="EX471" s="189">
        <v>0</v>
      </c>
      <c r="EY471" s="189">
        <v>0</v>
      </c>
      <c r="EZ471" s="189">
        <v>0</v>
      </c>
      <c r="FA471" s="189">
        <v>0</v>
      </c>
      <c r="FB471" s="189">
        <v>0</v>
      </c>
      <c r="FC471" s="189">
        <v>0</v>
      </c>
      <c r="FD471" s="189">
        <v>0</v>
      </c>
      <c r="FE471" s="189">
        <v>0</v>
      </c>
      <c r="FF471" s="189">
        <v>0</v>
      </c>
      <c r="FG471" s="189">
        <v>0</v>
      </c>
      <c r="FH471" s="189">
        <v>0</v>
      </c>
      <c r="FI471" s="189">
        <v>0</v>
      </c>
      <c r="FJ471" s="189">
        <v>0</v>
      </c>
      <c r="FK471" s="189">
        <v>0</v>
      </c>
      <c r="FL471" s="189">
        <v>0</v>
      </c>
      <c r="FN471" s="132">
        <v>0</v>
      </c>
    </row>
    <row r="472" spans="1:170" ht="30">
      <c r="A472" s="88">
        <f>COUNTIF($H$12:H472,H472)</f>
        <v>50</v>
      </c>
      <c r="B472" s="88" t="s">
        <v>2746</v>
      </c>
      <c r="C472" s="88" t="s">
        <v>826</v>
      </c>
      <c r="D472" s="88"/>
      <c r="E472" s="88"/>
      <c r="F472" s="301" t="s">
        <v>2305</v>
      </c>
      <c r="G472" s="89" t="s">
        <v>1623</v>
      </c>
      <c r="H472" s="88">
        <v>9</v>
      </c>
      <c r="I472" s="88">
        <v>9</v>
      </c>
      <c r="J472" s="88">
        <v>9</v>
      </c>
      <c r="K472" s="90" t="s">
        <v>1105</v>
      </c>
      <c r="L472" s="90" t="s">
        <v>1105</v>
      </c>
      <c r="M472" s="214"/>
      <c r="N472" s="88" t="s">
        <v>1804</v>
      </c>
      <c r="O472" s="216">
        <f t="shared" si="1503"/>
        <v>3.99</v>
      </c>
      <c r="P472" s="88" t="str">
        <f t="shared" si="1519"/>
        <v>B1_4</v>
      </c>
      <c r="Q472" s="88">
        <f t="shared" si="1369"/>
        <v>270</v>
      </c>
      <c r="R472" s="88">
        <f t="shared" si="1370"/>
        <v>120</v>
      </c>
      <c r="S472" s="230" t="s">
        <v>2387</v>
      </c>
      <c r="T472" s="88" t="s">
        <v>3094</v>
      </c>
      <c r="U472" s="88">
        <f>IF(RIGHT(T472,1)="K",(VLOOKUP(T472,ma_miengiam!$A$3:$B$80,2,0)*100)/2,VLOOKUP(T472,ma_miengiam!$A$3:$B$80,2,0)*100)</f>
        <v>35</v>
      </c>
      <c r="V472" s="88"/>
      <c r="W472" s="220">
        <f>IF(AND(T472="NTS",V472&gt;0),(Q472-(Q472*V472)/12)*VLOOKUP(T472,ma_miengiam!$A$3:$B$80,2,0)+(Q472-(Q472*(12-V472))/12),IF(AND(RIGHT(T472,1)="K",V472&gt;0),(VLOOKUP(T472,ma_miengiam!$A$3:$B$80,2,0)/2)*(Q472*V472)/12,IF(RIGHT(T472,1)="K",(VLOOKUP(T472,ma_miengiam!$A$3:$B$80,2,0)*Q472)/2,IF(V472&gt;0,VLOOKUP(T472,ma_miengiam!$A$3:$B$80,2,0)*Q472*V472/12,VLOOKUP(T472,ma_miengiam!$A$3:$B$80,2,0)*Q472))))</f>
        <v>94.5</v>
      </c>
      <c r="X472" s="220">
        <f>IF(T472="NTS",VLOOKUP(T472,ma_miengiam!$A$3:$B$80,2,0)*R472*V472,IF(AND(T472="NTS",V472=0),0,IF(AND(LEFT(T472,1)="K",V472=0),VLOOKUP(T472,ma_miengiam!$A$3:$B$80,2,0)*R472,IF(LEFT(T472,1)="K",(VLOOKUP(T472,ma_miengiam!$A$3:$B$80,2,0)*R472/12)*V472,IF(AND(LEFT(T472,1)="S",V472&gt;0),(R472/12)*V472,IF(AND(LEFT(T472,1)="S",V472=0),R472,IF(T472="DH",VLOOKUP(T472,ma_miengiam!$A$3:$B$80,2,0)*R472,0)))))))</f>
        <v>0</v>
      </c>
      <c r="Y472" s="220">
        <f t="shared" si="1344"/>
        <v>175.5</v>
      </c>
      <c r="Z472" s="220">
        <f t="shared" si="1457"/>
        <v>120</v>
      </c>
      <c r="AA472" s="220">
        <f t="shared" si="1504"/>
        <v>270</v>
      </c>
      <c r="AB472" s="220">
        <f t="shared" si="1505"/>
        <v>120</v>
      </c>
      <c r="AC472" s="220">
        <f t="shared" si="1506"/>
        <v>94.5</v>
      </c>
      <c r="AD472" s="220">
        <f t="shared" si="1507"/>
        <v>0</v>
      </c>
      <c r="AE472" s="220">
        <f t="shared" si="1508"/>
        <v>175.5</v>
      </c>
      <c r="AF472" s="220">
        <f t="shared" si="1509"/>
        <v>120</v>
      </c>
      <c r="AG472" s="220">
        <f t="shared" si="1510"/>
        <v>20</v>
      </c>
      <c r="AH472" s="220">
        <f t="shared" si="1511"/>
        <v>0</v>
      </c>
      <c r="AI472" s="220">
        <f t="shared" si="1512"/>
        <v>20</v>
      </c>
      <c r="AJ472" s="220">
        <f t="shared" si="1396"/>
        <v>-100</v>
      </c>
      <c r="AK472" s="216">
        <f t="shared" si="1454"/>
        <v>275.5</v>
      </c>
      <c r="AL472" s="220">
        <f t="shared" si="1431"/>
        <v>561.79999999999995</v>
      </c>
      <c r="AM472" s="220">
        <f t="shared" si="1432"/>
        <v>0</v>
      </c>
      <c r="AN472" s="221">
        <f t="shared" si="1433"/>
        <v>561.79999999999995</v>
      </c>
      <c r="AO472" s="220">
        <f t="shared" si="1434"/>
        <v>0</v>
      </c>
      <c r="AP472" s="220">
        <f t="shared" si="1435"/>
        <v>0</v>
      </c>
      <c r="AQ472" s="220">
        <f t="shared" si="1436"/>
        <v>0</v>
      </c>
      <c r="AR472" s="220">
        <f t="shared" si="1437"/>
        <v>12</v>
      </c>
      <c r="AS472" s="220">
        <f t="shared" si="1438"/>
        <v>0</v>
      </c>
      <c r="AT472" s="216">
        <f t="shared" si="1439"/>
        <v>573.79999999999995</v>
      </c>
      <c r="AU472" s="222">
        <f t="shared" si="1447"/>
        <v>286.29999999999995</v>
      </c>
      <c r="AV472" s="220"/>
      <c r="AW472" s="220">
        <f t="shared" si="1379"/>
        <v>286.29999999999995</v>
      </c>
      <c r="AX472" s="216">
        <f t="shared" si="1448"/>
        <v>0</v>
      </c>
      <c r="AY472" s="220">
        <f t="shared" si="1386"/>
        <v>0</v>
      </c>
      <c r="AZ472" s="220">
        <f t="shared" si="1387"/>
        <v>0</v>
      </c>
      <c r="BA472" s="220">
        <f t="shared" si="1388"/>
        <v>0</v>
      </c>
      <c r="BB472" s="220">
        <f t="shared" si="1389"/>
        <v>12</v>
      </c>
      <c r="BC472" s="220">
        <f t="shared" si="1390"/>
        <v>0</v>
      </c>
      <c r="BD472" s="216">
        <f t="shared" si="1410"/>
        <v>12</v>
      </c>
      <c r="BE472" s="220">
        <f t="shared" si="1380"/>
        <v>0</v>
      </c>
      <c r="BF472" s="220">
        <f t="shared" si="1381"/>
        <v>0</v>
      </c>
      <c r="BG472" s="220">
        <f t="shared" si="1382"/>
        <v>0</v>
      </c>
      <c r="BH472" s="220">
        <f t="shared" si="1383"/>
        <v>0</v>
      </c>
      <c r="BI472" s="220">
        <f t="shared" si="1384"/>
        <v>0</v>
      </c>
      <c r="BJ472" s="220" t="s">
        <v>1795</v>
      </c>
      <c r="BK472" s="220"/>
      <c r="BL472" s="223">
        <f t="shared" si="1422"/>
        <v>286.29999999999995</v>
      </c>
      <c r="BM472" s="220">
        <v>3.99</v>
      </c>
      <c r="BN472" s="220"/>
      <c r="BO472" s="220">
        <f t="shared" si="1513"/>
        <v>3.99</v>
      </c>
      <c r="BP472" s="220">
        <f>IF(AND(BL472&gt;0,BL472&lt;tiet!$D$1),BL472,IF(BL472&lt;=0,0,IF(BL472&gt;tiet!$C$1,tiet!$C$1)))</f>
        <v>200</v>
      </c>
      <c r="BQ472" s="87">
        <f t="shared" si="1397"/>
        <v>65000</v>
      </c>
      <c r="BR472" s="224">
        <f t="shared" si="1391"/>
        <v>13000000</v>
      </c>
      <c r="BS472" s="220">
        <f t="shared" si="1478"/>
        <v>86.299999999999955</v>
      </c>
      <c r="BT472" s="224">
        <f>VLOOKUP(N472,ma_dinhmuc!$A$1:$J$31,10,0)</f>
        <v>51000</v>
      </c>
      <c r="BU472" s="224">
        <f>ROUND(IF(BS472&gt;0,VLOOKUP(N472,ma_dinhmuc!$A$1:$J$31,10,0)*BS472,0),0)</f>
        <v>4401300</v>
      </c>
      <c r="BV472" s="224">
        <f t="shared" si="1392"/>
        <v>17401300</v>
      </c>
      <c r="BW472" s="224"/>
      <c r="BX472" s="224">
        <v>0</v>
      </c>
      <c r="BY472" s="224"/>
      <c r="BZ472" s="224"/>
      <c r="CA472" s="224"/>
      <c r="CB472" s="224"/>
      <c r="CC472" s="225">
        <f t="shared" si="1419"/>
        <v>17401300</v>
      </c>
      <c r="CD472" s="224">
        <f t="shared" si="1420"/>
        <v>0</v>
      </c>
      <c r="CE472" s="224"/>
      <c r="CF472" s="226"/>
      <c r="CG472" s="87"/>
      <c r="CH472" s="87">
        <f t="shared" ref="CH472:CH480" si="1520">A472</f>
        <v>50</v>
      </c>
      <c r="CI472" s="227" t="str">
        <f t="shared" si="1514"/>
        <v>Trần Thị Đức</v>
      </c>
      <c r="CJ472" s="227" t="str">
        <f t="shared" si="1515"/>
        <v>Tám</v>
      </c>
      <c r="CK472" s="87">
        <f t="shared" si="1482"/>
        <v>9</v>
      </c>
      <c r="CL472" s="227" t="str">
        <f t="shared" si="1518"/>
        <v>Tổ chức - Giải phẫu - Phôi thai</v>
      </c>
      <c r="CM472" s="87" t="str">
        <f t="shared" si="1385"/>
        <v>CS2</v>
      </c>
      <c r="CN472" s="87">
        <f t="shared" si="1516"/>
        <v>270</v>
      </c>
      <c r="CO472" s="87">
        <f t="shared" si="1517"/>
        <v>120</v>
      </c>
      <c r="CP472" s="229">
        <f t="shared" si="1483"/>
        <v>0</v>
      </c>
      <c r="CQ472" s="229">
        <f t="shared" si="1484"/>
        <v>73.2</v>
      </c>
      <c r="CR472" s="229">
        <f t="shared" si="1485"/>
        <v>29.4</v>
      </c>
      <c r="CS472" s="229">
        <f t="shared" si="1486"/>
        <v>0</v>
      </c>
      <c r="CT472" s="229">
        <f t="shared" si="1487"/>
        <v>0</v>
      </c>
      <c r="CU472" s="229">
        <f t="shared" si="1488"/>
        <v>220.7</v>
      </c>
      <c r="CV472" s="229">
        <f t="shared" si="1489"/>
        <v>0</v>
      </c>
      <c r="CW472" s="229">
        <f t="shared" si="1490"/>
        <v>238.5</v>
      </c>
      <c r="CX472" s="229">
        <f t="shared" si="1491"/>
        <v>0</v>
      </c>
      <c r="CY472" s="229">
        <f t="shared" si="1492"/>
        <v>0</v>
      </c>
      <c r="CZ472" s="229">
        <f t="shared" si="1493"/>
        <v>0</v>
      </c>
      <c r="DA472" s="229">
        <f t="shared" si="1494"/>
        <v>0</v>
      </c>
      <c r="DB472" s="228">
        <f t="shared" si="1429"/>
        <v>561.79999999999995</v>
      </c>
      <c r="DC472" s="229"/>
      <c r="DD472" s="229"/>
      <c r="DE472" s="229"/>
      <c r="DF472" s="229"/>
      <c r="DG472" s="229"/>
      <c r="DH472" s="229"/>
      <c r="DI472" s="229"/>
      <c r="DJ472" s="229"/>
      <c r="DK472" s="229"/>
      <c r="DL472" s="229"/>
      <c r="DM472" s="229"/>
      <c r="DN472" s="229"/>
      <c r="DO472" s="228">
        <f t="shared" si="1440"/>
        <v>0</v>
      </c>
      <c r="DP472" s="228">
        <f t="shared" si="1441"/>
        <v>561.79999999999995</v>
      </c>
      <c r="DQ472" s="229">
        <f t="shared" si="1495"/>
        <v>0</v>
      </c>
      <c r="DR472" s="229">
        <f t="shared" si="1496"/>
        <v>0</v>
      </c>
      <c r="DS472" s="229">
        <f t="shared" si="1497"/>
        <v>0</v>
      </c>
      <c r="DT472" s="229">
        <f t="shared" si="1498"/>
        <v>0</v>
      </c>
      <c r="DU472" s="229">
        <f t="shared" si="1499"/>
        <v>0</v>
      </c>
      <c r="DV472" s="229">
        <f t="shared" si="1500"/>
        <v>12</v>
      </c>
      <c r="DW472" s="229">
        <f t="shared" si="1501"/>
        <v>0</v>
      </c>
      <c r="DX472" s="228">
        <f t="shared" si="1430"/>
        <v>12</v>
      </c>
      <c r="DY472" s="229"/>
      <c r="DZ472" s="229"/>
      <c r="EA472" s="229"/>
      <c r="EB472" s="229"/>
      <c r="EC472" s="229"/>
      <c r="ED472" s="229"/>
      <c r="EE472" s="229"/>
      <c r="EF472" s="228">
        <f t="shared" si="1480"/>
        <v>0</v>
      </c>
      <c r="EG472" s="228">
        <f t="shared" si="1442"/>
        <v>12</v>
      </c>
      <c r="EH472" s="229">
        <f t="shared" si="1481"/>
        <v>20</v>
      </c>
      <c r="EI472" s="229">
        <v>0</v>
      </c>
      <c r="EJ472" s="228">
        <f t="shared" si="1443"/>
        <v>20</v>
      </c>
      <c r="EK472" s="229"/>
      <c r="EL472" s="229"/>
      <c r="EM472" s="228">
        <f t="shared" si="1468"/>
        <v>0</v>
      </c>
      <c r="EN472" s="229">
        <f t="shared" si="1423"/>
        <v>20</v>
      </c>
      <c r="EO472" s="229">
        <f t="shared" si="1451"/>
        <v>0</v>
      </c>
      <c r="EP472" s="228">
        <f t="shared" si="1461"/>
        <v>20</v>
      </c>
      <c r="EQ472" s="173">
        <f t="shared" si="1479"/>
        <v>0</v>
      </c>
      <c r="ER472" s="189">
        <v>0</v>
      </c>
      <c r="ES472" s="189">
        <v>73.2</v>
      </c>
      <c r="ET472" s="189">
        <v>29.4</v>
      </c>
      <c r="EU472" s="189">
        <v>0</v>
      </c>
      <c r="EV472" s="189">
        <v>0</v>
      </c>
      <c r="EW472" s="189">
        <v>220.7</v>
      </c>
      <c r="EX472" s="189">
        <v>0</v>
      </c>
      <c r="EY472" s="189">
        <v>238.5</v>
      </c>
      <c r="EZ472" s="189">
        <v>0</v>
      </c>
      <c r="FA472" s="189">
        <v>0</v>
      </c>
      <c r="FB472" s="189">
        <v>0</v>
      </c>
      <c r="FC472" s="189">
        <v>0</v>
      </c>
      <c r="FD472" s="189">
        <v>0</v>
      </c>
      <c r="FE472" s="189">
        <v>0</v>
      </c>
      <c r="FF472" s="189">
        <v>0</v>
      </c>
      <c r="FG472" s="189">
        <v>0</v>
      </c>
      <c r="FH472" s="189">
        <v>12</v>
      </c>
      <c r="FI472" s="189">
        <v>0</v>
      </c>
      <c r="FJ472" s="189">
        <v>0</v>
      </c>
      <c r="FK472" s="189">
        <v>573.79999999999995</v>
      </c>
      <c r="FL472" s="189">
        <v>388</v>
      </c>
      <c r="FN472" s="132">
        <v>20</v>
      </c>
    </row>
    <row r="473" spans="1:170" ht="30" customHeight="1">
      <c r="A473" s="88">
        <f>COUNTIF($H$12:H473,H473)</f>
        <v>51</v>
      </c>
      <c r="B473" s="88" t="s">
        <v>2748</v>
      </c>
      <c r="C473" s="88" t="s">
        <v>827</v>
      </c>
      <c r="D473" s="88"/>
      <c r="E473" s="88"/>
      <c r="F473" s="301" t="s">
        <v>2217</v>
      </c>
      <c r="G473" s="89" t="s">
        <v>2808</v>
      </c>
      <c r="H473" s="88">
        <v>9</v>
      </c>
      <c r="I473" s="88">
        <v>9</v>
      </c>
      <c r="J473" s="88">
        <v>9</v>
      </c>
      <c r="K473" s="90" t="s">
        <v>1106</v>
      </c>
      <c r="L473" s="90" t="s">
        <v>1106</v>
      </c>
      <c r="M473" s="214"/>
      <c r="N473" s="88" t="s">
        <v>605</v>
      </c>
      <c r="O473" s="216">
        <f t="shared" si="1503"/>
        <v>6.56</v>
      </c>
      <c r="P473" s="88" t="str">
        <f t="shared" si="1519"/>
        <v>B1_7</v>
      </c>
      <c r="Q473" s="88">
        <f t="shared" si="1369"/>
        <v>270</v>
      </c>
      <c r="R473" s="88">
        <f t="shared" si="1370"/>
        <v>200</v>
      </c>
      <c r="S473" s="230" t="s">
        <v>2031</v>
      </c>
      <c r="T473" s="88" t="s">
        <v>3091</v>
      </c>
      <c r="U473" s="88">
        <f>IF(RIGHT(T473,1)="K",(VLOOKUP(T473,ma_miengiam!$A$3:$B$80,2,0)*100)/2,VLOOKUP(T473,ma_miengiam!$A$3:$B$80,2,0)*100)</f>
        <v>20</v>
      </c>
      <c r="V473" s="88"/>
      <c r="W473" s="220">
        <f>IF(AND(T473="NTS",V473&gt;0),(Q473-(Q473*V473)/12)*VLOOKUP(T473,ma_miengiam!$A$3:$B$80,2,0)+(Q473-(Q473*(12-V473))/12),IF(AND(RIGHT(T473,1)="K",V473&gt;0),(VLOOKUP(T473,ma_miengiam!$A$3:$B$80,2,0)/2)*(Q473*V473)/12,IF(RIGHT(T473,1)="K",(VLOOKUP(T473,ma_miengiam!$A$3:$B$80,2,0)*Q473)/2,IF(V473&gt;0,VLOOKUP(T473,ma_miengiam!$A$3:$B$80,2,0)*Q473*V473/12,VLOOKUP(T473,ma_miengiam!$A$3:$B$80,2,0)*Q473))))</f>
        <v>54</v>
      </c>
      <c r="X473" s="220">
        <f>IF(T473="NTS",VLOOKUP(T473,ma_miengiam!$A$3:$B$80,2,0)*R473*V473,IF(AND(T473="NTS",V473=0),0,IF(AND(LEFT(T473,1)="K",V473=0),VLOOKUP(T473,ma_miengiam!$A$3:$B$80,2,0)*R473,IF(LEFT(T473,1)="K",(VLOOKUP(T473,ma_miengiam!$A$3:$B$80,2,0)*R473/12)*V473,IF(AND(LEFT(T473,1)="S",V473&gt;0),(R473/12)*V473,IF(AND(LEFT(T473,1)="S",V473=0),R473,IF(T473="DH",VLOOKUP(T473,ma_miengiam!$A$3:$B$80,2,0)*R473,0)))))))</f>
        <v>0</v>
      </c>
      <c r="Y473" s="220">
        <f t="shared" ref="Y473:Y531" si="1521">IF(AND(T473="DH",V473&gt;0),(S473*V473/12),IF(AND(T473&lt;&gt;"NTS",V473&gt;0),(Q473*V473/12)-W473,IF(AND(T473="NTS",V473&gt;0),Q473-W473,Q473-W473)))</f>
        <v>216</v>
      </c>
      <c r="Z473" s="220">
        <f t="shared" si="1457"/>
        <v>200</v>
      </c>
      <c r="AA473" s="220">
        <f t="shared" ref="AA473:AB478" si="1522">Q473</f>
        <v>270</v>
      </c>
      <c r="AB473" s="220">
        <f t="shared" si="1522"/>
        <v>200</v>
      </c>
      <c r="AC473" s="220">
        <f t="shared" ref="AC473:AF478" si="1523">W473</f>
        <v>54</v>
      </c>
      <c r="AD473" s="220">
        <f t="shared" si="1523"/>
        <v>0</v>
      </c>
      <c r="AE473" s="220">
        <f t="shared" si="1523"/>
        <v>216</v>
      </c>
      <c r="AF473" s="220">
        <f t="shared" si="1523"/>
        <v>200</v>
      </c>
      <c r="AG473" s="220">
        <f t="shared" ref="AG473:AG478" si="1524">AH473+AI473</f>
        <v>248.29000000000002</v>
      </c>
      <c r="AH473" s="220">
        <f t="shared" ref="AH473:AH478" si="1525">EO473</f>
        <v>88.64</v>
      </c>
      <c r="AI473" s="220">
        <f t="shared" ref="AI473:AI478" si="1526">EN473</f>
        <v>159.65</v>
      </c>
      <c r="AJ473" s="220">
        <f t="shared" si="1396"/>
        <v>0</v>
      </c>
      <c r="AK473" s="216">
        <f t="shared" si="1454"/>
        <v>216</v>
      </c>
      <c r="AL473" s="220">
        <f t="shared" si="1431"/>
        <v>415</v>
      </c>
      <c r="AM473" s="220">
        <f t="shared" si="1432"/>
        <v>19.299999999999997</v>
      </c>
      <c r="AN473" s="221">
        <f t="shared" si="1433"/>
        <v>434.3</v>
      </c>
      <c r="AO473" s="220">
        <f t="shared" si="1434"/>
        <v>20</v>
      </c>
      <c r="AP473" s="220">
        <f t="shared" si="1435"/>
        <v>45</v>
      </c>
      <c r="AQ473" s="220">
        <f t="shared" si="1436"/>
        <v>180</v>
      </c>
      <c r="AR473" s="220">
        <f t="shared" si="1437"/>
        <v>12</v>
      </c>
      <c r="AS473" s="220">
        <f t="shared" si="1438"/>
        <v>20</v>
      </c>
      <c r="AT473" s="216">
        <f t="shared" si="1439"/>
        <v>711.3</v>
      </c>
      <c r="AU473" s="222">
        <f t="shared" si="1447"/>
        <v>218.3</v>
      </c>
      <c r="AV473" s="220"/>
      <c r="AW473" s="220">
        <f t="shared" si="1379"/>
        <v>218.3</v>
      </c>
      <c r="AX473" s="216">
        <f t="shared" si="1448"/>
        <v>0</v>
      </c>
      <c r="AY473" s="220">
        <f t="shared" si="1386"/>
        <v>20</v>
      </c>
      <c r="AZ473" s="220">
        <f t="shared" si="1387"/>
        <v>45</v>
      </c>
      <c r="BA473" s="220">
        <f t="shared" si="1388"/>
        <v>180</v>
      </c>
      <c r="BB473" s="220">
        <f t="shared" si="1389"/>
        <v>12</v>
      </c>
      <c r="BC473" s="220">
        <f t="shared" si="1390"/>
        <v>20</v>
      </c>
      <c r="BD473" s="216">
        <f t="shared" si="1410"/>
        <v>277</v>
      </c>
      <c r="BE473" s="220">
        <f t="shared" si="1380"/>
        <v>0</v>
      </c>
      <c r="BF473" s="220">
        <f t="shared" si="1381"/>
        <v>0</v>
      </c>
      <c r="BG473" s="220">
        <f t="shared" si="1382"/>
        <v>0</v>
      </c>
      <c r="BH473" s="220">
        <f t="shared" si="1383"/>
        <v>0</v>
      </c>
      <c r="BI473" s="220">
        <f t="shared" si="1384"/>
        <v>0</v>
      </c>
      <c r="BJ473" s="220" t="s">
        <v>2428</v>
      </c>
      <c r="BK473" s="220"/>
      <c r="BL473" s="223">
        <f t="shared" si="1422"/>
        <v>218.3</v>
      </c>
      <c r="BM473" s="220">
        <v>6.56</v>
      </c>
      <c r="BN473" s="220"/>
      <c r="BO473" s="220">
        <f t="shared" ref="BO473:BO480" si="1527">ROUND(BM473+(BM473*BN473),2)</f>
        <v>6.56</v>
      </c>
      <c r="BP473" s="220">
        <f>IF(AND(BL473&gt;0,BL473&lt;tiet!$D$1),BL473,IF(BL473&lt;=0,0,IF(BL473&gt;tiet!$C$1,tiet!$C$1)))</f>
        <v>200</v>
      </c>
      <c r="BQ473" s="87">
        <f t="shared" si="1397"/>
        <v>80000</v>
      </c>
      <c r="BR473" s="224">
        <f t="shared" si="1391"/>
        <v>16000000</v>
      </c>
      <c r="BS473" s="220">
        <f t="shared" si="1478"/>
        <v>18.300000000000011</v>
      </c>
      <c r="BT473" s="224">
        <f>VLOOKUP(N473,ma_dinhmuc!$A$1:$J$31,10,0)</f>
        <v>65000</v>
      </c>
      <c r="BU473" s="224">
        <f>ROUND(IF(BS473&gt;0,VLOOKUP(N473,ma_dinhmuc!$A$1:$J$31,10,0)*BS473,0),0)</f>
        <v>1189500</v>
      </c>
      <c r="BV473" s="224">
        <f t="shared" si="1392"/>
        <v>17189500</v>
      </c>
      <c r="BW473" s="224"/>
      <c r="BX473" s="224">
        <v>0</v>
      </c>
      <c r="BY473" s="224"/>
      <c r="BZ473" s="224"/>
      <c r="CA473" s="224"/>
      <c r="CB473" s="224"/>
      <c r="CC473" s="225">
        <f t="shared" si="1419"/>
        <v>17189500</v>
      </c>
      <c r="CD473" s="224">
        <f t="shared" si="1420"/>
        <v>0</v>
      </c>
      <c r="CE473" s="224"/>
      <c r="CF473" s="226"/>
      <c r="CG473" s="87"/>
      <c r="CH473" s="87">
        <f t="shared" si="1520"/>
        <v>51</v>
      </c>
      <c r="CI473" s="227" t="str">
        <f>F473</f>
        <v>Huỳnh Thị Mỹ</v>
      </c>
      <c r="CJ473" s="227" t="str">
        <f>G473</f>
        <v>Lệ</v>
      </c>
      <c r="CK473" s="87">
        <f t="shared" ref="CK473:CK478" si="1528">H473</f>
        <v>9</v>
      </c>
      <c r="CL473" s="227" t="str">
        <f t="shared" si="1518"/>
        <v>VSV - Truyền nhiễm</v>
      </c>
      <c r="CM473" s="87" t="str">
        <f t="shared" si="1385"/>
        <v>CS4</v>
      </c>
      <c r="CN473" s="87">
        <f t="shared" si="1516"/>
        <v>270</v>
      </c>
      <c r="CO473" s="87">
        <f t="shared" si="1517"/>
        <v>200</v>
      </c>
      <c r="CP473" s="229">
        <f t="shared" si="1483"/>
        <v>0</v>
      </c>
      <c r="CQ473" s="229">
        <f t="shared" si="1484"/>
        <v>31.8</v>
      </c>
      <c r="CR473" s="229">
        <f t="shared" si="1485"/>
        <v>12.9</v>
      </c>
      <c r="CS473" s="229">
        <f t="shared" si="1486"/>
        <v>100.8</v>
      </c>
      <c r="CT473" s="229">
        <f t="shared" si="1487"/>
        <v>0</v>
      </c>
      <c r="CU473" s="229">
        <f t="shared" si="1488"/>
        <v>185.5</v>
      </c>
      <c r="CV473" s="229">
        <f t="shared" si="1489"/>
        <v>0</v>
      </c>
      <c r="CW473" s="229">
        <f t="shared" si="1490"/>
        <v>84</v>
      </c>
      <c r="CX473" s="229">
        <f t="shared" si="1491"/>
        <v>0</v>
      </c>
      <c r="CY473" s="229">
        <f t="shared" si="1492"/>
        <v>20</v>
      </c>
      <c r="CZ473" s="229">
        <f t="shared" si="1493"/>
        <v>45</v>
      </c>
      <c r="DA473" s="229">
        <f t="shared" si="1494"/>
        <v>180</v>
      </c>
      <c r="DB473" s="228">
        <f t="shared" si="1429"/>
        <v>660</v>
      </c>
      <c r="DC473" s="229"/>
      <c r="DD473" s="229"/>
      <c r="DE473" s="229"/>
      <c r="DF473" s="229"/>
      <c r="DG473" s="229"/>
      <c r="DH473" s="229"/>
      <c r="DI473" s="229"/>
      <c r="DJ473" s="229"/>
      <c r="DK473" s="229"/>
      <c r="DL473" s="229"/>
      <c r="DM473" s="229"/>
      <c r="DN473" s="229"/>
      <c r="DO473" s="228">
        <f t="shared" si="1440"/>
        <v>0</v>
      </c>
      <c r="DP473" s="228">
        <f t="shared" si="1441"/>
        <v>660</v>
      </c>
      <c r="DQ473" s="229">
        <f t="shared" si="1495"/>
        <v>18</v>
      </c>
      <c r="DR473" s="229">
        <f t="shared" si="1496"/>
        <v>0.9</v>
      </c>
      <c r="DS473" s="229">
        <f t="shared" si="1497"/>
        <v>0</v>
      </c>
      <c r="DT473" s="229">
        <f t="shared" si="1498"/>
        <v>0.4</v>
      </c>
      <c r="DU473" s="229">
        <f t="shared" si="1499"/>
        <v>0</v>
      </c>
      <c r="DV473" s="229">
        <f t="shared" si="1500"/>
        <v>12</v>
      </c>
      <c r="DW473" s="229">
        <f t="shared" si="1501"/>
        <v>20</v>
      </c>
      <c r="DX473" s="228">
        <f t="shared" si="1430"/>
        <v>51.3</v>
      </c>
      <c r="DY473" s="229"/>
      <c r="DZ473" s="229"/>
      <c r="EA473" s="229"/>
      <c r="EB473" s="229"/>
      <c r="EC473" s="229"/>
      <c r="ED473" s="229"/>
      <c r="EE473" s="229"/>
      <c r="EF473" s="228">
        <f t="shared" si="1480"/>
        <v>0</v>
      </c>
      <c r="EG473" s="228">
        <f t="shared" si="1442"/>
        <v>51.3</v>
      </c>
      <c r="EH473" s="229">
        <f t="shared" si="1481"/>
        <v>159.65</v>
      </c>
      <c r="EI473" s="229">
        <v>88.64</v>
      </c>
      <c r="EJ473" s="228">
        <f>SUM(EH473:EI473)</f>
        <v>248.29000000000002</v>
      </c>
      <c r="EK473" s="229"/>
      <c r="EL473" s="229"/>
      <c r="EM473" s="228">
        <f t="shared" si="1468"/>
        <v>0</v>
      </c>
      <c r="EN473" s="229">
        <f t="shared" si="1423"/>
        <v>159.65</v>
      </c>
      <c r="EO473" s="229">
        <f t="shared" si="1451"/>
        <v>88.64</v>
      </c>
      <c r="EP473" s="228">
        <f>EM473+EJ473</f>
        <v>248.29000000000002</v>
      </c>
      <c r="EQ473" s="173">
        <f t="shared" si="1479"/>
        <v>0</v>
      </c>
      <c r="ER473" s="189">
        <v>0</v>
      </c>
      <c r="ES473" s="189">
        <v>31.8</v>
      </c>
      <c r="ET473" s="189">
        <v>12.9</v>
      </c>
      <c r="EU473" s="189">
        <v>100.8</v>
      </c>
      <c r="EV473" s="189">
        <v>0</v>
      </c>
      <c r="EW473" s="189">
        <v>185.5</v>
      </c>
      <c r="EX473" s="189">
        <v>0</v>
      </c>
      <c r="EY473" s="189">
        <v>84</v>
      </c>
      <c r="EZ473" s="189">
        <v>0</v>
      </c>
      <c r="FA473" s="189">
        <v>20</v>
      </c>
      <c r="FB473" s="189">
        <v>45</v>
      </c>
      <c r="FC473" s="189">
        <v>180</v>
      </c>
      <c r="FD473" s="189">
        <v>18</v>
      </c>
      <c r="FE473" s="189">
        <v>0.9</v>
      </c>
      <c r="FF473" s="189">
        <v>0</v>
      </c>
      <c r="FG473" s="189">
        <v>0.4</v>
      </c>
      <c r="FH473" s="189">
        <v>12</v>
      </c>
      <c r="FI473" s="189">
        <v>0</v>
      </c>
      <c r="FJ473" s="189">
        <v>20</v>
      </c>
      <c r="FK473" s="189">
        <v>711.3</v>
      </c>
      <c r="FL473" s="189">
        <v>650.79999999999995</v>
      </c>
      <c r="FN473" s="132">
        <v>159.65</v>
      </c>
    </row>
    <row r="474" spans="1:170" ht="30" customHeight="1">
      <c r="A474" s="88">
        <f>COUNTIF($H$12:H474,H474)</f>
        <v>52</v>
      </c>
      <c r="B474" s="88" t="s">
        <v>2749</v>
      </c>
      <c r="C474" s="88" t="s">
        <v>828</v>
      </c>
      <c r="D474" s="88"/>
      <c r="E474" s="88"/>
      <c r="F474" s="301" t="s">
        <v>2990</v>
      </c>
      <c r="G474" s="303" t="s">
        <v>2086</v>
      </c>
      <c r="H474" s="88">
        <v>9</v>
      </c>
      <c r="I474" s="88">
        <v>9</v>
      </c>
      <c r="J474" s="88">
        <v>9</v>
      </c>
      <c r="K474" s="90" t="s">
        <v>1106</v>
      </c>
      <c r="L474" s="90" t="s">
        <v>1106</v>
      </c>
      <c r="M474" s="214"/>
      <c r="N474" s="88" t="s">
        <v>1804</v>
      </c>
      <c r="O474" s="216">
        <f t="shared" si="1503"/>
        <v>3.66</v>
      </c>
      <c r="P474" s="88" t="str">
        <f t="shared" si="1519"/>
        <v>B1_4</v>
      </c>
      <c r="Q474" s="88">
        <f t="shared" si="1369"/>
        <v>270</v>
      </c>
      <c r="R474" s="88">
        <f t="shared" si="1370"/>
        <v>120</v>
      </c>
      <c r="S474" s="233" t="s">
        <v>2539</v>
      </c>
      <c r="T474" s="88" t="s">
        <v>3088</v>
      </c>
      <c r="U474" s="88">
        <f>IF(RIGHT(T474,1)="K",(VLOOKUP(T474,ma_miengiam!$A$3:$B$80,2,0)*100)/2,VLOOKUP(T474,ma_miengiam!$A$3:$B$80,2,0)*100)</f>
        <v>0</v>
      </c>
      <c r="V474" s="88"/>
      <c r="W474" s="220">
        <f>IF(AND(T474="NTS",V474&gt;0),(Q474-(Q474*V474)/12)*VLOOKUP(T474,ma_miengiam!$A$3:$B$80,2,0)+(Q474-(Q474*(12-V474))/12),IF(AND(RIGHT(T474,1)="K",V474&gt;0),(VLOOKUP(T474,ma_miengiam!$A$3:$B$80,2,0)/2)*(Q474*V474)/12,IF(RIGHT(T474,1)="K",(VLOOKUP(T474,ma_miengiam!$A$3:$B$80,2,0)*Q474)/2,IF(V474&gt;0,VLOOKUP(T474,ma_miengiam!$A$3:$B$80,2,0)*Q474*V474/12,VLOOKUP(T474,ma_miengiam!$A$3:$B$80,2,0)*Q474))))</f>
        <v>0</v>
      </c>
      <c r="X474" s="220">
        <f>IF(T474="NTS",VLOOKUP(T474,ma_miengiam!$A$3:$B$80,2,0)*R474*V474,IF(AND(T474="NTS",V474=0),0,IF(AND(LEFT(T474,1)="K",V474=0),VLOOKUP(T474,ma_miengiam!$A$3:$B$80,2,0)*R474,IF(LEFT(T474,1)="K",(VLOOKUP(T474,ma_miengiam!$A$3:$B$80,2,0)*R474/12)*V474,IF(AND(LEFT(T474,1)="S",V474&gt;0),(R474/12)*V474,IF(AND(LEFT(T474,1)="S",V474=0),R474,IF(T474="DH",VLOOKUP(T474,ma_miengiam!$A$3:$B$80,2,0)*R474,0)))))))</f>
        <v>0</v>
      </c>
      <c r="Y474" s="220">
        <f t="shared" si="1521"/>
        <v>270</v>
      </c>
      <c r="Z474" s="220">
        <f t="shared" si="1457"/>
        <v>120</v>
      </c>
      <c r="AA474" s="220">
        <f t="shared" si="1522"/>
        <v>270</v>
      </c>
      <c r="AB474" s="220">
        <f t="shared" si="1522"/>
        <v>120</v>
      </c>
      <c r="AC474" s="220">
        <f t="shared" si="1523"/>
        <v>0</v>
      </c>
      <c r="AD474" s="220">
        <f t="shared" si="1523"/>
        <v>0</v>
      </c>
      <c r="AE474" s="220">
        <f t="shared" si="1523"/>
        <v>270</v>
      </c>
      <c r="AF474" s="220">
        <f t="shared" si="1523"/>
        <v>120</v>
      </c>
      <c r="AG474" s="220">
        <f t="shared" si="1524"/>
        <v>181.88</v>
      </c>
      <c r="AH474" s="220">
        <f t="shared" si="1525"/>
        <v>60</v>
      </c>
      <c r="AI474" s="220">
        <f t="shared" si="1526"/>
        <v>121.88</v>
      </c>
      <c r="AJ474" s="220">
        <f t="shared" si="1396"/>
        <v>0</v>
      </c>
      <c r="AK474" s="216">
        <f t="shared" si="1454"/>
        <v>270</v>
      </c>
      <c r="AL474" s="220">
        <f t="shared" si="1431"/>
        <v>585.40000000000009</v>
      </c>
      <c r="AM474" s="220">
        <f t="shared" si="1432"/>
        <v>0</v>
      </c>
      <c r="AN474" s="216">
        <f t="shared" si="1433"/>
        <v>585.40000000000009</v>
      </c>
      <c r="AO474" s="220">
        <f t="shared" si="1434"/>
        <v>0</v>
      </c>
      <c r="AP474" s="220">
        <f t="shared" si="1435"/>
        <v>30</v>
      </c>
      <c r="AQ474" s="220">
        <f t="shared" si="1436"/>
        <v>180</v>
      </c>
      <c r="AR474" s="220">
        <f t="shared" si="1437"/>
        <v>0</v>
      </c>
      <c r="AS474" s="220">
        <f t="shared" si="1438"/>
        <v>0</v>
      </c>
      <c r="AT474" s="216">
        <f t="shared" si="1439"/>
        <v>795.40000000000009</v>
      </c>
      <c r="AU474" s="220">
        <f t="shared" si="1447"/>
        <v>315.40000000000009</v>
      </c>
      <c r="AV474" s="220"/>
      <c r="AW474" s="220">
        <f t="shared" si="1379"/>
        <v>315.40000000000009</v>
      </c>
      <c r="AX474" s="216">
        <f t="shared" si="1448"/>
        <v>0</v>
      </c>
      <c r="AY474" s="220">
        <f t="shared" si="1386"/>
        <v>0</v>
      </c>
      <c r="AZ474" s="220">
        <f t="shared" si="1387"/>
        <v>30</v>
      </c>
      <c r="BA474" s="220">
        <f t="shared" si="1388"/>
        <v>180</v>
      </c>
      <c r="BB474" s="220">
        <f t="shared" si="1389"/>
        <v>0</v>
      </c>
      <c r="BC474" s="220">
        <f t="shared" si="1390"/>
        <v>0</v>
      </c>
      <c r="BD474" s="216">
        <f t="shared" si="1410"/>
        <v>210</v>
      </c>
      <c r="BE474" s="220">
        <f t="shared" si="1380"/>
        <v>0</v>
      </c>
      <c r="BF474" s="220">
        <f t="shared" si="1381"/>
        <v>0</v>
      </c>
      <c r="BG474" s="220">
        <f t="shared" si="1382"/>
        <v>0</v>
      </c>
      <c r="BH474" s="220">
        <f t="shared" si="1383"/>
        <v>0</v>
      </c>
      <c r="BI474" s="220">
        <f t="shared" si="1384"/>
        <v>0</v>
      </c>
      <c r="BJ474" s="220" t="s">
        <v>2428</v>
      </c>
      <c r="BK474" s="220"/>
      <c r="BL474" s="223">
        <f t="shared" si="1422"/>
        <v>315.40000000000009</v>
      </c>
      <c r="BM474" s="220">
        <v>3.66</v>
      </c>
      <c r="BN474" s="220"/>
      <c r="BO474" s="220">
        <f t="shared" si="1527"/>
        <v>3.66</v>
      </c>
      <c r="BP474" s="220">
        <f>IF(AND(BL474&gt;0,BL474&lt;tiet!$D$1),BL474,IF(BL474&lt;=0,0,IF(BL474&gt;tiet!$C$1,tiet!$C$1)))</f>
        <v>200</v>
      </c>
      <c r="BQ474" s="87">
        <f t="shared" si="1397"/>
        <v>65000</v>
      </c>
      <c r="BR474" s="224">
        <f t="shared" si="1391"/>
        <v>13000000</v>
      </c>
      <c r="BS474" s="220">
        <f t="shared" si="1478"/>
        <v>115.40000000000009</v>
      </c>
      <c r="BT474" s="224">
        <f>VLOOKUP(N474,ma_dinhmuc!$A$1:$J$31,10,0)</f>
        <v>51000</v>
      </c>
      <c r="BU474" s="224">
        <f>ROUND(IF(BS474&gt;0,VLOOKUP(N474,ma_dinhmuc!$A$1:$J$31,10,0)*BS474,0),0)</f>
        <v>5885400</v>
      </c>
      <c r="BV474" s="224">
        <f t="shared" si="1392"/>
        <v>18885400</v>
      </c>
      <c r="BW474" s="224"/>
      <c r="BX474" s="224">
        <v>0</v>
      </c>
      <c r="BY474" s="224"/>
      <c r="BZ474" s="224"/>
      <c r="CA474" s="224"/>
      <c r="CB474" s="224"/>
      <c r="CC474" s="225">
        <f t="shared" si="1419"/>
        <v>18885400</v>
      </c>
      <c r="CD474" s="224">
        <f t="shared" si="1420"/>
        <v>0</v>
      </c>
      <c r="CE474" s="224"/>
      <c r="CF474" s="226"/>
      <c r="CG474" s="87"/>
      <c r="CH474" s="87">
        <f t="shared" si="1520"/>
        <v>52</v>
      </c>
      <c r="CI474" s="227" t="str">
        <f t="shared" ref="CI474:CJ478" si="1529">F474</f>
        <v>Đặng Hữu</v>
      </c>
      <c r="CJ474" s="227" t="str">
        <f t="shared" si="1529"/>
        <v>Anh</v>
      </c>
      <c r="CK474" s="87">
        <f t="shared" si="1528"/>
        <v>9</v>
      </c>
      <c r="CL474" s="227" t="str">
        <f t="shared" si="1518"/>
        <v>VSV - Truyền nhiễm</v>
      </c>
      <c r="CM474" s="87" t="str">
        <f t="shared" si="1385"/>
        <v>CS2</v>
      </c>
      <c r="CN474" s="87">
        <f t="shared" si="1516"/>
        <v>270</v>
      </c>
      <c r="CO474" s="87">
        <f t="shared" si="1517"/>
        <v>120</v>
      </c>
      <c r="CP474" s="229">
        <f t="shared" si="1483"/>
        <v>0</v>
      </c>
      <c r="CQ474" s="229">
        <f t="shared" si="1484"/>
        <v>52.3</v>
      </c>
      <c r="CR474" s="229">
        <f t="shared" si="1485"/>
        <v>21.1</v>
      </c>
      <c r="CS474" s="229">
        <f t="shared" si="1486"/>
        <v>196.8</v>
      </c>
      <c r="CT474" s="229">
        <f t="shared" si="1487"/>
        <v>0</v>
      </c>
      <c r="CU474" s="229">
        <f t="shared" si="1488"/>
        <v>243.2</v>
      </c>
      <c r="CV474" s="229">
        <f t="shared" si="1489"/>
        <v>0</v>
      </c>
      <c r="CW474" s="229">
        <f t="shared" si="1490"/>
        <v>72</v>
      </c>
      <c r="CX474" s="229">
        <f t="shared" si="1491"/>
        <v>0</v>
      </c>
      <c r="CY474" s="229">
        <f t="shared" si="1492"/>
        <v>0</v>
      </c>
      <c r="CZ474" s="229">
        <f t="shared" si="1493"/>
        <v>30</v>
      </c>
      <c r="DA474" s="229">
        <f t="shared" si="1494"/>
        <v>180</v>
      </c>
      <c r="DB474" s="228">
        <f t="shared" si="1429"/>
        <v>795.40000000000009</v>
      </c>
      <c r="DC474" s="229"/>
      <c r="DD474" s="229"/>
      <c r="DE474" s="229"/>
      <c r="DF474" s="229"/>
      <c r="DG474" s="229"/>
      <c r="DH474" s="229"/>
      <c r="DI474" s="229"/>
      <c r="DJ474" s="229"/>
      <c r="DK474" s="229"/>
      <c r="DL474" s="229"/>
      <c r="DM474" s="229"/>
      <c r="DN474" s="229"/>
      <c r="DO474" s="228">
        <f t="shared" si="1440"/>
        <v>0</v>
      </c>
      <c r="DP474" s="228">
        <f t="shared" si="1441"/>
        <v>795.40000000000009</v>
      </c>
      <c r="DQ474" s="229">
        <f t="shared" si="1495"/>
        <v>0</v>
      </c>
      <c r="DR474" s="229">
        <f t="shared" si="1496"/>
        <v>0</v>
      </c>
      <c r="DS474" s="229">
        <f t="shared" si="1497"/>
        <v>0</v>
      </c>
      <c r="DT474" s="229">
        <f t="shared" si="1498"/>
        <v>0</v>
      </c>
      <c r="DU474" s="229">
        <f t="shared" si="1499"/>
        <v>0</v>
      </c>
      <c r="DV474" s="229">
        <f t="shared" si="1500"/>
        <v>0</v>
      </c>
      <c r="DW474" s="229">
        <f t="shared" si="1501"/>
        <v>0</v>
      </c>
      <c r="DX474" s="228">
        <f t="shared" si="1430"/>
        <v>0</v>
      </c>
      <c r="DY474" s="229"/>
      <c r="DZ474" s="229"/>
      <c r="EA474" s="229"/>
      <c r="EB474" s="229"/>
      <c r="EC474" s="229"/>
      <c r="ED474" s="229"/>
      <c r="EE474" s="229"/>
      <c r="EF474" s="228">
        <f t="shared" si="1480"/>
        <v>0</v>
      </c>
      <c r="EG474" s="228">
        <f t="shared" si="1442"/>
        <v>0</v>
      </c>
      <c r="EH474" s="229">
        <f t="shared" si="1481"/>
        <v>121.88</v>
      </c>
      <c r="EI474" s="229">
        <v>60</v>
      </c>
      <c r="EJ474" s="228">
        <f t="shared" si="1443"/>
        <v>181.88</v>
      </c>
      <c r="EK474" s="229"/>
      <c r="EL474" s="229"/>
      <c r="EM474" s="228">
        <f t="shared" si="1468"/>
        <v>0</v>
      </c>
      <c r="EN474" s="229">
        <f t="shared" si="1423"/>
        <v>121.88</v>
      </c>
      <c r="EO474" s="229">
        <f t="shared" si="1451"/>
        <v>60</v>
      </c>
      <c r="EP474" s="228">
        <f>EM474+EJ474</f>
        <v>181.88</v>
      </c>
      <c r="EQ474" s="173">
        <f t="shared" si="1479"/>
        <v>1.8799999999999955</v>
      </c>
      <c r="ER474" s="189">
        <v>0</v>
      </c>
      <c r="ES474" s="189">
        <v>52.3</v>
      </c>
      <c r="ET474" s="189">
        <v>21.1</v>
      </c>
      <c r="EU474" s="189">
        <v>196.8</v>
      </c>
      <c r="EV474" s="189">
        <v>0</v>
      </c>
      <c r="EW474" s="189">
        <v>243.2</v>
      </c>
      <c r="EX474" s="189">
        <v>0</v>
      </c>
      <c r="EY474" s="189">
        <v>72</v>
      </c>
      <c r="EZ474" s="189">
        <v>0</v>
      </c>
      <c r="FA474" s="189">
        <v>0</v>
      </c>
      <c r="FB474" s="189">
        <v>30</v>
      </c>
      <c r="FC474" s="189">
        <v>180</v>
      </c>
      <c r="FD474" s="189">
        <v>0</v>
      </c>
      <c r="FE474" s="189">
        <v>0</v>
      </c>
      <c r="FF474" s="189">
        <v>0</v>
      </c>
      <c r="FG474" s="189">
        <v>0</v>
      </c>
      <c r="FH474" s="189">
        <v>0</v>
      </c>
      <c r="FI474" s="189">
        <v>0</v>
      </c>
      <c r="FJ474" s="189">
        <v>0</v>
      </c>
      <c r="FK474" s="189">
        <v>795.4</v>
      </c>
      <c r="FL474" s="189">
        <v>706.8</v>
      </c>
      <c r="FN474" s="132">
        <v>121.88</v>
      </c>
    </row>
    <row r="475" spans="1:170" ht="30" customHeight="1">
      <c r="A475" s="88">
        <f>COUNTIF($H$12:H475,H475)</f>
        <v>53</v>
      </c>
      <c r="B475" s="88" t="s">
        <v>2750</v>
      </c>
      <c r="C475" s="88" t="s">
        <v>829</v>
      </c>
      <c r="D475" s="88"/>
      <c r="E475" s="88"/>
      <c r="F475" s="301" t="s">
        <v>2895</v>
      </c>
      <c r="G475" s="89" t="s">
        <v>2203</v>
      </c>
      <c r="H475" s="88">
        <v>9</v>
      </c>
      <c r="I475" s="88">
        <v>9</v>
      </c>
      <c r="J475" s="88">
        <v>9</v>
      </c>
      <c r="K475" s="90" t="s">
        <v>1106</v>
      </c>
      <c r="L475" s="90" t="s">
        <v>1106</v>
      </c>
      <c r="M475" s="214"/>
      <c r="N475" s="88" t="s">
        <v>1804</v>
      </c>
      <c r="O475" s="216">
        <f t="shared" si="1503"/>
        <v>3.33</v>
      </c>
      <c r="P475" s="88" t="str">
        <f t="shared" si="1519"/>
        <v>B1_4</v>
      </c>
      <c r="Q475" s="88">
        <f t="shared" si="1369"/>
        <v>270</v>
      </c>
      <c r="R475" s="88">
        <f t="shared" si="1370"/>
        <v>120</v>
      </c>
      <c r="S475" s="218"/>
      <c r="T475" s="88" t="s">
        <v>3088</v>
      </c>
      <c r="U475" s="88">
        <f>IF(RIGHT(T475,1)="K",(VLOOKUP(T475,ma_miengiam!$A$3:$B$80,2,0)*100)/2,VLOOKUP(T475,ma_miengiam!$A$3:$B$80,2,0)*100)</f>
        <v>0</v>
      </c>
      <c r="V475" s="88"/>
      <c r="W475" s="220">
        <f>IF(AND(T475="NTS",V475&gt;0),(Q475-(Q475*V475)/12)*VLOOKUP(T475,ma_miengiam!$A$3:$B$80,2,0)+(Q475-(Q475*(12-V475))/12),IF(AND(RIGHT(T475,1)="K",V475&gt;0),(VLOOKUP(T475,ma_miengiam!$A$3:$B$80,2,0)/2)*(Q475*V475)/12,IF(RIGHT(T475,1)="K",(VLOOKUP(T475,ma_miengiam!$A$3:$B$80,2,0)*Q475)/2,IF(V475&gt;0,VLOOKUP(T475,ma_miengiam!$A$3:$B$80,2,0)*Q475*V475/12,VLOOKUP(T475,ma_miengiam!$A$3:$B$80,2,0)*Q475))))</f>
        <v>0</v>
      </c>
      <c r="X475" s="220">
        <f>IF(T475="NTS",VLOOKUP(T475,ma_miengiam!$A$3:$B$80,2,0)*R475*V475,IF(AND(T475="NTS",V475=0),0,IF(AND(LEFT(T475,1)="K",V475=0),VLOOKUP(T475,ma_miengiam!$A$3:$B$80,2,0)*R475,IF(LEFT(T475,1)="K",(VLOOKUP(T475,ma_miengiam!$A$3:$B$80,2,0)*R475/12)*V475,IF(AND(LEFT(T475,1)="S",V475&gt;0),(R475/12)*V475,IF(AND(LEFT(T475,1)="S",V475=0),R475,IF(T475="DH",VLOOKUP(T475,ma_miengiam!$A$3:$B$80,2,0)*R475,0)))))))</f>
        <v>0</v>
      </c>
      <c r="Y475" s="220">
        <f t="shared" si="1521"/>
        <v>270</v>
      </c>
      <c r="Z475" s="220">
        <f t="shared" si="1457"/>
        <v>120</v>
      </c>
      <c r="AA475" s="220">
        <f t="shared" si="1522"/>
        <v>270</v>
      </c>
      <c r="AB475" s="220">
        <f t="shared" si="1522"/>
        <v>120</v>
      </c>
      <c r="AC475" s="220">
        <f t="shared" si="1523"/>
        <v>0</v>
      </c>
      <c r="AD475" s="220">
        <f t="shared" si="1523"/>
        <v>0</v>
      </c>
      <c r="AE475" s="220">
        <f t="shared" si="1523"/>
        <v>270</v>
      </c>
      <c r="AF475" s="220">
        <f t="shared" si="1523"/>
        <v>120</v>
      </c>
      <c r="AG475" s="220">
        <f t="shared" si="1524"/>
        <v>297.85000000000002</v>
      </c>
      <c r="AH475" s="220">
        <f t="shared" si="1525"/>
        <v>92.57</v>
      </c>
      <c r="AI475" s="220">
        <f t="shared" si="1526"/>
        <v>205.28</v>
      </c>
      <c r="AJ475" s="220">
        <f t="shared" si="1396"/>
        <v>0</v>
      </c>
      <c r="AK475" s="216">
        <f t="shared" si="1454"/>
        <v>270</v>
      </c>
      <c r="AL475" s="220">
        <f t="shared" si="1431"/>
        <v>349.8</v>
      </c>
      <c r="AM475" s="220">
        <f t="shared" si="1432"/>
        <v>28.4</v>
      </c>
      <c r="AN475" s="221">
        <f t="shared" si="1433"/>
        <v>378.2</v>
      </c>
      <c r="AO475" s="220">
        <f t="shared" si="1434"/>
        <v>0</v>
      </c>
      <c r="AP475" s="220">
        <f t="shared" si="1435"/>
        <v>0</v>
      </c>
      <c r="AQ475" s="220">
        <f t="shared" si="1436"/>
        <v>220</v>
      </c>
      <c r="AR475" s="220">
        <f t="shared" si="1437"/>
        <v>80</v>
      </c>
      <c r="AS475" s="220">
        <f t="shared" si="1438"/>
        <v>10</v>
      </c>
      <c r="AT475" s="216">
        <f t="shared" si="1439"/>
        <v>688.2</v>
      </c>
      <c r="AU475" s="222">
        <f t="shared" si="1447"/>
        <v>108.19999999999999</v>
      </c>
      <c r="AV475" s="220"/>
      <c r="AW475" s="220">
        <f t="shared" si="1379"/>
        <v>108.19999999999999</v>
      </c>
      <c r="AX475" s="216">
        <f t="shared" si="1448"/>
        <v>0</v>
      </c>
      <c r="AY475" s="220">
        <f t="shared" si="1386"/>
        <v>0</v>
      </c>
      <c r="AZ475" s="220">
        <f t="shared" si="1387"/>
        <v>0</v>
      </c>
      <c r="BA475" s="220">
        <f t="shared" si="1388"/>
        <v>220</v>
      </c>
      <c r="BB475" s="220">
        <f t="shared" si="1389"/>
        <v>80</v>
      </c>
      <c r="BC475" s="220">
        <f t="shared" si="1390"/>
        <v>10</v>
      </c>
      <c r="BD475" s="216">
        <f t="shared" si="1410"/>
        <v>310</v>
      </c>
      <c r="BE475" s="220">
        <f t="shared" si="1380"/>
        <v>0</v>
      </c>
      <c r="BF475" s="220">
        <f t="shared" si="1381"/>
        <v>0</v>
      </c>
      <c r="BG475" s="220">
        <f t="shared" si="1382"/>
        <v>0</v>
      </c>
      <c r="BH475" s="220">
        <f t="shared" si="1383"/>
        <v>0</v>
      </c>
      <c r="BI475" s="220">
        <f t="shared" si="1384"/>
        <v>0</v>
      </c>
      <c r="BJ475" s="220" t="s">
        <v>2428</v>
      </c>
      <c r="BK475" s="220"/>
      <c r="BL475" s="223">
        <f t="shared" si="1422"/>
        <v>108.19999999999999</v>
      </c>
      <c r="BM475" s="220">
        <v>3.33</v>
      </c>
      <c r="BN475" s="220"/>
      <c r="BO475" s="220">
        <f t="shared" si="1527"/>
        <v>3.33</v>
      </c>
      <c r="BP475" s="220">
        <f>IF(AND(BL475&gt;0,BL475&lt;tiet!$D$1),BL475,IF(BL475&lt;=0,0,IF(BL475&gt;tiet!$C$1,tiet!$C$1)))</f>
        <v>108.19999999999999</v>
      </c>
      <c r="BQ475" s="87">
        <f t="shared" si="1397"/>
        <v>65000</v>
      </c>
      <c r="BR475" s="224">
        <f t="shared" si="1391"/>
        <v>7033000</v>
      </c>
      <c r="BS475" s="220">
        <f t="shared" si="1478"/>
        <v>0</v>
      </c>
      <c r="BT475" s="224">
        <f>VLOOKUP(N475,ma_dinhmuc!$A$1:$J$31,10,0)</f>
        <v>51000</v>
      </c>
      <c r="BU475" s="224">
        <f>ROUND(IF(BS475&gt;0,VLOOKUP(N475,ma_dinhmuc!$A$1:$J$31,10,0)*BS475,0),0)</f>
        <v>0</v>
      </c>
      <c r="BV475" s="224">
        <f t="shared" si="1392"/>
        <v>7033000</v>
      </c>
      <c r="BW475" s="224"/>
      <c r="BX475" s="224">
        <v>0</v>
      </c>
      <c r="BY475" s="224"/>
      <c r="BZ475" s="224"/>
      <c r="CA475" s="224"/>
      <c r="CB475" s="224"/>
      <c r="CC475" s="225">
        <f t="shared" si="1419"/>
        <v>7033000</v>
      </c>
      <c r="CD475" s="224">
        <f t="shared" si="1420"/>
        <v>0</v>
      </c>
      <c r="CE475" s="224"/>
      <c r="CF475" s="226"/>
      <c r="CG475" s="87"/>
      <c r="CH475" s="87">
        <f t="shared" si="1520"/>
        <v>53</v>
      </c>
      <c r="CI475" s="227" t="str">
        <f t="shared" si="1529"/>
        <v>Nguyễn Văn</v>
      </c>
      <c r="CJ475" s="227" t="str">
        <f t="shared" si="1529"/>
        <v>Giáp</v>
      </c>
      <c r="CK475" s="87">
        <f t="shared" si="1528"/>
        <v>9</v>
      </c>
      <c r="CL475" s="227" t="str">
        <f t="shared" si="1518"/>
        <v>VSV - Truyền nhiễm</v>
      </c>
      <c r="CM475" s="87" t="str">
        <f t="shared" si="1385"/>
        <v>CS2</v>
      </c>
      <c r="CN475" s="87">
        <f t="shared" si="1516"/>
        <v>270</v>
      </c>
      <c r="CO475" s="87">
        <f t="shared" si="1517"/>
        <v>120</v>
      </c>
      <c r="CP475" s="229">
        <f t="shared" si="1483"/>
        <v>0</v>
      </c>
      <c r="CQ475" s="229">
        <f t="shared" si="1484"/>
        <v>14.9</v>
      </c>
      <c r="CR475" s="229">
        <f t="shared" si="1485"/>
        <v>6.1</v>
      </c>
      <c r="CS475" s="229">
        <f t="shared" si="1486"/>
        <v>100.8</v>
      </c>
      <c r="CT475" s="229">
        <f t="shared" si="1487"/>
        <v>0</v>
      </c>
      <c r="CU475" s="229">
        <f t="shared" si="1488"/>
        <v>148</v>
      </c>
      <c r="CV475" s="229">
        <f t="shared" si="1489"/>
        <v>0</v>
      </c>
      <c r="CW475" s="229">
        <f t="shared" si="1490"/>
        <v>80</v>
      </c>
      <c r="CX475" s="229">
        <f t="shared" si="1491"/>
        <v>0</v>
      </c>
      <c r="CY475" s="229">
        <f t="shared" si="1492"/>
        <v>0</v>
      </c>
      <c r="CZ475" s="229">
        <f t="shared" si="1493"/>
        <v>0</v>
      </c>
      <c r="DA475" s="229">
        <f t="shared" si="1494"/>
        <v>220</v>
      </c>
      <c r="DB475" s="228">
        <f t="shared" si="1429"/>
        <v>569.79999999999995</v>
      </c>
      <c r="DC475" s="229"/>
      <c r="DD475" s="229"/>
      <c r="DE475" s="229"/>
      <c r="DF475" s="229"/>
      <c r="DG475" s="229"/>
      <c r="DH475" s="229"/>
      <c r="DI475" s="229"/>
      <c r="DJ475" s="229"/>
      <c r="DK475" s="229"/>
      <c r="DL475" s="229"/>
      <c r="DM475" s="229"/>
      <c r="DN475" s="229"/>
      <c r="DO475" s="228">
        <f t="shared" si="1440"/>
        <v>0</v>
      </c>
      <c r="DP475" s="228">
        <f t="shared" si="1441"/>
        <v>569.79999999999995</v>
      </c>
      <c r="DQ475" s="229">
        <f t="shared" si="1495"/>
        <v>27</v>
      </c>
      <c r="DR475" s="229">
        <f t="shared" si="1496"/>
        <v>1</v>
      </c>
      <c r="DS475" s="229">
        <f t="shared" si="1497"/>
        <v>0</v>
      </c>
      <c r="DT475" s="229">
        <f t="shared" si="1498"/>
        <v>0.4</v>
      </c>
      <c r="DU475" s="229">
        <f t="shared" si="1499"/>
        <v>0</v>
      </c>
      <c r="DV475" s="229">
        <f t="shared" si="1500"/>
        <v>80</v>
      </c>
      <c r="DW475" s="229">
        <f t="shared" si="1501"/>
        <v>10</v>
      </c>
      <c r="DX475" s="228">
        <f t="shared" si="1430"/>
        <v>118.4</v>
      </c>
      <c r="DY475" s="229"/>
      <c r="DZ475" s="229"/>
      <c r="EA475" s="229"/>
      <c r="EB475" s="229"/>
      <c r="EC475" s="229"/>
      <c r="ED475" s="229"/>
      <c r="EE475" s="229"/>
      <c r="EF475" s="228">
        <f t="shared" si="1480"/>
        <v>0</v>
      </c>
      <c r="EG475" s="228">
        <f t="shared" si="1442"/>
        <v>118.4</v>
      </c>
      <c r="EH475" s="229">
        <f t="shared" si="1481"/>
        <v>205.28</v>
      </c>
      <c r="EI475" s="229">
        <v>92.57</v>
      </c>
      <c r="EJ475" s="228">
        <f t="shared" si="1443"/>
        <v>297.85000000000002</v>
      </c>
      <c r="EK475" s="229"/>
      <c r="EL475" s="229"/>
      <c r="EM475" s="228">
        <f t="shared" si="1468"/>
        <v>0</v>
      </c>
      <c r="EN475" s="229">
        <f t="shared" si="1423"/>
        <v>205.28</v>
      </c>
      <c r="EO475" s="229">
        <f t="shared" si="1451"/>
        <v>92.57</v>
      </c>
      <c r="EP475" s="228">
        <f>EM475+EJ475</f>
        <v>297.85000000000002</v>
      </c>
      <c r="EQ475" s="173">
        <f t="shared" si="1479"/>
        <v>85.28</v>
      </c>
      <c r="ER475" s="189">
        <v>0</v>
      </c>
      <c r="ES475" s="189">
        <v>14.9</v>
      </c>
      <c r="ET475" s="189">
        <v>6.1</v>
      </c>
      <c r="EU475" s="189">
        <v>100.8</v>
      </c>
      <c r="EV475" s="189">
        <v>0</v>
      </c>
      <c r="EW475" s="189">
        <v>148</v>
      </c>
      <c r="EX475" s="189">
        <v>0</v>
      </c>
      <c r="EY475" s="189">
        <v>80</v>
      </c>
      <c r="EZ475" s="189">
        <v>0</v>
      </c>
      <c r="FA475" s="189">
        <v>0</v>
      </c>
      <c r="FB475" s="189">
        <v>0</v>
      </c>
      <c r="FC475" s="189">
        <v>220</v>
      </c>
      <c r="FD475" s="189">
        <v>27</v>
      </c>
      <c r="FE475" s="189">
        <v>1</v>
      </c>
      <c r="FF475" s="189">
        <v>0</v>
      </c>
      <c r="FG475" s="189">
        <v>0.4</v>
      </c>
      <c r="FH475" s="189">
        <v>80</v>
      </c>
      <c r="FI475" s="189">
        <v>0</v>
      </c>
      <c r="FJ475" s="189">
        <v>10</v>
      </c>
      <c r="FK475" s="189">
        <v>688.2</v>
      </c>
      <c r="FL475" s="189">
        <v>657.8</v>
      </c>
      <c r="FN475" s="132">
        <v>205.28</v>
      </c>
    </row>
    <row r="476" spans="1:170" ht="30" customHeight="1">
      <c r="A476" s="88">
        <f>COUNTIF($H$12:H476,H476)</f>
        <v>54</v>
      </c>
      <c r="B476" s="88" t="s">
        <v>2751</v>
      </c>
      <c r="C476" s="88" t="s">
        <v>830</v>
      </c>
      <c r="D476" s="88"/>
      <c r="E476" s="88"/>
      <c r="F476" s="301" t="s">
        <v>2458</v>
      </c>
      <c r="G476" s="89" t="s">
        <v>3205</v>
      </c>
      <c r="H476" s="88">
        <v>9</v>
      </c>
      <c r="I476" s="88">
        <v>9</v>
      </c>
      <c r="J476" s="88">
        <v>9</v>
      </c>
      <c r="K476" s="90" t="s">
        <v>1106</v>
      </c>
      <c r="L476" s="90" t="s">
        <v>1106</v>
      </c>
      <c r="M476" s="214"/>
      <c r="N476" s="88" t="s">
        <v>605</v>
      </c>
      <c r="O476" s="216">
        <f t="shared" si="1503"/>
        <v>7.28</v>
      </c>
      <c r="P476" s="88" t="str">
        <f t="shared" si="1519"/>
        <v>B1_8</v>
      </c>
      <c r="Q476" s="88">
        <f t="shared" si="1369"/>
        <v>270</v>
      </c>
      <c r="R476" s="88">
        <f t="shared" si="1370"/>
        <v>280</v>
      </c>
      <c r="S476" s="218" t="s">
        <v>3176</v>
      </c>
      <c r="T476" s="219" t="s">
        <v>3088</v>
      </c>
      <c r="U476" s="88">
        <f>IF(RIGHT(T476,1)="K",(VLOOKUP(T476,ma_miengiam!$A$3:$B$80,2,0)*100)/2,VLOOKUP(T476,ma_miengiam!$A$3:$B$80,2,0)*100)</f>
        <v>0</v>
      </c>
      <c r="V476" s="88">
        <v>8</v>
      </c>
      <c r="W476" s="220">
        <f>IF(AND(T476="NTS",V476&gt;0),(Q476-(Q476*V476)/12)*VLOOKUP(T476,ma_miengiam!$A$3:$B$80,2,0)+(Q476-(Q476*(12-V476))/12),IF(AND(RIGHT(T476,1)="K",V476&gt;0),(VLOOKUP(T476,ma_miengiam!$A$3:$B$80,2,0)/2)*(Q476*V476)/12,IF(RIGHT(T476,1)="K",(VLOOKUP(T476,ma_miengiam!$A$3:$B$80,2,0)*Q476)/2,IF(V476&gt;0,VLOOKUP(T476,ma_miengiam!$A$3:$B$80,2,0)*Q476*V476/12,VLOOKUP(T476,ma_miengiam!$A$3:$B$80,2,0)*Q476))))</f>
        <v>0</v>
      </c>
      <c r="X476" s="220">
        <f>IF(T476="NTS",VLOOKUP(T476,ma_miengiam!$A$3:$B$80,2,0)*R476*V476,IF(AND(T476="NTS",V476=0),0,IF(AND(LEFT(T476,1)="K",V476=0),VLOOKUP(T476,ma_miengiam!$A$3:$B$80,2,0)*R476,IF(LEFT(T476,1)="K",(VLOOKUP(T476,ma_miengiam!$A$3:$B$80,2,0)*R476/12)*V476,IF(AND(LEFT(T476,1)="S",V476&gt;0),(R476/12)*V476,IF(AND(LEFT(T476,1)="S",V476=0),R476,IF(T476="DH",VLOOKUP(T476,ma_miengiam!$A$3:$B$80,2,0)*R476,0)))))))</f>
        <v>0</v>
      </c>
      <c r="Y476" s="220">
        <f t="shared" si="1521"/>
        <v>180</v>
      </c>
      <c r="Z476" s="220">
        <f t="shared" si="1457"/>
        <v>186.66666666666666</v>
      </c>
      <c r="AA476" s="220">
        <f>Q476</f>
        <v>270</v>
      </c>
      <c r="AB476" s="220">
        <f>R476</f>
        <v>280</v>
      </c>
      <c r="AC476" s="220">
        <f>W476</f>
        <v>0</v>
      </c>
      <c r="AD476" s="220">
        <f>X476</f>
        <v>0</v>
      </c>
      <c r="AE476" s="220">
        <f>Y476</f>
        <v>180</v>
      </c>
      <c r="AF476" s="220">
        <f>Z476</f>
        <v>186.66666666666666</v>
      </c>
      <c r="AG476" s="220">
        <f>AH476+AI476</f>
        <v>312.25</v>
      </c>
      <c r="AH476" s="220">
        <f>EO476</f>
        <v>146</v>
      </c>
      <c r="AI476" s="220">
        <f>EN476</f>
        <v>166.25</v>
      </c>
      <c r="AJ476" s="220">
        <f t="shared" si="1396"/>
        <v>0</v>
      </c>
      <c r="AK476" s="216">
        <f t="shared" si="1454"/>
        <v>180</v>
      </c>
      <c r="AL476" s="220">
        <f t="shared" si="1431"/>
        <v>229.9</v>
      </c>
      <c r="AM476" s="220">
        <f t="shared" si="1432"/>
        <v>18.900000000000002</v>
      </c>
      <c r="AN476" s="221">
        <f t="shared" si="1433"/>
        <v>248.8</v>
      </c>
      <c r="AO476" s="220">
        <f t="shared" si="1434"/>
        <v>0</v>
      </c>
      <c r="AP476" s="220">
        <f t="shared" si="1435"/>
        <v>15</v>
      </c>
      <c r="AQ476" s="220">
        <f t="shared" si="1436"/>
        <v>220</v>
      </c>
      <c r="AR476" s="220">
        <f t="shared" si="1437"/>
        <v>68</v>
      </c>
      <c r="AS476" s="220">
        <f t="shared" si="1438"/>
        <v>0</v>
      </c>
      <c r="AT476" s="216">
        <f t="shared" si="1439"/>
        <v>551.79999999999995</v>
      </c>
      <c r="AU476" s="222">
        <f t="shared" si="1447"/>
        <v>68.800000000000011</v>
      </c>
      <c r="AV476" s="220"/>
      <c r="AW476" s="220">
        <f t="shared" ref="AW476:AW523" si="1530">IF(AU476&gt;0,AU476,AV476+AU476)</f>
        <v>68.800000000000011</v>
      </c>
      <c r="AX476" s="216">
        <f t="shared" si="1448"/>
        <v>0</v>
      </c>
      <c r="AY476" s="220">
        <f t="shared" si="1386"/>
        <v>0</v>
      </c>
      <c r="AZ476" s="220">
        <f t="shared" si="1387"/>
        <v>15</v>
      </c>
      <c r="BA476" s="220">
        <f t="shared" si="1388"/>
        <v>220</v>
      </c>
      <c r="BB476" s="220">
        <f t="shared" si="1389"/>
        <v>68</v>
      </c>
      <c r="BC476" s="220">
        <f t="shared" si="1390"/>
        <v>0</v>
      </c>
      <c r="BD476" s="216">
        <f t="shared" si="1410"/>
        <v>303</v>
      </c>
      <c r="BE476" s="220">
        <f t="shared" ref="BE476:BE523" si="1531">AY476-AO476</f>
        <v>0</v>
      </c>
      <c r="BF476" s="220">
        <f t="shared" ref="BF476:BF523" si="1532">AZ476-AP476</f>
        <v>0</v>
      </c>
      <c r="BG476" s="220">
        <f t="shared" ref="BG476:BG523" si="1533">BA476-AQ476</f>
        <v>0</v>
      </c>
      <c r="BH476" s="220">
        <f t="shared" ref="BH476:BH523" si="1534">BB476-AR476</f>
        <v>0</v>
      </c>
      <c r="BI476" s="220">
        <f t="shared" ref="BI476:BI523" si="1535">BC476-AS476</f>
        <v>0</v>
      </c>
      <c r="BJ476" s="220" t="s">
        <v>2488</v>
      </c>
      <c r="BK476" s="220"/>
      <c r="BL476" s="223">
        <f t="shared" si="1422"/>
        <v>68.800000000000011</v>
      </c>
      <c r="BM476" s="220">
        <v>7.28</v>
      </c>
      <c r="BN476" s="220"/>
      <c r="BO476" s="220">
        <f t="shared" si="1527"/>
        <v>7.28</v>
      </c>
      <c r="BP476" s="220">
        <f>IF(AND(BL476&gt;0,BL476&lt;tiet!$D$1),BL476,IF(BL476&lt;=0,0,IF(BL476&gt;tiet!$C$1,tiet!$C$1)))</f>
        <v>68.800000000000011</v>
      </c>
      <c r="BQ476" s="87">
        <f t="shared" si="1397"/>
        <v>85000</v>
      </c>
      <c r="BR476" s="224">
        <f t="shared" si="1391"/>
        <v>5848000</v>
      </c>
      <c r="BS476" s="220">
        <f t="shared" si="1478"/>
        <v>0</v>
      </c>
      <c r="BT476" s="224">
        <f>VLOOKUP(N476,ma_dinhmuc!$A$1:$J$31,10,0)</f>
        <v>65000</v>
      </c>
      <c r="BU476" s="224">
        <f>ROUND(IF(BS476&gt;0,VLOOKUP(N476,ma_dinhmuc!$A$1:$J$31,10,0)*BS476,0),0)</f>
        <v>0</v>
      </c>
      <c r="BV476" s="224">
        <f t="shared" si="1392"/>
        <v>5848000</v>
      </c>
      <c r="BW476" s="224"/>
      <c r="BX476" s="224">
        <v>0</v>
      </c>
      <c r="BY476" s="224"/>
      <c r="BZ476" s="224"/>
      <c r="CA476" s="224"/>
      <c r="CB476" s="224"/>
      <c r="CC476" s="225">
        <f t="shared" si="1419"/>
        <v>5848000</v>
      </c>
      <c r="CD476" s="224">
        <f t="shared" si="1420"/>
        <v>0</v>
      </c>
      <c r="CE476" s="224"/>
      <c r="CF476" s="226"/>
      <c r="CG476" s="87"/>
      <c r="CH476" s="87">
        <f>A476</f>
        <v>54</v>
      </c>
      <c r="CI476" s="227" t="str">
        <f t="shared" si="1529"/>
        <v>Nguyễn Bá</v>
      </c>
      <c r="CJ476" s="227" t="str">
        <f t="shared" si="1529"/>
        <v>Hiên</v>
      </c>
      <c r="CK476" s="87">
        <f t="shared" si="1528"/>
        <v>9</v>
      </c>
      <c r="CL476" s="227" t="str">
        <f>L476</f>
        <v>VSV - Truyền nhiễm</v>
      </c>
      <c r="CM476" s="87" t="str">
        <f t="shared" ref="CM476:CM523" si="1536">N476</f>
        <v>CS4</v>
      </c>
      <c r="CN476" s="87">
        <f t="shared" si="1516"/>
        <v>270</v>
      </c>
      <c r="CO476" s="87">
        <f t="shared" si="1517"/>
        <v>280</v>
      </c>
      <c r="CP476" s="229">
        <f t="shared" si="1483"/>
        <v>0</v>
      </c>
      <c r="CQ476" s="229">
        <f t="shared" si="1484"/>
        <v>0</v>
      </c>
      <c r="CR476" s="229">
        <f t="shared" si="1485"/>
        <v>14.6</v>
      </c>
      <c r="CS476" s="229">
        <f t="shared" si="1486"/>
        <v>0</v>
      </c>
      <c r="CT476" s="229">
        <f t="shared" si="1487"/>
        <v>0</v>
      </c>
      <c r="CU476" s="229">
        <f t="shared" si="1488"/>
        <v>215.3</v>
      </c>
      <c r="CV476" s="229">
        <f t="shared" si="1489"/>
        <v>0</v>
      </c>
      <c r="CW476" s="229">
        <f t="shared" si="1490"/>
        <v>0</v>
      </c>
      <c r="CX476" s="229">
        <f t="shared" si="1491"/>
        <v>0</v>
      </c>
      <c r="CY476" s="229">
        <f t="shared" si="1492"/>
        <v>0</v>
      </c>
      <c r="CZ476" s="229">
        <f t="shared" si="1493"/>
        <v>15</v>
      </c>
      <c r="DA476" s="229">
        <f t="shared" si="1494"/>
        <v>220</v>
      </c>
      <c r="DB476" s="228">
        <f t="shared" si="1429"/>
        <v>464.9</v>
      </c>
      <c r="DC476" s="229"/>
      <c r="DD476" s="229"/>
      <c r="DE476" s="229"/>
      <c r="DF476" s="229"/>
      <c r="DG476" s="229"/>
      <c r="DH476" s="229"/>
      <c r="DI476" s="229"/>
      <c r="DJ476" s="229"/>
      <c r="DK476" s="229"/>
      <c r="DL476" s="229"/>
      <c r="DM476" s="229"/>
      <c r="DN476" s="229"/>
      <c r="DO476" s="228">
        <f t="shared" si="1440"/>
        <v>0</v>
      </c>
      <c r="DP476" s="228">
        <f t="shared" si="1441"/>
        <v>464.9</v>
      </c>
      <c r="DQ476" s="229">
        <f t="shared" si="1495"/>
        <v>18</v>
      </c>
      <c r="DR476" s="229">
        <f t="shared" si="1496"/>
        <v>0.6</v>
      </c>
      <c r="DS476" s="229">
        <f t="shared" si="1497"/>
        <v>0</v>
      </c>
      <c r="DT476" s="229">
        <f t="shared" si="1498"/>
        <v>0.3</v>
      </c>
      <c r="DU476" s="229">
        <f t="shared" si="1499"/>
        <v>0</v>
      </c>
      <c r="DV476" s="229">
        <f t="shared" si="1500"/>
        <v>68</v>
      </c>
      <c r="DW476" s="229">
        <f t="shared" si="1501"/>
        <v>0</v>
      </c>
      <c r="DX476" s="228">
        <f t="shared" si="1430"/>
        <v>86.9</v>
      </c>
      <c r="DY476" s="229"/>
      <c r="DZ476" s="229"/>
      <c r="EA476" s="229"/>
      <c r="EB476" s="229"/>
      <c r="EC476" s="229"/>
      <c r="ED476" s="229"/>
      <c r="EE476" s="229"/>
      <c r="EF476" s="228">
        <f t="shared" si="1480"/>
        <v>0</v>
      </c>
      <c r="EG476" s="228">
        <f t="shared" si="1442"/>
        <v>86.9</v>
      </c>
      <c r="EH476" s="229">
        <f t="shared" si="1481"/>
        <v>166.25</v>
      </c>
      <c r="EI476" s="229">
        <v>146</v>
      </c>
      <c r="EJ476" s="228">
        <f>SUM(EH476:EI476)</f>
        <v>312.25</v>
      </c>
      <c r="EK476" s="229"/>
      <c r="EL476" s="229"/>
      <c r="EM476" s="228">
        <f t="shared" si="1468"/>
        <v>0</v>
      </c>
      <c r="EN476" s="229">
        <f t="shared" si="1423"/>
        <v>166.25</v>
      </c>
      <c r="EO476" s="229">
        <f t="shared" si="1451"/>
        <v>146</v>
      </c>
      <c r="EP476" s="228">
        <f>EM476+EJ476</f>
        <v>312.25</v>
      </c>
      <c r="EQ476" s="173">
        <f t="shared" si="1479"/>
        <v>0</v>
      </c>
      <c r="ER476" s="189">
        <v>0</v>
      </c>
      <c r="ES476" s="189">
        <v>0</v>
      </c>
      <c r="ET476" s="189">
        <v>14.6</v>
      </c>
      <c r="EU476" s="189">
        <v>0</v>
      </c>
      <c r="EV476" s="189">
        <v>0</v>
      </c>
      <c r="EW476" s="189">
        <v>215.3</v>
      </c>
      <c r="EX476" s="189">
        <v>0</v>
      </c>
      <c r="EY476" s="189">
        <v>0</v>
      </c>
      <c r="EZ476" s="189">
        <v>0</v>
      </c>
      <c r="FA476" s="189">
        <v>0</v>
      </c>
      <c r="FB476" s="189">
        <v>15</v>
      </c>
      <c r="FC476" s="189">
        <v>220</v>
      </c>
      <c r="FD476" s="189">
        <v>18</v>
      </c>
      <c r="FE476" s="189">
        <v>0.6</v>
      </c>
      <c r="FF476" s="189">
        <v>0</v>
      </c>
      <c r="FG476" s="189">
        <v>0.3</v>
      </c>
      <c r="FH476" s="189">
        <v>68</v>
      </c>
      <c r="FI476" s="189">
        <v>0</v>
      </c>
      <c r="FJ476" s="189">
        <v>0</v>
      </c>
      <c r="FK476" s="189">
        <v>551.79999999999995</v>
      </c>
      <c r="FL476" s="189">
        <v>531</v>
      </c>
      <c r="FN476" s="132">
        <v>166.25</v>
      </c>
    </row>
    <row r="477" spans="1:170" ht="30" customHeight="1">
      <c r="A477" s="88">
        <f>COUNTIF($H$12:H477,H477)</f>
        <v>55</v>
      </c>
      <c r="B477" s="88" t="s">
        <v>126</v>
      </c>
      <c r="C477" s="88" t="s">
        <v>1205</v>
      </c>
      <c r="D477" s="88"/>
      <c r="E477" s="88"/>
      <c r="F477" s="301" t="s">
        <v>2991</v>
      </c>
      <c r="G477" s="303" t="s">
        <v>2088</v>
      </c>
      <c r="H477" s="88">
        <v>9</v>
      </c>
      <c r="I477" s="88">
        <v>9</v>
      </c>
      <c r="J477" s="88">
        <v>9</v>
      </c>
      <c r="K477" s="90" t="s">
        <v>1106</v>
      </c>
      <c r="L477" s="90" t="s">
        <v>1106</v>
      </c>
      <c r="M477" s="214"/>
      <c r="N477" s="88" t="s">
        <v>1804</v>
      </c>
      <c r="O477" s="216">
        <f t="shared" si="1503"/>
        <v>3.33</v>
      </c>
      <c r="P477" s="88" t="str">
        <f t="shared" si="1519"/>
        <v>B1_4</v>
      </c>
      <c r="Q477" s="88">
        <f t="shared" si="1369"/>
        <v>270</v>
      </c>
      <c r="R477" s="88">
        <f t="shared" si="1370"/>
        <v>120</v>
      </c>
      <c r="S477" s="233" t="s">
        <v>1926</v>
      </c>
      <c r="T477" s="88" t="s">
        <v>2961</v>
      </c>
      <c r="U477" s="88">
        <f>IF(RIGHT(T477,1)="K",(VLOOKUP(T477,ma_miengiam!$A$3:$B$80,2,0)*100)/2,VLOOKUP(T477,ma_miengiam!$A$3:$B$80,2,0)*100)</f>
        <v>100</v>
      </c>
      <c r="V477" s="88"/>
      <c r="W477" s="220">
        <f>IF(AND(T477="NTS",V477&gt;0),(Q477-(Q477*V477)/12)*VLOOKUP(T477,ma_miengiam!$A$3:$B$80,2,0)+(Q477-(Q477*(12-V477))/12),IF(AND(RIGHT(T477,1)="K",V477&gt;0),(VLOOKUP(T477,ma_miengiam!$A$3:$B$80,2,0)/2)*(Q477*V477)/12,IF(RIGHT(T477,1)="K",(VLOOKUP(T477,ma_miengiam!$A$3:$B$80,2,0)*Q477)/2,IF(V477&gt;0,VLOOKUP(T477,ma_miengiam!$A$3:$B$80,2,0)*Q477*V477/12,VLOOKUP(T477,ma_miengiam!$A$3:$B$80,2,0)*Q477))))</f>
        <v>270</v>
      </c>
      <c r="X477" s="220">
        <f>IF(T477="NTS",VLOOKUP(T477,ma_miengiam!$A$3:$B$80,2,0)*R477*V477,IF(AND(T477="NTS",V477=0),0,IF(AND(LEFT(T477,1)="K",V477=0),VLOOKUP(T477,ma_miengiam!$A$3:$B$80,2,0)*R477,IF(LEFT(T477,1)="K",(VLOOKUP(T477,ma_miengiam!$A$3:$B$80,2,0)*R477/12)*V477,IF(AND(LEFT(T477,1)="S",V477&gt;0),(R477/12)*V477,IF(AND(LEFT(T477,1)="S",V477=0),R477,IF(T477="DH",VLOOKUP(T477,ma_miengiam!$A$3:$B$80,2,0)*R477,0)))))))</f>
        <v>120</v>
      </c>
      <c r="Y477" s="220">
        <f t="shared" si="1521"/>
        <v>0</v>
      </c>
      <c r="Z477" s="220">
        <f t="shared" si="1457"/>
        <v>0</v>
      </c>
      <c r="AA477" s="220">
        <f t="shared" si="1522"/>
        <v>270</v>
      </c>
      <c r="AB477" s="220">
        <f t="shared" si="1522"/>
        <v>120</v>
      </c>
      <c r="AC477" s="220">
        <f t="shared" si="1523"/>
        <v>270</v>
      </c>
      <c r="AD477" s="220">
        <f t="shared" si="1523"/>
        <v>120</v>
      </c>
      <c r="AE477" s="220">
        <f t="shared" si="1523"/>
        <v>0</v>
      </c>
      <c r="AF477" s="220">
        <f t="shared" si="1523"/>
        <v>0</v>
      </c>
      <c r="AG477" s="220">
        <f t="shared" si="1524"/>
        <v>0</v>
      </c>
      <c r="AH477" s="220">
        <f t="shared" si="1525"/>
        <v>0</v>
      </c>
      <c r="AI477" s="220">
        <f t="shared" si="1526"/>
        <v>0</v>
      </c>
      <c r="AJ477" s="220">
        <f t="shared" si="1396"/>
        <v>0</v>
      </c>
      <c r="AK477" s="216">
        <f t="shared" si="1454"/>
        <v>0</v>
      </c>
      <c r="AL477" s="220">
        <f t="shared" si="1431"/>
        <v>0</v>
      </c>
      <c r="AM477" s="220">
        <f t="shared" si="1432"/>
        <v>0</v>
      </c>
      <c r="AN477" s="221">
        <f t="shared" si="1433"/>
        <v>0</v>
      </c>
      <c r="AO477" s="220">
        <f t="shared" si="1434"/>
        <v>0</v>
      </c>
      <c r="AP477" s="220">
        <f t="shared" si="1435"/>
        <v>0</v>
      </c>
      <c r="AQ477" s="220">
        <f t="shared" si="1436"/>
        <v>0</v>
      </c>
      <c r="AR477" s="220">
        <f t="shared" si="1437"/>
        <v>0</v>
      </c>
      <c r="AS477" s="220">
        <f t="shared" si="1438"/>
        <v>0</v>
      </c>
      <c r="AT477" s="216">
        <f t="shared" si="1439"/>
        <v>0</v>
      </c>
      <c r="AU477" s="222">
        <f t="shared" si="1447"/>
        <v>0</v>
      </c>
      <c r="AV477" s="220"/>
      <c r="AW477" s="220">
        <f t="shared" si="1530"/>
        <v>0</v>
      </c>
      <c r="AX477" s="216">
        <f t="shared" si="1448"/>
        <v>0</v>
      </c>
      <c r="AY477" s="220">
        <f t="shared" ref="AY477:AY524" si="1537">IF(AN477&gt;=AK477,AO477,IF(AN477+AO477-AK477&gt;=0,AN477+AO477-AK477,0))</f>
        <v>0</v>
      </c>
      <c r="AZ477" s="220">
        <f t="shared" ref="AZ477:AZ524" si="1538">IF(OR(AN477&gt;=AK477,AN477+AO477&gt;=AK477),AP477,IF(AN477+AO477+AP477&gt;AK477,AN477+AO477+AP477-AK477,0))</f>
        <v>0</v>
      </c>
      <c r="BA477" s="220">
        <f t="shared" ref="BA477:BA524" si="1539">IF(OR(AN477&gt;=AK477,AN477+AO477&gt;=AK477,AN477+AO477+AP477&gt;=AK477),AQ477,IF(AN477+AO477+AP477+AQ477&gt;=AK477,AN477+AO477+AP477+AQ477-AK477,0))</f>
        <v>0</v>
      </c>
      <c r="BB477" s="220">
        <f t="shared" ref="BB477:BB524" si="1540">IF(OR(AN477&gt;=AK477,AN477+AO477&gt;=AK477,AN477+AO477+AP477&gt;=AK477,AN477+AO477+AP477+AQ477&gt;=AK477),AR477,IF(AN477+AO477+AP477+AQ477+AR477&gt;=AK477,AN477+AO477+AP477+AQ477+AR477-AK477,0))</f>
        <v>0</v>
      </c>
      <c r="BC477" s="220">
        <f t="shared" ref="BC477:BC524" si="1541">IF(OR(AN477&gt;=AK477,AN477+AO477&gt;=AK477,AN477+AO477+AP477&gt;=AK477,AN477+AO477+AP477+AQ477&gt;=AK477,AN477+AO477+AP477+AQ477+AR477&gt;=AK477),AS477,IF(AN477+AO477+AP477+AQ477+AR477+AS477&gt;=AK477,AN477+AO477+AP477+AQ477+AR477+AS477-AK477,0))</f>
        <v>0</v>
      </c>
      <c r="BD477" s="216">
        <f t="shared" si="1410"/>
        <v>0</v>
      </c>
      <c r="BE477" s="220">
        <f t="shared" si="1531"/>
        <v>0</v>
      </c>
      <c r="BF477" s="220">
        <f t="shared" si="1532"/>
        <v>0</v>
      </c>
      <c r="BG477" s="220">
        <f t="shared" si="1533"/>
        <v>0</v>
      </c>
      <c r="BH477" s="220">
        <f t="shared" si="1534"/>
        <v>0</v>
      </c>
      <c r="BI477" s="220">
        <f t="shared" si="1535"/>
        <v>0</v>
      </c>
      <c r="BJ477" s="220" t="s">
        <v>2488</v>
      </c>
      <c r="BK477" s="220"/>
      <c r="BL477" s="223">
        <f t="shared" si="1422"/>
        <v>0</v>
      </c>
      <c r="BM477" s="220">
        <v>3.33</v>
      </c>
      <c r="BN477" s="220"/>
      <c r="BO477" s="220">
        <f t="shared" si="1527"/>
        <v>3.33</v>
      </c>
      <c r="BP477" s="220">
        <f>IF(AND(BL477&gt;0,BL477&lt;tiet!$D$1),BL477,IF(BL477&lt;=0,0,IF(BL477&gt;tiet!$C$1,tiet!$C$1)))</f>
        <v>0</v>
      </c>
      <c r="BQ477" s="87">
        <f t="shared" si="1397"/>
        <v>65000</v>
      </c>
      <c r="BR477" s="224">
        <f t="shared" si="1391"/>
        <v>0</v>
      </c>
      <c r="BS477" s="220">
        <f t="shared" si="1478"/>
        <v>0</v>
      </c>
      <c r="BT477" s="224">
        <f>VLOOKUP(N477,ma_dinhmuc!$A$1:$J$31,10,0)</f>
        <v>51000</v>
      </c>
      <c r="BU477" s="224">
        <f>ROUND(IF(BS477&gt;0,VLOOKUP(N477,ma_dinhmuc!$A$1:$J$31,10,0)*BS477,0),0)</f>
        <v>0</v>
      </c>
      <c r="BV477" s="224">
        <f t="shared" si="1392"/>
        <v>0</v>
      </c>
      <c r="BW477" s="224"/>
      <c r="BX477" s="224">
        <v>0</v>
      </c>
      <c r="BY477" s="224"/>
      <c r="BZ477" s="224"/>
      <c r="CA477" s="224"/>
      <c r="CB477" s="224"/>
      <c r="CC477" s="225">
        <f t="shared" si="1419"/>
        <v>0</v>
      </c>
      <c r="CD477" s="224">
        <f t="shared" si="1420"/>
        <v>0</v>
      </c>
      <c r="CE477" s="224"/>
      <c r="CF477" s="226"/>
      <c r="CG477" s="87"/>
      <c r="CH477" s="87">
        <f t="shared" si="1520"/>
        <v>55</v>
      </c>
      <c r="CI477" s="227" t="str">
        <f t="shared" si="1529"/>
        <v>Trần Thị Hương</v>
      </c>
      <c r="CJ477" s="227" t="str">
        <f t="shared" si="1529"/>
        <v>Giang</v>
      </c>
      <c r="CK477" s="87">
        <f t="shared" si="1528"/>
        <v>9</v>
      </c>
      <c r="CL477" s="227" t="str">
        <f t="shared" si="1518"/>
        <v>VSV - Truyền nhiễm</v>
      </c>
      <c r="CM477" s="87" t="str">
        <f t="shared" si="1536"/>
        <v>CS2</v>
      </c>
      <c r="CN477" s="87">
        <f t="shared" si="1516"/>
        <v>270</v>
      </c>
      <c r="CO477" s="87">
        <f t="shared" si="1517"/>
        <v>120</v>
      </c>
      <c r="CP477" s="229">
        <f t="shared" si="1483"/>
        <v>0</v>
      </c>
      <c r="CQ477" s="229">
        <f t="shared" si="1484"/>
        <v>0</v>
      </c>
      <c r="CR477" s="229">
        <f t="shared" si="1485"/>
        <v>0</v>
      </c>
      <c r="CS477" s="229">
        <f t="shared" si="1486"/>
        <v>0</v>
      </c>
      <c r="CT477" s="229">
        <f t="shared" si="1487"/>
        <v>0</v>
      </c>
      <c r="CU477" s="229">
        <f t="shared" si="1488"/>
        <v>0</v>
      </c>
      <c r="CV477" s="229">
        <f t="shared" si="1489"/>
        <v>0</v>
      </c>
      <c r="CW477" s="229">
        <f t="shared" si="1490"/>
        <v>0</v>
      </c>
      <c r="CX477" s="229">
        <f t="shared" si="1491"/>
        <v>0</v>
      </c>
      <c r="CY477" s="229">
        <f t="shared" si="1492"/>
        <v>0</v>
      </c>
      <c r="CZ477" s="229">
        <f t="shared" si="1493"/>
        <v>0</v>
      </c>
      <c r="DA477" s="229">
        <f t="shared" si="1494"/>
        <v>0</v>
      </c>
      <c r="DB477" s="228">
        <f t="shared" si="1429"/>
        <v>0</v>
      </c>
      <c r="DC477" s="229"/>
      <c r="DD477" s="229"/>
      <c r="DE477" s="229"/>
      <c r="DF477" s="229"/>
      <c r="DG477" s="229"/>
      <c r="DH477" s="229"/>
      <c r="DI477" s="229"/>
      <c r="DJ477" s="229"/>
      <c r="DK477" s="229"/>
      <c r="DL477" s="229"/>
      <c r="DM477" s="229"/>
      <c r="DN477" s="229"/>
      <c r="DO477" s="228">
        <f t="shared" si="1440"/>
        <v>0</v>
      </c>
      <c r="DP477" s="228">
        <f t="shared" si="1441"/>
        <v>0</v>
      </c>
      <c r="DQ477" s="229">
        <f t="shared" si="1495"/>
        <v>0</v>
      </c>
      <c r="DR477" s="229">
        <f t="shared" si="1496"/>
        <v>0</v>
      </c>
      <c r="DS477" s="229">
        <f t="shared" si="1497"/>
        <v>0</v>
      </c>
      <c r="DT477" s="229">
        <f t="shared" si="1498"/>
        <v>0</v>
      </c>
      <c r="DU477" s="229">
        <f t="shared" si="1499"/>
        <v>0</v>
      </c>
      <c r="DV477" s="229">
        <f t="shared" si="1500"/>
        <v>0</v>
      </c>
      <c r="DW477" s="229">
        <f t="shared" si="1501"/>
        <v>0</v>
      </c>
      <c r="DX477" s="228">
        <f t="shared" si="1430"/>
        <v>0</v>
      </c>
      <c r="DY477" s="229"/>
      <c r="DZ477" s="229"/>
      <c r="EA477" s="229"/>
      <c r="EB477" s="229"/>
      <c r="EC477" s="229"/>
      <c r="ED477" s="229"/>
      <c r="EE477" s="229"/>
      <c r="EF477" s="228">
        <f t="shared" si="1480"/>
        <v>0</v>
      </c>
      <c r="EG477" s="228">
        <f t="shared" si="1442"/>
        <v>0</v>
      </c>
      <c r="EH477" s="229">
        <f t="shared" si="1481"/>
        <v>0</v>
      </c>
      <c r="EI477" s="229">
        <v>0</v>
      </c>
      <c r="EJ477" s="228">
        <f t="shared" si="1443"/>
        <v>0</v>
      </c>
      <c r="EK477" s="229"/>
      <c r="EL477" s="229"/>
      <c r="EM477" s="228">
        <f t="shared" ref="EM477:EM496" si="1542">SUM(EK477:EL477)</f>
        <v>0</v>
      </c>
      <c r="EN477" s="229">
        <f t="shared" si="1423"/>
        <v>0</v>
      </c>
      <c r="EO477" s="229">
        <f t="shared" si="1451"/>
        <v>0</v>
      </c>
      <c r="EP477" s="228">
        <f t="shared" ref="EP477:EP498" si="1543">EM477+EJ477</f>
        <v>0</v>
      </c>
      <c r="EQ477" s="173">
        <f t="shared" si="1479"/>
        <v>0</v>
      </c>
      <c r="ER477" s="189">
        <v>0</v>
      </c>
      <c r="ES477" s="189">
        <v>0</v>
      </c>
      <c r="ET477" s="189">
        <v>0</v>
      </c>
      <c r="EU477" s="189">
        <v>0</v>
      </c>
      <c r="EV477" s="189">
        <v>0</v>
      </c>
      <c r="EW477" s="189">
        <v>0</v>
      </c>
      <c r="EX477" s="189">
        <v>0</v>
      </c>
      <c r="EY477" s="189">
        <v>0</v>
      </c>
      <c r="EZ477" s="189">
        <v>0</v>
      </c>
      <c r="FA477" s="189">
        <v>0</v>
      </c>
      <c r="FB477" s="189">
        <v>0</v>
      </c>
      <c r="FC477" s="189">
        <v>0</v>
      </c>
      <c r="FD477" s="189">
        <v>0</v>
      </c>
      <c r="FE477" s="189">
        <v>0</v>
      </c>
      <c r="FF477" s="189">
        <v>0</v>
      </c>
      <c r="FG477" s="189">
        <v>0</v>
      </c>
      <c r="FH477" s="189">
        <v>0</v>
      </c>
      <c r="FI477" s="189">
        <v>0</v>
      </c>
      <c r="FJ477" s="189">
        <v>0</v>
      </c>
      <c r="FK477" s="189">
        <v>0</v>
      </c>
      <c r="FL477" s="189">
        <v>0</v>
      </c>
      <c r="FN477" s="132">
        <v>0</v>
      </c>
    </row>
    <row r="478" spans="1:170" ht="30" customHeight="1">
      <c r="A478" s="88">
        <f>COUNTIF($H$12:H478,H478)</f>
        <v>56</v>
      </c>
      <c r="B478" s="88" t="s">
        <v>127</v>
      </c>
      <c r="C478" s="88" t="s">
        <v>1206</v>
      </c>
      <c r="D478" s="88"/>
      <c r="E478" s="88"/>
      <c r="F478" s="301" t="s">
        <v>1438</v>
      </c>
      <c r="G478" s="89" t="s">
        <v>17</v>
      </c>
      <c r="H478" s="88">
        <v>9</v>
      </c>
      <c r="I478" s="88">
        <v>9</v>
      </c>
      <c r="J478" s="88">
        <v>9</v>
      </c>
      <c r="K478" s="90" t="s">
        <v>1106</v>
      </c>
      <c r="L478" s="90" t="s">
        <v>1106</v>
      </c>
      <c r="M478" s="214"/>
      <c r="N478" s="88" t="s">
        <v>1804</v>
      </c>
      <c r="O478" s="216">
        <f t="shared" si="1503"/>
        <v>3.33</v>
      </c>
      <c r="P478" s="88" t="str">
        <f t="shared" si="1519"/>
        <v>B1_4</v>
      </c>
      <c r="Q478" s="88">
        <f t="shared" si="1369"/>
        <v>270</v>
      </c>
      <c r="R478" s="88">
        <f t="shared" si="1370"/>
        <v>120</v>
      </c>
      <c r="S478" s="218" t="s">
        <v>517</v>
      </c>
      <c r="T478" s="88" t="s">
        <v>2961</v>
      </c>
      <c r="U478" s="88">
        <f>IF(RIGHT(T478,1)="K",(VLOOKUP(T478,ma_miengiam!$A$3:$B$80,2,0)*100)/2,VLOOKUP(T478,ma_miengiam!$A$3:$B$80,2,0)*100)</f>
        <v>100</v>
      </c>
      <c r="V478" s="88"/>
      <c r="W478" s="220">
        <f>IF(AND(T478="NTS",V478&gt;0),(Q478-(Q478*V478)/12)*VLOOKUP(T478,ma_miengiam!$A$3:$B$80,2,0)+(Q478-(Q478*(12-V478))/12),IF(AND(RIGHT(T478,1)="K",V478&gt;0),(VLOOKUP(T478,ma_miengiam!$A$3:$B$80,2,0)/2)*(Q478*V478)/12,IF(RIGHT(T478,1)="K",(VLOOKUP(T478,ma_miengiam!$A$3:$B$80,2,0)*Q478)/2,IF(V478&gt;0,VLOOKUP(T478,ma_miengiam!$A$3:$B$80,2,0)*Q478*V478/12,VLOOKUP(T478,ma_miengiam!$A$3:$B$80,2,0)*Q478))))</f>
        <v>270</v>
      </c>
      <c r="X478" s="220">
        <f>IF(T478="NTS",VLOOKUP(T478,ma_miengiam!$A$3:$B$80,2,0)*R478*V478,IF(AND(T478="NTS",V478=0),0,IF(AND(LEFT(T478,1)="K",V478=0),VLOOKUP(T478,ma_miengiam!$A$3:$B$80,2,0)*R478,IF(LEFT(T478,1)="K",(VLOOKUP(T478,ma_miengiam!$A$3:$B$80,2,0)*R478/12)*V478,IF(AND(LEFT(T478,1)="S",V478&gt;0),(R478/12)*V478,IF(AND(LEFT(T478,1)="S",V478=0),R478,IF(T478="DH",VLOOKUP(T478,ma_miengiam!$A$3:$B$80,2,0)*R478,0)))))))</f>
        <v>120</v>
      </c>
      <c r="Y478" s="220">
        <f t="shared" si="1521"/>
        <v>0</v>
      </c>
      <c r="Z478" s="220">
        <f t="shared" si="1457"/>
        <v>0</v>
      </c>
      <c r="AA478" s="220">
        <f t="shared" si="1522"/>
        <v>270</v>
      </c>
      <c r="AB478" s="220">
        <f t="shared" si="1522"/>
        <v>120</v>
      </c>
      <c r="AC478" s="220">
        <f t="shared" si="1523"/>
        <v>270</v>
      </c>
      <c r="AD478" s="220">
        <f t="shared" si="1523"/>
        <v>120</v>
      </c>
      <c r="AE478" s="220">
        <f t="shared" si="1523"/>
        <v>0</v>
      </c>
      <c r="AF478" s="220">
        <f t="shared" si="1523"/>
        <v>0</v>
      </c>
      <c r="AG478" s="220">
        <f t="shared" si="1524"/>
        <v>0</v>
      </c>
      <c r="AH478" s="220">
        <f t="shared" si="1525"/>
        <v>0</v>
      </c>
      <c r="AI478" s="220">
        <f t="shared" si="1526"/>
        <v>0</v>
      </c>
      <c r="AJ478" s="220">
        <f t="shared" si="1396"/>
        <v>0</v>
      </c>
      <c r="AK478" s="216">
        <f t="shared" si="1454"/>
        <v>0</v>
      </c>
      <c r="AL478" s="220">
        <f t="shared" si="1431"/>
        <v>0</v>
      </c>
      <c r="AM478" s="220">
        <f t="shared" si="1432"/>
        <v>0</v>
      </c>
      <c r="AN478" s="221">
        <f t="shared" si="1433"/>
        <v>0</v>
      </c>
      <c r="AO478" s="220">
        <f t="shared" si="1434"/>
        <v>0</v>
      </c>
      <c r="AP478" s="220">
        <f t="shared" si="1435"/>
        <v>0</v>
      </c>
      <c r="AQ478" s="220">
        <f t="shared" si="1436"/>
        <v>0</v>
      </c>
      <c r="AR478" s="220">
        <f t="shared" si="1437"/>
        <v>0</v>
      </c>
      <c r="AS478" s="220">
        <f t="shared" si="1438"/>
        <v>0</v>
      </c>
      <c r="AT478" s="216">
        <f t="shared" si="1439"/>
        <v>0</v>
      </c>
      <c r="AU478" s="222">
        <f t="shared" si="1447"/>
        <v>0</v>
      </c>
      <c r="AV478" s="220"/>
      <c r="AW478" s="220">
        <f t="shared" si="1530"/>
        <v>0</v>
      </c>
      <c r="AX478" s="216">
        <f t="shared" si="1448"/>
        <v>0</v>
      </c>
      <c r="AY478" s="220">
        <f t="shared" si="1537"/>
        <v>0</v>
      </c>
      <c r="AZ478" s="220">
        <f t="shared" si="1538"/>
        <v>0</v>
      </c>
      <c r="BA478" s="220">
        <f t="shared" si="1539"/>
        <v>0</v>
      </c>
      <c r="BB478" s="220">
        <f t="shared" si="1540"/>
        <v>0</v>
      </c>
      <c r="BC478" s="220">
        <f t="shared" si="1541"/>
        <v>0</v>
      </c>
      <c r="BD478" s="216">
        <f t="shared" si="1410"/>
        <v>0</v>
      </c>
      <c r="BE478" s="220">
        <f t="shared" si="1531"/>
        <v>0</v>
      </c>
      <c r="BF478" s="220">
        <f t="shared" si="1532"/>
        <v>0</v>
      </c>
      <c r="BG478" s="220">
        <f t="shared" si="1533"/>
        <v>0</v>
      </c>
      <c r="BH478" s="220">
        <f t="shared" si="1534"/>
        <v>0</v>
      </c>
      <c r="BI478" s="220">
        <f t="shared" si="1535"/>
        <v>0</v>
      </c>
      <c r="BJ478" s="220" t="s">
        <v>2488</v>
      </c>
      <c r="BK478" s="220"/>
      <c r="BL478" s="223">
        <f t="shared" si="1422"/>
        <v>0</v>
      </c>
      <c r="BM478" s="220">
        <v>3.33</v>
      </c>
      <c r="BN478" s="220"/>
      <c r="BO478" s="220">
        <f t="shared" si="1527"/>
        <v>3.33</v>
      </c>
      <c r="BP478" s="220">
        <f>IF(AND(BL478&gt;0,BL478&lt;tiet!$D$1),BL478,IF(BL478&lt;=0,0,IF(BL478&gt;tiet!$C$1,tiet!$C$1)))</f>
        <v>0</v>
      </c>
      <c r="BQ478" s="87">
        <f t="shared" si="1397"/>
        <v>65000</v>
      </c>
      <c r="BR478" s="224">
        <f t="shared" ref="BR478:BR527" si="1544">ROUND(BQ478*BP478,0)</f>
        <v>0</v>
      </c>
      <c r="BS478" s="220">
        <f t="shared" si="1478"/>
        <v>0</v>
      </c>
      <c r="BT478" s="224">
        <f>VLOOKUP(N478,ma_dinhmuc!$A$1:$J$31,10,0)</f>
        <v>51000</v>
      </c>
      <c r="BU478" s="224">
        <f>ROUND(IF(BS478&gt;0,VLOOKUP(N478,ma_dinhmuc!$A$1:$J$31,10,0)*BS478,0),0)</f>
        <v>0</v>
      </c>
      <c r="BV478" s="224">
        <f t="shared" ref="BV478:BV527" si="1545">ROUND(BU478+BR478,0)</f>
        <v>0</v>
      </c>
      <c r="BW478" s="224"/>
      <c r="BX478" s="224">
        <v>0</v>
      </c>
      <c r="BY478" s="224"/>
      <c r="BZ478" s="224"/>
      <c r="CA478" s="224"/>
      <c r="CB478" s="224"/>
      <c r="CC478" s="225">
        <f t="shared" si="1419"/>
        <v>0</v>
      </c>
      <c r="CD478" s="224">
        <f t="shared" si="1420"/>
        <v>0</v>
      </c>
      <c r="CE478" s="224"/>
      <c r="CF478" s="226"/>
      <c r="CG478" s="87"/>
      <c r="CH478" s="87">
        <f t="shared" si="1520"/>
        <v>56</v>
      </c>
      <c r="CI478" s="227" t="str">
        <f t="shared" si="1529"/>
        <v>Ngô Minh</v>
      </c>
      <c r="CJ478" s="227" t="str">
        <f t="shared" si="1529"/>
        <v>Hà</v>
      </c>
      <c r="CK478" s="87">
        <f t="shared" si="1528"/>
        <v>9</v>
      </c>
      <c r="CL478" s="227" t="str">
        <f t="shared" si="1518"/>
        <v>VSV - Truyền nhiễm</v>
      </c>
      <c r="CM478" s="87" t="str">
        <f t="shared" si="1536"/>
        <v>CS2</v>
      </c>
      <c r="CN478" s="87">
        <f t="shared" si="1516"/>
        <v>270</v>
      </c>
      <c r="CO478" s="87">
        <f t="shared" si="1517"/>
        <v>120</v>
      </c>
      <c r="CP478" s="229">
        <f t="shared" si="1483"/>
        <v>0</v>
      </c>
      <c r="CQ478" s="229">
        <f t="shared" si="1484"/>
        <v>0</v>
      </c>
      <c r="CR478" s="229">
        <f t="shared" si="1485"/>
        <v>0</v>
      </c>
      <c r="CS478" s="229">
        <f t="shared" si="1486"/>
        <v>0</v>
      </c>
      <c r="CT478" s="229">
        <f t="shared" si="1487"/>
        <v>0</v>
      </c>
      <c r="CU478" s="229">
        <f t="shared" si="1488"/>
        <v>0</v>
      </c>
      <c r="CV478" s="229">
        <f t="shared" si="1489"/>
        <v>0</v>
      </c>
      <c r="CW478" s="229">
        <f t="shared" si="1490"/>
        <v>0</v>
      </c>
      <c r="CX478" s="229">
        <f t="shared" si="1491"/>
        <v>0</v>
      </c>
      <c r="CY478" s="229">
        <f t="shared" si="1492"/>
        <v>0</v>
      </c>
      <c r="CZ478" s="229">
        <f t="shared" si="1493"/>
        <v>0</v>
      </c>
      <c r="DA478" s="229">
        <f t="shared" si="1494"/>
        <v>0</v>
      </c>
      <c r="DB478" s="228">
        <f t="shared" si="1429"/>
        <v>0</v>
      </c>
      <c r="DC478" s="229"/>
      <c r="DD478" s="229"/>
      <c r="DE478" s="229"/>
      <c r="DF478" s="229"/>
      <c r="DG478" s="229"/>
      <c r="DH478" s="229"/>
      <c r="DI478" s="229"/>
      <c r="DJ478" s="229"/>
      <c r="DK478" s="229"/>
      <c r="DL478" s="229"/>
      <c r="DM478" s="229"/>
      <c r="DN478" s="229"/>
      <c r="DO478" s="228">
        <f t="shared" si="1440"/>
        <v>0</v>
      </c>
      <c r="DP478" s="228">
        <f t="shared" si="1441"/>
        <v>0</v>
      </c>
      <c r="DQ478" s="229">
        <f t="shared" si="1495"/>
        <v>0</v>
      </c>
      <c r="DR478" s="229">
        <f t="shared" si="1496"/>
        <v>0</v>
      </c>
      <c r="DS478" s="229">
        <f t="shared" si="1497"/>
        <v>0</v>
      </c>
      <c r="DT478" s="229">
        <f t="shared" si="1498"/>
        <v>0</v>
      </c>
      <c r="DU478" s="229">
        <f t="shared" si="1499"/>
        <v>0</v>
      </c>
      <c r="DV478" s="229">
        <f t="shared" si="1500"/>
        <v>0</v>
      </c>
      <c r="DW478" s="229">
        <f t="shared" si="1501"/>
        <v>0</v>
      </c>
      <c r="DX478" s="228">
        <f t="shared" si="1430"/>
        <v>0</v>
      </c>
      <c r="DY478" s="229"/>
      <c r="DZ478" s="229"/>
      <c r="EA478" s="229"/>
      <c r="EB478" s="229"/>
      <c r="EC478" s="229"/>
      <c r="ED478" s="229"/>
      <c r="EE478" s="229"/>
      <c r="EF478" s="228">
        <f t="shared" si="1480"/>
        <v>0</v>
      </c>
      <c r="EG478" s="228">
        <f t="shared" si="1442"/>
        <v>0</v>
      </c>
      <c r="EH478" s="229">
        <f t="shared" si="1481"/>
        <v>0</v>
      </c>
      <c r="EI478" s="229">
        <v>0</v>
      </c>
      <c r="EJ478" s="228">
        <f t="shared" si="1443"/>
        <v>0</v>
      </c>
      <c r="EK478" s="229"/>
      <c r="EL478" s="229"/>
      <c r="EM478" s="228">
        <f t="shared" si="1542"/>
        <v>0</v>
      </c>
      <c r="EN478" s="229">
        <f t="shared" si="1423"/>
        <v>0</v>
      </c>
      <c r="EO478" s="229">
        <f t="shared" si="1451"/>
        <v>0</v>
      </c>
      <c r="EP478" s="228">
        <f t="shared" si="1543"/>
        <v>0</v>
      </c>
      <c r="EQ478" s="173">
        <f t="shared" si="1479"/>
        <v>0</v>
      </c>
      <c r="ER478" s="189">
        <v>0</v>
      </c>
      <c r="ES478" s="189">
        <v>0</v>
      </c>
      <c r="ET478" s="189">
        <v>0</v>
      </c>
      <c r="EU478" s="189">
        <v>0</v>
      </c>
      <c r="EV478" s="189">
        <v>0</v>
      </c>
      <c r="EW478" s="189">
        <v>0</v>
      </c>
      <c r="EX478" s="189">
        <v>0</v>
      </c>
      <c r="EY478" s="189">
        <v>0</v>
      </c>
      <c r="EZ478" s="189">
        <v>0</v>
      </c>
      <c r="FA478" s="189">
        <v>0</v>
      </c>
      <c r="FB478" s="189">
        <v>0</v>
      </c>
      <c r="FC478" s="189">
        <v>0</v>
      </c>
      <c r="FD478" s="189">
        <v>0</v>
      </c>
      <c r="FE478" s="189">
        <v>0</v>
      </c>
      <c r="FF478" s="189">
        <v>0</v>
      </c>
      <c r="FG478" s="189">
        <v>0</v>
      </c>
      <c r="FH478" s="189">
        <v>0</v>
      </c>
      <c r="FI478" s="189">
        <v>0</v>
      </c>
      <c r="FJ478" s="189">
        <v>0</v>
      </c>
      <c r="FK478" s="189">
        <v>0</v>
      </c>
      <c r="FL478" s="189">
        <v>0</v>
      </c>
      <c r="FN478" s="132">
        <v>0</v>
      </c>
    </row>
    <row r="479" spans="1:170" ht="30" customHeight="1">
      <c r="A479" s="88">
        <f>COUNTIF($H$12:H479,H479)</f>
        <v>57</v>
      </c>
      <c r="B479" s="88" t="s">
        <v>128</v>
      </c>
      <c r="C479" s="88" t="s">
        <v>831</v>
      </c>
      <c r="D479" s="88"/>
      <c r="E479" s="88"/>
      <c r="F479" s="301" t="s">
        <v>724</v>
      </c>
      <c r="G479" s="89" t="s">
        <v>2814</v>
      </c>
      <c r="H479" s="88">
        <v>9</v>
      </c>
      <c r="I479" s="88">
        <v>9</v>
      </c>
      <c r="J479" s="88">
        <v>9</v>
      </c>
      <c r="K479" s="90" t="s">
        <v>1106</v>
      </c>
      <c r="L479" s="90" t="s">
        <v>1106</v>
      </c>
      <c r="M479" s="214"/>
      <c r="N479" s="88" t="s">
        <v>1804</v>
      </c>
      <c r="O479" s="216">
        <f t="shared" si="1503"/>
        <v>3</v>
      </c>
      <c r="P479" s="88" t="str">
        <f t="shared" si="1519"/>
        <v>B1_3</v>
      </c>
      <c r="Q479" s="88">
        <f t="shared" si="1369"/>
        <v>270</v>
      </c>
      <c r="R479" s="88">
        <f t="shared" si="1370"/>
        <v>100</v>
      </c>
      <c r="S479" s="231" t="s">
        <v>2388</v>
      </c>
      <c r="T479" s="88" t="s">
        <v>3091</v>
      </c>
      <c r="U479" s="88">
        <f>IF(RIGHT(T479,1)="K",(VLOOKUP(T479,ma_miengiam!$A$3:$B$80,2,0)*100)/2,VLOOKUP(T479,ma_miengiam!$A$3:$B$80,2,0)*100)</f>
        <v>20</v>
      </c>
      <c r="V479" s="88"/>
      <c r="W479" s="220">
        <f>IF(AND(T479="NTS",V479&gt;0),(Q479-(Q479*V479)/12)*VLOOKUP(T479,ma_miengiam!$A$3:$B$80,2,0)+(Q479-(Q479*(12-V479))/12),IF(AND(RIGHT(T479,1)="K",V479&gt;0),(VLOOKUP(T479,ma_miengiam!$A$3:$B$80,2,0)/2)*(Q479*V479)/12,IF(RIGHT(T479,1)="K",(VLOOKUP(T479,ma_miengiam!$A$3:$B$80,2,0)*Q479)/2,IF(V479&gt;0,VLOOKUP(T479,ma_miengiam!$A$3:$B$80,2,0)*Q479*V479/12,VLOOKUP(T479,ma_miengiam!$A$3:$B$80,2,0)*Q479))))</f>
        <v>54</v>
      </c>
      <c r="X479" s="220">
        <f>IF(T479="NTS",VLOOKUP(T479,ma_miengiam!$A$3:$B$80,2,0)*R479*V479,IF(AND(T479="NTS",V479=0),0,IF(AND(LEFT(T479,1)="K",V479=0),VLOOKUP(T479,ma_miengiam!$A$3:$B$80,2,0)*R479,IF(LEFT(T479,1)="K",(VLOOKUP(T479,ma_miengiam!$A$3:$B$80,2,0)*R479/12)*V479,IF(AND(LEFT(T479,1)="S",V479&gt;0),(R479/12)*V479,IF(AND(LEFT(T479,1)="S",V479=0),R479,IF(T479="DH",VLOOKUP(T479,ma_miengiam!$A$3:$B$80,2,0)*R479,0)))))))</f>
        <v>0</v>
      </c>
      <c r="Y479" s="220">
        <f t="shared" si="1521"/>
        <v>216</v>
      </c>
      <c r="Z479" s="220">
        <f t="shared" si="1457"/>
        <v>100</v>
      </c>
      <c r="AA479" s="220">
        <f t="shared" ref="AA479:AB481" si="1546">Q479</f>
        <v>270</v>
      </c>
      <c r="AB479" s="220">
        <f t="shared" si="1546"/>
        <v>100</v>
      </c>
      <c r="AC479" s="220">
        <f t="shared" ref="AC479:AF480" si="1547">W479</f>
        <v>54</v>
      </c>
      <c r="AD479" s="220">
        <f t="shared" si="1547"/>
        <v>0</v>
      </c>
      <c r="AE479" s="220">
        <f t="shared" si="1547"/>
        <v>216</v>
      </c>
      <c r="AF479" s="220">
        <f t="shared" si="1547"/>
        <v>100</v>
      </c>
      <c r="AG479" s="220">
        <f t="shared" ref="AG479:AG485" si="1548">AH479+AI479</f>
        <v>187.32</v>
      </c>
      <c r="AH479" s="220">
        <f t="shared" ref="AH479:AH485" si="1549">EO479</f>
        <v>102.14</v>
      </c>
      <c r="AI479" s="220">
        <f t="shared" ref="AI479:AI485" si="1550">EN479</f>
        <v>85.18</v>
      </c>
      <c r="AJ479" s="220">
        <f t="shared" ref="AJ479:AJ527" si="1551">IF(AG479-Z479&gt;0,0,AG479-Z479)</f>
        <v>0</v>
      </c>
      <c r="AK479" s="216">
        <f t="shared" si="1454"/>
        <v>216</v>
      </c>
      <c r="AL479" s="220">
        <f t="shared" si="1431"/>
        <v>503.9</v>
      </c>
      <c r="AM479" s="220">
        <f t="shared" si="1432"/>
        <v>0</v>
      </c>
      <c r="AN479" s="221">
        <f t="shared" si="1433"/>
        <v>503.9</v>
      </c>
      <c r="AO479" s="220">
        <f t="shared" si="1434"/>
        <v>0</v>
      </c>
      <c r="AP479" s="220">
        <f t="shared" si="1435"/>
        <v>15</v>
      </c>
      <c r="AQ479" s="220">
        <f t="shared" si="1436"/>
        <v>160</v>
      </c>
      <c r="AR479" s="220">
        <f t="shared" si="1437"/>
        <v>0</v>
      </c>
      <c r="AS479" s="220">
        <f t="shared" si="1438"/>
        <v>0</v>
      </c>
      <c r="AT479" s="216">
        <f t="shared" si="1439"/>
        <v>678.9</v>
      </c>
      <c r="AU479" s="222">
        <f t="shared" si="1447"/>
        <v>287.89999999999998</v>
      </c>
      <c r="AV479" s="220"/>
      <c r="AW479" s="220">
        <f t="shared" si="1530"/>
        <v>287.89999999999998</v>
      </c>
      <c r="AX479" s="216">
        <f t="shared" si="1448"/>
        <v>0</v>
      </c>
      <c r="AY479" s="220">
        <f t="shared" si="1537"/>
        <v>0</v>
      </c>
      <c r="AZ479" s="220">
        <f t="shared" si="1538"/>
        <v>15</v>
      </c>
      <c r="BA479" s="220">
        <f t="shared" si="1539"/>
        <v>160</v>
      </c>
      <c r="BB479" s="220">
        <f t="shared" si="1540"/>
        <v>0</v>
      </c>
      <c r="BC479" s="220">
        <f t="shared" si="1541"/>
        <v>0</v>
      </c>
      <c r="BD479" s="216">
        <f t="shared" si="1410"/>
        <v>175</v>
      </c>
      <c r="BE479" s="220">
        <f t="shared" si="1531"/>
        <v>0</v>
      </c>
      <c r="BF479" s="220">
        <f t="shared" si="1532"/>
        <v>0</v>
      </c>
      <c r="BG479" s="220">
        <f t="shared" si="1533"/>
        <v>0</v>
      </c>
      <c r="BH479" s="220">
        <f t="shared" si="1534"/>
        <v>0</v>
      </c>
      <c r="BI479" s="220">
        <f t="shared" si="1535"/>
        <v>0</v>
      </c>
      <c r="BJ479" s="220" t="s">
        <v>2488</v>
      </c>
      <c r="BK479" s="220"/>
      <c r="BL479" s="223">
        <f t="shared" si="1422"/>
        <v>287.89999999999998</v>
      </c>
      <c r="BM479" s="220">
        <v>3</v>
      </c>
      <c r="BN479" s="220"/>
      <c r="BO479" s="220">
        <f t="shared" si="1527"/>
        <v>3</v>
      </c>
      <c r="BP479" s="220">
        <f>IF(AND(BL479&gt;0,BL479&lt;tiet!$D$1),BL479,IF(BL479&lt;=0,0,IF(BL479&gt;tiet!$C$1,tiet!$C$1)))</f>
        <v>200</v>
      </c>
      <c r="BQ479" s="87">
        <f t="shared" ref="BQ479:BQ527" si="1552">VLOOKUP(P479,ma_dinhmuc_moi,4,0)</f>
        <v>60000</v>
      </c>
      <c r="BR479" s="224">
        <f t="shared" si="1544"/>
        <v>12000000</v>
      </c>
      <c r="BS479" s="220">
        <f t="shared" si="1478"/>
        <v>87.899999999999977</v>
      </c>
      <c r="BT479" s="224">
        <f>VLOOKUP(N479,ma_dinhmuc!$A$1:$J$31,10,0)</f>
        <v>51000</v>
      </c>
      <c r="BU479" s="224">
        <f>ROUND(IF(BS479&gt;0,VLOOKUP(N479,ma_dinhmuc!$A$1:$J$31,10,0)*BS479,0),0)</f>
        <v>4482900</v>
      </c>
      <c r="BV479" s="224">
        <f t="shared" si="1545"/>
        <v>16482900</v>
      </c>
      <c r="BW479" s="224"/>
      <c r="BX479" s="224">
        <v>0</v>
      </c>
      <c r="BY479" s="224"/>
      <c r="BZ479" s="224"/>
      <c r="CA479" s="224"/>
      <c r="CB479" s="224"/>
      <c r="CC479" s="225">
        <f t="shared" si="1419"/>
        <v>16482900</v>
      </c>
      <c r="CD479" s="224">
        <f t="shared" si="1420"/>
        <v>0</v>
      </c>
      <c r="CE479" s="224"/>
      <c r="CF479" s="226"/>
      <c r="CG479" s="87"/>
      <c r="CH479" s="87">
        <f t="shared" si="1520"/>
        <v>57</v>
      </c>
      <c r="CI479" s="227" t="str">
        <f t="shared" ref="CI479:CI503" si="1553">F479</f>
        <v>Vũ Thị</v>
      </c>
      <c r="CJ479" s="227" t="str">
        <f t="shared" ref="CJ479:CJ503" si="1554">G479</f>
        <v>Ngọc</v>
      </c>
      <c r="CK479" s="87">
        <f t="shared" ref="CK479:CK485" si="1555">H479</f>
        <v>9</v>
      </c>
      <c r="CL479" s="227" t="str">
        <f t="shared" si="1518"/>
        <v>VSV - Truyền nhiễm</v>
      </c>
      <c r="CM479" s="87" t="str">
        <f t="shared" si="1536"/>
        <v>CS2</v>
      </c>
      <c r="CN479" s="87">
        <f t="shared" si="1516"/>
        <v>270</v>
      </c>
      <c r="CO479" s="87">
        <f t="shared" si="1517"/>
        <v>100</v>
      </c>
      <c r="CP479" s="229">
        <f t="shared" si="1483"/>
        <v>0</v>
      </c>
      <c r="CQ479" s="229">
        <f t="shared" si="1484"/>
        <v>65.7</v>
      </c>
      <c r="CR479" s="229">
        <f t="shared" si="1485"/>
        <v>26.4</v>
      </c>
      <c r="CS479" s="229">
        <f t="shared" si="1486"/>
        <v>0</v>
      </c>
      <c r="CT479" s="229">
        <f t="shared" si="1487"/>
        <v>0</v>
      </c>
      <c r="CU479" s="229">
        <f t="shared" si="1488"/>
        <v>165.3</v>
      </c>
      <c r="CV479" s="229">
        <f t="shared" si="1489"/>
        <v>0</v>
      </c>
      <c r="CW479" s="229">
        <f t="shared" si="1490"/>
        <v>246.5</v>
      </c>
      <c r="CX479" s="229">
        <f t="shared" si="1491"/>
        <v>0</v>
      </c>
      <c r="CY479" s="229">
        <f t="shared" si="1492"/>
        <v>0</v>
      </c>
      <c r="CZ479" s="229">
        <f t="shared" si="1493"/>
        <v>15</v>
      </c>
      <c r="DA479" s="229">
        <f t="shared" si="1494"/>
        <v>160</v>
      </c>
      <c r="DB479" s="228">
        <f t="shared" si="1429"/>
        <v>678.9</v>
      </c>
      <c r="DC479" s="229"/>
      <c r="DD479" s="229"/>
      <c r="DE479" s="229"/>
      <c r="DF479" s="229"/>
      <c r="DG479" s="229"/>
      <c r="DH479" s="229"/>
      <c r="DI479" s="229"/>
      <c r="DJ479" s="229"/>
      <c r="DK479" s="229"/>
      <c r="DL479" s="229"/>
      <c r="DM479" s="229"/>
      <c r="DN479" s="229"/>
      <c r="DO479" s="228">
        <f t="shared" si="1440"/>
        <v>0</v>
      </c>
      <c r="DP479" s="228">
        <f t="shared" si="1441"/>
        <v>678.9</v>
      </c>
      <c r="DQ479" s="229">
        <f t="shared" si="1495"/>
        <v>0</v>
      </c>
      <c r="DR479" s="229">
        <f t="shared" si="1496"/>
        <v>0</v>
      </c>
      <c r="DS479" s="229">
        <f t="shared" si="1497"/>
        <v>0</v>
      </c>
      <c r="DT479" s="229">
        <f t="shared" si="1498"/>
        <v>0</v>
      </c>
      <c r="DU479" s="229">
        <f t="shared" si="1499"/>
        <v>0</v>
      </c>
      <c r="DV479" s="229">
        <f t="shared" si="1500"/>
        <v>0</v>
      </c>
      <c r="DW479" s="229">
        <f t="shared" si="1501"/>
        <v>0</v>
      </c>
      <c r="DX479" s="228">
        <f t="shared" si="1430"/>
        <v>0</v>
      </c>
      <c r="DY479" s="229"/>
      <c r="DZ479" s="229"/>
      <c r="EA479" s="229"/>
      <c r="EB479" s="229"/>
      <c r="EC479" s="229"/>
      <c r="ED479" s="229"/>
      <c r="EE479" s="229"/>
      <c r="EF479" s="228">
        <f t="shared" si="1480"/>
        <v>0</v>
      </c>
      <c r="EG479" s="228">
        <f t="shared" si="1442"/>
        <v>0</v>
      </c>
      <c r="EH479" s="229">
        <f t="shared" si="1481"/>
        <v>85.18</v>
      </c>
      <c r="EI479" s="229">
        <v>102.14</v>
      </c>
      <c r="EJ479" s="228">
        <f t="shared" si="1443"/>
        <v>187.32</v>
      </c>
      <c r="EK479" s="229"/>
      <c r="EL479" s="229"/>
      <c r="EM479" s="228">
        <f t="shared" si="1542"/>
        <v>0</v>
      </c>
      <c r="EN479" s="229">
        <f t="shared" si="1423"/>
        <v>85.18</v>
      </c>
      <c r="EO479" s="229">
        <f t="shared" si="1451"/>
        <v>102.14</v>
      </c>
      <c r="EP479" s="228">
        <f t="shared" si="1543"/>
        <v>187.32</v>
      </c>
      <c r="EQ479" s="173">
        <f t="shared" si="1479"/>
        <v>0</v>
      </c>
      <c r="ER479" s="189">
        <v>0</v>
      </c>
      <c r="ES479" s="189">
        <v>65.7</v>
      </c>
      <c r="ET479" s="189">
        <v>26.4</v>
      </c>
      <c r="EU479" s="189">
        <v>0</v>
      </c>
      <c r="EV479" s="189">
        <v>0</v>
      </c>
      <c r="EW479" s="189">
        <v>165.3</v>
      </c>
      <c r="EX479" s="189">
        <v>0</v>
      </c>
      <c r="EY479" s="189">
        <v>246.5</v>
      </c>
      <c r="EZ479" s="189">
        <v>0</v>
      </c>
      <c r="FA479" s="189">
        <v>0</v>
      </c>
      <c r="FB479" s="189">
        <v>15</v>
      </c>
      <c r="FC479" s="189">
        <v>160</v>
      </c>
      <c r="FD479" s="189">
        <v>0</v>
      </c>
      <c r="FE479" s="189">
        <v>0</v>
      </c>
      <c r="FF479" s="189">
        <v>0</v>
      </c>
      <c r="FG479" s="189">
        <v>0</v>
      </c>
      <c r="FH479" s="189">
        <v>0</v>
      </c>
      <c r="FI479" s="189">
        <v>0</v>
      </c>
      <c r="FJ479" s="189">
        <v>0</v>
      </c>
      <c r="FK479" s="189">
        <v>678.9</v>
      </c>
      <c r="FL479" s="189">
        <v>535</v>
      </c>
      <c r="FN479" s="132">
        <v>85.18</v>
      </c>
    </row>
    <row r="480" spans="1:170" ht="30" customHeight="1">
      <c r="A480" s="88">
        <f>COUNTIF($H$12:H480,H480)</f>
        <v>58</v>
      </c>
      <c r="B480" s="88" t="s">
        <v>129</v>
      </c>
      <c r="C480" s="88" t="s">
        <v>832</v>
      </c>
      <c r="D480" s="88"/>
      <c r="E480" s="88"/>
      <c r="F480" s="301" t="s">
        <v>171</v>
      </c>
      <c r="G480" s="89" t="s">
        <v>1434</v>
      </c>
      <c r="H480" s="88">
        <v>9</v>
      </c>
      <c r="I480" s="88">
        <v>9</v>
      </c>
      <c r="J480" s="88">
        <v>9</v>
      </c>
      <c r="K480" s="90" t="s">
        <v>1106</v>
      </c>
      <c r="L480" s="90" t="s">
        <v>1106</v>
      </c>
      <c r="M480" s="214"/>
      <c r="N480" s="88" t="s">
        <v>1804</v>
      </c>
      <c r="O480" s="216">
        <f t="shared" si="1503"/>
        <v>3.33</v>
      </c>
      <c r="P480" s="88" t="str">
        <f t="shared" si="1519"/>
        <v>B1_4</v>
      </c>
      <c r="Q480" s="88">
        <f t="shared" si="1369"/>
        <v>270</v>
      </c>
      <c r="R480" s="88">
        <f t="shared" si="1370"/>
        <v>120</v>
      </c>
      <c r="S480" s="233" t="s">
        <v>2665</v>
      </c>
      <c r="T480" s="88" t="s">
        <v>3088</v>
      </c>
      <c r="U480" s="88">
        <f>IF(RIGHT(T480,1)="K",(VLOOKUP(T480,ma_miengiam!$A$3:$B$80,2,0)*100)/2,VLOOKUP(T480,ma_miengiam!$A$3:$B$80,2,0)*100)</f>
        <v>0</v>
      </c>
      <c r="V480" s="88">
        <v>9</v>
      </c>
      <c r="W480" s="220">
        <f>IF(AND(T480="NTS",V480&gt;0),(Q480-(Q480*V480)/12)*VLOOKUP(T480,ma_miengiam!$A$3:$B$80,2,0)+(Q480-(Q480*(12-V480))/12),IF(AND(RIGHT(T480,1)="K",V480&gt;0),(VLOOKUP(T480,ma_miengiam!$A$3:$B$80,2,0)/2)*(Q480*V480)/12,IF(RIGHT(T480,1)="K",(VLOOKUP(T480,ma_miengiam!$A$3:$B$80,2,0)*Q480)/2,IF(V480&gt;0,VLOOKUP(T480,ma_miengiam!$A$3:$B$80,2,0)*Q480*V480/12,VLOOKUP(T480,ma_miengiam!$A$3:$B$80,2,0)*Q480))))</f>
        <v>0</v>
      </c>
      <c r="X480" s="220">
        <f>IF(T480="NTS",VLOOKUP(T480,ma_miengiam!$A$3:$B$80,2,0)*R480*V480,IF(AND(T480="NTS",V480=0),0,IF(AND(LEFT(T480,1)="K",V480=0),VLOOKUP(T480,ma_miengiam!$A$3:$B$80,2,0)*R480,IF(LEFT(T480,1)="K",(VLOOKUP(T480,ma_miengiam!$A$3:$B$80,2,0)*R480/12)*V480,IF(AND(LEFT(T480,1)="S",V480&gt;0),(R480/12)*V480,IF(AND(LEFT(T480,1)="S",V480=0),R480,IF(T480="DH",VLOOKUP(T480,ma_miengiam!$A$3:$B$80,2,0)*R480,0)))))))</f>
        <v>0</v>
      </c>
      <c r="Y480" s="220">
        <f t="shared" si="1521"/>
        <v>202.5</v>
      </c>
      <c r="Z480" s="220">
        <f t="shared" si="1457"/>
        <v>90</v>
      </c>
      <c r="AA480" s="220">
        <f t="shared" si="1546"/>
        <v>270</v>
      </c>
      <c r="AB480" s="220">
        <f t="shared" si="1546"/>
        <v>120</v>
      </c>
      <c r="AC480" s="220">
        <f t="shared" si="1547"/>
        <v>0</v>
      </c>
      <c r="AD480" s="220">
        <f t="shared" si="1547"/>
        <v>0</v>
      </c>
      <c r="AE480" s="220">
        <f t="shared" si="1547"/>
        <v>202.5</v>
      </c>
      <c r="AF480" s="220">
        <f t="shared" si="1547"/>
        <v>90</v>
      </c>
      <c r="AG480" s="220">
        <f t="shared" si="1548"/>
        <v>103.57</v>
      </c>
      <c r="AH480" s="220">
        <f t="shared" si="1549"/>
        <v>52.14</v>
      </c>
      <c r="AI480" s="220">
        <f t="shared" si="1550"/>
        <v>51.43</v>
      </c>
      <c r="AJ480" s="220">
        <f t="shared" si="1551"/>
        <v>0</v>
      </c>
      <c r="AK480" s="216">
        <f t="shared" si="1454"/>
        <v>202.5</v>
      </c>
      <c r="AL480" s="220">
        <f t="shared" si="1431"/>
        <v>312.39999999999998</v>
      </c>
      <c r="AM480" s="220">
        <f t="shared" si="1432"/>
        <v>0</v>
      </c>
      <c r="AN480" s="221">
        <f t="shared" si="1433"/>
        <v>312.39999999999998</v>
      </c>
      <c r="AO480" s="220">
        <f t="shared" si="1434"/>
        <v>0</v>
      </c>
      <c r="AP480" s="220">
        <f t="shared" si="1435"/>
        <v>0</v>
      </c>
      <c r="AQ480" s="220">
        <f t="shared" si="1436"/>
        <v>60</v>
      </c>
      <c r="AR480" s="220">
        <f t="shared" si="1437"/>
        <v>0</v>
      </c>
      <c r="AS480" s="220">
        <f t="shared" si="1438"/>
        <v>0</v>
      </c>
      <c r="AT480" s="216">
        <f t="shared" si="1439"/>
        <v>372.4</v>
      </c>
      <c r="AU480" s="222">
        <f t="shared" si="1447"/>
        <v>109.89999999999998</v>
      </c>
      <c r="AV480" s="220"/>
      <c r="AW480" s="220">
        <f t="shared" si="1530"/>
        <v>109.89999999999998</v>
      </c>
      <c r="AX480" s="216">
        <f t="shared" si="1448"/>
        <v>0</v>
      </c>
      <c r="AY480" s="220">
        <f t="shared" si="1537"/>
        <v>0</v>
      </c>
      <c r="AZ480" s="220">
        <f t="shared" si="1538"/>
        <v>0</v>
      </c>
      <c r="BA480" s="220">
        <f t="shared" si="1539"/>
        <v>60</v>
      </c>
      <c r="BB480" s="220">
        <f t="shared" si="1540"/>
        <v>0</v>
      </c>
      <c r="BC480" s="220">
        <f t="shared" si="1541"/>
        <v>0</v>
      </c>
      <c r="BD480" s="216">
        <f t="shared" si="1410"/>
        <v>60</v>
      </c>
      <c r="BE480" s="220">
        <f t="shared" si="1531"/>
        <v>0</v>
      </c>
      <c r="BF480" s="220">
        <f t="shared" si="1532"/>
        <v>0</v>
      </c>
      <c r="BG480" s="220">
        <f t="shared" si="1533"/>
        <v>0</v>
      </c>
      <c r="BH480" s="220">
        <f t="shared" si="1534"/>
        <v>0</v>
      </c>
      <c r="BI480" s="220">
        <f t="shared" si="1535"/>
        <v>0</v>
      </c>
      <c r="BJ480" s="220" t="s">
        <v>2488</v>
      </c>
      <c r="BK480" s="220"/>
      <c r="BL480" s="223">
        <f t="shared" si="1422"/>
        <v>109.89999999999998</v>
      </c>
      <c r="BM480" s="220">
        <v>3.33</v>
      </c>
      <c r="BN480" s="220"/>
      <c r="BO480" s="220">
        <f t="shared" si="1527"/>
        <v>3.33</v>
      </c>
      <c r="BP480" s="220">
        <f>IF(AND(BL480&gt;0,BL480&lt;tiet!$D$1),BL480,IF(BL480&lt;=0,0,IF(BL480&gt;tiet!$C$1,tiet!$C$1)))</f>
        <v>109.89999999999998</v>
      </c>
      <c r="BQ480" s="87">
        <f t="shared" si="1552"/>
        <v>65000</v>
      </c>
      <c r="BR480" s="224">
        <f t="shared" si="1544"/>
        <v>7143500</v>
      </c>
      <c r="BS480" s="220">
        <f t="shared" si="1478"/>
        <v>0</v>
      </c>
      <c r="BT480" s="224">
        <f>VLOOKUP(N480,ma_dinhmuc!$A$1:$J$31,10,0)</f>
        <v>51000</v>
      </c>
      <c r="BU480" s="224">
        <f>ROUND(IF(BS480&gt;0,VLOOKUP(N480,ma_dinhmuc!$A$1:$J$31,10,0)*BS480,0),0)</f>
        <v>0</v>
      </c>
      <c r="BV480" s="224">
        <f t="shared" si="1545"/>
        <v>7143500</v>
      </c>
      <c r="BW480" s="224"/>
      <c r="BX480" s="224">
        <v>0</v>
      </c>
      <c r="BY480" s="224"/>
      <c r="BZ480" s="224"/>
      <c r="CA480" s="224"/>
      <c r="CB480" s="224"/>
      <c r="CC480" s="225">
        <f t="shared" si="1419"/>
        <v>7143500</v>
      </c>
      <c r="CD480" s="224">
        <f t="shared" si="1420"/>
        <v>0</v>
      </c>
      <c r="CE480" s="224"/>
      <c r="CF480" s="226"/>
      <c r="CG480" s="87"/>
      <c r="CH480" s="87">
        <f t="shared" si="1520"/>
        <v>58</v>
      </c>
      <c r="CI480" s="227" t="str">
        <f t="shared" si="1553"/>
        <v>Lê Văn</v>
      </c>
      <c r="CJ480" s="227" t="str">
        <f t="shared" si="1554"/>
        <v>Trường</v>
      </c>
      <c r="CK480" s="87">
        <f t="shared" si="1555"/>
        <v>9</v>
      </c>
      <c r="CL480" s="227" t="str">
        <f t="shared" si="1518"/>
        <v>VSV - Truyền nhiễm</v>
      </c>
      <c r="CM480" s="87" t="str">
        <f t="shared" si="1536"/>
        <v>CS2</v>
      </c>
      <c r="CN480" s="87">
        <f t="shared" si="1516"/>
        <v>270</v>
      </c>
      <c r="CO480" s="87">
        <f t="shared" si="1517"/>
        <v>120</v>
      </c>
      <c r="CP480" s="229">
        <f t="shared" si="1483"/>
        <v>0</v>
      </c>
      <c r="CQ480" s="229">
        <f t="shared" si="1484"/>
        <v>57.2</v>
      </c>
      <c r="CR480" s="229">
        <f t="shared" si="1485"/>
        <v>23.1</v>
      </c>
      <c r="CS480" s="229">
        <f t="shared" si="1486"/>
        <v>0</v>
      </c>
      <c r="CT480" s="229">
        <f t="shared" si="1487"/>
        <v>0</v>
      </c>
      <c r="CU480" s="229">
        <f t="shared" si="1488"/>
        <v>196.1</v>
      </c>
      <c r="CV480" s="229">
        <f t="shared" si="1489"/>
        <v>0</v>
      </c>
      <c r="CW480" s="229">
        <f t="shared" si="1490"/>
        <v>36</v>
      </c>
      <c r="CX480" s="229">
        <f t="shared" si="1491"/>
        <v>0</v>
      </c>
      <c r="CY480" s="229">
        <f t="shared" si="1492"/>
        <v>0</v>
      </c>
      <c r="CZ480" s="229">
        <f t="shared" si="1493"/>
        <v>0</v>
      </c>
      <c r="DA480" s="229">
        <f t="shared" si="1494"/>
        <v>60</v>
      </c>
      <c r="DB480" s="228">
        <f t="shared" si="1429"/>
        <v>372.4</v>
      </c>
      <c r="DC480" s="229"/>
      <c r="DD480" s="229"/>
      <c r="DE480" s="229"/>
      <c r="DF480" s="229"/>
      <c r="DG480" s="229"/>
      <c r="DH480" s="229"/>
      <c r="DI480" s="229"/>
      <c r="DJ480" s="229"/>
      <c r="DK480" s="229"/>
      <c r="DL480" s="229"/>
      <c r="DM480" s="229"/>
      <c r="DN480" s="229"/>
      <c r="DO480" s="228">
        <f t="shared" si="1440"/>
        <v>0</v>
      </c>
      <c r="DP480" s="228">
        <f t="shared" si="1441"/>
        <v>372.4</v>
      </c>
      <c r="DQ480" s="229">
        <f t="shared" si="1495"/>
        <v>0</v>
      </c>
      <c r="DR480" s="229">
        <f t="shared" si="1496"/>
        <v>0</v>
      </c>
      <c r="DS480" s="229">
        <f t="shared" si="1497"/>
        <v>0</v>
      </c>
      <c r="DT480" s="229">
        <f t="shared" si="1498"/>
        <v>0</v>
      </c>
      <c r="DU480" s="229">
        <f t="shared" si="1499"/>
        <v>0</v>
      </c>
      <c r="DV480" s="229">
        <f t="shared" si="1500"/>
        <v>0</v>
      </c>
      <c r="DW480" s="229">
        <f t="shared" si="1501"/>
        <v>0</v>
      </c>
      <c r="DX480" s="228">
        <f t="shared" si="1430"/>
        <v>0</v>
      </c>
      <c r="DY480" s="229"/>
      <c r="DZ480" s="229"/>
      <c r="EA480" s="229"/>
      <c r="EB480" s="229"/>
      <c r="EC480" s="229"/>
      <c r="ED480" s="229"/>
      <c r="EE480" s="229"/>
      <c r="EF480" s="228">
        <f t="shared" si="1480"/>
        <v>0</v>
      </c>
      <c r="EG480" s="228">
        <f t="shared" si="1442"/>
        <v>0</v>
      </c>
      <c r="EH480" s="229">
        <f t="shared" si="1481"/>
        <v>51.43</v>
      </c>
      <c r="EI480" s="229">
        <v>52.14</v>
      </c>
      <c r="EJ480" s="228">
        <f t="shared" si="1443"/>
        <v>103.57</v>
      </c>
      <c r="EK480" s="229"/>
      <c r="EL480" s="229"/>
      <c r="EM480" s="228">
        <f t="shared" si="1542"/>
        <v>0</v>
      </c>
      <c r="EN480" s="229">
        <f t="shared" si="1423"/>
        <v>51.43</v>
      </c>
      <c r="EO480" s="229">
        <f t="shared" si="1451"/>
        <v>52.14</v>
      </c>
      <c r="EP480" s="228">
        <f t="shared" si="1543"/>
        <v>103.57</v>
      </c>
      <c r="EQ480" s="173">
        <f t="shared" si="1479"/>
        <v>0</v>
      </c>
      <c r="ER480" s="189">
        <v>0</v>
      </c>
      <c r="ES480" s="189">
        <v>57.2</v>
      </c>
      <c r="ET480" s="189">
        <v>23.1</v>
      </c>
      <c r="EU480" s="189">
        <v>0</v>
      </c>
      <c r="EV480" s="189">
        <v>0</v>
      </c>
      <c r="EW480" s="189">
        <v>196.1</v>
      </c>
      <c r="EX480" s="189">
        <v>0</v>
      </c>
      <c r="EY480" s="189">
        <v>36</v>
      </c>
      <c r="EZ480" s="189">
        <v>0</v>
      </c>
      <c r="FA480" s="189">
        <v>0</v>
      </c>
      <c r="FB480" s="189">
        <v>0</v>
      </c>
      <c r="FC480" s="189">
        <v>60</v>
      </c>
      <c r="FD480" s="189">
        <v>0</v>
      </c>
      <c r="FE480" s="189">
        <v>0</v>
      </c>
      <c r="FF480" s="189">
        <v>0</v>
      </c>
      <c r="FG480" s="189">
        <v>0</v>
      </c>
      <c r="FH480" s="189">
        <v>0</v>
      </c>
      <c r="FI480" s="189">
        <v>0</v>
      </c>
      <c r="FJ480" s="189">
        <v>0</v>
      </c>
      <c r="FK480" s="189">
        <v>372.4</v>
      </c>
      <c r="FL480" s="189">
        <v>252</v>
      </c>
      <c r="FN480" s="132">
        <v>51.43</v>
      </c>
    </row>
    <row r="481" spans="1:170" ht="30" customHeight="1">
      <c r="A481" s="88">
        <f>COUNTIF($H$12:H481,H481)</f>
        <v>59</v>
      </c>
      <c r="B481" s="88" t="s">
        <v>130</v>
      </c>
      <c r="C481" s="88" t="s">
        <v>833</v>
      </c>
      <c r="D481" s="88"/>
      <c r="E481" s="88"/>
      <c r="F481" s="301" t="s">
        <v>171</v>
      </c>
      <c r="G481" s="303" t="s">
        <v>3054</v>
      </c>
      <c r="H481" s="88">
        <v>9</v>
      </c>
      <c r="I481" s="88">
        <v>9</v>
      </c>
      <c r="J481" s="88">
        <v>9</v>
      </c>
      <c r="K481" s="90" t="s">
        <v>1106</v>
      </c>
      <c r="L481" s="90" t="s">
        <v>1106</v>
      </c>
      <c r="M481" s="214"/>
      <c r="N481" s="88" t="s">
        <v>605</v>
      </c>
      <c r="O481" s="216">
        <f t="shared" ref="O481:O486" si="1556">BO481</f>
        <v>6.2</v>
      </c>
      <c r="P481" s="88" t="str">
        <f t="shared" si="1519"/>
        <v>B1_6</v>
      </c>
      <c r="Q481" s="88">
        <f t="shared" si="1369"/>
        <v>270</v>
      </c>
      <c r="R481" s="88">
        <f t="shared" si="1370"/>
        <v>170</v>
      </c>
      <c r="S481" s="218" t="s">
        <v>926</v>
      </c>
      <c r="T481" s="88" t="s">
        <v>3089</v>
      </c>
      <c r="U481" s="88">
        <f>IF(RIGHT(T481,1)="K",(VLOOKUP(T481,ma_miengiam!$A$3:$B$80,2,0)*100)/2,VLOOKUP(T481,ma_miengiam!$A$3:$B$80,2,0)*100)</f>
        <v>10</v>
      </c>
      <c r="V481" s="88"/>
      <c r="W481" s="220">
        <f>IF(AND(T481="NTS",V481&gt;0),(Q481-(Q481*V481)/12)*VLOOKUP(T481,ma_miengiam!$A$3:$B$80,2,0)+(Q481-(Q481*(12-V481))/12),IF(AND(RIGHT(T481,1)="K",V481&gt;0),(VLOOKUP(T481,ma_miengiam!$A$3:$B$80,2,0)/2)*(Q481*V481)/12,IF(RIGHT(T481,1)="K",(VLOOKUP(T481,ma_miengiam!$A$3:$B$80,2,0)*Q481)/2,IF(V481&gt;0,VLOOKUP(T481,ma_miengiam!$A$3:$B$80,2,0)*Q481*V481/12,VLOOKUP(T481,ma_miengiam!$A$3:$B$80,2,0)*Q481))))</f>
        <v>27</v>
      </c>
      <c r="X481" s="220">
        <f>IF(T481="NTS",VLOOKUP(T481,ma_miengiam!$A$3:$B$80,2,0)*R481*V481,IF(AND(T481="NTS",V481=0),0,IF(AND(LEFT(T481,1)="K",V481=0),VLOOKUP(T481,ma_miengiam!$A$3:$B$80,2,0)*R481,IF(LEFT(T481,1)="K",(VLOOKUP(T481,ma_miengiam!$A$3:$B$80,2,0)*R481/12)*V481,IF(AND(LEFT(T481,1)="S",V481&gt;0),(R481/12)*V481,IF(AND(LEFT(T481,1)="S",V481=0),R481,IF(T481="DH",VLOOKUP(T481,ma_miengiam!$A$3:$B$80,2,0)*R481,0)))))))</f>
        <v>0</v>
      </c>
      <c r="Y481" s="220">
        <f t="shared" si="1521"/>
        <v>243</v>
      </c>
      <c r="Z481" s="220">
        <f t="shared" si="1457"/>
        <v>170</v>
      </c>
      <c r="AA481" s="220">
        <f t="shared" si="1546"/>
        <v>270</v>
      </c>
      <c r="AB481" s="220">
        <f t="shared" si="1546"/>
        <v>170</v>
      </c>
      <c r="AC481" s="220">
        <f t="shared" ref="AC481:AF482" si="1557">W481</f>
        <v>27</v>
      </c>
      <c r="AD481" s="220">
        <f t="shared" si="1557"/>
        <v>0</v>
      </c>
      <c r="AE481" s="220">
        <f t="shared" si="1557"/>
        <v>243</v>
      </c>
      <c r="AF481" s="220">
        <f t="shared" si="1557"/>
        <v>170</v>
      </c>
      <c r="AG481" s="220">
        <f>AH481+AI481</f>
        <v>298.82</v>
      </c>
      <c r="AH481" s="220">
        <f>EO481</f>
        <v>88.64</v>
      </c>
      <c r="AI481" s="220">
        <f>EN481</f>
        <v>210.18</v>
      </c>
      <c r="AJ481" s="220">
        <f t="shared" si="1551"/>
        <v>0</v>
      </c>
      <c r="AK481" s="216">
        <f t="shared" si="1454"/>
        <v>243</v>
      </c>
      <c r="AL481" s="220">
        <f t="shared" si="1431"/>
        <v>274</v>
      </c>
      <c r="AM481" s="220">
        <f t="shared" si="1432"/>
        <v>18.7</v>
      </c>
      <c r="AN481" s="221">
        <f t="shared" si="1433"/>
        <v>292.7</v>
      </c>
      <c r="AO481" s="220">
        <f t="shared" si="1434"/>
        <v>0</v>
      </c>
      <c r="AP481" s="220">
        <f t="shared" si="1435"/>
        <v>0</v>
      </c>
      <c r="AQ481" s="220">
        <f t="shared" si="1436"/>
        <v>220</v>
      </c>
      <c r="AR481" s="220">
        <f t="shared" si="1437"/>
        <v>120</v>
      </c>
      <c r="AS481" s="220">
        <f t="shared" si="1438"/>
        <v>30</v>
      </c>
      <c r="AT481" s="216">
        <f t="shared" si="1439"/>
        <v>662.7</v>
      </c>
      <c r="AU481" s="222">
        <f t="shared" si="1447"/>
        <v>49.699999999999989</v>
      </c>
      <c r="AV481" s="220"/>
      <c r="AW481" s="220">
        <f t="shared" si="1530"/>
        <v>49.699999999999989</v>
      </c>
      <c r="AX481" s="216">
        <f t="shared" si="1448"/>
        <v>0</v>
      </c>
      <c r="AY481" s="220">
        <f t="shared" si="1537"/>
        <v>0</v>
      </c>
      <c r="AZ481" s="220">
        <f t="shared" si="1538"/>
        <v>0</v>
      </c>
      <c r="BA481" s="220">
        <f t="shared" si="1539"/>
        <v>220</v>
      </c>
      <c r="BB481" s="220">
        <f t="shared" si="1540"/>
        <v>120</v>
      </c>
      <c r="BC481" s="220">
        <f t="shared" si="1541"/>
        <v>30</v>
      </c>
      <c r="BD481" s="216">
        <f t="shared" si="1410"/>
        <v>370</v>
      </c>
      <c r="BE481" s="220">
        <f t="shared" si="1531"/>
        <v>0</v>
      </c>
      <c r="BF481" s="220">
        <f t="shared" si="1532"/>
        <v>0</v>
      </c>
      <c r="BG481" s="220">
        <f t="shared" si="1533"/>
        <v>0</v>
      </c>
      <c r="BH481" s="220">
        <f t="shared" si="1534"/>
        <v>0</v>
      </c>
      <c r="BI481" s="220">
        <f t="shared" si="1535"/>
        <v>0</v>
      </c>
      <c r="BJ481" s="220" t="s">
        <v>2488</v>
      </c>
      <c r="BK481" s="220"/>
      <c r="BL481" s="223">
        <f t="shared" si="1422"/>
        <v>49.699999999999989</v>
      </c>
      <c r="BM481" s="220">
        <v>6.2</v>
      </c>
      <c r="BN481" s="220"/>
      <c r="BO481" s="220">
        <f t="shared" ref="BO481:BO486" si="1558">ROUND(BM481+(BM481*BN481),2)</f>
        <v>6.2</v>
      </c>
      <c r="BP481" s="220">
        <f>IF(AND(BL481&gt;0,BL481&lt;tiet!$D$1),BL481,IF(BL481&lt;=0,0,IF(BL481&gt;tiet!$C$1,tiet!$C$1)))</f>
        <v>49.699999999999989</v>
      </c>
      <c r="BQ481" s="87">
        <f t="shared" si="1552"/>
        <v>75000</v>
      </c>
      <c r="BR481" s="224">
        <f t="shared" si="1544"/>
        <v>3727500</v>
      </c>
      <c r="BS481" s="220">
        <f t="shared" si="1478"/>
        <v>0</v>
      </c>
      <c r="BT481" s="224">
        <f>VLOOKUP(N481,ma_dinhmuc!$A$1:$J$31,10,0)</f>
        <v>65000</v>
      </c>
      <c r="BU481" s="224">
        <f>ROUND(IF(BS481&gt;0,VLOOKUP(N481,ma_dinhmuc!$A$1:$J$31,10,0)*BS481,0),0)</f>
        <v>0</v>
      </c>
      <c r="BV481" s="224">
        <f t="shared" si="1545"/>
        <v>3727500</v>
      </c>
      <c r="BW481" s="224"/>
      <c r="BX481" s="224">
        <v>0</v>
      </c>
      <c r="BY481" s="224"/>
      <c r="BZ481" s="224"/>
      <c r="CA481" s="224"/>
      <c r="CB481" s="224"/>
      <c r="CC481" s="225">
        <f t="shared" si="1419"/>
        <v>3727500</v>
      </c>
      <c r="CD481" s="224">
        <f t="shared" si="1420"/>
        <v>0</v>
      </c>
      <c r="CE481" s="224"/>
      <c r="CF481" s="226"/>
      <c r="CG481" s="87"/>
      <c r="CH481" s="87">
        <f t="shared" ref="CH481:CH486" si="1559">A481</f>
        <v>59</v>
      </c>
      <c r="CI481" s="227" t="str">
        <f t="shared" ref="CI481:CK482" si="1560">F481</f>
        <v>Lê Văn</v>
      </c>
      <c r="CJ481" s="227" t="str">
        <f t="shared" si="1560"/>
        <v>Phan</v>
      </c>
      <c r="CK481" s="87">
        <f t="shared" si="1560"/>
        <v>9</v>
      </c>
      <c r="CL481" s="227" t="str">
        <f t="shared" ref="CL481:CL486" si="1561">L481</f>
        <v>VSV - Truyền nhiễm</v>
      </c>
      <c r="CM481" s="87" t="str">
        <f t="shared" si="1536"/>
        <v>CS4</v>
      </c>
      <c r="CN481" s="87">
        <f t="shared" si="1516"/>
        <v>270</v>
      </c>
      <c r="CO481" s="87">
        <f t="shared" si="1517"/>
        <v>170</v>
      </c>
      <c r="CP481" s="229">
        <f t="shared" si="1483"/>
        <v>0</v>
      </c>
      <c r="CQ481" s="229">
        <f t="shared" si="1484"/>
        <v>36.1</v>
      </c>
      <c r="CR481" s="229">
        <f t="shared" si="1485"/>
        <v>14.4</v>
      </c>
      <c r="CS481" s="229">
        <f t="shared" si="1486"/>
        <v>0</v>
      </c>
      <c r="CT481" s="229">
        <f t="shared" si="1487"/>
        <v>0</v>
      </c>
      <c r="CU481" s="229">
        <f t="shared" si="1488"/>
        <v>123.5</v>
      </c>
      <c r="CV481" s="229">
        <f t="shared" si="1489"/>
        <v>0</v>
      </c>
      <c r="CW481" s="229">
        <f t="shared" si="1490"/>
        <v>100</v>
      </c>
      <c r="CX481" s="229">
        <f t="shared" si="1491"/>
        <v>0</v>
      </c>
      <c r="CY481" s="229">
        <f t="shared" si="1492"/>
        <v>0</v>
      </c>
      <c r="CZ481" s="229">
        <f t="shared" si="1493"/>
        <v>0</v>
      </c>
      <c r="DA481" s="229">
        <f t="shared" si="1494"/>
        <v>220</v>
      </c>
      <c r="DB481" s="228">
        <f t="shared" si="1429"/>
        <v>494</v>
      </c>
      <c r="DC481" s="229"/>
      <c r="DD481" s="229"/>
      <c r="DE481" s="229"/>
      <c r="DF481" s="229"/>
      <c r="DG481" s="229"/>
      <c r="DH481" s="229"/>
      <c r="DI481" s="229"/>
      <c r="DJ481" s="229"/>
      <c r="DK481" s="229"/>
      <c r="DL481" s="229"/>
      <c r="DM481" s="229"/>
      <c r="DN481" s="229"/>
      <c r="DO481" s="228">
        <f t="shared" si="1440"/>
        <v>0</v>
      </c>
      <c r="DP481" s="228">
        <f t="shared" si="1441"/>
        <v>494</v>
      </c>
      <c r="DQ481" s="229">
        <f t="shared" si="1495"/>
        <v>18</v>
      </c>
      <c r="DR481" s="229">
        <f t="shared" si="1496"/>
        <v>0.5</v>
      </c>
      <c r="DS481" s="229">
        <f t="shared" si="1497"/>
        <v>0</v>
      </c>
      <c r="DT481" s="229">
        <f t="shared" si="1498"/>
        <v>0.2</v>
      </c>
      <c r="DU481" s="229">
        <f t="shared" si="1499"/>
        <v>0</v>
      </c>
      <c r="DV481" s="229">
        <f t="shared" si="1500"/>
        <v>120</v>
      </c>
      <c r="DW481" s="229">
        <f t="shared" si="1501"/>
        <v>30</v>
      </c>
      <c r="DX481" s="228">
        <f t="shared" si="1430"/>
        <v>168.7</v>
      </c>
      <c r="DY481" s="229"/>
      <c r="DZ481" s="229"/>
      <c r="EA481" s="229"/>
      <c r="EB481" s="229"/>
      <c r="EC481" s="229"/>
      <c r="ED481" s="229"/>
      <c r="EE481" s="229"/>
      <c r="EF481" s="228">
        <f t="shared" si="1480"/>
        <v>0</v>
      </c>
      <c r="EG481" s="228">
        <f t="shared" si="1442"/>
        <v>168.7</v>
      </c>
      <c r="EH481" s="229">
        <f t="shared" si="1481"/>
        <v>210.18</v>
      </c>
      <c r="EI481" s="229">
        <v>88.64</v>
      </c>
      <c r="EJ481" s="228">
        <f>SUM(EH481:EI481)</f>
        <v>298.82</v>
      </c>
      <c r="EK481" s="229"/>
      <c r="EL481" s="229"/>
      <c r="EM481" s="228">
        <f t="shared" ref="EM481:EM486" si="1562">SUM(EK481:EL481)</f>
        <v>0</v>
      </c>
      <c r="EN481" s="229">
        <f t="shared" si="1423"/>
        <v>210.18</v>
      </c>
      <c r="EO481" s="229">
        <f t="shared" si="1451"/>
        <v>88.64</v>
      </c>
      <c r="EP481" s="228">
        <f t="shared" ref="EP481:EP486" si="1563">EM481+EJ481</f>
        <v>298.82</v>
      </c>
      <c r="EQ481" s="173">
        <f t="shared" si="1479"/>
        <v>40.180000000000007</v>
      </c>
      <c r="ER481" s="189">
        <v>0</v>
      </c>
      <c r="ES481" s="189">
        <v>36.1</v>
      </c>
      <c r="ET481" s="189">
        <v>14.4</v>
      </c>
      <c r="EU481" s="189">
        <v>0</v>
      </c>
      <c r="EV481" s="189">
        <v>0</v>
      </c>
      <c r="EW481" s="189">
        <v>123.5</v>
      </c>
      <c r="EX481" s="189">
        <v>0</v>
      </c>
      <c r="EY481" s="189">
        <v>100</v>
      </c>
      <c r="EZ481" s="189">
        <v>0</v>
      </c>
      <c r="FA481" s="189">
        <v>0</v>
      </c>
      <c r="FB481" s="189">
        <v>0</v>
      </c>
      <c r="FC481" s="189">
        <v>220</v>
      </c>
      <c r="FD481" s="189">
        <v>18</v>
      </c>
      <c r="FE481" s="189">
        <v>0.5</v>
      </c>
      <c r="FF481" s="189">
        <v>0</v>
      </c>
      <c r="FG481" s="189">
        <v>0.2</v>
      </c>
      <c r="FH481" s="189">
        <v>120</v>
      </c>
      <c r="FI481" s="189">
        <v>0</v>
      </c>
      <c r="FJ481" s="189">
        <v>30</v>
      </c>
      <c r="FK481" s="189">
        <v>662.7</v>
      </c>
      <c r="FL481" s="189">
        <v>574</v>
      </c>
      <c r="FN481" s="132">
        <v>210.18</v>
      </c>
    </row>
    <row r="482" spans="1:170" ht="30" customHeight="1">
      <c r="A482" s="88">
        <f>COUNTIF($H$12:H485,H482)</f>
        <v>63</v>
      </c>
      <c r="B482" s="88" t="s">
        <v>131</v>
      </c>
      <c r="C482" s="88" t="s">
        <v>834</v>
      </c>
      <c r="D482" s="88"/>
      <c r="E482" s="88"/>
      <c r="F482" s="301" t="s">
        <v>1409</v>
      </c>
      <c r="G482" s="89" t="s">
        <v>1569</v>
      </c>
      <c r="H482" s="88">
        <v>9</v>
      </c>
      <c r="I482" s="88">
        <v>9</v>
      </c>
      <c r="J482" s="88">
        <v>9</v>
      </c>
      <c r="K482" s="90" t="s">
        <v>1106</v>
      </c>
      <c r="L482" s="90" t="s">
        <v>1106</v>
      </c>
      <c r="M482" s="214"/>
      <c r="N482" s="88" t="s">
        <v>1804</v>
      </c>
      <c r="O482" s="216">
        <f>BO482</f>
        <v>2.67</v>
      </c>
      <c r="P482" s="88" t="str">
        <f t="shared" si="1519"/>
        <v>B1_3</v>
      </c>
      <c r="Q482" s="88">
        <f t="shared" si="1369"/>
        <v>270</v>
      </c>
      <c r="R482" s="88">
        <f t="shared" si="1370"/>
        <v>100</v>
      </c>
      <c r="S482" s="231"/>
      <c r="T482" s="214" t="s">
        <v>3088</v>
      </c>
      <c r="U482" s="88">
        <f>IF(RIGHT(T482,1)="K",(VLOOKUP(T482,ma_miengiam!$A$3:$B$80,2,0)*100)/2,VLOOKUP(T482,ma_miengiam!$A$3:$B$80,2,0)*100)</f>
        <v>0</v>
      </c>
      <c r="V482" s="88"/>
      <c r="W482" s="220">
        <f>IF(AND(T482="NTS",V482&gt;0),(Q482-(Q482*V482)/12)*VLOOKUP(T482,ma_miengiam!$A$3:$B$80,2,0)+(Q482-(Q482*(12-V482))/12),IF(AND(RIGHT(T482,1)="K",V482&gt;0),(VLOOKUP(T482,ma_miengiam!$A$3:$B$80,2,0)/2)*(Q482*V482)/12,IF(RIGHT(T482,1)="K",(VLOOKUP(T482,ma_miengiam!$A$3:$B$80,2,0)*Q482)/2,IF(V482&gt;0,VLOOKUP(T482,ma_miengiam!$A$3:$B$80,2,0)*Q482*V482/12,VLOOKUP(T482,ma_miengiam!$A$3:$B$80,2,0)*Q482))))</f>
        <v>0</v>
      </c>
      <c r="X482" s="220">
        <f>IF(T482="NTS",VLOOKUP(T482,ma_miengiam!$A$3:$B$80,2,0)*R482*V482,IF(AND(T482="NTS",V482=0),0,IF(AND(LEFT(T482,1)="K",V482=0),VLOOKUP(T482,ma_miengiam!$A$3:$B$80,2,0)*R482,IF(LEFT(T482,1)="K",(VLOOKUP(T482,ma_miengiam!$A$3:$B$80,2,0)*R482/12)*V482,IF(AND(LEFT(T482,1)="S",V482&gt;0),(R482/12)*V482,IF(AND(LEFT(T482,1)="S",V482=0),R482,IF(T482="DH",VLOOKUP(T482,ma_miengiam!$A$3:$B$80,2,0)*R482,0)))))))</f>
        <v>0</v>
      </c>
      <c r="Y482" s="220">
        <f t="shared" si="1521"/>
        <v>270</v>
      </c>
      <c r="Z482" s="220">
        <f>IF(AND(T482="SĐH",V482&gt;0),(R482/12)*V482-X482,IF(AND(T482="DH",V482&gt;0),(R482*V482/12),IF(AND(T482&lt;&gt;"NTS",V482&gt;0),(R482*V482/12)-X482,IF(AND(T482="NTS",V482&gt;0),R482-X482,R482-X482))))</f>
        <v>100</v>
      </c>
      <c r="AA482" s="220">
        <f>Q482</f>
        <v>270</v>
      </c>
      <c r="AB482" s="220">
        <f>R482</f>
        <v>100</v>
      </c>
      <c r="AC482" s="220">
        <f t="shared" si="1557"/>
        <v>0</v>
      </c>
      <c r="AD482" s="220">
        <f t="shared" si="1557"/>
        <v>0</v>
      </c>
      <c r="AE482" s="220">
        <f t="shared" si="1557"/>
        <v>270</v>
      </c>
      <c r="AF482" s="220">
        <f t="shared" si="1557"/>
        <v>100</v>
      </c>
      <c r="AG482" s="220">
        <f>AH482+AI482</f>
        <v>169.74</v>
      </c>
      <c r="AH482" s="220">
        <f>EO482</f>
        <v>77.14</v>
      </c>
      <c r="AI482" s="220">
        <f>EN482</f>
        <v>92.6</v>
      </c>
      <c r="AJ482" s="220">
        <f>IF(AG482-Z482&gt;0,0,AG482-Z482)</f>
        <v>0</v>
      </c>
      <c r="AK482" s="216">
        <f t="shared" si="1454"/>
        <v>270</v>
      </c>
      <c r="AL482" s="220">
        <f t="shared" si="1431"/>
        <v>660.8</v>
      </c>
      <c r="AM482" s="220">
        <f t="shared" si="1432"/>
        <v>0</v>
      </c>
      <c r="AN482" s="221">
        <f t="shared" si="1433"/>
        <v>660.8</v>
      </c>
      <c r="AO482" s="220">
        <f t="shared" si="1434"/>
        <v>0</v>
      </c>
      <c r="AP482" s="220">
        <f t="shared" si="1435"/>
        <v>30</v>
      </c>
      <c r="AQ482" s="220">
        <f t="shared" si="1436"/>
        <v>160</v>
      </c>
      <c r="AR482" s="220">
        <f t="shared" si="1437"/>
        <v>0</v>
      </c>
      <c r="AS482" s="220">
        <f t="shared" si="1438"/>
        <v>0</v>
      </c>
      <c r="AT482" s="216">
        <f t="shared" si="1439"/>
        <v>850.8</v>
      </c>
      <c r="AU482" s="220">
        <f t="shared" si="1447"/>
        <v>390.79999999999995</v>
      </c>
      <c r="AV482" s="220"/>
      <c r="AW482" s="220">
        <f t="shared" si="1530"/>
        <v>390.79999999999995</v>
      </c>
      <c r="AX482" s="216">
        <f t="shared" si="1448"/>
        <v>0</v>
      </c>
      <c r="AY482" s="220">
        <f t="shared" si="1537"/>
        <v>0</v>
      </c>
      <c r="AZ482" s="220">
        <f t="shared" si="1538"/>
        <v>30</v>
      </c>
      <c r="BA482" s="220">
        <f t="shared" si="1539"/>
        <v>160</v>
      </c>
      <c r="BB482" s="220">
        <f t="shared" si="1540"/>
        <v>0</v>
      </c>
      <c r="BC482" s="220">
        <f t="shared" si="1541"/>
        <v>0</v>
      </c>
      <c r="BD482" s="216">
        <f t="shared" si="1410"/>
        <v>190</v>
      </c>
      <c r="BE482" s="220">
        <f t="shared" si="1531"/>
        <v>0</v>
      </c>
      <c r="BF482" s="220">
        <f t="shared" si="1532"/>
        <v>0</v>
      </c>
      <c r="BG482" s="220">
        <f t="shared" si="1533"/>
        <v>0</v>
      </c>
      <c r="BH482" s="220">
        <f t="shared" si="1534"/>
        <v>0</v>
      </c>
      <c r="BI482" s="220">
        <f t="shared" si="1535"/>
        <v>0</v>
      </c>
      <c r="BJ482" s="220" t="s">
        <v>2488</v>
      </c>
      <c r="BK482" s="220"/>
      <c r="BL482" s="223">
        <f t="shared" si="1422"/>
        <v>390.79999999999995</v>
      </c>
      <c r="BM482" s="220">
        <v>2.67</v>
      </c>
      <c r="BN482" s="220"/>
      <c r="BO482" s="220">
        <f>ROUND(BM482+(BM482*BN482),2)</f>
        <v>2.67</v>
      </c>
      <c r="BP482" s="220">
        <f>IF(AND(BL482&gt;0,BL482&lt;tiet!$D$1),BL482,IF(BL482&lt;=0,0,IF(BL482&gt;tiet!$C$1,tiet!$C$1)))</f>
        <v>200</v>
      </c>
      <c r="BQ482" s="87">
        <f>VLOOKUP(P482,ma_dinhmuc_moi,4,0)</f>
        <v>60000</v>
      </c>
      <c r="BR482" s="224">
        <f>ROUND(BQ482*BP482,0)</f>
        <v>12000000</v>
      </c>
      <c r="BS482" s="220">
        <f t="shared" si="1478"/>
        <v>190.79999999999995</v>
      </c>
      <c r="BT482" s="224">
        <f>VLOOKUP(N482,ma_dinhmuc!$A$1:$J$31,10,0)</f>
        <v>51000</v>
      </c>
      <c r="BU482" s="224">
        <f>ROUND(IF(BS482&gt;0,VLOOKUP(N482,ma_dinhmuc!$A$1:$J$31,10,0)*BS482,0),0)</f>
        <v>9730800</v>
      </c>
      <c r="BV482" s="224">
        <f>ROUND(BU482+BR482,0)</f>
        <v>21730800</v>
      </c>
      <c r="BW482" s="224"/>
      <c r="BX482" s="224">
        <v>0</v>
      </c>
      <c r="BY482" s="224"/>
      <c r="BZ482" s="224"/>
      <c r="CA482" s="224"/>
      <c r="CB482" s="224"/>
      <c r="CC482" s="225">
        <f t="shared" si="1419"/>
        <v>21730800</v>
      </c>
      <c r="CD482" s="224">
        <f t="shared" si="1420"/>
        <v>0</v>
      </c>
      <c r="CE482" s="224"/>
      <c r="CF482" s="226"/>
      <c r="CG482" s="87"/>
      <c r="CH482" s="87">
        <f>A482</f>
        <v>63</v>
      </c>
      <c r="CI482" s="227" t="str">
        <f t="shared" si="1560"/>
        <v>Cao Thị Bích</v>
      </c>
      <c r="CJ482" s="227" t="str">
        <f t="shared" si="1560"/>
        <v>Phượng</v>
      </c>
      <c r="CK482" s="87">
        <f t="shared" si="1560"/>
        <v>9</v>
      </c>
      <c r="CL482" s="227" t="str">
        <f>L482</f>
        <v>VSV - Truyền nhiễm</v>
      </c>
      <c r="CM482" s="87" t="str">
        <f t="shared" si="1536"/>
        <v>CS2</v>
      </c>
      <c r="CN482" s="87">
        <f>Q482</f>
        <v>270</v>
      </c>
      <c r="CO482" s="87">
        <f>R482</f>
        <v>100</v>
      </c>
      <c r="CP482" s="229">
        <f t="shared" si="1483"/>
        <v>0</v>
      </c>
      <c r="CQ482" s="229">
        <f t="shared" si="1484"/>
        <v>98.5</v>
      </c>
      <c r="CR482" s="229">
        <f t="shared" si="1485"/>
        <v>25.2</v>
      </c>
      <c r="CS482" s="229">
        <f t="shared" si="1486"/>
        <v>0</v>
      </c>
      <c r="CT482" s="229">
        <f t="shared" si="1487"/>
        <v>0</v>
      </c>
      <c r="CU482" s="229">
        <f t="shared" si="1488"/>
        <v>242.6</v>
      </c>
      <c r="CV482" s="229">
        <f t="shared" si="1489"/>
        <v>0</v>
      </c>
      <c r="CW482" s="229">
        <f t="shared" si="1490"/>
        <v>294.5</v>
      </c>
      <c r="CX482" s="229">
        <f t="shared" si="1491"/>
        <v>0</v>
      </c>
      <c r="CY482" s="229">
        <f t="shared" si="1492"/>
        <v>0</v>
      </c>
      <c r="CZ482" s="229">
        <f t="shared" si="1493"/>
        <v>30</v>
      </c>
      <c r="DA482" s="229">
        <f t="shared" si="1494"/>
        <v>160</v>
      </c>
      <c r="DB482" s="228">
        <f t="shared" si="1429"/>
        <v>850.8</v>
      </c>
      <c r="DC482" s="229"/>
      <c r="DD482" s="229"/>
      <c r="DE482" s="229"/>
      <c r="DF482" s="229"/>
      <c r="DG482" s="229"/>
      <c r="DH482" s="229"/>
      <c r="DI482" s="229"/>
      <c r="DJ482" s="229"/>
      <c r="DK482" s="229"/>
      <c r="DL482" s="229"/>
      <c r="DM482" s="229"/>
      <c r="DN482" s="229"/>
      <c r="DO482" s="228">
        <f t="shared" si="1440"/>
        <v>0</v>
      </c>
      <c r="DP482" s="228">
        <f t="shared" si="1441"/>
        <v>850.8</v>
      </c>
      <c r="DQ482" s="229">
        <f t="shared" si="1495"/>
        <v>0</v>
      </c>
      <c r="DR482" s="229">
        <f t="shared" si="1496"/>
        <v>0</v>
      </c>
      <c r="DS482" s="229">
        <f t="shared" si="1497"/>
        <v>0</v>
      </c>
      <c r="DT482" s="229">
        <f t="shared" si="1498"/>
        <v>0</v>
      </c>
      <c r="DU482" s="229">
        <f t="shared" si="1499"/>
        <v>0</v>
      </c>
      <c r="DV482" s="229">
        <f t="shared" si="1500"/>
        <v>0</v>
      </c>
      <c r="DW482" s="229">
        <f t="shared" si="1501"/>
        <v>0</v>
      </c>
      <c r="DX482" s="228">
        <f t="shared" si="1430"/>
        <v>0</v>
      </c>
      <c r="DY482" s="229"/>
      <c r="DZ482" s="229"/>
      <c r="EA482" s="229"/>
      <c r="EB482" s="229"/>
      <c r="EC482" s="229"/>
      <c r="ED482" s="229"/>
      <c r="EE482" s="229"/>
      <c r="EF482" s="228">
        <f t="shared" si="1480"/>
        <v>0</v>
      </c>
      <c r="EG482" s="228">
        <f t="shared" si="1442"/>
        <v>0</v>
      </c>
      <c r="EH482" s="229">
        <f t="shared" si="1481"/>
        <v>92.6</v>
      </c>
      <c r="EI482" s="229">
        <v>77.14</v>
      </c>
      <c r="EJ482" s="228">
        <f>SUM(EH482:EI482)</f>
        <v>169.74</v>
      </c>
      <c r="EK482" s="229"/>
      <c r="EL482" s="229"/>
      <c r="EM482" s="228">
        <f>SUM(EK482:EL482)</f>
        <v>0</v>
      </c>
      <c r="EN482" s="229">
        <f t="shared" si="1423"/>
        <v>92.6</v>
      </c>
      <c r="EO482" s="229">
        <f t="shared" si="1451"/>
        <v>77.14</v>
      </c>
      <c r="EP482" s="228">
        <f>EM482+EJ482</f>
        <v>169.74</v>
      </c>
      <c r="EQ482" s="173">
        <f t="shared" si="1479"/>
        <v>0</v>
      </c>
      <c r="ER482" s="189">
        <v>0</v>
      </c>
      <c r="ES482" s="189">
        <v>98.5</v>
      </c>
      <c r="ET482" s="189">
        <v>25.2</v>
      </c>
      <c r="EU482" s="189">
        <v>0</v>
      </c>
      <c r="EV482" s="189">
        <v>0</v>
      </c>
      <c r="EW482" s="189">
        <v>242.6</v>
      </c>
      <c r="EX482" s="189">
        <v>0</v>
      </c>
      <c r="EY482" s="189">
        <v>294.5</v>
      </c>
      <c r="EZ482" s="189">
        <v>0</v>
      </c>
      <c r="FA482" s="189">
        <v>0</v>
      </c>
      <c r="FB482" s="189">
        <v>30</v>
      </c>
      <c r="FC482" s="189">
        <v>160</v>
      </c>
      <c r="FD482" s="189">
        <v>0</v>
      </c>
      <c r="FE482" s="189">
        <v>0</v>
      </c>
      <c r="FF482" s="189">
        <v>0</v>
      </c>
      <c r="FG482" s="189">
        <v>0</v>
      </c>
      <c r="FH482" s="189">
        <v>0</v>
      </c>
      <c r="FI482" s="189">
        <v>0</v>
      </c>
      <c r="FJ482" s="189">
        <v>0</v>
      </c>
      <c r="FK482" s="189">
        <v>850.8</v>
      </c>
      <c r="FL482" s="189">
        <v>692</v>
      </c>
      <c r="FN482" s="132">
        <v>92.6</v>
      </c>
    </row>
    <row r="483" spans="1:170" ht="30" customHeight="1">
      <c r="A483" s="88">
        <f>COUNTIF($H$12:H483,H483)</f>
        <v>61</v>
      </c>
      <c r="B483" s="88" t="s">
        <v>132</v>
      </c>
      <c r="C483" s="88" t="s">
        <v>835</v>
      </c>
      <c r="D483" s="88"/>
      <c r="E483" s="88"/>
      <c r="F483" s="301" t="s">
        <v>2879</v>
      </c>
      <c r="G483" s="89" t="s">
        <v>913</v>
      </c>
      <c r="H483" s="88">
        <v>9</v>
      </c>
      <c r="I483" s="88">
        <v>9</v>
      </c>
      <c r="J483" s="88">
        <v>9</v>
      </c>
      <c r="K483" s="90" t="s">
        <v>1106</v>
      </c>
      <c r="L483" s="90" t="s">
        <v>1106</v>
      </c>
      <c r="M483" s="214"/>
      <c r="N483" s="88" t="s">
        <v>1804</v>
      </c>
      <c r="O483" s="216">
        <f t="shared" si="1556"/>
        <v>3.33</v>
      </c>
      <c r="P483" s="88" t="str">
        <f t="shared" si="1519"/>
        <v>B1_4</v>
      </c>
      <c r="Q483" s="88">
        <f t="shared" si="1369"/>
        <v>270</v>
      </c>
      <c r="R483" s="88">
        <f t="shared" si="1370"/>
        <v>120</v>
      </c>
      <c r="S483" s="231" t="s">
        <v>3189</v>
      </c>
      <c r="T483" s="88" t="s">
        <v>2961</v>
      </c>
      <c r="U483" s="88">
        <f>IF(RIGHT(T483,1)="K",(VLOOKUP(T483,ma_miengiam!$A$3:$B$80,2,0)*100)/2,VLOOKUP(T483,ma_miengiam!$A$3:$B$80,2,0)*100)</f>
        <v>100</v>
      </c>
      <c r="V483" s="88"/>
      <c r="W483" s="220">
        <f>IF(AND(T483="NTS",V483&gt;0),(Q483-(Q483*V483)/12)*VLOOKUP(T483,ma_miengiam!$A$3:$B$80,2,0)+(Q483-(Q483*(12-V483))/12),IF(AND(RIGHT(T483,1)="K",V483&gt;0),(VLOOKUP(T483,ma_miengiam!$A$3:$B$80,2,0)/2)*(Q483*V483)/12,IF(RIGHT(T483,1)="K",(VLOOKUP(T483,ma_miengiam!$A$3:$B$80,2,0)*Q483)/2,IF(V483&gt;0,VLOOKUP(T483,ma_miengiam!$A$3:$B$80,2,0)*Q483*V483/12,VLOOKUP(T483,ma_miengiam!$A$3:$B$80,2,0)*Q483))))</f>
        <v>270</v>
      </c>
      <c r="X483" s="220">
        <f>IF(T483="NTS",VLOOKUP(T483,ma_miengiam!$A$3:$B$80,2,0)*R483*V483,IF(AND(T483="NTS",V483=0),0,IF(AND(LEFT(T483,1)="K",V483=0),VLOOKUP(T483,ma_miengiam!$A$3:$B$80,2,0)*R483,IF(LEFT(T483,1)="K",(VLOOKUP(T483,ma_miengiam!$A$3:$B$80,2,0)*R483/12)*V483,IF(AND(LEFT(T483,1)="S",V483&gt;0),(R483/12)*V483,IF(AND(LEFT(T483,1)="S",V483=0),R483,IF(T483="DH",VLOOKUP(T483,ma_miengiam!$A$3:$B$80,2,0)*R483,0)))))))</f>
        <v>120</v>
      </c>
      <c r="Y483" s="220">
        <f t="shared" si="1521"/>
        <v>0</v>
      </c>
      <c r="Z483" s="220">
        <f t="shared" si="1457"/>
        <v>0</v>
      </c>
      <c r="AA483" s="220">
        <f t="shared" ref="AA483:AB485" si="1564">Q483</f>
        <v>270</v>
      </c>
      <c r="AB483" s="220">
        <f t="shared" si="1564"/>
        <v>120</v>
      </c>
      <c r="AC483" s="220">
        <f t="shared" ref="AC483:AF485" si="1565">W483</f>
        <v>270</v>
      </c>
      <c r="AD483" s="220">
        <f t="shared" si="1565"/>
        <v>120</v>
      </c>
      <c r="AE483" s="220">
        <f t="shared" si="1565"/>
        <v>0</v>
      </c>
      <c r="AF483" s="220">
        <f t="shared" si="1565"/>
        <v>0</v>
      </c>
      <c r="AG483" s="220">
        <f t="shared" si="1548"/>
        <v>25</v>
      </c>
      <c r="AH483" s="220">
        <f t="shared" si="1549"/>
        <v>25</v>
      </c>
      <c r="AI483" s="220">
        <f t="shared" si="1550"/>
        <v>0</v>
      </c>
      <c r="AJ483" s="220">
        <f t="shared" si="1551"/>
        <v>0</v>
      </c>
      <c r="AK483" s="216">
        <f t="shared" si="1454"/>
        <v>0</v>
      </c>
      <c r="AL483" s="220">
        <f t="shared" si="1431"/>
        <v>0</v>
      </c>
      <c r="AM483" s="220">
        <f t="shared" si="1432"/>
        <v>0</v>
      </c>
      <c r="AN483" s="221">
        <f t="shared" si="1433"/>
        <v>0</v>
      </c>
      <c r="AO483" s="220">
        <f t="shared" si="1434"/>
        <v>0</v>
      </c>
      <c r="AP483" s="220">
        <f t="shared" si="1435"/>
        <v>0</v>
      </c>
      <c r="AQ483" s="220">
        <f t="shared" si="1436"/>
        <v>0</v>
      </c>
      <c r="AR483" s="220">
        <f t="shared" si="1437"/>
        <v>0</v>
      </c>
      <c r="AS483" s="220">
        <f t="shared" si="1438"/>
        <v>0</v>
      </c>
      <c r="AT483" s="216">
        <f t="shared" si="1439"/>
        <v>0</v>
      </c>
      <c r="AU483" s="222">
        <f t="shared" si="1447"/>
        <v>0</v>
      </c>
      <c r="AV483" s="220"/>
      <c r="AW483" s="220">
        <f t="shared" si="1530"/>
        <v>0</v>
      </c>
      <c r="AX483" s="216">
        <f t="shared" si="1448"/>
        <v>0</v>
      </c>
      <c r="AY483" s="220">
        <f t="shared" si="1537"/>
        <v>0</v>
      </c>
      <c r="AZ483" s="220">
        <f t="shared" si="1538"/>
        <v>0</v>
      </c>
      <c r="BA483" s="220">
        <f t="shared" si="1539"/>
        <v>0</v>
      </c>
      <c r="BB483" s="220">
        <f t="shared" si="1540"/>
        <v>0</v>
      </c>
      <c r="BC483" s="220">
        <f t="shared" si="1541"/>
        <v>0</v>
      </c>
      <c r="BD483" s="216">
        <f t="shared" si="1410"/>
        <v>0</v>
      </c>
      <c r="BE483" s="220">
        <f t="shared" si="1531"/>
        <v>0</v>
      </c>
      <c r="BF483" s="220">
        <f t="shared" si="1532"/>
        <v>0</v>
      </c>
      <c r="BG483" s="220">
        <f t="shared" si="1533"/>
        <v>0</v>
      </c>
      <c r="BH483" s="220">
        <f t="shared" si="1534"/>
        <v>0</v>
      </c>
      <c r="BI483" s="220">
        <f t="shared" si="1535"/>
        <v>0</v>
      </c>
      <c r="BJ483" s="220" t="s">
        <v>1796</v>
      </c>
      <c r="BK483" s="220"/>
      <c r="BL483" s="223">
        <f t="shared" si="1422"/>
        <v>0</v>
      </c>
      <c r="BM483" s="220">
        <v>3.33</v>
      </c>
      <c r="BN483" s="220"/>
      <c r="BO483" s="220">
        <f t="shared" si="1558"/>
        <v>3.33</v>
      </c>
      <c r="BP483" s="220">
        <f>IF(AND(BL483&gt;0,BL483&lt;tiet!$D$1),BL483,IF(BL483&lt;=0,0,IF(BL483&gt;tiet!$C$1,tiet!$C$1)))</f>
        <v>0</v>
      </c>
      <c r="BQ483" s="87">
        <f t="shared" si="1552"/>
        <v>65000</v>
      </c>
      <c r="BR483" s="224">
        <f t="shared" si="1544"/>
        <v>0</v>
      </c>
      <c r="BS483" s="220">
        <f t="shared" si="1478"/>
        <v>0</v>
      </c>
      <c r="BT483" s="224">
        <f>VLOOKUP(N483,ma_dinhmuc!$A$1:$J$31,10,0)</f>
        <v>51000</v>
      </c>
      <c r="BU483" s="224">
        <f>ROUND(IF(BS483&gt;0,VLOOKUP(N483,ma_dinhmuc!$A$1:$J$31,10,0)*BS483,0),0)</f>
        <v>0</v>
      </c>
      <c r="BV483" s="224">
        <f t="shared" si="1545"/>
        <v>0</v>
      </c>
      <c r="BW483" s="224"/>
      <c r="BX483" s="224">
        <v>0</v>
      </c>
      <c r="BY483" s="224"/>
      <c r="BZ483" s="224"/>
      <c r="CA483" s="224"/>
      <c r="CB483" s="224"/>
      <c r="CC483" s="225">
        <f t="shared" si="1419"/>
        <v>0</v>
      </c>
      <c r="CD483" s="224">
        <f t="shared" si="1420"/>
        <v>0</v>
      </c>
      <c r="CE483" s="224"/>
      <c r="CF483" s="226"/>
      <c r="CG483" s="87"/>
      <c r="CH483" s="87">
        <f t="shared" si="1559"/>
        <v>61</v>
      </c>
      <c r="CI483" s="227" t="str">
        <f t="shared" si="1553"/>
        <v>Mai Thị</v>
      </c>
      <c r="CJ483" s="227" t="str">
        <f t="shared" si="1554"/>
        <v>Ngân</v>
      </c>
      <c r="CK483" s="87">
        <f t="shared" si="1555"/>
        <v>9</v>
      </c>
      <c r="CL483" s="227" t="str">
        <f t="shared" si="1561"/>
        <v>VSV - Truyền nhiễm</v>
      </c>
      <c r="CM483" s="87" t="str">
        <f t="shared" si="1536"/>
        <v>CS2</v>
      </c>
      <c r="CN483" s="87">
        <f t="shared" ref="CN483:CO485" si="1566">Q483</f>
        <v>270</v>
      </c>
      <c r="CO483" s="87">
        <f t="shared" si="1566"/>
        <v>120</v>
      </c>
      <c r="CP483" s="229">
        <f t="shared" si="1483"/>
        <v>0</v>
      </c>
      <c r="CQ483" s="229">
        <f t="shared" si="1484"/>
        <v>0</v>
      </c>
      <c r="CR483" s="229">
        <f t="shared" si="1485"/>
        <v>0</v>
      </c>
      <c r="CS483" s="229">
        <f t="shared" si="1486"/>
        <v>0</v>
      </c>
      <c r="CT483" s="229">
        <f t="shared" si="1487"/>
        <v>0</v>
      </c>
      <c r="CU483" s="229">
        <f t="shared" si="1488"/>
        <v>0</v>
      </c>
      <c r="CV483" s="229">
        <f t="shared" si="1489"/>
        <v>0</v>
      </c>
      <c r="CW483" s="229">
        <f t="shared" si="1490"/>
        <v>0</v>
      </c>
      <c r="CX483" s="229">
        <f t="shared" si="1491"/>
        <v>0</v>
      </c>
      <c r="CY483" s="229">
        <f t="shared" si="1492"/>
        <v>0</v>
      </c>
      <c r="CZ483" s="229">
        <f t="shared" si="1493"/>
        <v>0</v>
      </c>
      <c r="DA483" s="229">
        <f t="shared" si="1494"/>
        <v>0</v>
      </c>
      <c r="DB483" s="228">
        <f t="shared" si="1429"/>
        <v>0</v>
      </c>
      <c r="DC483" s="229"/>
      <c r="DD483" s="229"/>
      <c r="DE483" s="229"/>
      <c r="DF483" s="229"/>
      <c r="DG483" s="229"/>
      <c r="DH483" s="229"/>
      <c r="DI483" s="229"/>
      <c r="DJ483" s="229"/>
      <c r="DK483" s="229"/>
      <c r="DL483" s="229"/>
      <c r="DM483" s="229"/>
      <c r="DN483" s="229"/>
      <c r="DO483" s="228">
        <f t="shared" si="1440"/>
        <v>0</v>
      </c>
      <c r="DP483" s="228">
        <f t="shared" si="1441"/>
        <v>0</v>
      </c>
      <c r="DQ483" s="229">
        <f t="shared" si="1495"/>
        <v>0</v>
      </c>
      <c r="DR483" s="229">
        <f t="shared" si="1496"/>
        <v>0</v>
      </c>
      <c r="DS483" s="229">
        <f t="shared" si="1497"/>
        <v>0</v>
      </c>
      <c r="DT483" s="229">
        <f t="shared" si="1498"/>
        <v>0</v>
      </c>
      <c r="DU483" s="229">
        <f t="shared" si="1499"/>
        <v>0</v>
      </c>
      <c r="DV483" s="229">
        <f t="shared" si="1500"/>
        <v>0</v>
      </c>
      <c r="DW483" s="229">
        <f t="shared" si="1501"/>
        <v>0</v>
      </c>
      <c r="DX483" s="228">
        <f t="shared" si="1430"/>
        <v>0</v>
      </c>
      <c r="DY483" s="229"/>
      <c r="DZ483" s="229"/>
      <c r="EA483" s="229"/>
      <c r="EB483" s="229"/>
      <c r="EC483" s="229"/>
      <c r="ED483" s="229"/>
      <c r="EE483" s="229"/>
      <c r="EF483" s="228">
        <f t="shared" si="1480"/>
        <v>0</v>
      </c>
      <c r="EG483" s="228">
        <f t="shared" si="1442"/>
        <v>0</v>
      </c>
      <c r="EH483" s="229">
        <f t="shared" si="1481"/>
        <v>0</v>
      </c>
      <c r="EI483" s="229">
        <v>25</v>
      </c>
      <c r="EJ483" s="228">
        <f t="shared" si="1443"/>
        <v>25</v>
      </c>
      <c r="EK483" s="229"/>
      <c r="EL483" s="229"/>
      <c r="EM483" s="228">
        <f t="shared" si="1562"/>
        <v>0</v>
      </c>
      <c r="EN483" s="229">
        <f t="shared" si="1423"/>
        <v>0</v>
      </c>
      <c r="EO483" s="229">
        <f t="shared" si="1451"/>
        <v>25</v>
      </c>
      <c r="EP483" s="228">
        <f t="shared" si="1563"/>
        <v>25</v>
      </c>
      <c r="EQ483" s="173">
        <f t="shared" si="1479"/>
        <v>0</v>
      </c>
      <c r="ER483" s="189">
        <v>0</v>
      </c>
      <c r="ES483" s="189">
        <v>0</v>
      </c>
      <c r="ET483" s="189">
        <v>0</v>
      </c>
      <c r="EU483" s="189">
        <v>0</v>
      </c>
      <c r="EV483" s="189">
        <v>0</v>
      </c>
      <c r="EW483" s="189">
        <v>0</v>
      </c>
      <c r="EX483" s="189">
        <v>0</v>
      </c>
      <c r="EY483" s="189">
        <v>0</v>
      </c>
      <c r="EZ483" s="189">
        <v>0</v>
      </c>
      <c r="FA483" s="189">
        <v>0</v>
      </c>
      <c r="FB483" s="189">
        <v>0</v>
      </c>
      <c r="FC483" s="189">
        <v>0</v>
      </c>
      <c r="FD483" s="189">
        <v>0</v>
      </c>
      <c r="FE483" s="189">
        <v>0</v>
      </c>
      <c r="FF483" s="189">
        <v>0</v>
      </c>
      <c r="FG483" s="189">
        <v>0</v>
      </c>
      <c r="FH483" s="189">
        <v>0</v>
      </c>
      <c r="FI483" s="189">
        <v>0</v>
      </c>
      <c r="FJ483" s="189">
        <v>0</v>
      </c>
      <c r="FK483" s="189">
        <v>0</v>
      </c>
      <c r="FL483" s="189">
        <v>0</v>
      </c>
      <c r="FN483" s="132">
        <v>0</v>
      </c>
    </row>
    <row r="484" spans="1:170" ht="30" customHeight="1">
      <c r="A484" s="88">
        <f>COUNTIF($H$12:H484,H484)</f>
        <v>62</v>
      </c>
      <c r="B484" s="88" t="s">
        <v>133</v>
      </c>
      <c r="C484" s="88" t="s">
        <v>836</v>
      </c>
      <c r="D484" s="88"/>
      <c r="E484" s="88"/>
      <c r="F484" s="301" t="s">
        <v>2992</v>
      </c>
      <c r="G484" s="89" t="s">
        <v>963</v>
      </c>
      <c r="H484" s="88">
        <v>9</v>
      </c>
      <c r="I484" s="88">
        <v>9</v>
      </c>
      <c r="J484" s="88">
        <v>9</v>
      </c>
      <c r="K484" s="90" t="s">
        <v>1106</v>
      </c>
      <c r="L484" s="90" t="s">
        <v>1106</v>
      </c>
      <c r="M484" s="214"/>
      <c r="N484" s="88" t="s">
        <v>1804</v>
      </c>
      <c r="O484" s="216">
        <f t="shared" si="1556"/>
        <v>3</v>
      </c>
      <c r="P484" s="88" t="str">
        <f t="shared" si="1519"/>
        <v>B1_3</v>
      </c>
      <c r="Q484" s="88">
        <f t="shared" si="1369"/>
        <v>270</v>
      </c>
      <c r="R484" s="88">
        <f t="shared" si="1370"/>
        <v>100</v>
      </c>
      <c r="S484" s="231"/>
      <c r="T484" s="88" t="s">
        <v>3088</v>
      </c>
      <c r="U484" s="88">
        <f>IF(RIGHT(T484,1)="K",(VLOOKUP(T484,ma_miengiam!$A$3:$B$80,2,0)*100)/2,VLOOKUP(T484,ma_miengiam!$A$3:$B$80,2,0)*100)</f>
        <v>0</v>
      </c>
      <c r="V484" s="88"/>
      <c r="W484" s="220">
        <f>IF(AND(T484="NTS",V484&gt;0),(Q484-(Q484*V484)/12)*VLOOKUP(T484,ma_miengiam!$A$3:$B$80,2,0)+(Q484-(Q484*(12-V484))/12),IF(AND(RIGHT(T484,1)="K",V484&gt;0),(VLOOKUP(T484,ma_miengiam!$A$3:$B$80,2,0)/2)*(Q484*V484)/12,IF(RIGHT(T484,1)="K",(VLOOKUP(T484,ma_miengiam!$A$3:$B$80,2,0)*Q484)/2,IF(V484&gt;0,VLOOKUP(T484,ma_miengiam!$A$3:$B$80,2,0)*Q484*V484/12,VLOOKUP(T484,ma_miengiam!$A$3:$B$80,2,0)*Q484))))</f>
        <v>0</v>
      </c>
      <c r="X484" s="220">
        <f>IF(T484="NTS",VLOOKUP(T484,ma_miengiam!$A$3:$B$80,2,0)*R484*V484,IF(AND(T484="NTS",V484=0),0,IF(AND(LEFT(T484,1)="K",V484=0),VLOOKUP(T484,ma_miengiam!$A$3:$B$80,2,0)*R484,IF(LEFT(T484,1)="K",(VLOOKUP(T484,ma_miengiam!$A$3:$B$80,2,0)*R484/12)*V484,IF(AND(LEFT(T484,1)="S",V484&gt;0),(R484/12)*V484,IF(AND(LEFT(T484,1)="S",V484=0),R484,IF(T484="DH",VLOOKUP(T484,ma_miengiam!$A$3:$B$80,2,0)*R484,0)))))))</f>
        <v>0</v>
      </c>
      <c r="Y484" s="220">
        <f t="shared" si="1521"/>
        <v>270</v>
      </c>
      <c r="Z484" s="220">
        <f t="shared" si="1457"/>
        <v>100</v>
      </c>
      <c r="AA484" s="220">
        <f t="shared" si="1564"/>
        <v>270</v>
      </c>
      <c r="AB484" s="220">
        <f t="shared" si="1564"/>
        <v>100</v>
      </c>
      <c r="AC484" s="220">
        <f t="shared" si="1565"/>
        <v>0</v>
      </c>
      <c r="AD484" s="220">
        <f t="shared" si="1565"/>
        <v>0</v>
      </c>
      <c r="AE484" s="220">
        <f t="shared" si="1565"/>
        <v>270</v>
      </c>
      <c r="AF484" s="220">
        <f t="shared" si="1565"/>
        <v>100</v>
      </c>
      <c r="AG484" s="220">
        <f t="shared" si="1548"/>
        <v>102.14</v>
      </c>
      <c r="AH484" s="220">
        <f t="shared" si="1549"/>
        <v>52.14</v>
      </c>
      <c r="AI484" s="220">
        <f t="shared" si="1550"/>
        <v>50</v>
      </c>
      <c r="AJ484" s="220">
        <f t="shared" si="1551"/>
        <v>0</v>
      </c>
      <c r="AK484" s="216">
        <f t="shared" si="1454"/>
        <v>270</v>
      </c>
      <c r="AL484" s="220">
        <f t="shared" si="1431"/>
        <v>400.1</v>
      </c>
      <c r="AM484" s="220">
        <f t="shared" si="1432"/>
        <v>9.6</v>
      </c>
      <c r="AN484" s="221">
        <f t="shared" si="1433"/>
        <v>409.70000000000005</v>
      </c>
      <c r="AO484" s="220">
        <f t="shared" si="1434"/>
        <v>0</v>
      </c>
      <c r="AP484" s="220">
        <f t="shared" si="1435"/>
        <v>0</v>
      </c>
      <c r="AQ484" s="220">
        <f t="shared" si="1436"/>
        <v>220</v>
      </c>
      <c r="AR484" s="220">
        <f t="shared" si="1437"/>
        <v>40</v>
      </c>
      <c r="AS484" s="220">
        <f t="shared" si="1438"/>
        <v>0</v>
      </c>
      <c r="AT484" s="216">
        <f t="shared" si="1439"/>
        <v>669.7</v>
      </c>
      <c r="AU484" s="222">
        <f t="shared" si="1447"/>
        <v>139.70000000000005</v>
      </c>
      <c r="AV484" s="220"/>
      <c r="AW484" s="220">
        <f t="shared" si="1530"/>
        <v>139.70000000000005</v>
      </c>
      <c r="AX484" s="216">
        <f t="shared" si="1448"/>
        <v>0</v>
      </c>
      <c r="AY484" s="220">
        <f t="shared" si="1537"/>
        <v>0</v>
      </c>
      <c r="AZ484" s="220">
        <f t="shared" si="1538"/>
        <v>0</v>
      </c>
      <c r="BA484" s="220">
        <f t="shared" si="1539"/>
        <v>220</v>
      </c>
      <c r="BB484" s="220">
        <f t="shared" si="1540"/>
        <v>40</v>
      </c>
      <c r="BC484" s="220">
        <f t="shared" si="1541"/>
        <v>0</v>
      </c>
      <c r="BD484" s="216">
        <f t="shared" si="1410"/>
        <v>260</v>
      </c>
      <c r="BE484" s="220">
        <f t="shared" si="1531"/>
        <v>0</v>
      </c>
      <c r="BF484" s="220">
        <f t="shared" si="1532"/>
        <v>0</v>
      </c>
      <c r="BG484" s="220">
        <f t="shared" si="1533"/>
        <v>0</v>
      </c>
      <c r="BH484" s="220">
        <f t="shared" si="1534"/>
        <v>0</v>
      </c>
      <c r="BI484" s="220">
        <f t="shared" si="1535"/>
        <v>0</v>
      </c>
      <c r="BJ484" s="220" t="s">
        <v>1796</v>
      </c>
      <c r="BK484" s="220"/>
      <c r="BL484" s="223">
        <f t="shared" si="1422"/>
        <v>139.70000000000005</v>
      </c>
      <c r="BM484" s="220">
        <v>3</v>
      </c>
      <c r="BN484" s="220"/>
      <c r="BO484" s="220">
        <f t="shared" si="1558"/>
        <v>3</v>
      </c>
      <c r="BP484" s="220">
        <f>IF(AND(BL484&gt;0,BL484&lt;tiet!$D$1),BL484,IF(BL484&lt;=0,0,IF(BL484&gt;tiet!$C$1,tiet!$C$1)))</f>
        <v>139.70000000000005</v>
      </c>
      <c r="BQ484" s="87">
        <f t="shared" si="1552"/>
        <v>60000</v>
      </c>
      <c r="BR484" s="224">
        <f t="shared" si="1544"/>
        <v>8382000</v>
      </c>
      <c r="BS484" s="220">
        <f t="shared" si="1478"/>
        <v>0</v>
      </c>
      <c r="BT484" s="224">
        <f>VLOOKUP(N484,ma_dinhmuc!$A$1:$J$31,10,0)</f>
        <v>51000</v>
      </c>
      <c r="BU484" s="224">
        <f>ROUND(IF(BS484&gt;0,VLOOKUP(N484,ma_dinhmuc!$A$1:$J$31,10,0)*BS484,0),0)</f>
        <v>0</v>
      </c>
      <c r="BV484" s="224">
        <f t="shared" si="1545"/>
        <v>8382000</v>
      </c>
      <c r="BW484" s="224"/>
      <c r="BX484" s="224">
        <v>0</v>
      </c>
      <c r="BY484" s="224"/>
      <c r="BZ484" s="224"/>
      <c r="CA484" s="224"/>
      <c r="CB484" s="224"/>
      <c r="CC484" s="225">
        <f t="shared" si="1419"/>
        <v>8382000</v>
      </c>
      <c r="CD484" s="224">
        <f t="shared" si="1420"/>
        <v>0</v>
      </c>
      <c r="CE484" s="224"/>
      <c r="CF484" s="226"/>
      <c r="CG484" s="87"/>
      <c r="CH484" s="87">
        <f t="shared" si="1559"/>
        <v>62</v>
      </c>
      <c r="CI484" s="227" t="str">
        <f t="shared" si="1553"/>
        <v>Chu Thị Thanh</v>
      </c>
      <c r="CJ484" s="227" t="str">
        <f t="shared" si="1554"/>
        <v>Hương</v>
      </c>
      <c r="CK484" s="87">
        <f t="shared" si="1555"/>
        <v>9</v>
      </c>
      <c r="CL484" s="227" t="str">
        <f t="shared" si="1561"/>
        <v>VSV - Truyền nhiễm</v>
      </c>
      <c r="CM484" s="87" t="str">
        <f t="shared" si="1536"/>
        <v>CS2</v>
      </c>
      <c r="CN484" s="87">
        <f t="shared" si="1566"/>
        <v>270</v>
      </c>
      <c r="CO484" s="87">
        <f t="shared" si="1566"/>
        <v>100</v>
      </c>
      <c r="CP484" s="229">
        <f t="shared" si="1483"/>
        <v>0</v>
      </c>
      <c r="CQ484" s="229">
        <f t="shared" si="1484"/>
        <v>35.4</v>
      </c>
      <c r="CR484" s="229">
        <f t="shared" si="1485"/>
        <v>14.2</v>
      </c>
      <c r="CS484" s="229">
        <f t="shared" si="1486"/>
        <v>0</v>
      </c>
      <c r="CT484" s="229">
        <f t="shared" si="1487"/>
        <v>0</v>
      </c>
      <c r="CU484" s="229">
        <f t="shared" si="1488"/>
        <v>149.5</v>
      </c>
      <c r="CV484" s="229">
        <f t="shared" si="1489"/>
        <v>0</v>
      </c>
      <c r="CW484" s="229">
        <f t="shared" si="1490"/>
        <v>201</v>
      </c>
      <c r="CX484" s="229">
        <f t="shared" si="1491"/>
        <v>0</v>
      </c>
      <c r="CY484" s="229">
        <f t="shared" si="1492"/>
        <v>0</v>
      </c>
      <c r="CZ484" s="229">
        <f t="shared" si="1493"/>
        <v>0</v>
      </c>
      <c r="DA484" s="229">
        <f t="shared" si="1494"/>
        <v>220</v>
      </c>
      <c r="DB484" s="228">
        <f t="shared" si="1429"/>
        <v>620.1</v>
      </c>
      <c r="DC484" s="229"/>
      <c r="DD484" s="229"/>
      <c r="DE484" s="229"/>
      <c r="DF484" s="229"/>
      <c r="DG484" s="229"/>
      <c r="DH484" s="229"/>
      <c r="DI484" s="229"/>
      <c r="DJ484" s="229"/>
      <c r="DK484" s="229"/>
      <c r="DL484" s="229"/>
      <c r="DM484" s="229"/>
      <c r="DN484" s="229"/>
      <c r="DO484" s="228">
        <f t="shared" si="1440"/>
        <v>0</v>
      </c>
      <c r="DP484" s="228">
        <f t="shared" si="1441"/>
        <v>620.1</v>
      </c>
      <c r="DQ484" s="229">
        <f t="shared" si="1495"/>
        <v>9</v>
      </c>
      <c r="DR484" s="229">
        <f t="shared" si="1496"/>
        <v>0.4</v>
      </c>
      <c r="DS484" s="229">
        <f t="shared" si="1497"/>
        <v>0</v>
      </c>
      <c r="DT484" s="229">
        <f t="shared" si="1498"/>
        <v>0.2</v>
      </c>
      <c r="DU484" s="229">
        <f t="shared" si="1499"/>
        <v>0</v>
      </c>
      <c r="DV484" s="229">
        <f t="shared" si="1500"/>
        <v>40</v>
      </c>
      <c r="DW484" s="229">
        <f t="shared" si="1501"/>
        <v>0</v>
      </c>
      <c r="DX484" s="228">
        <f t="shared" si="1430"/>
        <v>49.6</v>
      </c>
      <c r="DY484" s="229"/>
      <c r="DZ484" s="229"/>
      <c r="EA484" s="229"/>
      <c r="EB484" s="229"/>
      <c r="EC484" s="229"/>
      <c r="ED484" s="229"/>
      <c r="EE484" s="229"/>
      <c r="EF484" s="228">
        <f t="shared" si="1480"/>
        <v>0</v>
      </c>
      <c r="EG484" s="228">
        <f t="shared" si="1442"/>
        <v>49.6</v>
      </c>
      <c r="EH484" s="229">
        <f t="shared" si="1481"/>
        <v>50</v>
      </c>
      <c r="EI484" s="229">
        <v>52.14</v>
      </c>
      <c r="EJ484" s="228">
        <f t="shared" si="1443"/>
        <v>102.14</v>
      </c>
      <c r="EK484" s="229"/>
      <c r="EL484" s="229"/>
      <c r="EM484" s="228">
        <f t="shared" si="1562"/>
        <v>0</v>
      </c>
      <c r="EN484" s="229">
        <f t="shared" si="1423"/>
        <v>50</v>
      </c>
      <c r="EO484" s="229">
        <f t="shared" si="1451"/>
        <v>52.14</v>
      </c>
      <c r="EP484" s="228">
        <f t="shared" si="1563"/>
        <v>102.14</v>
      </c>
      <c r="EQ484" s="173">
        <f t="shared" si="1479"/>
        <v>0</v>
      </c>
      <c r="ER484" s="189">
        <v>0</v>
      </c>
      <c r="ES484" s="189">
        <v>35.4</v>
      </c>
      <c r="ET484" s="189">
        <v>14.2</v>
      </c>
      <c r="EU484" s="189">
        <v>0</v>
      </c>
      <c r="EV484" s="189">
        <v>0</v>
      </c>
      <c r="EW484" s="189">
        <v>149.5</v>
      </c>
      <c r="EX484" s="189">
        <v>0</v>
      </c>
      <c r="EY484" s="189">
        <v>201</v>
      </c>
      <c r="EZ484" s="189">
        <v>0</v>
      </c>
      <c r="FA484" s="189">
        <v>0</v>
      </c>
      <c r="FB484" s="189">
        <v>0</v>
      </c>
      <c r="FC484" s="189">
        <v>220</v>
      </c>
      <c r="FD484" s="189">
        <v>9</v>
      </c>
      <c r="FE484" s="189">
        <v>0.4</v>
      </c>
      <c r="FF484" s="189">
        <v>0</v>
      </c>
      <c r="FG484" s="189">
        <v>0.2</v>
      </c>
      <c r="FH484" s="189">
        <v>40</v>
      </c>
      <c r="FI484" s="189">
        <v>0</v>
      </c>
      <c r="FJ484" s="189">
        <v>0</v>
      </c>
      <c r="FK484" s="189">
        <v>669.7</v>
      </c>
      <c r="FL484" s="189">
        <v>552</v>
      </c>
      <c r="FN484" s="132">
        <v>50</v>
      </c>
    </row>
    <row r="485" spans="1:170" ht="30">
      <c r="A485" s="88">
        <f>COUNTIF($H$12:H485,H485)</f>
        <v>63</v>
      </c>
      <c r="B485" s="88" t="s">
        <v>134</v>
      </c>
      <c r="C485" s="88" t="s">
        <v>837</v>
      </c>
      <c r="D485" s="88"/>
      <c r="E485" s="88"/>
      <c r="F485" s="301" t="s">
        <v>3026</v>
      </c>
      <c r="G485" s="89" t="s">
        <v>1907</v>
      </c>
      <c r="H485" s="88">
        <v>9</v>
      </c>
      <c r="I485" s="88">
        <v>9</v>
      </c>
      <c r="J485" s="88">
        <v>9</v>
      </c>
      <c r="K485" s="90" t="s">
        <v>1106</v>
      </c>
      <c r="L485" s="90" t="s">
        <v>1106</v>
      </c>
      <c r="M485" s="214"/>
      <c r="N485" s="88" t="s">
        <v>1804</v>
      </c>
      <c r="O485" s="216">
        <f t="shared" si="1556"/>
        <v>3.99</v>
      </c>
      <c r="P485" s="88" t="str">
        <f t="shared" si="1519"/>
        <v>B1_4</v>
      </c>
      <c r="Q485" s="88">
        <f t="shared" ref="Q485:Q534" si="1567">IF(M485&gt;0,VLOOKUP(P485,ma_dinhmuc_moi,2,0)/2,VLOOKUP(P485,ma_dinhmuc_moi,2,0))</f>
        <v>270</v>
      </c>
      <c r="R485" s="88">
        <f t="shared" ref="R485:R534" si="1568">IF(M485&gt;0,VLOOKUP(P485,ma_dinhmuc_moi,3,0)/2,VLOOKUP(P485,ma_dinhmuc_moi,3,0))</f>
        <v>120</v>
      </c>
      <c r="S485" s="231" t="s">
        <v>3005</v>
      </c>
      <c r="T485" s="88" t="s">
        <v>3091</v>
      </c>
      <c r="U485" s="88">
        <f>IF(RIGHT(T485,1)="K",(VLOOKUP(T485,ma_miengiam!$A$3:$B$80,2,0)*100)/2,VLOOKUP(T485,ma_miengiam!$A$3:$B$80,2,0)*100)</f>
        <v>20</v>
      </c>
      <c r="V485" s="88"/>
      <c r="W485" s="220">
        <f>IF(AND(T485="NTS",V485&gt;0),(Q485-(Q485*V485)/12)*VLOOKUP(T485,ma_miengiam!$A$3:$B$80,2,0)+(Q485-(Q485*(12-V485))/12),IF(AND(RIGHT(T485,1)="K",V485&gt;0),(VLOOKUP(T485,ma_miengiam!$A$3:$B$80,2,0)/2)*(Q485*V485)/12,IF(RIGHT(T485,1)="K",(VLOOKUP(T485,ma_miengiam!$A$3:$B$80,2,0)*Q485)/2,IF(V485&gt;0,VLOOKUP(T485,ma_miengiam!$A$3:$B$80,2,0)*Q485*V485/12,VLOOKUP(T485,ma_miengiam!$A$3:$B$80,2,0)*Q485))))</f>
        <v>54</v>
      </c>
      <c r="X485" s="220">
        <f>IF(T485="NTS",VLOOKUP(T485,ma_miengiam!$A$3:$B$80,2,0)*R485*V485,IF(AND(T485="NTS",V485=0),0,IF(AND(LEFT(T485,1)="K",V485=0),VLOOKUP(T485,ma_miengiam!$A$3:$B$80,2,0)*R485,IF(LEFT(T485,1)="K",(VLOOKUP(T485,ma_miengiam!$A$3:$B$80,2,0)*R485/12)*V485,IF(AND(LEFT(T485,1)="S",V485&gt;0),(R485/12)*V485,IF(AND(LEFT(T485,1)="S",V485=0),R485,IF(T485="DH",VLOOKUP(T485,ma_miengiam!$A$3:$B$80,2,0)*R485,0)))))))</f>
        <v>0</v>
      </c>
      <c r="Y485" s="220">
        <f t="shared" si="1521"/>
        <v>216</v>
      </c>
      <c r="Z485" s="220">
        <f t="shared" si="1457"/>
        <v>120</v>
      </c>
      <c r="AA485" s="220">
        <f t="shared" si="1564"/>
        <v>270</v>
      </c>
      <c r="AB485" s="220">
        <f t="shared" si="1564"/>
        <v>120</v>
      </c>
      <c r="AC485" s="220">
        <f t="shared" si="1565"/>
        <v>54</v>
      </c>
      <c r="AD485" s="220">
        <f t="shared" si="1565"/>
        <v>0</v>
      </c>
      <c r="AE485" s="220">
        <f t="shared" si="1565"/>
        <v>216</v>
      </c>
      <c r="AF485" s="220">
        <f t="shared" si="1565"/>
        <v>120</v>
      </c>
      <c r="AG485" s="220">
        <f t="shared" si="1548"/>
        <v>201.29</v>
      </c>
      <c r="AH485" s="220">
        <f t="shared" si="1549"/>
        <v>2</v>
      </c>
      <c r="AI485" s="220">
        <f t="shared" si="1550"/>
        <v>199.29</v>
      </c>
      <c r="AJ485" s="220">
        <f t="shared" si="1551"/>
        <v>0</v>
      </c>
      <c r="AK485" s="216">
        <f t="shared" si="1454"/>
        <v>216</v>
      </c>
      <c r="AL485" s="220">
        <f t="shared" si="1431"/>
        <v>335.9</v>
      </c>
      <c r="AM485" s="220">
        <f t="shared" si="1432"/>
        <v>19.299999999999997</v>
      </c>
      <c r="AN485" s="221">
        <f t="shared" si="1433"/>
        <v>355.2</v>
      </c>
      <c r="AO485" s="220">
        <f t="shared" si="1434"/>
        <v>0</v>
      </c>
      <c r="AP485" s="220">
        <f t="shared" si="1435"/>
        <v>0</v>
      </c>
      <c r="AQ485" s="220">
        <f t="shared" si="1436"/>
        <v>160</v>
      </c>
      <c r="AR485" s="220">
        <f t="shared" si="1437"/>
        <v>28</v>
      </c>
      <c r="AS485" s="220">
        <f t="shared" si="1438"/>
        <v>0</v>
      </c>
      <c r="AT485" s="216">
        <f t="shared" si="1439"/>
        <v>543.20000000000005</v>
      </c>
      <c r="AU485" s="222">
        <f t="shared" si="1447"/>
        <v>139.19999999999999</v>
      </c>
      <c r="AV485" s="220"/>
      <c r="AW485" s="220">
        <f t="shared" si="1530"/>
        <v>139.19999999999999</v>
      </c>
      <c r="AX485" s="216">
        <f t="shared" si="1448"/>
        <v>0</v>
      </c>
      <c r="AY485" s="220">
        <f t="shared" si="1537"/>
        <v>0</v>
      </c>
      <c r="AZ485" s="220">
        <f t="shared" si="1538"/>
        <v>0</v>
      </c>
      <c r="BA485" s="220">
        <f t="shared" si="1539"/>
        <v>160</v>
      </c>
      <c r="BB485" s="220">
        <f t="shared" si="1540"/>
        <v>28</v>
      </c>
      <c r="BC485" s="220">
        <f t="shared" si="1541"/>
        <v>0</v>
      </c>
      <c r="BD485" s="216">
        <f t="shared" si="1410"/>
        <v>188</v>
      </c>
      <c r="BE485" s="220">
        <f t="shared" si="1531"/>
        <v>0</v>
      </c>
      <c r="BF485" s="220">
        <f t="shared" si="1532"/>
        <v>0</v>
      </c>
      <c r="BG485" s="220">
        <f t="shared" si="1533"/>
        <v>0</v>
      </c>
      <c r="BH485" s="220">
        <f t="shared" si="1534"/>
        <v>0</v>
      </c>
      <c r="BI485" s="220">
        <f t="shared" si="1535"/>
        <v>0</v>
      </c>
      <c r="BJ485" s="220" t="s">
        <v>1797</v>
      </c>
      <c r="BK485" s="220"/>
      <c r="BL485" s="223">
        <f t="shared" si="1422"/>
        <v>139.19999999999999</v>
      </c>
      <c r="BM485" s="220">
        <v>3.99</v>
      </c>
      <c r="BN485" s="220"/>
      <c r="BO485" s="220">
        <f t="shared" si="1558"/>
        <v>3.99</v>
      </c>
      <c r="BP485" s="220">
        <f>IF(AND(BL485&gt;0,BL485&lt;tiet!$D$1),BL485,IF(BL485&lt;=0,0,IF(BL485&gt;tiet!$C$1,tiet!$C$1)))</f>
        <v>139.19999999999999</v>
      </c>
      <c r="BQ485" s="87">
        <f t="shared" si="1552"/>
        <v>65000</v>
      </c>
      <c r="BR485" s="224">
        <f t="shared" si="1544"/>
        <v>9048000</v>
      </c>
      <c r="BS485" s="220">
        <f t="shared" si="1478"/>
        <v>0</v>
      </c>
      <c r="BT485" s="224">
        <f>VLOOKUP(N485,ma_dinhmuc!$A$1:$J$31,10,0)</f>
        <v>51000</v>
      </c>
      <c r="BU485" s="224">
        <f>ROUND(IF(BS485&gt;0,VLOOKUP(N485,ma_dinhmuc!$A$1:$J$31,10,0)*BS485,0),0)</f>
        <v>0</v>
      </c>
      <c r="BV485" s="224">
        <f t="shared" si="1545"/>
        <v>9048000</v>
      </c>
      <c r="BW485" s="224"/>
      <c r="BX485" s="224">
        <v>0</v>
      </c>
      <c r="BY485" s="224"/>
      <c r="BZ485" s="224"/>
      <c r="CA485" s="224"/>
      <c r="CB485" s="224"/>
      <c r="CC485" s="225">
        <f t="shared" si="1419"/>
        <v>9048000</v>
      </c>
      <c r="CD485" s="224">
        <f t="shared" si="1420"/>
        <v>0</v>
      </c>
      <c r="CE485" s="224"/>
      <c r="CF485" s="226"/>
      <c r="CG485" s="87"/>
      <c r="CH485" s="87">
        <f t="shared" si="1559"/>
        <v>63</v>
      </c>
      <c r="CI485" s="227" t="str">
        <f t="shared" si="1553"/>
        <v>Trương Hà</v>
      </c>
      <c r="CJ485" s="227" t="str">
        <f t="shared" si="1554"/>
        <v>Thái</v>
      </c>
      <c r="CK485" s="87">
        <f t="shared" si="1555"/>
        <v>9</v>
      </c>
      <c r="CL485" s="227" t="str">
        <f t="shared" si="1561"/>
        <v>VSV - Truyền nhiễm</v>
      </c>
      <c r="CM485" s="87" t="str">
        <f t="shared" si="1536"/>
        <v>CS2</v>
      </c>
      <c r="CN485" s="87">
        <f t="shared" si="1566"/>
        <v>270</v>
      </c>
      <c r="CO485" s="87">
        <f t="shared" si="1566"/>
        <v>120</v>
      </c>
      <c r="CP485" s="229">
        <f t="shared" si="1483"/>
        <v>0</v>
      </c>
      <c r="CQ485" s="229">
        <f t="shared" si="1484"/>
        <v>49.3</v>
      </c>
      <c r="CR485" s="229">
        <f t="shared" si="1485"/>
        <v>19.899999999999999</v>
      </c>
      <c r="CS485" s="229">
        <f t="shared" si="1486"/>
        <v>0</v>
      </c>
      <c r="CT485" s="229">
        <f t="shared" si="1487"/>
        <v>0</v>
      </c>
      <c r="CU485" s="229">
        <f t="shared" si="1488"/>
        <v>208.2</v>
      </c>
      <c r="CV485" s="229">
        <f t="shared" si="1489"/>
        <v>0</v>
      </c>
      <c r="CW485" s="229">
        <f t="shared" si="1490"/>
        <v>58.5</v>
      </c>
      <c r="CX485" s="229">
        <f t="shared" si="1491"/>
        <v>0</v>
      </c>
      <c r="CY485" s="229">
        <f t="shared" si="1492"/>
        <v>0</v>
      </c>
      <c r="CZ485" s="229">
        <f t="shared" si="1493"/>
        <v>0</v>
      </c>
      <c r="DA485" s="229">
        <f t="shared" si="1494"/>
        <v>160</v>
      </c>
      <c r="DB485" s="228">
        <f t="shared" si="1429"/>
        <v>495.9</v>
      </c>
      <c r="DC485" s="229"/>
      <c r="DD485" s="229"/>
      <c r="DE485" s="229"/>
      <c r="DF485" s="229"/>
      <c r="DG485" s="229"/>
      <c r="DH485" s="229"/>
      <c r="DI485" s="229"/>
      <c r="DJ485" s="229"/>
      <c r="DK485" s="229"/>
      <c r="DL485" s="229"/>
      <c r="DM485" s="229"/>
      <c r="DN485" s="229"/>
      <c r="DO485" s="228">
        <f t="shared" si="1440"/>
        <v>0</v>
      </c>
      <c r="DP485" s="228">
        <f t="shared" si="1441"/>
        <v>495.9</v>
      </c>
      <c r="DQ485" s="229">
        <f t="shared" si="1495"/>
        <v>18</v>
      </c>
      <c r="DR485" s="229">
        <f t="shared" si="1496"/>
        <v>0.9</v>
      </c>
      <c r="DS485" s="229">
        <f t="shared" si="1497"/>
        <v>0</v>
      </c>
      <c r="DT485" s="229">
        <f t="shared" si="1498"/>
        <v>0.4</v>
      </c>
      <c r="DU485" s="229">
        <f t="shared" si="1499"/>
        <v>0</v>
      </c>
      <c r="DV485" s="229">
        <f t="shared" si="1500"/>
        <v>28</v>
      </c>
      <c r="DW485" s="229">
        <f t="shared" si="1501"/>
        <v>0</v>
      </c>
      <c r="DX485" s="228">
        <f t="shared" si="1430"/>
        <v>47.3</v>
      </c>
      <c r="DY485" s="229"/>
      <c r="DZ485" s="229"/>
      <c r="EA485" s="229"/>
      <c r="EB485" s="229"/>
      <c r="EC485" s="229"/>
      <c r="ED485" s="229"/>
      <c r="EE485" s="229"/>
      <c r="EF485" s="228">
        <f t="shared" si="1480"/>
        <v>0</v>
      </c>
      <c r="EG485" s="228">
        <f t="shared" si="1442"/>
        <v>47.3</v>
      </c>
      <c r="EH485" s="229">
        <f t="shared" si="1481"/>
        <v>199.29</v>
      </c>
      <c r="EI485" s="229">
        <v>2</v>
      </c>
      <c r="EJ485" s="228">
        <f t="shared" si="1443"/>
        <v>201.29</v>
      </c>
      <c r="EK485" s="229"/>
      <c r="EL485" s="229"/>
      <c r="EM485" s="228">
        <f t="shared" si="1562"/>
        <v>0</v>
      </c>
      <c r="EN485" s="229">
        <f t="shared" si="1423"/>
        <v>199.29</v>
      </c>
      <c r="EO485" s="229">
        <f t="shared" si="1451"/>
        <v>2</v>
      </c>
      <c r="EP485" s="228">
        <f t="shared" si="1563"/>
        <v>201.29</v>
      </c>
      <c r="EQ485" s="173">
        <f t="shared" si="1479"/>
        <v>79.289999999999992</v>
      </c>
      <c r="ER485" s="189">
        <v>0</v>
      </c>
      <c r="ES485" s="189">
        <v>49.3</v>
      </c>
      <c r="ET485" s="189">
        <v>19.899999999999999</v>
      </c>
      <c r="EU485" s="189">
        <v>0</v>
      </c>
      <c r="EV485" s="189">
        <v>0</v>
      </c>
      <c r="EW485" s="189">
        <v>208.2</v>
      </c>
      <c r="EX485" s="189">
        <v>0</v>
      </c>
      <c r="EY485" s="189">
        <v>58.5</v>
      </c>
      <c r="EZ485" s="189">
        <v>0</v>
      </c>
      <c r="FA485" s="189">
        <v>0</v>
      </c>
      <c r="FB485" s="189">
        <v>0</v>
      </c>
      <c r="FC485" s="189">
        <v>160</v>
      </c>
      <c r="FD485" s="189">
        <v>18</v>
      </c>
      <c r="FE485" s="189">
        <v>0.9</v>
      </c>
      <c r="FF485" s="189">
        <v>0</v>
      </c>
      <c r="FG485" s="189">
        <v>0.4</v>
      </c>
      <c r="FH485" s="189">
        <v>28</v>
      </c>
      <c r="FI485" s="189">
        <v>0</v>
      </c>
      <c r="FJ485" s="189">
        <v>0</v>
      </c>
      <c r="FK485" s="189">
        <v>543.20000000000005</v>
      </c>
      <c r="FL485" s="189">
        <v>445</v>
      </c>
      <c r="FN485" s="132">
        <v>199.29</v>
      </c>
    </row>
    <row r="486" spans="1:170" ht="30" customHeight="1">
      <c r="A486" s="88">
        <f>COUNTIF($H$12:H486,H486)</f>
        <v>64</v>
      </c>
      <c r="B486" s="88" t="s">
        <v>135</v>
      </c>
      <c r="C486" s="88" t="s">
        <v>838</v>
      </c>
      <c r="D486" s="88"/>
      <c r="E486" s="88"/>
      <c r="F486" s="301" t="s">
        <v>1584</v>
      </c>
      <c r="G486" s="303" t="s">
        <v>1113</v>
      </c>
      <c r="H486" s="88">
        <v>9</v>
      </c>
      <c r="I486" s="88">
        <v>9</v>
      </c>
      <c r="J486" s="88">
        <v>9</v>
      </c>
      <c r="K486" s="90" t="s">
        <v>1107</v>
      </c>
      <c r="L486" s="90" t="s">
        <v>1107</v>
      </c>
      <c r="M486" s="214"/>
      <c r="N486" s="88" t="s">
        <v>605</v>
      </c>
      <c r="O486" s="216">
        <f t="shared" si="1556"/>
        <v>7.28</v>
      </c>
      <c r="P486" s="88" t="str">
        <f t="shared" si="1519"/>
        <v>B1_8</v>
      </c>
      <c r="Q486" s="88">
        <f t="shared" si="1567"/>
        <v>270</v>
      </c>
      <c r="R486" s="88">
        <f t="shared" si="1568"/>
        <v>280</v>
      </c>
      <c r="S486" s="231"/>
      <c r="T486" s="219" t="s">
        <v>3088</v>
      </c>
      <c r="U486" s="88">
        <f>IF(RIGHT(T486,1)="K",(VLOOKUP(T486,ma_miengiam!$A$3:$B$80,2,0)*100)/2,VLOOKUP(T486,ma_miengiam!$A$3:$B$80,2,0)*100)</f>
        <v>0</v>
      </c>
      <c r="V486" s="88"/>
      <c r="W486" s="220">
        <f>IF(AND(T486="NTS",V486&gt;0),(Q486-(Q486*V486)/12)*VLOOKUP(T486,ma_miengiam!$A$3:$B$80,2,0)+(Q486-(Q486*(12-V486))/12),IF(AND(RIGHT(T486,1)="K",V486&gt;0),(VLOOKUP(T486,ma_miengiam!$A$3:$B$80,2,0)/2)*(Q486*V486)/12,IF(RIGHT(T486,1)="K",(VLOOKUP(T486,ma_miengiam!$A$3:$B$80,2,0)*Q486)/2,IF(V486&gt;0,VLOOKUP(T486,ma_miengiam!$A$3:$B$80,2,0)*Q486*V486/12,VLOOKUP(T486,ma_miengiam!$A$3:$B$80,2,0)*Q486))))</f>
        <v>0</v>
      </c>
      <c r="X486" s="220">
        <f>IF(T486="NTS",VLOOKUP(T486,ma_miengiam!$A$3:$B$80,2,0)*R486*V486,IF(AND(T486="NTS",V486=0),0,IF(AND(LEFT(T486,1)="K",V486=0),VLOOKUP(T486,ma_miengiam!$A$3:$B$80,2,0)*R486,IF(LEFT(T486,1)="K",(VLOOKUP(T486,ma_miengiam!$A$3:$B$80,2,0)*R486/12)*V486,IF(AND(LEFT(T486,1)="S",V486&gt;0),(R486/12)*V486,IF(AND(LEFT(T486,1)="S",V486=0),R486,IF(T486="DH",VLOOKUP(T486,ma_miengiam!$A$3:$B$80,2,0)*R486,0)))))))</f>
        <v>0</v>
      </c>
      <c r="Y486" s="220">
        <f t="shared" si="1521"/>
        <v>270</v>
      </c>
      <c r="Z486" s="220">
        <f t="shared" ref="Z486:Z539" si="1569">IF(AND(T486="SĐH",V486&gt;0),(R486/12)*V486-X486,IF(AND(T486="DH",V486&gt;0),(R486*V486/12),IF(AND(T486&lt;&gt;"NTS",V486&gt;0),(R486*V486/12)-X486,IF(AND(T486="NTS",V486&gt;0),R486-X486,R486-X486))))</f>
        <v>280</v>
      </c>
      <c r="AA486" s="220">
        <f t="shared" ref="AA486:AB488" si="1570">Q486</f>
        <v>270</v>
      </c>
      <c r="AB486" s="220">
        <f t="shared" si="1570"/>
        <v>280</v>
      </c>
      <c r="AC486" s="220">
        <f t="shared" ref="AC486:AF487" si="1571">W486</f>
        <v>0</v>
      </c>
      <c r="AD486" s="220">
        <f t="shared" si="1571"/>
        <v>0</v>
      </c>
      <c r="AE486" s="220">
        <f t="shared" si="1571"/>
        <v>270</v>
      </c>
      <c r="AF486" s="220">
        <f t="shared" si="1571"/>
        <v>280</v>
      </c>
      <c r="AG486" s="220">
        <f>AH486+AI486</f>
        <v>464.2</v>
      </c>
      <c r="AH486" s="220">
        <f>EO486</f>
        <v>146</v>
      </c>
      <c r="AI486" s="220">
        <f>EN486</f>
        <v>318.2</v>
      </c>
      <c r="AJ486" s="220">
        <f>IF(AG486-Z486&gt;0,0,AG486-Z486)</f>
        <v>0</v>
      </c>
      <c r="AK486" s="216">
        <f t="shared" si="1454"/>
        <v>270</v>
      </c>
      <c r="AL486" s="220">
        <f t="shared" si="1431"/>
        <v>120.8</v>
      </c>
      <c r="AM486" s="220">
        <f t="shared" si="1432"/>
        <v>38.200000000000003</v>
      </c>
      <c r="AN486" s="221">
        <f t="shared" si="1433"/>
        <v>159</v>
      </c>
      <c r="AO486" s="220">
        <f t="shared" si="1434"/>
        <v>20</v>
      </c>
      <c r="AP486" s="220">
        <f t="shared" si="1435"/>
        <v>0</v>
      </c>
      <c r="AQ486" s="220">
        <f t="shared" si="1436"/>
        <v>250</v>
      </c>
      <c r="AR486" s="220">
        <f t="shared" si="1437"/>
        <v>24</v>
      </c>
      <c r="AS486" s="220">
        <f t="shared" si="1438"/>
        <v>0</v>
      </c>
      <c r="AT486" s="216">
        <f t="shared" si="1439"/>
        <v>453</v>
      </c>
      <c r="AU486" s="222">
        <f t="shared" si="1447"/>
        <v>-111</v>
      </c>
      <c r="AV486" s="220"/>
      <c r="AW486" s="220">
        <f t="shared" si="1530"/>
        <v>-111</v>
      </c>
      <c r="AX486" s="216">
        <f t="shared" si="1448"/>
        <v>-111</v>
      </c>
      <c r="AY486" s="220">
        <f t="shared" si="1537"/>
        <v>0</v>
      </c>
      <c r="AZ486" s="220">
        <f t="shared" si="1538"/>
        <v>0</v>
      </c>
      <c r="BA486" s="220">
        <f t="shared" si="1539"/>
        <v>159</v>
      </c>
      <c r="BB486" s="220">
        <f t="shared" si="1540"/>
        <v>24</v>
      </c>
      <c r="BC486" s="220">
        <f t="shared" si="1541"/>
        <v>0</v>
      </c>
      <c r="BD486" s="216">
        <f t="shared" si="1410"/>
        <v>183</v>
      </c>
      <c r="BE486" s="220">
        <f t="shared" si="1531"/>
        <v>-20</v>
      </c>
      <c r="BF486" s="220">
        <f t="shared" si="1532"/>
        <v>0</v>
      </c>
      <c r="BG486" s="220">
        <f t="shared" si="1533"/>
        <v>-91</v>
      </c>
      <c r="BH486" s="220">
        <f t="shared" si="1534"/>
        <v>0</v>
      </c>
      <c r="BI486" s="220">
        <f t="shared" si="1535"/>
        <v>0</v>
      </c>
      <c r="BJ486" s="220" t="s">
        <v>2429</v>
      </c>
      <c r="BK486" s="220"/>
      <c r="BL486" s="223">
        <f t="shared" si="1422"/>
        <v>0</v>
      </c>
      <c r="BM486" s="220">
        <v>7.28</v>
      </c>
      <c r="BN486" s="220"/>
      <c r="BO486" s="220">
        <f t="shared" si="1558"/>
        <v>7.28</v>
      </c>
      <c r="BP486" s="220">
        <f>IF(AND(BL486&gt;0,BL486&lt;tiet!$D$1),BL486,IF(BL486&lt;=0,0,IF(BL486&gt;tiet!$C$1,tiet!$C$1)))</f>
        <v>0</v>
      </c>
      <c r="BQ486" s="87">
        <f>VLOOKUP(P486,ma_dinhmuc_moi,4,0)</f>
        <v>85000</v>
      </c>
      <c r="BR486" s="224">
        <f>ROUND(BQ486*BP486,0)</f>
        <v>0</v>
      </c>
      <c r="BS486" s="220">
        <f t="shared" si="1478"/>
        <v>0</v>
      </c>
      <c r="BT486" s="224">
        <f>VLOOKUP(N486,ma_dinhmuc!$A$1:$J$31,10,0)</f>
        <v>65000</v>
      </c>
      <c r="BU486" s="224">
        <f>ROUND(IF(BS486&gt;0,VLOOKUP(N486,ma_dinhmuc!$A$1:$J$31,10,0)*BS486,0),0)</f>
        <v>0</v>
      </c>
      <c r="BV486" s="224">
        <f>ROUND(BU486+BR486,0)</f>
        <v>0</v>
      </c>
      <c r="BW486" s="224"/>
      <c r="BX486" s="224">
        <v>0</v>
      </c>
      <c r="BY486" s="224"/>
      <c r="BZ486" s="224"/>
      <c r="CA486" s="224"/>
      <c r="CB486" s="224"/>
      <c r="CC486" s="225">
        <f t="shared" si="1419"/>
        <v>0</v>
      </c>
      <c r="CD486" s="224">
        <f t="shared" si="1420"/>
        <v>0</v>
      </c>
      <c r="CE486" s="224"/>
      <c r="CF486" s="226"/>
      <c r="CG486" s="87"/>
      <c r="CH486" s="87">
        <f t="shared" si="1559"/>
        <v>64</v>
      </c>
      <c r="CI486" s="227" t="str">
        <f t="shared" ref="CI486:CJ489" si="1572">F486</f>
        <v>Nguyễn Hữu</v>
      </c>
      <c r="CJ486" s="227" t="str">
        <f t="shared" si="1572"/>
        <v>Nam</v>
      </c>
      <c r="CK486" s="87">
        <f>H486</f>
        <v>9</v>
      </c>
      <c r="CL486" s="227" t="str">
        <f t="shared" si="1561"/>
        <v xml:space="preserve">Bệnh lý thú y   </v>
      </c>
      <c r="CM486" s="87" t="str">
        <f t="shared" si="1536"/>
        <v>CS4</v>
      </c>
      <c r="CN486" s="87">
        <f>Q486</f>
        <v>270</v>
      </c>
      <c r="CO486" s="87">
        <f>R486</f>
        <v>280</v>
      </c>
      <c r="CP486" s="229">
        <f t="shared" si="1483"/>
        <v>0</v>
      </c>
      <c r="CQ486" s="229">
        <f t="shared" si="1484"/>
        <v>25</v>
      </c>
      <c r="CR486" s="229">
        <f t="shared" si="1485"/>
        <v>10</v>
      </c>
      <c r="CS486" s="229">
        <f t="shared" si="1486"/>
        <v>0</v>
      </c>
      <c r="CT486" s="229">
        <f t="shared" si="1487"/>
        <v>0</v>
      </c>
      <c r="CU486" s="229">
        <f t="shared" si="1488"/>
        <v>85.8</v>
      </c>
      <c r="CV486" s="229">
        <f t="shared" si="1489"/>
        <v>0</v>
      </c>
      <c r="CW486" s="229">
        <f t="shared" si="1490"/>
        <v>0</v>
      </c>
      <c r="CX486" s="229">
        <f t="shared" si="1491"/>
        <v>0</v>
      </c>
      <c r="CY486" s="229">
        <f t="shared" si="1492"/>
        <v>20</v>
      </c>
      <c r="CZ486" s="229">
        <f t="shared" si="1493"/>
        <v>0</v>
      </c>
      <c r="DA486" s="229">
        <f t="shared" si="1494"/>
        <v>250</v>
      </c>
      <c r="DB486" s="228">
        <f t="shared" si="1429"/>
        <v>390.8</v>
      </c>
      <c r="DC486" s="229"/>
      <c r="DD486" s="229"/>
      <c r="DE486" s="229"/>
      <c r="DF486" s="229"/>
      <c r="DG486" s="229"/>
      <c r="DH486" s="229"/>
      <c r="DI486" s="229"/>
      <c r="DJ486" s="229"/>
      <c r="DK486" s="229"/>
      <c r="DL486" s="229"/>
      <c r="DM486" s="229"/>
      <c r="DN486" s="229"/>
      <c r="DO486" s="228">
        <f t="shared" si="1440"/>
        <v>0</v>
      </c>
      <c r="DP486" s="228">
        <f t="shared" si="1441"/>
        <v>390.8</v>
      </c>
      <c r="DQ486" s="229">
        <f t="shared" si="1495"/>
        <v>36</v>
      </c>
      <c r="DR486" s="229">
        <f t="shared" si="1496"/>
        <v>1.5</v>
      </c>
      <c r="DS486" s="229">
        <f t="shared" si="1497"/>
        <v>0</v>
      </c>
      <c r="DT486" s="229">
        <f t="shared" si="1498"/>
        <v>0.7</v>
      </c>
      <c r="DU486" s="229">
        <f t="shared" si="1499"/>
        <v>0</v>
      </c>
      <c r="DV486" s="229">
        <f t="shared" si="1500"/>
        <v>24</v>
      </c>
      <c r="DW486" s="229">
        <f t="shared" si="1501"/>
        <v>0</v>
      </c>
      <c r="DX486" s="228">
        <f t="shared" si="1430"/>
        <v>62.2</v>
      </c>
      <c r="DY486" s="229"/>
      <c r="DZ486" s="229"/>
      <c r="EA486" s="229"/>
      <c r="EB486" s="229"/>
      <c r="EC486" s="229"/>
      <c r="ED486" s="229"/>
      <c r="EE486" s="229"/>
      <c r="EF486" s="228">
        <f t="shared" si="1480"/>
        <v>0</v>
      </c>
      <c r="EG486" s="228">
        <f t="shared" si="1442"/>
        <v>62.2</v>
      </c>
      <c r="EH486" s="229">
        <f t="shared" si="1481"/>
        <v>318.2</v>
      </c>
      <c r="EI486" s="229">
        <v>146</v>
      </c>
      <c r="EJ486" s="228">
        <f>SUM(EH486:EI486)</f>
        <v>464.2</v>
      </c>
      <c r="EK486" s="229"/>
      <c r="EL486" s="229"/>
      <c r="EM486" s="228">
        <f t="shared" si="1562"/>
        <v>0</v>
      </c>
      <c r="EN486" s="229">
        <f t="shared" si="1423"/>
        <v>318.2</v>
      </c>
      <c r="EO486" s="229">
        <f t="shared" si="1451"/>
        <v>146</v>
      </c>
      <c r="EP486" s="228">
        <f t="shared" si="1563"/>
        <v>464.2</v>
      </c>
      <c r="EQ486" s="173">
        <f t="shared" si="1479"/>
        <v>38.199999999999989</v>
      </c>
      <c r="ER486" s="189">
        <v>0</v>
      </c>
      <c r="ES486" s="189">
        <v>25</v>
      </c>
      <c r="ET486" s="189">
        <v>10</v>
      </c>
      <c r="EU486" s="189">
        <v>0</v>
      </c>
      <c r="EV486" s="189">
        <v>0</v>
      </c>
      <c r="EW486" s="189">
        <v>85.8</v>
      </c>
      <c r="EX486" s="189">
        <v>0</v>
      </c>
      <c r="EY486" s="189">
        <v>0</v>
      </c>
      <c r="EZ486" s="189">
        <v>0</v>
      </c>
      <c r="FA486" s="189">
        <v>20</v>
      </c>
      <c r="FB486" s="189">
        <v>0</v>
      </c>
      <c r="FC486" s="189">
        <v>250</v>
      </c>
      <c r="FD486" s="189">
        <v>36</v>
      </c>
      <c r="FE486" s="189">
        <v>1.5</v>
      </c>
      <c r="FF486" s="189">
        <v>0</v>
      </c>
      <c r="FG486" s="189">
        <v>0.7</v>
      </c>
      <c r="FH486" s="189">
        <v>24</v>
      </c>
      <c r="FI486" s="189">
        <v>0</v>
      </c>
      <c r="FJ486" s="189">
        <v>0</v>
      </c>
      <c r="FK486" s="189">
        <v>453</v>
      </c>
      <c r="FL486" s="189">
        <v>382</v>
      </c>
      <c r="FN486" s="132">
        <v>318.2</v>
      </c>
    </row>
    <row r="487" spans="1:170" ht="29.25" customHeight="1">
      <c r="A487" s="88">
        <f>COUNTIF($H$12:H487,H487)</f>
        <v>65</v>
      </c>
      <c r="B487" s="88" t="s">
        <v>136</v>
      </c>
      <c r="C487" s="88" t="s">
        <v>839</v>
      </c>
      <c r="D487" s="88"/>
      <c r="E487" s="88"/>
      <c r="F487" s="301" t="s">
        <v>3027</v>
      </c>
      <c r="G487" s="303" t="s">
        <v>1177</v>
      </c>
      <c r="H487" s="88">
        <v>9</v>
      </c>
      <c r="I487" s="88">
        <v>9</v>
      </c>
      <c r="J487" s="88">
        <v>9</v>
      </c>
      <c r="K487" s="90" t="s">
        <v>1107</v>
      </c>
      <c r="L487" s="90" t="s">
        <v>1107</v>
      </c>
      <c r="M487" s="214"/>
      <c r="N487" s="88" t="s">
        <v>1804</v>
      </c>
      <c r="O487" s="216">
        <f>BO487</f>
        <v>3.33</v>
      </c>
      <c r="P487" s="88" t="str">
        <f t="shared" si="1519"/>
        <v>B1_4</v>
      </c>
      <c r="Q487" s="88">
        <f t="shared" si="1567"/>
        <v>270</v>
      </c>
      <c r="R487" s="88">
        <f t="shared" si="1568"/>
        <v>120</v>
      </c>
      <c r="S487" s="230" t="s">
        <v>689</v>
      </c>
      <c r="T487" s="88" t="s">
        <v>3090</v>
      </c>
      <c r="U487" s="88">
        <f>IF(RIGHT(T487,1)="K",(VLOOKUP(T487,ma_miengiam!$A$3:$B$80,2,0)*100)/2,VLOOKUP(T487,ma_miengiam!$A$3:$B$80,2,0)*100)</f>
        <v>15</v>
      </c>
      <c r="V487" s="88"/>
      <c r="W487" s="220">
        <f>IF(AND(T487="NTS",V487&gt;0),(Q487-(Q487*V487)/12)*VLOOKUP(T487,ma_miengiam!$A$3:$B$80,2,0)+(Q487-(Q487*(12-V487))/12),IF(AND(RIGHT(T487,1)="K",V487&gt;0),(VLOOKUP(T487,ma_miengiam!$A$3:$B$80,2,0)/2)*(Q487*V487)/12,IF(RIGHT(T487,1)="K",(VLOOKUP(T487,ma_miengiam!$A$3:$B$80,2,0)*Q487)/2,IF(V487&gt;0,VLOOKUP(T487,ma_miengiam!$A$3:$B$80,2,0)*Q487*V487/12,VLOOKUP(T487,ma_miengiam!$A$3:$B$80,2,0)*Q487))))</f>
        <v>40.5</v>
      </c>
      <c r="X487" s="220">
        <f>IF(T487="NTS",VLOOKUP(T487,ma_miengiam!$A$3:$B$80,2,0)*R487*V487,IF(AND(T487="NTS",V487=0),0,IF(AND(LEFT(T487,1)="K",V487=0),VLOOKUP(T487,ma_miengiam!$A$3:$B$80,2,0)*R487,IF(LEFT(T487,1)="K",(VLOOKUP(T487,ma_miengiam!$A$3:$B$80,2,0)*R487/12)*V487,IF(AND(LEFT(T487,1)="S",V487&gt;0),(R487/12)*V487,IF(AND(LEFT(T487,1)="S",V487=0),R487,IF(T487="DH",VLOOKUP(T487,ma_miengiam!$A$3:$B$80,2,0)*R487,0)))))))</f>
        <v>0</v>
      </c>
      <c r="Y487" s="220">
        <f t="shared" si="1521"/>
        <v>229.5</v>
      </c>
      <c r="Z487" s="220">
        <f>IF(AND(T487="SĐH",V487&gt;0),(R487/12)*V487-X487,IF(AND(T487="DH",V487&gt;0),(R487*V487/12),IF(AND(T487&lt;&gt;"NTS",V487&gt;0),(R487*V487/12)-X487,IF(AND(T487="NTS",V487&gt;0),R487-X487,R487-X487))))</f>
        <v>120</v>
      </c>
      <c r="AA487" s="220">
        <f>Q487</f>
        <v>270</v>
      </c>
      <c r="AB487" s="220">
        <f>R487</f>
        <v>120</v>
      </c>
      <c r="AC487" s="220">
        <f t="shared" si="1571"/>
        <v>40.5</v>
      </c>
      <c r="AD487" s="220">
        <f t="shared" si="1571"/>
        <v>0</v>
      </c>
      <c r="AE487" s="220">
        <f t="shared" si="1571"/>
        <v>229.5</v>
      </c>
      <c r="AF487" s="220">
        <f t="shared" si="1571"/>
        <v>120</v>
      </c>
      <c r="AG487" s="220">
        <f>AH487+AI487</f>
        <v>398.62</v>
      </c>
      <c r="AH487" s="220">
        <f>EO487</f>
        <v>62.57</v>
      </c>
      <c r="AI487" s="220">
        <f>EN487</f>
        <v>336.05</v>
      </c>
      <c r="AJ487" s="220">
        <f>IF(AG487-Z487&gt;0,0,AG487-Z487)</f>
        <v>0</v>
      </c>
      <c r="AK487" s="216">
        <f t="shared" si="1454"/>
        <v>229.5</v>
      </c>
      <c r="AL487" s="220">
        <f t="shared" si="1431"/>
        <v>172.4</v>
      </c>
      <c r="AM487" s="220">
        <f t="shared" si="1432"/>
        <v>20</v>
      </c>
      <c r="AN487" s="221">
        <f t="shared" si="1433"/>
        <v>192.4</v>
      </c>
      <c r="AO487" s="220">
        <f t="shared" si="1434"/>
        <v>0</v>
      </c>
      <c r="AP487" s="220">
        <f t="shared" si="1435"/>
        <v>30</v>
      </c>
      <c r="AQ487" s="220">
        <f t="shared" si="1436"/>
        <v>180</v>
      </c>
      <c r="AR487" s="220">
        <f t="shared" si="1437"/>
        <v>54</v>
      </c>
      <c r="AS487" s="220">
        <f t="shared" si="1438"/>
        <v>0</v>
      </c>
      <c r="AT487" s="216">
        <f t="shared" si="1439"/>
        <v>456.4</v>
      </c>
      <c r="AU487" s="222">
        <f t="shared" si="1447"/>
        <v>-37.099999999999994</v>
      </c>
      <c r="AV487" s="220"/>
      <c r="AW487" s="220">
        <f t="shared" si="1530"/>
        <v>-37.099999999999994</v>
      </c>
      <c r="AX487" s="216">
        <f t="shared" si="1448"/>
        <v>-37.099999999999994</v>
      </c>
      <c r="AY487" s="220">
        <f t="shared" si="1537"/>
        <v>0</v>
      </c>
      <c r="AZ487" s="220">
        <f t="shared" si="1538"/>
        <v>0</v>
      </c>
      <c r="BA487" s="220">
        <f t="shared" si="1539"/>
        <v>172.89999999999998</v>
      </c>
      <c r="BB487" s="220">
        <f t="shared" si="1540"/>
        <v>54</v>
      </c>
      <c r="BC487" s="220">
        <f t="shared" si="1541"/>
        <v>0</v>
      </c>
      <c r="BD487" s="216">
        <f t="shared" si="1410"/>
        <v>226.89999999999998</v>
      </c>
      <c r="BE487" s="220">
        <f t="shared" si="1531"/>
        <v>0</v>
      </c>
      <c r="BF487" s="220">
        <f t="shared" si="1532"/>
        <v>-30</v>
      </c>
      <c r="BG487" s="220">
        <f t="shared" si="1533"/>
        <v>-7.1000000000000227</v>
      </c>
      <c r="BH487" s="220">
        <f t="shared" si="1534"/>
        <v>0</v>
      </c>
      <c r="BI487" s="220">
        <f t="shared" si="1535"/>
        <v>0</v>
      </c>
      <c r="BJ487" s="220" t="s">
        <v>2429</v>
      </c>
      <c r="BK487" s="220"/>
      <c r="BL487" s="223">
        <f t="shared" si="1422"/>
        <v>0</v>
      </c>
      <c r="BM487" s="220">
        <v>3.33</v>
      </c>
      <c r="BN487" s="220"/>
      <c r="BO487" s="220">
        <f t="shared" ref="BO487:BO499" si="1573">ROUND(BM487+(BM487*BN487),2)</f>
        <v>3.33</v>
      </c>
      <c r="BP487" s="220">
        <f>IF(AND(BL487&gt;0,BL487&lt;tiet!$D$1),BL487,IF(BL487&lt;=0,0,IF(BL487&gt;tiet!$C$1,tiet!$C$1)))</f>
        <v>0</v>
      </c>
      <c r="BQ487" s="87">
        <f>VLOOKUP(P487,ma_dinhmuc_moi,4,0)</f>
        <v>65000</v>
      </c>
      <c r="BR487" s="224">
        <f>ROUND(BQ487*BP487,0)</f>
        <v>0</v>
      </c>
      <c r="BS487" s="220">
        <f t="shared" si="1478"/>
        <v>0</v>
      </c>
      <c r="BT487" s="224">
        <f>VLOOKUP(N487,ma_dinhmuc!$A$1:$J$31,10,0)</f>
        <v>51000</v>
      </c>
      <c r="BU487" s="224">
        <f>ROUND(IF(BS487&gt;0,VLOOKUP(N487,ma_dinhmuc!$A$1:$J$31,10,0)*BS487,0),0)</f>
        <v>0</v>
      </c>
      <c r="BV487" s="224">
        <f>ROUND(BU487+BR487,0)</f>
        <v>0</v>
      </c>
      <c r="BW487" s="224"/>
      <c r="BX487" s="224">
        <v>0</v>
      </c>
      <c r="BY487" s="224"/>
      <c r="BZ487" s="224"/>
      <c r="CA487" s="224"/>
      <c r="CB487" s="224"/>
      <c r="CC487" s="225">
        <f>ROUND(IF(BV487+BW487&gt;BX487+BY487+BZ487+CA487+CB487,(BW487+BV487)-(BX487+BY487+BZ487+CA487+CB487+CB487),0),0)</f>
        <v>0</v>
      </c>
      <c r="CD487" s="224">
        <f>ROUND(IF(BV487+BW487&lt;BX487+BY487+BZ487+CA487-CB487,(BX487+BY487+BZ487+CA487-CB487)-(BW487+BV487),0),0)</f>
        <v>0</v>
      </c>
      <c r="CE487" s="224"/>
      <c r="CF487" s="226"/>
      <c r="CG487" s="87"/>
      <c r="CH487" s="87">
        <f>A487</f>
        <v>65</v>
      </c>
      <c r="CI487" s="227" t="str">
        <f t="shared" si="1572"/>
        <v>Bùi Thị Tố</v>
      </c>
      <c r="CJ487" s="227" t="str">
        <f t="shared" si="1572"/>
        <v>Nga</v>
      </c>
      <c r="CK487" s="87">
        <f>H487</f>
        <v>9</v>
      </c>
      <c r="CL487" s="227" t="str">
        <f>L487</f>
        <v xml:space="preserve">Bệnh lý thú y   </v>
      </c>
      <c r="CM487" s="87" t="str">
        <f t="shared" si="1536"/>
        <v>CS2</v>
      </c>
      <c r="CN487" s="87">
        <f>Q487</f>
        <v>270</v>
      </c>
      <c r="CO487" s="87">
        <f>R487</f>
        <v>120</v>
      </c>
      <c r="CP487" s="229">
        <f t="shared" si="1483"/>
        <v>0</v>
      </c>
      <c r="CQ487" s="229">
        <f t="shared" si="1484"/>
        <v>23.3</v>
      </c>
      <c r="CR487" s="229">
        <f t="shared" si="1485"/>
        <v>9.4</v>
      </c>
      <c r="CS487" s="229">
        <f t="shared" si="1486"/>
        <v>0</v>
      </c>
      <c r="CT487" s="229">
        <f t="shared" si="1487"/>
        <v>0</v>
      </c>
      <c r="CU487" s="229">
        <f t="shared" si="1488"/>
        <v>79.7</v>
      </c>
      <c r="CV487" s="229">
        <f t="shared" si="1489"/>
        <v>0</v>
      </c>
      <c r="CW487" s="229">
        <f t="shared" si="1490"/>
        <v>60</v>
      </c>
      <c r="CX487" s="229">
        <f t="shared" si="1491"/>
        <v>0</v>
      </c>
      <c r="CY487" s="229">
        <f t="shared" si="1492"/>
        <v>0</v>
      </c>
      <c r="CZ487" s="229">
        <f t="shared" si="1493"/>
        <v>30</v>
      </c>
      <c r="DA487" s="229">
        <f t="shared" si="1494"/>
        <v>180</v>
      </c>
      <c r="DB487" s="228">
        <f t="shared" si="1429"/>
        <v>382.4</v>
      </c>
      <c r="DC487" s="229"/>
      <c r="DD487" s="229"/>
      <c r="DE487" s="229"/>
      <c r="DF487" s="229"/>
      <c r="DG487" s="229"/>
      <c r="DH487" s="229"/>
      <c r="DI487" s="229"/>
      <c r="DJ487" s="229"/>
      <c r="DK487" s="229"/>
      <c r="DL487" s="229"/>
      <c r="DM487" s="229"/>
      <c r="DN487" s="229"/>
      <c r="DO487" s="228">
        <f t="shared" si="1440"/>
        <v>0</v>
      </c>
      <c r="DP487" s="228">
        <f t="shared" si="1441"/>
        <v>382.4</v>
      </c>
      <c r="DQ487" s="229">
        <f t="shared" si="1495"/>
        <v>18</v>
      </c>
      <c r="DR487" s="229">
        <f t="shared" si="1496"/>
        <v>1.4</v>
      </c>
      <c r="DS487" s="229">
        <f t="shared" si="1497"/>
        <v>0</v>
      </c>
      <c r="DT487" s="229">
        <f t="shared" si="1498"/>
        <v>0.6</v>
      </c>
      <c r="DU487" s="229">
        <f t="shared" si="1499"/>
        <v>0</v>
      </c>
      <c r="DV487" s="229">
        <f t="shared" si="1500"/>
        <v>54</v>
      </c>
      <c r="DW487" s="229">
        <f t="shared" si="1501"/>
        <v>0</v>
      </c>
      <c r="DX487" s="228">
        <f t="shared" si="1430"/>
        <v>74</v>
      </c>
      <c r="DY487" s="229"/>
      <c r="DZ487" s="229"/>
      <c r="EA487" s="229"/>
      <c r="EB487" s="229"/>
      <c r="EC487" s="229"/>
      <c r="ED487" s="229"/>
      <c r="EE487" s="229"/>
      <c r="EF487" s="228">
        <f t="shared" si="1480"/>
        <v>0</v>
      </c>
      <c r="EG487" s="228">
        <f t="shared" si="1442"/>
        <v>74</v>
      </c>
      <c r="EH487" s="229">
        <f t="shared" si="1481"/>
        <v>336.05</v>
      </c>
      <c r="EI487" s="229">
        <v>62.57</v>
      </c>
      <c r="EJ487" s="228">
        <f>SUM(EH487:EI487)</f>
        <v>398.62</v>
      </c>
      <c r="EK487" s="229"/>
      <c r="EL487" s="229"/>
      <c r="EM487" s="228">
        <f>SUM(EK487:EL487)</f>
        <v>0</v>
      </c>
      <c r="EN487" s="229">
        <f t="shared" si="1423"/>
        <v>336.05</v>
      </c>
      <c r="EO487" s="229">
        <f t="shared" si="1451"/>
        <v>62.57</v>
      </c>
      <c r="EP487" s="228">
        <f>EM487+EJ487</f>
        <v>398.62</v>
      </c>
      <c r="EQ487" s="173">
        <f t="shared" si="1479"/>
        <v>216.05</v>
      </c>
      <c r="ER487" s="189">
        <v>0</v>
      </c>
      <c r="ES487" s="189">
        <v>23.3</v>
      </c>
      <c r="ET487" s="189">
        <v>9.4</v>
      </c>
      <c r="EU487" s="189">
        <v>0</v>
      </c>
      <c r="EV487" s="189">
        <v>0</v>
      </c>
      <c r="EW487" s="189">
        <v>79.7</v>
      </c>
      <c r="EX487" s="189">
        <v>0</v>
      </c>
      <c r="EY487" s="189">
        <v>60</v>
      </c>
      <c r="EZ487" s="189">
        <v>0</v>
      </c>
      <c r="FA487" s="189">
        <v>0</v>
      </c>
      <c r="FB487" s="189">
        <v>30</v>
      </c>
      <c r="FC487" s="189">
        <v>180</v>
      </c>
      <c r="FD487" s="189">
        <v>18</v>
      </c>
      <c r="FE487" s="189">
        <v>1.4</v>
      </c>
      <c r="FF487" s="189">
        <v>0</v>
      </c>
      <c r="FG487" s="189">
        <v>0.6</v>
      </c>
      <c r="FH487" s="189">
        <v>54</v>
      </c>
      <c r="FI487" s="189">
        <v>0</v>
      </c>
      <c r="FJ487" s="189">
        <v>0</v>
      </c>
      <c r="FK487" s="189">
        <v>456.4</v>
      </c>
      <c r="FL487" s="189">
        <v>402</v>
      </c>
      <c r="FN487" s="132">
        <v>336.05</v>
      </c>
    </row>
    <row r="488" spans="1:170" ht="45">
      <c r="A488" s="88">
        <f>COUNTIF($H$12:H488,H488)</f>
        <v>66</v>
      </c>
      <c r="B488" s="88" t="s">
        <v>137</v>
      </c>
      <c r="C488" s="88" t="s">
        <v>840</v>
      </c>
      <c r="D488" s="88"/>
      <c r="E488" s="88"/>
      <c r="F488" s="301" t="s">
        <v>1139</v>
      </c>
      <c r="G488" s="303" t="s">
        <v>1773</v>
      </c>
      <c r="H488" s="88">
        <v>9</v>
      </c>
      <c r="I488" s="88">
        <v>9</v>
      </c>
      <c r="J488" s="88">
        <v>9</v>
      </c>
      <c r="K488" s="90" t="s">
        <v>1107</v>
      </c>
      <c r="L488" s="90" t="s">
        <v>1107</v>
      </c>
      <c r="M488" s="214"/>
      <c r="N488" s="88" t="s">
        <v>605</v>
      </c>
      <c r="O488" s="216">
        <f t="shared" ref="O488:O503" si="1574">BO488</f>
        <v>6.92</v>
      </c>
      <c r="P488" s="88" t="str">
        <f t="shared" si="1519"/>
        <v>B1_7</v>
      </c>
      <c r="Q488" s="88">
        <f t="shared" si="1567"/>
        <v>270</v>
      </c>
      <c r="R488" s="88">
        <f t="shared" si="1568"/>
        <v>200</v>
      </c>
      <c r="S488" s="218" t="s">
        <v>2009</v>
      </c>
      <c r="T488" s="88" t="s">
        <v>1010</v>
      </c>
      <c r="U488" s="88">
        <f>IF(RIGHT(T488,1)="K",(VLOOKUP(T488,ma_miengiam!$A$3:$B$80,2,0)*100)/2,VLOOKUP(T488,ma_miengiam!$A$3:$B$80,2,0)*100)</f>
        <v>85</v>
      </c>
      <c r="V488" s="88"/>
      <c r="W488" s="220">
        <f>IF(AND(T488="NTS",V488&gt;0),(Q488-(Q488*V488)/12)*VLOOKUP(T488,ma_miengiam!$A$3:$B$80,2,0)+(Q488-(Q488*(12-V488))/12),IF(AND(RIGHT(T488,1)="K",V488&gt;0),(VLOOKUP(T488,ma_miengiam!$A$3:$B$80,2,0)/2)*(Q488*V488)/12,IF(RIGHT(T488,1)="K",(VLOOKUP(T488,ma_miengiam!$A$3:$B$80,2,0)*Q488)/2,IF(V488&gt;0,VLOOKUP(T488,ma_miengiam!$A$3:$B$80,2,0)*Q488*V488/12,VLOOKUP(T488,ma_miengiam!$A$3:$B$80,2,0)*Q488))))</f>
        <v>229.5</v>
      </c>
      <c r="X488" s="220">
        <f>IF(T488="NTS",VLOOKUP(T488,ma_miengiam!$A$3:$B$80,2,0)*R488*V488,IF(AND(T488="NTS",V488=0),0,IF(AND(LEFT(T488,1)="K",V488=0),VLOOKUP(T488,ma_miengiam!$A$3:$B$80,2,0)*R488,IF(LEFT(T488,1)="K",(VLOOKUP(T488,ma_miengiam!$A$3:$B$80,2,0)*R488/12)*V488,IF(AND(LEFT(T488,1)="S",V488&gt;0),(R488/12)*V488,IF(AND(LEFT(T488,1)="S",V488=0),R488,IF(T488="DH",VLOOKUP(T488,ma_miengiam!$A$3:$B$80,2,0)*R488,0)))))))</f>
        <v>170</v>
      </c>
      <c r="Y488" s="220">
        <f t="shared" si="1521"/>
        <v>40.5</v>
      </c>
      <c r="Z488" s="220">
        <f t="shared" si="1569"/>
        <v>30</v>
      </c>
      <c r="AA488" s="220">
        <f t="shared" si="1570"/>
        <v>270</v>
      </c>
      <c r="AB488" s="220">
        <f t="shared" si="1570"/>
        <v>200</v>
      </c>
      <c r="AC488" s="220">
        <f t="shared" ref="AC488:AF489" si="1575">W488</f>
        <v>229.5</v>
      </c>
      <c r="AD488" s="220">
        <f t="shared" si="1575"/>
        <v>170</v>
      </c>
      <c r="AE488" s="220">
        <f t="shared" si="1575"/>
        <v>40.5</v>
      </c>
      <c r="AF488" s="220">
        <f t="shared" si="1575"/>
        <v>30</v>
      </c>
      <c r="AG488" s="220">
        <f>AH488+AI488</f>
        <v>563.81999999999994</v>
      </c>
      <c r="AH488" s="220">
        <f>EO488</f>
        <v>274.29000000000002</v>
      </c>
      <c r="AI488" s="220">
        <f>EN488</f>
        <v>289.52999999999997</v>
      </c>
      <c r="AJ488" s="220">
        <f t="shared" si="1551"/>
        <v>0</v>
      </c>
      <c r="AK488" s="216">
        <f t="shared" si="1454"/>
        <v>40.5</v>
      </c>
      <c r="AL488" s="220">
        <f t="shared" si="1431"/>
        <v>55.5</v>
      </c>
      <c r="AM488" s="220">
        <f t="shared" si="1432"/>
        <v>10.3</v>
      </c>
      <c r="AN488" s="221">
        <f t="shared" si="1433"/>
        <v>65.8</v>
      </c>
      <c r="AO488" s="220">
        <f t="shared" si="1434"/>
        <v>0</v>
      </c>
      <c r="AP488" s="220">
        <f t="shared" si="1435"/>
        <v>0</v>
      </c>
      <c r="AQ488" s="220">
        <f t="shared" si="1436"/>
        <v>140</v>
      </c>
      <c r="AR488" s="220">
        <f t="shared" si="1437"/>
        <v>100</v>
      </c>
      <c r="AS488" s="220">
        <f t="shared" si="1438"/>
        <v>40</v>
      </c>
      <c r="AT488" s="216">
        <f t="shared" si="1439"/>
        <v>345.8</v>
      </c>
      <c r="AU488" s="222">
        <f t="shared" si="1447"/>
        <v>25.299999999999997</v>
      </c>
      <c r="AV488" s="220"/>
      <c r="AW488" s="220">
        <f t="shared" si="1530"/>
        <v>25.299999999999997</v>
      </c>
      <c r="AX488" s="216">
        <f t="shared" si="1448"/>
        <v>0</v>
      </c>
      <c r="AY488" s="220">
        <f t="shared" si="1537"/>
        <v>0</v>
      </c>
      <c r="AZ488" s="220">
        <f t="shared" si="1538"/>
        <v>0</v>
      </c>
      <c r="BA488" s="220">
        <f t="shared" si="1539"/>
        <v>140</v>
      </c>
      <c r="BB488" s="220">
        <f t="shared" si="1540"/>
        <v>100</v>
      </c>
      <c r="BC488" s="220">
        <f t="shared" si="1541"/>
        <v>40</v>
      </c>
      <c r="BD488" s="216">
        <f t="shared" si="1410"/>
        <v>280</v>
      </c>
      <c r="BE488" s="220">
        <f t="shared" si="1531"/>
        <v>0</v>
      </c>
      <c r="BF488" s="220">
        <f t="shared" si="1532"/>
        <v>0</v>
      </c>
      <c r="BG488" s="220">
        <f t="shared" si="1533"/>
        <v>0</v>
      </c>
      <c r="BH488" s="220">
        <f t="shared" si="1534"/>
        <v>0</v>
      </c>
      <c r="BI488" s="220">
        <f t="shared" si="1535"/>
        <v>0</v>
      </c>
      <c r="BJ488" s="220" t="s">
        <v>2429</v>
      </c>
      <c r="BK488" s="220"/>
      <c r="BL488" s="223">
        <f t="shared" si="1422"/>
        <v>25.299999999999997</v>
      </c>
      <c r="BM488" s="220">
        <v>6.92</v>
      </c>
      <c r="BN488" s="220"/>
      <c r="BO488" s="220">
        <f t="shared" si="1573"/>
        <v>6.92</v>
      </c>
      <c r="BP488" s="220">
        <f>IF(AND(BL488&gt;0,BL488&lt;tiet!$D$1),BL488,IF(BL488&lt;=0,0,IF(BL488&gt;tiet!$C$1,tiet!$C$1)))</f>
        <v>25.299999999999997</v>
      </c>
      <c r="BQ488" s="87">
        <f t="shared" si="1552"/>
        <v>80000</v>
      </c>
      <c r="BR488" s="224">
        <f t="shared" si="1544"/>
        <v>2024000</v>
      </c>
      <c r="BS488" s="220">
        <f t="shared" si="1478"/>
        <v>0</v>
      </c>
      <c r="BT488" s="224">
        <f>VLOOKUP(N488,ma_dinhmuc!$A$1:$J$31,10,0)</f>
        <v>65000</v>
      </c>
      <c r="BU488" s="224">
        <f>ROUND(IF(BS488&gt;0,VLOOKUP(N488,ma_dinhmuc!$A$1:$J$31,10,0)*BS488,0),0)</f>
        <v>0</v>
      </c>
      <c r="BV488" s="224">
        <f t="shared" si="1545"/>
        <v>2024000</v>
      </c>
      <c r="BW488" s="224"/>
      <c r="BX488" s="224">
        <v>0</v>
      </c>
      <c r="BY488" s="224"/>
      <c r="BZ488" s="224"/>
      <c r="CA488" s="224"/>
      <c r="CB488" s="224"/>
      <c r="CC488" s="225">
        <f t="shared" si="1419"/>
        <v>2024000</v>
      </c>
      <c r="CD488" s="224">
        <f t="shared" si="1420"/>
        <v>0</v>
      </c>
      <c r="CE488" s="224"/>
      <c r="CF488" s="226"/>
      <c r="CG488" s="87"/>
      <c r="CH488" s="87">
        <f t="shared" ref="CH488:CH494" si="1576">A488</f>
        <v>66</v>
      </c>
      <c r="CI488" s="227" t="str">
        <f t="shared" si="1572"/>
        <v>Nguyễn Thị</v>
      </c>
      <c r="CJ488" s="227" t="str">
        <f t="shared" si="1572"/>
        <v>Lan</v>
      </c>
      <c r="CK488" s="87">
        <f t="shared" ref="CK488:CK493" si="1577">H488</f>
        <v>9</v>
      </c>
      <c r="CL488" s="227" t="str">
        <f t="shared" ref="CL488:CL493" si="1578">L488</f>
        <v xml:space="preserve">Bệnh lý thú y   </v>
      </c>
      <c r="CM488" s="87" t="str">
        <f t="shared" si="1536"/>
        <v>CS4</v>
      </c>
      <c r="CN488" s="87">
        <f t="shared" ref="CN488:CO491" si="1579">Q488</f>
        <v>270</v>
      </c>
      <c r="CO488" s="87">
        <f t="shared" si="1579"/>
        <v>200</v>
      </c>
      <c r="CP488" s="229">
        <f t="shared" si="1483"/>
        <v>0</v>
      </c>
      <c r="CQ488" s="229">
        <f t="shared" si="1484"/>
        <v>11.5</v>
      </c>
      <c r="CR488" s="229">
        <f t="shared" si="1485"/>
        <v>4.5999999999999996</v>
      </c>
      <c r="CS488" s="229">
        <f t="shared" si="1486"/>
        <v>0</v>
      </c>
      <c r="CT488" s="229">
        <f t="shared" si="1487"/>
        <v>0</v>
      </c>
      <c r="CU488" s="229">
        <f t="shared" si="1488"/>
        <v>39.4</v>
      </c>
      <c r="CV488" s="229">
        <f t="shared" si="1489"/>
        <v>0</v>
      </c>
      <c r="CW488" s="229">
        <f t="shared" si="1490"/>
        <v>0</v>
      </c>
      <c r="CX488" s="229">
        <f t="shared" si="1491"/>
        <v>0</v>
      </c>
      <c r="CY488" s="229">
        <f t="shared" si="1492"/>
        <v>0</v>
      </c>
      <c r="CZ488" s="229">
        <f t="shared" si="1493"/>
        <v>0</v>
      </c>
      <c r="DA488" s="229">
        <f t="shared" si="1494"/>
        <v>140</v>
      </c>
      <c r="DB488" s="228">
        <f t="shared" si="1429"/>
        <v>195.5</v>
      </c>
      <c r="DC488" s="229"/>
      <c r="DD488" s="229"/>
      <c r="DE488" s="229"/>
      <c r="DF488" s="229"/>
      <c r="DG488" s="229"/>
      <c r="DH488" s="229"/>
      <c r="DI488" s="229"/>
      <c r="DJ488" s="229"/>
      <c r="DK488" s="229"/>
      <c r="DL488" s="229"/>
      <c r="DM488" s="229"/>
      <c r="DN488" s="229"/>
      <c r="DO488" s="228">
        <f t="shared" si="1440"/>
        <v>0</v>
      </c>
      <c r="DP488" s="228">
        <f t="shared" si="1441"/>
        <v>195.5</v>
      </c>
      <c r="DQ488" s="229">
        <f t="shared" si="1495"/>
        <v>9</v>
      </c>
      <c r="DR488" s="229">
        <f t="shared" si="1496"/>
        <v>0.9</v>
      </c>
      <c r="DS488" s="229">
        <f t="shared" si="1497"/>
        <v>0</v>
      </c>
      <c r="DT488" s="229">
        <f t="shared" si="1498"/>
        <v>0.4</v>
      </c>
      <c r="DU488" s="229">
        <f t="shared" si="1499"/>
        <v>0</v>
      </c>
      <c r="DV488" s="229">
        <f t="shared" si="1500"/>
        <v>100</v>
      </c>
      <c r="DW488" s="229">
        <f t="shared" si="1501"/>
        <v>40</v>
      </c>
      <c r="DX488" s="228">
        <f t="shared" si="1430"/>
        <v>150.30000000000001</v>
      </c>
      <c r="DY488" s="229"/>
      <c r="DZ488" s="229"/>
      <c r="EA488" s="229"/>
      <c r="EB488" s="229"/>
      <c r="EC488" s="229"/>
      <c r="ED488" s="229"/>
      <c r="EE488" s="229"/>
      <c r="EF488" s="228">
        <f t="shared" si="1480"/>
        <v>0</v>
      </c>
      <c r="EG488" s="228">
        <f t="shared" si="1442"/>
        <v>150.30000000000001</v>
      </c>
      <c r="EH488" s="229">
        <f t="shared" si="1481"/>
        <v>289.52999999999997</v>
      </c>
      <c r="EI488" s="229">
        <v>274.29000000000002</v>
      </c>
      <c r="EJ488" s="228">
        <f>SUM(EH488:EI488)</f>
        <v>563.81999999999994</v>
      </c>
      <c r="EK488" s="229"/>
      <c r="EL488" s="229"/>
      <c r="EM488" s="228">
        <f>SUM(EK488:EL488)</f>
        <v>0</v>
      </c>
      <c r="EN488" s="229">
        <f t="shared" si="1423"/>
        <v>289.52999999999997</v>
      </c>
      <c r="EO488" s="229">
        <f t="shared" si="1451"/>
        <v>274.29000000000002</v>
      </c>
      <c r="EP488" s="228">
        <f>EM488+EJ488</f>
        <v>563.81999999999994</v>
      </c>
      <c r="EQ488" s="173">
        <f t="shared" si="1479"/>
        <v>259.52999999999997</v>
      </c>
      <c r="ER488" s="189">
        <v>0</v>
      </c>
      <c r="ES488" s="189">
        <v>11.5</v>
      </c>
      <c r="ET488" s="189">
        <v>4.5999999999999996</v>
      </c>
      <c r="EU488" s="189">
        <v>0</v>
      </c>
      <c r="EV488" s="189">
        <v>0</v>
      </c>
      <c r="EW488" s="189">
        <v>39.4</v>
      </c>
      <c r="EX488" s="189">
        <v>0</v>
      </c>
      <c r="EY488" s="189">
        <v>0</v>
      </c>
      <c r="EZ488" s="189">
        <v>0</v>
      </c>
      <c r="FA488" s="189">
        <v>0</v>
      </c>
      <c r="FB488" s="189">
        <v>0</v>
      </c>
      <c r="FC488" s="189">
        <v>140</v>
      </c>
      <c r="FD488" s="189">
        <v>9</v>
      </c>
      <c r="FE488" s="189">
        <v>0.9</v>
      </c>
      <c r="FF488" s="189">
        <v>0</v>
      </c>
      <c r="FG488" s="189">
        <v>0.4</v>
      </c>
      <c r="FH488" s="189">
        <v>100</v>
      </c>
      <c r="FI488" s="189">
        <v>0</v>
      </c>
      <c r="FJ488" s="189">
        <v>40</v>
      </c>
      <c r="FK488" s="189">
        <v>345.8</v>
      </c>
      <c r="FL488" s="189">
        <v>319</v>
      </c>
      <c r="FN488" s="132">
        <v>289.52999999999997</v>
      </c>
    </row>
    <row r="489" spans="1:170" ht="30" customHeight="1">
      <c r="A489" s="88">
        <f>COUNTIF($H$12:H489,H489)</f>
        <v>67</v>
      </c>
      <c r="B489" s="88" t="s">
        <v>138</v>
      </c>
      <c r="C489" s="88" t="s">
        <v>841</v>
      </c>
      <c r="D489" s="88"/>
      <c r="E489" s="88"/>
      <c r="F489" s="301" t="s">
        <v>3028</v>
      </c>
      <c r="G489" s="89" t="s">
        <v>2784</v>
      </c>
      <c r="H489" s="88">
        <v>9</v>
      </c>
      <c r="I489" s="88">
        <v>9</v>
      </c>
      <c r="J489" s="88">
        <v>9</v>
      </c>
      <c r="K489" s="90" t="s">
        <v>1107</v>
      </c>
      <c r="L489" s="90" t="s">
        <v>1107</v>
      </c>
      <c r="M489" s="214"/>
      <c r="N489" s="88" t="s">
        <v>605</v>
      </c>
      <c r="O489" s="216">
        <f>BO489</f>
        <v>6.56</v>
      </c>
      <c r="P489" s="88" t="str">
        <f t="shared" si="1519"/>
        <v>B1_7</v>
      </c>
      <c r="Q489" s="88">
        <f t="shared" si="1567"/>
        <v>270</v>
      </c>
      <c r="R489" s="88">
        <f t="shared" si="1568"/>
        <v>200</v>
      </c>
      <c r="S489" s="218" t="s">
        <v>2389</v>
      </c>
      <c r="T489" s="88" t="s">
        <v>3093</v>
      </c>
      <c r="U489" s="88">
        <f>IF(RIGHT(T489,1)="K",(VLOOKUP(T489,ma_miengiam!$A$3:$B$80,2,0)*100)/2,VLOOKUP(T489,ma_miengiam!$A$3:$B$80,2,0)*100)</f>
        <v>30</v>
      </c>
      <c r="V489" s="88"/>
      <c r="W489" s="220">
        <f>IF(AND(T489="NTS",V489&gt;0),(Q489-(Q489*V489)/12)*VLOOKUP(T489,ma_miengiam!$A$3:$B$80,2,0)+(Q489-(Q489*(12-V489))/12),IF(AND(RIGHT(T489,1)="K",V489&gt;0),(VLOOKUP(T489,ma_miengiam!$A$3:$B$80,2,0)/2)*(Q489*V489)/12,IF(RIGHT(T489,1)="K",(VLOOKUP(T489,ma_miengiam!$A$3:$B$80,2,0)*Q489)/2,IF(V489&gt;0,VLOOKUP(T489,ma_miengiam!$A$3:$B$80,2,0)*Q489*V489/12,VLOOKUP(T489,ma_miengiam!$A$3:$B$80,2,0)*Q489))))</f>
        <v>81</v>
      </c>
      <c r="X489" s="220">
        <f>IF(T489="NTS",VLOOKUP(T489,ma_miengiam!$A$3:$B$80,2,0)*R489*V489,IF(AND(T489="NTS",V489=0),0,IF(AND(LEFT(T489,1)="K",V489=0),VLOOKUP(T489,ma_miengiam!$A$3:$B$80,2,0)*R489,IF(LEFT(T489,1)="K",(VLOOKUP(T489,ma_miengiam!$A$3:$B$80,2,0)*R489/12)*V489,IF(AND(LEFT(T489,1)="S",V489&gt;0),(R489/12)*V489,IF(AND(LEFT(T489,1)="S",V489=0),R489,IF(T489="DH",VLOOKUP(T489,ma_miengiam!$A$3:$B$80,2,0)*R489,0)))))))</f>
        <v>0</v>
      </c>
      <c r="Y489" s="220">
        <f>IF(AND(T489="DH",V489&gt;0),(S489*V489/12),IF(AND(T489&lt;&gt;"NTS",V489&gt;0),(Q489*V489/12)-W489,IF(AND(T489="NTS",V489&gt;0),Q489-W489,Q489-W489)))</f>
        <v>189</v>
      </c>
      <c r="Z489" s="220">
        <f>IF(AND(T489="SĐH",V489&gt;0),(R489/12)*V489-X489,IF(AND(T489="DH",V489&gt;0),(R489*V489/12),IF(AND(T489&lt;&gt;"NTS",V489&gt;0),(R489*V489/12)-X489,IF(AND(T489="NTS",V489&gt;0),R489-X489,R489-X489))))</f>
        <v>200</v>
      </c>
      <c r="AA489" s="220">
        <f>Q489</f>
        <v>270</v>
      </c>
      <c r="AB489" s="220">
        <f>R489</f>
        <v>200</v>
      </c>
      <c r="AC489" s="220">
        <f t="shared" si="1575"/>
        <v>81</v>
      </c>
      <c r="AD489" s="220">
        <f t="shared" si="1575"/>
        <v>0</v>
      </c>
      <c r="AE489" s="220">
        <f t="shared" si="1575"/>
        <v>189</v>
      </c>
      <c r="AF489" s="220">
        <f t="shared" si="1575"/>
        <v>200</v>
      </c>
      <c r="AG489" s="220">
        <f>AH489+AI489</f>
        <v>403.41999999999996</v>
      </c>
      <c r="AH489" s="220">
        <f>EO489</f>
        <v>88.64</v>
      </c>
      <c r="AI489" s="220">
        <f>EN489</f>
        <v>314.77999999999997</v>
      </c>
      <c r="AJ489" s="220">
        <f>IF(AG489-Z489&gt;0,0,AG489-Z489)</f>
        <v>0</v>
      </c>
      <c r="AK489" s="216">
        <f t="shared" si="1454"/>
        <v>189</v>
      </c>
      <c r="AL489" s="220">
        <f t="shared" si="1431"/>
        <v>96.1</v>
      </c>
      <c r="AM489" s="220">
        <f t="shared" si="1432"/>
        <v>75.100000000000009</v>
      </c>
      <c r="AN489" s="221">
        <f t="shared" si="1433"/>
        <v>171.2</v>
      </c>
      <c r="AO489" s="220">
        <f t="shared" si="1434"/>
        <v>0</v>
      </c>
      <c r="AP489" s="220">
        <f t="shared" si="1435"/>
        <v>0</v>
      </c>
      <c r="AQ489" s="220">
        <f t="shared" si="1436"/>
        <v>220</v>
      </c>
      <c r="AR489" s="220">
        <f t="shared" si="1437"/>
        <v>56</v>
      </c>
      <c r="AS489" s="220">
        <f t="shared" si="1438"/>
        <v>40</v>
      </c>
      <c r="AT489" s="216">
        <f t="shared" si="1439"/>
        <v>487.2</v>
      </c>
      <c r="AU489" s="222">
        <f>AN489-AK489</f>
        <v>-17.800000000000011</v>
      </c>
      <c r="AV489" s="220"/>
      <c r="AW489" s="220">
        <f>IF(AU489&gt;0,AU489,AV489+AU489)</f>
        <v>-17.800000000000011</v>
      </c>
      <c r="AX489" s="216">
        <f t="shared" si="1448"/>
        <v>-17.800000000000011</v>
      </c>
      <c r="AY489" s="220">
        <f>IF(AN489&gt;=AK489,AO489,IF(AN489+AO489-AK489&gt;=0,AN489+AO489-AK489,0))</f>
        <v>0</v>
      </c>
      <c r="AZ489" s="220">
        <f>IF(OR(AN489&gt;=AK489,AN489+AO489&gt;=AK489),AP489,IF(AN489+AO489+AP489&gt;AK489,AN489+AO489+AP489-AK489,0))</f>
        <v>0</v>
      </c>
      <c r="BA489" s="220">
        <f>IF(OR(AN489&gt;=AK489,AN489+AO489&gt;=AK489,AN489+AO489+AP489&gt;=AK489),AQ489,IF(AN489+AO489+AP489+AQ489&gt;=AK489,AN489+AO489+AP489+AQ489-AK489,0))</f>
        <v>202.2</v>
      </c>
      <c r="BB489" s="220">
        <f>IF(OR(AN489&gt;=AK489,AN489+AO489&gt;=AK489,AN489+AO489+AP489&gt;=AK489,AN489+AO489+AP489+AQ489&gt;=AK489),AR489,IF(AN489+AO489+AP489+AQ489+AR489&gt;=AK489,AN489+AO489+AP489+AQ489+AR489-AK489,0))</f>
        <v>56</v>
      </c>
      <c r="BC489" s="220">
        <f>IF(OR(AN489&gt;=AK489,AN489+AO489&gt;=AK489,AN489+AO489+AP489&gt;=AK489,AN489+AO489+AP489+AQ489&gt;=AK489,AN489+AO489+AP489+AQ489+AR489&gt;=AK489),AS489,IF(AN489+AO489+AP489+AQ489+AR489+AS489&gt;=AK489,AN489+AO489+AP489+AQ489+AR489+AS489-AK489,0))</f>
        <v>40</v>
      </c>
      <c r="BD489" s="216">
        <f t="shared" si="1410"/>
        <v>298.2</v>
      </c>
      <c r="BE489" s="220">
        <f>AY489-AO489</f>
        <v>0</v>
      </c>
      <c r="BF489" s="220">
        <f>AZ489-AP489</f>
        <v>0</v>
      </c>
      <c r="BG489" s="220">
        <f>BA489-AQ489</f>
        <v>-17.800000000000011</v>
      </c>
      <c r="BH489" s="220">
        <f>BB489-AR489</f>
        <v>0</v>
      </c>
      <c r="BI489" s="220">
        <f>BC489-AS489</f>
        <v>0</v>
      </c>
      <c r="BJ489" s="220" t="s">
        <v>2429</v>
      </c>
      <c r="BK489" s="220"/>
      <c r="BL489" s="223">
        <f t="shared" si="1422"/>
        <v>0</v>
      </c>
      <c r="BM489" s="220">
        <v>6.56</v>
      </c>
      <c r="BN489" s="220"/>
      <c r="BO489" s="220">
        <f t="shared" si="1573"/>
        <v>6.56</v>
      </c>
      <c r="BP489" s="220">
        <f>IF(AND(BL489&gt;0,BL489&lt;tiet!$D$1),BL489,IF(BL489&lt;=0,0,IF(BL489&gt;tiet!$C$1,tiet!$C$1)))</f>
        <v>0</v>
      </c>
      <c r="BQ489" s="87">
        <f>VLOOKUP(P489,ma_dinhmuc_moi,4,0)</f>
        <v>80000</v>
      </c>
      <c r="BR489" s="224">
        <f>ROUND(BQ489*BP489,0)</f>
        <v>0</v>
      </c>
      <c r="BS489" s="220">
        <f t="shared" si="1478"/>
        <v>0</v>
      </c>
      <c r="BT489" s="224">
        <f>VLOOKUP(N489,ma_dinhmuc!$A$1:$J$31,10,0)</f>
        <v>65000</v>
      </c>
      <c r="BU489" s="224">
        <f>ROUND(IF(BS489&gt;0,VLOOKUP(N489,ma_dinhmuc!$A$1:$J$31,10,0)*BS489,0),0)</f>
        <v>0</v>
      </c>
      <c r="BV489" s="224">
        <f>ROUND(BU489+BR489,0)</f>
        <v>0</v>
      </c>
      <c r="BW489" s="224"/>
      <c r="BX489" s="224">
        <v>0</v>
      </c>
      <c r="BY489" s="224"/>
      <c r="BZ489" s="224"/>
      <c r="CA489" s="224"/>
      <c r="CB489" s="224"/>
      <c r="CC489" s="225">
        <f>ROUND(IF(BV489+BW489&gt;BX489+BY489+BZ489+CA489+CB489,(BW489+BV489)-(BX489+BY489+BZ489+CA489+CB489+CB489),0),0)</f>
        <v>0</v>
      </c>
      <c r="CD489" s="224">
        <f>ROUND(IF(BV489+BW489&lt;BX489+BY489+BZ489+CA489-CB489,(BX489+BY489+BZ489+CA489-CB489)-(BW489+BV489),0),0)</f>
        <v>0</v>
      </c>
      <c r="CE489" s="224"/>
      <c r="CF489" s="226"/>
      <c r="CG489" s="87"/>
      <c r="CH489" s="87">
        <f>A489</f>
        <v>67</v>
      </c>
      <c r="CI489" s="227" t="str">
        <f t="shared" si="1572"/>
        <v>Bùi Trần Anh</v>
      </c>
      <c r="CJ489" s="227" t="str">
        <f t="shared" si="1572"/>
        <v>Đào</v>
      </c>
      <c r="CK489" s="87">
        <f>H489</f>
        <v>9</v>
      </c>
      <c r="CL489" s="227" t="str">
        <f>L489</f>
        <v xml:space="preserve">Bệnh lý thú y   </v>
      </c>
      <c r="CM489" s="87" t="str">
        <f>N489</f>
        <v>CS4</v>
      </c>
      <c r="CN489" s="87">
        <f>Q489</f>
        <v>270</v>
      </c>
      <c r="CO489" s="87">
        <f>R489</f>
        <v>200</v>
      </c>
      <c r="CP489" s="229">
        <f t="shared" si="1483"/>
        <v>0</v>
      </c>
      <c r="CQ489" s="229">
        <f t="shared" si="1484"/>
        <v>19.3</v>
      </c>
      <c r="CR489" s="229">
        <f t="shared" si="1485"/>
        <v>7.8</v>
      </c>
      <c r="CS489" s="229">
        <f t="shared" si="1486"/>
        <v>0</v>
      </c>
      <c r="CT489" s="229">
        <f t="shared" si="1487"/>
        <v>0</v>
      </c>
      <c r="CU489" s="229">
        <f t="shared" si="1488"/>
        <v>69</v>
      </c>
      <c r="CV489" s="229">
        <f t="shared" si="1489"/>
        <v>0</v>
      </c>
      <c r="CW489" s="229">
        <f t="shared" si="1490"/>
        <v>0</v>
      </c>
      <c r="CX489" s="229">
        <f t="shared" si="1491"/>
        <v>0</v>
      </c>
      <c r="CY489" s="229">
        <f t="shared" si="1492"/>
        <v>0</v>
      </c>
      <c r="CZ489" s="229">
        <f t="shared" si="1493"/>
        <v>0</v>
      </c>
      <c r="DA489" s="229">
        <f t="shared" si="1494"/>
        <v>220</v>
      </c>
      <c r="DB489" s="228">
        <f t="shared" si="1429"/>
        <v>316.10000000000002</v>
      </c>
      <c r="DC489" s="229"/>
      <c r="DD489" s="229"/>
      <c r="DE489" s="229"/>
      <c r="DF489" s="229"/>
      <c r="DG489" s="229"/>
      <c r="DH489" s="229"/>
      <c r="DI489" s="229"/>
      <c r="DJ489" s="229"/>
      <c r="DK489" s="229"/>
      <c r="DL489" s="229"/>
      <c r="DM489" s="229"/>
      <c r="DN489" s="229"/>
      <c r="DO489" s="228">
        <f t="shared" si="1440"/>
        <v>0</v>
      </c>
      <c r="DP489" s="228">
        <f t="shared" si="1441"/>
        <v>316.10000000000002</v>
      </c>
      <c r="DQ489" s="229">
        <f t="shared" si="1495"/>
        <v>72</v>
      </c>
      <c r="DR489" s="229">
        <f t="shared" si="1496"/>
        <v>2.2000000000000002</v>
      </c>
      <c r="DS489" s="229">
        <f t="shared" si="1497"/>
        <v>0</v>
      </c>
      <c r="DT489" s="229">
        <f t="shared" si="1498"/>
        <v>0.9</v>
      </c>
      <c r="DU489" s="229">
        <f t="shared" si="1499"/>
        <v>0</v>
      </c>
      <c r="DV489" s="229">
        <f t="shared" si="1500"/>
        <v>56</v>
      </c>
      <c r="DW489" s="229">
        <f t="shared" si="1501"/>
        <v>40</v>
      </c>
      <c r="DX489" s="228">
        <f t="shared" si="1430"/>
        <v>171.10000000000002</v>
      </c>
      <c r="DY489" s="229"/>
      <c r="DZ489" s="229"/>
      <c r="EA489" s="229"/>
      <c r="EB489" s="229"/>
      <c r="EC489" s="229"/>
      <c r="ED489" s="229"/>
      <c r="EE489" s="229"/>
      <c r="EF489" s="228">
        <f t="shared" si="1480"/>
        <v>0</v>
      </c>
      <c r="EG489" s="228">
        <f t="shared" si="1442"/>
        <v>171.10000000000002</v>
      </c>
      <c r="EH489" s="229">
        <f t="shared" si="1481"/>
        <v>314.77999999999997</v>
      </c>
      <c r="EI489" s="229">
        <v>88.64</v>
      </c>
      <c r="EJ489" s="228">
        <f>SUM(EH489:EI489)</f>
        <v>403.41999999999996</v>
      </c>
      <c r="EK489" s="229"/>
      <c r="EL489" s="229"/>
      <c r="EM489" s="228">
        <f>SUM(EK489:EL489)</f>
        <v>0</v>
      </c>
      <c r="EN489" s="229">
        <f>EK489+EH489+EL489</f>
        <v>314.77999999999997</v>
      </c>
      <c r="EO489" s="229">
        <f>EI489</f>
        <v>88.64</v>
      </c>
      <c r="EP489" s="228">
        <f>EM489+EJ489</f>
        <v>403.41999999999996</v>
      </c>
      <c r="EQ489" s="173">
        <f t="shared" si="1479"/>
        <v>114.77999999999997</v>
      </c>
      <c r="ER489" s="189">
        <v>0</v>
      </c>
      <c r="ES489" s="189">
        <v>19.3</v>
      </c>
      <c r="ET489" s="189">
        <v>7.8</v>
      </c>
      <c r="EU489" s="189">
        <v>0</v>
      </c>
      <c r="EV489" s="189">
        <v>0</v>
      </c>
      <c r="EW489" s="189">
        <v>69</v>
      </c>
      <c r="EX489" s="189">
        <v>0</v>
      </c>
      <c r="EY489" s="189">
        <v>0</v>
      </c>
      <c r="EZ489" s="189">
        <v>0</v>
      </c>
      <c r="FA489" s="189">
        <v>0</v>
      </c>
      <c r="FB489" s="189">
        <v>0</v>
      </c>
      <c r="FC489" s="189">
        <v>220</v>
      </c>
      <c r="FD489" s="189">
        <v>72</v>
      </c>
      <c r="FE489" s="189">
        <v>2.2000000000000002</v>
      </c>
      <c r="FF489" s="189">
        <v>0</v>
      </c>
      <c r="FG489" s="189">
        <v>0.9</v>
      </c>
      <c r="FH489" s="189">
        <v>56</v>
      </c>
      <c r="FI489" s="189">
        <v>0</v>
      </c>
      <c r="FJ489" s="189">
        <v>40</v>
      </c>
      <c r="FK489" s="189">
        <v>487.2</v>
      </c>
      <c r="FL489" s="189">
        <v>426</v>
      </c>
      <c r="FN489" s="132">
        <v>314.77999999999997</v>
      </c>
    </row>
    <row r="490" spans="1:170" ht="30" customHeight="1">
      <c r="A490" s="88">
        <f>COUNTIF($H$12:H490,H490)</f>
        <v>68</v>
      </c>
      <c r="B490" s="88" t="s">
        <v>139</v>
      </c>
      <c r="C490" s="88" t="s">
        <v>842</v>
      </c>
      <c r="D490" s="88"/>
      <c r="E490" s="88"/>
      <c r="F490" s="301" t="s">
        <v>3029</v>
      </c>
      <c r="G490" s="89" t="s">
        <v>24</v>
      </c>
      <c r="H490" s="88">
        <v>9</v>
      </c>
      <c r="I490" s="88">
        <v>9</v>
      </c>
      <c r="J490" s="88">
        <v>9</v>
      </c>
      <c r="K490" s="90" t="s">
        <v>1107</v>
      </c>
      <c r="L490" s="90" t="s">
        <v>1107</v>
      </c>
      <c r="M490" s="214"/>
      <c r="N490" s="88" t="s">
        <v>1804</v>
      </c>
      <c r="O490" s="216">
        <f t="shared" si="1574"/>
        <v>3</v>
      </c>
      <c r="P490" s="88" t="str">
        <f t="shared" si="1519"/>
        <v>B1_3</v>
      </c>
      <c r="Q490" s="88">
        <f t="shared" si="1567"/>
        <v>270</v>
      </c>
      <c r="R490" s="88">
        <f t="shared" si="1568"/>
        <v>100</v>
      </c>
      <c r="S490" s="233"/>
      <c r="T490" s="88" t="s">
        <v>3088</v>
      </c>
      <c r="U490" s="88">
        <f>IF(RIGHT(T490,1)="K",(VLOOKUP(T490,ma_miengiam!$A$3:$B$80,2,0)*100)/2,VLOOKUP(T490,ma_miengiam!$A$3:$B$80,2,0)*100)</f>
        <v>0</v>
      </c>
      <c r="V490" s="88"/>
      <c r="W490" s="220">
        <f>IF(AND(T490="NTS",V490&gt;0),(Q490-(Q490*V490)/12)*VLOOKUP(T490,ma_miengiam!$A$3:$B$80,2,0)+(Q490-(Q490*(12-V490))/12),IF(AND(RIGHT(T490,1)="K",V490&gt;0),(VLOOKUP(T490,ma_miengiam!$A$3:$B$80,2,0)/2)*(Q490*V490)/12,IF(RIGHT(T490,1)="K",(VLOOKUP(T490,ma_miengiam!$A$3:$B$80,2,0)*Q490)/2,IF(V490&gt;0,VLOOKUP(T490,ma_miengiam!$A$3:$B$80,2,0)*Q490*V490/12,VLOOKUP(T490,ma_miengiam!$A$3:$B$80,2,0)*Q490))))</f>
        <v>0</v>
      </c>
      <c r="X490" s="220">
        <f>IF(T490="NTS",VLOOKUP(T490,ma_miengiam!$A$3:$B$80,2,0)*R490*V490,IF(AND(T490="NTS",V490=0),0,IF(AND(LEFT(T490,1)="K",V490=0),VLOOKUP(T490,ma_miengiam!$A$3:$B$80,2,0)*R490,IF(LEFT(T490,1)="K",(VLOOKUP(T490,ma_miengiam!$A$3:$B$80,2,0)*R490/12)*V490,IF(AND(LEFT(T490,1)="S",V490&gt;0),(R490/12)*V490,IF(AND(LEFT(T490,1)="S",V490=0),R490,IF(T490="DH",VLOOKUP(T490,ma_miengiam!$A$3:$B$80,2,0)*R490,0)))))))</f>
        <v>0</v>
      </c>
      <c r="Y490" s="220">
        <f t="shared" si="1521"/>
        <v>270</v>
      </c>
      <c r="Z490" s="220">
        <f t="shared" si="1569"/>
        <v>100</v>
      </c>
      <c r="AA490" s="220">
        <f t="shared" ref="AA490:AA499" si="1580">Q490</f>
        <v>270</v>
      </c>
      <c r="AB490" s="220">
        <f t="shared" ref="AB490:AB499" si="1581">R490</f>
        <v>100</v>
      </c>
      <c r="AC490" s="220">
        <f t="shared" ref="AC490:AC498" si="1582">W490</f>
        <v>0</v>
      </c>
      <c r="AD490" s="220">
        <f t="shared" ref="AD490:AD498" si="1583">X490</f>
        <v>0</v>
      </c>
      <c r="AE490" s="220">
        <f t="shared" ref="AE490:AE498" si="1584">Y490</f>
        <v>270</v>
      </c>
      <c r="AF490" s="220">
        <f t="shared" ref="AF490:AF498" si="1585">Z490</f>
        <v>100</v>
      </c>
      <c r="AG490" s="220">
        <f t="shared" ref="AG490:AG499" si="1586">AH490+AI490</f>
        <v>99.34</v>
      </c>
      <c r="AH490" s="220">
        <f t="shared" ref="AH490:AH499" si="1587">EO490</f>
        <v>0</v>
      </c>
      <c r="AI490" s="220">
        <f t="shared" ref="AI490:AI499" si="1588">EN490</f>
        <v>99.34</v>
      </c>
      <c r="AJ490" s="220">
        <f t="shared" si="1551"/>
        <v>-0.65999999999999659</v>
      </c>
      <c r="AK490" s="216">
        <f t="shared" si="1454"/>
        <v>270.65999999999997</v>
      </c>
      <c r="AL490" s="220">
        <f t="shared" si="1431"/>
        <v>655.9</v>
      </c>
      <c r="AM490" s="220">
        <f t="shared" si="1432"/>
        <v>0</v>
      </c>
      <c r="AN490" s="221">
        <f t="shared" si="1433"/>
        <v>655.9</v>
      </c>
      <c r="AO490" s="220">
        <f t="shared" si="1434"/>
        <v>0</v>
      </c>
      <c r="AP490" s="220">
        <f t="shared" si="1435"/>
        <v>75</v>
      </c>
      <c r="AQ490" s="220">
        <f t="shared" si="1436"/>
        <v>120</v>
      </c>
      <c r="AR490" s="220">
        <f t="shared" si="1437"/>
        <v>0</v>
      </c>
      <c r="AS490" s="220">
        <f t="shared" si="1438"/>
        <v>0</v>
      </c>
      <c r="AT490" s="216">
        <f t="shared" si="1439"/>
        <v>850.9</v>
      </c>
      <c r="AU490" s="220">
        <f t="shared" si="1447"/>
        <v>385.24</v>
      </c>
      <c r="AV490" s="220"/>
      <c r="AW490" s="220">
        <f t="shared" si="1530"/>
        <v>385.24</v>
      </c>
      <c r="AX490" s="216">
        <f t="shared" si="1448"/>
        <v>0</v>
      </c>
      <c r="AY490" s="220">
        <f t="shared" si="1537"/>
        <v>0</v>
      </c>
      <c r="AZ490" s="220">
        <f t="shared" si="1538"/>
        <v>75</v>
      </c>
      <c r="BA490" s="220">
        <f t="shared" si="1539"/>
        <v>120</v>
      </c>
      <c r="BB490" s="220">
        <f t="shared" si="1540"/>
        <v>0</v>
      </c>
      <c r="BC490" s="220">
        <f t="shared" si="1541"/>
        <v>0</v>
      </c>
      <c r="BD490" s="216">
        <f t="shared" si="1410"/>
        <v>195</v>
      </c>
      <c r="BE490" s="220">
        <f t="shared" si="1531"/>
        <v>0</v>
      </c>
      <c r="BF490" s="220">
        <f t="shared" si="1532"/>
        <v>0</v>
      </c>
      <c r="BG490" s="220">
        <f t="shared" si="1533"/>
        <v>0</v>
      </c>
      <c r="BH490" s="220">
        <f t="shared" si="1534"/>
        <v>0</v>
      </c>
      <c r="BI490" s="220">
        <f t="shared" si="1535"/>
        <v>0</v>
      </c>
      <c r="BJ490" s="220" t="s">
        <v>2429</v>
      </c>
      <c r="BK490" s="220"/>
      <c r="BL490" s="223">
        <f t="shared" si="1422"/>
        <v>385.24</v>
      </c>
      <c r="BM490" s="220">
        <v>3</v>
      </c>
      <c r="BN490" s="220"/>
      <c r="BO490" s="220">
        <f t="shared" si="1573"/>
        <v>3</v>
      </c>
      <c r="BP490" s="220">
        <f>IF(AND(BL490&gt;0,BL490&lt;tiet!$D$1),BL490,IF(BL490&lt;=0,0,IF(BL490&gt;tiet!$C$1,tiet!$C$1)))</f>
        <v>200</v>
      </c>
      <c r="BQ490" s="87">
        <f t="shared" si="1552"/>
        <v>60000</v>
      </c>
      <c r="BR490" s="224">
        <f t="shared" si="1544"/>
        <v>12000000</v>
      </c>
      <c r="BS490" s="220">
        <f t="shared" si="1478"/>
        <v>185.24</v>
      </c>
      <c r="BT490" s="224">
        <f>VLOOKUP(N490,ma_dinhmuc!$A$1:$J$31,10,0)</f>
        <v>51000</v>
      </c>
      <c r="BU490" s="224">
        <f>ROUND(IF(BS490&gt;0,VLOOKUP(N490,ma_dinhmuc!$A$1:$J$31,10,0)*BS490,0),0)</f>
        <v>9447240</v>
      </c>
      <c r="BV490" s="224">
        <f t="shared" si="1545"/>
        <v>21447240</v>
      </c>
      <c r="BW490" s="224"/>
      <c r="BX490" s="224">
        <v>0</v>
      </c>
      <c r="BY490" s="224"/>
      <c r="BZ490" s="224"/>
      <c r="CA490" s="224"/>
      <c r="CB490" s="224"/>
      <c r="CC490" s="225">
        <f t="shared" si="1419"/>
        <v>21447240</v>
      </c>
      <c r="CD490" s="224">
        <f t="shared" si="1420"/>
        <v>0</v>
      </c>
      <c r="CE490" s="224"/>
      <c r="CF490" s="226"/>
      <c r="CG490" s="87"/>
      <c r="CH490" s="87">
        <f t="shared" si="1576"/>
        <v>68</v>
      </c>
      <c r="CI490" s="227" t="str">
        <f t="shared" si="1553"/>
        <v>Trần Minh</v>
      </c>
      <c r="CJ490" s="227" t="str">
        <f t="shared" si="1554"/>
        <v>Hải</v>
      </c>
      <c r="CK490" s="87">
        <f t="shared" si="1577"/>
        <v>9</v>
      </c>
      <c r="CL490" s="227" t="str">
        <f t="shared" si="1578"/>
        <v xml:space="preserve">Bệnh lý thú y   </v>
      </c>
      <c r="CM490" s="87" t="str">
        <f t="shared" si="1536"/>
        <v>CS2</v>
      </c>
      <c r="CN490" s="87">
        <f t="shared" si="1579"/>
        <v>270</v>
      </c>
      <c r="CO490" s="87">
        <f t="shared" si="1579"/>
        <v>100</v>
      </c>
      <c r="CP490" s="229">
        <f t="shared" si="1483"/>
        <v>0</v>
      </c>
      <c r="CQ490" s="229">
        <f t="shared" si="1484"/>
        <v>12.5</v>
      </c>
      <c r="CR490" s="229">
        <f t="shared" si="1485"/>
        <v>5</v>
      </c>
      <c r="CS490" s="229">
        <f t="shared" si="1486"/>
        <v>96</v>
      </c>
      <c r="CT490" s="229">
        <f t="shared" si="1487"/>
        <v>0</v>
      </c>
      <c r="CU490" s="229">
        <f t="shared" si="1488"/>
        <v>54.9</v>
      </c>
      <c r="CV490" s="229">
        <f t="shared" si="1489"/>
        <v>0</v>
      </c>
      <c r="CW490" s="229">
        <f t="shared" si="1490"/>
        <v>487.5</v>
      </c>
      <c r="CX490" s="229">
        <f t="shared" si="1491"/>
        <v>0</v>
      </c>
      <c r="CY490" s="229">
        <f t="shared" si="1492"/>
        <v>0</v>
      </c>
      <c r="CZ490" s="229">
        <f t="shared" si="1493"/>
        <v>75</v>
      </c>
      <c r="DA490" s="229">
        <f t="shared" si="1494"/>
        <v>120</v>
      </c>
      <c r="DB490" s="228">
        <f t="shared" si="1429"/>
        <v>850.9</v>
      </c>
      <c r="DC490" s="229"/>
      <c r="DD490" s="229"/>
      <c r="DE490" s="229"/>
      <c r="DF490" s="229"/>
      <c r="DG490" s="229"/>
      <c r="DH490" s="229"/>
      <c r="DI490" s="229"/>
      <c r="DJ490" s="229"/>
      <c r="DK490" s="229"/>
      <c r="DL490" s="229"/>
      <c r="DM490" s="229"/>
      <c r="DN490" s="229"/>
      <c r="DO490" s="228">
        <f t="shared" si="1440"/>
        <v>0</v>
      </c>
      <c r="DP490" s="228">
        <f t="shared" si="1441"/>
        <v>850.9</v>
      </c>
      <c r="DQ490" s="229">
        <f t="shared" si="1495"/>
        <v>0</v>
      </c>
      <c r="DR490" s="229">
        <f t="shared" si="1496"/>
        <v>0</v>
      </c>
      <c r="DS490" s="229">
        <f t="shared" si="1497"/>
        <v>0</v>
      </c>
      <c r="DT490" s="229">
        <f t="shared" si="1498"/>
        <v>0</v>
      </c>
      <c r="DU490" s="229">
        <f t="shared" si="1499"/>
        <v>0</v>
      </c>
      <c r="DV490" s="229">
        <f t="shared" si="1500"/>
        <v>0</v>
      </c>
      <c r="DW490" s="229">
        <f t="shared" si="1501"/>
        <v>0</v>
      </c>
      <c r="DX490" s="228">
        <f t="shared" si="1430"/>
        <v>0</v>
      </c>
      <c r="DY490" s="229"/>
      <c r="DZ490" s="229"/>
      <c r="EA490" s="229"/>
      <c r="EB490" s="229"/>
      <c r="EC490" s="229"/>
      <c r="ED490" s="229"/>
      <c r="EE490" s="229"/>
      <c r="EF490" s="228">
        <f t="shared" si="1480"/>
        <v>0</v>
      </c>
      <c r="EG490" s="228">
        <f t="shared" si="1442"/>
        <v>0</v>
      </c>
      <c r="EH490" s="229">
        <f t="shared" si="1481"/>
        <v>99.34</v>
      </c>
      <c r="EI490" s="229">
        <v>0</v>
      </c>
      <c r="EJ490" s="228">
        <f t="shared" si="1443"/>
        <v>99.34</v>
      </c>
      <c r="EK490" s="229"/>
      <c r="EL490" s="229"/>
      <c r="EM490" s="228">
        <f t="shared" si="1542"/>
        <v>0</v>
      </c>
      <c r="EN490" s="229">
        <f t="shared" si="1423"/>
        <v>99.34</v>
      </c>
      <c r="EO490" s="229">
        <f t="shared" si="1451"/>
        <v>0</v>
      </c>
      <c r="EP490" s="228">
        <f t="shared" si="1543"/>
        <v>99.34</v>
      </c>
      <c r="EQ490" s="173">
        <f t="shared" si="1479"/>
        <v>0</v>
      </c>
      <c r="ER490" s="189">
        <v>0</v>
      </c>
      <c r="ES490" s="189">
        <v>12.5</v>
      </c>
      <c r="ET490" s="189">
        <v>5</v>
      </c>
      <c r="EU490" s="189">
        <v>96</v>
      </c>
      <c r="EV490" s="189">
        <v>0</v>
      </c>
      <c r="EW490" s="189">
        <v>54.9</v>
      </c>
      <c r="EX490" s="189">
        <v>0</v>
      </c>
      <c r="EY490" s="189">
        <v>487.5</v>
      </c>
      <c r="EZ490" s="189">
        <v>0</v>
      </c>
      <c r="FA490" s="189">
        <v>0</v>
      </c>
      <c r="FB490" s="189">
        <v>75</v>
      </c>
      <c r="FC490" s="189">
        <v>120</v>
      </c>
      <c r="FD490" s="189">
        <v>0</v>
      </c>
      <c r="FE490" s="189">
        <v>0</v>
      </c>
      <c r="FF490" s="189">
        <v>0</v>
      </c>
      <c r="FG490" s="189">
        <v>0</v>
      </c>
      <c r="FH490" s="189">
        <v>0</v>
      </c>
      <c r="FI490" s="189">
        <v>0</v>
      </c>
      <c r="FJ490" s="189">
        <v>0</v>
      </c>
      <c r="FK490" s="189">
        <v>850.9</v>
      </c>
      <c r="FL490" s="189">
        <v>728</v>
      </c>
      <c r="FN490" s="132">
        <v>99.34</v>
      </c>
    </row>
    <row r="491" spans="1:170" ht="30" customHeight="1">
      <c r="A491" s="88">
        <f>COUNTIF($H$12:H491,H491)</f>
        <v>69</v>
      </c>
      <c r="B491" s="88" t="s">
        <v>140</v>
      </c>
      <c r="C491" s="88" t="s">
        <v>843</v>
      </c>
      <c r="D491" s="88"/>
      <c r="E491" s="88"/>
      <c r="F491" s="301" t="s">
        <v>634</v>
      </c>
      <c r="G491" s="89" t="s">
        <v>14</v>
      </c>
      <c r="H491" s="88">
        <v>9</v>
      </c>
      <c r="I491" s="88">
        <v>9</v>
      </c>
      <c r="J491" s="88">
        <v>9</v>
      </c>
      <c r="K491" s="90" t="s">
        <v>1107</v>
      </c>
      <c r="L491" s="90" t="s">
        <v>1107</v>
      </c>
      <c r="M491" s="214"/>
      <c r="N491" s="88" t="s">
        <v>1804</v>
      </c>
      <c r="O491" s="216">
        <f t="shared" si="1574"/>
        <v>2.67</v>
      </c>
      <c r="P491" s="88" t="str">
        <f t="shared" si="1519"/>
        <v>B1_3</v>
      </c>
      <c r="Q491" s="88">
        <f t="shared" si="1567"/>
        <v>270</v>
      </c>
      <c r="R491" s="88">
        <f t="shared" si="1568"/>
        <v>100</v>
      </c>
      <c r="S491" s="231" t="s">
        <v>2986</v>
      </c>
      <c r="T491" s="88" t="s">
        <v>2961</v>
      </c>
      <c r="U491" s="88">
        <f>IF(RIGHT(T491,1)="K",(VLOOKUP(T491,ma_miengiam!$A$3:$B$80,2,0)*100)/2,VLOOKUP(T491,ma_miengiam!$A$3:$B$80,2,0)*100)</f>
        <v>100</v>
      </c>
      <c r="V491" s="88"/>
      <c r="W491" s="220">
        <f>IF(AND(T491="NTS",V491&gt;0),(Q491-(Q491*V491)/12)*VLOOKUP(T491,ma_miengiam!$A$3:$B$80,2,0)+(Q491-(Q491*(12-V491))/12),IF(AND(RIGHT(T491,1)="K",V491&gt;0),(VLOOKUP(T491,ma_miengiam!$A$3:$B$80,2,0)/2)*(Q491*V491)/12,IF(RIGHT(T491,1)="K",(VLOOKUP(T491,ma_miengiam!$A$3:$B$80,2,0)*Q491)/2,IF(V491&gt;0,VLOOKUP(T491,ma_miengiam!$A$3:$B$80,2,0)*Q491*V491/12,VLOOKUP(T491,ma_miengiam!$A$3:$B$80,2,0)*Q491))))</f>
        <v>270</v>
      </c>
      <c r="X491" s="220">
        <f>IF(T491="NTS",VLOOKUP(T491,ma_miengiam!$A$3:$B$80,2,0)*R491*V491,IF(AND(T491="NTS",V491=0),0,IF(AND(LEFT(T491,1)="K",V491=0),VLOOKUP(T491,ma_miengiam!$A$3:$B$80,2,0)*R491,IF(LEFT(T491,1)="K",(VLOOKUP(T491,ma_miengiam!$A$3:$B$80,2,0)*R491/12)*V491,IF(AND(LEFT(T491,1)="S",V491&gt;0),(R491/12)*V491,IF(AND(LEFT(T491,1)="S",V491=0),R491,IF(T491="DH",VLOOKUP(T491,ma_miengiam!$A$3:$B$80,2,0)*R491,0)))))))</f>
        <v>100</v>
      </c>
      <c r="Y491" s="220">
        <f t="shared" si="1521"/>
        <v>0</v>
      </c>
      <c r="Z491" s="220">
        <f t="shared" si="1569"/>
        <v>0</v>
      </c>
      <c r="AA491" s="220">
        <f>Q491</f>
        <v>270</v>
      </c>
      <c r="AB491" s="220">
        <f>R491</f>
        <v>100</v>
      </c>
      <c r="AC491" s="220">
        <f>W491</f>
        <v>270</v>
      </c>
      <c r="AD491" s="220">
        <f>X491</f>
        <v>100</v>
      </c>
      <c r="AE491" s="220">
        <f>Y491</f>
        <v>0</v>
      </c>
      <c r="AF491" s="220">
        <f>Z491</f>
        <v>0</v>
      </c>
      <c r="AG491" s="220">
        <f>AH491+AI491</f>
        <v>607.15</v>
      </c>
      <c r="AH491" s="220">
        <f>EO491</f>
        <v>365.82</v>
      </c>
      <c r="AI491" s="220">
        <f>EN491</f>
        <v>241.33</v>
      </c>
      <c r="AJ491" s="220">
        <f t="shared" si="1551"/>
        <v>0</v>
      </c>
      <c r="AK491" s="216">
        <f t="shared" si="1454"/>
        <v>0</v>
      </c>
      <c r="AL491" s="220">
        <f t="shared" si="1431"/>
        <v>0</v>
      </c>
      <c r="AM491" s="220">
        <f t="shared" si="1432"/>
        <v>0</v>
      </c>
      <c r="AN491" s="221">
        <f t="shared" si="1433"/>
        <v>0</v>
      </c>
      <c r="AO491" s="220">
        <f t="shared" si="1434"/>
        <v>0</v>
      </c>
      <c r="AP491" s="220">
        <f t="shared" si="1435"/>
        <v>0</v>
      </c>
      <c r="AQ491" s="220">
        <f t="shared" si="1436"/>
        <v>0</v>
      </c>
      <c r="AR491" s="220">
        <f t="shared" si="1437"/>
        <v>0</v>
      </c>
      <c r="AS491" s="220">
        <f t="shared" si="1438"/>
        <v>0</v>
      </c>
      <c r="AT491" s="216">
        <f t="shared" si="1439"/>
        <v>0</v>
      </c>
      <c r="AU491" s="222">
        <f t="shared" si="1447"/>
        <v>0</v>
      </c>
      <c r="AV491" s="220"/>
      <c r="AW491" s="220">
        <f t="shared" si="1530"/>
        <v>0</v>
      </c>
      <c r="AX491" s="216">
        <f t="shared" si="1448"/>
        <v>0</v>
      </c>
      <c r="AY491" s="220">
        <f t="shared" si="1537"/>
        <v>0</v>
      </c>
      <c r="AZ491" s="220">
        <f t="shared" si="1538"/>
        <v>0</v>
      </c>
      <c r="BA491" s="220">
        <f t="shared" si="1539"/>
        <v>0</v>
      </c>
      <c r="BB491" s="220">
        <f t="shared" si="1540"/>
        <v>0</v>
      </c>
      <c r="BC491" s="220">
        <f t="shared" si="1541"/>
        <v>0</v>
      </c>
      <c r="BD491" s="216">
        <f t="shared" si="1410"/>
        <v>0</v>
      </c>
      <c r="BE491" s="220">
        <f t="shared" si="1531"/>
        <v>0</v>
      </c>
      <c r="BF491" s="220">
        <f t="shared" si="1532"/>
        <v>0</v>
      </c>
      <c r="BG491" s="220">
        <f t="shared" si="1533"/>
        <v>0</v>
      </c>
      <c r="BH491" s="220">
        <f t="shared" si="1534"/>
        <v>0</v>
      </c>
      <c r="BI491" s="220">
        <f t="shared" si="1535"/>
        <v>0</v>
      </c>
      <c r="BJ491" s="220" t="s">
        <v>2429</v>
      </c>
      <c r="BK491" s="220"/>
      <c r="BL491" s="223">
        <f t="shared" si="1422"/>
        <v>0</v>
      </c>
      <c r="BM491" s="220">
        <v>2.67</v>
      </c>
      <c r="BN491" s="220"/>
      <c r="BO491" s="220">
        <f t="shared" si="1573"/>
        <v>2.67</v>
      </c>
      <c r="BP491" s="220">
        <f>IF(AND(BL491&gt;0,BL491&lt;tiet!$D$1),BL491,IF(BL491&lt;=0,0,IF(BL491&gt;tiet!$C$1,tiet!$C$1)))</f>
        <v>0</v>
      </c>
      <c r="BQ491" s="87">
        <f t="shared" si="1552"/>
        <v>60000</v>
      </c>
      <c r="BR491" s="224">
        <f t="shared" si="1544"/>
        <v>0</v>
      </c>
      <c r="BS491" s="220">
        <f t="shared" si="1478"/>
        <v>0</v>
      </c>
      <c r="BT491" s="224">
        <f>VLOOKUP(N491,ma_dinhmuc!$A$1:$J$31,10,0)</f>
        <v>51000</v>
      </c>
      <c r="BU491" s="224">
        <f>ROUND(IF(BS491&gt;0,VLOOKUP(N491,ma_dinhmuc!$A$1:$J$31,10,0)*BS491,0),0)</f>
        <v>0</v>
      </c>
      <c r="BV491" s="224">
        <f t="shared" si="1545"/>
        <v>0</v>
      </c>
      <c r="BW491" s="224"/>
      <c r="BX491" s="224">
        <v>0</v>
      </c>
      <c r="BY491" s="224"/>
      <c r="BZ491" s="224"/>
      <c r="CA491" s="224"/>
      <c r="CB491" s="224"/>
      <c r="CC491" s="225">
        <f t="shared" si="1419"/>
        <v>0</v>
      </c>
      <c r="CD491" s="224">
        <f t="shared" si="1420"/>
        <v>0</v>
      </c>
      <c r="CE491" s="224"/>
      <c r="CF491" s="226"/>
      <c r="CG491" s="87"/>
      <c r="CH491" s="87">
        <f t="shared" si="1576"/>
        <v>69</v>
      </c>
      <c r="CI491" s="227" t="str">
        <f>F491</f>
        <v>Nguyễn Vũ</v>
      </c>
      <c r="CJ491" s="227" t="str">
        <f>G491</f>
        <v>Sơn</v>
      </c>
      <c r="CK491" s="87">
        <f t="shared" si="1577"/>
        <v>9</v>
      </c>
      <c r="CL491" s="227" t="str">
        <f t="shared" si="1578"/>
        <v xml:space="preserve">Bệnh lý thú y   </v>
      </c>
      <c r="CM491" s="87" t="str">
        <f t="shared" si="1536"/>
        <v>CS2</v>
      </c>
      <c r="CN491" s="87">
        <f t="shared" si="1579"/>
        <v>270</v>
      </c>
      <c r="CO491" s="87">
        <f t="shared" si="1579"/>
        <v>100</v>
      </c>
      <c r="CP491" s="229">
        <f t="shared" si="1483"/>
        <v>0</v>
      </c>
      <c r="CQ491" s="229">
        <f t="shared" si="1484"/>
        <v>0</v>
      </c>
      <c r="CR491" s="229">
        <f t="shared" si="1485"/>
        <v>0</v>
      </c>
      <c r="CS491" s="229">
        <f t="shared" si="1486"/>
        <v>0</v>
      </c>
      <c r="CT491" s="229">
        <f t="shared" si="1487"/>
        <v>0</v>
      </c>
      <c r="CU491" s="229">
        <f t="shared" si="1488"/>
        <v>0</v>
      </c>
      <c r="CV491" s="229">
        <f t="shared" si="1489"/>
        <v>0</v>
      </c>
      <c r="CW491" s="229">
        <f t="shared" si="1490"/>
        <v>0</v>
      </c>
      <c r="CX491" s="229">
        <f t="shared" si="1491"/>
        <v>0</v>
      </c>
      <c r="CY491" s="229">
        <f t="shared" si="1492"/>
        <v>0</v>
      </c>
      <c r="CZ491" s="229">
        <f t="shared" si="1493"/>
        <v>0</v>
      </c>
      <c r="DA491" s="229">
        <f t="shared" si="1494"/>
        <v>0</v>
      </c>
      <c r="DB491" s="228">
        <f t="shared" si="1429"/>
        <v>0</v>
      </c>
      <c r="DC491" s="229"/>
      <c r="DD491" s="229"/>
      <c r="DE491" s="229"/>
      <c r="DF491" s="229"/>
      <c r="DG491" s="229"/>
      <c r="DH491" s="229"/>
      <c r="DI491" s="229"/>
      <c r="DJ491" s="229"/>
      <c r="DK491" s="229"/>
      <c r="DL491" s="229"/>
      <c r="DM491" s="229"/>
      <c r="DN491" s="229"/>
      <c r="DO491" s="228">
        <f t="shared" si="1440"/>
        <v>0</v>
      </c>
      <c r="DP491" s="228">
        <f t="shared" si="1441"/>
        <v>0</v>
      </c>
      <c r="DQ491" s="229">
        <f t="shared" si="1495"/>
        <v>0</v>
      </c>
      <c r="DR491" s="229">
        <f t="shared" si="1496"/>
        <v>0</v>
      </c>
      <c r="DS491" s="229">
        <f t="shared" si="1497"/>
        <v>0</v>
      </c>
      <c r="DT491" s="229">
        <f t="shared" si="1498"/>
        <v>0</v>
      </c>
      <c r="DU491" s="229">
        <f t="shared" si="1499"/>
        <v>0</v>
      </c>
      <c r="DV491" s="229">
        <f t="shared" si="1500"/>
        <v>0</v>
      </c>
      <c r="DW491" s="229">
        <f t="shared" si="1501"/>
        <v>0</v>
      </c>
      <c r="DX491" s="228">
        <f t="shared" si="1430"/>
        <v>0</v>
      </c>
      <c r="DY491" s="229"/>
      <c r="DZ491" s="229"/>
      <c r="EA491" s="229"/>
      <c r="EB491" s="229"/>
      <c r="EC491" s="229"/>
      <c r="ED491" s="229"/>
      <c r="EE491" s="229"/>
      <c r="EF491" s="228">
        <f t="shared" si="1480"/>
        <v>0</v>
      </c>
      <c r="EG491" s="228">
        <f t="shared" si="1442"/>
        <v>0</v>
      </c>
      <c r="EH491" s="229">
        <f t="shared" si="1481"/>
        <v>241.33</v>
      </c>
      <c r="EI491" s="229">
        <v>365.82</v>
      </c>
      <c r="EJ491" s="228">
        <f>SUM(EH491:EI491)</f>
        <v>607.15</v>
      </c>
      <c r="EK491" s="229"/>
      <c r="EL491" s="229"/>
      <c r="EM491" s="228">
        <f>SUM(EK491:EL491)</f>
        <v>0</v>
      </c>
      <c r="EN491" s="229">
        <f t="shared" si="1423"/>
        <v>241.33</v>
      </c>
      <c r="EO491" s="229">
        <f t="shared" si="1451"/>
        <v>365.82</v>
      </c>
      <c r="EP491" s="228">
        <f>EM491+EJ491</f>
        <v>607.15</v>
      </c>
      <c r="EQ491" s="173">
        <f t="shared" si="1479"/>
        <v>241.33</v>
      </c>
      <c r="ER491" s="189">
        <v>0</v>
      </c>
      <c r="ES491" s="189">
        <v>0</v>
      </c>
      <c r="ET491" s="189">
        <v>0</v>
      </c>
      <c r="EU491" s="189">
        <v>0</v>
      </c>
      <c r="EV491" s="189">
        <v>0</v>
      </c>
      <c r="EW491" s="189">
        <v>0</v>
      </c>
      <c r="EX491" s="189">
        <v>0</v>
      </c>
      <c r="EY491" s="189">
        <v>0</v>
      </c>
      <c r="EZ491" s="189">
        <v>0</v>
      </c>
      <c r="FA491" s="189">
        <v>0</v>
      </c>
      <c r="FB491" s="189">
        <v>0</v>
      </c>
      <c r="FC491" s="189">
        <v>0</v>
      </c>
      <c r="FD491" s="189">
        <v>0</v>
      </c>
      <c r="FE491" s="189">
        <v>0</v>
      </c>
      <c r="FF491" s="189">
        <v>0</v>
      </c>
      <c r="FG491" s="189">
        <v>0</v>
      </c>
      <c r="FH491" s="189">
        <v>0</v>
      </c>
      <c r="FI491" s="189">
        <v>0</v>
      </c>
      <c r="FJ491" s="189">
        <v>0</v>
      </c>
      <c r="FK491" s="189">
        <v>0</v>
      </c>
      <c r="FL491" s="189">
        <v>0</v>
      </c>
      <c r="FN491" s="132">
        <v>241.33</v>
      </c>
    </row>
    <row r="492" spans="1:170" ht="30.75" customHeight="1">
      <c r="A492" s="88">
        <f>COUNTIF($H$12:H492,H492)</f>
        <v>70</v>
      </c>
      <c r="B492" s="88" t="s">
        <v>141</v>
      </c>
      <c r="C492" s="88" t="s">
        <v>844</v>
      </c>
      <c r="D492" s="88"/>
      <c r="E492" s="88"/>
      <c r="F492" s="301" t="s">
        <v>2895</v>
      </c>
      <c r="G492" s="89" t="s">
        <v>24</v>
      </c>
      <c r="H492" s="88">
        <v>9</v>
      </c>
      <c r="I492" s="88">
        <v>9</v>
      </c>
      <c r="J492" s="88">
        <v>9</v>
      </c>
      <c r="K492" s="90" t="s">
        <v>1108</v>
      </c>
      <c r="L492" s="90" t="s">
        <v>1108</v>
      </c>
      <c r="M492" s="214"/>
      <c r="N492" s="88" t="s">
        <v>288</v>
      </c>
      <c r="O492" s="216">
        <f t="shared" si="1574"/>
        <v>4.6500000000000004</v>
      </c>
      <c r="P492" s="88" t="str">
        <f>IF(BO492&lt;3.33,"B3_3",IF(AND(BO492&gt;=3.33,BO492&lt;4.65),"B3_4",IF(AND(BO492&gt;=4.65,BO492&lt;5.42),"B3_5",IF(AND(BO492&gt;=5.42,BO492&lt;6.44),"B3_6",IF(AND(BO492&gt;=6.44,BO492&lt;=6.92),"B3_7","B3_8")))))</f>
        <v>B3_5</v>
      </c>
      <c r="Q492" s="88">
        <f t="shared" si="1567"/>
        <v>270</v>
      </c>
      <c r="R492" s="88">
        <f t="shared" si="1568"/>
        <v>100</v>
      </c>
      <c r="S492" s="231" t="s">
        <v>191</v>
      </c>
      <c r="T492" s="88" t="s">
        <v>3089</v>
      </c>
      <c r="U492" s="88">
        <f>IF(RIGHT(T492,1)="K",(VLOOKUP(T492,ma_miengiam!$A$3:$B$80,2,0)*100)/2,VLOOKUP(T492,ma_miengiam!$A$3:$B$80,2,0)*100)</f>
        <v>10</v>
      </c>
      <c r="V492" s="88"/>
      <c r="W492" s="220">
        <f>IF(AND(T492="NTS",V492&gt;0),(Q492-(Q492*V492)/12)*VLOOKUP(T492,ma_miengiam!$A$3:$B$80,2,0)+(Q492-(Q492*(12-V492))/12),IF(AND(RIGHT(T492,1)="K",V492&gt;0),(VLOOKUP(T492,ma_miengiam!$A$3:$B$80,2,0)/2)*(Q492*V492)/12,IF(RIGHT(T492,1)="K",(VLOOKUP(T492,ma_miengiam!$A$3:$B$80,2,0)*Q492)/2,IF(V492&gt;0,VLOOKUP(T492,ma_miengiam!$A$3:$B$80,2,0)*Q492*V492/12,VLOOKUP(T492,ma_miengiam!$A$3:$B$80,2,0)*Q492))))</f>
        <v>27</v>
      </c>
      <c r="X492" s="220">
        <f>IF(T492="NTS",VLOOKUP(T492,ma_miengiam!$A$3:$B$80,2,0)*R492*V492,IF(AND(T492="NTS",V492=0),0,IF(AND(LEFT(T492,1)="K",V492=0),VLOOKUP(T492,ma_miengiam!$A$3:$B$80,2,0)*R492,IF(LEFT(T492,1)="K",(VLOOKUP(T492,ma_miengiam!$A$3:$B$80,2,0)*R492/12)*V492,IF(AND(LEFT(T492,1)="S",V492&gt;0),(R492/12)*V492,IF(AND(LEFT(T492,1)="S",V492=0),R492,IF(T492="DH",VLOOKUP(T492,ma_miengiam!$A$3:$B$80,2,0)*R492,0)))))))</f>
        <v>0</v>
      </c>
      <c r="Y492" s="220">
        <f t="shared" si="1521"/>
        <v>243</v>
      </c>
      <c r="Z492" s="220">
        <f t="shared" si="1569"/>
        <v>100</v>
      </c>
      <c r="AA492" s="220">
        <f t="shared" si="1580"/>
        <v>270</v>
      </c>
      <c r="AB492" s="220">
        <f t="shared" si="1581"/>
        <v>100</v>
      </c>
      <c r="AC492" s="220">
        <f t="shared" si="1582"/>
        <v>27</v>
      </c>
      <c r="AD492" s="220">
        <f t="shared" si="1583"/>
        <v>0</v>
      </c>
      <c r="AE492" s="220">
        <f t="shared" si="1584"/>
        <v>243</v>
      </c>
      <c r="AF492" s="220">
        <f t="shared" si="1585"/>
        <v>100</v>
      </c>
      <c r="AG492" s="220">
        <f t="shared" si="1586"/>
        <v>0</v>
      </c>
      <c r="AH492" s="220">
        <f t="shared" si="1587"/>
        <v>0</v>
      </c>
      <c r="AI492" s="220">
        <f t="shared" si="1588"/>
        <v>0</v>
      </c>
      <c r="AJ492" s="220">
        <f t="shared" si="1551"/>
        <v>-100</v>
      </c>
      <c r="AK492" s="216">
        <f t="shared" si="1454"/>
        <v>343</v>
      </c>
      <c r="AL492" s="220">
        <f t="shared" si="1431"/>
        <v>764.4</v>
      </c>
      <c r="AM492" s="220">
        <f t="shared" si="1432"/>
        <v>0</v>
      </c>
      <c r="AN492" s="221">
        <f t="shared" si="1433"/>
        <v>764.4</v>
      </c>
      <c r="AO492" s="220">
        <f t="shared" si="1434"/>
        <v>0</v>
      </c>
      <c r="AP492" s="220">
        <f t="shared" si="1435"/>
        <v>0</v>
      </c>
      <c r="AQ492" s="220">
        <f t="shared" si="1436"/>
        <v>0</v>
      </c>
      <c r="AR492" s="220">
        <f t="shared" si="1437"/>
        <v>0</v>
      </c>
      <c r="AS492" s="220">
        <f t="shared" si="1438"/>
        <v>0</v>
      </c>
      <c r="AT492" s="216">
        <f t="shared" si="1439"/>
        <v>764.4</v>
      </c>
      <c r="AU492" s="222">
        <f t="shared" si="1447"/>
        <v>421.4</v>
      </c>
      <c r="AV492" s="220"/>
      <c r="AW492" s="220">
        <f t="shared" si="1530"/>
        <v>421.4</v>
      </c>
      <c r="AX492" s="216">
        <f t="shared" si="1448"/>
        <v>0</v>
      </c>
      <c r="AY492" s="220">
        <f t="shared" si="1537"/>
        <v>0</v>
      </c>
      <c r="AZ492" s="220">
        <f t="shared" si="1538"/>
        <v>0</v>
      </c>
      <c r="BA492" s="220">
        <f t="shared" si="1539"/>
        <v>0</v>
      </c>
      <c r="BB492" s="220">
        <f t="shared" si="1540"/>
        <v>0</v>
      </c>
      <c r="BC492" s="220">
        <f t="shared" si="1541"/>
        <v>0</v>
      </c>
      <c r="BD492" s="216">
        <f t="shared" si="1410"/>
        <v>0</v>
      </c>
      <c r="BE492" s="220">
        <f t="shared" si="1531"/>
        <v>0</v>
      </c>
      <c r="BF492" s="220">
        <f t="shared" si="1532"/>
        <v>0</v>
      </c>
      <c r="BG492" s="220">
        <f t="shared" si="1533"/>
        <v>0</v>
      </c>
      <c r="BH492" s="220">
        <f t="shared" si="1534"/>
        <v>0</v>
      </c>
      <c r="BI492" s="220">
        <f t="shared" si="1535"/>
        <v>0</v>
      </c>
      <c r="BJ492" s="220" t="s">
        <v>2430</v>
      </c>
      <c r="BK492" s="220"/>
      <c r="BL492" s="223">
        <f t="shared" si="1422"/>
        <v>421.4</v>
      </c>
      <c r="BM492" s="220">
        <v>4.6500000000000004</v>
      </c>
      <c r="BN492" s="220"/>
      <c r="BO492" s="220">
        <f t="shared" si="1573"/>
        <v>4.6500000000000004</v>
      </c>
      <c r="BP492" s="220">
        <f>IF(AND(BL492&gt;0,BL492&lt;tiet!$D$1),BL492,IF(BL492&lt;=0,0,IF(BL492&gt;tiet!$C$1,tiet!$C$1)))</f>
        <v>200</v>
      </c>
      <c r="BQ492" s="87">
        <f t="shared" si="1552"/>
        <v>60000</v>
      </c>
      <c r="BR492" s="224">
        <f t="shared" si="1544"/>
        <v>12000000</v>
      </c>
      <c r="BS492" s="220">
        <f t="shared" si="1478"/>
        <v>221.39999999999998</v>
      </c>
      <c r="BT492" s="224">
        <f>VLOOKUP(N492,ma_dinhmuc!$A$1:$J$31,10,0)</f>
        <v>51000</v>
      </c>
      <c r="BU492" s="224">
        <f>ROUND(IF(BS492&gt;0,VLOOKUP(N492,ma_dinhmuc!$A$1:$J$31,10,0)*BS492,0),0)</f>
        <v>11291400</v>
      </c>
      <c r="BV492" s="224">
        <f t="shared" si="1545"/>
        <v>23291400</v>
      </c>
      <c r="BW492" s="224"/>
      <c r="BX492" s="224">
        <v>0</v>
      </c>
      <c r="BY492" s="224"/>
      <c r="BZ492" s="224"/>
      <c r="CA492" s="224"/>
      <c r="CB492" s="224"/>
      <c r="CC492" s="225">
        <f t="shared" si="1419"/>
        <v>23291400</v>
      </c>
      <c r="CD492" s="224">
        <f t="shared" si="1420"/>
        <v>0</v>
      </c>
      <c r="CE492" s="224"/>
      <c r="CF492" s="226"/>
      <c r="CG492" s="87"/>
      <c r="CH492" s="87">
        <f t="shared" si="1576"/>
        <v>70</v>
      </c>
      <c r="CI492" s="227" t="str">
        <f t="shared" si="1553"/>
        <v>Nguyễn Văn</v>
      </c>
      <c r="CJ492" s="227" t="str">
        <f t="shared" si="1554"/>
        <v>Hải</v>
      </c>
      <c r="CK492" s="87">
        <f t="shared" si="1577"/>
        <v>9</v>
      </c>
      <c r="CL492" s="227" t="str">
        <f t="shared" si="1578"/>
        <v>Bệnh viện Thú y</v>
      </c>
      <c r="CM492" s="87" t="str">
        <f t="shared" si="1536"/>
        <v>HD2</v>
      </c>
      <c r="CN492" s="87">
        <f t="shared" ref="CN492:CN498" si="1589">Q492</f>
        <v>270</v>
      </c>
      <c r="CO492" s="87">
        <f t="shared" ref="CO492:CO498" si="1590">R492</f>
        <v>100</v>
      </c>
      <c r="CP492" s="229">
        <f t="shared" si="1483"/>
        <v>0</v>
      </c>
      <c r="CQ492" s="229">
        <f t="shared" si="1484"/>
        <v>0</v>
      </c>
      <c r="CR492" s="229">
        <f t="shared" si="1485"/>
        <v>0</v>
      </c>
      <c r="CS492" s="229">
        <f t="shared" si="1486"/>
        <v>764.4</v>
      </c>
      <c r="CT492" s="229">
        <f t="shared" si="1487"/>
        <v>0</v>
      </c>
      <c r="CU492" s="229">
        <f t="shared" si="1488"/>
        <v>0</v>
      </c>
      <c r="CV492" s="229">
        <f t="shared" si="1489"/>
        <v>0</v>
      </c>
      <c r="CW492" s="229">
        <f t="shared" si="1490"/>
        <v>0</v>
      </c>
      <c r="CX492" s="229">
        <f t="shared" si="1491"/>
        <v>0</v>
      </c>
      <c r="CY492" s="229">
        <f t="shared" si="1492"/>
        <v>0</v>
      </c>
      <c r="CZ492" s="229">
        <f t="shared" si="1493"/>
        <v>0</v>
      </c>
      <c r="DA492" s="229">
        <f t="shared" si="1494"/>
        <v>0</v>
      </c>
      <c r="DB492" s="228">
        <f t="shared" si="1429"/>
        <v>764.4</v>
      </c>
      <c r="DC492" s="229"/>
      <c r="DD492" s="229"/>
      <c r="DE492" s="229"/>
      <c r="DF492" s="229"/>
      <c r="DG492" s="229"/>
      <c r="DH492" s="229"/>
      <c r="DI492" s="229"/>
      <c r="DJ492" s="229"/>
      <c r="DK492" s="229"/>
      <c r="DL492" s="229"/>
      <c r="DM492" s="229"/>
      <c r="DN492" s="229"/>
      <c r="DO492" s="228">
        <f t="shared" si="1440"/>
        <v>0</v>
      </c>
      <c r="DP492" s="228">
        <f t="shared" si="1441"/>
        <v>764.4</v>
      </c>
      <c r="DQ492" s="229">
        <f t="shared" si="1495"/>
        <v>0</v>
      </c>
      <c r="DR492" s="229">
        <f t="shared" si="1496"/>
        <v>0</v>
      </c>
      <c r="DS492" s="229">
        <f t="shared" si="1497"/>
        <v>0</v>
      </c>
      <c r="DT492" s="229">
        <f t="shared" si="1498"/>
        <v>0</v>
      </c>
      <c r="DU492" s="229">
        <f t="shared" si="1499"/>
        <v>0</v>
      </c>
      <c r="DV492" s="229">
        <f t="shared" si="1500"/>
        <v>0</v>
      </c>
      <c r="DW492" s="229">
        <f t="shared" si="1501"/>
        <v>0</v>
      </c>
      <c r="DX492" s="228">
        <f t="shared" si="1430"/>
        <v>0</v>
      </c>
      <c r="DY492" s="229"/>
      <c r="DZ492" s="229"/>
      <c r="EA492" s="229"/>
      <c r="EB492" s="229"/>
      <c r="EC492" s="229"/>
      <c r="ED492" s="229"/>
      <c r="EE492" s="229"/>
      <c r="EF492" s="228">
        <f t="shared" si="1480"/>
        <v>0</v>
      </c>
      <c r="EG492" s="228">
        <f t="shared" si="1442"/>
        <v>0</v>
      </c>
      <c r="EH492" s="229">
        <f t="shared" si="1481"/>
        <v>0</v>
      </c>
      <c r="EI492" s="229">
        <v>0</v>
      </c>
      <c r="EJ492" s="228">
        <f t="shared" si="1443"/>
        <v>0</v>
      </c>
      <c r="EK492" s="229"/>
      <c r="EL492" s="229"/>
      <c r="EM492" s="228">
        <f t="shared" si="1542"/>
        <v>0</v>
      </c>
      <c r="EN492" s="229">
        <f t="shared" si="1423"/>
        <v>0</v>
      </c>
      <c r="EO492" s="229">
        <f t="shared" si="1451"/>
        <v>0</v>
      </c>
      <c r="EP492" s="228">
        <f t="shared" si="1543"/>
        <v>0</v>
      </c>
      <c r="EQ492" s="173">
        <f t="shared" si="1479"/>
        <v>0</v>
      </c>
      <c r="ER492" s="189">
        <v>0</v>
      </c>
      <c r="ES492" s="189">
        <v>0</v>
      </c>
      <c r="ET492" s="189">
        <v>0</v>
      </c>
      <c r="EU492" s="189">
        <v>764.4</v>
      </c>
      <c r="EV492" s="189">
        <v>0</v>
      </c>
      <c r="EW492" s="189">
        <v>0</v>
      </c>
      <c r="EX492" s="189">
        <v>0</v>
      </c>
      <c r="EY492" s="189">
        <v>0</v>
      </c>
      <c r="EZ492" s="189">
        <v>0</v>
      </c>
      <c r="FA492" s="189">
        <v>0</v>
      </c>
      <c r="FB492" s="189">
        <v>0</v>
      </c>
      <c r="FC492" s="189">
        <v>0</v>
      </c>
      <c r="FD492" s="189">
        <v>0</v>
      </c>
      <c r="FE492" s="189">
        <v>0</v>
      </c>
      <c r="FF492" s="189">
        <v>0</v>
      </c>
      <c r="FG492" s="189">
        <v>0</v>
      </c>
      <c r="FH492" s="189">
        <v>0</v>
      </c>
      <c r="FI492" s="189">
        <v>0</v>
      </c>
      <c r="FJ492" s="189">
        <v>0</v>
      </c>
      <c r="FK492" s="189">
        <v>764.4</v>
      </c>
      <c r="FL492" s="189">
        <v>764.4</v>
      </c>
      <c r="FN492" s="132">
        <v>0</v>
      </c>
    </row>
    <row r="493" spans="1:170" ht="30.75" customHeight="1">
      <c r="A493" s="88">
        <f>COUNTIF($H$12:H493,H493)</f>
        <v>71</v>
      </c>
      <c r="B493" s="88" t="s">
        <v>143</v>
      </c>
      <c r="C493" s="88" t="s">
        <v>845</v>
      </c>
      <c r="D493" s="88"/>
      <c r="E493" s="88"/>
      <c r="F493" s="301" t="s">
        <v>3030</v>
      </c>
      <c r="G493" s="303" t="s">
        <v>1113</v>
      </c>
      <c r="H493" s="88">
        <v>9</v>
      </c>
      <c r="I493" s="88">
        <v>9</v>
      </c>
      <c r="J493" s="88">
        <v>9</v>
      </c>
      <c r="K493" s="90" t="s">
        <v>1108</v>
      </c>
      <c r="L493" s="90" t="s">
        <v>1108</v>
      </c>
      <c r="M493" s="214"/>
      <c r="N493" s="88" t="s">
        <v>288</v>
      </c>
      <c r="O493" s="216">
        <f t="shared" si="1574"/>
        <v>3.33</v>
      </c>
      <c r="P493" s="88" t="str">
        <f>IF(BO493&lt;3.33,"B3_3",IF(AND(BO493&gt;=3.33,BO493&lt;4.65),"B3_4",IF(AND(BO493&gt;=4.65,BO493&lt;5.42),"B3_5",IF(AND(BO493&gt;=5.42,BO493&lt;6.44),"B3_6",IF(AND(BO493&gt;=6.44,BO493&lt;=6.92),"B3_7","B3_8")))))</f>
        <v>B3_4</v>
      </c>
      <c r="Q493" s="88">
        <f t="shared" si="1567"/>
        <v>270</v>
      </c>
      <c r="R493" s="88">
        <f t="shared" si="1568"/>
        <v>80</v>
      </c>
      <c r="S493" s="230" t="s">
        <v>675</v>
      </c>
      <c r="T493" s="88" t="s">
        <v>3090</v>
      </c>
      <c r="U493" s="88">
        <f>IF(RIGHT(T493,1)="K",(VLOOKUP(T493,ma_miengiam!$A$3:$B$80,2,0)*100)/2,VLOOKUP(T493,ma_miengiam!$A$3:$B$80,2,0)*100)</f>
        <v>15</v>
      </c>
      <c r="V493" s="88"/>
      <c r="W493" s="220">
        <f>IF(AND(T493="NTS",V493&gt;0),(Q493-(Q493*V493)/12)*VLOOKUP(T493,ma_miengiam!$A$3:$B$80,2,0)+(Q493-(Q493*(12-V493))/12),IF(AND(RIGHT(T493,1)="K",V493&gt;0),(VLOOKUP(T493,ma_miengiam!$A$3:$B$80,2,0)/2)*(Q493*V493)/12,IF(RIGHT(T493,1)="K",(VLOOKUP(T493,ma_miengiam!$A$3:$B$80,2,0)*Q493)/2,IF(V493&gt;0,VLOOKUP(T493,ma_miengiam!$A$3:$B$80,2,0)*Q493*V493/12,VLOOKUP(T493,ma_miengiam!$A$3:$B$80,2,0)*Q493))))</f>
        <v>40.5</v>
      </c>
      <c r="X493" s="220">
        <f>IF(T493="NTS",VLOOKUP(T493,ma_miengiam!$A$3:$B$80,2,0)*R493*V493,IF(AND(T493="NTS",V493=0),0,IF(AND(LEFT(T493,1)="K",V493=0),VLOOKUP(T493,ma_miengiam!$A$3:$B$80,2,0)*R493,IF(LEFT(T493,1)="K",(VLOOKUP(T493,ma_miengiam!$A$3:$B$80,2,0)*R493/12)*V493,IF(AND(LEFT(T493,1)="S",V493&gt;0),(R493/12)*V493,IF(AND(LEFT(T493,1)="S",V493=0),R493,IF(T493="DH",VLOOKUP(T493,ma_miengiam!$A$3:$B$80,2,0)*R493,0)))))))</f>
        <v>0</v>
      </c>
      <c r="Y493" s="220">
        <f t="shared" si="1521"/>
        <v>229.5</v>
      </c>
      <c r="Z493" s="220">
        <f t="shared" si="1569"/>
        <v>80</v>
      </c>
      <c r="AA493" s="220">
        <f t="shared" si="1580"/>
        <v>270</v>
      </c>
      <c r="AB493" s="220">
        <f t="shared" si="1581"/>
        <v>80</v>
      </c>
      <c r="AC493" s="220">
        <f t="shared" si="1582"/>
        <v>40.5</v>
      </c>
      <c r="AD493" s="220">
        <f t="shared" si="1583"/>
        <v>0</v>
      </c>
      <c r="AE493" s="220">
        <f t="shared" si="1584"/>
        <v>229.5</v>
      </c>
      <c r="AF493" s="220">
        <f t="shared" si="1585"/>
        <v>80</v>
      </c>
      <c r="AG493" s="220">
        <f t="shared" si="1586"/>
        <v>0</v>
      </c>
      <c r="AH493" s="220">
        <f t="shared" si="1587"/>
        <v>0</v>
      </c>
      <c r="AI493" s="220">
        <f t="shared" si="1588"/>
        <v>0</v>
      </c>
      <c r="AJ493" s="220">
        <f t="shared" si="1551"/>
        <v>-80</v>
      </c>
      <c r="AK493" s="216">
        <f t="shared" si="1454"/>
        <v>309.5</v>
      </c>
      <c r="AL493" s="220">
        <f t="shared" si="1431"/>
        <v>160.19999999999999</v>
      </c>
      <c r="AM493" s="220">
        <f t="shared" si="1432"/>
        <v>0</v>
      </c>
      <c r="AN493" s="221">
        <f t="shared" si="1433"/>
        <v>160.19999999999999</v>
      </c>
      <c r="AO493" s="220">
        <f t="shared" si="1434"/>
        <v>0</v>
      </c>
      <c r="AP493" s="220">
        <f t="shared" si="1435"/>
        <v>0</v>
      </c>
      <c r="AQ493" s="220">
        <f t="shared" si="1436"/>
        <v>0</v>
      </c>
      <c r="AR493" s="220">
        <f t="shared" si="1437"/>
        <v>0</v>
      </c>
      <c r="AS493" s="220">
        <f t="shared" si="1438"/>
        <v>0</v>
      </c>
      <c r="AT493" s="216">
        <f t="shared" si="1439"/>
        <v>160.19999999999999</v>
      </c>
      <c r="AU493" s="222">
        <f t="shared" si="1447"/>
        <v>-149.30000000000001</v>
      </c>
      <c r="AV493" s="220"/>
      <c r="AW493" s="220">
        <f t="shared" si="1530"/>
        <v>-149.30000000000001</v>
      </c>
      <c r="AX493" s="216">
        <f t="shared" si="1448"/>
        <v>-149.30000000000001</v>
      </c>
      <c r="AY493" s="220">
        <f t="shared" si="1537"/>
        <v>0</v>
      </c>
      <c r="AZ493" s="220">
        <f t="shared" si="1538"/>
        <v>0</v>
      </c>
      <c r="BA493" s="220">
        <f t="shared" si="1539"/>
        <v>0</v>
      </c>
      <c r="BB493" s="220">
        <f t="shared" si="1540"/>
        <v>0</v>
      </c>
      <c r="BC493" s="220">
        <f t="shared" si="1541"/>
        <v>0</v>
      </c>
      <c r="BD493" s="216">
        <f t="shared" si="1410"/>
        <v>0</v>
      </c>
      <c r="BE493" s="220">
        <f t="shared" si="1531"/>
        <v>0</v>
      </c>
      <c r="BF493" s="220">
        <f t="shared" si="1532"/>
        <v>0</v>
      </c>
      <c r="BG493" s="220">
        <f t="shared" si="1533"/>
        <v>0</v>
      </c>
      <c r="BH493" s="220">
        <f t="shared" si="1534"/>
        <v>0</v>
      </c>
      <c r="BI493" s="220">
        <f t="shared" si="1535"/>
        <v>0</v>
      </c>
      <c r="BJ493" s="220" t="s">
        <v>2430</v>
      </c>
      <c r="BK493" s="220"/>
      <c r="BL493" s="223">
        <f t="shared" si="1422"/>
        <v>0</v>
      </c>
      <c r="BM493" s="220">
        <v>3.33</v>
      </c>
      <c r="BN493" s="220"/>
      <c r="BO493" s="220">
        <f t="shared" si="1573"/>
        <v>3.33</v>
      </c>
      <c r="BP493" s="220">
        <f>IF(AND(BL493&gt;0,BL493&lt;tiet!$D$1),BL493,IF(BL493&lt;=0,0,IF(BL493&gt;tiet!$C$1,tiet!$C$1)))</f>
        <v>0</v>
      </c>
      <c r="BQ493" s="87">
        <f t="shared" si="1552"/>
        <v>55000</v>
      </c>
      <c r="BR493" s="224">
        <f t="shared" si="1544"/>
        <v>0</v>
      </c>
      <c r="BS493" s="220">
        <f t="shared" si="1478"/>
        <v>0</v>
      </c>
      <c r="BT493" s="224">
        <f>VLOOKUP(N493,ma_dinhmuc!$A$1:$J$31,10,0)</f>
        <v>51000</v>
      </c>
      <c r="BU493" s="224">
        <f>ROUND(IF(BS493&gt;0,VLOOKUP(N493,ma_dinhmuc!$A$1:$J$31,10,0)*BS493,0),0)</f>
        <v>0</v>
      </c>
      <c r="BV493" s="224">
        <f t="shared" si="1545"/>
        <v>0</v>
      </c>
      <c r="BW493" s="224"/>
      <c r="BX493" s="224">
        <v>0</v>
      </c>
      <c r="BY493" s="224"/>
      <c r="BZ493" s="224"/>
      <c r="CA493" s="224"/>
      <c r="CB493" s="224"/>
      <c r="CC493" s="225">
        <f t="shared" si="1419"/>
        <v>0</v>
      </c>
      <c r="CD493" s="224">
        <f t="shared" si="1420"/>
        <v>0</v>
      </c>
      <c r="CE493" s="224"/>
      <c r="CF493" s="226"/>
      <c r="CG493" s="87"/>
      <c r="CH493" s="87">
        <f t="shared" si="1576"/>
        <v>71</v>
      </c>
      <c r="CI493" s="227" t="str">
        <f t="shared" si="1553"/>
        <v>Đinh Phương</v>
      </c>
      <c r="CJ493" s="227" t="str">
        <f t="shared" si="1554"/>
        <v>Nam</v>
      </c>
      <c r="CK493" s="87">
        <f t="shared" si="1577"/>
        <v>9</v>
      </c>
      <c r="CL493" s="227" t="str">
        <f t="shared" si="1578"/>
        <v>Bệnh viện Thú y</v>
      </c>
      <c r="CM493" s="87" t="str">
        <f t="shared" si="1536"/>
        <v>HD2</v>
      </c>
      <c r="CN493" s="87">
        <f t="shared" si="1589"/>
        <v>270</v>
      </c>
      <c r="CO493" s="87">
        <f t="shared" si="1590"/>
        <v>80</v>
      </c>
      <c r="CP493" s="229">
        <f t="shared" si="1483"/>
        <v>0</v>
      </c>
      <c r="CQ493" s="229">
        <f t="shared" si="1484"/>
        <v>0</v>
      </c>
      <c r="CR493" s="229">
        <f t="shared" si="1485"/>
        <v>0</v>
      </c>
      <c r="CS493" s="229">
        <f t="shared" si="1486"/>
        <v>160.19999999999999</v>
      </c>
      <c r="CT493" s="229">
        <f t="shared" si="1487"/>
        <v>0</v>
      </c>
      <c r="CU493" s="229">
        <f t="shared" si="1488"/>
        <v>0</v>
      </c>
      <c r="CV493" s="229">
        <f t="shared" si="1489"/>
        <v>0</v>
      </c>
      <c r="CW493" s="229">
        <f t="shared" si="1490"/>
        <v>0</v>
      </c>
      <c r="CX493" s="229">
        <f t="shared" si="1491"/>
        <v>0</v>
      </c>
      <c r="CY493" s="229">
        <f t="shared" si="1492"/>
        <v>0</v>
      </c>
      <c r="CZ493" s="229">
        <f t="shared" si="1493"/>
        <v>0</v>
      </c>
      <c r="DA493" s="229">
        <f t="shared" si="1494"/>
        <v>0</v>
      </c>
      <c r="DB493" s="228">
        <f t="shared" si="1429"/>
        <v>160.19999999999999</v>
      </c>
      <c r="DC493" s="229"/>
      <c r="DD493" s="229"/>
      <c r="DE493" s="229"/>
      <c r="DF493" s="229"/>
      <c r="DG493" s="229"/>
      <c r="DH493" s="229"/>
      <c r="DI493" s="229"/>
      <c r="DJ493" s="229"/>
      <c r="DK493" s="229"/>
      <c r="DL493" s="229"/>
      <c r="DM493" s="229"/>
      <c r="DN493" s="229"/>
      <c r="DO493" s="228">
        <f t="shared" si="1440"/>
        <v>0</v>
      </c>
      <c r="DP493" s="228">
        <f t="shared" si="1441"/>
        <v>160.19999999999999</v>
      </c>
      <c r="DQ493" s="229">
        <f t="shared" si="1495"/>
        <v>0</v>
      </c>
      <c r="DR493" s="229">
        <f t="shared" si="1496"/>
        <v>0</v>
      </c>
      <c r="DS493" s="229">
        <f t="shared" si="1497"/>
        <v>0</v>
      </c>
      <c r="DT493" s="229">
        <f t="shared" si="1498"/>
        <v>0</v>
      </c>
      <c r="DU493" s="229">
        <f t="shared" si="1499"/>
        <v>0</v>
      </c>
      <c r="DV493" s="229">
        <f t="shared" si="1500"/>
        <v>0</v>
      </c>
      <c r="DW493" s="229">
        <f t="shared" si="1501"/>
        <v>0</v>
      </c>
      <c r="DX493" s="228">
        <f t="shared" si="1430"/>
        <v>0</v>
      </c>
      <c r="DY493" s="229"/>
      <c r="DZ493" s="229"/>
      <c r="EA493" s="229"/>
      <c r="EB493" s="229"/>
      <c r="EC493" s="229"/>
      <c r="ED493" s="229"/>
      <c r="EE493" s="229"/>
      <c r="EF493" s="228">
        <f t="shared" si="1480"/>
        <v>0</v>
      </c>
      <c r="EG493" s="228">
        <f t="shared" si="1442"/>
        <v>0</v>
      </c>
      <c r="EH493" s="229">
        <f t="shared" si="1481"/>
        <v>0</v>
      </c>
      <c r="EI493" s="229">
        <v>0</v>
      </c>
      <c r="EJ493" s="228">
        <f t="shared" si="1443"/>
        <v>0</v>
      </c>
      <c r="EK493" s="229"/>
      <c r="EL493" s="229"/>
      <c r="EM493" s="228">
        <f t="shared" si="1542"/>
        <v>0</v>
      </c>
      <c r="EN493" s="229">
        <f t="shared" ref="EN493:EN539" si="1591">EK493+EH493+EL493</f>
        <v>0</v>
      </c>
      <c r="EO493" s="229">
        <f t="shared" si="1451"/>
        <v>0</v>
      </c>
      <c r="EP493" s="228">
        <f t="shared" si="1543"/>
        <v>0</v>
      </c>
      <c r="EQ493" s="173">
        <f t="shared" si="1479"/>
        <v>0</v>
      </c>
      <c r="ER493" s="189">
        <v>0</v>
      </c>
      <c r="ES493" s="189">
        <v>0</v>
      </c>
      <c r="ET493" s="189">
        <v>0</v>
      </c>
      <c r="EU493" s="189">
        <v>160.19999999999999</v>
      </c>
      <c r="EV493" s="189">
        <v>0</v>
      </c>
      <c r="EW493" s="189">
        <v>0</v>
      </c>
      <c r="EX493" s="189">
        <v>0</v>
      </c>
      <c r="EY493" s="189">
        <v>0</v>
      </c>
      <c r="EZ493" s="189">
        <v>0</v>
      </c>
      <c r="FA493" s="189">
        <v>0</v>
      </c>
      <c r="FB493" s="189">
        <v>0</v>
      </c>
      <c r="FC493" s="189">
        <v>0</v>
      </c>
      <c r="FD493" s="189">
        <v>0</v>
      </c>
      <c r="FE493" s="189">
        <v>0</v>
      </c>
      <c r="FF493" s="189">
        <v>0</v>
      </c>
      <c r="FG493" s="189">
        <v>0</v>
      </c>
      <c r="FH493" s="189">
        <v>0</v>
      </c>
      <c r="FI493" s="189">
        <v>0</v>
      </c>
      <c r="FJ493" s="189">
        <v>0</v>
      </c>
      <c r="FK493" s="189">
        <v>160.19999999999999</v>
      </c>
      <c r="FL493" s="189">
        <v>160.19999999999999</v>
      </c>
      <c r="FN493" s="132">
        <v>0</v>
      </c>
    </row>
    <row r="494" spans="1:170" ht="30.75" customHeight="1">
      <c r="A494" s="88">
        <f>COUNTIF($H$12:H494,H494)</f>
        <v>72</v>
      </c>
      <c r="B494" s="88" t="s">
        <v>142</v>
      </c>
      <c r="C494" s="88" t="s">
        <v>1209</v>
      </c>
      <c r="D494" s="88"/>
      <c r="E494" s="88"/>
      <c r="F494" s="301" t="s">
        <v>647</v>
      </c>
      <c r="G494" s="89" t="s">
        <v>3031</v>
      </c>
      <c r="H494" s="88">
        <v>9</v>
      </c>
      <c r="I494" s="88">
        <v>9</v>
      </c>
      <c r="J494" s="88">
        <v>9</v>
      </c>
      <c r="K494" s="90" t="s">
        <v>1108</v>
      </c>
      <c r="L494" s="90" t="s">
        <v>1108</v>
      </c>
      <c r="M494" s="214"/>
      <c r="N494" s="88" t="s">
        <v>288</v>
      </c>
      <c r="O494" s="216">
        <f t="shared" si="1574"/>
        <v>3.33</v>
      </c>
      <c r="P494" s="88" t="str">
        <f>IF(BO494&lt;3.33,"B3_3",IF(AND(BO494&gt;=3.33,BO494&lt;4.65),"B3_4",IF(AND(BO494&gt;=4.65,BO494&lt;5.42),"B3_5",IF(AND(BO494&gt;=5.42,BO494&lt;6.44),"B3_6",IF(AND(BO494&gt;=6.44,BO494&lt;=6.92),"B3_7","B3_8")))))</f>
        <v>B3_4</v>
      </c>
      <c r="Q494" s="88">
        <f t="shared" si="1567"/>
        <v>270</v>
      </c>
      <c r="R494" s="88">
        <f t="shared" si="1568"/>
        <v>80</v>
      </c>
      <c r="S494" s="230" t="s">
        <v>800</v>
      </c>
      <c r="T494" s="88" t="s">
        <v>3090</v>
      </c>
      <c r="U494" s="88">
        <f>IF(RIGHT(T494,1)="K",(VLOOKUP(T494,ma_miengiam!$A$3:$B$80,2,0)*100)/2,VLOOKUP(T494,ma_miengiam!$A$3:$B$80,2,0)*100)</f>
        <v>15</v>
      </c>
      <c r="V494" s="88"/>
      <c r="W494" s="220">
        <f>IF(AND(T494="NTS",V494&gt;0),(Q494-(Q494*V494)/12)*VLOOKUP(T494,ma_miengiam!$A$3:$B$80,2,0)+(Q494-(Q494*(12-V494))/12),IF(AND(RIGHT(T494,1)="K",V494&gt;0),(VLOOKUP(T494,ma_miengiam!$A$3:$B$80,2,0)/2)*(Q494*V494)/12,IF(RIGHT(T494,1)="K",(VLOOKUP(T494,ma_miengiam!$A$3:$B$80,2,0)*Q494)/2,IF(V494&gt;0,VLOOKUP(T494,ma_miengiam!$A$3:$B$80,2,0)*Q494*V494/12,VLOOKUP(T494,ma_miengiam!$A$3:$B$80,2,0)*Q494))))</f>
        <v>40.5</v>
      </c>
      <c r="X494" s="220">
        <f>IF(T494="NTS",VLOOKUP(T494,ma_miengiam!$A$3:$B$80,2,0)*R494*V494,IF(AND(T494="NTS",V494=0),0,IF(AND(LEFT(T494,1)="K",V494=0),VLOOKUP(T494,ma_miengiam!$A$3:$B$80,2,0)*R494,IF(LEFT(T494,1)="K",(VLOOKUP(T494,ma_miengiam!$A$3:$B$80,2,0)*R494/12)*V494,IF(AND(LEFT(T494,1)="S",V494&gt;0),(R494/12)*V494,IF(AND(LEFT(T494,1)="S",V494=0),R494,IF(T494="DH",VLOOKUP(T494,ma_miengiam!$A$3:$B$80,2,0)*R494,0)))))))</f>
        <v>0</v>
      </c>
      <c r="Y494" s="220">
        <f t="shared" si="1521"/>
        <v>229.5</v>
      </c>
      <c r="Z494" s="220">
        <f t="shared" si="1569"/>
        <v>80</v>
      </c>
      <c r="AA494" s="220">
        <f t="shared" si="1580"/>
        <v>270</v>
      </c>
      <c r="AB494" s="220">
        <f t="shared" si="1581"/>
        <v>80</v>
      </c>
      <c r="AC494" s="220">
        <f t="shared" si="1582"/>
        <v>40.5</v>
      </c>
      <c r="AD494" s="220">
        <f t="shared" si="1583"/>
        <v>0</v>
      </c>
      <c r="AE494" s="220">
        <f t="shared" si="1584"/>
        <v>229.5</v>
      </c>
      <c r="AF494" s="220">
        <f t="shared" si="1585"/>
        <v>80</v>
      </c>
      <c r="AG494" s="220">
        <f t="shared" si="1586"/>
        <v>0</v>
      </c>
      <c r="AH494" s="220">
        <f t="shared" si="1587"/>
        <v>0</v>
      </c>
      <c r="AI494" s="220">
        <f t="shared" si="1588"/>
        <v>0</v>
      </c>
      <c r="AJ494" s="220">
        <f t="shared" si="1551"/>
        <v>-80</v>
      </c>
      <c r="AK494" s="216">
        <f t="shared" si="1454"/>
        <v>309.5</v>
      </c>
      <c r="AL494" s="220">
        <f t="shared" si="1431"/>
        <v>631.20000000000005</v>
      </c>
      <c r="AM494" s="220">
        <f t="shared" si="1432"/>
        <v>0</v>
      </c>
      <c r="AN494" s="221">
        <f t="shared" si="1433"/>
        <v>631.20000000000005</v>
      </c>
      <c r="AO494" s="220">
        <f t="shared" si="1434"/>
        <v>0</v>
      </c>
      <c r="AP494" s="220">
        <f t="shared" si="1435"/>
        <v>0</v>
      </c>
      <c r="AQ494" s="220">
        <f t="shared" si="1436"/>
        <v>0</v>
      </c>
      <c r="AR494" s="220">
        <f t="shared" si="1437"/>
        <v>0</v>
      </c>
      <c r="AS494" s="220">
        <f t="shared" si="1438"/>
        <v>0</v>
      </c>
      <c r="AT494" s="216">
        <f t="shared" si="1439"/>
        <v>631.20000000000005</v>
      </c>
      <c r="AU494" s="222">
        <f t="shared" si="1447"/>
        <v>321.70000000000005</v>
      </c>
      <c r="AV494" s="220"/>
      <c r="AW494" s="220">
        <f t="shared" si="1530"/>
        <v>321.70000000000005</v>
      </c>
      <c r="AX494" s="216">
        <f t="shared" si="1448"/>
        <v>0</v>
      </c>
      <c r="AY494" s="220">
        <f t="shared" si="1537"/>
        <v>0</v>
      </c>
      <c r="AZ494" s="220">
        <f t="shared" si="1538"/>
        <v>0</v>
      </c>
      <c r="BA494" s="220">
        <f t="shared" si="1539"/>
        <v>0</v>
      </c>
      <c r="BB494" s="220">
        <f t="shared" si="1540"/>
        <v>0</v>
      </c>
      <c r="BC494" s="220">
        <f t="shared" si="1541"/>
        <v>0</v>
      </c>
      <c r="BD494" s="216">
        <f t="shared" si="1410"/>
        <v>0</v>
      </c>
      <c r="BE494" s="220">
        <f t="shared" si="1531"/>
        <v>0</v>
      </c>
      <c r="BF494" s="220">
        <f t="shared" si="1532"/>
        <v>0</v>
      </c>
      <c r="BG494" s="220">
        <f t="shared" si="1533"/>
        <v>0</v>
      </c>
      <c r="BH494" s="220">
        <f t="shared" si="1534"/>
        <v>0</v>
      </c>
      <c r="BI494" s="220">
        <f t="shared" si="1535"/>
        <v>0</v>
      </c>
      <c r="BJ494" s="220" t="s">
        <v>2430</v>
      </c>
      <c r="BK494" s="220"/>
      <c r="BL494" s="223">
        <f t="shared" si="1422"/>
        <v>321.70000000000005</v>
      </c>
      <c r="BM494" s="220">
        <v>3.33</v>
      </c>
      <c r="BN494" s="220"/>
      <c r="BO494" s="220">
        <f t="shared" si="1573"/>
        <v>3.33</v>
      </c>
      <c r="BP494" s="220">
        <f>IF(AND(BL494&gt;0,BL494&lt;tiet!$D$1),BL494,IF(BL494&lt;=0,0,IF(BL494&gt;tiet!$C$1,tiet!$C$1)))</f>
        <v>200</v>
      </c>
      <c r="BQ494" s="87">
        <f t="shared" si="1552"/>
        <v>55000</v>
      </c>
      <c r="BR494" s="224">
        <f t="shared" si="1544"/>
        <v>11000000</v>
      </c>
      <c r="BS494" s="220">
        <f t="shared" si="1478"/>
        <v>121.70000000000005</v>
      </c>
      <c r="BT494" s="224">
        <f>VLOOKUP(N494,ma_dinhmuc!$A$1:$J$31,10,0)</f>
        <v>51000</v>
      </c>
      <c r="BU494" s="224">
        <f>ROUND(IF(BS494&gt;0,VLOOKUP(N494,ma_dinhmuc!$A$1:$J$31,10,0)*BS494,0),0)</f>
        <v>6206700</v>
      </c>
      <c r="BV494" s="224">
        <f t="shared" si="1545"/>
        <v>17206700</v>
      </c>
      <c r="BW494" s="224"/>
      <c r="BX494" s="224">
        <v>0</v>
      </c>
      <c r="BY494" s="224"/>
      <c r="BZ494" s="224"/>
      <c r="CA494" s="224"/>
      <c r="CB494" s="224"/>
      <c r="CC494" s="225">
        <f t="shared" si="1419"/>
        <v>17206700</v>
      </c>
      <c r="CD494" s="224">
        <f t="shared" si="1420"/>
        <v>0</v>
      </c>
      <c r="CE494" s="224"/>
      <c r="CF494" s="226"/>
      <c r="CG494" s="87"/>
      <c r="CH494" s="87">
        <f t="shared" si="1576"/>
        <v>72</v>
      </c>
      <c r="CI494" s="227" t="str">
        <f t="shared" si="1553"/>
        <v>Trần Văn</v>
      </c>
      <c r="CJ494" s="227" t="str">
        <f t="shared" si="1554"/>
        <v>Nên</v>
      </c>
      <c r="CK494" s="87">
        <f t="shared" ref="CK494:CK503" si="1592">H494</f>
        <v>9</v>
      </c>
      <c r="CL494" s="227" t="str">
        <f t="shared" ref="CL494:CL499" si="1593">L494</f>
        <v>Bệnh viện Thú y</v>
      </c>
      <c r="CM494" s="87" t="str">
        <f t="shared" si="1536"/>
        <v>HD2</v>
      </c>
      <c r="CN494" s="87">
        <f t="shared" si="1589"/>
        <v>270</v>
      </c>
      <c r="CO494" s="87">
        <f t="shared" si="1590"/>
        <v>80</v>
      </c>
      <c r="CP494" s="229">
        <f t="shared" si="1483"/>
        <v>0</v>
      </c>
      <c r="CQ494" s="229">
        <f t="shared" si="1484"/>
        <v>0</v>
      </c>
      <c r="CR494" s="229">
        <f t="shared" si="1485"/>
        <v>0</v>
      </c>
      <c r="CS494" s="229">
        <f t="shared" si="1486"/>
        <v>631.20000000000005</v>
      </c>
      <c r="CT494" s="229">
        <f t="shared" si="1487"/>
        <v>0</v>
      </c>
      <c r="CU494" s="229">
        <f t="shared" si="1488"/>
        <v>0</v>
      </c>
      <c r="CV494" s="229">
        <f t="shared" si="1489"/>
        <v>0</v>
      </c>
      <c r="CW494" s="229">
        <f t="shared" si="1490"/>
        <v>0</v>
      </c>
      <c r="CX494" s="229">
        <f t="shared" si="1491"/>
        <v>0</v>
      </c>
      <c r="CY494" s="229">
        <f t="shared" si="1492"/>
        <v>0</v>
      </c>
      <c r="CZ494" s="229">
        <f t="shared" si="1493"/>
        <v>0</v>
      </c>
      <c r="DA494" s="229">
        <f t="shared" si="1494"/>
        <v>0</v>
      </c>
      <c r="DB494" s="228">
        <f t="shared" si="1429"/>
        <v>631.20000000000005</v>
      </c>
      <c r="DC494" s="229"/>
      <c r="DD494" s="229"/>
      <c r="DE494" s="229"/>
      <c r="DF494" s="229"/>
      <c r="DG494" s="229"/>
      <c r="DH494" s="229"/>
      <c r="DI494" s="229"/>
      <c r="DJ494" s="229"/>
      <c r="DK494" s="229"/>
      <c r="DL494" s="229"/>
      <c r="DM494" s="229"/>
      <c r="DN494" s="229"/>
      <c r="DO494" s="228">
        <f t="shared" si="1440"/>
        <v>0</v>
      </c>
      <c r="DP494" s="228">
        <f t="shared" si="1441"/>
        <v>631.20000000000005</v>
      </c>
      <c r="DQ494" s="229">
        <f t="shared" si="1495"/>
        <v>0</v>
      </c>
      <c r="DR494" s="229">
        <f t="shared" si="1496"/>
        <v>0</v>
      </c>
      <c r="DS494" s="229">
        <f t="shared" si="1497"/>
        <v>0</v>
      </c>
      <c r="DT494" s="229">
        <f t="shared" si="1498"/>
        <v>0</v>
      </c>
      <c r="DU494" s="229">
        <f t="shared" si="1499"/>
        <v>0</v>
      </c>
      <c r="DV494" s="229">
        <f t="shared" si="1500"/>
        <v>0</v>
      </c>
      <c r="DW494" s="229">
        <f t="shared" si="1501"/>
        <v>0</v>
      </c>
      <c r="DX494" s="228">
        <f t="shared" si="1430"/>
        <v>0</v>
      </c>
      <c r="DY494" s="229"/>
      <c r="DZ494" s="229"/>
      <c r="EA494" s="229"/>
      <c r="EB494" s="229"/>
      <c r="EC494" s="229"/>
      <c r="ED494" s="229"/>
      <c r="EE494" s="229"/>
      <c r="EF494" s="228">
        <f t="shared" si="1480"/>
        <v>0</v>
      </c>
      <c r="EG494" s="228">
        <f t="shared" si="1442"/>
        <v>0</v>
      </c>
      <c r="EH494" s="229">
        <f t="shared" si="1481"/>
        <v>0</v>
      </c>
      <c r="EI494" s="229">
        <v>0</v>
      </c>
      <c r="EJ494" s="228">
        <f t="shared" si="1443"/>
        <v>0</v>
      </c>
      <c r="EK494" s="229"/>
      <c r="EL494" s="229"/>
      <c r="EM494" s="228">
        <f t="shared" si="1542"/>
        <v>0</v>
      </c>
      <c r="EN494" s="229">
        <f t="shared" si="1591"/>
        <v>0</v>
      </c>
      <c r="EO494" s="229">
        <f t="shared" si="1451"/>
        <v>0</v>
      </c>
      <c r="EP494" s="228">
        <f t="shared" si="1543"/>
        <v>0</v>
      </c>
      <c r="EQ494" s="173">
        <f t="shared" si="1479"/>
        <v>0</v>
      </c>
      <c r="ER494" s="189">
        <v>0</v>
      </c>
      <c r="ES494" s="189">
        <v>0</v>
      </c>
      <c r="ET494" s="189">
        <v>0</v>
      </c>
      <c r="EU494" s="189">
        <v>631.20000000000005</v>
      </c>
      <c r="EV494" s="189">
        <v>0</v>
      </c>
      <c r="EW494" s="189">
        <v>0</v>
      </c>
      <c r="EX494" s="189">
        <v>0</v>
      </c>
      <c r="EY494" s="189">
        <v>0</v>
      </c>
      <c r="EZ494" s="189">
        <v>0</v>
      </c>
      <c r="FA494" s="189">
        <v>0</v>
      </c>
      <c r="FB494" s="189">
        <v>0</v>
      </c>
      <c r="FC494" s="189">
        <v>0</v>
      </c>
      <c r="FD494" s="189">
        <v>0</v>
      </c>
      <c r="FE494" s="189">
        <v>0</v>
      </c>
      <c r="FF494" s="189">
        <v>0</v>
      </c>
      <c r="FG494" s="189">
        <v>0</v>
      </c>
      <c r="FH494" s="189">
        <v>0</v>
      </c>
      <c r="FI494" s="189">
        <v>0</v>
      </c>
      <c r="FJ494" s="189">
        <v>0</v>
      </c>
      <c r="FK494" s="189">
        <v>631.20000000000005</v>
      </c>
      <c r="FL494" s="189">
        <v>631.20000000000005</v>
      </c>
      <c r="FN494" s="132">
        <v>0</v>
      </c>
    </row>
    <row r="495" spans="1:170" ht="29.25" customHeight="1">
      <c r="A495" s="88">
        <f>COUNTIF($H$12:H495,H495)</f>
        <v>1</v>
      </c>
      <c r="B495" s="88" t="s">
        <v>144</v>
      </c>
      <c r="C495" s="88" t="s">
        <v>1210</v>
      </c>
      <c r="D495" s="88"/>
      <c r="E495" s="88"/>
      <c r="F495" s="301" t="s">
        <v>3032</v>
      </c>
      <c r="G495" s="89" t="s">
        <v>35</v>
      </c>
      <c r="H495" s="88">
        <v>10</v>
      </c>
      <c r="I495" s="88">
        <v>10</v>
      </c>
      <c r="J495" s="88">
        <v>10</v>
      </c>
      <c r="K495" s="90" t="s">
        <v>1109</v>
      </c>
      <c r="L495" s="90" t="s">
        <v>1109</v>
      </c>
      <c r="M495" s="214"/>
      <c r="N495" s="88" t="s">
        <v>1179</v>
      </c>
      <c r="O495" s="216">
        <f t="shared" si="1574"/>
        <v>3.33</v>
      </c>
      <c r="P495" s="88" t="str">
        <f t="shared" ref="P495:P518" si="1594">IF(BO495&lt;3.33,"B11_3",IF(AND(BO495&gt;=3.33,BO495&lt;4.65),"B11_4",IF(AND(BO495&gt;=4.65,BO495&lt;5.42),"B11_5",IF(AND(BO495&gt;=5.42,BO495&lt;6.44),"B11_6",IF(AND(BO495&gt;=6.44,BO495&lt;=6.92),"B11_7","B11_8")))))</f>
        <v>B11_4</v>
      </c>
      <c r="Q495" s="88">
        <f t="shared" si="1567"/>
        <v>270</v>
      </c>
      <c r="R495" s="88">
        <f t="shared" si="1568"/>
        <v>80</v>
      </c>
      <c r="S495" s="230"/>
      <c r="T495" s="88" t="s">
        <v>3088</v>
      </c>
      <c r="U495" s="88">
        <f>IF(RIGHT(T495,1)="K",(VLOOKUP(T495,ma_miengiam!$A$3:$B$80,2,0)*100)/2,VLOOKUP(T495,ma_miengiam!$A$3:$B$80,2,0)*100)</f>
        <v>0</v>
      </c>
      <c r="V495" s="88"/>
      <c r="W495" s="220">
        <f>IF(AND(T495="NTS",V495&gt;0),(Q495-(Q495*V495)/12)*VLOOKUP(T495,ma_miengiam!$A$3:$B$80,2,0)+(Q495-(Q495*(12-V495))/12),IF(AND(RIGHT(T495,1)="K",V495&gt;0),(VLOOKUP(T495,ma_miengiam!$A$3:$B$80,2,0)/2)*(Q495*V495)/12,IF(RIGHT(T495,1)="K",(VLOOKUP(T495,ma_miengiam!$A$3:$B$80,2,0)*Q495)/2,IF(V495&gt;0,VLOOKUP(T495,ma_miengiam!$A$3:$B$80,2,0)*Q495*V495/12,VLOOKUP(T495,ma_miengiam!$A$3:$B$80,2,0)*Q495))))</f>
        <v>0</v>
      </c>
      <c r="X495" s="220">
        <f>IF(T495="NTS",VLOOKUP(T495,ma_miengiam!$A$3:$B$80,2,0)*R495*V495,IF(AND(T495="NTS",V495=0),0,IF(AND(LEFT(T495,1)="K",V495=0),VLOOKUP(T495,ma_miengiam!$A$3:$B$80,2,0)*R495,IF(LEFT(T495,1)="K",(VLOOKUP(T495,ma_miengiam!$A$3:$B$80,2,0)*R495/12)*V495,IF(AND(LEFT(T495,1)="S",V495&gt;0),(R495/12)*V495,IF(AND(LEFT(T495,1)="S",V495=0),R495,IF(T495="DH",VLOOKUP(T495,ma_miengiam!$A$3:$B$80,2,0)*R495,0)))))))</f>
        <v>0</v>
      </c>
      <c r="Y495" s="220">
        <f t="shared" si="1521"/>
        <v>270</v>
      </c>
      <c r="Z495" s="220">
        <f t="shared" si="1569"/>
        <v>80</v>
      </c>
      <c r="AA495" s="220">
        <f t="shared" si="1580"/>
        <v>270</v>
      </c>
      <c r="AB495" s="220">
        <f t="shared" si="1581"/>
        <v>80</v>
      </c>
      <c r="AC495" s="220">
        <f t="shared" si="1582"/>
        <v>0</v>
      </c>
      <c r="AD495" s="220">
        <f t="shared" si="1583"/>
        <v>0</v>
      </c>
      <c r="AE495" s="220">
        <f t="shared" si="1584"/>
        <v>270</v>
      </c>
      <c r="AF495" s="220">
        <f t="shared" si="1585"/>
        <v>80</v>
      </c>
      <c r="AG495" s="220">
        <f t="shared" si="1586"/>
        <v>25</v>
      </c>
      <c r="AH495" s="220">
        <f t="shared" si="1587"/>
        <v>0</v>
      </c>
      <c r="AI495" s="220">
        <f t="shared" si="1588"/>
        <v>25</v>
      </c>
      <c r="AJ495" s="220">
        <f t="shared" si="1551"/>
        <v>-55</v>
      </c>
      <c r="AK495" s="216">
        <f t="shared" si="1454"/>
        <v>325</v>
      </c>
      <c r="AL495" s="220">
        <f t="shared" si="1431"/>
        <v>219</v>
      </c>
      <c r="AM495" s="220">
        <f t="shared" si="1432"/>
        <v>0</v>
      </c>
      <c r="AN495" s="221">
        <f t="shared" si="1433"/>
        <v>219</v>
      </c>
      <c r="AO495" s="220">
        <f t="shared" si="1434"/>
        <v>0</v>
      </c>
      <c r="AP495" s="220">
        <f t="shared" si="1435"/>
        <v>0</v>
      </c>
      <c r="AQ495" s="220">
        <f t="shared" si="1436"/>
        <v>0</v>
      </c>
      <c r="AR495" s="220">
        <f t="shared" si="1437"/>
        <v>0</v>
      </c>
      <c r="AS495" s="220">
        <f t="shared" si="1438"/>
        <v>0</v>
      </c>
      <c r="AT495" s="216">
        <f t="shared" si="1439"/>
        <v>219</v>
      </c>
      <c r="AU495" s="222">
        <f t="shared" si="1447"/>
        <v>-106</v>
      </c>
      <c r="AV495" s="220"/>
      <c r="AW495" s="220">
        <f t="shared" si="1530"/>
        <v>-106</v>
      </c>
      <c r="AX495" s="216">
        <f t="shared" si="1448"/>
        <v>-106</v>
      </c>
      <c r="AY495" s="220">
        <f t="shared" si="1537"/>
        <v>0</v>
      </c>
      <c r="AZ495" s="220">
        <f t="shared" si="1538"/>
        <v>0</v>
      </c>
      <c r="BA495" s="220">
        <f t="shared" si="1539"/>
        <v>0</v>
      </c>
      <c r="BB495" s="220">
        <f t="shared" si="1540"/>
        <v>0</v>
      </c>
      <c r="BC495" s="220">
        <f t="shared" si="1541"/>
        <v>0</v>
      </c>
      <c r="BD495" s="216">
        <f t="shared" si="1410"/>
        <v>0</v>
      </c>
      <c r="BE495" s="220">
        <f t="shared" si="1531"/>
        <v>0</v>
      </c>
      <c r="BF495" s="220">
        <f t="shared" si="1532"/>
        <v>0</v>
      </c>
      <c r="BG495" s="220">
        <f t="shared" si="1533"/>
        <v>0</v>
      </c>
      <c r="BH495" s="220">
        <f t="shared" si="1534"/>
        <v>0</v>
      </c>
      <c r="BI495" s="220">
        <f t="shared" si="1535"/>
        <v>0</v>
      </c>
      <c r="BJ495" s="220" t="s">
        <v>1561</v>
      </c>
      <c r="BK495" s="220"/>
      <c r="BL495" s="223">
        <f t="shared" si="1422"/>
        <v>0</v>
      </c>
      <c r="BM495" s="220">
        <v>3.33</v>
      </c>
      <c r="BN495" s="220"/>
      <c r="BO495" s="220">
        <f t="shared" si="1573"/>
        <v>3.33</v>
      </c>
      <c r="BP495" s="220">
        <f>IF(AND(BL495&gt;0,BL495&lt;tiet!$D$1),BL495,IF(BL495&lt;=0,0,IF(BL495&gt;tiet!$C$1,tiet!$C$1)))</f>
        <v>0</v>
      </c>
      <c r="BQ495" s="87">
        <f t="shared" si="1552"/>
        <v>65000</v>
      </c>
      <c r="BR495" s="224">
        <f t="shared" si="1544"/>
        <v>0</v>
      </c>
      <c r="BS495" s="220">
        <f t="shared" si="1478"/>
        <v>0</v>
      </c>
      <c r="BT495" s="224">
        <f>VLOOKUP(N495,ma_dinhmuc!$A$1:$J$31,10,0)</f>
        <v>51000</v>
      </c>
      <c r="BU495" s="224">
        <f>ROUND(IF(BS495&gt;0,VLOOKUP(N495,ma_dinhmuc!$A$1:$J$31,10,0)*BS495,0),0)</f>
        <v>0</v>
      </c>
      <c r="BV495" s="224">
        <f t="shared" si="1545"/>
        <v>0</v>
      </c>
      <c r="BW495" s="224"/>
      <c r="BX495" s="224">
        <v>0</v>
      </c>
      <c r="BY495" s="224"/>
      <c r="BZ495" s="224"/>
      <c r="CA495" s="224"/>
      <c r="CB495" s="224"/>
      <c r="CC495" s="225">
        <f t="shared" ref="CC495:CC543" si="1595">ROUND(IF(BV495+BW495&gt;BX495+BY495+BZ495+CA495+CB495,(BW495+BV495)-(BX495+BY495+BZ495+CA495+CB495+CB495),0),0)</f>
        <v>0</v>
      </c>
      <c r="CD495" s="224">
        <f t="shared" ref="CD495:CD543" si="1596">ROUND(IF(BV495+BW495&lt;BX495+BY495+BZ495+CA495-CB495,(BX495+BY495+BZ495+CA495-CB495)-(BW495+BV495),0),0)</f>
        <v>0</v>
      </c>
      <c r="CE495" s="224"/>
      <c r="CF495" s="226"/>
      <c r="CG495" s="87"/>
      <c r="CH495" s="87">
        <f t="shared" ref="CH495:CH503" si="1597">A495</f>
        <v>1</v>
      </c>
      <c r="CI495" s="227" t="str">
        <f t="shared" si="1553"/>
        <v>Nguyễn Thuỷ</v>
      </c>
      <c r="CJ495" s="227" t="str">
        <f t="shared" si="1554"/>
        <v>Hằng</v>
      </c>
      <c r="CK495" s="87">
        <f t="shared" si="1592"/>
        <v>10</v>
      </c>
      <c r="CL495" s="227" t="str">
        <f t="shared" si="1593"/>
        <v>Toán</v>
      </c>
      <c r="CM495" s="87" t="str">
        <f t="shared" si="1536"/>
        <v>CB2</v>
      </c>
      <c r="CN495" s="87">
        <f t="shared" si="1589"/>
        <v>270</v>
      </c>
      <c r="CO495" s="87">
        <f t="shared" si="1590"/>
        <v>80</v>
      </c>
      <c r="CP495" s="229">
        <f t="shared" si="1483"/>
        <v>0</v>
      </c>
      <c r="CQ495" s="229">
        <f t="shared" si="1484"/>
        <v>30.9</v>
      </c>
      <c r="CR495" s="229">
        <f t="shared" si="1485"/>
        <v>12.4</v>
      </c>
      <c r="CS495" s="229">
        <f t="shared" si="1486"/>
        <v>0</v>
      </c>
      <c r="CT495" s="229">
        <f t="shared" si="1487"/>
        <v>0</v>
      </c>
      <c r="CU495" s="229">
        <f t="shared" si="1488"/>
        <v>175.7</v>
      </c>
      <c r="CV495" s="229">
        <f t="shared" si="1489"/>
        <v>0</v>
      </c>
      <c r="CW495" s="229">
        <f t="shared" si="1490"/>
        <v>0</v>
      </c>
      <c r="CX495" s="229">
        <f t="shared" si="1491"/>
        <v>0</v>
      </c>
      <c r="CY495" s="229">
        <f t="shared" si="1492"/>
        <v>0</v>
      </c>
      <c r="CZ495" s="229">
        <f t="shared" si="1493"/>
        <v>0</v>
      </c>
      <c r="DA495" s="229">
        <f t="shared" si="1494"/>
        <v>0</v>
      </c>
      <c r="DB495" s="228">
        <f t="shared" si="1429"/>
        <v>219</v>
      </c>
      <c r="DC495" s="229"/>
      <c r="DD495" s="229"/>
      <c r="DE495" s="229"/>
      <c r="DF495" s="229"/>
      <c r="DG495" s="229"/>
      <c r="DH495" s="229"/>
      <c r="DI495" s="229"/>
      <c r="DJ495" s="229"/>
      <c r="DK495" s="229"/>
      <c r="DL495" s="229"/>
      <c r="DM495" s="229"/>
      <c r="DN495" s="229"/>
      <c r="DO495" s="228">
        <f t="shared" si="1440"/>
        <v>0</v>
      </c>
      <c r="DP495" s="228">
        <f t="shared" si="1441"/>
        <v>219</v>
      </c>
      <c r="DQ495" s="229">
        <f t="shared" si="1495"/>
        <v>0</v>
      </c>
      <c r="DR495" s="229">
        <f t="shared" si="1496"/>
        <v>0</v>
      </c>
      <c r="DS495" s="229">
        <f t="shared" si="1497"/>
        <v>0</v>
      </c>
      <c r="DT495" s="229">
        <f t="shared" si="1498"/>
        <v>0</v>
      </c>
      <c r="DU495" s="229">
        <f t="shared" si="1499"/>
        <v>0</v>
      </c>
      <c r="DV495" s="229">
        <f t="shared" si="1500"/>
        <v>0</v>
      </c>
      <c r="DW495" s="229">
        <f t="shared" si="1501"/>
        <v>0</v>
      </c>
      <c r="DX495" s="228">
        <f t="shared" si="1430"/>
        <v>0</v>
      </c>
      <c r="DY495" s="229"/>
      <c r="DZ495" s="229"/>
      <c r="EA495" s="229"/>
      <c r="EB495" s="229"/>
      <c r="EC495" s="229"/>
      <c r="ED495" s="229"/>
      <c r="EE495" s="229"/>
      <c r="EF495" s="228">
        <f t="shared" si="1480"/>
        <v>0</v>
      </c>
      <c r="EG495" s="228">
        <f t="shared" si="1442"/>
        <v>0</v>
      </c>
      <c r="EH495" s="229">
        <f t="shared" si="1481"/>
        <v>25</v>
      </c>
      <c r="EI495" s="229">
        <v>0</v>
      </c>
      <c r="EJ495" s="228">
        <f t="shared" si="1443"/>
        <v>25</v>
      </c>
      <c r="EK495" s="229"/>
      <c r="EL495" s="229"/>
      <c r="EM495" s="228">
        <f t="shared" si="1542"/>
        <v>0</v>
      </c>
      <c r="EN495" s="229">
        <f t="shared" si="1591"/>
        <v>25</v>
      </c>
      <c r="EO495" s="229">
        <f t="shared" si="1451"/>
        <v>0</v>
      </c>
      <c r="EP495" s="228">
        <f t="shared" si="1543"/>
        <v>25</v>
      </c>
      <c r="EQ495" s="173">
        <f t="shared" si="1479"/>
        <v>0</v>
      </c>
      <c r="ER495" s="189">
        <v>0</v>
      </c>
      <c r="ES495" s="189">
        <v>30.9</v>
      </c>
      <c r="ET495" s="189">
        <v>12.4</v>
      </c>
      <c r="EU495" s="189">
        <v>0</v>
      </c>
      <c r="EV495" s="189">
        <v>0</v>
      </c>
      <c r="EW495" s="189">
        <v>175.7</v>
      </c>
      <c r="EX495" s="189">
        <v>0</v>
      </c>
      <c r="EY495" s="189">
        <v>0</v>
      </c>
      <c r="EZ495" s="189">
        <v>0</v>
      </c>
      <c r="FA495" s="189">
        <v>0</v>
      </c>
      <c r="FB495" s="189">
        <v>0</v>
      </c>
      <c r="FC495" s="189">
        <v>0</v>
      </c>
      <c r="FD495" s="189">
        <v>0</v>
      </c>
      <c r="FE495" s="189">
        <v>0</v>
      </c>
      <c r="FF495" s="189">
        <v>0</v>
      </c>
      <c r="FG495" s="189">
        <v>0</v>
      </c>
      <c r="FH495" s="189">
        <v>0</v>
      </c>
      <c r="FI495" s="189">
        <v>0</v>
      </c>
      <c r="FJ495" s="189">
        <v>0</v>
      </c>
      <c r="FK495" s="189">
        <v>219</v>
      </c>
      <c r="FL495" s="189">
        <v>158</v>
      </c>
      <c r="FN495" s="132">
        <v>25</v>
      </c>
    </row>
    <row r="496" spans="1:170" ht="30" customHeight="1">
      <c r="A496" s="88">
        <f>COUNTIF($H$12:H496,H496)</f>
        <v>2</v>
      </c>
      <c r="B496" s="88" t="s">
        <v>145</v>
      </c>
      <c r="C496" s="88" t="s">
        <v>1211</v>
      </c>
      <c r="D496" s="88"/>
      <c r="E496" s="88"/>
      <c r="F496" s="301" t="s">
        <v>3033</v>
      </c>
      <c r="G496" s="303" t="s">
        <v>1772</v>
      </c>
      <c r="H496" s="88">
        <v>10</v>
      </c>
      <c r="I496" s="88">
        <v>10</v>
      </c>
      <c r="J496" s="88">
        <v>10</v>
      </c>
      <c r="K496" s="90" t="s">
        <v>1109</v>
      </c>
      <c r="L496" s="90" t="s">
        <v>1109</v>
      </c>
      <c r="M496" s="214"/>
      <c r="N496" s="88" t="s">
        <v>1179</v>
      </c>
      <c r="O496" s="216">
        <f t="shared" si="1574"/>
        <v>3.66</v>
      </c>
      <c r="P496" s="88" t="str">
        <f t="shared" si="1594"/>
        <v>B11_4</v>
      </c>
      <c r="Q496" s="88">
        <f t="shared" si="1567"/>
        <v>270</v>
      </c>
      <c r="R496" s="88">
        <f t="shared" si="1568"/>
        <v>80</v>
      </c>
      <c r="S496" s="232"/>
      <c r="T496" s="88" t="s">
        <v>3088</v>
      </c>
      <c r="U496" s="88">
        <f>IF(RIGHT(T496,1)="K",(VLOOKUP(T496,ma_miengiam!$A$3:$B$80,2,0)*100)/2,VLOOKUP(T496,ma_miengiam!$A$3:$B$80,2,0)*100)</f>
        <v>0</v>
      </c>
      <c r="V496" s="88"/>
      <c r="W496" s="220">
        <f>IF(AND(T496="NTS",V496&gt;0),(Q496-(Q496*V496)/12)*VLOOKUP(T496,ma_miengiam!$A$3:$B$80,2,0)+(Q496-(Q496*(12-V496))/12),IF(AND(RIGHT(T496,1)="K",V496&gt;0),(VLOOKUP(T496,ma_miengiam!$A$3:$B$80,2,0)/2)*(Q496*V496)/12,IF(RIGHT(T496,1)="K",(VLOOKUP(T496,ma_miengiam!$A$3:$B$80,2,0)*Q496)/2,IF(V496&gt;0,VLOOKUP(T496,ma_miengiam!$A$3:$B$80,2,0)*Q496*V496/12,VLOOKUP(T496,ma_miengiam!$A$3:$B$80,2,0)*Q496))))</f>
        <v>0</v>
      </c>
      <c r="X496" s="220">
        <f>IF(T496="NTS",VLOOKUP(T496,ma_miengiam!$A$3:$B$80,2,0)*R496*V496,IF(AND(T496="NTS",V496=0),0,IF(AND(LEFT(T496,1)="K",V496=0),VLOOKUP(T496,ma_miengiam!$A$3:$B$80,2,0)*R496,IF(LEFT(T496,1)="K",(VLOOKUP(T496,ma_miengiam!$A$3:$B$80,2,0)*R496/12)*V496,IF(AND(LEFT(T496,1)="S",V496&gt;0),(R496/12)*V496,IF(AND(LEFT(T496,1)="S",V496=0),R496,IF(T496="DH",VLOOKUP(T496,ma_miengiam!$A$3:$B$80,2,0)*R496,0)))))))</f>
        <v>0</v>
      </c>
      <c r="Y496" s="220">
        <f t="shared" si="1521"/>
        <v>270</v>
      </c>
      <c r="Z496" s="220">
        <f t="shared" si="1569"/>
        <v>80</v>
      </c>
      <c r="AA496" s="220">
        <f t="shared" si="1580"/>
        <v>270</v>
      </c>
      <c r="AB496" s="220">
        <f t="shared" si="1581"/>
        <v>80</v>
      </c>
      <c r="AC496" s="220">
        <f t="shared" si="1582"/>
        <v>0</v>
      </c>
      <c r="AD496" s="220">
        <f t="shared" si="1583"/>
        <v>0</v>
      </c>
      <c r="AE496" s="220">
        <f t="shared" si="1584"/>
        <v>270</v>
      </c>
      <c r="AF496" s="220">
        <f t="shared" si="1585"/>
        <v>80</v>
      </c>
      <c r="AG496" s="220">
        <f t="shared" si="1586"/>
        <v>9.9999999999994316E-2</v>
      </c>
      <c r="AH496" s="220">
        <f t="shared" si="1587"/>
        <v>9.9999999999994316E-2</v>
      </c>
      <c r="AI496" s="220">
        <f t="shared" si="1588"/>
        <v>0</v>
      </c>
      <c r="AJ496" s="220">
        <f t="shared" si="1551"/>
        <v>-79.900000000000006</v>
      </c>
      <c r="AK496" s="216">
        <f t="shared" si="1454"/>
        <v>349.9</v>
      </c>
      <c r="AL496" s="220">
        <f t="shared" si="1431"/>
        <v>141.4</v>
      </c>
      <c r="AM496" s="220">
        <f t="shared" si="1432"/>
        <v>0</v>
      </c>
      <c r="AN496" s="221">
        <f t="shared" si="1433"/>
        <v>141.4</v>
      </c>
      <c r="AO496" s="220">
        <f t="shared" si="1434"/>
        <v>0</v>
      </c>
      <c r="AP496" s="220">
        <f t="shared" si="1435"/>
        <v>0</v>
      </c>
      <c r="AQ496" s="220">
        <f t="shared" si="1436"/>
        <v>0</v>
      </c>
      <c r="AR496" s="220">
        <f t="shared" si="1437"/>
        <v>0</v>
      </c>
      <c r="AS496" s="220">
        <f t="shared" si="1438"/>
        <v>0</v>
      </c>
      <c r="AT496" s="216">
        <f t="shared" si="1439"/>
        <v>141.4</v>
      </c>
      <c r="AU496" s="222">
        <f t="shared" si="1447"/>
        <v>-208.49999999999997</v>
      </c>
      <c r="AV496" s="220"/>
      <c r="AW496" s="220">
        <f t="shared" si="1530"/>
        <v>-208.49999999999997</v>
      </c>
      <c r="AX496" s="216">
        <f t="shared" si="1448"/>
        <v>-208.49999999999997</v>
      </c>
      <c r="AY496" s="220">
        <f t="shared" si="1537"/>
        <v>0</v>
      </c>
      <c r="AZ496" s="220">
        <f t="shared" si="1538"/>
        <v>0</v>
      </c>
      <c r="BA496" s="220">
        <f t="shared" si="1539"/>
        <v>0</v>
      </c>
      <c r="BB496" s="220">
        <f t="shared" si="1540"/>
        <v>0</v>
      </c>
      <c r="BC496" s="220">
        <f t="shared" si="1541"/>
        <v>0</v>
      </c>
      <c r="BD496" s="216">
        <f t="shared" si="1410"/>
        <v>0</v>
      </c>
      <c r="BE496" s="220">
        <f t="shared" si="1531"/>
        <v>0</v>
      </c>
      <c r="BF496" s="220">
        <f t="shared" si="1532"/>
        <v>0</v>
      </c>
      <c r="BG496" s="220">
        <f t="shared" si="1533"/>
        <v>0</v>
      </c>
      <c r="BH496" s="220">
        <f t="shared" si="1534"/>
        <v>0</v>
      </c>
      <c r="BI496" s="220">
        <f t="shared" si="1535"/>
        <v>0</v>
      </c>
      <c r="BJ496" s="220" t="s">
        <v>1561</v>
      </c>
      <c r="BK496" s="220"/>
      <c r="BL496" s="223">
        <f t="shared" si="1422"/>
        <v>0</v>
      </c>
      <c r="BM496" s="220">
        <v>3.66</v>
      </c>
      <c r="BN496" s="220"/>
      <c r="BO496" s="220">
        <f t="shared" si="1573"/>
        <v>3.66</v>
      </c>
      <c r="BP496" s="220">
        <f>IF(AND(BL496&gt;0,BL496&lt;tiet!$D$1),BL496,IF(BL496&lt;=0,0,IF(BL496&gt;tiet!$C$1,tiet!$C$1)))</f>
        <v>0</v>
      </c>
      <c r="BQ496" s="87">
        <f t="shared" si="1552"/>
        <v>65000</v>
      </c>
      <c r="BR496" s="224">
        <f t="shared" si="1544"/>
        <v>0</v>
      </c>
      <c r="BS496" s="220">
        <f t="shared" si="1478"/>
        <v>0</v>
      </c>
      <c r="BT496" s="224">
        <f>VLOOKUP(N496,ma_dinhmuc!$A$1:$J$31,10,0)</f>
        <v>51000</v>
      </c>
      <c r="BU496" s="224">
        <f>ROUND(IF(BS496&gt;0,VLOOKUP(N496,ma_dinhmuc!$A$1:$J$31,10,0)*BS496,0),0)</f>
        <v>0</v>
      </c>
      <c r="BV496" s="224">
        <f t="shared" si="1545"/>
        <v>0</v>
      </c>
      <c r="BW496" s="224"/>
      <c r="BX496" s="224">
        <v>0</v>
      </c>
      <c r="BY496" s="224"/>
      <c r="BZ496" s="224"/>
      <c r="CA496" s="224"/>
      <c r="CB496" s="224"/>
      <c r="CC496" s="225">
        <f t="shared" si="1595"/>
        <v>0</v>
      </c>
      <c r="CD496" s="224">
        <f t="shared" si="1596"/>
        <v>0</v>
      </c>
      <c r="CE496" s="224"/>
      <c r="CF496" s="226"/>
      <c r="CG496" s="87"/>
      <c r="CH496" s="87">
        <f t="shared" si="1597"/>
        <v>2</v>
      </c>
      <c r="CI496" s="227" t="str">
        <f t="shared" si="1553"/>
        <v>Nguyễn Hà</v>
      </c>
      <c r="CJ496" s="227" t="str">
        <f t="shared" si="1554"/>
        <v>Thanh</v>
      </c>
      <c r="CK496" s="87">
        <f t="shared" si="1592"/>
        <v>10</v>
      </c>
      <c r="CL496" s="227" t="str">
        <f t="shared" si="1593"/>
        <v>Toán</v>
      </c>
      <c r="CM496" s="87" t="str">
        <f t="shared" si="1536"/>
        <v>CB2</v>
      </c>
      <c r="CN496" s="87">
        <f t="shared" si="1589"/>
        <v>270</v>
      </c>
      <c r="CO496" s="87">
        <f t="shared" si="1590"/>
        <v>80</v>
      </c>
      <c r="CP496" s="229">
        <f t="shared" si="1483"/>
        <v>0</v>
      </c>
      <c r="CQ496" s="229">
        <f t="shared" si="1484"/>
        <v>17.2</v>
      </c>
      <c r="CR496" s="229">
        <f t="shared" si="1485"/>
        <v>7</v>
      </c>
      <c r="CS496" s="229">
        <f t="shared" si="1486"/>
        <v>0</v>
      </c>
      <c r="CT496" s="229">
        <f t="shared" si="1487"/>
        <v>0</v>
      </c>
      <c r="CU496" s="229">
        <f t="shared" si="1488"/>
        <v>101.2</v>
      </c>
      <c r="CV496" s="229">
        <f t="shared" si="1489"/>
        <v>0</v>
      </c>
      <c r="CW496" s="229">
        <f t="shared" si="1490"/>
        <v>16</v>
      </c>
      <c r="CX496" s="229">
        <f t="shared" si="1491"/>
        <v>0</v>
      </c>
      <c r="CY496" s="229">
        <f t="shared" si="1492"/>
        <v>0</v>
      </c>
      <c r="CZ496" s="229">
        <f t="shared" si="1493"/>
        <v>0</v>
      </c>
      <c r="DA496" s="229">
        <f t="shared" si="1494"/>
        <v>0</v>
      </c>
      <c r="DB496" s="228">
        <f t="shared" si="1429"/>
        <v>141.4</v>
      </c>
      <c r="DC496" s="229"/>
      <c r="DD496" s="229"/>
      <c r="DE496" s="229"/>
      <c r="DF496" s="229"/>
      <c r="DG496" s="229"/>
      <c r="DH496" s="229"/>
      <c r="DI496" s="229"/>
      <c r="DJ496" s="229"/>
      <c r="DK496" s="229"/>
      <c r="DL496" s="229"/>
      <c r="DM496" s="229"/>
      <c r="DN496" s="229"/>
      <c r="DO496" s="228">
        <f t="shared" si="1440"/>
        <v>0</v>
      </c>
      <c r="DP496" s="228">
        <f t="shared" si="1441"/>
        <v>141.4</v>
      </c>
      <c r="DQ496" s="229">
        <f t="shared" si="1495"/>
        <v>0</v>
      </c>
      <c r="DR496" s="229">
        <f t="shared" si="1496"/>
        <v>0</v>
      </c>
      <c r="DS496" s="229">
        <f t="shared" si="1497"/>
        <v>0</v>
      </c>
      <c r="DT496" s="229">
        <f t="shared" si="1498"/>
        <v>0</v>
      </c>
      <c r="DU496" s="229">
        <f t="shared" si="1499"/>
        <v>0</v>
      </c>
      <c r="DV496" s="229">
        <f t="shared" si="1500"/>
        <v>0</v>
      </c>
      <c r="DW496" s="229">
        <f t="shared" si="1501"/>
        <v>0</v>
      </c>
      <c r="DX496" s="228">
        <f t="shared" si="1430"/>
        <v>0</v>
      </c>
      <c r="DY496" s="229"/>
      <c r="DZ496" s="229"/>
      <c r="EA496" s="229"/>
      <c r="EB496" s="229"/>
      <c r="EC496" s="229"/>
      <c r="ED496" s="229"/>
      <c r="EE496" s="229"/>
      <c r="EF496" s="228">
        <f t="shared" si="1480"/>
        <v>0</v>
      </c>
      <c r="EG496" s="228">
        <f t="shared" si="1442"/>
        <v>0</v>
      </c>
      <c r="EH496" s="229">
        <f t="shared" si="1481"/>
        <v>0</v>
      </c>
      <c r="EI496" s="229">
        <v>9.9999999999994316E-2</v>
      </c>
      <c r="EJ496" s="228">
        <f t="shared" si="1443"/>
        <v>9.9999999999994316E-2</v>
      </c>
      <c r="EK496" s="229"/>
      <c r="EL496" s="229"/>
      <c r="EM496" s="228">
        <f t="shared" si="1542"/>
        <v>0</v>
      </c>
      <c r="EN496" s="229">
        <f t="shared" si="1591"/>
        <v>0</v>
      </c>
      <c r="EO496" s="229">
        <f t="shared" si="1451"/>
        <v>9.9999999999994316E-2</v>
      </c>
      <c r="EP496" s="228">
        <f t="shared" si="1543"/>
        <v>9.9999999999994316E-2</v>
      </c>
      <c r="EQ496" s="173">
        <f t="shared" si="1479"/>
        <v>0</v>
      </c>
      <c r="ER496" s="189">
        <v>0</v>
      </c>
      <c r="ES496" s="189">
        <v>17.2</v>
      </c>
      <c r="ET496" s="189">
        <v>7</v>
      </c>
      <c r="EU496" s="189">
        <v>0</v>
      </c>
      <c r="EV496" s="189">
        <v>0</v>
      </c>
      <c r="EW496" s="189">
        <v>101.2</v>
      </c>
      <c r="EX496" s="189">
        <v>0</v>
      </c>
      <c r="EY496" s="189">
        <v>16</v>
      </c>
      <c r="EZ496" s="189">
        <v>0</v>
      </c>
      <c r="FA496" s="189">
        <v>0</v>
      </c>
      <c r="FB496" s="189">
        <v>0</v>
      </c>
      <c r="FC496" s="189">
        <v>0</v>
      </c>
      <c r="FD496" s="189">
        <v>0</v>
      </c>
      <c r="FE496" s="189">
        <v>0</v>
      </c>
      <c r="FF496" s="189">
        <v>0</v>
      </c>
      <c r="FG496" s="189">
        <v>0</v>
      </c>
      <c r="FH496" s="189">
        <v>0</v>
      </c>
      <c r="FI496" s="189">
        <v>0</v>
      </c>
      <c r="FJ496" s="189">
        <v>0</v>
      </c>
      <c r="FK496" s="189">
        <v>141.4</v>
      </c>
      <c r="FL496" s="189">
        <v>111</v>
      </c>
      <c r="FN496" s="132">
        <v>0</v>
      </c>
    </row>
    <row r="497" spans="1:170" ht="30" customHeight="1">
      <c r="A497" s="88">
        <f>COUNTIF($H$12:H497,H497)</f>
        <v>3</v>
      </c>
      <c r="B497" s="88" t="s">
        <v>146</v>
      </c>
      <c r="C497" s="88" t="s">
        <v>1212</v>
      </c>
      <c r="D497" s="88"/>
      <c r="E497" s="88"/>
      <c r="F497" s="301" t="s">
        <v>1504</v>
      </c>
      <c r="G497" s="89" t="s">
        <v>2894</v>
      </c>
      <c r="H497" s="88">
        <v>10</v>
      </c>
      <c r="I497" s="88">
        <v>10</v>
      </c>
      <c r="J497" s="88">
        <v>10</v>
      </c>
      <c r="K497" s="90" t="s">
        <v>1109</v>
      </c>
      <c r="L497" s="90" t="s">
        <v>1109</v>
      </c>
      <c r="M497" s="214"/>
      <c r="N497" s="88" t="s">
        <v>1179</v>
      </c>
      <c r="O497" s="216">
        <f t="shared" si="1574"/>
        <v>3.99</v>
      </c>
      <c r="P497" s="88" t="str">
        <f t="shared" si="1594"/>
        <v>B11_4</v>
      </c>
      <c r="Q497" s="88">
        <f t="shared" si="1567"/>
        <v>270</v>
      </c>
      <c r="R497" s="88">
        <f t="shared" si="1568"/>
        <v>80</v>
      </c>
      <c r="S497" s="218" t="s">
        <v>2004</v>
      </c>
      <c r="T497" s="219" t="s">
        <v>3090</v>
      </c>
      <c r="U497" s="88">
        <f>IF(RIGHT(T497,1)="K",(VLOOKUP(T497,ma_miengiam!$A$3:$B$80,2,0)*100)/2,VLOOKUP(T497,ma_miengiam!$A$3:$B$80,2,0)*100)</f>
        <v>15</v>
      </c>
      <c r="V497" s="88"/>
      <c r="W497" s="220">
        <f>IF(AND(T497="NTS",V497&gt;0),(Q497-(Q497*V497)/12)*VLOOKUP(T497,ma_miengiam!$A$3:$B$80,2,0)+(Q497-(Q497*(12-V497))/12),IF(AND(RIGHT(T497,1)="K",V497&gt;0),(VLOOKUP(T497,ma_miengiam!$A$3:$B$80,2,0)/2)*(Q497*V497)/12,IF(RIGHT(T497,1)="K",(VLOOKUP(T497,ma_miengiam!$A$3:$B$80,2,0)*Q497)/2,IF(V497&gt;0,VLOOKUP(T497,ma_miengiam!$A$3:$B$80,2,0)*Q497*V497/12,VLOOKUP(T497,ma_miengiam!$A$3:$B$80,2,0)*Q497))))</f>
        <v>40.5</v>
      </c>
      <c r="X497" s="220">
        <f>IF(T497="NTS",VLOOKUP(T497,ma_miengiam!$A$3:$B$80,2,0)*R497*V497,IF(AND(T497="NTS",V497=0),0,IF(AND(LEFT(T497,1)="K",V497=0),VLOOKUP(T497,ma_miengiam!$A$3:$B$80,2,0)*R497,IF(LEFT(T497,1)="K",(VLOOKUP(T497,ma_miengiam!$A$3:$B$80,2,0)*R497/12)*V497,IF(AND(LEFT(T497,1)="S",V497&gt;0),(R497/12)*V497,IF(AND(LEFT(T497,1)="S",V497=0),R497,IF(T497="DH",VLOOKUP(T497,ma_miengiam!$A$3:$B$80,2,0)*R497,0)))))))</f>
        <v>0</v>
      </c>
      <c r="Y497" s="220">
        <f t="shared" si="1521"/>
        <v>229.5</v>
      </c>
      <c r="Z497" s="220">
        <f t="shared" si="1569"/>
        <v>80</v>
      </c>
      <c r="AA497" s="220">
        <f>Q497</f>
        <v>270</v>
      </c>
      <c r="AB497" s="220">
        <f>R497</f>
        <v>80</v>
      </c>
      <c r="AC497" s="220">
        <f>W497</f>
        <v>40.5</v>
      </c>
      <c r="AD497" s="220">
        <f>X497</f>
        <v>0</v>
      </c>
      <c r="AE497" s="220">
        <f>Y497</f>
        <v>229.5</v>
      </c>
      <c r="AF497" s="220">
        <f>Z497</f>
        <v>80</v>
      </c>
      <c r="AG497" s="220">
        <f>AH497+AI497</f>
        <v>9.9999999999994316E-2</v>
      </c>
      <c r="AH497" s="220">
        <f>EO497</f>
        <v>9.9999999999994316E-2</v>
      </c>
      <c r="AI497" s="220">
        <f>EN497</f>
        <v>0</v>
      </c>
      <c r="AJ497" s="220">
        <f t="shared" si="1551"/>
        <v>-79.900000000000006</v>
      </c>
      <c r="AK497" s="216">
        <f t="shared" si="1454"/>
        <v>309.39999999999998</v>
      </c>
      <c r="AL497" s="220">
        <f t="shared" si="1431"/>
        <v>195.1</v>
      </c>
      <c r="AM497" s="220">
        <f t="shared" si="1432"/>
        <v>0</v>
      </c>
      <c r="AN497" s="221">
        <f t="shared" si="1433"/>
        <v>195.1</v>
      </c>
      <c r="AO497" s="220">
        <f t="shared" si="1434"/>
        <v>0</v>
      </c>
      <c r="AP497" s="220">
        <f t="shared" si="1435"/>
        <v>0</v>
      </c>
      <c r="AQ497" s="220">
        <f t="shared" si="1436"/>
        <v>0</v>
      </c>
      <c r="AR497" s="220">
        <f t="shared" si="1437"/>
        <v>0</v>
      </c>
      <c r="AS497" s="220">
        <f t="shared" si="1438"/>
        <v>0</v>
      </c>
      <c r="AT497" s="216">
        <f t="shared" si="1439"/>
        <v>195.1</v>
      </c>
      <c r="AU497" s="222">
        <f t="shared" si="1447"/>
        <v>-114.29999999999998</v>
      </c>
      <c r="AV497" s="220"/>
      <c r="AW497" s="220">
        <f t="shared" si="1530"/>
        <v>-114.29999999999998</v>
      </c>
      <c r="AX497" s="216">
        <f t="shared" si="1448"/>
        <v>-114.29999999999998</v>
      </c>
      <c r="AY497" s="220">
        <f t="shared" si="1537"/>
        <v>0</v>
      </c>
      <c r="AZ497" s="220">
        <f t="shared" si="1538"/>
        <v>0</v>
      </c>
      <c r="BA497" s="220">
        <f t="shared" si="1539"/>
        <v>0</v>
      </c>
      <c r="BB497" s="220">
        <f t="shared" si="1540"/>
        <v>0</v>
      </c>
      <c r="BC497" s="220">
        <f t="shared" si="1541"/>
        <v>0</v>
      </c>
      <c r="BD497" s="216">
        <f t="shared" si="1410"/>
        <v>0</v>
      </c>
      <c r="BE497" s="220">
        <f t="shared" si="1531"/>
        <v>0</v>
      </c>
      <c r="BF497" s="220">
        <f t="shared" si="1532"/>
        <v>0</v>
      </c>
      <c r="BG497" s="220">
        <f t="shared" si="1533"/>
        <v>0</v>
      </c>
      <c r="BH497" s="220">
        <f t="shared" si="1534"/>
        <v>0</v>
      </c>
      <c r="BI497" s="220">
        <f t="shared" si="1535"/>
        <v>0</v>
      </c>
      <c r="BJ497" s="220" t="s">
        <v>1561</v>
      </c>
      <c r="BK497" s="220"/>
      <c r="BL497" s="223">
        <f t="shared" si="1422"/>
        <v>0</v>
      </c>
      <c r="BM497" s="220">
        <v>3.99</v>
      </c>
      <c r="BN497" s="220"/>
      <c r="BO497" s="220">
        <f t="shared" si="1573"/>
        <v>3.99</v>
      </c>
      <c r="BP497" s="220">
        <f>IF(AND(BL497&gt;0,BL497&lt;tiet!$D$1),BL497,IF(BL497&lt;=0,0,IF(BL497&gt;tiet!$C$1,tiet!$C$1)))</f>
        <v>0</v>
      </c>
      <c r="BQ497" s="87">
        <f t="shared" si="1552"/>
        <v>65000</v>
      </c>
      <c r="BR497" s="224">
        <f t="shared" si="1544"/>
        <v>0</v>
      </c>
      <c r="BS497" s="220">
        <f t="shared" si="1478"/>
        <v>0</v>
      </c>
      <c r="BT497" s="224">
        <f>VLOOKUP(N497,ma_dinhmuc!$A$1:$J$31,10,0)</f>
        <v>51000</v>
      </c>
      <c r="BU497" s="224">
        <f>ROUND(IF(BS497&gt;0,VLOOKUP(N497,ma_dinhmuc!$A$1:$J$31,10,0)*BS497,0),0)</f>
        <v>0</v>
      </c>
      <c r="BV497" s="224">
        <f t="shared" si="1545"/>
        <v>0</v>
      </c>
      <c r="BW497" s="224"/>
      <c r="BX497" s="224">
        <v>0</v>
      </c>
      <c r="BY497" s="224"/>
      <c r="BZ497" s="224"/>
      <c r="CA497" s="224"/>
      <c r="CB497" s="224"/>
      <c r="CC497" s="225">
        <f t="shared" si="1595"/>
        <v>0</v>
      </c>
      <c r="CD497" s="224">
        <f t="shared" si="1596"/>
        <v>0</v>
      </c>
      <c r="CE497" s="224"/>
      <c r="CF497" s="226"/>
      <c r="CG497" s="87"/>
      <c r="CH497" s="87">
        <f t="shared" si="1597"/>
        <v>3</v>
      </c>
      <c r="CI497" s="227" t="str">
        <f>F497</f>
        <v>Nguyễn Thị Bích</v>
      </c>
      <c r="CJ497" s="227" t="str">
        <f>G497</f>
        <v>Thuỷ</v>
      </c>
      <c r="CK497" s="87">
        <f>H497</f>
        <v>10</v>
      </c>
      <c r="CL497" s="227" t="str">
        <f t="shared" si="1593"/>
        <v>Toán</v>
      </c>
      <c r="CM497" s="87" t="str">
        <f t="shared" si="1536"/>
        <v>CB2</v>
      </c>
      <c r="CN497" s="87">
        <f t="shared" si="1589"/>
        <v>270</v>
      </c>
      <c r="CO497" s="87">
        <f t="shared" si="1590"/>
        <v>80</v>
      </c>
      <c r="CP497" s="229">
        <f t="shared" si="1483"/>
        <v>0</v>
      </c>
      <c r="CQ497" s="229">
        <f t="shared" si="1484"/>
        <v>22.2</v>
      </c>
      <c r="CR497" s="229">
        <f t="shared" si="1485"/>
        <v>8.9</v>
      </c>
      <c r="CS497" s="229">
        <f t="shared" si="1486"/>
        <v>0</v>
      </c>
      <c r="CT497" s="229">
        <f t="shared" si="1487"/>
        <v>0</v>
      </c>
      <c r="CU497" s="229">
        <f t="shared" si="1488"/>
        <v>148</v>
      </c>
      <c r="CV497" s="229">
        <f t="shared" si="1489"/>
        <v>0</v>
      </c>
      <c r="CW497" s="229">
        <f t="shared" si="1490"/>
        <v>16</v>
      </c>
      <c r="CX497" s="229">
        <f t="shared" si="1491"/>
        <v>0</v>
      </c>
      <c r="CY497" s="229">
        <f t="shared" si="1492"/>
        <v>0</v>
      </c>
      <c r="CZ497" s="229">
        <f t="shared" si="1493"/>
        <v>0</v>
      </c>
      <c r="DA497" s="229">
        <f t="shared" si="1494"/>
        <v>0</v>
      </c>
      <c r="DB497" s="228">
        <f t="shared" si="1429"/>
        <v>195.1</v>
      </c>
      <c r="DC497" s="229"/>
      <c r="DD497" s="229"/>
      <c r="DE497" s="229"/>
      <c r="DF497" s="229"/>
      <c r="DG497" s="229"/>
      <c r="DH497" s="229"/>
      <c r="DI497" s="229"/>
      <c r="DJ497" s="229"/>
      <c r="DK497" s="229"/>
      <c r="DL497" s="229"/>
      <c r="DM497" s="229"/>
      <c r="DN497" s="229"/>
      <c r="DO497" s="228">
        <f t="shared" si="1440"/>
        <v>0</v>
      </c>
      <c r="DP497" s="228">
        <f t="shared" si="1441"/>
        <v>195.1</v>
      </c>
      <c r="DQ497" s="229">
        <f t="shared" si="1495"/>
        <v>0</v>
      </c>
      <c r="DR497" s="229">
        <f t="shared" si="1496"/>
        <v>0</v>
      </c>
      <c r="DS497" s="229">
        <f t="shared" si="1497"/>
        <v>0</v>
      </c>
      <c r="DT497" s="229">
        <f t="shared" si="1498"/>
        <v>0</v>
      </c>
      <c r="DU497" s="229">
        <f t="shared" si="1499"/>
        <v>0</v>
      </c>
      <c r="DV497" s="229">
        <f t="shared" si="1500"/>
        <v>0</v>
      </c>
      <c r="DW497" s="229">
        <f t="shared" si="1501"/>
        <v>0</v>
      </c>
      <c r="DX497" s="228">
        <f t="shared" si="1430"/>
        <v>0</v>
      </c>
      <c r="DY497" s="229"/>
      <c r="DZ497" s="229"/>
      <c r="EA497" s="229"/>
      <c r="EB497" s="229"/>
      <c r="EC497" s="229"/>
      <c r="ED497" s="229"/>
      <c r="EE497" s="229"/>
      <c r="EF497" s="228">
        <f t="shared" si="1480"/>
        <v>0</v>
      </c>
      <c r="EG497" s="228">
        <f t="shared" si="1442"/>
        <v>0</v>
      </c>
      <c r="EH497" s="229">
        <f t="shared" si="1481"/>
        <v>0</v>
      </c>
      <c r="EI497" s="229">
        <v>9.9999999999994316E-2</v>
      </c>
      <c r="EJ497" s="228">
        <f>SUM(EH497:EI497)</f>
        <v>9.9999999999994316E-2</v>
      </c>
      <c r="EK497" s="229"/>
      <c r="EL497" s="229"/>
      <c r="EM497" s="228">
        <f t="shared" ref="EM497:EM510" si="1598">SUM(EK497:EL497)</f>
        <v>0</v>
      </c>
      <c r="EN497" s="229">
        <f t="shared" si="1591"/>
        <v>0</v>
      </c>
      <c r="EO497" s="229">
        <f t="shared" si="1451"/>
        <v>9.9999999999994316E-2</v>
      </c>
      <c r="EP497" s="228">
        <f>EM497+EJ497</f>
        <v>9.9999999999994316E-2</v>
      </c>
      <c r="EQ497" s="173">
        <f t="shared" si="1479"/>
        <v>0</v>
      </c>
      <c r="ER497" s="189">
        <v>0</v>
      </c>
      <c r="ES497" s="189">
        <v>22.2</v>
      </c>
      <c r="ET497" s="189">
        <v>8.9</v>
      </c>
      <c r="EU497" s="189">
        <v>0</v>
      </c>
      <c r="EV497" s="189">
        <v>0</v>
      </c>
      <c r="EW497" s="189">
        <v>148</v>
      </c>
      <c r="EX497" s="189">
        <v>0</v>
      </c>
      <c r="EY497" s="189">
        <v>16</v>
      </c>
      <c r="EZ497" s="189">
        <v>0</v>
      </c>
      <c r="FA497" s="189">
        <v>0</v>
      </c>
      <c r="FB497" s="189">
        <v>0</v>
      </c>
      <c r="FC497" s="189">
        <v>0</v>
      </c>
      <c r="FD497" s="189">
        <v>0</v>
      </c>
      <c r="FE497" s="189">
        <v>0</v>
      </c>
      <c r="FF497" s="189">
        <v>0</v>
      </c>
      <c r="FG497" s="189">
        <v>0</v>
      </c>
      <c r="FH497" s="189">
        <v>0</v>
      </c>
      <c r="FI497" s="189">
        <v>0</v>
      </c>
      <c r="FJ497" s="189">
        <v>0</v>
      </c>
      <c r="FK497" s="189">
        <v>195.1</v>
      </c>
      <c r="FL497" s="189">
        <v>119</v>
      </c>
      <c r="FN497" s="132">
        <v>0</v>
      </c>
    </row>
    <row r="498" spans="1:170" ht="27" customHeight="1">
      <c r="A498" s="88">
        <f>COUNTIF($H$12:H498,H498)</f>
        <v>4</v>
      </c>
      <c r="B498" s="88" t="s">
        <v>147</v>
      </c>
      <c r="C498" s="88" t="s">
        <v>1213</v>
      </c>
      <c r="D498" s="88"/>
      <c r="E498" s="88"/>
      <c r="F498" s="301" t="s">
        <v>2817</v>
      </c>
      <c r="G498" s="89" t="s">
        <v>3034</v>
      </c>
      <c r="H498" s="88">
        <v>10</v>
      </c>
      <c r="I498" s="88">
        <v>10</v>
      </c>
      <c r="J498" s="88">
        <v>10</v>
      </c>
      <c r="K498" s="90" t="s">
        <v>1109</v>
      </c>
      <c r="L498" s="90" t="s">
        <v>1109</v>
      </c>
      <c r="M498" s="214"/>
      <c r="N498" s="88" t="s">
        <v>1179</v>
      </c>
      <c r="O498" s="216">
        <f t="shared" si="1574"/>
        <v>4.32</v>
      </c>
      <c r="P498" s="88" t="str">
        <f t="shared" si="1594"/>
        <v>B11_4</v>
      </c>
      <c r="Q498" s="88">
        <f t="shared" si="1567"/>
        <v>270</v>
      </c>
      <c r="R498" s="88">
        <f t="shared" si="1568"/>
        <v>80</v>
      </c>
      <c r="S498" s="218"/>
      <c r="T498" s="88" t="s">
        <v>3088</v>
      </c>
      <c r="U498" s="88">
        <f>IF(RIGHT(T498,1)="K",(VLOOKUP(T498,ma_miengiam!$A$3:$B$80,2,0)*100)/2,VLOOKUP(T498,ma_miengiam!$A$3:$B$80,2,0)*100)</f>
        <v>0</v>
      </c>
      <c r="V498" s="88"/>
      <c r="W498" s="220">
        <f>IF(AND(T498="NTS",V498&gt;0),(Q498-(Q498*V498)/12)*VLOOKUP(T498,ma_miengiam!$A$3:$B$80,2,0)+(Q498-(Q498*(12-V498))/12),IF(AND(RIGHT(T498,1)="K",V498&gt;0),(VLOOKUP(T498,ma_miengiam!$A$3:$B$80,2,0)/2)*(Q498*V498)/12,IF(RIGHT(T498,1)="K",(VLOOKUP(T498,ma_miengiam!$A$3:$B$80,2,0)*Q498)/2,IF(V498&gt;0,VLOOKUP(T498,ma_miengiam!$A$3:$B$80,2,0)*Q498*V498/12,VLOOKUP(T498,ma_miengiam!$A$3:$B$80,2,0)*Q498))))</f>
        <v>0</v>
      </c>
      <c r="X498" s="220">
        <f>IF(T498="NTS",VLOOKUP(T498,ma_miengiam!$A$3:$B$80,2,0)*R498*V498,IF(AND(T498="NTS",V498=0),0,IF(AND(LEFT(T498,1)="K",V498=0),VLOOKUP(T498,ma_miengiam!$A$3:$B$80,2,0)*R498,IF(LEFT(T498,1)="K",(VLOOKUP(T498,ma_miengiam!$A$3:$B$80,2,0)*R498/12)*V498,IF(AND(LEFT(T498,1)="S",V498&gt;0),(R498/12)*V498,IF(AND(LEFT(T498,1)="S",V498=0),R498,IF(T498="DH",VLOOKUP(T498,ma_miengiam!$A$3:$B$80,2,0)*R498,0)))))))</f>
        <v>0</v>
      </c>
      <c r="Y498" s="220">
        <f t="shared" si="1521"/>
        <v>270</v>
      </c>
      <c r="Z498" s="220">
        <f t="shared" si="1569"/>
        <v>80</v>
      </c>
      <c r="AA498" s="220">
        <f t="shared" si="1580"/>
        <v>270</v>
      </c>
      <c r="AB498" s="220">
        <f t="shared" si="1581"/>
        <v>80</v>
      </c>
      <c r="AC498" s="220">
        <f t="shared" si="1582"/>
        <v>0</v>
      </c>
      <c r="AD498" s="220">
        <f t="shared" si="1583"/>
        <v>0</v>
      </c>
      <c r="AE498" s="220">
        <f t="shared" si="1584"/>
        <v>270</v>
      </c>
      <c r="AF498" s="220">
        <f t="shared" si="1585"/>
        <v>80</v>
      </c>
      <c r="AG498" s="220">
        <f t="shared" si="1586"/>
        <v>95.94</v>
      </c>
      <c r="AH498" s="220">
        <f t="shared" si="1587"/>
        <v>9.9999999999994316E-2</v>
      </c>
      <c r="AI498" s="220">
        <f t="shared" si="1588"/>
        <v>95.84</v>
      </c>
      <c r="AJ498" s="220">
        <f t="shared" si="1551"/>
        <v>0</v>
      </c>
      <c r="AK498" s="216">
        <f t="shared" si="1454"/>
        <v>270</v>
      </c>
      <c r="AL498" s="220">
        <f t="shared" si="1431"/>
        <v>176</v>
      </c>
      <c r="AM498" s="220">
        <f t="shared" si="1432"/>
        <v>0</v>
      </c>
      <c r="AN498" s="221">
        <f t="shared" si="1433"/>
        <v>176</v>
      </c>
      <c r="AO498" s="220">
        <f t="shared" si="1434"/>
        <v>0</v>
      </c>
      <c r="AP498" s="220">
        <f t="shared" si="1435"/>
        <v>0</v>
      </c>
      <c r="AQ498" s="220">
        <f t="shared" si="1436"/>
        <v>0</v>
      </c>
      <c r="AR498" s="220">
        <f t="shared" si="1437"/>
        <v>0</v>
      </c>
      <c r="AS498" s="220">
        <f t="shared" si="1438"/>
        <v>0</v>
      </c>
      <c r="AT498" s="216">
        <f t="shared" si="1439"/>
        <v>176</v>
      </c>
      <c r="AU498" s="222">
        <f t="shared" si="1447"/>
        <v>-94</v>
      </c>
      <c r="AV498" s="220"/>
      <c r="AW498" s="220">
        <f t="shared" si="1530"/>
        <v>-94</v>
      </c>
      <c r="AX498" s="216">
        <f t="shared" si="1448"/>
        <v>-94</v>
      </c>
      <c r="AY498" s="220">
        <f t="shared" si="1537"/>
        <v>0</v>
      </c>
      <c r="AZ498" s="220">
        <f t="shared" si="1538"/>
        <v>0</v>
      </c>
      <c r="BA498" s="220">
        <f t="shared" si="1539"/>
        <v>0</v>
      </c>
      <c r="BB498" s="220">
        <f t="shared" si="1540"/>
        <v>0</v>
      </c>
      <c r="BC498" s="220">
        <f t="shared" si="1541"/>
        <v>0</v>
      </c>
      <c r="BD498" s="216">
        <f t="shared" ref="BD498:BD542" si="1599">SUM(AY498:BC498)</f>
        <v>0</v>
      </c>
      <c r="BE498" s="220">
        <f t="shared" si="1531"/>
        <v>0</v>
      </c>
      <c r="BF498" s="220">
        <f t="shared" si="1532"/>
        <v>0</v>
      </c>
      <c r="BG498" s="220">
        <f t="shared" si="1533"/>
        <v>0</v>
      </c>
      <c r="BH498" s="220">
        <f t="shared" si="1534"/>
        <v>0</v>
      </c>
      <c r="BI498" s="220">
        <f t="shared" si="1535"/>
        <v>0</v>
      </c>
      <c r="BJ498" s="220" t="s">
        <v>1561</v>
      </c>
      <c r="BK498" s="220"/>
      <c r="BL498" s="223">
        <f t="shared" si="1422"/>
        <v>0</v>
      </c>
      <c r="BM498" s="220">
        <v>4.32</v>
      </c>
      <c r="BN498" s="220"/>
      <c r="BO498" s="220">
        <f t="shared" si="1573"/>
        <v>4.32</v>
      </c>
      <c r="BP498" s="220">
        <f>IF(AND(BL498&gt;0,BL498&lt;tiet!$D$1),BL498,IF(BL498&lt;=0,0,IF(BL498&gt;tiet!$C$1,tiet!$C$1)))</f>
        <v>0</v>
      </c>
      <c r="BQ498" s="87">
        <f t="shared" si="1552"/>
        <v>65000</v>
      </c>
      <c r="BR498" s="224">
        <f t="shared" si="1544"/>
        <v>0</v>
      </c>
      <c r="BS498" s="220">
        <f t="shared" si="1478"/>
        <v>0</v>
      </c>
      <c r="BT498" s="224">
        <f>VLOOKUP(N498,ma_dinhmuc!$A$1:$J$31,10,0)</f>
        <v>51000</v>
      </c>
      <c r="BU498" s="224">
        <f>ROUND(IF(BS498&gt;0,VLOOKUP(N498,ma_dinhmuc!$A$1:$J$31,10,0)*BS498,0),0)</f>
        <v>0</v>
      </c>
      <c r="BV498" s="224">
        <f t="shared" si="1545"/>
        <v>0</v>
      </c>
      <c r="BW498" s="224"/>
      <c r="BX498" s="224">
        <v>0</v>
      </c>
      <c r="BY498" s="224"/>
      <c r="BZ498" s="224"/>
      <c r="CA498" s="224"/>
      <c r="CB498" s="224"/>
      <c r="CC498" s="225">
        <f t="shared" si="1595"/>
        <v>0</v>
      </c>
      <c r="CD498" s="224">
        <f t="shared" si="1596"/>
        <v>0</v>
      </c>
      <c r="CE498" s="224"/>
      <c r="CF498" s="226"/>
      <c r="CG498" s="87"/>
      <c r="CH498" s="87">
        <f t="shared" si="1597"/>
        <v>4</v>
      </c>
      <c r="CI498" s="227" t="str">
        <f t="shared" si="1553"/>
        <v>Đỗ Thị</v>
      </c>
      <c r="CJ498" s="227" t="str">
        <f t="shared" si="1554"/>
        <v>Huệ</v>
      </c>
      <c r="CK498" s="87">
        <f t="shared" si="1592"/>
        <v>10</v>
      </c>
      <c r="CL498" s="227" t="str">
        <f t="shared" si="1593"/>
        <v>Toán</v>
      </c>
      <c r="CM498" s="87" t="str">
        <f t="shared" si="1536"/>
        <v>CB2</v>
      </c>
      <c r="CN498" s="87">
        <f t="shared" si="1589"/>
        <v>270</v>
      </c>
      <c r="CO498" s="87">
        <f t="shared" si="1590"/>
        <v>80</v>
      </c>
      <c r="CP498" s="229">
        <f t="shared" si="1483"/>
        <v>0</v>
      </c>
      <c r="CQ498" s="229">
        <f t="shared" si="1484"/>
        <v>23.4</v>
      </c>
      <c r="CR498" s="229">
        <f t="shared" si="1485"/>
        <v>9.4</v>
      </c>
      <c r="CS498" s="229">
        <f t="shared" si="1486"/>
        <v>0</v>
      </c>
      <c r="CT498" s="229">
        <f t="shared" si="1487"/>
        <v>0</v>
      </c>
      <c r="CU498" s="229">
        <f t="shared" si="1488"/>
        <v>143.19999999999999</v>
      </c>
      <c r="CV498" s="229">
        <f t="shared" si="1489"/>
        <v>0</v>
      </c>
      <c r="CW498" s="229">
        <f t="shared" si="1490"/>
        <v>0</v>
      </c>
      <c r="CX498" s="229">
        <f t="shared" si="1491"/>
        <v>0</v>
      </c>
      <c r="CY498" s="229">
        <f t="shared" si="1492"/>
        <v>0</v>
      </c>
      <c r="CZ498" s="229">
        <f t="shared" si="1493"/>
        <v>0</v>
      </c>
      <c r="DA498" s="229">
        <f t="shared" si="1494"/>
        <v>0</v>
      </c>
      <c r="DB498" s="228">
        <f t="shared" si="1429"/>
        <v>176</v>
      </c>
      <c r="DC498" s="229"/>
      <c r="DD498" s="229"/>
      <c r="DE498" s="229"/>
      <c r="DF498" s="229"/>
      <c r="DG498" s="229"/>
      <c r="DH498" s="229"/>
      <c r="DI498" s="229"/>
      <c r="DJ498" s="229"/>
      <c r="DK498" s="229"/>
      <c r="DL498" s="229"/>
      <c r="DM498" s="229"/>
      <c r="DN498" s="229"/>
      <c r="DO498" s="228">
        <f t="shared" si="1440"/>
        <v>0</v>
      </c>
      <c r="DP498" s="228">
        <f t="shared" si="1441"/>
        <v>176</v>
      </c>
      <c r="DQ498" s="229">
        <f t="shared" si="1495"/>
        <v>0</v>
      </c>
      <c r="DR498" s="229">
        <f t="shared" si="1496"/>
        <v>0</v>
      </c>
      <c r="DS498" s="229">
        <f t="shared" si="1497"/>
        <v>0</v>
      </c>
      <c r="DT498" s="229">
        <f t="shared" si="1498"/>
        <v>0</v>
      </c>
      <c r="DU498" s="229">
        <f t="shared" si="1499"/>
        <v>0</v>
      </c>
      <c r="DV498" s="229">
        <f t="shared" si="1500"/>
        <v>0</v>
      </c>
      <c r="DW498" s="229">
        <f t="shared" si="1501"/>
        <v>0</v>
      </c>
      <c r="DX498" s="228">
        <f t="shared" si="1430"/>
        <v>0</v>
      </c>
      <c r="DY498" s="229"/>
      <c r="DZ498" s="229"/>
      <c r="EA498" s="229"/>
      <c r="EB498" s="229"/>
      <c r="EC498" s="229"/>
      <c r="ED498" s="229"/>
      <c r="EE498" s="229"/>
      <c r="EF498" s="228">
        <f t="shared" si="1480"/>
        <v>0</v>
      </c>
      <c r="EG498" s="228">
        <f t="shared" si="1442"/>
        <v>0</v>
      </c>
      <c r="EH498" s="229">
        <f t="shared" si="1481"/>
        <v>95.84</v>
      </c>
      <c r="EI498" s="229">
        <v>9.9999999999994316E-2</v>
      </c>
      <c r="EJ498" s="228">
        <f t="shared" si="1443"/>
        <v>95.94</v>
      </c>
      <c r="EK498" s="229"/>
      <c r="EL498" s="229"/>
      <c r="EM498" s="228">
        <f t="shared" si="1598"/>
        <v>0</v>
      </c>
      <c r="EN498" s="229">
        <f t="shared" si="1591"/>
        <v>95.84</v>
      </c>
      <c r="EO498" s="229">
        <f t="shared" si="1451"/>
        <v>9.9999999999994316E-2</v>
      </c>
      <c r="EP498" s="228">
        <f t="shared" si="1543"/>
        <v>95.94</v>
      </c>
      <c r="EQ498" s="173">
        <f t="shared" si="1479"/>
        <v>15.840000000000003</v>
      </c>
      <c r="ER498" s="189">
        <v>0</v>
      </c>
      <c r="ES498" s="189">
        <v>23.4</v>
      </c>
      <c r="ET498" s="189">
        <v>9.4</v>
      </c>
      <c r="EU498" s="189">
        <v>0</v>
      </c>
      <c r="EV498" s="189">
        <v>0</v>
      </c>
      <c r="EW498" s="189">
        <v>143.19999999999999</v>
      </c>
      <c r="EX498" s="189">
        <v>0</v>
      </c>
      <c r="EY498" s="189">
        <v>0</v>
      </c>
      <c r="EZ498" s="189">
        <v>0</v>
      </c>
      <c r="FA498" s="189">
        <v>0</v>
      </c>
      <c r="FB498" s="189">
        <v>0</v>
      </c>
      <c r="FC498" s="189">
        <v>0</v>
      </c>
      <c r="FD498" s="189">
        <v>0</v>
      </c>
      <c r="FE498" s="189">
        <v>0</v>
      </c>
      <c r="FF498" s="189">
        <v>0</v>
      </c>
      <c r="FG498" s="189">
        <v>0</v>
      </c>
      <c r="FH498" s="189">
        <v>0</v>
      </c>
      <c r="FI498" s="189">
        <v>0</v>
      </c>
      <c r="FJ498" s="189">
        <v>0</v>
      </c>
      <c r="FK498" s="189">
        <v>176</v>
      </c>
      <c r="FL498" s="189">
        <v>126</v>
      </c>
      <c r="FN498" s="132">
        <v>95.84</v>
      </c>
    </row>
    <row r="499" spans="1:170" ht="30" customHeight="1">
      <c r="A499" s="88">
        <f>COUNTIF($H$12:H499,H499)</f>
        <v>5</v>
      </c>
      <c r="B499" s="88" t="s">
        <v>148</v>
      </c>
      <c r="C499" s="88" t="s">
        <v>1214</v>
      </c>
      <c r="D499" s="88"/>
      <c r="E499" s="88"/>
      <c r="F499" s="301" t="s">
        <v>3036</v>
      </c>
      <c r="G499" s="89" t="s">
        <v>3037</v>
      </c>
      <c r="H499" s="88">
        <v>10</v>
      </c>
      <c r="I499" s="88">
        <v>10</v>
      </c>
      <c r="J499" s="88">
        <v>10</v>
      </c>
      <c r="K499" s="90" t="s">
        <v>1109</v>
      </c>
      <c r="L499" s="90" t="s">
        <v>1109</v>
      </c>
      <c r="M499" s="214"/>
      <c r="N499" s="88" t="s">
        <v>1179</v>
      </c>
      <c r="O499" s="216">
        <f t="shared" si="1574"/>
        <v>3.33</v>
      </c>
      <c r="P499" s="88" t="str">
        <f t="shared" si="1594"/>
        <v>B11_4</v>
      </c>
      <c r="Q499" s="88">
        <f t="shared" si="1567"/>
        <v>270</v>
      </c>
      <c r="R499" s="88">
        <f t="shared" si="1568"/>
        <v>80</v>
      </c>
      <c r="S499" s="233" t="s">
        <v>1861</v>
      </c>
      <c r="T499" s="88" t="s">
        <v>3091</v>
      </c>
      <c r="U499" s="88">
        <f>IF(RIGHT(T499,1)="K",(VLOOKUP(T499,ma_miengiam!$A$3:$B$80,2,0)*100)/2,VLOOKUP(T499,ma_miengiam!$A$3:$B$80,2,0)*100)</f>
        <v>20</v>
      </c>
      <c r="V499" s="88"/>
      <c r="W499" s="220">
        <f>IF(AND(T499="NTS",V499&gt;0),(Q499-(Q499*V499)/12)*VLOOKUP(T499,ma_miengiam!$A$3:$B$80,2,0)+(Q499-(Q499*(12-V499))/12),IF(AND(RIGHT(T499,1)="K",V499&gt;0),(VLOOKUP(T499,ma_miengiam!$A$3:$B$80,2,0)/2)*(Q499*V499)/12,IF(RIGHT(T499,1)="K",(VLOOKUP(T499,ma_miengiam!$A$3:$B$80,2,0)*Q499)/2,IF(V499&gt;0,VLOOKUP(T499,ma_miengiam!$A$3:$B$80,2,0)*Q499*V499/12,VLOOKUP(T499,ma_miengiam!$A$3:$B$80,2,0)*Q499))))</f>
        <v>54</v>
      </c>
      <c r="X499" s="220">
        <f>IF(T499="NTS",VLOOKUP(T499,ma_miengiam!$A$3:$B$80,2,0)*R499*V499,IF(AND(T499="NTS",V499=0),0,IF(AND(LEFT(T499,1)="K",V499=0),VLOOKUP(T499,ma_miengiam!$A$3:$B$80,2,0)*R499,IF(LEFT(T499,1)="K",(VLOOKUP(T499,ma_miengiam!$A$3:$B$80,2,0)*R499/12)*V499,IF(AND(LEFT(T499,1)="S",V499&gt;0),(R499/12)*V499,IF(AND(LEFT(T499,1)="S",V499=0),R499,IF(T499="DH",VLOOKUP(T499,ma_miengiam!$A$3:$B$80,2,0)*R499,0)))))))</f>
        <v>0</v>
      </c>
      <c r="Y499" s="220">
        <f t="shared" si="1521"/>
        <v>216</v>
      </c>
      <c r="Z499" s="220">
        <f t="shared" si="1569"/>
        <v>80</v>
      </c>
      <c r="AA499" s="220">
        <f t="shared" si="1580"/>
        <v>270</v>
      </c>
      <c r="AB499" s="220">
        <f t="shared" si="1581"/>
        <v>80</v>
      </c>
      <c r="AC499" s="220">
        <f>W499</f>
        <v>54</v>
      </c>
      <c r="AD499" s="220">
        <f>X499</f>
        <v>0</v>
      </c>
      <c r="AE499" s="220">
        <f>Y499</f>
        <v>216</v>
      </c>
      <c r="AF499" s="220">
        <f>Z499</f>
        <v>80</v>
      </c>
      <c r="AG499" s="220">
        <f t="shared" si="1586"/>
        <v>102.5</v>
      </c>
      <c r="AH499" s="220">
        <f t="shared" si="1587"/>
        <v>32.5</v>
      </c>
      <c r="AI499" s="220">
        <f t="shared" si="1588"/>
        <v>70</v>
      </c>
      <c r="AJ499" s="220">
        <f t="shared" si="1551"/>
        <v>0</v>
      </c>
      <c r="AK499" s="216">
        <f t="shared" si="1454"/>
        <v>216</v>
      </c>
      <c r="AL499" s="220">
        <f t="shared" si="1431"/>
        <v>135.6</v>
      </c>
      <c r="AM499" s="220">
        <f t="shared" si="1432"/>
        <v>0</v>
      </c>
      <c r="AN499" s="221">
        <f t="shared" si="1433"/>
        <v>135.6</v>
      </c>
      <c r="AO499" s="220">
        <f t="shared" si="1434"/>
        <v>0</v>
      </c>
      <c r="AP499" s="220">
        <f t="shared" si="1435"/>
        <v>0</v>
      </c>
      <c r="AQ499" s="220">
        <f t="shared" si="1436"/>
        <v>0</v>
      </c>
      <c r="AR499" s="220">
        <f t="shared" si="1437"/>
        <v>0</v>
      </c>
      <c r="AS499" s="220">
        <f t="shared" si="1438"/>
        <v>0</v>
      </c>
      <c r="AT499" s="216">
        <f t="shared" si="1439"/>
        <v>135.6</v>
      </c>
      <c r="AU499" s="222">
        <f t="shared" si="1447"/>
        <v>-80.400000000000006</v>
      </c>
      <c r="AV499" s="220"/>
      <c r="AW499" s="220">
        <f t="shared" si="1530"/>
        <v>-80.400000000000006</v>
      </c>
      <c r="AX499" s="216">
        <f t="shared" si="1448"/>
        <v>-80.400000000000006</v>
      </c>
      <c r="AY499" s="220">
        <f t="shared" si="1537"/>
        <v>0</v>
      </c>
      <c r="AZ499" s="220">
        <f t="shared" si="1538"/>
        <v>0</v>
      </c>
      <c r="BA499" s="220">
        <f t="shared" si="1539"/>
        <v>0</v>
      </c>
      <c r="BB499" s="220">
        <f t="shared" si="1540"/>
        <v>0</v>
      </c>
      <c r="BC499" s="220">
        <f t="shared" si="1541"/>
        <v>0</v>
      </c>
      <c r="BD499" s="216">
        <f t="shared" si="1599"/>
        <v>0</v>
      </c>
      <c r="BE499" s="220">
        <f t="shared" si="1531"/>
        <v>0</v>
      </c>
      <c r="BF499" s="220">
        <f t="shared" si="1532"/>
        <v>0</v>
      </c>
      <c r="BG499" s="220">
        <f t="shared" si="1533"/>
        <v>0</v>
      </c>
      <c r="BH499" s="220">
        <f t="shared" si="1534"/>
        <v>0</v>
      </c>
      <c r="BI499" s="220">
        <f t="shared" si="1535"/>
        <v>0</v>
      </c>
      <c r="BJ499" s="220" t="s">
        <v>1561</v>
      </c>
      <c r="BK499" s="220"/>
      <c r="BL499" s="223">
        <f t="shared" si="1422"/>
        <v>0</v>
      </c>
      <c r="BM499" s="220">
        <v>3.33</v>
      </c>
      <c r="BN499" s="220"/>
      <c r="BO499" s="220">
        <f t="shared" si="1573"/>
        <v>3.33</v>
      </c>
      <c r="BP499" s="220">
        <f>IF(AND(BL499&gt;0,BL499&lt;tiet!$D$1),BL499,IF(BL499&lt;=0,0,IF(BL499&gt;tiet!$C$1,tiet!$C$1)))</f>
        <v>0</v>
      </c>
      <c r="BQ499" s="87">
        <f t="shared" si="1552"/>
        <v>65000</v>
      </c>
      <c r="BR499" s="224">
        <f t="shared" si="1544"/>
        <v>0</v>
      </c>
      <c r="BS499" s="220">
        <f t="shared" si="1478"/>
        <v>0</v>
      </c>
      <c r="BT499" s="224">
        <f>VLOOKUP(N499,ma_dinhmuc!$A$1:$J$31,10,0)</f>
        <v>51000</v>
      </c>
      <c r="BU499" s="224">
        <f>ROUND(IF(BS499&gt;0,VLOOKUP(N499,ma_dinhmuc!$A$1:$J$31,10,0)*BS499,0),0)</f>
        <v>0</v>
      </c>
      <c r="BV499" s="224">
        <f t="shared" si="1545"/>
        <v>0</v>
      </c>
      <c r="BW499" s="224"/>
      <c r="BX499" s="224">
        <v>0</v>
      </c>
      <c r="BY499" s="224"/>
      <c r="BZ499" s="224"/>
      <c r="CA499" s="224"/>
      <c r="CB499" s="224"/>
      <c r="CC499" s="225">
        <f t="shared" si="1595"/>
        <v>0</v>
      </c>
      <c r="CD499" s="224">
        <f t="shared" si="1596"/>
        <v>0</v>
      </c>
      <c r="CE499" s="224"/>
      <c r="CF499" s="226"/>
      <c r="CG499" s="87"/>
      <c r="CH499" s="87">
        <f t="shared" si="1597"/>
        <v>5</v>
      </c>
      <c r="CI499" s="227" t="str">
        <f t="shared" si="1553"/>
        <v>Lê Thị Diệu</v>
      </c>
      <c r="CJ499" s="227" t="str">
        <f t="shared" si="1554"/>
        <v>Thùy</v>
      </c>
      <c r="CK499" s="87">
        <f t="shared" si="1592"/>
        <v>10</v>
      </c>
      <c r="CL499" s="227" t="str">
        <f t="shared" si="1593"/>
        <v>Toán</v>
      </c>
      <c r="CM499" s="87" t="str">
        <f t="shared" si="1536"/>
        <v>CB2</v>
      </c>
      <c r="CN499" s="87">
        <f t="shared" ref="CN499:CO503" si="1600">Q499</f>
        <v>270</v>
      </c>
      <c r="CO499" s="87">
        <f t="shared" si="1600"/>
        <v>80</v>
      </c>
      <c r="CP499" s="229">
        <f t="shared" si="1483"/>
        <v>0</v>
      </c>
      <c r="CQ499" s="229">
        <f t="shared" si="1484"/>
        <v>16.100000000000001</v>
      </c>
      <c r="CR499" s="229">
        <f t="shared" si="1485"/>
        <v>6.5</v>
      </c>
      <c r="CS499" s="229">
        <f t="shared" si="1486"/>
        <v>0</v>
      </c>
      <c r="CT499" s="229">
        <f t="shared" si="1487"/>
        <v>0</v>
      </c>
      <c r="CU499" s="229">
        <f t="shared" si="1488"/>
        <v>97</v>
      </c>
      <c r="CV499" s="229">
        <f t="shared" si="1489"/>
        <v>0</v>
      </c>
      <c r="CW499" s="229">
        <f t="shared" si="1490"/>
        <v>16</v>
      </c>
      <c r="CX499" s="229">
        <f t="shared" si="1491"/>
        <v>0</v>
      </c>
      <c r="CY499" s="229">
        <f t="shared" si="1492"/>
        <v>0</v>
      </c>
      <c r="CZ499" s="229">
        <f t="shared" si="1493"/>
        <v>0</v>
      </c>
      <c r="DA499" s="229">
        <f t="shared" si="1494"/>
        <v>0</v>
      </c>
      <c r="DB499" s="228">
        <f t="shared" si="1429"/>
        <v>135.6</v>
      </c>
      <c r="DC499" s="229"/>
      <c r="DD499" s="229"/>
      <c r="DE499" s="229"/>
      <c r="DF499" s="229"/>
      <c r="DG499" s="229"/>
      <c r="DH499" s="229"/>
      <c r="DI499" s="229"/>
      <c r="DJ499" s="229"/>
      <c r="DK499" s="229"/>
      <c r="DL499" s="229"/>
      <c r="DM499" s="229"/>
      <c r="DN499" s="229"/>
      <c r="DO499" s="228">
        <f t="shared" si="1440"/>
        <v>0</v>
      </c>
      <c r="DP499" s="228">
        <f t="shared" si="1441"/>
        <v>135.6</v>
      </c>
      <c r="DQ499" s="229">
        <f t="shared" si="1495"/>
        <v>0</v>
      </c>
      <c r="DR499" s="229">
        <f t="shared" si="1496"/>
        <v>0</v>
      </c>
      <c r="DS499" s="229">
        <f t="shared" si="1497"/>
        <v>0</v>
      </c>
      <c r="DT499" s="229">
        <f t="shared" si="1498"/>
        <v>0</v>
      </c>
      <c r="DU499" s="229">
        <f t="shared" si="1499"/>
        <v>0</v>
      </c>
      <c r="DV499" s="229">
        <f t="shared" si="1500"/>
        <v>0</v>
      </c>
      <c r="DW499" s="229">
        <f t="shared" si="1501"/>
        <v>0</v>
      </c>
      <c r="DX499" s="228">
        <f t="shared" si="1430"/>
        <v>0</v>
      </c>
      <c r="DY499" s="229"/>
      <c r="DZ499" s="229"/>
      <c r="EA499" s="229"/>
      <c r="EB499" s="229"/>
      <c r="EC499" s="229"/>
      <c r="ED499" s="229"/>
      <c r="EE499" s="229"/>
      <c r="EF499" s="228">
        <f t="shared" si="1480"/>
        <v>0</v>
      </c>
      <c r="EG499" s="228">
        <f t="shared" si="1442"/>
        <v>0</v>
      </c>
      <c r="EH499" s="229">
        <f t="shared" si="1481"/>
        <v>70</v>
      </c>
      <c r="EI499" s="229">
        <v>32.5</v>
      </c>
      <c r="EJ499" s="228">
        <f t="shared" si="1443"/>
        <v>102.5</v>
      </c>
      <c r="EK499" s="229"/>
      <c r="EL499" s="229"/>
      <c r="EM499" s="228">
        <f t="shared" si="1598"/>
        <v>0</v>
      </c>
      <c r="EN499" s="229">
        <f t="shared" si="1591"/>
        <v>70</v>
      </c>
      <c r="EO499" s="229">
        <f t="shared" si="1451"/>
        <v>32.5</v>
      </c>
      <c r="EP499" s="228">
        <f t="shared" ref="EP499:EP510" si="1601">EM499+EJ499</f>
        <v>102.5</v>
      </c>
      <c r="EQ499" s="173">
        <f t="shared" si="1479"/>
        <v>0</v>
      </c>
      <c r="ER499" s="189">
        <v>0</v>
      </c>
      <c r="ES499" s="189">
        <v>16.100000000000001</v>
      </c>
      <c r="ET499" s="189">
        <v>6.5</v>
      </c>
      <c r="EU499" s="189">
        <v>0</v>
      </c>
      <c r="EV499" s="189">
        <v>0</v>
      </c>
      <c r="EW499" s="189">
        <v>97</v>
      </c>
      <c r="EX499" s="189">
        <v>0</v>
      </c>
      <c r="EY499" s="189">
        <v>16</v>
      </c>
      <c r="EZ499" s="189">
        <v>0</v>
      </c>
      <c r="FA499" s="189">
        <v>0</v>
      </c>
      <c r="FB499" s="189">
        <v>0</v>
      </c>
      <c r="FC499" s="189">
        <v>0</v>
      </c>
      <c r="FD499" s="189">
        <v>0</v>
      </c>
      <c r="FE499" s="189">
        <v>0</v>
      </c>
      <c r="FF499" s="189">
        <v>0</v>
      </c>
      <c r="FG499" s="189">
        <v>0</v>
      </c>
      <c r="FH499" s="189">
        <v>0</v>
      </c>
      <c r="FI499" s="189">
        <v>0</v>
      </c>
      <c r="FJ499" s="189">
        <v>0</v>
      </c>
      <c r="FK499" s="189">
        <v>135.6</v>
      </c>
      <c r="FL499" s="189">
        <v>119</v>
      </c>
      <c r="FN499" s="132">
        <v>70</v>
      </c>
    </row>
    <row r="500" spans="1:170" ht="28.5" customHeight="1">
      <c r="A500" s="88">
        <f>COUNTIF($H$12:H500,H500)</f>
        <v>6</v>
      </c>
      <c r="B500" s="88" t="s">
        <v>149</v>
      </c>
      <c r="C500" s="88" t="s">
        <v>1215</v>
      </c>
      <c r="D500" s="88"/>
      <c r="E500" s="88"/>
      <c r="F500" s="301" t="s">
        <v>1139</v>
      </c>
      <c r="G500" s="89" t="s">
        <v>543</v>
      </c>
      <c r="H500" s="88">
        <v>10</v>
      </c>
      <c r="I500" s="88">
        <v>10</v>
      </c>
      <c r="J500" s="88">
        <v>10</v>
      </c>
      <c r="K500" s="90" t="s">
        <v>1109</v>
      </c>
      <c r="L500" s="90" t="s">
        <v>1109</v>
      </c>
      <c r="M500" s="214"/>
      <c r="N500" s="88" t="s">
        <v>1179</v>
      </c>
      <c r="O500" s="216">
        <f t="shared" si="1574"/>
        <v>3</v>
      </c>
      <c r="P500" s="88" t="str">
        <f t="shared" si="1594"/>
        <v>B11_3</v>
      </c>
      <c r="Q500" s="88">
        <f t="shared" si="1567"/>
        <v>270</v>
      </c>
      <c r="R500" s="88">
        <f t="shared" si="1568"/>
        <v>60</v>
      </c>
      <c r="S500" s="218"/>
      <c r="T500" s="88" t="s">
        <v>3088</v>
      </c>
      <c r="U500" s="88">
        <f>IF(RIGHT(T500,1)="K",(VLOOKUP(T500,ma_miengiam!$A$3:$B$80,2,0)*100)/2,VLOOKUP(T500,ma_miengiam!$A$3:$B$80,2,0)*100)</f>
        <v>0</v>
      </c>
      <c r="V500" s="88"/>
      <c r="W500" s="220">
        <f>IF(AND(T500="NTS",V500&gt;0),(Q500-(Q500*V500)/12)*VLOOKUP(T500,ma_miengiam!$A$3:$B$80,2,0)+(Q500-(Q500*(12-V500))/12),IF(AND(RIGHT(T500,1)="K",V500&gt;0),(VLOOKUP(T500,ma_miengiam!$A$3:$B$80,2,0)/2)*(Q500*V500)/12,IF(RIGHT(T500,1)="K",(VLOOKUP(T500,ma_miengiam!$A$3:$B$80,2,0)*Q500)/2,IF(V500&gt;0,VLOOKUP(T500,ma_miengiam!$A$3:$B$80,2,0)*Q500*V500/12,VLOOKUP(T500,ma_miengiam!$A$3:$B$80,2,0)*Q500))))</f>
        <v>0</v>
      </c>
      <c r="X500" s="220">
        <f>IF(T500="NTS",VLOOKUP(T500,ma_miengiam!$A$3:$B$80,2,0)*R500*V500,IF(AND(T500="NTS",V500=0),0,IF(AND(LEFT(T500,1)="K",V500=0),VLOOKUP(T500,ma_miengiam!$A$3:$B$80,2,0)*R500,IF(LEFT(T500,1)="K",(VLOOKUP(T500,ma_miengiam!$A$3:$B$80,2,0)*R500/12)*V500,IF(AND(LEFT(T500,1)="S",V500&gt;0),(R500/12)*V500,IF(AND(LEFT(T500,1)="S",V500=0),R500,IF(T500="DH",VLOOKUP(T500,ma_miengiam!$A$3:$B$80,2,0)*R500,0)))))))</f>
        <v>0</v>
      </c>
      <c r="Y500" s="220">
        <f t="shared" si="1521"/>
        <v>270</v>
      </c>
      <c r="Z500" s="220">
        <f t="shared" si="1569"/>
        <v>60</v>
      </c>
      <c r="AA500" s="220">
        <f t="shared" ref="AA500:AB503" si="1602">Q500</f>
        <v>270</v>
      </c>
      <c r="AB500" s="220">
        <f t="shared" si="1602"/>
        <v>60</v>
      </c>
      <c r="AC500" s="220">
        <f t="shared" ref="AC500:AF503" si="1603">W500</f>
        <v>0</v>
      </c>
      <c r="AD500" s="220">
        <f t="shared" si="1603"/>
        <v>0</v>
      </c>
      <c r="AE500" s="220">
        <f t="shared" si="1603"/>
        <v>270</v>
      </c>
      <c r="AF500" s="220">
        <f t="shared" si="1603"/>
        <v>60</v>
      </c>
      <c r="AG500" s="220">
        <f t="shared" ref="AG500:AG513" si="1604">AH500+AI500</f>
        <v>25</v>
      </c>
      <c r="AH500" s="220">
        <f t="shared" ref="AH500:AH513" si="1605">EO500</f>
        <v>0</v>
      </c>
      <c r="AI500" s="220">
        <f t="shared" ref="AI500:AI513" si="1606">EN500</f>
        <v>25</v>
      </c>
      <c r="AJ500" s="220">
        <f t="shared" si="1551"/>
        <v>-35</v>
      </c>
      <c r="AK500" s="216">
        <f t="shared" si="1454"/>
        <v>305</v>
      </c>
      <c r="AL500" s="220">
        <f t="shared" si="1431"/>
        <v>195.60000000000002</v>
      </c>
      <c r="AM500" s="220">
        <f t="shared" si="1432"/>
        <v>0</v>
      </c>
      <c r="AN500" s="221">
        <f t="shared" si="1433"/>
        <v>195.60000000000002</v>
      </c>
      <c r="AO500" s="220">
        <f t="shared" si="1434"/>
        <v>0</v>
      </c>
      <c r="AP500" s="220">
        <f t="shared" si="1435"/>
        <v>0</v>
      </c>
      <c r="AQ500" s="220">
        <f t="shared" si="1436"/>
        <v>0</v>
      </c>
      <c r="AR500" s="220">
        <f t="shared" si="1437"/>
        <v>0</v>
      </c>
      <c r="AS500" s="220">
        <f t="shared" si="1438"/>
        <v>0</v>
      </c>
      <c r="AT500" s="216">
        <f t="shared" si="1439"/>
        <v>195.60000000000002</v>
      </c>
      <c r="AU500" s="222">
        <f t="shared" si="1447"/>
        <v>-109.39999999999998</v>
      </c>
      <c r="AV500" s="220"/>
      <c r="AW500" s="220">
        <f t="shared" si="1530"/>
        <v>-109.39999999999998</v>
      </c>
      <c r="AX500" s="216">
        <f t="shared" si="1448"/>
        <v>-109.39999999999998</v>
      </c>
      <c r="AY500" s="220">
        <f t="shared" si="1537"/>
        <v>0</v>
      </c>
      <c r="AZ500" s="220">
        <f t="shared" si="1538"/>
        <v>0</v>
      </c>
      <c r="BA500" s="220">
        <f t="shared" si="1539"/>
        <v>0</v>
      </c>
      <c r="BB500" s="220">
        <f t="shared" si="1540"/>
        <v>0</v>
      </c>
      <c r="BC500" s="220">
        <f t="shared" si="1541"/>
        <v>0</v>
      </c>
      <c r="BD500" s="216">
        <f t="shared" si="1599"/>
        <v>0</v>
      </c>
      <c r="BE500" s="220">
        <f t="shared" si="1531"/>
        <v>0</v>
      </c>
      <c r="BF500" s="220">
        <f t="shared" si="1532"/>
        <v>0</v>
      </c>
      <c r="BG500" s="220">
        <f t="shared" si="1533"/>
        <v>0</v>
      </c>
      <c r="BH500" s="220">
        <f t="shared" si="1534"/>
        <v>0</v>
      </c>
      <c r="BI500" s="220">
        <f t="shared" si="1535"/>
        <v>0</v>
      </c>
      <c r="BJ500" s="220" t="s">
        <v>1561</v>
      </c>
      <c r="BK500" s="220"/>
      <c r="BL500" s="223">
        <f t="shared" si="1422"/>
        <v>0</v>
      </c>
      <c r="BM500" s="220">
        <v>3</v>
      </c>
      <c r="BN500" s="220"/>
      <c r="BO500" s="220">
        <f t="shared" ref="BO500:BO515" si="1607">ROUND(BM500+(BM500*BN500),2)</f>
        <v>3</v>
      </c>
      <c r="BP500" s="220">
        <f>IF(AND(BL500&gt;0,BL500&lt;tiet!$D$1),BL500,IF(BL500&lt;=0,0,IF(BL500&gt;tiet!$C$1,tiet!$C$1)))</f>
        <v>0</v>
      </c>
      <c r="BQ500" s="87">
        <f t="shared" si="1552"/>
        <v>60000</v>
      </c>
      <c r="BR500" s="224">
        <f t="shared" si="1544"/>
        <v>0</v>
      </c>
      <c r="BS500" s="220">
        <f t="shared" si="1478"/>
        <v>0</v>
      </c>
      <c r="BT500" s="224">
        <f>VLOOKUP(N500,ma_dinhmuc!$A$1:$J$31,10,0)</f>
        <v>51000</v>
      </c>
      <c r="BU500" s="224">
        <f>ROUND(IF(BS500&gt;0,VLOOKUP(N500,ma_dinhmuc!$A$1:$J$31,10,0)*BS500,0),0)</f>
        <v>0</v>
      </c>
      <c r="BV500" s="224">
        <f t="shared" si="1545"/>
        <v>0</v>
      </c>
      <c r="BW500" s="224"/>
      <c r="BX500" s="224">
        <v>0</v>
      </c>
      <c r="BY500" s="224"/>
      <c r="BZ500" s="224"/>
      <c r="CA500" s="224"/>
      <c r="CB500" s="224"/>
      <c r="CC500" s="225">
        <f t="shared" si="1595"/>
        <v>0</v>
      </c>
      <c r="CD500" s="224">
        <f t="shared" si="1596"/>
        <v>0</v>
      </c>
      <c r="CE500" s="224"/>
      <c r="CF500" s="226"/>
      <c r="CG500" s="87"/>
      <c r="CH500" s="87">
        <f t="shared" si="1597"/>
        <v>6</v>
      </c>
      <c r="CI500" s="227" t="str">
        <f t="shared" si="1553"/>
        <v>Nguyễn Thị</v>
      </c>
      <c r="CJ500" s="227" t="str">
        <f t="shared" si="1554"/>
        <v>Huyền B</v>
      </c>
      <c r="CK500" s="87">
        <f t="shared" si="1592"/>
        <v>10</v>
      </c>
      <c r="CL500" s="227" t="str">
        <f t="shared" ref="CL500:CL512" si="1608">L500</f>
        <v>Toán</v>
      </c>
      <c r="CM500" s="87" t="str">
        <f t="shared" si="1536"/>
        <v>CB2</v>
      </c>
      <c r="CN500" s="87">
        <f t="shared" si="1600"/>
        <v>270</v>
      </c>
      <c r="CO500" s="87">
        <f t="shared" si="1600"/>
        <v>60</v>
      </c>
      <c r="CP500" s="229">
        <f t="shared" si="1483"/>
        <v>0</v>
      </c>
      <c r="CQ500" s="229">
        <f t="shared" si="1484"/>
        <v>25.8</v>
      </c>
      <c r="CR500" s="229">
        <f t="shared" si="1485"/>
        <v>10.4</v>
      </c>
      <c r="CS500" s="229">
        <f t="shared" si="1486"/>
        <v>0</v>
      </c>
      <c r="CT500" s="229">
        <f t="shared" si="1487"/>
        <v>0</v>
      </c>
      <c r="CU500" s="229">
        <f t="shared" si="1488"/>
        <v>159.4</v>
      </c>
      <c r="CV500" s="229">
        <f t="shared" si="1489"/>
        <v>0</v>
      </c>
      <c r="CW500" s="229">
        <f t="shared" si="1490"/>
        <v>0</v>
      </c>
      <c r="CX500" s="229">
        <f t="shared" si="1491"/>
        <v>0</v>
      </c>
      <c r="CY500" s="229">
        <f t="shared" si="1492"/>
        <v>0</v>
      </c>
      <c r="CZ500" s="229">
        <f t="shared" si="1493"/>
        <v>0</v>
      </c>
      <c r="DA500" s="229">
        <f t="shared" si="1494"/>
        <v>0</v>
      </c>
      <c r="DB500" s="228">
        <f t="shared" si="1429"/>
        <v>195.60000000000002</v>
      </c>
      <c r="DC500" s="229"/>
      <c r="DD500" s="229"/>
      <c r="DE500" s="229"/>
      <c r="DF500" s="229"/>
      <c r="DG500" s="229"/>
      <c r="DH500" s="229"/>
      <c r="DI500" s="229"/>
      <c r="DJ500" s="229"/>
      <c r="DK500" s="229"/>
      <c r="DL500" s="229"/>
      <c r="DM500" s="229"/>
      <c r="DN500" s="229"/>
      <c r="DO500" s="228">
        <f t="shared" si="1440"/>
        <v>0</v>
      </c>
      <c r="DP500" s="228">
        <f t="shared" si="1441"/>
        <v>195.60000000000002</v>
      </c>
      <c r="DQ500" s="229">
        <f t="shared" si="1495"/>
        <v>0</v>
      </c>
      <c r="DR500" s="229">
        <f t="shared" si="1496"/>
        <v>0</v>
      </c>
      <c r="DS500" s="229">
        <f t="shared" si="1497"/>
        <v>0</v>
      </c>
      <c r="DT500" s="229">
        <f t="shared" si="1498"/>
        <v>0</v>
      </c>
      <c r="DU500" s="229">
        <f t="shared" si="1499"/>
        <v>0</v>
      </c>
      <c r="DV500" s="229">
        <f t="shared" si="1500"/>
        <v>0</v>
      </c>
      <c r="DW500" s="229">
        <f t="shared" si="1501"/>
        <v>0</v>
      </c>
      <c r="DX500" s="228">
        <f t="shared" si="1430"/>
        <v>0</v>
      </c>
      <c r="DY500" s="229"/>
      <c r="DZ500" s="229"/>
      <c r="EA500" s="229"/>
      <c r="EB500" s="229"/>
      <c r="EC500" s="229"/>
      <c r="ED500" s="229"/>
      <c r="EE500" s="229"/>
      <c r="EF500" s="228">
        <f t="shared" si="1480"/>
        <v>0</v>
      </c>
      <c r="EG500" s="228">
        <f t="shared" si="1442"/>
        <v>0</v>
      </c>
      <c r="EH500" s="229">
        <f t="shared" si="1481"/>
        <v>25</v>
      </c>
      <c r="EI500" s="229">
        <v>0</v>
      </c>
      <c r="EJ500" s="228">
        <f t="shared" si="1443"/>
        <v>25</v>
      </c>
      <c r="EK500" s="229"/>
      <c r="EL500" s="229"/>
      <c r="EM500" s="228">
        <f t="shared" si="1598"/>
        <v>0</v>
      </c>
      <c r="EN500" s="229">
        <f t="shared" si="1591"/>
        <v>25</v>
      </c>
      <c r="EO500" s="229">
        <f t="shared" si="1451"/>
        <v>0</v>
      </c>
      <c r="EP500" s="228">
        <f t="shared" si="1601"/>
        <v>25</v>
      </c>
      <c r="EQ500" s="173">
        <f t="shared" si="1479"/>
        <v>0</v>
      </c>
      <c r="ER500" s="189">
        <v>0</v>
      </c>
      <c r="ES500" s="189">
        <v>25.8</v>
      </c>
      <c r="ET500" s="189">
        <v>10.4</v>
      </c>
      <c r="EU500" s="189">
        <v>0</v>
      </c>
      <c r="EV500" s="189">
        <v>0</v>
      </c>
      <c r="EW500" s="189">
        <v>159.4</v>
      </c>
      <c r="EX500" s="189">
        <v>0</v>
      </c>
      <c r="EY500" s="189">
        <v>0</v>
      </c>
      <c r="EZ500" s="189">
        <v>0</v>
      </c>
      <c r="FA500" s="189">
        <v>0</v>
      </c>
      <c r="FB500" s="189">
        <v>0</v>
      </c>
      <c r="FC500" s="189">
        <v>0</v>
      </c>
      <c r="FD500" s="189">
        <v>0</v>
      </c>
      <c r="FE500" s="189">
        <v>0</v>
      </c>
      <c r="FF500" s="189">
        <v>0</v>
      </c>
      <c r="FG500" s="189">
        <v>0</v>
      </c>
      <c r="FH500" s="189">
        <v>0</v>
      </c>
      <c r="FI500" s="189">
        <v>0</v>
      </c>
      <c r="FJ500" s="189">
        <v>0</v>
      </c>
      <c r="FK500" s="189">
        <v>195.6</v>
      </c>
      <c r="FL500" s="189">
        <v>158</v>
      </c>
      <c r="FN500" s="132">
        <v>25</v>
      </c>
    </row>
    <row r="501" spans="1:170" ht="30" customHeight="1">
      <c r="A501" s="88">
        <f>COUNTIF($H$12:H501,H501)</f>
        <v>7</v>
      </c>
      <c r="B501" s="88" t="s">
        <v>150</v>
      </c>
      <c r="C501" s="88" t="s">
        <v>1216</v>
      </c>
      <c r="D501" s="88"/>
      <c r="E501" s="88"/>
      <c r="F501" s="301" t="s">
        <v>1788</v>
      </c>
      <c r="G501" s="89" t="s">
        <v>1600</v>
      </c>
      <c r="H501" s="88">
        <v>10</v>
      </c>
      <c r="I501" s="88">
        <v>10</v>
      </c>
      <c r="J501" s="88">
        <v>10</v>
      </c>
      <c r="K501" s="90" t="s">
        <v>1109</v>
      </c>
      <c r="L501" s="90" t="s">
        <v>1109</v>
      </c>
      <c r="M501" s="214"/>
      <c r="N501" s="88" t="s">
        <v>1179</v>
      </c>
      <c r="O501" s="216">
        <f t="shared" si="1574"/>
        <v>3</v>
      </c>
      <c r="P501" s="88" t="str">
        <f t="shared" si="1594"/>
        <v>B11_3</v>
      </c>
      <c r="Q501" s="88">
        <f t="shared" si="1567"/>
        <v>270</v>
      </c>
      <c r="R501" s="88">
        <f t="shared" si="1568"/>
        <v>60</v>
      </c>
      <c r="S501" s="231" t="s">
        <v>488</v>
      </c>
      <c r="T501" s="88" t="s">
        <v>3091</v>
      </c>
      <c r="U501" s="88">
        <f>IF(RIGHT(T501,1)="K",(VLOOKUP(T501,ma_miengiam!$A$3:$B$80,2,0)*100)/2,VLOOKUP(T501,ma_miengiam!$A$3:$B$80,2,0)*100)</f>
        <v>20</v>
      </c>
      <c r="V501" s="88"/>
      <c r="W501" s="220">
        <f>IF(AND(T501="NTS",V501&gt;0),(Q501-(Q501*V501)/12)*VLOOKUP(T501,ma_miengiam!$A$3:$B$80,2,0)+(Q501-(Q501*(12-V501))/12),IF(AND(RIGHT(T501,1)="K",V501&gt;0),(VLOOKUP(T501,ma_miengiam!$A$3:$B$80,2,0)/2)*(Q501*V501)/12,IF(RIGHT(T501,1)="K",(VLOOKUP(T501,ma_miengiam!$A$3:$B$80,2,0)*Q501)/2,IF(V501&gt;0,VLOOKUP(T501,ma_miengiam!$A$3:$B$80,2,0)*Q501*V501/12,VLOOKUP(T501,ma_miengiam!$A$3:$B$80,2,0)*Q501))))</f>
        <v>54</v>
      </c>
      <c r="X501" s="220">
        <f>IF(T501="NTS",VLOOKUP(T501,ma_miengiam!$A$3:$B$80,2,0)*R501*V501,IF(AND(T501="NTS",V501=0),0,IF(AND(LEFT(T501,1)="K",V501=0),VLOOKUP(T501,ma_miengiam!$A$3:$B$80,2,0)*R501,IF(LEFT(T501,1)="K",(VLOOKUP(T501,ma_miengiam!$A$3:$B$80,2,0)*R501/12)*V501,IF(AND(LEFT(T501,1)="S",V501&gt;0),(R501/12)*V501,IF(AND(LEFT(T501,1)="S",V501=0),R501,IF(T501="DH",VLOOKUP(T501,ma_miengiam!$A$3:$B$80,2,0)*R501,0)))))))</f>
        <v>0</v>
      </c>
      <c r="Y501" s="220">
        <f t="shared" si="1521"/>
        <v>216</v>
      </c>
      <c r="Z501" s="220">
        <f t="shared" si="1569"/>
        <v>60</v>
      </c>
      <c r="AA501" s="220">
        <f t="shared" si="1602"/>
        <v>270</v>
      </c>
      <c r="AB501" s="220">
        <f t="shared" si="1602"/>
        <v>60</v>
      </c>
      <c r="AC501" s="220">
        <f t="shared" si="1603"/>
        <v>54</v>
      </c>
      <c r="AD501" s="220">
        <f t="shared" si="1603"/>
        <v>0</v>
      </c>
      <c r="AE501" s="220">
        <f t="shared" si="1603"/>
        <v>216</v>
      </c>
      <c r="AF501" s="220">
        <f t="shared" si="1603"/>
        <v>60</v>
      </c>
      <c r="AG501" s="220">
        <f t="shared" si="1604"/>
        <v>0</v>
      </c>
      <c r="AH501" s="220">
        <f t="shared" si="1605"/>
        <v>0</v>
      </c>
      <c r="AI501" s="220">
        <f t="shared" si="1606"/>
        <v>0</v>
      </c>
      <c r="AJ501" s="220">
        <f t="shared" si="1551"/>
        <v>-60</v>
      </c>
      <c r="AK501" s="216">
        <f t="shared" si="1454"/>
        <v>276</v>
      </c>
      <c r="AL501" s="220">
        <f t="shared" si="1431"/>
        <v>149.30000000000001</v>
      </c>
      <c r="AM501" s="220">
        <f t="shared" si="1432"/>
        <v>0</v>
      </c>
      <c r="AN501" s="221">
        <f t="shared" si="1433"/>
        <v>149.30000000000001</v>
      </c>
      <c r="AO501" s="220">
        <f t="shared" si="1434"/>
        <v>0</v>
      </c>
      <c r="AP501" s="220">
        <f t="shared" si="1435"/>
        <v>0</v>
      </c>
      <c r="AQ501" s="220">
        <f t="shared" si="1436"/>
        <v>0</v>
      </c>
      <c r="AR501" s="220">
        <f t="shared" si="1437"/>
        <v>0</v>
      </c>
      <c r="AS501" s="220">
        <f t="shared" si="1438"/>
        <v>0</v>
      </c>
      <c r="AT501" s="216">
        <f t="shared" si="1439"/>
        <v>149.30000000000001</v>
      </c>
      <c r="AU501" s="222">
        <f t="shared" si="1447"/>
        <v>-126.69999999999999</v>
      </c>
      <c r="AV501" s="220"/>
      <c r="AW501" s="220">
        <f t="shared" si="1530"/>
        <v>-126.69999999999999</v>
      </c>
      <c r="AX501" s="216">
        <f t="shared" si="1448"/>
        <v>-126.69999999999999</v>
      </c>
      <c r="AY501" s="220">
        <f t="shared" si="1537"/>
        <v>0</v>
      </c>
      <c r="AZ501" s="220">
        <f t="shared" si="1538"/>
        <v>0</v>
      </c>
      <c r="BA501" s="220">
        <f t="shared" si="1539"/>
        <v>0</v>
      </c>
      <c r="BB501" s="220">
        <f t="shared" si="1540"/>
        <v>0</v>
      </c>
      <c r="BC501" s="220">
        <f t="shared" si="1541"/>
        <v>0</v>
      </c>
      <c r="BD501" s="216">
        <f t="shared" si="1599"/>
        <v>0</v>
      </c>
      <c r="BE501" s="220">
        <f t="shared" si="1531"/>
        <v>0</v>
      </c>
      <c r="BF501" s="220">
        <f t="shared" si="1532"/>
        <v>0</v>
      </c>
      <c r="BG501" s="220">
        <f t="shared" si="1533"/>
        <v>0</v>
      </c>
      <c r="BH501" s="220">
        <f t="shared" si="1534"/>
        <v>0</v>
      </c>
      <c r="BI501" s="220">
        <f t="shared" si="1535"/>
        <v>0</v>
      </c>
      <c r="BJ501" s="220" t="s">
        <v>1561</v>
      </c>
      <c r="BK501" s="220"/>
      <c r="BL501" s="223">
        <f t="shared" si="1422"/>
        <v>0</v>
      </c>
      <c r="BM501" s="220">
        <v>3</v>
      </c>
      <c r="BN501" s="220"/>
      <c r="BO501" s="220">
        <f t="shared" si="1607"/>
        <v>3</v>
      </c>
      <c r="BP501" s="220">
        <f>IF(AND(BL501&gt;0,BL501&lt;tiet!$D$1),BL501,IF(BL501&lt;=0,0,IF(BL501&gt;tiet!$C$1,tiet!$C$1)))</f>
        <v>0</v>
      </c>
      <c r="BQ501" s="87">
        <f t="shared" si="1552"/>
        <v>60000</v>
      </c>
      <c r="BR501" s="224">
        <f t="shared" si="1544"/>
        <v>0</v>
      </c>
      <c r="BS501" s="220">
        <f t="shared" si="1478"/>
        <v>0</v>
      </c>
      <c r="BT501" s="224">
        <f>VLOOKUP(N501,ma_dinhmuc!$A$1:$J$31,10,0)</f>
        <v>51000</v>
      </c>
      <c r="BU501" s="224">
        <f>ROUND(IF(BS501&gt;0,VLOOKUP(N501,ma_dinhmuc!$A$1:$J$31,10,0)*BS501,0),0)</f>
        <v>0</v>
      </c>
      <c r="BV501" s="224">
        <f t="shared" si="1545"/>
        <v>0</v>
      </c>
      <c r="BW501" s="224"/>
      <c r="BX501" s="224">
        <v>0</v>
      </c>
      <c r="BY501" s="224"/>
      <c r="BZ501" s="224"/>
      <c r="CA501" s="224"/>
      <c r="CB501" s="224"/>
      <c r="CC501" s="225">
        <f t="shared" si="1595"/>
        <v>0</v>
      </c>
      <c r="CD501" s="224">
        <f t="shared" si="1596"/>
        <v>0</v>
      </c>
      <c r="CE501" s="224"/>
      <c r="CF501" s="226"/>
      <c r="CG501" s="87"/>
      <c r="CH501" s="87">
        <f t="shared" si="1597"/>
        <v>7</v>
      </c>
      <c r="CI501" s="227" t="str">
        <f t="shared" si="1553"/>
        <v>Lê Thị</v>
      </c>
      <c r="CJ501" s="227" t="str">
        <f t="shared" si="1554"/>
        <v>Hạnh</v>
      </c>
      <c r="CK501" s="87">
        <f t="shared" si="1592"/>
        <v>10</v>
      </c>
      <c r="CL501" s="227" t="str">
        <f t="shared" si="1608"/>
        <v>Toán</v>
      </c>
      <c r="CM501" s="87" t="str">
        <f t="shared" si="1536"/>
        <v>CB2</v>
      </c>
      <c r="CN501" s="87">
        <f t="shared" si="1600"/>
        <v>270</v>
      </c>
      <c r="CO501" s="87">
        <f t="shared" si="1600"/>
        <v>60</v>
      </c>
      <c r="CP501" s="229">
        <f t="shared" si="1483"/>
        <v>0</v>
      </c>
      <c r="CQ501" s="229">
        <f t="shared" si="1484"/>
        <v>22.6</v>
      </c>
      <c r="CR501" s="229">
        <f t="shared" si="1485"/>
        <v>9.1</v>
      </c>
      <c r="CS501" s="229">
        <f t="shared" si="1486"/>
        <v>0</v>
      </c>
      <c r="CT501" s="229">
        <f t="shared" si="1487"/>
        <v>0</v>
      </c>
      <c r="CU501" s="229">
        <f t="shared" si="1488"/>
        <v>117.6</v>
      </c>
      <c r="CV501" s="229">
        <f t="shared" si="1489"/>
        <v>0</v>
      </c>
      <c r="CW501" s="229">
        <f t="shared" si="1490"/>
        <v>0</v>
      </c>
      <c r="CX501" s="229">
        <f t="shared" si="1491"/>
        <v>0</v>
      </c>
      <c r="CY501" s="229">
        <f t="shared" si="1492"/>
        <v>0</v>
      </c>
      <c r="CZ501" s="229">
        <f t="shared" si="1493"/>
        <v>0</v>
      </c>
      <c r="DA501" s="229">
        <f t="shared" si="1494"/>
        <v>0</v>
      </c>
      <c r="DB501" s="228">
        <f t="shared" si="1429"/>
        <v>149.30000000000001</v>
      </c>
      <c r="DC501" s="229"/>
      <c r="DD501" s="229"/>
      <c r="DE501" s="229"/>
      <c r="DF501" s="229"/>
      <c r="DG501" s="229"/>
      <c r="DH501" s="229"/>
      <c r="DI501" s="229"/>
      <c r="DJ501" s="229"/>
      <c r="DK501" s="229"/>
      <c r="DL501" s="229"/>
      <c r="DM501" s="229"/>
      <c r="DN501" s="229"/>
      <c r="DO501" s="228">
        <f t="shared" si="1440"/>
        <v>0</v>
      </c>
      <c r="DP501" s="228">
        <f t="shared" si="1441"/>
        <v>149.30000000000001</v>
      </c>
      <c r="DQ501" s="229">
        <f t="shared" si="1495"/>
        <v>0</v>
      </c>
      <c r="DR501" s="229">
        <f t="shared" si="1496"/>
        <v>0</v>
      </c>
      <c r="DS501" s="229">
        <f t="shared" si="1497"/>
        <v>0</v>
      </c>
      <c r="DT501" s="229">
        <f t="shared" si="1498"/>
        <v>0</v>
      </c>
      <c r="DU501" s="229">
        <f t="shared" si="1499"/>
        <v>0</v>
      </c>
      <c r="DV501" s="229">
        <f t="shared" si="1500"/>
        <v>0</v>
      </c>
      <c r="DW501" s="229">
        <f t="shared" si="1501"/>
        <v>0</v>
      </c>
      <c r="DX501" s="228">
        <f t="shared" si="1430"/>
        <v>0</v>
      </c>
      <c r="DY501" s="229"/>
      <c r="DZ501" s="229"/>
      <c r="EA501" s="229"/>
      <c r="EB501" s="229"/>
      <c r="EC501" s="229"/>
      <c r="ED501" s="229"/>
      <c r="EE501" s="229"/>
      <c r="EF501" s="228">
        <f t="shared" si="1480"/>
        <v>0</v>
      </c>
      <c r="EG501" s="228">
        <f t="shared" si="1442"/>
        <v>0</v>
      </c>
      <c r="EH501" s="229">
        <f t="shared" si="1481"/>
        <v>0</v>
      </c>
      <c r="EI501" s="229">
        <v>0</v>
      </c>
      <c r="EJ501" s="228">
        <f t="shared" si="1443"/>
        <v>0</v>
      </c>
      <c r="EK501" s="229"/>
      <c r="EL501" s="229"/>
      <c r="EM501" s="228">
        <f t="shared" si="1598"/>
        <v>0</v>
      </c>
      <c r="EN501" s="229">
        <f t="shared" si="1591"/>
        <v>0</v>
      </c>
      <c r="EO501" s="229">
        <f t="shared" si="1451"/>
        <v>0</v>
      </c>
      <c r="EP501" s="228">
        <f t="shared" si="1601"/>
        <v>0</v>
      </c>
      <c r="EQ501" s="173">
        <f t="shared" si="1479"/>
        <v>0</v>
      </c>
      <c r="ER501" s="189">
        <v>0</v>
      </c>
      <c r="ES501" s="189">
        <v>22.6</v>
      </c>
      <c r="ET501" s="189">
        <v>9.1</v>
      </c>
      <c r="EU501" s="189">
        <v>0</v>
      </c>
      <c r="EV501" s="189">
        <v>0</v>
      </c>
      <c r="EW501" s="189">
        <v>117.6</v>
      </c>
      <c r="EX501" s="189">
        <v>0</v>
      </c>
      <c r="EY501" s="189">
        <v>0</v>
      </c>
      <c r="EZ501" s="189">
        <v>0</v>
      </c>
      <c r="FA501" s="189">
        <v>0</v>
      </c>
      <c r="FB501" s="189">
        <v>0</v>
      </c>
      <c r="FC501" s="189">
        <v>0</v>
      </c>
      <c r="FD501" s="189">
        <v>0</v>
      </c>
      <c r="FE501" s="189">
        <v>0</v>
      </c>
      <c r="FF501" s="189">
        <v>0</v>
      </c>
      <c r="FG501" s="189">
        <v>0</v>
      </c>
      <c r="FH501" s="189">
        <v>0</v>
      </c>
      <c r="FI501" s="189">
        <v>0</v>
      </c>
      <c r="FJ501" s="189">
        <v>0</v>
      </c>
      <c r="FK501" s="189">
        <v>149.30000000000001</v>
      </c>
      <c r="FL501" s="189">
        <v>94</v>
      </c>
      <c r="FN501" s="132">
        <v>0</v>
      </c>
    </row>
    <row r="502" spans="1:170" ht="30" customHeight="1">
      <c r="A502" s="88">
        <f>COUNTIF($H$12:H502,H502)</f>
        <v>8</v>
      </c>
      <c r="B502" s="88" t="s">
        <v>151</v>
      </c>
      <c r="C502" s="88" t="s">
        <v>1217</v>
      </c>
      <c r="D502" s="88"/>
      <c r="E502" s="88"/>
      <c r="F502" s="301" t="s">
        <v>1584</v>
      </c>
      <c r="G502" s="89" t="s">
        <v>24</v>
      </c>
      <c r="H502" s="88">
        <v>10</v>
      </c>
      <c r="I502" s="88">
        <v>10</v>
      </c>
      <c r="J502" s="88">
        <v>10</v>
      </c>
      <c r="K502" s="90" t="s">
        <v>1109</v>
      </c>
      <c r="L502" s="90" t="s">
        <v>1109</v>
      </c>
      <c r="M502" s="214"/>
      <c r="N502" s="88" t="s">
        <v>1179</v>
      </c>
      <c r="O502" s="216">
        <f t="shared" si="1574"/>
        <v>3</v>
      </c>
      <c r="P502" s="88" t="str">
        <f t="shared" si="1594"/>
        <v>B11_3</v>
      </c>
      <c r="Q502" s="88">
        <f t="shared" si="1567"/>
        <v>270</v>
      </c>
      <c r="R502" s="88">
        <f t="shared" si="1568"/>
        <v>60</v>
      </c>
      <c r="S502" s="218"/>
      <c r="T502" s="88" t="s">
        <v>3088</v>
      </c>
      <c r="U502" s="88">
        <f>IF(RIGHT(T502,1)="K",(VLOOKUP(T502,ma_miengiam!$A$3:$B$80,2,0)*100)/2,VLOOKUP(T502,ma_miengiam!$A$3:$B$80,2,0)*100)</f>
        <v>0</v>
      </c>
      <c r="V502" s="88"/>
      <c r="W502" s="220">
        <f>IF(AND(T502="NTS",V502&gt;0),(Q502-(Q502*V502)/12)*VLOOKUP(T502,ma_miengiam!$A$3:$B$80,2,0)+(Q502-(Q502*(12-V502))/12),IF(AND(RIGHT(T502,1)="K",V502&gt;0),(VLOOKUP(T502,ma_miengiam!$A$3:$B$80,2,0)/2)*(Q502*V502)/12,IF(RIGHT(T502,1)="K",(VLOOKUP(T502,ma_miengiam!$A$3:$B$80,2,0)*Q502)/2,IF(V502&gt;0,VLOOKUP(T502,ma_miengiam!$A$3:$B$80,2,0)*Q502*V502/12,VLOOKUP(T502,ma_miengiam!$A$3:$B$80,2,0)*Q502))))</f>
        <v>0</v>
      </c>
      <c r="X502" s="220">
        <f>IF(T502="NTS",VLOOKUP(T502,ma_miengiam!$A$3:$B$80,2,0)*R502*V502,IF(AND(T502="NTS",V502=0),0,IF(AND(LEFT(T502,1)="K",V502=0),VLOOKUP(T502,ma_miengiam!$A$3:$B$80,2,0)*R502,IF(LEFT(T502,1)="K",(VLOOKUP(T502,ma_miengiam!$A$3:$B$80,2,0)*R502/12)*V502,IF(AND(LEFT(T502,1)="S",V502&gt;0),(R502/12)*V502,IF(AND(LEFT(T502,1)="S",V502=0),R502,IF(T502="DH",VLOOKUP(T502,ma_miengiam!$A$3:$B$80,2,0)*R502,0)))))))</f>
        <v>0</v>
      </c>
      <c r="Y502" s="220">
        <f t="shared" si="1521"/>
        <v>270</v>
      </c>
      <c r="Z502" s="220">
        <f t="shared" si="1569"/>
        <v>60</v>
      </c>
      <c r="AA502" s="220">
        <f t="shared" si="1602"/>
        <v>270</v>
      </c>
      <c r="AB502" s="220">
        <f t="shared" si="1602"/>
        <v>60</v>
      </c>
      <c r="AC502" s="220">
        <f t="shared" si="1603"/>
        <v>0</v>
      </c>
      <c r="AD502" s="220">
        <f t="shared" si="1603"/>
        <v>0</v>
      </c>
      <c r="AE502" s="220">
        <f t="shared" si="1603"/>
        <v>270</v>
      </c>
      <c r="AF502" s="220">
        <f t="shared" si="1603"/>
        <v>60</v>
      </c>
      <c r="AG502" s="220">
        <f t="shared" si="1604"/>
        <v>95</v>
      </c>
      <c r="AH502" s="220">
        <f t="shared" si="1605"/>
        <v>10</v>
      </c>
      <c r="AI502" s="220">
        <f t="shared" si="1606"/>
        <v>85</v>
      </c>
      <c r="AJ502" s="220">
        <f t="shared" si="1551"/>
        <v>0</v>
      </c>
      <c r="AK502" s="216">
        <f t="shared" si="1454"/>
        <v>270</v>
      </c>
      <c r="AL502" s="220">
        <f t="shared" si="1431"/>
        <v>150.80000000000001</v>
      </c>
      <c r="AM502" s="220">
        <f t="shared" si="1432"/>
        <v>0</v>
      </c>
      <c r="AN502" s="221">
        <f t="shared" si="1433"/>
        <v>150.80000000000001</v>
      </c>
      <c r="AO502" s="220">
        <f t="shared" si="1434"/>
        <v>0</v>
      </c>
      <c r="AP502" s="220">
        <f t="shared" si="1435"/>
        <v>0</v>
      </c>
      <c r="AQ502" s="220">
        <f t="shared" si="1436"/>
        <v>0</v>
      </c>
      <c r="AR502" s="220">
        <f t="shared" si="1437"/>
        <v>0</v>
      </c>
      <c r="AS502" s="220">
        <f t="shared" si="1438"/>
        <v>0</v>
      </c>
      <c r="AT502" s="216">
        <f t="shared" si="1439"/>
        <v>150.80000000000001</v>
      </c>
      <c r="AU502" s="222">
        <f t="shared" si="1447"/>
        <v>-119.19999999999999</v>
      </c>
      <c r="AV502" s="220"/>
      <c r="AW502" s="220">
        <f t="shared" si="1530"/>
        <v>-119.19999999999999</v>
      </c>
      <c r="AX502" s="216">
        <f t="shared" si="1448"/>
        <v>-119.19999999999999</v>
      </c>
      <c r="AY502" s="220">
        <f t="shared" si="1537"/>
        <v>0</v>
      </c>
      <c r="AZ502" s="220">
        <f t="shared" si="1538"/>
        <v>0</v>
      </c>
      <c r="BA502" s="220">
        <f t="shared" si="1539"/>
        <v>0</v>
      </c>
      <c r="BB502" s="220">
        <f t="shared" si="1540"/>
        <v>0</v>
      </c>
      <c r="BC502" s="220">
        <f t="shared" si="1541"/>
        <v>0</v>
      </c>
      <c r="BD502" s="216">
        <f t="shared" si="1599"/>
        <v>0</v>
      </c>
      <c r="BE502" s="220">
        <f t="shared" si="1531"/>
        <v>0</v>
      </c>
      <c r="BF502" s="220">
        <f t="shared" si="1532"/>
        <v>0</v>
      </c>
      <c r="BG502" s="220">
        <f t="shared" si="1533"/>
        <v>0</v>
      </c>
      <c r="BH502" s="220">
        <f t="shared" si="1534"/>
        <v>0</v>
      </c>
      <c r="BI502" s="220">
        <f t="shared" si="1535"/>
        <v>0</v>
      </c>
      <c r="BJ502" s="220" t="s">
        <v>1561</v>
      </c>
      <c r="BK502" s="220"/>
      <c r="BL502" s="223">
        <f t="shared" si="1422"/>
        <v>0</v>
      </c>
      <c r="BM502" s="220">
        <v>3</v>
      </c>
      <c r="BN502" s="220"/>
      <c r="BO502" s="220">
        <f t="shared" si="1607"/>
        <v>3</v>
      </c>
      <c r="BP502" s="220">
        <f>IF(AND(BL502&gt;0,BL502&lt;tiet!$D$1),BL502,IF(BL502&lt;=0,0,IF(BL502&gt;tiet!$C$1,tiet!$C$1)))</f>
        <v>0</v>
      </c>
      <c r="BQ502" s="87">
        <f t="shared" si="1552"/>
        <v>60000</v>
      </c>
      <c r="BR502" s="224">
        <f t="shared" si="1544"/>
        <v>0</v>
      </c>
      <c r="BS502" s="220">
        <f t="shared" si="1478"/>
        <v>0</v>
      </c>
      <c r="BT502" s="224">
        <f>VLOOKUP(N502,ma_dinhmuc!$A$1:$J$31,10,0)</f>
        <v>51000</v>
      </c>
      <c r="BU502" s="224">
        <f>ROUND(IF(BS502&gt;0,VLOOKUP(N502,ma_dinhmuc!$A$1:$J$31,10,0)*BS502,0),0)</f>
        <v>0</v>
      </c>
      <c r="BV502" s="224">
        <f t="shared" si="1545"/>
        <v>0</v>
      </c>
      <c r="BW502" s="224"/>
      <c r="BX502" s="224">
        <v>0</v>
      </c>
      <c r="BY502" s="224"/>
      <c r="BZ502" s="224"/>
      <c r="CA502" s="224"/>
      <c r="CB502" s="224"/>
      <c r="CC502" s="225">
        <f t="shared" si="1595"/>
        <v>0</v>
      </c>
      <c r="CD502" s="224">
        <f t="shared" si="1596"/>
        <v>0</v>
      </c>
      <c r="CE502" s="224"/>
      <c r="CF502" s="226"/>
      <c r="CG502" s="87"/>
      <c r="CH502" s="87">
        <f t="shared" si="1597"/>
        <v>8</v>
      </c>
      <c r="CI502" s="227" t="str">
        <f t="shared" si="1553"/>
        <v>Nguyễn Hữu</v>
      </c>
      <c r="CJ502" s="227" t="str">
        <f t="shared" si="1554"/>
        <v>Hải</v>
      </c>
      <c r="CK502" s="87">
        <f t="shared" si="1592"/>
        <v>10</v>
      </c>
      <c r="CL502" s="227" t="str">
        <f t="shared" si="1608"/>
        <v>Toán</v>
      </c>
      <c r="CM502" s="87" t="str">
        <f t="shared" si="1536"/>
        <v>CB2</v>
      </c>
      <c r="CN502" s="87">
        <f t="shared" si="1600"/>
        <v>270</v>
      </c>
      <c r="CO502" s="87">
        <f t="shared" si="1600"/>
        <v>60</v>
      </c>
      <c r="CP502" s="229">
        <f t="shared" si="1483"/>
        <v>0</v>
      </c>
      <c r="CQ502" s="229">
        <f t="shared" si="1484"/>
        <v>18.600000000000001</v>
      </c>
      <c r="CR502" s="229">
        <f t="shared" si="1485"/>
        <v>7.6</v>
      </c>
      <c r="CS502" s="229">
        <f t="shared" si="1486"/>
        <v>0</v>
      </c>
      <c r="CT502" s="229">
        <f t="shared" si="1487"/>
        <v>0</v>
      </c>
      <c r="CU502" s="229">
        <f t="shared" si="1488"/>
        <v>112.6</v>
      </c>
      <c r="CV502" s="229">
        <f t="shared" si="1489"/>
        <v>0</v>
      </c>
      <c r="CW502" s="229">
        <f t="shared" si="1490"/>
        <v>12</v>
      </c>
      <c r="CX502" s="229">
        <f t="shared" si="1491"/>
        <v>0</v>
      </c>
      <c r="CY502" s="229">
        <f t="shared" si="1492"/>
        <v>0</v>
      </c>
      <c r="CZ502" s="229">
        <f t="shared" si="1493"/>
        <v>0</v>
      </c>
      <c r="DA502" s="229">
        <f t="shared" si="1494"/>
        <v>0</v>
      </c>
      <c r="DB502" s="228">
        <f t="shared" si="1429"/>
        <v>150.80000000000001</v>
      </c>
      <c r="DC502" s="229"/>
      <c r="DD502" s="229"/>
      <c r="DE502" s="229"/>
      <c r="DF502" s="229"/>
      <c r="DG502" s="229"/>
      <c r="DH502" s="229"/>
      <c r="DI502" s="229"/>
      <c r="DJ502" s="229"/>
      <c r="DK502" s="229"/>
      <c r="DL502" s="229"/>
      <c r="DM502" s="229"/>
      <c r="DN502" s="229"/>
      <c r="DO502" s="228">
        <f t="shared" si="1440"/>
        <v>0</v>
      </c>
      <c r="DP502" s="228">
        <f t="shared" si="1441"/>
        <v>150.80000000000001</v>
      </c>
      <c r="DQ502" s="229">
        <f t="shared" si="1495"/>
        <v>0</v>
      </c>
      <c r="DR502" s="229">
        <f t="shared" si="1496"/>
        <v>0</v>
      </c>
      <c r="DS502" s="229">
        <f t="shared" si="1497"/>
        <v>0</v>
      </c>
      <c r="DT502" s="229">
        <f t="shared" si="1498"/>
        <v>0</v>
      </c>
      <c r="DU502" s="229">
        <f t="shared" si="1499"/>
        <v>0</v>
      </c>
      <c r="DV502" s="229">
        <f t="shared" si="1500"/>
        <v>0</v>
      </c>
      <c r="DW502" s="229">
        <f t="shared" si="1501"/>
        <v>0</v>
      </c>
      <c r="DX502" s="228">
        <f t="shared" si="1430"/>
        <v>0</v>
      </c>
      <c r="DY502" s="229"/>
      <c r="DZ502" s="229"/>
      <c r="EA502" s="229"/>
      <c r="EB502" s="229"/>
      <c r="EC502" s="229"/>
      <c r="ED502" s="229"/>
      <c r="EE502" s="229"/>
      <c r="EF502" s="228">
        <f t="shared" si="1480"/>
        <v>0</v>
      </c>
      <c r="EG502" s="228">
        <f t="shared" si="1442"/>
        <v>0</v>
      </c>
      <c r="EH502" s="229">
        <f t="shared" si="1481"/>
        <v>85</v>
      </c>
      <c r="EI502" s="229">
        <v>10</v>
      </c>
      <c r="EJ502" s="228">
        <f t="shared" si="1443"/>
        <v>95</v>
      </c>
      <c r="EK502" s="229"/>
      <c r="EL502" s="229"/>
      <c r="EM502" s="228">
        <f t="shared" si="1598"/>
        <v>0</v>
      </c>
      <c r="EN502" s="229">
        <f t="shared" si="1591"/>
        <v>85</v>
      </c>
      <c r="EO502" s="229">
        <f t="shared" si="1451"/>
        <v>10</v>
      </c>
      <c r="EP502" s="228">
        <f t="shared" si="1601"/>
        <v>95</v>
      </c>
      <c r="EQ502" s="173">
        <f t="shared" si="1479"/>
        <v>25</v>
      </c>
      <c r="ER502" s="189">
        <v>0</v>
      </c>
      <c r="ES502" s="189">
        <v>18.600000000000001</v>
      </c>
      <c r="ET502" s="189">
        <v>7.6</v>
      </c>
      <c r="EU502" s="189">
        <v>0</v>
      </c>
      <c r="EV502" s="189">
        <v>0</v>
      </c>
      <c r="EW502" s="189">
        <v>112.6</v>
      </c>
      <c r="EX502" s="189">
        <v>0</v>
      </c>
      <c r="EY502" s="189">
        <v>12</v>
      </c>
      <c r="EZ502" s="189">
        <v>0</v>
      </c>
      <c r="FA502" s="189">
        <v>0</v>
      </c>
      <c r="FB502" s="189">
        <v>0</v>
      </c>
      <c r="FC502" s="189">
        <v>0</v>
      </c>
      <c r="FD502" s="189">
        <v>0</v>
      </c>
      <c r="FE502" s="189">
        <v>0</v>
      </c>
      <c r="FF502" s="189">
        <v>0</v>
      </c>
      <c r="FG502" s="189">
        <v>0</v>
      </c>
      <c r="FH502" s="189">
        <v>0</v>
      </c>
      <c r="FI502" s="189">
        <v>0</v>
      </c>
      <c r="FJ502" s="189">
        <v>0</v>
      </c>
      <c r="FK502" s="189">
        <v>150.80000000000001</v>
      </c>
      <c r="FL502" s="189">
        <v>111</v>
      </c>
      <c r="FN502" s="132">
        <v>85</v>
      </c>
    </row>
    <row r="503" spans="1:170" ht="30" customHeight="1">
      <c r="A503" s="88">
        <f>COUNTIF($H$12:H503,H503)</f>
        <v>9</v>
      </c>
      <c r="B503" s="88" t="s">
        <v>152</v>
      </c>
      <c r="C503" s="88" t="s">
        <v>1218</v>
      </c>
      <c r="D503" s="88"/>
      <c r="E503" s="88"/>
      <c r="F503" s="301" t="s">
        <v>3038</v>
      </c>
      <c r="G503" s="89" t="s">
        <v>8</v>
      </c>
      <c r="H503" s="88">
        <v>10</v>
      </c>
      <c r="I503" s="88">
        <v>10</v>
      </c>
      <c r="J503" s="88">
        <v>10</v>
      </c>
      <c r="K503" s="90" t="s">
        <v>1109</v>
      </c>
      <c r="L503" s="90" t="s">
        <v>1109</v>
      </c>
      <c r="M503" s="214"/>
      <c r="N503" s="88" t="s">
        <v>1179</v>
      </c>
      <c r="O503" s="216">
        <f t="shared" si="1574"/>
        <v>3</v>
      </c>
      <c r="P503" s="88" t="str">
        <f t="shared" si="1594"/>
        <v>B11_3</v>
      </c>
      <c r="Q503" s="88">
        <f t="shared" si="1567"/>
        <v>270</v>
      </c>
      <c r="R503" s="88">
        <f t="shared" si="1568"/>
        <v>60</v>
      </c>
      <c r="S503" s="218"/>
      <c r="T503" s="88" t="s">
        <v>3088</v>
      </c>
      <c r="U503" s="88">
        <f>IF(RIGHT(T503,1)="K",(VLOOKUP(T503,ma_miengiam!$A$3:$B$80,2,0)*100)/2,VLOOKUP(T503,ma_miengiam!$A$3:$B$80,2,0)*100)</f>
        <v>0</v>
      </c>
      <c r="V503" s="88"/>
      <c r="W503" s="220">
        <f>IF(AND(T503="NTS",V503&gt;0),(Q503-(Q503*V503)/12)*VLOOKUP(T503,ma_miengiam!$A$3:$B$80,2,0)+(Q503-(Q503*(12-V503))/12),IF(AND(RIGHT(T503,1)="K",V503&gt;0),(VLOOKUP(T503,ma_miengiam!$A$3:$B$80,2,0)/2)*(Q503*V503)/12,IF(RIGHT(T503,1)="K",(VLOOKUP(T503,ma_miengiam!$A$3:$B$80,2,0)*Q503)/2,IF(V503&gt;0,VLOOKUP(T503,ma_miengiam!$A$3:$B$80,2,0)*Q503*V503/12,VLOOKUP(T503,ma_miengiam!$A$3:$B$80,2,0)*Q503))))</f>
        <v>0</v>
      </c>
      <c r="X503" s="220">
        <f>IF(T503="NTS",VLOOKUP(T503,ma_miengiam!$A$3:$B$80,2,0)*R503*V503,IF(AND(T503="NTS",V503=0),0,IF(AND(LEFT(T503,1)="K",V503=0),VLOOKUP(T503,ma_miengiam!$A$3:$B$80,2,0)*R503,IF(LEFT(T503,1)="K",(VLOOKUP(T503,ma_miengiam!$A$3:$B$80,2,0)*R503/12)*V503,IF(AND(LEFT(T503,1)="S",V503&gt;0),(R503/12)*V503,IF(AND(LEFT(T503,1)="S",V503=0),R503,IF(T503="DH",VLOOKUP(T503,ma_miengiam!$A$3:$B$80,2,0)*R503,0)))))))</f>
        <v>0</v>
      </c>
      <c r="Y503" s="220">
        <f t="shared" si="1521"/>
        <v>270</v>
      </c>
      <c r="Z503" s="220">
        <f t="shared" si="1569"/>
        <v>60</v>
      </c>
      <c r="AA503" s="220">
        <f t="shared" si="1602"/>
        <v>270</v>
      </c>
      <c r="AB503" s="220">
        <f t="shared" si="1602"/>
        <v>60</v>
      </c>
      <c r="AC503" s="220">
        <f t="shared" si="1603"/>
        <v>0</v>
      </c>
      <c r="AD503" s="220">
        <f t="shared" si="1603"/>
        <v>0</v>
      </c>
      <c r="AE503" s="220">
        <f t="shared" si="1603"/>
        <v>270</v>
      </c>
      <c r="AF503" s="220">
        <f t="shared" si="1603"/>
        <v>60</v>
      </c>
      <c r="AG503" s="220">
        <f t="shared" si="1604"/>
        <v>0</v>
      </c>
      <c r="AH503" s="220">
        <f t="shared" si="1605"/>
        <v>0</v>
      </c>
      <c r="AI503" s="220">
        <f t="shared" si="1606"/>
        <v>0</v>
      </c>
      <c r="AJ503" s="220">
        <f t="shared" si="1551"/>
        <v>-60</v>
      </c>
      <c r="AK503" s="216">
        <f t="shared" si="1454"/>
        <v>330</v>
      </c>
      <c r="AL503" s="220">
        <f t="shared" si="1431"/>
        <v>206.7</v>
      </c>
      <c r="AM503" s="220">
        <f t="shared" si="1432"/>
        <v>0</v>
      </c>
      <c r="AN503" s="221">
        <f t="shared" si="1433"/>
        <v>206.7</v>
      </c>
      <c r="AO503" s="220">
        <f t="shared" si="1434"/>
        <v>0</v>
      </c>
      <c r="AP503" s="220">
        <f t="shared" si="1435"/>
        <v>0</v>
      </c>
      <c r="AQ503" s="220">
        <f t="shared" si="1436"/>
        <v>0</v>
      </c>
      <c r="AR503" s="220">
        <f t="shared" si="1437"/>
        <v>0</v>
      </c>
      <c r="AS503" s="220">
        <f t="shared" si="1438"/>
        <v>0</v>
      </c>
      <c r="AT503" s="216">
        <f t="shared" si="1439"/>
        <v>206.7</v>
      </c>
      <c r="AU503" s="222">
        <f>AN503-AK503</f>
        <v>-123.30000000000001</v>
      </c>
      <c r="AV503" s="220"/>
      <c r="AW503" s="220">
        <f t="shared" si="1530"/>
        <v>-123.30000000000001</v>
      </c>
      <c r="AX503" s="216">
        <f t="shared" si="1448"/>
        <v>-123.30000000000001</v>
      </c>
      <c r="AY503" s="220">
        <f t="shared" si="1537"/>
        <v>0</v>
      </c>
      <c r="AZ503" s="220">
        <f t="shared" si="1538"/>
        <v>0</v>
      </c>
      <c r="BA503" s="220">
        <f t="shared" si="1539"/>
        <v>0</v>
      </c>
      <c r="BB503" s="220">
        <f t="shared" si="1540"/>
        <v>0</v>
      </c>
      <c r="BC503" s="220">
        <f t="shared" si="1541"/>
        <v>0</v>
      </c>
      <c r="BD503" s="216">
        <f t="shared" si="1599"/>
        <v>0</v>
      </c>
      <c r="BE503" s="220">
        <f t="shared" si="1531"/>
        <v>0</v>
      </c>
      <c r="BF503" s="220">
        <f t="shared" si="1532"/>
        <v>0</v>
      </c>
      <c r="BG503" s="220">
        <f t="shared" si="1533"/>
        <v>0</v>
      </c>
      <c r="BH503" s="220">
        <f t="shared" si="1534"/>
        <v>0</v>
      </c>
      <c r="BI503" s="220">
        <f t="shared" si="1535"/>
        <v>0</v>
      </c>
      <c r="BJ503" s="220" t="s">
        <v>1561</v>
      </c>
      <c r="BK503" s="220"/>
      <c r="BL503" s="223">
        <f t="shared" ref="BL503:BL545" si="1609">IF(AW503&lt;BK503,0,IF(AND(BK503=0,AW503&gt;0),AW503,IF(AW503&lt;0,0,IF(BK503&gt;0,AW503-BK503,IF(BK503&lt;0,0,AW503)))))</f>
        <v>0</v>
      </c>
      <c r="BM503" s="220">
        <v>3</v>
      </c>
      <c r="BN503" s="220"/>
      <c r="BO503" s="220">
        <f t="shared" si="1607"/>
        <v>3</v>
      </c>
      <c r="BP503" s="220">
        <f>IF(AND(BL503&gt;0,BL503&lt;tiet!$D$1),BL503,IF(BL503&lt;=0,0,IF(BL503&gt;tiet!$C$1,tiet!$C$1)))</f>
        <v>0</v>
      </c>
      <c r="BQ503" s="87">
        <f t="shared" si="1552"/>
        <v>60000</v>
      </c>
      <c r="BR503" s="224">
        <f t="shared" si="1544"/>
        <v>0</v>
      </c>
      <c r="BS503" s="220">
        <f t="shared" si="1478"/>
        <v>0</v>
      </c>
      <c r="BT503" s="224">
        <f>VLOOKUP(N503,ma_dinhmuc!$A$1:$J$31,10,0)</f>
        <v>51000</v>
      </c>
      <c r="BU503" s="224">
        <f>ROUND(IF(BS503&gt;0,VLOOKUP(N503,ma_dinhmuc!$A$1:$J$31,10,0)*BS503,0),0)</f>
        <v>0</v>
      </c>
      <c r="BV503" s="224">
        <f t="shared" si="1545"/>
        <v>0</v>
      </c>
      <c r="BW503" s="224"/>
      <c r="BX503" s="224">
        <v>0</v>
      </c>
      <c r="BY503" s="224"/>
      <c r="BZ503" s="224"/>
      <c r="CA503" s="224"/>
      <c r="CB503" s="224"/>
      <c r="CC503" s="225">
        <f t="shared" si="1595"/>
        <v>0</v>
      </c>
      <c r="CD503" s="224">
        <f t="shared" si="1596"/>
        <v>0</v>
      </c>
      <c r="CE503" s="224"/>
      <c r="CF503" s="226"/>
      <c r="CG503" s="87"/>
      <c r="CH503" s="87">
        <f t="shared" si="1597"/>
        <v>9</v>
      </c>
      <c r="CI503" s="227" t="str">
        <f t="shared" si="1553"/>
        <v>Thân Ngọc</v>
      </c>
      <c r="CJ503" s="227" t="str">
        <f t="shared" si="1554"/>
        <v>Thành</v>
      </c>
      <c r="CK503" s="87">
        <f t="shared" si="1592"/>
        <v>10</v>
      </c>
      <c r="CL503" s="227" t="str">
        <f t="shared" si="1608"/>
        <v>Toán</v>
      </c>
      <c r="CM503" s="87" t="str">
        <f t="shared" si="1536"/>
        <v>CB2</v>
      </c>
      <c r="CN503" s="87">
        <f t="shared" si="1600"/>
        <v>270</v>
      </c>
      <c r="CO503" s="87">
        <f t="shared" si="1600"/>
        <v>60</v>
      </c>
      <c r="CP503" s="229">
        <f t="shared" si="1483"/>
        <v>0</v>
      </c>
      <c r="CQ503" s="229">
        <f t="shared" si="1484"/>
        <v>23.6</v>
      </c>
      <c r="CR503" s="229">
        <f t="shared" si="1485"/>
        <v>9.5</v>
      </c>
      <c r="CS503" s="229">
        <f t="shared" si="1486"/>
        <v>0</v>
      </c>
      <c r="CT503" s="229">
        <f t="shared" si="1487"/>
        <v>0</v>
      </c>
      <c r="CU503" s="229">
        <f t="shared" si="1488"/>
        <v>173.6</v>
      </c>
      <c r="CV503" s="229">
        <f t="shared" si="1489"/>
        <v>0</v>
      </c>
      <c r="CW503" s="229">
        <f t="shared" si="1490"/>
        <v>0</v>
      </c>
      <c r="CX503" s="229">
        <f t="shared" si="1491"/>
        <v>0</v>
      </c>
      <c r="CY503" s="229">
        <f t="shared" si="1492"/>
        <v>0</v>
      </c>
      <c r="CZ503" s="229">
        <f t="shared" si="1493"/>
        <v>0</v>
      </c>
      <c r="DA503" s="229">
        <f t="shared" si="1494"/>
        <v>0</v>
      </c>
      <c r="DB503" s="228">
        <f t="shared" si="1429"/>
        <v>206.7</v>
      </c>
      <c r="DC503" s="229"/>
      <c r="DD503" s="229"/>
      <c r="DE503" s="229"/>
      <c r="DF503" s="229"/>
      <c r="DG503" s="229"/>
      <c r="DH503" s="229"/>
      <c r="DI503" s="229"/>
      <c r="DJ503" s="229"/>
      <c r="DK503" s="229"/>
      <c r="DL503" s="229"/>
      <c r="DM503" s="229"/>
      <c r="DN503" s="229"/>
      <c r="DO503" s="228">
        <f t="shared" si="1440"/>
        <v>0</v>
      </c>
      <c r="DP503" s="228">
        <f t="shared" si="1441"/>
        <v>206.7</v>
      </c>
      <c r="DQ503" s="229">
        <f t="shared" si="1495"/>
        <v>0</v>
      </c>
      <c r="DR503" s="229">
        <f t="shared" si="1496"/>
        <v>0</v>
      </c>
      <c r="DS503" s="229">
        <f t="shared" si="1497"/>
        <v>0</v>
      </c>
      <c r="DT503" s="229">
        <f t="shared" si="1498"/>
        <v>0</v>
      </c>
      <c r="DU503" s="229">
        <f t="shared" si="1499"/>
        <v>0</v>
      </c>
      <c r="DV503" s="229">
        <f t="shared" si="1500"/>
        <v>0</v>
      </c>
      <c r="DW503" s="229">
        <f t="shared" si="1501"/>
        <v>0</v>
      </c>
      <c r="DX503" s="228">
        <f t="shared" si="1430"/>
        <v>0</v>
      </c>
      <c r="DY503" s="229"/>
      <c r="DZ503" s="229"/>
      <c r="EA503" s="229"/>
      <c r="EB503" s="229"/>
      <c r="EC503" s="229"/>
      <c r="ED503" s="229"/>
      <c r="EE503" s="229"/>
      <c r="EF503" s="228">
        <f t="shared" si="1480"/>
        <v>0</v>
      </c>
      <c r="EG503" s="228">
        <f t="shared" si="1442"/>
        <v>0</v>
      </c>
      <c r="EH503" s="229">
        <f t="shared" si="1481"/>
        <v>0</v>
      </c>
      <c r="EI503" s="229">
        <v>0</v>
      </c>
      <c r="EJ503" s="228">
        <f t="shared" si="1443"/>
        <v>0</v>
      </c>
      <c r="EK503" s="229"/>
      <c r="EL503" s="229"/>
      <c r="EM503" s="228">
        <f t="shared" si="1598"/>
        <v>0</v>
      </c>
      <c r="EN503" s="229">
        <f t="shared" si="1591"/>
        <v>0</v>
      </c>
      <c r="EO503" s="229">
        <f t="shared" ref="EO503:EO548" si="1610">EI503</f>
        <v>0</v>
      </c>
      <c r="EP503" s="228">
        <f t="shared" si="1601"/>
        <v>0</v>
      </c>
      <c r="EQ503" s="173">
        <f t="shared" si="1479"/>
        <v>0</v>
      </c>
      <c r="ER503" s="189">
        <v>0</v>
      </c>
      <c r="ES503" s="189">
        <v>23.6</v>
      </c>
      <c r="ET503" s="189">
        <v>9.5</v>
      </c>
      <c r="EU503" s="189">
        <v>0</v>
      </c>
      <c r="EV503" s="189">
        <v>0</v>
      </c>
      <c r="EW503" s="189">
        <v>173.6</v>
      </c>
      <c r="EX503" s="189">
        <v>0</v>
      </c>
      <c r="EY503" s="189">
        <v>0</v>
      </c>
      <c r="EZ503" s="189">
        <v>0</v>
      </c>
      <c r="FA503" s="189">
        <v>0</v>
      </c>
      <c r="FB503" s="189">
        <v>0</v>
      </c>
      <c r="FC503" s="189">
        <v>0</v>
      </c>
      <c r="FD503" s="189">
        <v>0</v>
      </c>
      <c r="FE503" s="189">
        <v>0</v>
      </c>
      <c r="FF503" s="189">
        <v>0</v>
      </c>
      <c r="FG503" s="189">
        <v>0</v>
      </c>
      <c r="FH503" s="189">
        <v>0</v>
      </c>
      <c r="FI503" s="189">
        <v>0</v>
      </c>
      <c r="FJ503" s="189">
        <v>0</v>
      </c>
      <c r="FK503" s="189">
        <v>206.7</v>
      </c>
      <c r="FL503" s="189">
        <v>141</v>
      </c>
      <c r="FN503" s="132">
        <v>0</v>
      </c>
    </row>
    <row r="504" spans="1:170" ht="30" customHeight="1">
      <c r="A504" s="88">
        <f>COUNTIF($H$12:H504,H504)</f>
        <v>10</v>
      </c>
      <c r="B504" s="88" t="s">
        <v>153</v>
      </c>
      <c r="C504" s="88" t="s">
        <v>1219</v>
      </c>
      <c r="D504" s="88"/>
      <c r="E504" s="88"/>
      <c r="F504" s="301" t="s">
        <v>2895</v>
      </c>
      <c r="G504" s="89" t="s">
        <v>1600</v>
      </c>
      <c r="H504" s="88">
        <v>10</v>
      </c>
      <c r="I504" s="88">
        <v>10</v>
      </c>
      <c r="J504" s="88">
        <v>10</v>
      </c>
      <c r="K504" s="90" t="s">
        <v>1109</v>
      </c>
      <c r="L504" s="90" t="s">
        <v>1109</v>
      </c>
      <c r="M504" s="214"/>
      <c r="N504" s="88" t="s">
        <v>1179</v>
      </c>
      <c r="O504" s="216">
        <f t="shared" ref="O504:O510" si="1611">BO504</f>
        <v>3.66</v>
      </c>
      <c r="P504" s="88" t="str">
        <f t="shared" si="1594"/>
        <v>B11_4</v>
      </c>
      <c r="Q504" s="88">
        <f t="shared" si="1567"/>
        <v>270</v>
      </c>
      <c r="R504" s="88">
        <f t="shared" si="1568"/>
        <v>80</v>
      </c>
      <c r="S504" s="218" t="s">
        <v>686</v>
      </c>
      <c r="T504" s="88" t="s">
        <v>3092</v>
      </c>
      <c r="U504" s="88">
        <f>IF(RIGHT(T504,1)="K",(VLOOKUP(T504,ma_miengiam!$A$3:$B$80,2,0)*100)/2,VLOOKUP(T504,ma_miengiam!$A$3:$B$80,2,0)*100)</f>
        <v>25</v>
      </c>
      <c r="V504" s="88"/>
      <c r="W504" s="220">
        <f>IF(AND(T504="NTS",V504&gt;0),(Q504-(Q504*V504)/12)*VLOOKUP(T504,ma_miengiam!$A$3:$B$80,2,0)+(Q504-(Q504*(12-V504))/12),IF(AND(RIGHT(T504,1)="K",V504&gt;0),(VLOOKUP(T504,ma_miengiam!$A$3:$B$80,2,0)/2)*(Q504*V504)/12,IF(RIGHT(T504,1)="K",(VLOOKUP(T504,ma_miengiam!$A$3:$B$80,2,0)*Q504)/2,IF(V504&gt;0,VLOOKUP(T504,ma_miengiam!$A$3:$B$80,2,0)*Q504*V504/12,VLOOKUP(T504,ma_miengiam!$A$3:$B$80,2,0)*Q504))))</f>
        <v>67.5</v>
      </c>
      <c r="X504" s="220">
        <f>IF(T504="NTS",VLOOKUP(T504,ma_miengiam!$A$3:$B$80,2,0)*R504*V504,IF(AND(T504="NTS",V504=0),0,IF(AND(LEFT(T504,1)="K",V504=0),VLOOKUP(T504,ma_miengiam!$A$3:$B$80,2,0)*R504,IF(LEFT(T504,1)="K",(VLOOKUP(T504,ma_miengiam!$A$3:$B$80,2,0)*R504/12)*V504,IF(AND(LEFT(T504,1)="S",V504&gt;0),(R504/12)*V504,IF(AND(LEFT(T504,1)="S",V504=0),R504,IF(T504="DH",VLOOKUP(T504,ma_miengiam!$A$3:$B$80,2,0)*R504,0)))))))</f>
        <v>0</v>
      </c>
      <c r="Y504" s="220">
        <f t="shared" si="1521"/>
        <v>202.5</v>
      </c>
      <c r="Z504" s="220">
        <f t="shared" si="1569"/>
        <v>80</v>
      </c>
      <c r="AA504" s="220">
        <f>Q504</f>
        <v>270</v>
      </c>
      <c r="AB504" s="220">
        <f>R504</f>
        <v>80</v>
      </c>
      <c r="AC504" s="220">
        <f t="shared" ref="AC504:AF505" si="1612">W504</f>
        <v>67.5</v>
      </c>
      <c r="AD504" s="220">
        <f t="shared" si="1612"/>
        <v>0</v>
      </c>
      <c r="AE504" s="220">
        <f t="shared" si="1612"/>
        <v>202.5</v>
      </c>
      <c r="AF504" s="220">
        <f t="shared" si="1612"/>
        <v>80</v>
      </c>
      <c r="AG504" s="220">
        <f t="shared" si="1604"/>
        <v>187.6</v>
      </c>
      <c r="AH504" s="220">
        <f t="shared" si="1605"/>
        <v>9.9999999999994316E-2</v>
      </c>
      <c r="AI504" s="220">
        <f t="shared" si="1606"/>
        <v>187.5</v>
      </c>
      <c r="AJ504" s="220">
        <f t="shared" ref="AJ504:AJ510" si="1613">IF(AG504-Z504&gt;0,0,AG504-Z504)</f>
        <v>0</v>
      </c>
      <c r="AK504" s="216">
        <f t="shared" si="1454"/>
        <v>202.5</v>
      </c>
      <c r="AL504" s="220">
        <f t="shared" si="1431"/>
        <v>198.6</v>
      </c>
      <c r="AM504" s="220">
        <f t="shared" si="1432"/>
        <v>0</v>
      </c>
      <c r="AN504" s="221">
        <f t="shared" si="1433"/>
        <v>198.6</v>
      </c>
      <c r="AO504" s="220">
        <f t="shared" si="1434"/>
        <v>0</v>
      </c>
      <c r="AP504" s="220">
        <f t="shared" si="1435"/>
        <v>0</v>
      </c>
      <c r="AQ504" s="220">
        <f t="shared" si="1436"/>
        <v>0</v>
      </c>
      <c r="AR504" s="220">
        <f t="shared" si="1437"/>
        <v>0</v>
      </c>
      <c r="AS504" s="220">
        <f t="shared" si="1438"/>
        <v>0</v>
      </c>
      <c r="AT504" s="216">
        <f t="shared" si="1439"/>
        <v>198.6</v>
      </c>
      <c r="AU504" s="222">
        <f>AN504-AK504</f>
        <v>-3.9000000000000057</v>
      </c>
      <c r="AV504" s="220"/>
      <c r="AW504" s="220">
        <f t="shared" si="1530"/>
        <v>-3.9000000000000057</v>
      </c>
      <c r="AX504" s="216">
        <f t="shared" si="1448"/>
        <v>-3.9000000000000057</v>
      </c>
      <c r="AY504" s="220">
        <f t="shared" si="1537"/>
        <v>0</v>
      </c>
      <c r="AZ504" s="220">
        <f t="shared" si="1538"/>
        <v>0</v>
      </c>
      <c r="BA504" s="220">
        <f t="shared" si="1539"/>
        <v>0</v>
      </c>
      <c r="BB504" s="220">
        <f t="shared" si="1540"/>
        <v>0</v>
      </c>
      <c r="BC504" s="220">
        <f t="shared" si="1541"/>
        <v>0</v>
      </c>
      <c r="BD504" s="216">
        <f t="shared" si="1599"/>
        <v>0</v>
      </c>
      <c r="BE504" s="220">
        <f t="shared" si="1531"/>
        <v>0</v>
      </c>
      <c r="BF504" s="220">
        <f t="shared" si="1532"/>
        <v>0</v>
      </c>
      <c r="BG504" s="220">
        <f t="shared" si="1533"/>
        <v>0</v>
      </c>
      <c r="BH504" s="220">
        <f t="shared" si="1534"/>
        <v>0</v>
      </c>
      <c r="BI504" s="220">
        <f t="shared" si="1535"/>
        <v>0</v>
      </c>
      <c r="BJ504" s="220" t="s">
        <v>1561</v>
      </c>
      <c r="BK504" s="220"/>
      <c r="BL504" s="223">
        <f t="shared" si="1609"/>
        <v>0</v>
      </c>
      <c r="BM504" s="220">
        <v>3.66</v>
      </c>
      <c r="BN504" s="220"/>
      <c r="BO504" s="220">
        <f t="shared" si="1607"/>
        <v>3.66</v>
      </c>
      <c r="BP504" s="220">
        <f>IF(AND(BL504&gt;0,BL504&lt;tiet!$D$1),BL504,IF(BL504&lt;=0,0,IF(BL504&gt;tiet!$C$1,tiet!$C$1)))</f>
        <v>0</v>
      </c>
      <c r="BQ504" s="87">
        <f t="shared" ref="BQ504:BQ510" si="1614">VLOOKUP(P504,ma_dinhmuc_moi,4,0)</f>
        <v>65000</v>
      </c>
      <c r="BR504" s="224">
        <f t="shared" ref="BR504:BR510" si="1615">ROUND(BQ504*BP504,0)</f>
        <v>0</v>
      </c>
      <c r="BS504" s="220">
        <f t="shared" si="1478"/>
        <v>0</v>
      </c>
      <c r="BT504" s="224">
        <f>VLOOKUP(N504,ma_dinhmuc!$A$1:$J$31,10,0)</f>
        <v>51000</v>
      </c>
      <c r="BU504" s="224">
        <f>ROUND(IF(BS504&gt;0,VLOOKUP(N504,ma_dinhmuc!$A$1:$J$31,10,0)*BS504,0),0)</f>
        <v>0</v>
      </c>
      <c r="BV504" s="224">
        <f t="shared" ref="BV504:BV510" si="1616">ROUND(BU504+BR504,0)</f>
        <v>0</v>
      </c>
      <c r="BW504" s="224"/>
      <c r="BX504" s="224">
        <v>0</v>
      </c>
      <c r="BY504" s="224"/>
      <c r="BZ504" s="224"/>
      <c r="CA504" s="224"/>
      <c r="CB504" s="224"/>
      <c r="CC504" s="225">
        <f t="shared" si="1595"/>
        <v>0</v>
      </c>
      <c r="CD504" s="224">
        <f t="shared" si="1596"/>
        <v>0</v>
      </c>
      <c r="CE504" s="224"/>
      <c r="CF504" s="226"/>
      <c r="CG504" s="87"/>
      <c r="CH504" s="87">
        <f t="shared" ref="CH504:CH518" si="1617">A504</f>
        <v>10</v>
      </c>
      <c r="CI504" s="227" t="str">
        <f t="shared" ref="CI504:CK505" si="1618">F504</f>
        <v>Nguyễn Văn</v>
      </c>
      <c r="CJ504" s="227" t="str">
        <f t="shared" si="1618"/>
        <v>Hạnh</v>
      </c>
      <c r="CK504" s="87">
        <f t="shared" si="1618"/>
        <v>10</v>
      </c>
      <c r="CL504" s="227" t="str">
        <f t="shared" si="1608"/>
        <v>Toán</v>
      </c>
      <c r="CM504" s="87" t="str">
        <f t="shared" si="1536"/>
        <v>CB2</v>
      </c>
      <c r="CN504" s="87">
        <f t="shared" ref="CN504:CO508" si="1619">Q504</f>
        <v>270</v>
      </c>
      <c r="CO504" s="87">
        <f t="shared" si="1619"/>
        <v>80</v>
      </c>
      <c r="CP504" s="229">
        <f t="shared" si="1483"/>
        <v>0</v>
      </c>
      <c r="CQ504" s="229">
        <f t="shared" si="1484"/>
        <v>10.4</v>
      </c>
      <c r="CR504" s="229">
        <f t="shared" si="1485"/>
        <v>4.2</v>
      </c>
      <c r="CS504" s="229">
        <f t="shared" si="1486"/>
        <v>0</v>
      </c>
      <c r="CT504" s="229">
        <f t="shared" si="1487"/>
        <v>0</v>
      </c>
      <c r="CU504" s="229">
        <f t="shared" si="1488"/>
        <v>134</v>
      </c>
      <c r="CV504" s="229">
        <f t="shared" si="1489"/>
        <v>0</v>
      </c>
      <c r="CW504" s="229">
        <f t="shared" si="1490"/>
        <v>50</v>
      </c>
      <c r="CX504" s="229">
        <f t="shared" si="1491"/>
        <v>0</v>
      </c>
      <c r="CY504" s="229">
        <f t="shared" si="1492"/>
        <v>0</v>
      </c>
      <c r="CZ504" s="229">
        <f t="shared" si="1493"/>
        <v>0</v>
      </c>
      <c r="DA504" s="229">
        <f t="shared" si="1494"/>
        <v>0</v>
      </c>
      <c r="DB504" s="228">
        <f t="shared" si="1429"/>
        <v>198.6</v>
      </c>
      <c r="DC504" s="229"/>
      <c r="DD504" s="229"/>
      <c r="DE504" s="229"/>
      <c r="DF504" s="229"/>
      <c r="DG504" s="229"/>
      <c r="DH504" s="229"/>
      <c r="DI504" s="229"/>
      <c r="DJ504" s="229"/>
      <c r="DK504" s="229"/>
      <c r="DL504" s="229"/>
      <c r="DM504" s="229"/>
      <c r="DN504" s="229"/>
      <c r="DO504" s="228">
        <f t="shared" si="1440"/>
        <v>0</v>
      </c>
      <c r="DP504" s="228">
        <f t="shared" si="1441"/>
        <v>198.6</v>
      </c>
      <c r="DQ504" s="229">
        <f t="shared" si="1495"/>
        <v>0</v>
      </c>
      <c r="DR504" s="229">
        <f t="shared" si="1496"/>
        <v>0</v>
      </c>
      <c r="DS504" s="229">
        <f t="shared" si="1497"/>
        <v>0</v>
      </c>
      <c r="DT504" s="229">
        <f t="shared" si="1498"/>
        <v>0</v>
      </c>
      <c r="DU504" s="229">
        <f t="shared" si="1499"/>
        <v>0</v>
      </c>
      <c r="DV504" s="229">
        <f t="shared" si="1500"/>
        <v>0</v>
      </c>
      <c r="DW504" s="229">
        <f t="shared" si="1501"/>
        <v>0</v>
      </c>
      <c r="DX504" s="228">
        <f t="shared" si="1430"/>
        <v>0</v>
      </c>
      <c r="DY504" s="229"/>
      <c r="DZ504" s="229"/>
      <c r="EA504" s="229"/>
      <c r="EB504" s="229"/>
      <c r="EC504" s="229"/>
      <c r="ED504" s="229"/>
      <c r="EE504" s="229"/>
      <c r="EF504" s="228">
        <f t="shared" si="1480"/>
        <v>0</v>
      </c>
      <c r="EG504" s="228">
        <f t="shared" si="1442"/>
        <v>0</v>
      </c>
      <c r="EH504" s="229">
        <f t="shared" si="1481"/>
        <v>187.5</v>
      </c>
      <c r="EI504" s="229">
        <v>9.9999999999994316E-2</v>
      </c>
      <c r="EJ504" s="228">
        <f t="shared" ref="EJ504:EJ535" si="1620">SUM(EH504:EI504)</f>
        <v>187.6</v>
      </c>
      <c r="EK504" s="229"/>
      <c r="EL504" s="229"/>
      <c r="EM504" s="228">
        <f t="shared" si="1598"/>
        <v>0</v>
      </c>
      <c r="EN504" s="229">
        <f t="shared" si="1591"/>
        <v>187.5</v>
      </c>
      <c r="EO504" s="229">
        <f t="shared" si="1610"/>
        <v>9.9999999999994316E-2</v>
      </c>
      <c r="EP504" s="228">
        <f t="shared" si="1601"/>
        <v>187.6</v>
      </c>
      <c r="EQ504" s="173">
        <f t="shared" si="1479"/>
        <v>107.5</v>
      </c>
      <c r="ER504" s="189">
        <v>0</v>
      </c>
      <c r="ES504" s="189">
        <v>10.4</v>
      </c>
      <c r="ET504" s="189">
        <v>4.2</v>
      </c>
      <c r="EU504" s="189">
        <v>0</v>
      </c>
      <c r="EV504" s="189">
        <v>0</v>
      </c>
      <c r="EW504" s="189">
        <v>134</v>
      </c>
      <c r="EX504" s="189">
        <v>0</v>
      </c>
      <c r="EY504" s="189">
        <v>50</v>
      </c>
      <c r="EZ504" s="189">
        <v>0</v>
      </c>
      <c r="FA504" s="189">
        <v>0</v>
      </c>
      <c r="FB504" s="189">
        <v>0</v>
      </c>
      <c r="FC504" s="189">
        <v>0</v>
      </c>
      <c r="FD504" s="189">
        <v>0</v>
      </c>
      <c r="FE504" s="189">
        <v>0</v>
      </c>
      <c r="FF504" s="189">
        <v>0</v>
      </c>
      <c r="FG504" s="189">
        <v>0</v>
      </c>
      <c r="FH504" s="189">
        <v>0</v>
      </c>
      <c r="FI504" s="189">
        <v>0</v>
      </c>
      <c r="FJ504" s="189">
        <v>0</v>
      </c>
      <c r="FK504" s="189">
        <v>198.6</v>
      </c>
      <c r="FL504" s="189">
        <v>126</v>
      </c>
      <c r="FN504" s="132">
        <v>187.5</v>
      </c>
    </row>
    <row r="505" spans="1:170" ht="30" customHeight="1">
      <c r="A505" s="88">
        <f>COUNTIF($H$12:H505,H505)</f>
        <v>11</v>
      </c>
      <c r="B505" s="88" t="s">
        <v>155</v>
      </c>
      <c r="C505" s="88" t="s">
        <v>1220</v>
      </c>
      <c r="D505" s="88"/>
      <c r="E505" s="88"/>
      <c r="F505" s="302" t="s">
        <v>1958</v>
      </c>
      <c r="G505" s="89" t="s">
        <v>1576</v>
      </c>
      <c r="H505" s="88">
        <v>10</v>
      </c>
      <c r="I505" s="88">
        <v>10</v>
      </c>
      <c r="J505" s="88">
        <v>10</v>
      </c>
      <c r="K505" s="90" t="s">
        <v>1109</v>
      </c>
      <c r="L505" s="90" t="s">
        <v>1109</v>
      </c>
      <c r="M505" s="214"/>
      <c r="N505" s="88" t="s">
        <v>1179</v>
      </c>
      <c r="O505" s="216">
        <f t="shared" si="1611"/>
        <v>3.66</v>
      </c>
      <c r="P505" s="88" t="str">
        <f t="shared" si="1594"/>
        <v>B11_4</v>
      </c>
      <c r="Q505" s="88">
        <f t="shared" si="1567"/>
        <v>270</v>
      </c>
      <c r="R505" s="88">
        <f t="shared" si="1568"/>
        <v>80</v>
      </c>
      <c r="S505" s="218" t="s">
        <v>2031</v>
      </c>
      <c r="T505" s="88" t="s">
        <v>3091</v>
      </c>
      <c r="U505" s="88">
        <f>IF(RIGHT(T505,1)="K",(VLOOKUP(T505,ma_miengiam!$A$3:$B$80,2,0)*100)/2,VLOOKUP(T505,ma_miengiam!$A$3:$B$80,2,0)*100)</f>
        <v>20</v>
      </c>
      <c r="V505" s="88"/>
      <c r="W505" s="220">
        <f>IF(AND(T505="NTS",V505&gt;0),(Q505-(Q505*V505)/12)*VLOOKUP(T505,ma_miengiam!$A$3:$B$80,2,0)+(Q505-(Q505*(12-V505))/12),IF(AND(RIGHT(T505,1)="K",V505&gt;0),(VLOOKUP(T505,ma_miengiam!$A$3:$B$80,2,0)/2)*(Q505*V505)/12,IF(RIGHT(T505,1)="K",(VLOOKUP(T505,ma_miengiam!$A$3:$B$80,2,0)*Q505)/2,IF(V505&gt;0,VLOOKUP(T505,ma_miengiam!$A$3:$B$80,2,0)*Q505*V505/12,VLOOKUP(T505,ma_miengiam!$A$3:$B$80,2,0)*Q505))))</f>
        <v>54</v>
      </c>
      <c r="X505" s="220">
        <f>IF(T505="NTS",VLOOKUP(T505,ma_miengiam!$A$3:$B$80,2,0)*R505*V505,IF(AND(T505="NTS",V505=0),0,IF(AND(LEFT(T505,1)="K",V505=0),VLOOKUP(T505,ma_miengiam!$A$3:$B$80,2,0)*R505,IF(LEFT(T505,1)="K",(VLOOKUP(T505,ma_miengiam!$A$3:$B$80,2,0)*R505/12)*V505,IF(AND(LEFT(T505,1)="S",V505&gt;0),(R505/12)*V505,IF(AND(LEFT(T505,1)="S",V505=0),R505,IF(T505="DH",VLOOKUP(T505,ma_miengiam!$A$3:$B$80,2,0)*R505,0)))))))</f>
        <v>0</v>
      </c>
      <c r="Y505" s="220">
        <f>IF(AND(T505="DH",V505&gt;0),(S505*V505/12),IF(AND(T505&lt;&gt;"NTS",V505&gt;0),(Q505*V505/12)-W505,IF(AND(T505="NTS",V505&gt;0),Q505-W505,Q505-W505)))</f>
        <v>216</v>
      </c>
      <c r="Z505" s="220">
        <f t="shared" ref="Z505:Z510" si="1621">IF(AND(T505="SĐH",V505&gt;0),(R505/12)*V505-X505,IF(AND(T505="DH",V505&gt;0),(R505*V505/12),IF(AND(T505&lt;&gt;"NTS",V505&gt;0),(R505*V505/12)-X505,IF(AND(T505="NTS",V505&gt;0),R505-X505,R505-X505))))</f>
        <v>80</v>
      </c>
      <c r="AA505" s="220">
        <f>Q505</f>
        <v>270</v>
      </c>
      <c r="AB505" s="220">
        <f>R505</f>
        <v>80</v>
      </c>
      <c r="AC505" s="220">
        <f t="shared" si="1612"/>
        <v>54</v>
      </c>
      <c r="AD505" s="220">
        <f t="shared" si="1612"/>
        <v>0</v>
      </c>
      <c r="AE505" s="220">
        <f t="shared" si="1612"/>
        <v>216</v>
      </c>
      <c r="AF505" s="220">
        <f t="shared" si="1612"/>
        <v>80</v>
      </c>
      <c r="AG505" s="220">
        <f t="shared" si="1604"/>
        <v>160.1</v>
      </c>
      <c r="AH505" s="220">
        <f t="shared" si="1605"/>
        <v>9.9999999999994316E-2</v>
      </c>
      <c r="AI505" s="220">
        <f t="shared" si="1606"/>
        <v>160</v>
      </c>
      <c r="AJ505" s="220">
        <f t="shared" si="1613"/>
        <v>0</v>
      </c>
      <c r="AK505" s="216">
        <f t="shared" si="1454"/>
        <v>216</v>
      </c>
      <c r="AL505" s="220">
        <f>SUM(CP505:CX505)+SUM(DC505:DK505)</f>
        <v>222.5</v>
      </c>
      <c r="AM505" s="220">
        <f>SUM(DQ505:DU505)+SUM(DY505:EC505)</f>
        <v>0</v>
      </c>
      <c r="AN505" s="221">
        <f>AM505+AL505</f>
        <v>222.5</v>
      </c>
      <c r="AO505" s="220">
        <f t="shared" ref="AO505:AQ506" si="1622">CY505+DL505</f>
        <v>0</v>
      </c>
      <c r="AP505" s="220">
        <f t="shared" si="1622"/>
        <v>0</v>
      </c>
      <c r="AQ505" s="220">
        <f t="shared" si="1622"/>
        <v>0</v>
      </c>
      <c r="AR505" s="220">
        <f t="shared" ref="AR505:AS508" si="1623">DV505+ED505</f>
        <v>0</v>
      </c>
      <c r="AS505" s="220">
        <f t="shared" si="1623"/>
        <v>0</v>
      </c>
      <c r="AT505" s="216">
        <f>AN505+SUM(AO505:AS505)</f>
        <v>222.5</v>
      </c>
      <c r="AU505" s="222">
        <f>AN505-AK505</f>
        <v>6.5</v>
      </c>
      <c r="AV505" s="220"/>
      <c r="AW505" s="220">
        <f>IF(AU505&gt;0,AU505,AV505+AU505)</f>
        <v>6.5</v>
      </c>
      <c r="AX505" s="216">
        <f t="shared" si="1448"/>
        <v>0</v>
      </c>
      <c r="AY505" s="220">
        <f>IF(AN505&gt;=AK505,AO505,IF(AN505+AO505-AK505&gt;=0,AN505+AO505-AK505,0))</f>
        <v>0</v>
      </c>
      <c r="AZ505" s="220">
        <f>IF(OR(AN505&gt;=AK505,AN505+AO505&gt;=AK505),AP505,IF(AN505+AO505+AP505&gt;AK505,AN505+AO505+AP505-AK505,0))</f>
        <v>0</v>
      </c>
      <c r="BA505" s="220">
        <f>IF(OR(AN505&gt;=AK505,AN505+AO505&gt;=AK505,AN505+AO505+AP505&gt;=AK505),AQ505,IF(AN505+AO505+AP505+AQ505&gt;=AK505,AN505+AO505+AP505+AQ505-AK505,0))</f>
        <v>0</v>
      </c>
      <c r="BB505" s="220">
        <f>IF(OR(AN505&gt;=AK505,AN505+AO505&gt;=AK505,AN505+AO505+AP505&gt;=AK505,AN505+AO505+AP505+AQ505&gt;=AK505),AR505,IF(AN505+AO505+AP505+AQ505+AR505&gt;=AK505,AN505+AO505+AP505+AQ505+AR505-AK505,0))</f>
        <v>0</v>
      </c>
      <c r="BC505" s="220">
        <f>IF(OR(AN505&gt;=AK505,AN505+AO505&gt;=AK505,AN505+AO505+AP505&gt;=AK505,AN505+AO505+AP505+AQ505&gt;=AK505,AN505+AO505+AP505+AQ505+AR505&gt;=AK505),AS505,IF(AN505+AO505+AP505+AQ505+AR505+AS505&gt;=AK505,AN505+AO505+AP505+AQ505+AR505+AS505-AK505,0))</f>
        <v>0</v>
      </c>
      <c r="BD505" s="216">
        <f t="shared" si="1599"/>
        <v>0</v>
      </c>
      <c r="BE505" s="220">
        <f t="shared" ref="BE505:BI506" si="1624">AY505-AO505</f>
        <v>0</v>
      </c>
      <c r="BF505" s="220">
        <f t="shared" si="1624"/>
        <v>0</v>
      </c>
      <c r="BG505" s="220">
        <f t="shared" si="1624"/>
        <v>0</v>
      </c>
      <c r="BH505" s="220">
        <f t="shared" si="1624"/>
        <v>0</v>
      </c>
      <c r="BI505" s="220">
        <f t="shared" si="1624"/>
        <v>0</v>
      </c>
      <c r="BJ505" s="220" t="s">
        <v>1561</v>
      </c>
      <c r="BK505" s="220"/>
      <c r="BL505" s="223">
        <f t="shared" si="1609"/>
        <v>6.5</v>
      </c>
      <c r="BM505" s="220">
        <v>3.66</v>
      </c>
      <c r="BN505" s="220"/>
      <c r="BO505" s="220">
        <f t="shared" si="1607"/>
        <v>3.66</v>
      </c>
      <c r="BP505" s="220">
        <f>IF(AND(BL505&gt;0,BL505&lt;tiet!$D$1),BL505,IF(BL505&lt;=0,0,IF(BL505&gt;tiet!$C$1,tiet!$C$1)))</f>
        <v>6.5</v>
      </c>
      <c r="BQ505" s="87">
        <f t="shared" si="1614"/>
        <v>65000</v>
      </c>
      <c r="BR505" s="224">
        <f t="shared" si="1615"/>
        <v>422500</v>
      </c>
      <c r="BS505" s="220">
        <f t="shared" si="1478"/>
        <v>0</v>
      </c>
      <c r="BT505" s="224">
        <f>VLOOKUP(N505,ma_dinhmuc!$A$1:$J$31,10,0)</f>
        <v>51000</v>
      </c>
      <c r="BU505" s="224">
        <f>ROUND(IF(BS505&gt;0,VLOOKUP(N505,ma_dinhmuc!$A$1:$J$31,10,0)*BS505,0),0)</f>
        <v>0</v>
      </c>
      <c r="BV505" s="224">
        <f t="shared" si="1616"/>
        <v>422500</v>
      </c>
      <c r="BW505" s="224"/>
      <c r="BX505" s="224">
        <v>0</v>
      </c>
      <c r="BY505" s="224"/>
      <c r="BZ505" s="224"/>
      <c r="CA505" s="224"/>
      <c r="CB505" s="224"/>
      <c r="CC505" s="225">
        <f t="shared" ref="CC505:CC510" si="1625">ROUND(IF(BV505+BW505&gt;BX505+BY505+BZ505+CA505+CB505,(BW505+BV505)-(BX505+BY505+BZ505+CA505+CB505+CB505),0),0)</f>
        <v>422500</v>
      </c>
      <c r="CD505" s="224">
        <f t="shared" ref="CD505:CD510" si="1626">ROUND(IF(BV505+BW505&lt;BX505+BY505+BZ505+CA505-CB505,(BX505+BY505+BZ505+CA505-CB505)-(BW505+BV505),0),0)</f>
        <v>0</v>
      </c>
      <c r="CE505" s="224"/>
      <c r="CF505" s="226"/>
      <c r="CG505" s="87"/>
      <c r="CH505" s="87">
        <f t="shared" ref="CH505:CH510" si="1627">A505</f>
        <v>11</v>
      </c>
      <c r="CI505" s="227" t="str">
        <f t="shared" si="1618"/>
        <v>Phan Quang</v>
      </c>
      <c r="CJ505" s="227" t="str">
        <f t="shared" si="1618"/>
        <v>Sáng</v>
      </c>
      <c r="CK505" s="87">
        <f t="shared" si="1618"/>
        <v>10</v>
      </c>
      <c r="CL505" s="227" t="str">
        <f t="shared" si="1608"/>
        <v>Toán</v>
      </c>
      <c r="CM505" s="87" t="str">
        <f>N505</f>
        <v>CB2</v>
      </c>
      <c r="CN505" s="87">
        <f t="shared" si="1619"/>
        <v>270</v>
      </c>
      <c r="CO505" s="87">
        <f t="shared" si="1619"/>
        <v>80</v>
      </c>
      <c r="CP505" s="229">
        <f t="shared" si="1483"/>
        <v>0</v>
      </c>
      <c r="CQ505" s="229">
        <f t="shared" si="1484"/>
        <v>25.8</v>
      </c>
      <c r="CR505" s="229">
        <f t="shared" si="1485"/>
        <v>10.3</v>
      </c>
      <c r="CS505" s="229">
        <f t="shared" si="1486"/>
        <v>0</v>
      </c>
      <c r="CT505" s="229">
        <f t="shared" si="1487"/>
        <v>0</v>
      </c>
      <c r="CU505" s="229">
        <f t="shared" si="1488"/>
        <v>186.4</v>
      </c>
      <c r="CV505" s="229">
        <f t="shared" si="1489"/>
        <v>0</v>
      </c>
      <c r="CW505" s="229">
        <f t="shared" si="1490"/>
        <v>0</v>
      </c>
      <c r="CX505" s="229">
        <f t="shared" si="1491"/>
        <v>0</v>
      </c>
      <c r="CY505" s="229">
        <f t="shared" si="1492"/>
        <v>0</v>
      </c>
      <c r="CZ505" s="229">
        <f t="shared" si="1493"/>
        <v>0</v>
      </c>
      <c r="DA505" s="229">
        <f t="shared" si="1494"/>
        <v>0</v>
      </c>
      <c r="DB505" s="228">
        <f>SUM(CP505:DA505)</f>
        <v>222.5</v>
      </c>
      <c r="DC505" s="229"/>
      <c r="DD505" s="229"/>
      <c r="DE505" s="229"/>
      <c r="DF505" s="229"/>
      <c r="DG505" s="229"/>
      <c r="DH505" s="229"/>
      <c r="DI505" s="229"/>
      <c r="DJ505" s="229"/>
      <c r="DK505" s="229"/>
      <c r="DL505" s="229"/>
      <c r="DM505" s="229"/>
      <c r="DN505" s="229"/>
      <c r="DO505" s="228">
        <f>SUM(DC505:DN505)</f>
        <v>0</v>
      </c>
      <c r="DP505" s="228">
        <f>DO505+DB505</f>
        <v>222.5</v>
      </c>
      <c r="DQ505" s="229">
        <f t="shared" si="1495"/>
        <v>0</v>
      </c>
      <c r="DR505" s="229">
        <f t="shared" si="1496"/>
        <v>0</v>
      </c>
      <c r="DS505" s="229">
        <f t="shared" si="1497"/>
        <v>0</v>
      </c>
      <c r="DT505" s="229">
        <f t="shared" si="1498"/>
        <v>0</v>
      </c>
      <c r="DU505" s="229">
        <f t="shared" si="1499"/>
        <v>0</v>
      </c>
      <c r="DV505" s="229">
        <f t="shared" si="1500"/>
        <v>0</v>
      </c>
      <c r="DW505" s="229">
        <f t="shared" si="1501"/>
        <v>0</v>
      </c>
      <c r="DX505" s="228">
        <f>SUM(DQ505:DW505)</f>
        <v>0</v>
      </c>
      <c r="DY505" s="229"/>
      <c r="DZ505" s="229"/>
      <c r="EA505" s="229"/>
      <c r="EB505" s="229"/>
      <c r="EC505" s="229"/>
      <c r="ED505" s="229"/>
      <c r="EE505" s="229"/>
      <c r="EF505" s="228">
        <f t="shared" si="1480"/>
        <v>0</v>
      </c>
      <c r="EG505" s="228">
        <f>EF505+DX505</f>
        <v>0</v>
      </c>
      <c r="EH505" s="229">
        <f t="shared" si="1481"/>
        <v>160</v>
      </c>
      <c r="EI505" s="229">
        <v>9.9999999999994316E-2</v>
      </c>
      <c r="EJ505" s="228">
        <f t="shared" si="1620"/>
        <v>160.1</v>
      </c>
      <c r="EK505" s="229"/>
      <c r="EL505" s="229"/>
      <c r="EM505" s="228">
        <f t="shared" si="1598"/>
        <v>0</v>
      </c>
      <c r="EN505" s="229">
        <f>EK505+EH505+EL505</f>
        <v>160</v>
      </c>
      <c r="EO505" s="229">
        <f t="shared" ref="EO505:EO510" si="1628">EI505</f>
        <v>9.9999999999994316E-2</v>
      </c>
      <c r="EP505" s="228">
        <f t="shared" si="1601"/>
        <v>160.1</v>
      </c>
      <c r="EQ505" s="173">
        <f t="shared" si="1479"/>
        <v>80</v>
      </c>
      <c r="ER505" s="189">
        <v>0</v>
      </c>
      <c r="ES505" s="189">
        <v>25.8</v>
      </c>
      <c r="ET505" s="189">
        <v>10.3</v>
      </c>
      <c r="EU505" s="189">
        <v>0</v>
      </c>
      <c r="EV505" s="189">
        <v>0</v>
      </c>
      <c r="EW505" s="189">
        <v>186.4</v>
      </c>
      <c r="EX505" s="189">
        <v>0</v>
      </c>
      <c r="EY505" s="189">
        <v>0</v>
      </c>
      <c r="EZ505" s="189">
        <v>0</v>
      </c>
      <c r="FA505" s="189">
        <v>0</v>
      </c>
      <c r="FB505" s="189">
        <v>0</v>
      </c>
      <c r="FC505" s="189">
        <v>0</v>
      </c>
      <c r="FD505" s="189">
        <v>0</v>
      </c>
      <c r="FE505" s="189">
        <v>0</v>
      </c>
      <c r="FF505" s="189">
        <v>0</v>
      </c>
      <c r="FG505" s="189">
        <v>0</v>
      </c>
      <c r="FH505" s="189">
        <v>0</v>
      </c>
      <c r="FI505" s="189">
        <v>0</v>
      </c>
      <c r="FJ505" s="189">
        <v>0</v>
      </c>
      <c r="FK505" s="189">
        <v>222.5</v>
      </c>
      <c r="FL505" s="189">
        <v>141</v>
      </c>
      <c r="FN505" s="132">
        <v>160</v>
      </c>
    </row>
    <row r="506" spans="1:170" ht="28.5" customHeight="1">
      <c r="A506" s="88">
        <f>COUNTIF($H$12:H506,H506)</f>
        <v>12</v>
      </c>
      <c r="B506" s="88" t="s">
        <v>156</v>
      </c>
      <c r="C506" s="88" t="s">
        <v>1221</v>
      </c>
      <c r="D506" s="88"/>
      <c r="E506" s="88"/>
      <c r="F506" s="301" t="s">
        <v>167</v>
      </c>
      <c r="G506" s="303" t="s">
        <v>1177</v>
      </c>
      <c r="H506" s="88">
        <v>10</v>
      </c>
      <c r="I506" s="88">
        <v>10</v>
      </c>
      <c r="J506" s="88">
        <v>10</v>
      </c>
      <c r="K506" s="90" t="s">
        <v>1109</v>
      </c>
      <c r="L506" s="90" t="s">
        <v>1109</v>
      </c>
      <c r="M506" s="214"/>
      <c r="N506" s="88" t="s">
        <v>1179</v>
      </c>
      <c r="O506" s="216">
        <f t="shared" si="1611"/>
        <v>4.32</v>
      </c>
      <c r="P506" s="88" t="str">
        <f t="shared" si="1594"/>
        <v>B11_4</v>
      </c>
      <c r="Q506" s="88">
        <f t="shared" si="1567"/>
        <v>270</v>
      </c>
      <c r="R506" s="88">
        <f t="shared" si="1568"/>
        <v>80</v>
      </c>
      <c r="S506" s="230"/>
      <c r="T506" s="88" t="s">
        <v>3088</v>
      </c>
      <c r="U506" s="88">
        <f>IF(RIGHT(T506,1)="K",(VLOOKUP(T506,ma_miengiam!$A$3:$B$80,2,0)*100)/2,VLOOKUP(T506,ma_miengiam!$A$3:$B$80,2,0)*100)</f>
        <v>0</v>
      </c>
      <c r="V506" s="88"/>
      <c r="W506" s="220">
        <f>IF(AND(T506="NTS",V506&gt;0),(Q506-(Q506*V506)/12)*VLOOKUP(T506,ma_miengiam!$A$3:$B$80,2,0)+(Q506-(Q506*(12-V506))/12),IF(AND(RIGHT(T506,1)="K",V506&gt;0),(VLOOKUP(T506,ma_miengiam!$A$3:$B$80,2,0)/2)*(Q506*V506)/12,IF(RIGHT(T506,1)="K",(VLOOKUP(T506,ma_miengiam!$A$3:$B$80,2,0)*Q506)/2,IF(V506&gt;0,VLOOKUP(T506,ma_miengiam!$A$3:$B$80,2,0)*Q506*V506/12,VLOOKUP(T506,ma_miengiam!$A$3:$B$80,2,0)*Q506))))</f>
        <v>0</v>
      </c>
      <c r="X506" s="220">
        <f>IF(T506="NTS",VLOOKUP(T506,ma_miengiam!$A$3:$B$80,2,0)*R506*V506,IF(AND(T506="NTS",V506=0),0,IF(AND(LEFT(T506,1)="K",V506=0),VLOOKUP(T506,ma_miengiam!$A$3:$B$80,2,0)*R506,IF(LEFT(T506,1)="K",(VLOOKUP(T506,ma_miengiam!$A$3:$B$80,2,0)*R506/12)*V506,IF(AND(LEFT(T506,1)="S",V506&gt;0),(R506/12)*V506,IF(AND(LEFT(T506,1)="S",V506=0),R506,IF(T506="DH",VLOOKUP(T506,ma_miengiam!$A$3:$B$80,2,0)*R506,0)))))))</f>
        <v>0</v>
      </c>
      <c r="Y506" s="220">
        <f>IF(AND(T506="DH",V506&gt;0),(S506*V506/12),IF(AND(T506&lt;&gt;"NTS",V506&gt;0),(Q506*V506/12)-W506,IF(AND(T506="NTS",V506&gt;0),Q506-W506,Q506-W506)))</f>
        <v>270</v>
      </c>
      <c r="Z506" s="220">
        <f t="shared" si="1621"/>
        <v>80</v>
      </c>
      <c r="AA506" s="220">
        <f t="shared" ref="AA506:AB508" si="1629">Q506</f>
        <v>270</v>
      </c>
      <c r="AB506" s="220">
        <f t="shared" si="1629"/>
        <v>80</v>
      </c>
      <c r="AC506" s="220">
        <f t="shared" ref="AC506:AF508" si="1630">W506</f>
        <v>0</v>
      </c>
      <c r="AD506" s="220">
        <f t="shared" si="1630"/>
        <v>0</v>
      </c>
      <c r="AE506" s="220">
        <f t="shared" si="1630"/>
        <v>270</v>
      </c>
      <c r="AF506" s="220">
        <f t="shared" si="1630"/>
        <v>80</v>
      </c>
      <c r="AG506" s="220">
        <f t="shared" si="1604"/>
        <v>9.9999999999994316E-2</v>
      </c>
      <c r="AH506" s="220">
        <f t="shared" si="1605"/>
        <v>9.9999999999994316E-2</v>
      </c>
      <c r="AI506" s="220">
        <f t="shared" si="1606"/>
        <v>0</v>
      </c>
      <c r="AJ506" s="220">
        <f t="shared" si="1613"/>
        <v>-79.900000000000006</v>
      </c>
      <c r="AK506" s="216">
        <f t="shared" si="1454"/>
        <v>349.9</v>
      </c>
      <c r="AL506" s="220">
        <f>SUM(CP506:CX506)+SUM(DC506:DK506)</f>
        <v>148.10000000000002</v>
      </c>
      <c r="AM506" s="220">
        <f>SUM(DQ506:DU506)+SUM(DY506:EC506)</f>
        <v>0</v>
      </c>
      <c r="AN506" s="221">
        <f>AM506+AL506</f>
        <v>148.10000000000002</v>
      </c>
      <c r="AO506" s="220">
        <f t="shared" si="1622"/>
        <v>0</v>
      </c>
      <c r="AP506" s="220">
        <f t="shared" si="1622"/>
        <v>0</v>
      </c>
      <c r="AQ506" s="220">
        <f t="shared" si="1622"/>
        <v>0</v>
      </c>
      <c r="AR506" s="220">
        <f t="shared" si="1623"/>
        <v>0</v>
      </c>
      <c r="AS506" s="220">
        <f t="shared" si="1623"/>
        <v>0</v>
      </c>
      <c r="AT506" s="216">
        <f>AN506+SUM(AO506:AS506)</f>
        <v>148.10000000000002</v>
      </c>
      <c r="AU506" s="222">
        <f t="shared" ref="AU506:AU511" si="1631">AN506-AK506</f>
        <v>-201.79999999999995</v>
      </c>
      <c r="AV506" s="220"/>
      <c r="AW506" s="220">
        <f>IF(AU506&gt;0,AU506,AV506+AU506)</f>
        <v>-201.79999999999995</v>
      </c>
      <c r="AX506" s="216">
        <f t="shared" si="1448"/>
        <v>-201.79999999999995</v>
      </c>
      <c r="AY506" s="220">
        <f>IF(AN506&gt;=AK506,AO506,IF(AN506+AO506-AK506&gt;=0,AN506+AO506-AK506,0))</f>
        <v>0</v>
      </c>
      <c r="AZ506" s="220">
        <f>IF(OR(AN506&gt;=AK506,AN506+AO506&gt;=AK506),AP506,IF(AN506+AO506+AP506&gt;AK506,AN506+AO506+AP506-AK506,0))</f>
        <v>0</v>
      </c>
      <c r="BA506" s="220">
        <f>IF(OR(AN506&gt;=AK506,AN506+AO506&gt;=AK506,AN506+AO506+AP506&gt;=AK506),AQ506,IF(AN506+AO506+AP506+AQ506&gt;=AK506,AN506+AO506+AP506+AQ506-AK506,0))</f>
        <v>0</v>
      </c>
      <c r="BB506" s="220">
        <f>IF(OR(AN506&gt;=AK506,AN506+AO506&gt;=AK506,AN506+AO506+AP506&gt;=AK506,AN506+AO506+AP506+AQ506&gt;=AK506),AR506,IF(AN506+AO506+AP506+AQ506+AR506&gt;=AK506,AN506+AO506+AP506+AQ506+AR506-AK506,0))</f>
        <v>0</v>
      </c>
      <c r="BC506" s="220">
        <f>IF(OR(AN506&gt;=AK506,AN506+AO506&gt;=AK506,AN506+AO506+AP506&gt;=AK506,AN506+AO506+AP506+AQ506&gt;=AK506,AN506+AO506+AP506+AQ506+AR506&gt;=AK506),AS506,IF(AN506+AO506+AP506+AQ506+AR506+AS506&gt;=AK506,AN506+AO506+AP506+AQ506+AR506+AS506-AK506,0))</f>
        <v>0</v>
      </c>
      <c r="BD506" s="216">
        <f t="shared" si="1599"/>
        <v>0</v>
      </c>
      <c r="BE506" s="220">
        <f t="shared" si="1624"/>
        <v>0</v>
      </c>
      <c r="BF506" s="220">
        <f t="shared" si="1624"/>
        <v>0</v>
      </c>
      <c r="BG506" s="220">
        <f t="shared" si="1624"/>
        <v>0</v>
      </c>
      <c r="BH506" s="220">
        <f t="shared" si="1624"/>
        <v>0</v>
      </c>
      <c r="BI506" s="220">
        <f t="shared" si="1624"/>
        <v>0</v>
      </c>
      <c r="BJ506" s="220" t="s">
        <v>1561</v>
      </c>
      <c r="BK506" s="220"/>
      <c r="BL506" s="223">
        <f t="shared" si="1609"/>
        <v>0</v>
      </c>
      <c r="BM506" s="220">
        <v>4.32</v>
      </c>
      <c r="BN506" s="220"/>
      <c r="BO506" s="220">
        <f t="shared" si="1607"/>
        <v>4.32</v>
      </c>
      <c r="BP506" s="220">
        <f>IF(AND(BL506&gt;0,BL506&lt;tiet!$D$1),BL506,IF(BL506&lt;=0,0,IF(BL506&gt;tiet!$C$1,tiet!$C$1)))</f>
        <v>0</v>
      </c>
      <c r="BQ506" s="87">
        <f t="shared" si="1614"/>
        <v>65000</v>
      </c>
      <c r="BR506" s="224">
        <f t="shared" si="1615"/>
        <v>0</v>
      </c>
      <c r="BS506" s="220">
        <f t="shared" si="1478"/>
        <v>0</v>
      </c>
      <c r="BT506" s="224">
        <f>VLOOKUP(N506,ma_dinhmuc!$A$1:$J$31,10,0)</f>
        <v>51000</v>
      </c>
      <c r="BU506" s="224">
        <f>ROUND(IF(BS506&gt;0,VLOOKUP(N506,ma_dinhmuc!$A$1:$J$31,10,0)*BS506,0),0)</f>
        <v>0</v>
      </c>
      <c r="BV506" s="224">
        <f t="shared" si="1616"/>
        <v>0</v>
      </c>
      <c r="BW506" s="224"/>
      <c r="BX506" s="224">
        <v>0</v>
      </c>
      <c r="BY506" s="224"/>
      <c r="BZ506" s="224"/>
      <c r="CA506" s="224"/>
      <c r="CB506" s="224"/>
      <c r="CC506" s="225">
        <f t="shared" si="1625"/>
        <v>0</v>
      </c>
      <c r="CD506" s="224">
        <f t="shared" si="1626"/>
        <v>0</v>
      </c>
      <c r="CE506" s="224"/>
      <c r="CF506" s="226"/>
      <c r="CG506" s="87"/>
      <c r="CH506" s="87">
        <f t="shared" si="1627"/>
        <v>12</v>
      </c>
      <c r="CI506" s="227" t="str">
        <f t="shared" ref="CI506:CI515" si="1632">F506</f>
        <v>Phạm Việt</v>
      </c>
      <c r="CJ506" s="227" t="str">
        <f t="shared" ref="CJ506:CJ515" si="1633">G506</f>
        <v>Nga</v>
      </c>
      <c r="CK506" s="87">
        <f t="shared" ref="CK506:CK511" si="1634">H506</f>
        <v>10</v>
      </c>
      <c r="CL506" s="227" t="str">
        <f t="shared" si="1608"/>
        <v>Toán</v>
      </c>
      <c r="CM506" s="87" t="str">
        <f>N506</f>
        <v>CB2</v>
      </c>
      <c r="CN506" s="87">
        <f t="shared" si="1619"/>
        <v>270</v>
      </c>
      <c r="CO506" s="87">
        <f t="shared" si="1619"/>
        <v>80</v>
      </c>
      <c r="CP506" s="229">
        <f t="shared" si="1483"/>
        <v>0</v>
      </c>
      <c r="CQ506" s="229">
        <f t="shared" si="1484"/>
        <v>22.6</v>
      </c>
      <c r="CR506" s="229">
        <f t="shared" si="1485"/>
        <v>9.1</v>
      </c>
      <c r="CS506" s="229">
        <f t="shared" si="1486"/>
        <v>0</v>
      </c>
      <c r="CT506" s="229">
        <f t="shared" si="1487"/>
        <v>0</v>
      </c>
      <c r="CU506" s="229">
        <f t="shared" si="1488"/>
        <v>116.4</v>
      </c>
      <c r="CV506" s="229">
        <f t="shared" si="1489"/>
        <v>0</v>
      </c>
      <c r="CW506" s="229">
        <f t="shared" si="1490"/>
        <v>0</v>
      </c>
      <c r="CX506" s="229">
        <f t="shared" si="1491"/>
        <v>0</v>
      </c>
      <c r="CY506" s="229">
        <f t="shared" si="1492"/>
        <v>0</v>
      </c>
      <c r="CZ506" s="229">
        <f t="shared" si="1493"/>
        <v>0</v>
      </c>
      <c r="DA506" s="229">
        <f t="shared" si="1494"/>
        <v>0</v>
      </c>
      <c r="DB506" s="228">
        <f>SUM(CP506:DA506)</f>
        <v>148.10000000000002</v>
      </c>
      <c r="DC506" s="229"/>
      <c r="DD506" s="229"/>
      <c r="DE506" s="229"/>
      <c r="DF506" s="229"/>
      <c r="DG506" s="229"/>
      <c r="DH506" s="229"/>
      <c r="DI506" s="229"/>
      <c r="DJ506" s="229"/>
      <c r="DK506" s="229"/>
      <c r="DL506" s="229"/>
      <c r="DM506" s="229"/>
      <c r="DN506" s="229"/>
      <c r="DO506" s="228">
        <f>SUM(DC506:DN506)</f>
        <v>0</v>
      </c>
      <c r="DP506" s="228">
        <f>DO506+DB506</f>
        <v>148.10000000000002</v>
      </c>
      <c r="DQ506" s="229">
        <f t="shared" si="1495"/>
        <v>0</v>
      </c>
      <c r="DR506" s="229">
        <f t="shared" si="1496"/>
        <v>0</v>
      </c>
      <c r="DS506" s="229">
        <f t="shared" si="1497"/>
        <v>0</v>
      </c>
      <c r="DT506" s="229">
        <f t="shared" si="1498"/>
        <v>0</v>
      </c>
      <c r="DU506" s="229">
        <f t="shared" si="1499"/>
        <v>0</v>
      </c>
      <c r="DV506" s="229">
        <f t="shared" si="1500"/>
        <v>0</v>
      </c>
      <c r="DW506" s="229">
        <f t="shared" si="1501"/>
        <v>0</v>
      </c>
      <c r="DX506" s="228">
        <f>SUM(DQ506:DW506)</f>
        <v>0</v>
      </c>
      <c r="DY506" s="229"/>
      <c r="DZ506" s="229"/>
      <c r="EA506" s="229"/>
      <c r="EB506" s="229"/>
      <c r="EC506" s="229"/>
      <c r="ED506" s="229"/>
      <c r="EE506" s="229"/>
      <c r="EF506" s="228">
        <f t="shared" si="1480"/>
        <v>0</v>
      </c>
      <c r="EG506" s="228">
        <f>EF506+DX506</f>
        <v>0</v>
      </c>
      <c r="EH506" s="229">
        <f t="shared" si="1481"/>
        <v>0</v>
      </c>
      <c r="EI506" s="229">
        <v>9.9999999999994316E-2</v>
      </c>
      <c r="EJ506" s="228">
        <f t="shared" si="1620"/>
        <v>9.9999999999994316E-2</v>
      </c>
      <c r="EK506" s="229"/>
      <c r="EL506" s="229"/>
      <c r="EM506" s="228">
        <f t="shared" si="1598"/>
        <v>0</v>
      </c>
      <c r="EN506" s="229">
        <f>EK506+EH506+EL506</f>
        <v>0</v>
      </c>
      <c r="EO506" s="229">
        <f t="shared" si="1628"/>
        <v>9.9999999999994316E-2</v>
      </c>
      <c r="EP506" s="228">
        <f t="shared" si="1601"/>
        <v>9.9999999999994316E-2</v>
      </c>
      <c r="EQ506" s="173">
        <f t="shared" si="1479"/>
        <v>0</v>
      </c>
      <c r="ER506" s="189">
        <v>0</v>
      </c>
      <c r="ES506" s="189">
        <v>22.6</v>
      </c>
      <c r="ET506" s="189">
        <v>9.1</v>
      </c>
      <c r="EU506" s="189">
        <v>0</v>
      </c>
      <c r="EV506" s="189">
        <v>0</v>
      </c>
      <c r="EW506" s="189">
        <v>116.4</v>
      </c>
      <c r="EX506" s="189">
        <v>0</v>
      </c>
      <c r="EY506" s="189">
        <v>0</v>
      </c>
      <c r="EZ506" s="189">
        <v>0</v>
      </c>
      <c r="FA506" s="189">
        <v>0</v>
      </c>
      <c r="FB506" s="189">
        <v>0</v>
      </c>
      <c r="FC506" s="189">
        <v>0</v>
      </c>
      <c r="FD506" s="189">
        <v>0</v>
      </c>
      <c r="FE506" s="189">
        <v>0</v>
      </c>
      <c r="FF506" s="189">
        <v>0</v>
      </c>
      <c r="FG506" s="189">
        <v>0</v>
      </c>
      <c r="FH506" s="189">
        <v>0</v>
      </c>
      <c r="FI506" s="189">
        <v>0</v>
      </c>
      <c r="FJ506" s="189">
        <v>0</v>
      </c>
      <c r="FK506" s="189">
        <v>148.1</v>
      </c>
      <c r="FL506" s="189">
        <v>94</v>
      </c>
      <c r="FN506" s="132">
        <v>0</v>
      </c>
    </row>
    <row r="507" spans="1:170" ht="24.75" customHeight="1">
      <c r="A507" s="88">
        <f>COUNTIF($H$12:H510,H507)</f>
        <v>16</v>
      </c>
      <c r="B507" s="88" t="s">
        <v>1242</v>
      </c>
      <c r="C507" s="88" t="s">
        <v>1223</v>
      </c>
      <c r="D507" s="88"/>
      <c r="E507" s="88"/>
      <c r="F507" s="301" t="s">
        <v>2824</v>
      </c>
      <c r="G507" s="303" t="s">
        <v>2088</v>
      </c>
      <c r="H507" s="88">
        <v>10</v>
      </c>
      <c r="I507" s="88">
        <v>10</v>
      </c>
      <c r="J507" s="88">
        <v>10</v>
      </c>
      <c r="K507" s="90" t="s">
        <v>1109</v>
      </c>
      <c r="L507" s="90" t="s">
        <v>1109</v>
      </c>
      <c r="M507" s="214"/>
      <c r="N507" s="88" t="s">
        <v>1179</v>
      </c>
      <c r="O507" s="216">
        <f t="shared" si="1611"/>
        <v>3.33</v>
      </c>
      <c r="P507" s="88" t="str">
        <f>IF(BO507&lt;3.33,"B11_3",IF(AND(BO507&gt;=3.33,BO507&lt;4.65),"B11_4",IF(AND(BO507&gt;=4.65,BO507&lt;5.42),"B11_5",IF(AND(BO507&gt;=5.42,BO507&lt;6.44),"B11_6",IF(AND(BO507&gt;=6.44,BO507&lt;=6.92),"B11_7","B11_8")))))</f>
        <v>B11_4</v>
      </c>
      <c r="Q507" s="88">
        <f t="shared" si="1567"/>
        <v>270</v>
      </c>
      <c r="R507" s="88">
        <f t="shared" si="1568"/>
        <v>80</v>
      </c>
      <c r="S507" s="232" t="s">
        <v>422</v>
      </c>
      <c r="T507" s="88" t="s">
        <v>3090</v>
      </c>
      <c r="U507" s="88">
        <f>IF(RIGHT(T507,1)="K",(VLOOKUP(T507,ma_miengiam!$A$3:$B$80,2,0)*100)/2,VLOOKUP(T507,ma_miengiam!$A$3:$B$80,2,0)*100)</f>
        <v>15</v>
      </c>
      <c r="V507" s="88"/>
      <c r="W507" s="220">
        <f>IF(AND(T507="NTS",V507&gt;0),(Q507-(Q507*V507)/12)*VLOOKUP(T507,ma_miengiam!$A$3:$B$80,2,0)+(Q507-(Q507*(12-V507))/12),IF(AND(RIGHT(T507,1)="K",V507&gt;0),(VLOOKUP(T507,ma_miengiam!$A$3:$B$80,2,0)/2)*(Q507*V507)/12,IF(RIGHT(T507,1)="K",(VLOOKUP(T507,ma_miengiam!$A$3:$B$80,2,0)*Q507)/2,IF(V507&gt;0,VLOOKUP(T507,ma_miengiam!$A$3:$B$80,2,0)*Q507*V507/12,VLOOKUP(T507,ma_miengiam!$A$3:$B$80,2,0)*Q507))))</f>
        <v>40.5</v>
      </c>
      <c r="X507" s="220">
        <f>IF(T507="NTS",VLOOKUP(T507,ma_miengiam!$A$3:$B$80,2,0)*R507*V507,IF(AND(T507="NTS",V507=0),0,IF(AND(LEFT(T507,1)="K",V507=0),VLOOKUP(T507,ma_miengiam!$A$3:$B$80,2,0)*R507,IF(LEFT(T507,1)="K",(VLOOKUP(T507,ma_miengiam!$A$3:$B$80,2,0)*R507/12)*V507,IF(AND(LEFT(T507,1)="S",V507&gt;0),(R507/12)*V507,IF(AND(LEFT(T507,1)="S",V507=0),R507,IF(T507="DH",VLOOKUP(T507,ma_miengiam!$A$3:$B$80,2,0)*R507,0)))))))</f>
        <v>0</v>
      </c>
      <c r="Y507" s="220">
        <f>IF(AND(T507="DH",V507&gt;0),(S507*V507/12),IF(AND(T507&lt;&gt;"NTS",V507&gt;0),(Q507*V507/12)-W507,IF(AND(T507="NTS",V507&gt;0),Q507-W507,Q507-W507)))</f>
        <v>229.5</v>
      </c>
      <c r="Z507" s="220">
        <f t="shared" si="1621"/>
        <v>80</v>
      </c>
      <c r="AA507" s="220">
        <f>Q507</f>
        <v>270</v>
      </c>
      <c r="AB507" s="220">
        <f>R507</f>
        <v>80</v>
      </c>
      <c r="AC507" s="220">
        <f>W507</f>
        <v>40.5</v>
      </c>
      <c r="AD507" s="220">
        <f>X507</f>
        <v>0</v>
      </c>
      <c r="AE507" s="220">
        <f>Y507</f>
        <v>229.5</v>
      </c>
      <c r="AF507" s="220">
        <f>Z507</f>
        <v>80</v>
      </c>
      <c r="AG507" s="220">
        <f t="shared" si="1604"/>
        <v>175</v>
      </c>
      <c r="AH507" s="220">
        <f t="shared" si="1605"/>
        <v>85</v>
      </c>
      <c r="AI507" s="220">
        <f t="shared" si="1606"/>
        <v>90</v>
      </c>
      <c r="AJ507" s="220">
        <f t="shared" si="1613"/>
        <v>0</v>
      </c>
      <c r="AK507" s="216">
        <f>IF(AJ507&gt;=0,Y507,Y507-AJ507)</f>
        <v>229.5</v>
      </c>
      <c r="AL507" s="220">
        <f>SUM(CP507:CX507)+SUM(DC507:DK507)</f>
        <v>198.6</v>
      </c>
      <c r="AM507" s="220">
        <f>SUM(DQ507:DU507)+SUM(DY507:EC507)</f>
        <v>0</v>
      </c>
      <c r="AN507" s="221">
        <f>AM507+AL507</f>
        <v>198.6</v>
      </c>
      <c r="AO507" s="220">
        <f t="shared" ref="AO507:AQ508" si="1635">CY507+DL507</f>
        <v>0</v>
      </c>
      <c r="AP507" s="220">
        <f t="shared" si="1635"/>
        <v>0</v>
      </c>
      <c r="AQ507" s="220">
        <f t="shared" si="1635"/>
        <v>0</v>
      </c>
      <c r="AR507" s="220">
        <f t="shared" si="1623"/>
        <v>0</v>
      </c>
      <c r="AS507" s="220">
        <f t="shared" si="1623"/>
        <v>0</v>
      </c>
      <c r="AT507" s="216">
        <f>AN507+SUM(AO507:AS507)</f>
        <v>198.6</v>
      </c>
      <c r="AU507" s="220">
        <f>AN507-AK507</f>
        <v>-30.900000000000006</v>
      </c>
      <c r="AV507" s="220"/>
      <c r="AW507" s="220">
        <f>IF(AU507&gt;0,AU507,AV507+AU507)</f>
        <v>-30.900000000000006</v>
      </c>
      <c r="AX507" s="216">
        <f t="shared" ref="AX507:AX554" si="1636">IF(AN507&gt;AK507,0,IF(AW507&lt;0,AN507-AK507+AV507,IF(AW507&gt;=0,0)))</f>
        <v>-30.900000000000006</v>
      </c>
      <c r="AY507" s="220">
        <f>IF(AN507&gt;=AK507,AO507,IF(AN507+AO507-AK507&gt;=0,AN507+AO507-AK507,0))</f>
        <v>0</v>
      </c>
      <c r="AZ507" s="220">
        <f>IF(OR(AN507&gt;=AK507,AN507+AO507&gt;=AK507),AP507,IF(AN507+AO507+AP507&gt;AK507,AN507+AO507+AP507-AK507,0))</f>
        <v>0</v>
      </c>
      <c r="BA507" s="220">
        <f>IF(OR(AN507&gt;=AK507,AN507+AO507&gt;=AK507,AN507+AO507+AP507&gt;=AK507),AQ507,IF(AN507+AO507+AP507+AQ507&gt;=AK507,AN507+AO507+AP507+AQ507-AK507,0))</f>
        <v>0</v>
      </c>
      <c r="BB507" s="220">
        <f>IF(OR(AN507&gt;=AK507,AN507+AO507&gt;=AK507,AN507+AO507+AP507&gt;=AK507,AN507+AO507+AP507+AQ507&gt;=AK507),AR507,IF(AN507+AO507+AP507+AQ507+AR507&gt;=AK507,AN507+AO507+AP507+AQ507+AR507-AK507,0))</f>
        <v>0</v>
      </c>
      <c r="BC507" s="220">
        <f>IF(OR(AN507&gt;=AK507,AN507+AO507&gt;=AK507,AN507+AO507+AP507&gt;=AK507,AN507+AO507+AP507+AQ507&gt;=AK507,AN507+AO507+AP507+AQ507+AR507&gt;=AK507),AS507,IF(AN507+AO507+AP507+AQ507+AR507+AS507&gt;=AK507,AN507+AO507+AP507+AQ507+AR507+AS507-AK507,0))</f>
        <v>0</v>
      </c>
      <c r="BD507" s="216">
        <f t="shared" si="1599"/>
        <v>0</v>
      </c>
      <c r="BE507" s="220">
        <f t="shared" ref="BE507:BI508" si="1637">AY507-AO507</f>
        <v>0</v>
      </c>
      <c r="BF507" s="220">
        <f t="shared" si="1637"/>
        <v>0</v>
      </c>
      <c r="BG507" s="220">
        <f t="shared" si="1637"/>
        <v>0</v>
      </c>
      <c r="BH507" s="220">
        <f t="shared" si="1637"/>
        <v>0</v>
      </c>
      <c r="BI507" s="220">
        <f t="shared" si="1637"/>
        <v>0</v>
      </c>
      <c r="BJ507" s="220" t="s">
        <v>1561</v>
      </c>
      <c r="BK507" s="220"/>
      <c r="BL507" s="223">
        <f t="shared" si="1609"/>
        <v>0</v>
      </c>
      <c r="BM507" s="220">
        <v>3.33</v>
      </c>
      <c r="BN507" s="220"/>
      <c r="BO507" s="220">
        <f t="shared" si="1607"/>
        <v>3.33</v>
      </c>
      <c r="BP507" s="220">
        <f>IF(AND(BL507&gt;0,BL507&lt;tiet!$D$1),BL507,IF(BL507&lt;=0,0,IF(BL507&gt;tiet!$C$1,tiet!$C$1)))</f>
        <v>0</v>
      </c>
      <c r="BQ507" s="87">
        <f t="shared" si="1614"/>
        <v>65000</v>
      </c>
      <c r="BR507" s="224">
        <f t="shared" si="1615"/>
        <v>0</v>
      </c>
      <c r="BS507" s="220">
        <f t="shared" si="1478"/>
        <v>0</v>
      </c>
      <c r="BT507" s="224">
        <f>VLOOKUP(N507,ma_dinhmuc!$A$1:$J$31,10,0)</f>
        <v>51000</v>
      </c>
      <c r="BU507" s="224">
        <f>ROUND(IF(BS507&gt;0,VLOOKUP(N507,ma_dinhmuc!$A$1:$J$31,10,0)*BS507,0),0)</f>
        <v>0</v>
      </c>
      <c r="BV507" s="224">
        <f t="shared" si="1616"/>
        <v>0</v>
      </c>
      <c r="BW507" s="224"/>
      <c r="BX507" s="224">
        <v>0</v>
      </c>
      <c r="BY507" s="224"/>
      <c r="BZ507" s="224"/>
      <c r="CA507" s="224"/>
      <c r="CB507" s="224"/>
      <c r="CC507" s="225">
        <f t="shared" si="1625"/>
        <v>0</v>
      </c>
      <c r="CD507" s="224">
        <f t="shared" si="1626"/>
        <v>0</v>
      </c>
      <c r="CE507" s="224"/>
      <c r="CF507" s="226"/>
      <c r="CG507" s="87"/>
      <c r="CH507" s="87">
        <f t="shared" si="1627"/>
        <v>16</v>
      </c>
      <c r="CI507" s="227" t="str">
        <f t="shared" si="1632"/>
        <v>Vũ Thị Thu</v>
      </c>
      <c r="CJ507" s="227" t="str">
        <f t="shared" si="1633"/>
        <v>Giang</v>
      </c>
      <c r="CK507" s="87">
        <f t="shared" si="1634"/>
        <v>10</v>
      </c>
      <c r="CL507" s="227" t="str">
        <f t="shared" si="1608"/>
        <v>Toán</v>
      </c>
      <c r="CM507" s="87" t="str">
        <f>N507</f>
        <v>CB2</v>
      </c>
      <c r="CN507" s="87">
        <f t="shared" si="1619"/>
        <v>270</v>
      </c>
      <c r="CO507" s="87">
        <f t="shared" si="1619"/>
        <v>80</v>
      </c>
      <c r="CP507" s="229">
        <f t="shared" si="1483"/>
        <v>0</v>
      </c>
      <c r="CQ507" s="229">
        <f t="shared" si="1484"/>
        <v>24.5</v>
      </c>
      <c r="CR507" s="229">
        <f t="shared" si="1485"/>
        <v>9.9</v>
      </c>
      <c r="CS507" s="229">
        <f t="shared" si="1486"/>
        <v>0</v>
      </c>
      <c r="CT507" s="229">
        <f t="shared" si="1487"/>
        <v>0</v>
      </c>
      <c r="CU507" s="229">
        <f t="shared" si="1488"/>
        <v>164.2</v>
      </c>
      <c r="CV507" s="229">
        <f t="shared" si="1489"/>
        <v>0</v>
      </c>
      <c r="CW507" s="229">
        <f t="shared" si="1490"/>
        <v>0</v>
      </c>
      <c r="CX507" s="229">
        <f t="shared" si="1491"/>
        <v>0</v>
      </c>
      <c r="CY507" s="229">
        <f t="shared" si="1492"/>
        <v>0</v>
      </c>
      <c r="CZ507" s="229">
        <f t="shared" si="1493"/>
        <v>0</v>
      </c>
      <c r="DA507" s="229">
        <f t="shared" si="1494"/>
        <v>0</v>
      </c>
      <c r="DB507" s="228">
        <f>SUM(CP507:DA507)</f>
        <v>198.6</v>
      </c>
      <c r="DC507" s="229"/>
      <c r="DD507" s="229"/>
      <c r="DE507" s="229"/>
      <c r="DF507" s="229"/>
      <c r="DG507" s="229"/>
      <c r="DH507" s="229"/>
      <c r="DI507" s="229"/>
      <c r="DJ507" s="229"/>
      <c r="DK507" s="229"/>
      <c r="DL507" s="229"/>
      <c r="DM507" s="229"/>
      <c r="DN507" s="229"/>
      <c r="DO507" s="228">
        <f>SUM(DC507:DN507)</f>
        <v>0</v>
      </c>
      <c r="DP507" s="228">
        <f>DO507+DB507</f>
        <v>198.6</v>
      </c>
      <c r="DQ507" s="229">
        <f t="shared" si="1495"/>
        <v>0</v>
      </c>
      <c r="DR507" s="229">
        <f t="shared" si="1496"/>
        <v>0</v>
      </c>
      <c r="DS507" s="229">
        <f t="shared" si="1497"/>
        <v>0</v>
      </c>
      <c r="DT507" s="229">
        <f t="shared" si="1498"/>
        <v>0</v>
      </c>
      <c r="DU507" s="229">
        <f t="shared" si="1499"/>
        <v>0</v>
      </c>
      <c r="DV507" s="229">
        <f t="shared" si="1500"/>
        <v>0</v>
      </c>
      <c r="DW507" s="229">
        <f t="shared" si="1501"/>
        <v>0</v>
      </c>
      <c r="DX507" s="228">
        <f>SUM(DQ507:DW507)</f>
        <v>0</v>
      </c>
      <c r="DY507" s="229"/>
      <c r="DZ507" s="229"/>
      <c r="EA507" s="229"/>
      <c r="EB507" s="229"/>
      <c r="EC507" s="229"/>
      <c r="ED507" s="229"/>
      <c r="EE507" s="229"/>
      <c r="EF507" s="228">
        <f t="shared" si="1480"/>
        <v>0</v>
      </c>
      <c r="EG507" s="228">
        <f>EF507+DX507</f>
        <v>0</v>
      </c>
      <c r="EH507" s="229">
        <f t="shared" si="1481"/>
        <v>90</v>
      </c>
      <c r="EI507" s="229">
        <v>85</v>
      </c>
      <c r="EJ507" s="228">
        <f t="shared" si="1620"/>
        <v>175</v>
      </c>
      <c r="EK507" s="229"/>
      <c r="EL507" s="229"/>
      <c r="EM507" s="228">
        <f t="shared" si="1598"/>
        <v>0</v>
      </c>
      <c r="EN507" s="229">
        <f>EK507+EH507+EL507</f>
        <v>90</v>
      </c>
      <c r="EO507" s="229">
        <f t="shared" si="1628"/>
        <v>85</v>
      </c>
      <c r="EP507" s="228">
        <f t="shared" si="1601"/>
        <v>175</v>
      </c>
      <c r="EQ507" s="173">
        <f t="shared" si="1479"/>
        <v>10</v>
      </c>
      <c r="ER507" s="189">
        <v>0</v>
      </c>
      <c r="ES507" s="189">
        <v>24.5</v>
      </c>
      <c r="ET507" s="189">
        <v>9.9</v>
      </c>
      <c r="EU507" s="189">
        <v>0</v>
      </c>
      <c r="EV507" s="189">
        <v>0</v>
      </c>
      <c r="EW507" s="189">
        <v>164.2</v>
      </c>
      <c r="EX507" s="189">
        <v>0</v>
      </c>
      <c r="EY507" s="189">
        <v>0</v>
      </c>
      <c r="EZ507" s="189">
        <v>0</v>
      </c>
      <c r="FA507" s="189">
        <v>0</v>
      </c>
      <c r="FB507" s="189">
        <v>0</v>
      </c>
      <c r="FC507" s="189">
        <v>0</v>
      </c>
      <c r="FD507" s="189">
        <v>0</v>
      </c>
      <c r="FE507" s="189">
        <v>0</v>
      </c>
      <c r="FF507" s="189">
        <v>0</v>
      </c>
      <c r="FG507" s="189">
        <v>0</v>
      </c>
      <c r="FH507" s="189">
        <v>0</v>
      </c>
      <c r="FI507" s="189">
        <v>0</v>
      </c>
      <c r="FJ507" s="189">
        <v>0</v>
      </c>
      <c r="FK507" s="189">
        <v>198.6</v>
      </c>
      <c r="FL507" s="189">
        <v>126</v>
      </c>
      <c r="FN507" s="132">
        <v>90</v>
      </c>
    </row>
    <row r="508" spans="1:170" ht="29.25" customHeight="1">
      <c r="A508" s="88">
        <f>COUNTIF($H$12:H509,H508)</f>
        <v>15</v>
      </c>
      <c r="B508" s="88" t="s">
        <v>1243</v>
      </c>
      <c r="C508" s="88" t="s">
        <v>1224</v>
      </c>
      <c r="D508" s="88"/>
      <c r="E508" s="88"/>
      <c r="F508" s="301" t="s">
        <v>2209</v>
      </c>
      <c r="G508" s="89" t="s">
        <v>1194</v>
      </c>
      <c r="H508" s="88">
        <v>10</v>
      </c>
      <c r="I508" s="88">
        <v>10</v>
      </c>
      <c r="J508" s="88">
        <v>10</v>
      </c>
      <c r="K508" s="90" t="s">
        <v>1109</v>
      </c>
      <c r="L508" s="90" t="s">
        <v>1109</v>
      </c>
      <c r="M508" s="214"/>
      <c r="N508" s="88" t="s">
        <v>1179</v>
      </c>
      <c r="O508" s="216">
        <f t="shared" si="1611"/>
        <v>4.6500000000000004</v>
      </c>
      <c r="P508" s="88" t="str">
        <f t="shared" si="1594"/>
        <v>B11_5</v>
      </c>
      <c r="Q508" s="88">
        <f t="shared" si="1567"/>
        <v>270</v>
      </c>
      <c r="R508" s="88">
        <f t="shared" si="1568"/>
        <v>100</v>
      </c>
      <c r="S508" s="230" t="s">
        <v>3136</v>
      </c>
      <c r="T508" s="88" t="s">
        <v>3088</v>
      </c>
      <c r="U508" s="88">
        <f>IF(RIGHT(T508,1)="K",(VLOOKUP(T508,ma_miengiam!$A$3:$B$80,2,0)*100)/2,VLOOKUP(T508,ma_miengiam!$A$3:$B$80,2,0)*100)</f>
        <v>0</v>
      </c>
      <c r="V508" s="88"/>
      <c r="W508" s="220">
        <f>IF(AND(T508="NTS",V508&gt;0),(Q508-(Q508*V508)/12)*VLOOKUP(T508,ma_miengiam!$A$3:$B$80,2,0)+(Q508-(Q508*(12-V508))/12),IF(AND(RIGHT(T508,1)="K",V508&gt;0),(VLOOKUP(T508,ma_miengiam!$A$3:$B$80,2,0)/2)*(Q508*V508)/12,IF(RIGHT(T508,1)="K",(VLOOKUP(T508,ma_miengiam!$A$3:$B$80,2,0)*Q508)/2,IF(V508&gt;0,VLOOKUP(T508,ma_miengiam!$A$3:$B$80,2,0)*Q508*V508/12,VLOOKUP(T508,ma_miengiam!$A$3:$B$80,2,0)*Q508))))</f>
        <v>0</v>
      </c>
      <c r="X508" s="220">
        <f>IF(T508="NTS",VLOOKUP(T508,ma_miengiam!$A$3:$B$80,2,0)*R508*V508,IF(AND(T508="NTS",V508=0),0,IF(AND(LEFT(T508,1)="K",V508=0),VLOOKUP(T508,ma_miengiam!$A$3:$B$80,2,0)*R508,IF(LEFT(T508,1)="K",(VLOOKUP(T508,ma_miengiam!$A$3:$B$80,2,0)*R508/12)*V508,IF(AND(LEFT(T508,1)="S",V508&gt;0),(R508/12)*V508,IF(AND(LEFT(T508,1)="S",V508=0),R508,IF(T508="DH",VLOOKUP(T508,ma_miengiam!$A$3:$B$80,2,0)*R508,0)))))))</f>
        <v>0</v>
      </c>
      <c r="Y508" s="220">
        <f>IF(AND(T508="DH",V508&gt;0),(S508*V508/12),IF(AND(T508&lt;&gt;"NTS",V508&gt;0),(Q508*V508/12)-W508,IF(AND(T508="NTS",V508&gt;0),Q508-W508,Q508-W508)))</f>
        <v>270</v>
      </c>
      <c r="Z508" s="220">
        <f t="shared" si="1621"/>
        <v>100</v>
      </c>
      <c r="AA508" s="220">
        <f t="shared" si="1629"/>
        <v>270</v>
      </c>
      <c r="AB508" s="220">
        <f t="shared" si="1629"/>
        <v>100</v>
      </c>
      <c r="AC508" s="220">
        <f t="shared" si="1630"/>
        <v>0</v>
      </c>
      <c r="AD508" s="220">
        <f t="shared" si="1630"/>
        <v>0</v>
      </c>
      <c r="AE508" s="220">
        <f t="shared" si="1630"/>
        <v>270</v>
      </c>
      <c r="AF508" s="220">
        <f t="shared" si="1630"/>
        <v>100</v>
      </c>
      <c r="AG508" s="220">
        <f t="shared" si="1604"/>
        <v>0</v>
      </c>
      <c r="AH508" s="220">
        <f t="shared" si="1605"/>
        <v>0</v>
      </c>
      <c r="AI508" s="220">
        <f t="shared" si="1606"/>
        <v>0</v>
      </c>
      <c r="AJ508" s="220">
        <f t="shared" si="1613"/>
        <v>-100</v>
      </c>
      <c r="AK508" s="216">
        <f t="shared" si="1454"/>
        <v>370</v>
      </c>
      <c r="AL508" s="220">
        <f>SUM(CP508:CX508)+SUM(DC508:DK508)</f>
        <v>257.3</v>
      </c>
      <c r="AM508" s="220">
        <f>SUM(DQ508:DU508)+SUM(DY508:EC508)</f>
        <v>0</v>
      </c>
      <c r="AN508" s="216">
        <f>AM508+AL508</f>
        <v>257.3</v>
      </c>
      <c r="AO508" s="220">
        <f t="shared" si="1635"/>
        <v>0</v>
      </c>
      <c r="AP508" s="220">
        <f t="shared" si="1635"/>
        <v>0</v>
      </c>
      <c r="AQ508" s="220">
        <f t="shared" si="1635"/>
        <v>0</v>
      </c>
      <c r="AR508" s="220">
        <f t="shared" si="1623"/>
        <v>0</v>
      </c>
      <c r="AS508" s="220">
        <f t="shared" si="1623"/>
        <v>0</v>
      </c>
      <c r="AT508" s="216">
        <f>AN508+SUM(AO508:AS508)</f>
        <v>257.3</v>
      </c>
      <c r="AU508" s="220">
        <f t="shared" si="1631"/>
        <v>-112.69999999999999</v>
      </c>
      <c r="AV508" s="220"/>
      <c r="AW508" s="220">
        <f>IF(AU508&gt;0,AU508,AV508+AU508)</f>
        <v>-112.69999999999999</v>
      </c>
      <c r="AX508" s="216">
        <f t="shared" si="1636"/>
        <v>-112.69999999999999</v>
      </c>
      <c r="AY508" s="220">
        <f>IF(AN508&gt;=AK508,AO508,IF(AN508+AO508-AK508&gt;=0,AN508+AO508-AK508,0))</f>
        <v>0</v>
      </c>
      <c r="AZ508" s="220">
        <f>IF(OR(AN508&gt;=AK508,AN508+AO508&gt;=AK508),AP508,IF(AN508+AO508+AP508&gt;AK508,AN508+AO508+AP508-AK508,0))</f>
        <v>0</v>
      </c>
      <c r="BA508" s="220">
        <f>IF(OR(AN508&gt;=AK508,AN508+AO508&gt;=AK508,AN508+AO508+AP508&gt;=AK508),AQ508,IF(AN508+AO508+AP508+AQ508&gt;=AK508,AN508+AO508+AP508+AQ508-AK508,0))</f>
        <v>0</v>
      </c>
      <c r="BB508" s="220">
        <f>IF(OR(AN508&gt;=AK508,AN508+AO508&gt;=AK508,AN508+AO508+AP508&gt;=AK508,AN508+AO508+AP508+AQ508&gt;=AK508),AR508,IF(AN508+AO508+AP508+AQ508+AR508&gt;=AK508,AN508+AO508+AP508+AQ508+AR508-AK508,0))</f>
        <v>0</v>
      </c>
      <c r="BC508" s="220">
        <f>IF(OR(AN508&gt;=AK508,AN508+AO508&gt;=AK508,AN508+AO508+AP508&gt;=AK508,AN508+AO508+AP508+AQ508&gt;=AK508,AN508+AO508+AP508+AQ508+AR508&gt;=AK508),AS508,IF(AN508+AO508+AP508+AQ508+AR508+AS508&gt;=AK508,AN508+AO508+AP508+AQ508+AR508+AS508-AK508,0))</f>
        <v>0</v>
      </c>
      <c r="BD508" s="216">
        <f t="shared" si="1599"/>
        <v>0</v>
      </c>
      <c r="BE508" s="220">
        <f t="shared" si="1637"/>
        <v>0</v>
      </c>
      <c r="BF508" s="220">
        <f t="shared" si="1637"/>
        <v>0</v>
      </c>
      <c r="BG508" s="220">
        <f t="shared" si="1637"/>
        <v>0</v>
      </c>
      <c r="BH508" s="220">
        <f t="shared" si="1637"/>
        <v>0</v>
      </c>
      <c r="BI508" s="220">
        <f t="shared" si="1637"/>
        <v>0</v>
      </c>
      <c r="BJ508" s="220" t="s">
        <v>1561</v>
      </c>
      <c r="BK508" s="220"/>
      <c r="BL508" s="223">
        <f t="shared" si="1609"/>
        <v>0</v>
      </c>
      <c r="BM508" s="220">
        <v>4.6500000000000004</v>
      </c>
      <c r="BN508" s="220"/>
      <c r="BO508" s="220">
        <f t="shared" si="1607"/>
        <v>4.6500000000000004</v>
      </c>
      <c r="BP508" s="220">
        <f>IF(AND(BL508&gt;0,BL508&lt;tiet!$D$1),BL508,IF(BL508&lt;=0,0,IF(BL508&gt;tiet!$C$1,tiet!$C$1)))</f>
        <v>0</v>
      </c>
      <c r="BQ508" s="87">
        <f t="shared" si="1614"/>
        <v>70000</v>
      </c>
      <c r="BR508" s="224">
        <f t="shared" si="1615"/>
        <v>0</v>
      </c>
      <c r="BS508" s="220">
        <f t="shared" si="1478"/>
        <v>0</v>
      </c>
      <c r="BT508" s="224">
        <f>VLOOKUP(N508,ma_dinhmuc!$A$1:$J$31,10,0)</f>
        <v>51000</v>
      </c>
      <c r="BU508" s="224">
        <f>ROUND(IF(BS508&gt;0,VLOOKUP(N508,ma_dinhmuc!$A$1:$J$31,10,0)*BS508,0),0)</f>
        <v>0</v>
      </c>
      <c r="BV508" s="224">
        <f t="shared" si="1616"/>
        <v>0</v>
      </c>
      <c r="BW508" s="224"/>
      <c r="BX508" s="224"/>
      <c r="BY508" s="224"/>
      <c r="BZ508" s="224"/>
      <c r="CA508" s="224"/>
      <c r="CB508" s="224"/>
      <c r="CC508" s="225">
        <f t="shared" si="1625"/>
        <v>0</v>
      </c>
      <c r="CD508" s="224">
        <f t="shared" si="1626"/>
        <v>0</v>
      </c>
      <c r="CE508" s="224"/>
      <c r="CF508" s="226"/>
      <c r="CG508" s="87"/>
      <c r="CH508" s="87">
        <f t="shared" si="1627"/>
        <v>15</v>
      </c>
      <c r="CI508" s="227" t="str">
        <f t="shared" si="1632"/>
        <v>Nguyễn Thị Minh</v>
      </c>
      <c r="CJ508" s="227" t="str">
        <f t="shared" si="1633"/>
        <v>Tâm</v>
      </c>
      <c r="CK508" s="87">
        <f t="shared" si="1634"/>
        <v>10</v>
      </c>
      <c r="CL508" s="227" t="str">
        <f t="shared" si="1608"/>
        <v>Toán</v>
      </c>
      <c r="CM508" s="87" t="str">
        <f>N508</f>
        <v>CB2</v>
      </c>
      <c r="CN508" s="87">
        <f t="shared" si="1619"/>
        <v>270</v>
      </c>
      <c r="CO508" s="87">
        <f t="shared" si="1619"/>
        <v>100</v>
      </c>
      <c r="CP508" s="229">
        <f t="shared" si="1483"/>
        <v>0</v>
      </c>
      <c r="CQ508" s="229">
        <f t="shared" si="1484"/>
        <v>35</v>
      </c>
      <c r="CR508" s="229">
        <f t="shared" si="1485"/>
        <v>14</v>
      </c>
      <c r="CS508" s="229">
        <f t="shared" si="1486"/>
        <v>0</v>
      </c>
      <c r="CT508" s="229">
        <f t="shared" si="1487"/>
        <v>0</v>
      </c>
      <c r="CU508" s="229">
        <f t="shared" si="1488"/>
        <v>208.3</v>
      </c>
      <c r="CV508" s="229">
        <f t="shared" si="1489"/>
        <v>0</v>
      </c>
      <c r="CW508" s="229">
        <f t="shared" si="1490"/>
        <v>0</v>
      </c>
      <c r="CX508" s="229">
        <f t="shared" si="1491"/>
        <v>0</v>
      </c>
      <c r="CY508" s="229">
        <f t="shared" si="1492"/>
        <v>0</v>
      </c>
      <c r="CZ508" s="229">
        <f t="shared" si="1493"/>
        <v>0</v>
      </c>
      <c r="DA508" s="229">
        <f t="shared" si="1494"/>
        <v>0</v>
      </c>
      <c r="DB508" s="228">
        <f>SUM(CP508:DA508)</f>
        <v>257.3</v>
      </c>
      <c r="DC508" s="229"/>
      <c r="DD508" s="229"/>
      <c r="DE508" s="229"/>
      <c r="DF508" s="229"/>
      <c r="DG508" s="229"/>
      <c r="DH508" s="229"/>
      <c r="DI508" s="229"/>
      <c r="DJ508" s="229"/>
      <c r="DK508" s="229"/>
      <c r="DL508" s="229"/>
      <c r="DM508" s="229"/>
      <c r="DN508" s="229"/>
      <c r="DO508" s="228">
        <f>SUM(DC508:DN508)</f>
        <v>0</v>
      </c>
      <c r="DP508" s="228">
        <f>DO508+DB508</f>
        <v>257.3</v>
      </c>
      <c r="DQ508" s="229">
        <f t="shared" si="1495"/>
        <v>0</v>
      </c>
      <c r="DR508" s="229">
        <f t="shared" si="1496"/>
        <v>0</v>
      </c>
      <c r="DS508" s="229">
        <f t="shared" si="1497"/>
        <v>0</v>
      </c>
      <c r="DT508" s="229">
        <f t="shared" si="1498"/>
        <v>0</v>
      </c>
      <c r="DU508" s="229">
        <f t="shared" si="1499"/>
        <v>0</v>
      </c>
      <c r="DV508" s="229">
        <f t="shared" si="1500"/>
        <v>0</v>
      </c>
      <c r="DW508" s="229">
        <f t="shared" si="1501"/>
        <v>0</v>
      </c>
      <c r="DX508" s="228">
        <f>SUM(DQ508:DW508)</f>
        <v>0</v>
      </c>
      <c r="DY508" s="229"/>
      <c r="DZ508" s="229"/>
      <c r="EA508" s="229"/>
      <c r="EB508" s="229"/>
      <c r="EC508" s="229"/>
      <c r="ED508" s="229"/>
      <c r="EE508" s="229"/>
      <c r="EF508" s="228">
        <f t="shared" si="1480"/>
        <v>0</v>
      </c>
      <c r="EG508" s="228">
        <f>EF508+DX508</f>
        <v>0</v>
      </c>
      <c r="EH508" s="229">
        <f t="shared" si="1481"/>
        <v>0</v>
      </c>
      <c r="EI508" s="229">
        <v>0</v>
      </c>
      <c r="EJ508" s="228">
        <f t="shared" si="1620"/>
        <v>0</v>
      </c>
      <c r="EK508" s="229"/>
      <c r="EL508" s="229"/>
      <c r="EM508" s="228">
        <f t="shared" si="1598"/>
        <v>0</v>
      </c>
      <c r="EN508" s="229">
        <f>EK508+EH508+EL508</f>
        <v>0</v>
      </c>
      <c r="EO508" s="229">
        <f t="shared" si="1628"/>
        <v>0</v>
      </c>
      <c r="EP508" s="228">
        <f t="shared" si="1601"/>
        <v>0</v>
      </c>
      <c r="EQ508" s="173">
        <f t="shared" si="1479"/>
        <v>0</v>
      </c>
      <c r="ER508" s="189">
        <v>0</v>
      </c>
      <c r="ES508" s="189">
        <v>35</v>
      </c>
      <c r="ET508" s="189">
        <v>14</v>
      </c>
      <c r="EU508" s="189">
        <v>0</v>
      </c>
      <c r="EV508" s="189">
        <v>0</v>
      </c>
      <c r="EW508" s="189">
        <v>208.3</v>
      </c>
      <c r="EX508" s="189">
        <v>0</v>
      </c>
      <c r="EY508" s="189">
        <v>0</v>
      </c>
      <c r="EZ508" s="189">
        <v>0</v>
      </c>
      <c r="FA508" s="189">
        <v>0</v>
      </c>
      <c r="FB508" s="189">
        <v>0</v>
      </c>
      <c r="FC508" s="189">
        <v>0</v>
      </c>
      <c r="FD508" s="189">
        <v>0</v>
      </c>
      <c r="FE508" s="189">
        <v>0</v>
      </c>
      <c r="FF508" s="189">
        <v>0</v>
      </c>
      <c r="FG508" s="189">
        <v>0</v>
      </c>
      <c r="FH508" s="189">
        <v>0</v>
      </c>
      <c r="FI508" s="189">
        <v>0</v>
      </c>
      <c r="FJ508" s="189">
        <v>0</v>
      </c>
      <c r="FK508" s="189">
        <v>257.3</v>
      </c>
      <c r="FL508" s="189">
        <v>141</v>
      </c>
      <c r="FN508" s="132">
        <v>0</v>
      </c>
    </row>
    <row r="509" spans="1:170" ht="30" customHeight="1">
      <c r="A509" s="88">
        <f>COUNTIF($H$12:H509,H509)</f>
        <v>15</v>
      </c>
      <c r="B509" s="88" t="s">
        <v>1241</v>
      </c>
      <c r="C509" s="88" t="s">
        <v>1222</v>
      </c>
      <c r="D509" s="88"/>
      <c r="E509" s="88"/>
      <c r="F509" s="301" t="s">
        <v>1584</v>
      </c>
      <c r="G509" s="303" t="s">
        <v>2888</v>
      </c>
      <c r="H509" s="88">
        <v>10</v>
      </c>
      <c r="I509" s="88">
        <v>10</v>
      </c>
      <c r="J509" s="88">
        <v>10</v>
      </c>
      <c r="K509" s="90" t="s">
        <v>1109</v>
      </c>
      <c r="L509" s="90" t="s">
        <v>1109</v>
      </c>
      <c r="M509" s="214"/>
      <c r="N509" s="88" t="s">
        <v>1179</v>
      </c>
      <c r="O509" s="216">
        <f t="shared" si="1611"/>
        <v>3.33</v>
      </c>
      <c r="P509" s="88" t="str">
        <f t="shared" si="1594"/>
        <v>B11_4</v>
      </c>
      <c r="Q509" s="88">
        <f t="shared" si="1567"/>
        <v>270</v>
      </c>
      <c r="R509" s="88">
        <f t="shared" si="1568"/>
        <v>80</v>
      </c>
      <c r="S509" s="232" t="s">
        <v>2652</v>
      </c>
      <c r="T509" s="88" t="s">
        <v>3088</v>
      </c>
      <c r="U509" s="88">
        <f>IF(RIGHT(T509,1)="K",(VLOOKUP(T509,ma_miengiam!$A$3:$B$80,2,0)*100)/2,VLOOKUP(T509,ma_miengiam!$A$3:$B$80,2,0)*100)</f>
        <v>0</v>
      </c>
      <c r="V509" s="88">
        <v>7</v>
      </c>
      <c r="W509" s="220">
        <f>IF(AND(T509="NTS",V509&gt;0),(Q509-(Q509*V509)/12)*VLOOKUP(T509,ma_miengiam!$A$3:$B$80,2,0)+(Q509-(Q509*(12-V509))/12),IF(AND(RIGHT(T509,1)="K",V509&gt;0),(VLOOKUP(T509,ma_miengiam!$A$3:$B$80,2,0)/2)*(Q509*V509)/12,IF(RIGHT(T509,1)="K",(VLOOKUP(T509,ma_miengiam!$A$3:$B$80,2,0)*Q509)/2,IF(V509&gt;0,VLOOKUP(T509,ma_miengiam!$A$3:$B$80,2,0)*Q509*V509/12,VLOOKUP(T509,ma_miengiam!$A$3:$B$80,2,0)*Q509))))</f>
        <v>0</v>
      </c>
      <c r="X509" s="220">
        <f>IF(T509="NTS",VLOOKUP(T509,ma_miengiam!$A$3:$B$80,2,0)*R509*V509,IF(AND(T509="NTS",V509=0),0,IF(AND(LEFT(T509,1)="K",V509=0),VLOOKUP(T509,ma_miengiam!$A$3:$B$80,2,0)*R509,IF(LEFT(T509,1)="K",(VLOOKUP(T509,ma_miengiam!$A$3:$B$80,2,0)*R509/12)*V509,IF(AND(LEFT(T509,1)="S",V509&gt;0),(R509/12)*V509,IF(AND(LEFT(T509,1)="S",V509=0),R509,IF(T509="DH",VLOOKUP(T509,ma_miengiam!$A$3:$B$80,2,0)*R509,0)))))))</f>
        <v>0</v>
      </c>
      <c r="Y509" s="220">
        <f t="shared" si="1521"/>
        <v>157.5</v>
      </c>
      <c r="Z509" s="220">
        <f t="shared" si="1621"/>
        <v>46.666666666666664</v>
      </c>
      <c r="AA509" s="220">
        <f t="shared" ref="AA509:AB511" si="1638">Q509</f>
        <v>270</v>
      </c>
      <c r="AB509" s="220">
        <f t="shared" si="1638"/>
        <v>80</v>
      </c>
      <c r="AC509" s="220">
        <f>W509</f>
        <v>0</v>
      </c>
      <c r="AD509" s="220">
        <f>X509</f>
        <v>0</v>
      </c>
      <c r="AE509" s="220">
        <f>Y509</f>
        <v>157.5</v>
      </c>
      <c r="AF509" s="220">
        <f>Z509</f>
        <v>46.666666666666664</v>
      </c>
      <c r="AG509" s="220">
        <f t="shared" si="1604"/>
        <v>0</v>
      </c>
      <c r="AH509" s="220">
        <f t="shared" si="1605"/>
        <v>0</v>
      </c>
      <c r="AI509" s="220">
        <f t="shared" si="1606"/>
        <v>0</v>
      </c>
      <c r="AJ509" s="220">
        <f t="shared" si="1613"/>
        <v>-46.666666666666664</v>
      </c>
      <c r="AK509" s="216">
        <f t="shared" ref="AK509:AK556" si="1639">IF(AJ509&gt;=0,Y509,Y509-AJ509)</f>
        <v>204.16666666666666</v>
      </c>
      <c r="AL509" s="220">
        <f t="shared" ref="AL509:AL559" si="1640">SUM(CP509:CX509)+SUM(DC509:DK509)</f>
        <v>0</v>
      </c>
      <c r="AM509" s="220">
        <f t="shared" ref="AM509:AM559" si="1641">SUM(DQ509:DU509)+SUM(DY509:EC509)</f>
        <v>0</v>
      </c>
      <c r="AN509" s="216">
        <f t="shared" ref="AN509:AN559" si="1642">AM509+AL509</f>
        <v>0</v>
      </c>
      <c r="AO509" s="220">
        <f t="shared" ref="AO509:AO559" si="1643">CY509+DL509</f>
        <v>0</v>
      </c>
      <c r="AP509" s="220">
        <f t="shared" ref="AP509:AP559" si="1644">CZ509+DM509</f>
        <v>0</v>
      </c>
      <c r="AQ509" s="220">
        <f t="shared" ref="AQ509:AQ559" si="1645">DA509+DN509</f>
        <v>0</v>
      </c>
      <c r="AR509" s="220">
        <f t="shared" ref="AR509:AR559" si="1646">DV509+ED509</f>
        <v>0</v>
      </c>
      <c r="AS509" s="220">
        <f t="shared" ref="AS509:AS559" si="1647">DW509+EE509</f>
        <v>0</v>
      </c>
      <c r="AT509" s="216">
        <f t="shared" ref="AT509:AT559" si="1648">AN509+SUM(AO509:AS509)</f>
        <v>0</v>
      </c>
      <c r="AU509" s="220">
        <f t="shared" si="1631"/>
        <v>-204.16666666666666</v>
      </c>
      <c r="AV509" s="220"/>
      <c r="AW509" s="220">
        <f t="shared" si="1530"/>
        <v>-204.16666666666666</v>
      </c>
      <c r="AX509" s="216">
        <f t="shared" si="1636"/>
        <v>-204.16666666666666</v>
      </c>
      <c r="AY509" s="220">
        <f t="shared" si="1537"/>
        <v>0</v>
      </c>
      <c r="AZ509" s="220">
        <f t="shared" si="1538"/>
        <v>0</v>
      </c>
      <c r="BA509" s="220">
        <f t="shared" si="1539"/>
        <v>0</v>
      </c>
      <c r="BB509" s="220">
        <f t="shared" si="1540"/>
        <v>0</v>
      </c>
      <c r="BC509" s="220">
        <f t="shared" si="1541"/>
        <v>0</v>
      </c>
      <c r="BD509" s="216">
        <f t="shared" si="1599"/>
        <v>0</v>
      </c>
      <c r="BE509" s="220">
        <f t="shared" si="1531"/>
        <v>0</v>
      </c>
      <c r="BF509" s="220">
        <f t="shared" si="1532"/>
        <v>0</v>
      </c>
      <c r="BG509" s="220">
        <f t="shared" si="1533"/>
        <v>0</v>
      </c>
      <c r="BH509" s="220">
        <f t="shared" si="1534"/>
        <v>0</v>
      </c>
      <c r="BI509" s="220">
        <f t="shared" si="1535"/>
        <v>0</v>
      </c>
      <c r="BJ509" s="220" t="s">
        <v>1561</v>
      </c>
      <c r="BK509" s="220"/>
      <c r="BL509" s="223">
        <f t="shared" si="1609"/>
        <v>0</v>
      </c>
      <c r="BM509" s="220">
        <v>3.33</v>
      </c>
      <c r="BN509" s="220"/>
      <c r="BO509" s="220">
        <f t="shared" si="1607"/>
        <v>3.33</v>
      </c>
      <c r="BP509" s="220">
        <f>IF(AND(BL509&gt;0,BL509&lt;tiet!$D$1),BL509,IF(BL509&lt;=0,0,IF(BL509&gt;tiet!$C$1,tiet!$C$1)))</f>
        <v>0</v>
      </c>
      <c r="BQ509" s="87">
        <f t="shared" si="1614"/>
        <v>65000</v>
      </c>
      <c r="BR509" s="224">
        <f t="shared" si="1615"/>
        <v>0</v>
      </c>
      <c r="BS509" s="220">
        <f t="shared" si="1478"/>
        <v>0</v>
      </c>
      <c r="BT509" s="224">
        <f>VLOOKUP(N509,ma_dinhmuc!$A$1:$J$31,10,0)</f>
        <v>51000</v>
      </c>
      <c r="BU509" s="224">
        <f>ROUND(IF(BS509&gt;0,VLOOKUP(N509,ma_dinhmuc!$A$1:$J$31,10,0)*BS509,0),0)</f>
        <v>0</v>
      </c>
      <c r="BV509" s="224">
        <f t="shared" si="1616"/>
        <v>0</v>
      </c>
      <c r="BW509" s="224"/>
      <c r="BX509" s="224">
        <v>0</v>
      </c>
      <c r="BY509" s="224"/>
      <c r="BZ509" s="224"/>
      <c r="CA509" s="224"/>
      <c r="CB509" s="224"/>
      <c r="CC509" s="225">
        <f t="shared" si="1625"/>
        <v>0</v>
      </c>
      <c r="CD509" s="224">
        <f t="shared" si="1626"/>
        <v>0</v>
      </c>
      <c r="CE509" s="224"/>
      <c r="CF509" s="226"/>
      <c r="CG509" s="87"/>
      <c r="CH509" s="87">
        <f t="shared" si="1627"/>
        <v>15</v>
      </c>
      <c r="CI509" s="227" t="str">
        <f t="shared" si="1632"/>
        <v>Nguyễn Hữu</v>
      </c>
      <c r="CJ509" s="227" t="str">
        <f t="shared" si="1633"/>
        <v>Du</v>
      </c>
      <c r="CK509" s="87">
        <f t="shared" si="1634"/>
        <v>10</v>
      </c>
      <c r="CL509" s="227" t="str">
        <f t="shared" si="1608"/>
        <v>Toán</v>
      </c>
      <c r="CM509" s="87" t="str">
        <f t="shared" si="1536"/>
        <v>CB2</v>
      </c>
      <c r="CN509" s="87">
        <f t="shared" ref="CN509:CO511" si="1649">Q509</f>
        <v>270</v>
      </c>
      <c r="CO509" s="87">
        <f t="shared" si="1649"/>
        <v>80</v>
      </c>
      <c r="CP509" s="229">
        <f t="shared" si="1483"/>
        <v>0</v>
      </c>
      <c r="CQ509" s="229">
        <f t="shared" si="1484"/>
        <v>0</v>
      </c>
      <c r="CR509" s="229">
        <f t="shared" si="1485"/>
        <v>0</v>
      </c>
      <c r="CS509" s="229">
        <f t="shared" si="1486"/>
        <v>0</v>
      </c>
      <c r="CT509" s="229">
        <f t="shared" si="1487"/>
        <v>0</v>
      </c>
      <c r="CU509" s="229">
        <f t="shared" si="1488"/>
        <v>0</v>
      </c>
      <c r="CV509" s="229">
        <f t="shared" si="1489"/>
        <v>0</v>
      </c>
      <c r="CW509" s="229">
        <f t="shared" si="1490"/>
        <v>0</v>
      </c>
      <c r="CX509" s="229">
        <f t="shared" si="1491"/>
        <v>0</v>
      </c>
      <c r="CY509" s="229">
        <f t="shared" si="1492"/>
        <v>0</v>
      </c>
      <c r="CZ509" s="229">
        <f t="shared" si="1493"/>
        <v>0</v>
      </c>
      <c r="DA509" s="229">
        <f t="shared" si="1494"/>
        <v>0</v>
      </c>
      <c r="DB509" s="228">
        <f t="shared" ref="DB509:DB559" si="1650">SUM(CP509:DA509)</f>
        <v>0</v>
      </c>
      <c r="DC509" s="229"/>
      <c r="DD509" s="229"/>
      <c r="DE509" s="229"/>
      <c r="DF509" s="229"/>
      <c r="DG509" s="229"/>
      <c r="DH509" s="229"/>
      <c r="DI509" s="229"/>
      <c r="DJ509" s="229"/>
      <c r="DK509" s="229"/>
      <c r="DL509" s="229"/>
      <c r="DM509" s="229"/>
      <c r="DN509" s="229"/>
      <c r="DO509" s="228">
        <f t="shared" ref="DO509:DO559" si="1651">SUM(DC509:DN509)</f>
        <v>0</v>
      </c>
      <c r="DP509" s="228">
        <f t="shared" ref="DP509:DP559" si="1652">DO509+DB509</f>
        <v>0</v>
      </c>
      <c r="DQ509" s="229">
        <f t="shared" si="1495"/>
        <v>0</v>
      </c>
      <c r="DR509" s="229">
        <f t="shared" si="1496"/>
        <v>0</v>
      </c>
      <c r="DS509" s="229">
        <f t="shared" si="1497"/>
        <v>0</v>
      </c>
      <c r="DT509" s="229">
        <f t="shared" si="1498"/>
        <v>0</v>
      </c>
      <c r="DU509" s="229">
        <f t="shared" si="1499"/>
        <v>0</v>
      </c>
      <c r="DV509" s="229">
        <f t="shared" si="1500"/>
        <v>0</v>
      </c>
      <c r="DW509" s="229">
        <f t="shared" si="1501"/>
        <v>0</v>
      </c>
      <c r="DX509" s="228">
        <f t="shared" ref="DX509:DX559" si="1653">SUM(DQ509:DW509)</f>
        <v>0</v>
      </c>
      <c r="DY509" s="229"/>
      <c r="DZ509" s="229"/>
      <c r="EA509" s="229"/>
      <c r="EB509" s="229"/>
      <c r="EC509" s="229"/>
      <c r="ED509" s="229"/>
      <c r="EE509" s="229"/>
      <c r="EF509" s="228">
        <f t="shared" si="1480"/>
        <v>0</v>
      </c>
      <c r="EG509" s="228">
        <f t="shared" ref="EG509:EG559" si="1654">EF509+DX509</f>
        <v>0</v>
      </c>
      <c r="EH509" s="229">
        <f t="shared" si="1481"/>
        <v>0</v>
      </c>
      <c r="EI509" s="229">
        <v>0</v>
      </c>
      <c r="EJ509" s="228">
        <f t="shared" si="1620"/>
        <v>0</v>
      </c>
      <c r="EK509" s="229"/>
      <c r="EL509" s="229"/>
      <c r="EM509" s="228">
        <f t="shared" si="1598"/>
        <v>0</v>
      </c>
      <c r="EN509" s="229">
        <f t="shared" si="1591"/>
        <v>0</v>
      </c>
      <c r="EO509" s="229">
        <f t="shared" si="1628"/>
        <v>0</v>
      </c>
      <c r="EP509" s="228">
        <f t="shared" si="1601"/>
        <v>0</v>
      </c>
      <c r="EQ509" s="173">
        <f t="shared" si="1479"/>
        <v>0</v>
      </c>
      <c r="ER509" s="189">
        <v>0</v>
      </c>
      <c r="ES509" s="189">
        <v>0</v>
      </c>
      <c r="ET509" s="189">
        <v>0</v>
      </c>
      <c r="EU509" s="189">
        <v>0</v>
      </c>
      <c r="EV509" s="189">
        <v>0</v>
      </c>
      <c r="EW509" s="189">
        <v>0</v>
      </c>
      <c r="EX509" s="189">
        <v>0</v>
      </c>
      <c r="EY509" s="189">
        <v>0</v>
      </c>
      <c r="EZ509" s="189">
        <v>0</v>
      </c>
      <c r="FA509" s="189">
        <v>0</v>
      </c>
      <c r="FB509" s="189">
        <v>0</v>
      </c>
      <c r="FC509" s="189">
        <v>0</v>
      </c>
      <c r="FD509" s="189">
        <v>0</v>
      </c>
      <c r="FE509" s="189">
        <v>0</v>
      </c>
      <c r="FF509" s="189">
        <v>0</v>
      </c>
      <c r="FG509" s="189">
        <v>0</v>
      </c>
      <c r="FH509" s="189">
        <v>0</v>
      </c>
      <c r="FI509" s="189">
        <v>0</v>
      </c>
      <c r="FJ509" s="189">
        <v>0</v>
      </c>
      <c r="FK509" s="189">
        <v>0</v>
      </c>
      <c r="FL509" s="189">
        <v>0</v>
      </c>
      <c r="FN509" s="132">
        <v>0</v>
      </c>
    </row>
    <row r="510" spans="1:170" ht="30" customHeight="1">
      <c r="A510" s="88">
        <f>COUNTIF($H$12:H510,H510)</f>
        <v>16</v>
      </c>
      <c r="B510" s="88" t="s">
        <v>154</v>
      </c>
      <c r="C510" s="88" t="s">
        <v>1225</v>
      </c>
      <c r="D510" s="88"/>
      <c r="E510" s="88"/>
      <c r="F510" s="301" t="s">
        <v>3039</v>
      </c>
      <c r="G510" s="89" t="s">
        <v>30</v>
      </c>
      <c r="H510" s="88">
        <v>10</v>
      </c>
      <c r="I510" s="88">
        <v>10</v>
      </c>
      <c r="J510" s="88">
        <v>10</v>
      </c>
      <c r="K510" s="90" t="s">
        <v>1109</v>
      </c>
      <c r="L510" s="90" t="s">
        <v>1109</v>
      </c>
      <c r="M510" s="214"/>
      <c r="N510" s="88" t="s">
        <v>1179</v>
      </c>
      <c r="O510" s="216">
        <f t="shared" si="1611"/>
        <v>3.66</v>
      </c>
      <c r="P510" s="88" t="str">
        <f t="shared" si="1594"/>
        <v>B11_4</v>
      </c>
      <c r="Q510" s="88">
        <f t="shared" si="1567"/>
        <v>270</v>
      </c>
      <c r="R510" s="88">
        <f t="shared" si="1568"/>
        <v>80</v>
      </c>
      <c r="S510" s="218" t="s">
        <v>3087</v>
      </c>
      <c r="T510" s="88" t="s">
        <v>2961</v>
      </c>
      <c r="U510" s="88">
        <f>IF(RIGHT(T510,1)="K",(VLOOKUP(T510,ma_miengiam!$A$3:$B$80,2,0)*100)/2,VLOOKUP(T510,ma_miengiam!$A$3:$B$80,2,0)*100)</f>
        <v>100</v>
      </c>
      <c r="V510" s="88"/>
      <c r="W510" s="220">
        <f>IF(AND(T510="NTS",V510&gt;0),(Q510-(Q510*V510)/12)*VLOOKUP(T510,ma_miengiam!$A$3:$B$80,2,0)+(Q510-(Q510*(12-V510))/12),IF(AND(RIGHT(T510,1)="K",V510&gt;0),(VLOOKUP(T510,ma_miengiam!$A$3:$B$80,2,0)/2)*(Q510*V510)/12,IF(RIGHT(T510,1)="K",(VLOOKUP(T510,ma_miengiam!$A$3:$B$80,2,0)*Q510)/2,IF(V510&gt;0,VLOOKUP(T510,ma_miengiam!$A$3:$B$80,2,0)*Q510*V510/12,VLOOKUP(T510,ma_miengiam!$A$3:$B$80,2,0)*Q510))))</f>
        <v>270</v>
      </c>
      <c r="X510" s="220">
        <f>IF(T510="NTS",VLOOKUP(T510,ma_miengiam!$A$3:$B$80,2,0)*R510*V510,IF(AND(T510="NTS",V510=0),0,IF(AND(LEFT(T510,1)="K",V510=0),VLOOKUP(T510,ma_miengiam!$A$3:$B$80,2,0)*R510,IF(LEFT(T510,1)="K",(VLOOKUP(T510,ma_miengiam!$A$3:$B$80,2,0)*R510/12)*V510,IF(AND(LEFT(T510,1)="S",V510&gt;0),(R510/12)*V510,IF(AND(LEFT(T510,1)="S",V510=0),R510,IF(T510="DH",VLOOKUP(T510,ma_miengiam!$A$3:$B$80,2,0)*R510,0)))))))</f>
        <v>80</v>
      </c>
      <c r="Y510" s="220">
        <f>IF(AND(T510="DH",V510&gt;0),(S510*V510/12),IF(AND(T510&lt;&gt;"NTS",V510&gt;0),(Q510*V510/12)-W510,IF(AND(T510="NTS",V510&gt;0),Q510-W510,Q510-W510)))</f>
        <v>0</v>
      </c>
      <c r="Z510" s="220">
        <f t="shared" si="1621"/>
        <v>0</v>
      </c>
      <c r="AA510" s="220">
        <f t="shared" si="1638"/>
        <v>270</v>
      </c>
      <c r="AB510" s="220">
        <f t="shared" si="1638"/>
        <v>80</v>
      </c>
      <c r="AC510" s="220">
        <f t="shared" ref="AC510:AF511" si="1655">W510</f>
        <v>270</v>
      </c>
      <c r="AD510" s="220">
        <f t="shared" si="1655"/>
        <v>80</v>
      </c>
      <c r="AE510" s="220">
        <f t="shared" si="1655"/>
        <v>0</v>
      </c>
      <c r="AF510" s="220">
        <f t="shared" si="1655"/>
        <v>0</v>
      </c>
      <c r="AG510" s="220">
        <f t="shared" si="1604"/>
        <v>0</v>
      </c>
      <c r="AH510" s="220">
        <f t="shared" si="1605"/>
        <v>0</v>
      </c>
      <c r="AI510" s="220">
        <f t="shared" si="1606"/>
        <v>0</v>
      </c>
      <c r="AJ510" s="220">
        <f t="shared" si="1613"/>
        <v>0</v>
      </c>
      <c r="AK510" s="216">
        <f t="shared" si="1639"/>
        <v>0</v>
      </c>
      <c r="AL510" s="220">
        <f t="shared" si="1640"/>
        <v>0</v>
      </c>
      <c r="AM510" s="220">
        <f t="shared" si="1641"/>
        <v>0</v>
      </c>
      <c r="AN510" s="221">
        <f t="shared" si="1642"/>
        <v>0</v>
      </c>
      <c r="AO510" s="220">
        <f t="shared" si="1643"/>
        <v>0</v>
      </c>
      <c r="AP510" s="220">
        <f t="shared" si="1644"/>
        <v>0</v>
      </c>
      <c r="AQ510" s="220">
        <f t="shared" si="1645"/>
        <v>0</v>
      </c>
      <c r="AR510" s="220">
        <f t="shared" si="1646"/>
        <v>0</v>
      </c>
      <c r="AS510" s="220">
        <f t="shared" si="1647"/>
        <v>0</v>
      </c>
      <c r="AT510" s="216">
        <f t="shared" si="1648"/>
        <v>0</v>
      </c>
      <c r="AU510" s="220">
        <f t="shared" si="1631"/>
        <v>0</v>
      </c>
      <c r="AV510" s="220"/>
      <c r="AW510" s="220">
        <f>IF(AU510&gt;0,AU510,AV510+AU510)</f>
        <v>0</v>
      </c>
      <c r="AX510" s="216">
        <f t="shared" si="1636"/>
        <v>0</v>
      </c>
      <c r="AY510" s="220">
        <f>IF(AN510&gt;=AK510,AO510,IF(AN510+AO510-AK510&gt;=0,AN510+AO510-AK510,0))</f>
        <v>0</v>
      </c>
      <c r="AZ510" s="220">
        <f>IF(OR(AN510&gt;=AK510,AN510+AO510&gt;=AK510),AP510,IF(AN510+AO510+AP510&gt;AK510,AN510+AO510+AP510-AK510,0))</f>
        <v>0</v>
      </c>
      <c r="BA510" s="220">
        <f>IF(OR(AN510&gt;=AK510,AN510+AO510&gt;=AK510,AN510+AO510+AP510&gt;=AK510),AQ510,IF(AN510+AO510+AP510+AQ510&gt;=AK510,AN510+AO510+AP510+AQ510-AK510,0))</f>
        <v>0</v>
      </c>
      <c r="BB510" s="220">
        <f>IF(OR(AN510&gt;=AK510,AN510+AO510&gt;=AK510,AN510+AO510+AP510&gt;=AK510,AN510+AO510+AP510+AQ510&gt;=AK510),AR510,IF(AN510+AO510+AP510+AQ510+AR510&gt;=AK510,AN510+AO510+AP510+AQ510+AR510-AK510,0))</f>
        <v>0</v>
      </c>
      <c r="BC510" s="220">
        <f>IF(OR(AN510&gt;=AK510,AN510+AO510&gt;=AK510,AN510+AO510+AP510&gt;=AK510,AN510+AO510+AP510+AQ510&gt;=AK510,AN510+AO510+AP510+AQ510+AR510&gt;=AK510),AS510,IF(AN510+AO510+AP510+AQ510+AR510+AS510&gt;=AK510,AN510+AO510+AP510+AQ510+AR510+AS510-AK510,0))</f>
        <v>0</v>
      </c>
      <c r="BD510" s="216">
        <f t="shared" si="1599"/>
        <v>0</v>
      </c>
      <c r="BE510" s="220">
        <f>AY510-AO510</f>
        <v>0</v>
      </c>
      <c r="BF510" s="220">
        <f>AZ510-AP510</f>
        <v>0</v>
      </c>
      <c r="BG510" s="220">
        <f>BA510-AQ510</f>
        <v>0</v>
      </c>
      <c r="BH510" s="220">
        <f>BB510-AR510</f>
        <v>0</v>
      </c>
      <c r="BI510" s="220">
        <f>BC510-AS510</f>
        <v>0</v>
      </c>
      <c r="BJ510" s="220" t="s">
        <v>1561</v>
      </c>
      <c r="BK510" s="220"/>
      <c r="BL510" s="223">
        <f t="shared" si="1609"/>
        <v>0</v>
      </c>
      <c r="BM510" s="220">
        <v>3.66</v>
      </c>
      <c r="BN510" s="220"/>
      <c r="BO510" s="220">
        <f t="shared" si="1607"/>
        <v>3.66</v>
      </c>
      <c r="BP510" s="220">
        <f>IF(AND(BL510&gt;0,BL510&lt;tiet!$D$1),BL510,IF(BL510&lt;=0,0,IF(BL510&gt;tiet!$C$1,tiet!$C$1)))</f>
        <v>0</v>
      </c>
      <c r="BQ510" s="87">
        <f t="shared" si="1614"/>
        <v>65000</v>
      </c>
      <c r="BR510" s="224">
        <f t="shared" si="1615"/>
        <v>0</v>
      </c>
      <c r="BS510" s="220">
        <f t="shared" si="1478"/>
        <v>0</v>
      </c>
      <c r="BT510" s="224">
        <f>VLOOKUP(N510,ma_dinhmuc!$A$1:$J$31,10,0)</f>
        <v>51000</v>
      </c>
      <c r="BU510" s="224">
        <f>ROUND(IF(BS510&gt;0,VLOOKUP(N510,ma_dinhmuc!$A$1:$J$31,10,0)*BS510,0),0)</f>
        <v>0</v>
      </c>
      <c r="BV510" s="224">
        <f t="shared" si="1616"/>
        <v>0</v>
      </c>
      <c r="BW510" s="224"/>
      <c r="BX510" s="224">
        <v>0</v>
      </c>
      <c r="BY510" s="224"/>
      <c r="BZ510" s="224"/>
      <c r="CA510" s="224"/>
      <c r="CB510" s="224"/>
      <c r="CC510" s="225">
        <f t="shared" si="1625"/>
        <v>0</v>
      </c>
      <c r="CD510" s="224">
        <f t="shared" si="1626"/>
        <v>0</v>
      </c>
      <c r="CE510" s="224"/>
      <c r="CF510" s="226"/>
      <c r="CG510" s="87"/>
      <c r="CH510" s="87">
        <f t="shared" si="1627"/>
        <v>16</v>
      </c>
      <c r="CI510" s="227" t="str">
        <f t="shared" si="1632"/>
        <v>Đào Thu</v>
      </c>
      <c r="CJ510" s="227" t="str">
        <f t="shared" si="1633"/>
        <v>Huyên</v>
      </c>
      <c r="CK510" s="87">
        <f t="shared" si="1634"/>
        <v>10</v>
      </c>
      <c r="CL510" s="227" t="str">
        <f t="shared" si="1608"/>
        <v>Toán</v>
      </c>
      <c r="CM510" s="87" t="str">
        <f>N510</f>
        <v>CB2</v>
      </c>
      <c r="CN510" s="87">
        <f>Q510</f>
        <v>270</v>
      </c>
      <c r="CO510" s="87">
        <f>R510</f>
        <v>80</v>
      </c>
      <c r="CP510" s="229">
        <f t="shared" si="1483"/>
        <v>0</v>
      </c>
      <c r="CQ510" s="229">
        <f t="shared" si="1484"/>
        <v>0</v>
      </c>
      <c r="CR510" s="229">
        <f t="shared" si="1485"/>
        <v>0</v>
      </c>
      <c r="CS510" s="229">
        <f t="shared" si="1486"/>
        <v>0</v>
      </c>
      <c r="CT510" s="229">
        <f t="shared" si="1487"/>
        <v>0</v>
      </c>
      <c r="CU510" s="229">
        <f t="shared" si="1488"/>
        <v>0</v>
      </c>
      <c r="CV510" s="229">
        <f t="shared" si="1489"/>
        <v>0</v>
      </c>
      <c r="CW510" s="229">
        <f t="shared" si="1490"/>
        <v>0</v>
      </c>
      <c r="CX510" s="229">
        <f t="shared" si="1491"/>
        <v>0</v>
      </c>
      <c r="CY510" s="229">
        <f t="shared" si="1492"/>
        <v>0</v>
      </c>
      <c r="CZ510" s="229">
        <f t="shared" si="1493"/>
        <v>0</v>
      </c>
      <c r="DA510" s="229">
        <f t="shared" si="1494"/>
        <v>0</v>
      </c>
      <c r="DB510" s="228">
        <f t="shared" si="1650"/>
        <v>0</v>
      </c>
      <c r="DC510" s="229"/>
      <c r="DD510" s="229"/>
      <c r="DE510" s="229"/>
      <c r="DF510" s="229"/>
      <c r="DG510" s="229"/>
      <c r="DH510" s="229"/>
      <c r="DI510" s="229"/>
      <c r="DJ510" s="229"/>
      <c r="DK510" s="229"/>
      <c r="DL510" s="229"/>
      <c r="DM510" s="229"/>
      <c r="DN510" s="229"/>
      <c r="DO510" s="228">
        <f t="shared" si="1651"/>
        <v>0</v>
      </c>
      <c r="DP510" s="228">
        <f t="shared" si="1652"/>
        <v>0</v>
      </c>
      <c r="DQ510" s="229">
        <f t="shared" si="1495"/>
        <v>0</v>
      </c>
      <c r="DR510" s="229">
        <f t="shared" si="1496"/>
        <v>0</v>
      </c>
      <c r="DS510" s="229">
        <f t="shared" si="1497"/>
        <v>0</v>
      </c>
      <c r="DT510" s="229">
        <f t="shared" si="1498"/>
        <v>0</v>
      </c>
      <c r="DU510" s="229">
        <f t="shared" si="1499"/>
        <v>0</v>
      </c>
      <c r="DV510" s="229">
        <f t="shared" si="1500"/>
        <v>0</v>
      </c>
      <c r="DW510" s="229">
        <f t="shared" si="1501"/>
        <v>0</v>
      </c>
      <c r="DX510" s="228">
        <f t="shared" si="1653"/>
        <v>0</v>
      </c>
      <c r="DY510" s="229"/>
      <c r="DZ510" s="229"/>
      <c r="EA510" s="229"/>
      <c r="EB510" s="229"/>
      <c r="EC510" s="229"/>
      <c r="ED510" s="229"/>
      <c r="EE510" s="229"/>
      <c r="EF510" s="228">
        <f t="shared" si="1480"/>
        <v>0</v>
      </c>
      <c r="EG510" s="228">
        <f t="shared" si="1654"/>
        <v>0</v>
      </c>
      <c r="EH510" s="229">
        <f t="shared" si="1481"/>
        <v>0</v>
      </c>
      <c r="EI510" s="229">
        <v>0</v>
      </c>
      <c r="EJ510" s="228">
        <f t="shared" si="1620"/>
        <v>0</v>
      </c>
      <c r="EK510" s="229"/>
      <c r="EL510" s="229"/>
      <c r="EM510" s="228">
        <f t="shared" si="1598"/>
        <v>0</v>
      </c>
      <c r="EN510" s="229">
        <f>EK510+EH510+EL510</f>
        <v>0</v>
      </c>
      <c r="EO510" s="229">
        <f t="shared" si="1628"/>
        <v>0</v>
      </c>
      <c r="EP510" s="228">
        <f t="shared" si="1601"/>
        <v>0</v>
      </c>
      <c r="EQ510" s="173">
        <f t="shared" si="1479"/>
        <v>0</v>
      </c>
      <c r="ER510" s="189">
        <v>0</v>
      </c>
      <c r="ES510" s="189">
        <v>0</v>
      </c>
      <c r="ET510" s="189">
        <v>0</v>
      </c>
      <c r="EU510" s="189">
        <v>0</v>
      </c>
      <c r="EV510" s="189">
        <v>0</v>
      </c>
      <c r="EW510" s="189">
        <v>0</v>
      </c>
      <c r="EX510" s="189">
        <v>0</v>
      </c>
      <c r="EY510" s="189">
        <v>0</v>
      </c>
      <c r="EZ510" s="189">
        <v>0</v>
      </c>
      <c r="FA510" s="189">
        <v>0</v>
      </c>
      <c r="FB510" s="189">
        <v>0</v>
      </c>
      <c r="FC510" s="189">
        <v>0</v>
      </c>
      <c r="FD510" s="189">
        <v>0</v>
      </c>
      <c r="FE510" s="189">
        <v>0</v>
      </c>
      <c r="FF510" s="189">
        <v>0</v>
      </c>
      <c r="FG510" s="189">
        <v>0</v>
      </c>
      <c r="FH510" s="189">
        <v>0</v>
      </c>
      <c r="FI510" s="189">
        <v>0</v>
      </c>
      <c r="FJ510" s="189">
        <v>0</v>
      </c>
      <c r="FK510" s="189">
        <v>0</v>
      </c>
      <c r="FL510" s="189">
        <v>0</v>
      </c>
      <c r="FN510" s="132">
        <v>0</v>
      </c>
    </row>
    <row r="511" spans="1:170" ht="30" customHeight="1">
      <c r="A511" s="88">
        <f>COUNTIF($H$12:H511,H511)</f>
        <v>17</v>
      </c>
      <c r="B511" s="88" t="s">
        <v>1244</v>
      </c>
      <c r="C511" s="88" t="s">
        <v>1226</v>
      </c>
      <c r="D511" s="88"/>
      <c r="E511" s="88"/>
      <c r="F511" s="301" t="s">
        <v>171</v>
      </c>
      <c r="G511" s="89" t="s">
        <v>2901</v>
      </c>
      <c r="H511" s="88">
        <v>10</v>
      </c>
      <c r="I511" s="88">
        <v>10</v>
      </c>
      <c r="J511" s="88">
        <v>10</v>
      </c>
      <c r="K511" s="90" t="s">
        <v>1110</v>
      </c>
      <c r="L511" s="90" t="s">
        <v>1110</v>
      </c>
      <c r="M511" s="214"/>
      <c r="N511" s="88" t="s">
        <v>1179</v>
      </c>
      <c r="O511" s="216">
        <f t="shared" ref="O511:O534" si="1656">BO511</f>
        <v>3.66</v>
      </c>
      <c r="P511" s="88" t="str">
        <f t="shared" si="1594"/>
        <v>B11_4</v>
      </c>
      <c r="Q511" s="88">
        <f t="shared" si="1567"/>
        <v>270</v>
      </c>
      <c r="R511" s="88">
        <f t="shared" si="1568"/>
        <v>80</v>
      </c>
      <c r="S511" s="218" t="s">
        <v>676</v>
      </c>
      <c r="T511" s="219" t="s">
        <v>3089</v>
      </c>
      <c r="U511" s="88">
        <f>IF(RIGHT(T511,1)="K",(VLOOKUP(T511,ma_miengiam!$A$3:$B$80,2,0)*100)/2,VLOOKUP(T511,ma_miengiam!$A$3:$B$80,2,0)*100)</f>
        <v>10</v>
      </c>
      <c r="V511" s="88"/>
      <c r="W511" s="220">
        <f>IF(AND(T511="NTS",V511&gt;0),(Q511-(Q511*V511)/12)*VLOOKUP(T511,ma_miengiam!$A$3:$B$80,2,0)+(Q511-(Q511*(12-V511))/12),IF(AND(RIGHT(T511,1)="K",V511&gt;0),(VLOOKUP(T511,ma_miengiam!$A$3:$B$80,2,0)/2)*(Q511*V511)/12,IF(RIGHT(T511,1)="K",(VLOOKUP(T511,ma_miengiam!$A$3:$B$80,2,0)*Q511)/2,IF(V511&gt;0,VLOOKUP(T511,ma_miengiam!$A$3:$B$80,2,0)*Q511*V511/12,VLOOKUP(T511,ma_miengiam!$A$3:$B$80,2,0)*Q511))))</f>
        <v>27</v>
      </c>
      <c r="X511" s="220">
        <f>IF(T511="NTS",VLOOKUP(T511,ma_miengiam!$A$3:$B$80,2,0)*R511*V511,IF(AND(T511="NTS",V511=0),0,IF(AND(LEFT(T511,1)="K",V511=0),VLOOKUP(T511,ma_miengiam!$A$3:$B$80,2,0)*R511,IF(LEFT(T511,1)="K",(VLOOKUP(T511,ma_miengiam!$A$3:$B$80,2,0)*R511/12)*V511,IF(AND(LEFT(T511,1)="S",V511&gt;0),(R511/12)*V511,IF(AND(LEFT(T511,1)="S",V511=0),R511,IF(T511="DH",VLOOKUP(T511,ma_miengiam!$A$3:$B$80,2,0)*R511,0)))))))</f>
        <v>0</v>
      </c>
      <c r="Y511" s="220">
        <f t="shared" si="1521"/>
        <v>243</v>
      </c>
      <c r="Z511" s="220">
        <f t="shared" si="1569"/>
        <v>80</v>
      </c>
      <c r="AA511" s="220">
        <f t="shared" si="1638"/>
        <v>270</v>
      </c>
      <c r="AB511" s="220">
        <f t="shared" si="1638"/>
        <v>80</v>
      </c>
      <c r="AC511" s="220">
        <f t="shared" si="1655"/>
        <v>27</v>
      </c>
      <c r="AD511" s="220">
        <f t="shared" si="1655"/>
        <v>0</v>
      </c>
      <c r="AE511" s="220">
        <f t="shared" si="1655"/>
        <v>243</v>
      </c>
      <c r="AF511" s="220">
        <f t="shared" si="1655"/>
        <v>80</v>
      </c>
      <c r="AG511" s="220">
        <f t="shared" si="1604"/>
        <v>67.5</v>
      </c>
      <c r="AH511" s="220">
        <f t="shared" si="1605"/>
        <v>0</v>
      </c>
      <c r="AI511" s="220">
        <f t="shared" si="1606"/>
        <v>67.5</v>
      </c>
      <c r="AJ511" s="220">
        <f t="shared" si="1551"/>
        <v>-12.5</v>
      </c>
      <c r="AK511" s="216">
        <f t="shared" si="1639"/>
        <v>255.5</v>
      </c>
      <c r="AL511" s="220">
        <f t="shared" si="1640"/>
        <v>226.7</v>
      </c>
      <c r="AM511" s="220">
        <f t="shared" si="1641"/>
        <v>0</v>
      </c>
      <c r="AN511" s="221">
        <f t="shared" si="1642"/>
        <v>226.7</v>
      </c>
      <c r="AO511" s="220">
        <f t="shared" si="1643"/>
        <v>0</v>
      </c>
      <c r="AP511" s="220">
        <f t="shared" si="1644"/>
        <v>0</v>
      </c>
      <c r="AQ511" s="220">
        <f t="shared" si="1645"/>
        <v>0</v>
      </c>
      <c r="AR511" s="220">
        <f t="shared" si="1646"/>
        <v>0</v>
      </c>
      <c r="AS511" s="220">
        <f t="shared" si="1647"/>
        <v>0</v>
      </c>
      <c r="AT511" s="216">
        <f t="shared" si="1648"/>
        <v>226.7</v>
      </c>
      <c r="AU511" s="222">
        <f t="shared" si="1631"/>
        <v>-28.800000000000011</v>
      </c>
      <c r="AV511" s="220"/>
      <c r="AW511" s="220">
        <f t="shared" si="1530"/>
        <v>-28.800000000000011</v>
      </c>
      <c r="AX511" s="216">
        <f t="shared" si="1636"/>
        <v>-28.800000000000011</v>
      </c>
      <c r="AY511" s="220">
        <f t="shared" si="1537"/>
        <v>0</v>
      </c>
      <c r="AZ511" s="220">
        <f t="shared" si="1538"/>
        <v>0</v>
      </c>
      <c r="BA511" s="220">
        <f t="shared" si="1539"/>
        <v>0</v>
      </c>
      <c r="BB511" s="220">
        <f t="shared" si="1540"/>
        <v>0</v>
      </c>
      <c r="BC511" s="220">
        <f t="shared" si="1541"/>
        <v>0</v>
      </c>
      <c r="BD511" s="216">
        <f t="shared" si="1599"/>
        <v>0</v>
      </c>
      <c r="BE511" s="220">
        <f t="shared" si="1531"/>
        <v>0</v>
      </c>
      <c r="BF511" s="220">
        <f t="shared" si="1532"/>
        <v>0</v>
      </c>
      <c r="BG511" s="220">
        <f t="shared" si="1533"/>
        <v>0</v>
      </c>
      <c r="BH511" s="220">
        <f t="shared" si="1534"/>
        <v>0</v>
      </c>
      <c r="BI511" s="220">
        <f t="shared" si="1535"/>
        <v>0</v>
      </c>
      <c r="BJ511" s="220" t="s">
        <v>1562</v>
      </c>
      <c r="BK511" s="220"/>
      <c r="BL511" s="223">
        <f t="shared" si="1609"/>
        <v>0</v>
      </c>
      <c r="BM511" s="220">
        <v>3.66</v>
      </c>
      <c r="BN511" s="220"/>
      <c r="BO511" s="220">
        <f t="shared" si="1607"/>
        <v>3.66</v>
      </c>
      <c r="BP511" s="220">
        <f>IF(AND(BL511&gt;0,BL511&lt;tiet!$D$1),BL511,IF(BL511&lt;=0,0,IF(BL511&gt;tiet!$C$1,tiet!$C$1)))</f>
        <v>0</v>
      </c>
      <c r="BQ511" s="87">
        <f t="shared" si="1552"/>
        <v>65000</v>
      </c>
      <c r="BR511" s="224">
        <f t="shared" si="1544"/>
        <v>0</v>
      </c>
      <c r="BS511" s="220">
        <f t="shared" si="1478"/>
        <v>0</v>
      </c>
      <c r="BT511" s="224">
        <f>VLOOKUP(N511,ma_dinhmuc!$A$1:$J$31,10,0)</f>
        <v>51000</v>
      </c>
      <c r="BU511" s="224">
        <f>ROUND(IF(BS511&gt;0,VLOOKUP(N511,ma_dinhmuc!$A$1:$J$31,10,0)*BS511,0),0)</f>
        <v>0</v>
      </c>
      <c r="BV511" s="224">
        <f t="shared" si="1545"/>
        <v>0</v>
      </c>
      <c r="BW511" s="224"/>
      <c r="BX511" s="224">
        <v>0</v>
      </c>
      <c r="BY511" s="224"/>
      <c r="BZ511" s="224"/>
      <c r="CA511" s="224"/>
      <c r="CB511" s="224"/>
      <c r="CC511" s="225">
        <f t="shared" si="1595"/>
        <v>0</v>
      </c>
      <c r="CD511" s="224">
        <f t="shared" si="1596"/>
        <v>0</v>
      </c>
      <c r="CE511" s="224"/>
      <c r="CF511" s="226"/>
      <c r="CG511" s="87"/>
      <c r="CH511" s="87">
        <f t="shared" si="1617"/>
        <v>17</v>
      </c>
      <c r="CI511" s="227" t="str">
        <f t="shared" si="1632"/>
        <v>Lê Văn</v>
      </c>
      <c r="CJ511" s="227" t="str">
        <f t="shared" si="1633"/>
        <v>Dũng</v>
      </c>
      <c r="CK511" s="87">
        <f t="shared" si="1634"/>
        <v>10</v>
      </c>
      <c r="CL511" s="227" t="str">
        <f t="shared" si="1608"/>
        <v>Vật lý</v>
      </c>
      <c r="CM511" s="87" t="str">
        <f t="shared" si="1536"/>
        <v>CB2</v>
      </c>
      <c r="CN511" s="87">
        <f t="shared" si="1649"/>
        <v>270</v>
      </c>
      <c r="CO511" s="87">
        <f t="shared" si="1649"/>
        <v>80</v>
      </c>
      <c r="CP511" s="229">
        <f t="shared" si="1483"/>
        <v>0</v>
      </c>
      <c r="CQ511" s="229">
        <f t="shared" si="1484"/>
        <v>25.9</v>
      </c>
      <c r="CR511" s="229">
        <f t="shared" si="1485"/>
        <v>10.5</v>
      </c>
      <c r="CS511" s="229">
        <f t="shared" si="1486"/>
        <v>0</v>
      </c>
      <c r="CT511" s="229">
        <f t="shared" si="1487"/>
        <v>0</v>
      </c>
      <c r="CU511" s="229">
        <f t="shared" si="1488"/>
        <v>100.3</v>
      </c>
      <c r="CV511" s="229">
        <f t="shared" si="1489"/>
        <v>0</v>
      </c>
      <c r="CW511" s="229">
        <f t="shared" si="1490"/>
        <v>90</v>
      </c>
      <c r="CX511" s="229">
        <f t="shared" si="1491"/>
        <v>0</v>
      </c>
      <c r="CY511" s="229">
        <f t="shared" si="1492"/>
        <v>0</v>
      </c>
      <c r="CZ511" s="229">
        <f t="shared" si="1493"/>
        <v>0</v>
      </c>
      <c r="DA511" s="229">
        <f t="shared" si="1494"/>
        <v>0</v>
      </c>
      <c r="DB511" s="228">
        <f t="shared" si="1650"/>
        <v>226.7</v>
      </c>
      <c r="DC511" s="229"/>
      <c r="DD511" s="229"/>
      <c r="DE511" s="229"/>
      <c r="DF511" s="229"/>
      <c r="DG511" s="229"/>
      <c r="DH511" s="229"/>
      <c r="DI511" s="229"/>
      <c r="DJ511" s="229"/>
      <c r="DK511" s="229"/>
      <c r="DL511" s="229"/>
      <c r="DM511" s="229"/>
      <c r="DN511" s="229"/>
      <c r="DO511" s="228">
        <f t="shared" si="1651"/>
        <v>0</v>
      </c>
      <c r="DP511" s="228">
        <f t="shared" si="1652"/>
        <v>226.7</v>
      </c>
      <c r="DQ511" s="229">
        <f t="shared" si="1495"/>
        <v>0</v>
      </c>
      <c r="DR511" s="229">
        <f t="shared" si="1496"/>
        <v>0</v>
      </c>
      <c r="DS511" s="229">
        <f t="shared" si="1497"/>
        <v>0</v>
      </c>
      <c r="DT511" s="229">
        <f t="shared" si="1498"/>
        <v>0</v>
      </c>
      <c r="DU511" s="229">
        <f t="shared" si="1499"/>
        <v>0</v>
      </c>
      <c r="DV511" s="229">
        <f t="shared" si="1500"/>
        <v>0</v>
      </c>
      <c r="DW511" s="229">
        <f t="shared" si="1501"/>
        <v>0</v>
      </c>
      <c r="DX511" s="228">
        <f t="shared" si="1653"/>
        <v>0</v>
      </c>
      <c r="DY511" s="229"/>
      <c r="DZ511" s="229"/>
      <c r="EA511" s="229"/>
      <c r="EB511" s="229"/>
      <c r="EC511" s="229"/>
      <c r="ED511" s="229"/>
      <c r="EE511" s="229"/>
      <c r="EF511" s="228">
        <f t="shared" si="1480"/>
        <v>0</v>
      </c>
      <c r="EG511" s="228">
        <f t="shared" si="1654"/>
        <v>0</v>
      </c>
      <c r="EH511" s="229">
        <f t="shared" si="1481"/>
        <v>67.5</v>
      </c>
      <c r="EI511" s="229">
        <v>0</v>
      </c>
      <c r="EJ511" s="228">
        <f t="shared" si="1620"/>
        <v>67.5</v>
      </c>
      <c r="EK511" s="229"/>
      <c r="EL511" s="229"/>
      <c r="EM511" s="228">
        <f t="shared" ref="EM511:EM531" si="1657">SUM(EK511:EL511)</f>
        <v>0</v>
      </c>
      <c r="EN511" s="229">
        <f t="shared" si="1591"/>
        <v>67.5</v>
      </c>
      <c r="EO511" s="229">
        <f t="shared" si="1610"/>
        <v>0</v>
      </c>
      <c r="EP511" s="228">
        <f t="shared" ref="EP511:EP531" si="1658">EM511+EJ511</f>
        <v>67.5</v>
      </c>
      <c r="EQ511" s="173">
        <f t="shared" si="1479"/>
        <v>0</v>
      </c>
      <c r="ER511" s="189">
        <v>0</v>
      </c>
      <c r="ES511" s="189">
        <v>25.9</v>
      </c>
      <c r="ET511" s="189">
        <v>10.5</v>
      </c>
      <c r="EU511" s="189">
        <v>0</v>
      </c>
      <c r="EV511" s="189">
        <v>0</v>
      </c>
      <c r="EW511" s="189">
        <v>100.3</v>
      </c>
      <c r="EX511" s="189">
        <v>0</v>
      </c>
      <c r="EY511" s="189">
        <v>90</v>
      </c>
      <c r="EZ511" s="189">
        <v>0</v>
      </c>
      <c r="FA511" s="189">
        <v>0</v>
      </c>
      <c r="FB511" s="189">
        <v>0</v>
      </c>
      <c r="FC511" s="189">
        <v>0</v>
      </c>
      <c r="FD511" s="189">
        <v>0</v>
      </c>
      <c r="FE511" s="189">
        <v>0</v>
      </c>
      <c r="FF511" s="189">
        <v>0</v>
      </c>
      <c r="FG511" s="189">
        <v>0</v>
      </c>
      <c r="FH511" s="189">
        <v>0</v>
      </c>
      <c r="FI511" s="189">
        <v>0</v>
      </c>
      <c r="FJ511" s="189">
        <v>0</v>
      </c>
      <c r="FK511" s="189">
        <v>226.7</v>
      </c>
      <c r="FL511" s="189">
        <v>171</v>
      </c>
      <c r="FN511" s="132">
        <v>67.5</v>
      </c>
    </row>
    <row r="512" spans="1:170" ht="42.6" customHeight="1">
      <c r="A512" s="88">
        <f>COUNTIF($H$12:H512,H512)</f>
        <v>18</v>
      </c>
      <c r="B512" s="88" t="s">
        <v>1245</v>
      </c>
      <c r="C512" s="88" t="s">
        <v>1227</v>
      </c>
      <c r="D512" s="88"/>
      <c r="E512" s="88"/>
      <c r="F512" s="301" t="s">
        <v>3041</v>
      </c>
      <c r="G512" s="89" t="s">
        <v>917</v>
      </c>
      <c r="H512" s="88">
        <v>10</v>
      </c>
      <c r="I512" s="88">
        <v>10</v>
      </c>
      <c r="J512" s="88">
        <v>10</v>
      </c>
      <c r="K512" s="90" t="s">
        <v>1110</v>
      </c>
      <c r="L512" s="90" t="s">
        <v>1110</v>
      </c>
      <c r="M512" s="214"/>
      <c r="N512" s="88" t="s">
        <v>1179</v>
      </c>
      <c r="O512" s="216">
        <f>BO512</f>
        <v>3.66</v>
      </c>
      <c r="P512" s="88" t="str">
        <f t="shared" si="1594"/>
        <v>B11_4</v>
      </c>
      <c r="Q512" s="88">
        <f t="shared" si="1567"/>
        <v>270</v>
      </c>
      <c r="R512" s="88">
        <f t="shared" si="1568"/>
        <v>80</v>
      </c>
      <c r="S512" s="230" t="s">
        <v>801</v>
      </c>
      <c r="T512" s="88" t="s">
        <v>3095</v>
      </c>
      <c r="U512" s="88">
        <f>IF(RIGHT(T512,1)="K",(VLOOKUP(T512,ma_miengiam!$A$3:$B$80,2,0)*100)/2,VLOOKUP(T512,ma_miengiam!$A$3:$B$80,2,0)*100)</f>
        <v>40</v>
      </c>
      <c r="V512" s="88"/>
      <c r="W512" s="220">
        <f>IF(AND(T512="NTS",V512&gt;0),(Q512-(Q512*V512)/12)*VLOOKUP(T512,ma_miengiam!$A$3:$B$80,2,0)+(Q512-(Q512*(12-V512))/12),IF(AND(RIGHT(T512,1)="K",V512&gt;0),(VLOOKUP(T512,ma_miengiam!$A$3:$B$80,2,0)/2)*(Q512*V512)/12,IF(RIGHT(T512,1)="K",(VLOOKUP(T512,ma_miengiam!$A$3:$B$80,2,0)*Q512)/2,IF(V512&gt;0,VLOOKUP(T512,ma_miengiam!$A$3:$B$80,2,0)*Q512*V512/12,VLOOKUP(T512,ma_miengiam!$A$3:$B$80,2,0)*Q512))))</f>
        <v>108</v>
      </c>
      <c r="X512" s="220">
        <f>IF(T512="NTS",VLOOKUP(T512,ma_miengiam!$A$3:$B$80,2,0)*R512*V512,IF(AND(T512="NTS",V512=0),0,IF(AND(LEFT(T512,1)="K",V512=0),VLOOKUP(T512,ma_miengiam!$A$3:$B$80,2,0)*R512,IF(LEFT(T512,1)="K",(VLOOKUP(T512,ma_miengiam!$A$3:$B$80,2,0)*R512/12)*V512,IF(AND(LEFT(T512,1)="S",V512&gt;0),(R512/12)*V512,IF(AND(LEFT(T512,1)="S",V512=0),R512,IF(T512="DH",VLOOKUP(T512,ma_miengiam!$A$3:$B$80,2,0)*R512,0)))))))</f>
        <v>0</v>
      </c>
      <c r="Y512" s="220">
        <f>IF(AND(T512="DH",V512&gt;0),(S512*V512/12),IF(AND(T512&lt;&gt;"NTS",V512&gt;0),(Q512*V512/12)-W512,IF(AND(T512="NTS",V512&gt;0),Q512-W512,Q512-W512)))</f>
        <v>162</v>
      </c>
      <c r="Z512" s="220">
        <f>IF(AND(T512="SĐH",V512&gt;0),(R512/12)*V512-X512,IF(AND(T512="DH",V512&gt;0),(R512*V512/12),IF(AND(T512&lt;&gt;"NTS",V512&gt;0),(R512*V512/12)-X512,IF(AND(T512="NTS",V512&gt;0),R512-X512,R512-X512))))</f>
        <v>80</v>
      </c>
      <c r="AA512" s="220">
        <f t="shared" ref="AA512:AB514" si="1659">Q512</f>
        <v>270</v>
      </c>
      <c r="AB512" s="220">
        <f t="shared" si="1659"/>
        <v>80</v>
      </c>
      <c r="AC512" s="220">
        <f t="shared" ref="AC512:AF513" si="1660">W512</f>
        <v>108</v>
      </c>
      <c r="AD512" s="220">
        <f t="shared" si="1660"/>
        <v>0</v>
      </c>
      <c r="AE512" s="220">
        <f t="shared" si="1660"/>
        <v>162</v>
      </c>
      <c r="AF512" s="220">
        <f t="shared" si="1660"/>
        <v>80</v>
      </c>
      <c r="AG512" s="220">
        <f t="shared" si="1604"/>
        <v>0</v>
      </c>
      <c r="AH512" s="220">
        <f t="shared" si="1605"/>
        <v>0</v>
      </c>
      <c r="AI512" s="220">
        <f t="shared" si="1606"/>
        <v>0</v>
      </c>
      <c r="AJ512" s="220">
        <f>IF(AG512-Z512&gt;0,0,AG512-Z512)</f>
        <v>-80</v>
      </c>
      <c r="AK512" s="216">
        <f t="shared" si="1639"/>
        <v>242</v>
      </c>
      <c r="AL512" s="220">
        <f>SUM(CP512:CX512)+SUM(DC512:DK512)</f>
        <v>152.9</v>
      </c>
      <c r="AM512" s="220">
        <f>SUM(DQ512:DU512)+SUM(DY512:EC512)</f>
        <v>0</v>
      </c>
      <c r="AN512" s="221">
        <f>AM512+AL512</f>
        <v>152.9</v>
      </c>
      <c r="AO512" s="220">
        <f>CY512+DL512</f>
        <v>0</v>
      </c>
      <c r="AP512" s="220">
        <f>CZ512+DM512</f>
        <v>0</v>
      </c>
      <c r="AQ512" s="220">
        <f>DA512+DN512</f>
        <v>0</v>
      </c>
      <c r="AR512" s="220">
        <f>DV512+ED512</f>
        <v>0</v>
      </c>
      <c r="AS512" s="220">
        <f>DW512+EE512</f>
        <v>0</v>
      </c>
      <c r="AT512" s="216">
        <f>AN512+SUM(AO512:AS512)</f>
        <v>152.9</v>
      </c>
      <c r="AU512" s="222">
        <f t="shared" ref="AU512:AU528" si="1661">AN512-AK512</f>
        <v>-89.1</v>
      </c>
      <c r="AV512" s="220"/>
      <c r="AW512" s="220">
        <f>IF(AU512&gt;0,AU512,AV512+AU512)</f>
        <v>-89.1</v>
      </c>
      <c r="AX512" s="216">
        <f t="shared" si="1636"/>
        <v>-89.1</v>
      </c>
      <c r="AY512" s="220">
        <f>IF(AN512&gt;=AK512,AO512,IF(AN512+AO512-AK512&gt;=0,AN512+AO512-AK512,0))</f>
        <v>0</v>
      </c>
      <c r="AZ512" s="220">
        <f>IF(OR(AN512&gt;=AK512,AN512+AO512&gt;=AK512),AP512,IF(AN512+AO512+AP512&gt;AK512,AN512+AO512+AP512-AK512,0))</f>
        <v>0</v>
      </c>
      <c r="BA512" s="220">
        <f>IF(OR(AN512&gt;=AK512,AN512+AO512&gt;=AK512,AN512+AO512+AP512&gt;=AK512),AQ512,IF(AN512+AO512+AP512+AQ512&gt;=AK512,AN512+AO512+AP512+AQ512-AK512,0))</f>
        <v>0</v>
      </c>
      <c r="BB512" s="220">
        <f>IF(OR(AN512&gt;=AK512,AN512+AO512&gt;=AK512,AN512+AO512+AP512&gt;=AK512,AN512+AO512+AP512+AQ512&gt;=AK512),AR512,IF(AN512+AO512+AP512+AQ512+AR512&gt;=AK512,AN512+AO512+AP512+AQ512+AR512-AK512,0))</f>
        <v>0</v>
      </c>
      <c r="BC512" s="220">
        <f>IF(OR(AN512&gt;=AK512,AN512+AO512&gt;=AK512,AN512+AO512+AP512&gt;=AK512,AN512+AO512+AP512+AQ512&gt;=AK512,AN512+AO512+AP512+AQ512+AR512&gt;=AK512),AS512,IF(AN512+AO512+AP512+AQ512+AR512+AS512&gt;=AK512,AN512+AO512+AP512+AQ512+AR512+AS512-AK512,0))</f>
        <v>0</v>
      </c>
      <c r="BD512" s="216">
        <f t="shared" si="1599"/>
        <v>0</v>
      </c>
      <c r="BE512" s="220">
        <f>AY512-AO512</f>
        <v>0</v>
      </c>
      <c r="BF512" s="220">
        <f>AZ512-AP512</f>
        <v>0</v>
      </c>
      <c r="BG512" s="220">
        <f>BA512-AQ512</f>
        <v>0</v>
      </c>
      <c r="BH512" s="220">
        <f>BB512-AR512</f>
        <v>0</v>
      </c>
      <c r="BI512" s="220">
        <f>BC512-AS512</f>
        <v>0</v>
      </c>
      <c r="BJ512" s="220" t="s">
        <v>1562</v>
      </c>
      <c r="BK512" s="220"/>
      <c r="BL512" s="223">
        <f t="shared" si="1609"/>
        <v>0</v>
      </c>
      <c r="BM512" s="220">
        <v>3.66</v>
      </c>
      <c r="BN512" s="220"/>
      <c r="BO512" s="220">
        <f t="shared" si="1607"/>
        <v>3.66</v>
      </c>
      <c r="BP512" s="220">
        <f>IF(AND(BL512&gt;0,BL512&lt;tiet!$D$1),BL512,IF(BL512&lt;=0,0,IF(BL512&gt;tiet!$C$1,tiet!$C$1)))</f>
        <v>0</v>
      </c>
      <c r="BQ512" s="87">
        <f>VLOOKUP(P512,ma_dinhmuc_moi,4,0)</f>
        <v>65000</v>
      </c>
      <c r="BR512" s="224">
        <f>ROUND(BQ512*BP512,0)</f>
        <v>0</v>
      </c>
      <c r="BS512" s="220">
        <f t="shared" si="1478"/>
        <v>0</v>
      </c>
      <c r="BT512" s="224">
        <f>VLOOKUP(N512,ma_dinhmuc!$A$1:$J$31,10,0)</f>
        <v>51000</v>
      </c>
      <c r="BU512" s="224">
        <f>ROUND(IF(BS512&gt;0,VLOOKUP(N512,ma_dinhmuc!$A$1:$J$31,10,0)*BS512,0),0)</f>
        <v>0</v>
      </c>
      <c r="BV512" s="224">
        <f>ROUND(BU512+BR512,0)</f>
        <v>0</v>
      </c>
      <c r="BW512" s="224"/>
      <c r="BX512" s="224">
        <v>0</v>
      </c>
      <c r="BY512" s="224"/>
      <c r="BZ512" s="224"/>
      <c r="CA512" s="224"/>
      <c r="CB512" s="224"/>
      <c r="CC512" s="225">
        <f>ROUND(IF(BV512+BW512&gt;BX512+BY512+BZ512+CA512+CB512,(BW512+BV512)-(BX512+BY512+BZ512+CA512+CB512+CB512),0),0)</f>
        <v>0</v>
      </c>
      <c r="CD512" s="224">
        <f>ROUND(IF(BV512+BW512&lt;BX512+BY512+BZ512+CA512-CB512,(BX512+BY512+BZ512+CA512-CB512)-(BW512+BV512),0),0)</f>
        <v>0</v>
      </c>
      <c r="CE512" s="224"/>
      <c r="CF512" s="226"/>
      <c r="CG512" s="87"/>
      <c r="CH512" s="87">
        <f>A512</f>
        <v>18</v>
      </c>
      <c r="CI512" s="227" t="str">
        <f t="shared" si="1632"/>
        <v>Đào Hải</v>
      </c>
      <c r="CJ512" s="227" t="str">
        <f t="shared" si="1633"/>
        <v>Yến</v>
      </c>
      <c r="CK512" s="87">
        <f>H512</f>
        <v>10</v>
      </c>
      <c r="CL512" s="227" t="str">
        <f t="shared" si="1608"/>
        <v>Vật lý</v>
      </c>
      <c r="CM512" s="87" t="str">
        <f>N512</f>
        <v>CB2</v>
      </c>
      <c r="CN512" s="87">
        <f>Q512</f>
        <v>270</v>
      </c>
      <c r="CO512" s="87">
        <f>R512</f>
        <v>80</v>
      </c>
      <c r="CP512" s="229">
        <f t="shared" si="1483"/>
        <v>0</v>
      </c>
      <c r="CQ512" s="229">
        <f t="shared" si="1484"/>
        <v>23.9</v>
      </c>
      <c r="CR512" s="229">
        <f t="shared" si="1485"/>
        <v>9.6</v>
      </c>
      <c r="CS512" s="229">
        <f t="shared" si="1486"/>
        <v>0</v>
      </c>
      <c r="CT512" s="229">
        <f t="shared" si="1487"/>
        <v>0</v>
      </c>
      <c r="CU512" s="229">
        <f t="shared" si="1488"/>
        <v>81.900000000000006</v>
      </c>
      <c r="CV512" s="229">
        <f t="shared" si="1489"/>
        <v>0</v>
      </c>
      <c r="CW512" s="229">
        <f t="shared" si="1490"/>
        <v>37.5</v>
      </c>
      <c r="CX512" s="229">
        <f t="shared" si="1491"/>
        <v>0</v>
      </c>
      <c r="CY512" s="229">
        <f t="shared" si="1492"/>
        <v>0</v>
      </c>
      <c r="CZ512" s="229">
        <f t="shared" si="1493"/>
        <v>0</v>
      </c>
      <c r="DA512" s="229">
        <f t="shared" si="1494"/>
        <v>0</v>
      </c>
      <c r="DB512" s="228">
        <f>SUM(CP512:DA512)</f>
        <v>152.9</v>
      </c>
      <c r="DC512" s="229"/>
      <c r="DD512" s="229"/>
      <c r="DE512" s="229"/>
      <c r="DF512" s="229"/>
      <c r="DG512" s="229"/>
      <c r="DH512" s="229"/>
      <c r="DI512" s="229"/>
      <c r="DJ512" s="229"/>
      <c r="DK512" s="229"/>
      <c r="DL512" s="229"/>
      <c r="DM512" s="229"/>
      <c r="DN512" s="229"/>
      <c r="DO512" s="228">
        <f>SUM(DC512:DN512)</f>
        <v>0</v>
      </c>
      <c r="DP512" s="228">
        <f>DO512+DB512</f>
        <v>152.9</v>
      </c>
      <c r="DQ512" s="229">
        <f t="shared" si="1495"/>
        <v>0</v>
      </c>
      <c r="DR512" s="229">
        <f t="shared" si="1496"/>
        <v>0</v>
      </c>
      <c r="DS512" s="229">
        <f t="shared" si="1497"/>
        <v>0</v>
      </c>
      <c r="DT512" s="229">
        <f t="shared" si="1498"/>
        <v>0</v>
      </c>
      <c r="DU512" s="229">
        <f t="shared" si="1499"/>
        <v>0</v>
      </c>
      <c r="DV512" s="229">
        <f t="shared" si="1500"/>
        <v>0</v>
      </c>
      <c r="DW512" s="229">
        <f t="shared" si="1501"/>
        <v>0</v>
      </c>
      <c r="DX512" s="228">
        <f>SUM(DQ512:DW512)</f>
        <v>0</v>
      </c>
      <c r="DY512" s="229"/>
      <c r="DZ512" s="229"/>
      <c r="EA512" s="229"/>
      <c r="EB512" s="229"/>
      <c r="EC512" s="229"/>
      <c r="ED512" s="229"/>
      <c r="EE512" s="229"/>
      <c r="EF512" s="228">
        <f t="shared" si="1480"/>
        <v>0</v>
      </c>
      <c r="EG512" s="228">
        <f>EF512+DX512</f>
        <v>0</v>
      </c>
      <c r="EH512" s="229">
        <f t="shared" si="1481"/>
        <v>0</v>
      </c>
      <c r="EI512" s="229">
        <v>0</v>
      </c>
      <c r="EJ512" s="228">
        <f t="shared" si="1620"/>
        <v>0</v>
      </c>
      <c r="EK512" s="229"/>
      <c r="EL512" s="229"/>
      <c r="EM512" s="228">
        <f>SUM(EK512:EL512)</f>
        <v>0</v>
      </c>
      <c r="EN512" s="229">
        <f>EK512+EH512+EL512</f>
        <v>0</v>
      </c>
      <c r="EO512" s="229">
        <f>EI512</f>
        <v>0</v>
      </c>
      <c r="EP512" s="228">
        <f>EM512+EJ512</f>
        <v>0</v>
      </c>
      <c r="EQ512" s="173">
        <f t="shared" si="1479"/>
        <v>0</v>
      </c>
      <c r="ER512" s="189">
        <v>0</v>
      </c>
      <c r="ES512" s="189">
        <v>23.9</v>
      </c>
      <c r="ET512" s="189">
        <v>9.6</v>
      </c>
      <c r="EU512" s="189">
        <v>0</v>
      </c>
      <c r="EV512" s="189">
        <v>0</v>
      </c>
      <c r="EW512" s="189">
        <v>81.900000000000006</v>
      </c>
      <c r="EX512" s="189">
        <v>0</v>
      </c>
      <c r="EY512" s="189">
        <v>37.5</v>
      </c>
      <c r="EZ512" s="189">
        <v>0</v>
      </c>
      <c r="FA512" s="189">
        <v>0</v>
      </c>
      <c r="FB512" s="189">
        <v>0</v>
      </c>
      <c r="FC512" s="189">
        <v>0</v>
      </c>
      <c r="FD512" s="189">
        <v>0</v>
      </c>
      <c r="FE512" s="189">
        <v>0</v>
      </c>
      <c r="FF512" s="189">
        <v>0</v>
      </c>
      <c r="FG512" s="189">
        <v>0</v>
      </c>
      <c r="FH512" s="189">
        <v>0</v>
      </c>
      <c r="FI512" s="189">
        <v>0</v>
      </c>
      <c r="FJ512" s="189">
        <v>0</v>
      </c>
      <c r="FK512" s="189">
        <v>152.9</v>
      </c>
      <c r="FL512" s="189">
        <v>94</v>
      </c>
      <c r="FN512" s="132">
        <v>0</v>
      </c>
    </row>
    <row r="513" spans="1:170" ht="30" customHeight="1">
      <c r="A513" s="88">
        <f>COUNTIF($H$12:H513,H513)</f>
        <v>19</v>
      </c>
      <c r="B513" s="88" t="s">
        <v>1246</v>
      </c>
      <c r="C513" s="88" t="s">
        <v>1228</v>
      </c>
      <c r="D513" s="88"/>
      <c r="E513" s="88"/>
      <c r="F513" s="301" t="s">
        <v>46</v>
      </c>
      <c r="G513" s="89" t="s">
        <v>2915</v>
      </c>
      <c r="H513" s="88">
        <v>10</v>
      </c>
      <c r="I513" s="88">
        <v>10</v>
      </c>
      <c r="J513" s="88">
        <v>10</v>
      </c>
      <c r="K513" s="90" t="s">
        <v>1110</v>
      </c>
      <c r="L513" s="90" t="s">
        <v>1110</v>
      </c>
      <c r="M513" s="214"/>
      <c r="N513" s="88" t="s">
        <v>1179</v>
      </c>
      <c r="O513" s="216">
        <f t="shared" si="1656"/>
        <v>3.66</v>
      </c>
      <c r="P513" s="88" t="str">
        <f t="shared" si="1594"/>
        <v>B11_4</v>
      </c>
      <c r="Q513" s="88">
        <f t="shared" si="1567"/>
        <v>270</v>
      </c>
      <c r="R513" s="88">
        <f t="shared" si="1568"/>
        <v>80</v>
      </c>
      <c r="S513" s="234"/>
      <c r="T513" s="88" t="s">
        <v>3088</v>
      </c>
      <c r="U513" s="88">
        <f>IF(RIGHT(T513,1)="K",(VLOOKUP(T513,ma_miengiam!$A$3:$B$80,2,0)*100)/2,VLOOKUP(T513,ma_miengiam!$A$3:$B$80,2,0)*100)</f>
        <v>0</v>
      </c>
      <c r="V513" s="88"/>
      <c r="W513" s="220">
        <f>IF(AND(T513="NTS",V513&gt;0),(Q513-(Q513*V513)/12)*VLOOKUP(T513,ma_miengiam!$A$3:$B$80,2,0)+(Q513-(Q513*(12-V513))/12),IF(AND(RIGHT(T513,1)="K",V513&gt;0),(VLOOKUP(T513,ma_miengiam!$A$3:$B$80,2,0)/2)*(Q513*V513)/12,IF(RIGHT(T513,1)="K",(VLOOKUP(T513,ma_miengiam!$A$3:$B$80,2,0)*Q513)/2,IF(V513&gt;0,VLOOKUP(T513,ma_miengiam!$A$3:$B$80,2,0)*Q513*V513/12,VLOOKUP(T513,ma_miengiam!$A$3:$B$80,2,0)*Q513))))</f>
        <v>0</v>
      </c>
      <c r="X513" s="220">
        <f>IF(T513="NTS",VLOOKUP(T513,ma_miengiam!$A$3:$B$80,2,0)*R513*V513,IF(AND(T513="NTS",V513=0),0,IF(AND(LEFT(T513,1)="K",V513=0),VLOOKUP(T513,ma_miengiam!$A$3:$B$80,2,0)*R513,IF(LEFT(T513,1)="K",(VLOOKUP(T513,ma_miengiam!$A$3:$B$80,2,0)*R513/12)*V513,IF(AND(LEFT(T513,1)="S",V513&gt;0),(R513/12)*V513,IF(AND(LEFT(T513,1)="S",V513=0),R513,IF(T513="DH",VLOOKUP(T513,ma_miengiam!$A$3:$B$80,2,0)*R513,0)))))))</f>
        <v>0</v>
      </c>
      <c r="Y513" s="220">
        <f t="shared" si="1521"/>
        <v>270</v>
      </c>
      <c r="Z513" s="220">
        <f t="shared" si="1569"/>
        <v>80</v>
      </c>
      <c r="AA513" s="220">
        <f t="shared" si="1659"/>
        <v>270</v>
      </c>
      <c r="AB513" s="220">
        <f t="shared" si="1659"/>
        <v>80</v>
      </c>
      <c r="AC513" s="220">
        <f t="shared" si="1660"/>
        <v>0</v>
      </c>
      <c r="AD513" s="220">
        <f t="shared" si="1660"/>
        <v>0</v>
      </c>
      <c r="AE513" s="220">
        <f t="shared" si="1660"/>
        <v>270</v>
      </c>
      <c r="AF513" s="220">
        <f t="shared" si="1660"/>
        <v>80</v>
      </c>
      <c r="AG513" s="220">
        <f t="shared" si="1604"/>
        <v>0</v>
      </c>
      <c r="AH513" s="220">
        <f t="shared" si="1605"/>
        <v>0</v>
      </c>
      <c r="AI513" s="220">
        <f t="shared" si="1606"/>
        <v>0</v>
      </c>
      <c r="AJ513" s="220">
        <f t="shared" si="1551"/>
        <v>-80</v>
      </c>
      <c r="AK513" s="216">
        <f t="shared" si="1639"/>
        <v>350</v>
      </c>
      <c r="AL513" s="220">
        <f t="shared" si="1640"/>
        <v>216.4</v>
      </c>
      <c r="AM513" s="220">
        <f t="shared" si="1641"/>
        <v>0</v>
      </c>
      <c r="AN513" s="221">
        <f t="shared" si="1642"/>
        <v>216.4</v>
      </c>
      <c r="AO513" s="220">
        <f t="shared" si="1643"/>
        <v>0</v>
      </c>
      <c r="AP513" s="220">
        <f t="shared" si="1644"/>
        <v>0</v>
      </c>
      <c r="AQ513" s="220">
        <f t="shared" si="1645"/>
        <v>0</v>
      </c>
      <c r="AR513" s="220">
        <f t="shared" si="1646"/>
        <v>0</v>
      </c>
      <c r="AS513" s="220">
        <f t="shared" si="1647"/>
        <v>0</v>
      </c>
      <c r="AT513" s="216">
        <f t="shared" si="1648"/>
        <v>216.4</v>
      </c>
      <c r="AU513" s="222">
        <f t="shared" si="1661"/>
        <v>-133.6</v>
      </c>
      <c r="AV513" s="220"/>
      <c r="AW513" s="220">
        <f t="shared" si="1530"/>
        <v>-133.6</v>
      </c>
      <c r="AX513" s="216">
        <f t="shared" si="1636"/>
        <v>-133.6</v>
      </c>
      <c r="AY513" s="220">
        <f t="shared" si="1537"/>
        <v>0</v>
      </c>
      <c r="AZ513" s="220">
        <f t="shared" si="1538"/>
        <v>0</v>
      </c>
      <c r="BA513" s="220">
        <f t="shared" si="1539"/>
        <v>0</v>
      </c>
      <c r="BB513" s="220">
        <f t="shared" si="1540"/>
        <v>0</v>
      </c>
      <c r="BC513" s="220">
        <f t="shared" si="1541"/>
        <v>0</v>
      </c>
      <c r="BD513" s="216">
        <f t="shared" si="1599"/>
        <v>0</v>
      </c>
      <c r="BE513" s="220">
        <f t="shared" si="1531"/>
        <v>0</v>
      </c>
      <c r="BF513" s="220">
        <f t="shared" si="1532"/>
        <v>0</v>
      </c>
      <c r="BG513" s="220">
        <f t="shared" si="1533"/>
        <v>0</v>
      </c>
      <c r="BH513" s="220">
        <f t="shared" si="1534"/>
        <v>0</v>
      </c>
      <c r="BI513" s="220">
        <f t="shared" si="1535"/>
        <v>0</v>
      </c>
      <c r="BJ513" s="220" t="s">
        <v>1562</v>
      </c>
      <c r="BK513" s="220"/>
      <c r="BL513" s="223">
        <f t="shared" si="1609"/>
        <v>0</v>
      </c>
      <c r="BM513" s="220">
        <v>3.66</v>
      </c>
      <c r="BN513" s="220"/>
      <c r="BO513" s="220">
        <f t="shared" si="1607"/>
        <v>3.66</v>
      </c>
      <c r="BP513" s="220">
        <f>IF(AND(BL513&gt;0,BL513&lt;tiet!$D$1),BL513,IF(BL513&lt;=0,0,IF(BL513&gt;tiet!$C$1,tiet!$C$1)))</f>
        <v>0</v>
      </c>
      <c r="BQ513" s="87">
        <f t="shared" si="1552"/>
        <v>65000</v>
      </c>
      <c r="BR513" s="224">
        <f t="shared" si="1544"/>
        <v>0</v>
      </c>
      <c r="BS513" s="220">
        <f t="shared" si="1478"/>
        <v>0</v>
      </c>
      <c r="BT513" s="224">
        <f>VLOOKUP(N513,ma_dinhmuc!$A$1:$J$31,10,0)</f>
        <v>51000</v>
      </c>
      <c r="BU513" s="224">
        <f>ROUND(IF(BS513&gt;0,VLOOKUP(N513,ma_dinhmuc!$A$1:$J$31,10,0)*BS513,0),0)</f>
        <v>0</v>
      </c>
      <c r="BV513" s="224">
        <f t="shared" si="1545"/>
        <v>0</v>
      </c>
      <c r="BW513" s="224"/>
      <c r="BX513" s="224">
        <v>0</v>
      </c>
      <c r="BY513" s="224"/>
      <c r="BZ513" s="224"/>
      <c r="CA513" s="224"/>
      <c r="CB513" s="224"/>
      <c r="CC513" s="225">
        <f t="shared" si="1595"/>
        <v>0</v>
      </c>
      <c r="CD513" s="224">
        <f t="shared" si="1596"/>
        <v>0</v>
      </c>
      <c r="CE513" s="224"/>
      <c r="CF513" s="226"/>
      <c r="CG513" s="87"/>
      <c r="CH513" s="87">
        <f t="shared" si="1617"/>
        <v>19</v>
      </c>
      <c r="CI513" s="227" t="str">
        <f t="shared" si="1632"/>
        <v>Lương Minh</v>
      </c>
      <c r="CJ513" s="227" t="str">
        <f t="shared" si="1633"/>
        <v>Quân</v>
      </c>
      <c r="CK513" s="87">
        <f>H513</f>
        <v>10</v>
      </c>
      <c r="CL513" s="227" t="str">
        <f t="shared" ref="CL513:CL531" si="1662">L513</f>
        <v>Vật lý</v>
      </c>
      <c r="CM513" s="87" t="str">
        <f t="shared" si="1536"/>
        <v>CB2</v>
      </c>
      <c r="CN513" s="87">
        <f t="shared" ref="CN513:CO515" si="1663">Q513</f>
        <v>270</v>
      </c>
      <c r="CO513" s="87">
        <f t="shared" si="1663"/>
        <v>80</v>
      </c>
      <c r="CP513" s="229">
        <f t="shared" si="1483"/>
        <v>0</v>
      </c>
      <c r="CQ513" s="229">
        <f t="shared" si="1484"/>
        <v>19.5</v>
      </c>
      <c r="CR513" s="229">
        <f t="shared" si="1485"/>
        <v>7.9</v>
      </c>
      <c r="CS513" s="229">
        <f t="shared" si="1486"/>
        <v>0</v>
      </c>
      <c r="CT513" s="229">
        <f t="shared" si="1487"/>
        <v>0</v>
      </c>
      <c r="CU513" s="229">
        <f t="shared" si="1488"/>
        <v>69</v>
      </c>
      <c r="CV513" s="229">
        <f t="shared" si="1489"/>
        <v>0</v>
      </c>
      <c r="CW513" s="229">
        <f t="shared" si="1490"/>
        <v>120</v>
      </c>
      <c r="CX513" s="229">
        <f t="shared" si="1491"/>
        <v>0</v>
      </c>
      <c r="CY513" s="229">
        <f t="shared" si="1492"/>
        <v>0</v>
      </c>
      <c r="CZ513" s="229">
        <f t="shared" si="1493"/>
        <v>0</v>
      </c>
      <c r="DA513" s="229">
        <f t="shared" si="1494"/>
        <v>0</v>
      </c>
      <c r="DB513" s="228">
        <f t="shared" si="1650"/>
        <v>216.4</v>
      </c>
      <c r="DC513" s="229"/>
      <c r="DD513" s="229"/>
      <c r="DE513" s="229"/>
      <c r="DF513" s="229"/>
      <c r="DG513" s="229"/>
      <c r="DH513" s="229"/>
      <c r="DI513" s="229"/>
      <c r="DJ513" s="229"/>
      <c r="DK513" s="229"/>
      <c r="DL513" s="229"/>
      <c r="DM513" s="229"/>
      <c r="DN513" s="229"/>
      <c r="DO513" s="228">
        <f t="shared" si="1651"/>
        <v>0</v>
      </c>
      <c r="DP513" s="228">
        <f t="shared" si="1652"/>
        <v>216.4</v>
      </c>
      <c r="DQ513" s="229">
        <f t="shared" si="1495"/>
        <v>0</v>
      </c>
      <c r="DR513" s="229">
        <f t="shared" si="1496"/>
        <v>0</v>
      </c>
      <c r="DS513" s="229">
        <f t="shared" si="1497"/>
        <v>0</v>
      </c>
      <c r="DT513" s="229">
        <f t="shared" si="1498"/>
        <v>0</v>
      </c>
      <c r="DU513" s="229">
        <f t="shared" si="1499"/>
        <v>0</v>
      </c>
      <c r="DV513" s="229">
        <f t="shared" si="1500"/>
        <v>0</v>
      </c>
      <c r="DW513" s="229">
        <f t="shared" si="1501"/>
        <v>0</v>
      </c>
      <c r="DX513" s="228">
        <f t="shared" si="1653"/>
        <v>0</v>
      </c>
      <c r="DY513" s="229"/>
      <c r="DZ513" s="229"/>
      <c r="EA513" s="229"/>
      <c r="EB513" s="229"/>
      <c r="EC513" s="229"/>
      <c r="ED513" s="229"/>
      <c r="EE513" s="229"/>
      <c r="EF513" s="228">
        <f t="shared" si="1480"/>
        <v>0</v>
      </c>
      <c r="EG513" s="228">
        <f t="shared" si="1654"/>
        <v>0</v>
      </c>
      <c r="EH513" s="229">
        <f t="shared" si="1481"/>
        <v>0</v>
      </c>
      <c r="EI513" s="229">
        <v>0</v>
      </c>
      <c r="EJ513" s="228">
        <f t="shared" si="1620"/>
        <v>0</v>
      </c>
      <c r="EK513" s="229"/>
      <c r="EL513" s="229"/>
      <c r="EM513" s="228">
        <f t="shared" si="1657"/>
        <v>0</v>
      </c>
      <c r="EN513" s="229">
        <f t="shared" si="1591"/>
        <v>0</v>
      </c>
      <c r="EO513" s="229">
        <f t="shared" si="1610"/>
        <v>0</v>
      </c>
      <c r="EP513" s="228">
        <f t="shared" si="1658"/>
        <v>0</v>
      </c>
      <c r="EQ513" s="173">
        <f t="shared" si="1479"/>
        <v>0</v>
      </c>
      <c r="ER513" s="189">
        <v>0</v>
      </c>
      <c r="ES513" s="189">
        <v>19.5</v>
      </c>
      <c r="ET513" s="189">
        <v>7.9</v>
      </c>
      <c r="EU513" s="189">
        <v>0</v>
      </c>
      <c r="EV513" s="189">
        <v>0</v>
      </c>
      <c r="EW513" s="189">
        <v>69</v>
      </c>
      <c r="EX513" s="189">
        <v>0</v>
      </c>
      <c r="EY513" s="189">
        <v>120</v>
      </c>
      <c r="EZ513" s="189">
        <v>0</v>
      </c>
      <c r="FA513" s="189">
        <v>0</v>
      </c>
      <c r="FB513" s="189">
        <v>0</v>
      </c>
      <c r="FC513" s="189">
        <v>0</v>
      </c>
      <c r="FD513" s="189">
        <v>0</v>
      </c>
      <c r="FE513" s="189">
        <v>0</v>
      </c>
      <c r="FF513" s="189">
        <v>0</v>
      </c>
      <c r="FG513" s="189">
        <v>0</v>
      </c>
      <c r="FH513" s="189">
        <v>0</v>
      </c>
      <c r="FI513" s="189">
        <v>0</v>
      </c>
      <c r="FJ513" s="189">
        <v>0</v>
      </c>
      <c r="FK513" s="189">
        <v>216.4</v>
      </c>
      <c r="FL513" s="189">
        <v>154</v>
      </c>
      <c r="FN513" s="132">
        <v>0</v>
      </c>
    </row>
    <row r="514" spans="1:170" ht="30" customHeight="1">
      <c r="A514" s="88">
        <f>COUNTIF($H$12:H514,H514)</f>
        <v>20</v>
      </c>
      <c r="B514" s="88" t="s">
        <v>1247</v>
      </c>
      <c r="C514" s="88" t="s">
        <v>1229</v>
      </c>
      <c r="D514" s="88"/>
      <c r="E514" s="88"/>
      <c r="F514" s="301" t="s">
        <v>1139</v>
      </c>
      <c r="G514" s="89" t="s">
        <v>13</v>
      </c>
      <c r="H514" s="88">
        <v>10</v>
      </c>
      <c r="I514" s="88">
        <v>10</v>
      </c>
      <c r="J514" s="88">
        <v>10</v>
      </c>
      <c r="K514" s="90" t="s">
        <v>1110</v>
      </c>
      <c r="L514" s="90" t="s">
        <v>1110</v>
      </c>
      <c r="M514" s="214"/>
      <c r="N514" s="88" t="s">
        <v>1179</v>
      </c>
      <c r="O514" s="216">
        <f t="shared" si="1656"/>
        <v>4.32</v>
      </c>
      <c r="P514" s="88" t="str">
        <f t="shared" si="1594"/>
        <v>B11_4</v>
      </c>
      <c r="Q514" s="88">
        <f t="shared" si="1567"/>
        <v>270</v>
      </c>
      <c r="R514" s="88">
        <f t="shared" si="1568"/>
        <v>80</v>
      </c>
      <c r="S514" s="230" t="s">
        <v>689</v>
      </c>
      <c r="T514" s="88" t="s">
        <v>3090</v>
      </c>
      <c r="U514" s="88">
        <f>IF(RIGHT(T514,1)="K",(VLOOKUP(T514,ma_miengiam!$A$3:$B$80,2,0)*100)/2,VLOOKUP(T514,ma_miengiam!$A$3:$B$80,2,0)*100)</f>
        <v>15</v>
      </c>
      <c r="V514" s="88"/>
      <c r="W514" s="220">
        <f>IF(AND(T514="NTS",V514&gt;0),(Q514-(Q514*V514)/12)*VLOOKUP(T514,ma_miengiam!$A$3:$B$80,2,0)+(Q514-(Q514*(12-V514))/12),IF(AND(RIGHT(T514,1)="K",V514&gt;0),(VLOOKUP(T514,ma_miengiam!$A$3:$B$80,2,0)/2)*(Q514*V514)/12,IF(RIGHT(T514,1)="K",(VLOOKUP(T514,ma_miengiam!$A$3:$B$80,2,0)*Q514)/2,IF(V514&gt;0,VLOOKUP(T514,ma_miengiam!$A$3:$B$80,2,0)*Q514*V514/12,VLOOKUP(T514,ma_miengiam!$A$3:$B$80,2,0)*Q514))))</f>
        <v>40.5</v>
      </c>
      <c r="X514" s="220">
        <f>IF(T514="NTS",VLOOKUP(T514,ma_miengiam!$A$3:$B$80,2,0)*R514*V514,IF(AND(T514="NTS",V514=0),0,IF(AND(LEFT(T514,1)="K",V514=0),VLOOKUP(T514,ma_miengiam!$A$3:$B$80,2,0)*R514,IF(LEFT(T514,1)="K",(VLOOKUP(T514,ma_miengiam!$A$3:$B$80,2,0)*R514/12)*V514,IF(AND(LEFT(T514,1)="S",V514&gt;0),(R514/12)*V514,IF(AND(LEFT(T514,1)="S",V514=0),R514,IF(T514="DH",VLOOKUP(T514,ma_miengiam!$A$3:$B$80,2,0)*R514,0)))))))</f>
        <v>0</v>
      </c>
      <c r="Y514" s="220">
        <f t="shared" si="1521"/>
        <v>229.5</v>
      </c>
      <c r="Z514" s="220">
        <f>IF(AND(T514="SĐH",V514&gt;0),(R514/12)*V514-X514,IF(AND(T514="DH",V514&gt;0),(R514*V514/12),IF(AND(T514&lt;&gt;"NTS",V514&gt;0),(R514*V514/12)-X514,IF(AND(T514="NTS",V514&gt;0),R514-X514,R514-X514))))</f>
        <v>80</v>
      </c>
      <c r="AA514" s="220">
        <f t="shared" si="1659"/>
        <v>270</v>
      </c>
      <c r="AB514" s="220">
        <f t="shared" si="1659"/>
        <v>80</v>
      </c>
      <c r="AC514" s="220">
        <f t="shared" ref="AC514:AF515" si="1664">W514</f>
        <v>40.5</v>
      </c>
      <c r="AD514" s="220">
        <f t="shared" si="1664"/>
        <v>0</v>
      </c>
      <c r="AE514" s="220">
        <f t="shared" si="1664"/>
        <v>229.5</v>
      </c>
      <c r="AF514" s="220">
        <f t="shared" si="1664"/>
        <v>80</v>
      </c>
      <c r="AG514" s="220">
        <f t="shared" ref="AG514:AG519" si="1665">AH514+AI514</f>
        <v>0</v>
      </c>
      <c r="AH514" s="220">
        <f t="shared" ref="AH514:AH519" si="1666">EO514</f>
        <v>0</v>
      </c>
      <c r="AI514" s="220">
        <f t="shared" ref="AI514:AI519" si="1667">EN514</f>
        <v>0</v>
      </c>
      <c r="AJ514" s="220">
        <f>IF(AG514-Z514&gt;0,0,AG514-Z514)</f>
        <v>-80</v>
      </c>
      <c r="AK514" s="216">
        <f t="shared" si="1639"/>
        <v>309.5</v>
      </c>
      <c r="AL514" s="220">
        <f t="shared" si="1640"/>
        <v>167.4</v>
      </c>
      <c r="AM514" s="220">
        <f t="shared" si="1641"/>
        <v>0</v>
      </c>
      <c r="AN514" s="221">
        <f t="shared" si="1642"/>
        <v>167.4</v>
      </c>
      <c r="AO514" s="220">
        <f t="shared" si="1643"/>
        <v>0</v>
      </c>
      <c r="AP514" s="220">
        <f t="shared" si="1644"/>
        <v>0</v>
      </c>
      <c r="AQ514" s="220">
        <f t="shared" si="1645"/>
        <v>0</v>
      </c>
      <c r="AR514" s="220">
        <f t="shared" si="1646"/>
        <v>0</v>
      </c>
      <c r="AS514" s="220">
        <f t="shared" si="1647"/>
        <v>0</v>
      </c>
      <c r="AT514" s="216">
        <f t="shared" si="1648"/>
        <v>167.4</v>
      </c>
      <c r="AU514" s="222">
        <f t="shared" si="1661"/>
        <v>-142.1</v>
      </c>
      <c r="AV514" s="220"/>
      <c r="AW514" s="220">
        <f t="shared" si="1530"/>
        <v>-142.1</v>
      </c>
      <c r="AX514" s="216">
        <f t="shared" si="1636"/>
        <v>-142.1</v>
      </c>
      <c r="AY514" s="220">
        <f t="shared" si="1537"/>
        <v>0</v>
      </c>
      <c r="AZ514" s="220">
        <f t="shared" si="1538"/>
        <v>0</v>
      </c>
      <c r="BA514" s="220">
        <f t="shared" si="1539"/>
        <v>0</v>
      </c>
      <c r="BB514" s="220">
        <f t="shared" si="1540"/>
        <v>0</v>
      </c>
      <c r="BC514" s="220">
        <f t="shared" si="1541"/>
        <v>0</v>
      </c>
      <c r="BD514" s="216">
        <f t="shared" si="1599"/>
        <v>0</v>
      </c>
      <c r="BE514" s="220">
        <f t="shared" si="1531"/>
        <v>0</v>
      </c>
      <c r="BF514" s="220">
        <f t="shared" si="1532"/>
        <v>0</v>
      </c>
      <c r="BG514" s="220">
        <f t="shared" si="1533"/>
        <v>0</v>
      </c>
      <c r="BH514" s="220">
        <f t="shared" si="1534"/>
        <v>0</v>
      </c>
      <c r="BI514" s="220">
        <f t="shared" si="1535"/>
        <v>0</v>
      </c>
      <c r="BJ514" s="220" t="s">
        <v>1562</v>
      </c>
      <c r="BK514" s="220"/>
      <c r="BL514" s="223">
        <f t="shared" si="1609"/>
        <v>0</v>
      </c>
      <c r="BM514" s="220">
        <v>4.32</v>
      </c>
      <c r="BN514" s="220"/>
      <c r="BO514" s="220">
        <f t="shared" si="1607"/>
        <v>4.32</v>
      </c>
      <c r="BP514" s="220">
        <f>IF(AND(BL514&gt;0,BL514&lt;tiet!$D$1),BL514,IF(BL514&lt;=0,0,IF(BL514&gt;tiet!$C$1,tiet!$C$1)))</f>
        <v>0</v>
      </c>
      <c r="BQ514" s="87">
        <f>VLOOKUP(P514,ma_dinhmuc_moi,4,0)</f>
        <v>65000</v>
      </c>
      <c r="BR514" s="224">
        <f>ROUND(BQ514*BP514,0)</f>
        <v>0</v>
      </c>
      <c r="BS514" s="220">
        <f t="shared" si="1478"/>
        <v>0</v>
      </c>
      <c r="BT514" s="224">
        <f>VLOOKUP(N514,ma_dinhmuc!$A$1:$J$31,10,0)</f>
        <v>51000</v>
      </c>
      <c r="BU514" s="224">
        <f>ROUND(IF(BS514&gt;0,VLOOKUP(N514,ma_dinhmuc!$A$1:$J$31,10,0)*BS514,0),0)</f>
        <v>0</v>
      </c>
      <c r="BV514" s="224">
        <f>ROUND(BU514+BR514,0)</f>
        <v>0</v>
      </c>
      <c r="BW514" s="224"/>
      <c r="BX514" s="224">
        <v>0</v>
      </c>
      <c r="BY514" s="224"/>
      <c r="BZ514" s="224"/>
      <c r="CA514" s="224"/>
      <c r="CB514" s="224"/>
      <c r="CC514" s="225">
        <f>ROUND(IF(BV514+BW514&gt;BX514+BY514+BZ514+CA514+CB514,(BW514+BV514)-(BX514+BY514+BZ514+CA514+CB514+CB514),0),0)</f>
        <v>0</v>
      </c>
      <c r="CD514" s="224">
        <f>ROUND(IF(BV514+BW514&lt;BX514+BY514+BZ514+CA514-CB514,(BX514+BY514+BZ514+CA514-CB514)-(BW514+BV514),0),0)</f>
        <v>0</v>
      </c>
      <c r="CE514" s="224"/>
      <c r="CF514" s="226"/>
      <c r="CG514" s="87"/>
      <c r="CH514" s="87">
        <f t="shared" si="1617"/>
        <v>20</v>
      </c>
      <c r="CI514" s="227" t="str">
        <f t="shared" si="1632"/>
        <v>Nguyễn Thị</v>
      </c>
      <c r="CJ514" s="227" t="str">
        <f t="shared" si="1633"/>
        <v>Phương</v>
      </c>
      <c r="CK514" s="87">
        <f>H514</f>
        <v>10</v>
      </c>
      <c r="CL514" s="227" t="str">
        <f>L514</f>
        <v>Vật lý</v>
      </c>
      <c r="CM514" s="87" t="str">
        <f t="shared" si="1536"/>
        <v>CB2</v>
      </c>
      <c r="CN514" s="87">
        <f t="shared" si="1663"/>
        <v>270</v>
      </c>
      <c r="CO514" s="87">
        <f t="shared" si="1663"/>
        <v>80</v>
      </c>
      <c r="CP514" s="229">
        <f t="shared" si="1483"/>
        <v>0</v>
      </c>
      <c r="CQ514" s="229">
        <f t="shared" si="1484"/>
        <v>22.2</v>
      </c>
      <c r="CR514" s="229">
        <f t="shared" si="1485"/>
        <v>9</v>
      </c>
      <c r="CS514" s="229">
        <f t="shared" si="1486"/>
        <v>0</v>
      </c>
      <c r="CT514" s="229">
        <f t="shared" si="1487"/>
        <v>0</v>
      </c>
      <c r="CU514" s="229">
        <f t="shared" si="1488"/>
        <v>76.2</v>
      </c>
      <c r="CV514" s="229">
        <f t="shared" si="1489"/>
        <v>0</v>
      </c>
      <c r="CW514" s="229">
        <f t="shared" si="1490"/>
        <v>60</v>
      </c>
      <c r="CX514" s="229">
        <f t="shared" si="1491"/>
        <v>0</v>
      </c>
      <c r="CY514" s="229">
        <f t="shared" si="1492"/>
        <v>0</v>
      </c>
      <c r="CZ514" s="229">
        <f t="shared" si="1493"/>
        <v>0</v>
      </c>
      <c r="DA514" s="229">
        <f t="shared" si="1494"/>
        <v>0</v>
      </c>
      <c r="DB514" s="228">
        <f t="shared" si="1650"/>
        <v>167.4</v>
      </c>
      <c r="DC514" s="229"/>
      <c r="DD514" s="229"/>
      <c r="DE514" s="229"/>
      <c r="DF514" s="229"/>
      <c r="DG514" s="229"/>
      <c r="DH514" s="229"/>
      <c r="DI514" s="229"/>
      <c r="DJ514" s="229"/>
      <c r="DK514" s="229"/>
      <c r="DL514" s="229"/>
      <c r="DM514" s="229"/>
      <c r="DN514" s="229"/>
      <c r="DO514" s="228">
        <f t="shared" si="1651"/>
        <v>0</v>
      </c>
      <c r="DP514" s="228">
        <f t="shared" si="1652"/>
        <v>167.4</v>
      </c>
      <c r="DQ514" s="229">
        <f t="shared" si="1495"/>
        <v>0</v>
      </c>
      <c r="DR514" s="229">
        <f t="shared" si="1496"/>
        <v>0</v>
      </c>
      <c r="DS514" s="229">
        <f t="shared" si="1497"/>
        <v>0</v>
      </c>
      <c r="DT514" s="229">
        <f t="shared" si="1498"/>
        <v>0</v>
      </c>
      <c r="DU514" s="229">
        <f t="shared" si="1499"/>
        <v>0</v>
      </c>
      <c r="DV514" s="229">
        <f t="shared" si="1500"/>
        <v>0</v>
      </c>
      <c r="DW514" s="229">
        <f t="shared" si="1501"/>
        <v>0</v>
      </c>
      <c r="DX514" s="228">
        <f t="shared" si="1653"/>
        <v>0</v>
      </c>
      <c r="DY514" s="229"/>
      <c r="DZ514" s="229"/>
      <c r="EA514" s="229"/>
      <c r="EB514" s="229"/>
      <c r="EC514" s="229"/>
      <c r="ED514" s="229"/>
      <c r="EE514" s="229"/>
      <c r="EF514" s="228">
        <f t="shared" si="1480"/>
        <v>0</v>
      </c>
      <c r="EG514" s="228">
        <f t="shared" si="1654"/>
        <v>0</v>
      </c>
      <c r="EH514" s="229">
        <f t="shared" si="1481"/>
        <v>0</v>
      </c>
      <c r="EI514" s="229">
        <v>0</v>
      </c>
      <c r="EJ514" s="228">
        <f t="shared" si="1620"/>
        <v>0</v>
      </c>
      <c r="EK514" s="229"/>
      <c r="EL514" s="229"/>
      <c r="EM514" s="228">
        <f t="shared" si="1657"/>
        <v>0</v>
      </c>
      <c r="EN514" s="229">
        <f t="shared" si="1591"/>
        <v>0</v>
      </c>
      <c r="EO514" s="229">
        <f t="shared" si="1610"/>
        <v>0</v>
      </c>
      <c r="EP514" s="228">
        <f t="shared" si="1658"/>
        <v>0</v>
      </c>
      <c r="EQ514" s="173">
        <f t="shared" si="1479"/>
        <v>0</v>
      </c>
      <c r="ER514" s="189">
        <v>0</v>
      </c>
      <c r="ES514" s="189">
        <v>22.2</v>
      </c>
      <c r="ET514" s="189">
        <v>9</v>
      </c>
      <c r="EU514" s="189">
        <v>0</v>
      </c>
      <c r="EV514" s="189">
        <v>0</v>
      </c>
      <c r="EW514" s="189">
        <v>76.2</v>
      </c>
      <c r="EX514" s="189">
        <v>0</v>
      </c>
      <c r="EY514" s="189">
        <v>60</v>
      </c>
      <c r="EZ514" s="189">
        <v>0</v>
      </c>
      <c r="FA514" s="189">
        <v>0</v>
      </c>
      <c r="FB514" s="189">
        <v>0</v>
      </c>
      <c r="FC514" s="189">
        <v>0</v>
      </c>
      <c r="FD514" s="189">
        <v>0</v>
      </c>
      <c r="FE514" s="189">
        <v>0</v>
      </c>
      <c r="FF514" s="189">
        <v>0</v>
      </c>
      <c r="FG514" s="189">
        <v>0</v>
      </c>
      <c r="FH514" s="189">
        <v>0</v>
      </c>
      <c r="FI514" s="189">
        <v>0</v>
      </c>
      <c r="FJ514" s="189">
        <v>0</v>
      </c>
      <c r="FK514" s="189">
        <v>167.4</v>
      </c>
      <c r="FL514" s="189">
        <v>124</v>
      </c>
      <c r="FN514" s="132">
        <v>0</v>
      </c>
    </row>
    <row r="515" spans="1:170" ht="30" customHeight="1">
      <c r="A515" s="88">
        <f>COUNTIF($H$12:H515,H515)</f>
        <v>21</v>
      </c>
      <c r="B515" s="88" t="s">
        <v>1248</v>
      </c>
      <c r="C515" s="88" t="s">
        <v>1230</v>
      </c>
      <c r="D515" s="88"/>
      <c r="E515" s="88"/>
      <c r="F515" s="301" t="s">
        <v>817</v>
      </c>
      <c r="G515" s="303" t="s">
        <v>1649</v>
      </c>
      <c r="H515" s="88">
        <v>10</v>
      </c>
      <c r="I515" s="88">
        <v>10</v>
      </c>
      <c r="J515" s="88">
        <v>10</v>
      </c>
      <c r="K515" s="90" t="s">
        <v>1110</v>
      </c>
      <c r="L515" s="90" t="s">
        <v>1110</v>
      </c>
      <c r="M515" s="214"/>
      <c r="N515" s="88" t="s">
        <v>1179</v>
      </c>
      <c r="O515" s="216">
        <f t="shared" si="1656"/>
        <v>4.32</v>
      </c>
      <c r="P515" s="88" t="str">
        <f t="shared" si="1594"/>
        <v>B11_4</v>
      </c>
      <c r="Q515" s="88">
        <f t="shared" si="1567"/>
        <v>270</v>
      </c>
      <c r="R515" s="88">
        <f t="shared" si="1568"/>
        <v>80</v>
      </c>
      <c r="S515" s="218"/>
      <c r="T515" s="219" t="s">
        <v>3088</v>
      </c>
      <c r="U515" s="88">
        <f>IF(RIGHT(T515,1)="K",(VLOOKUP(T515,ma_miengiam!$A$3:$B$80,2,0)*100)/2,VLOOKUP(T515,ma_miengiam!$A$3:$B$80,2,0)*100)</f>
        <v>0</v>
      </c>
      <c r="V515" s="88"/>
      <c r="W515" s="220">
        <f>IF(AND(T515="NTS",V515&gt;0),(Q515-(Q515*V515)/12)*VLOOKUP(T515,ma_miengiam!$A$3:$B$80,2,0)+(Q515-(Q515*(12-V515))/12),IF(AND(RIGHT(T515,1)="K",V515&gt;0),(VLOOKUP(T515,ma_miengiam!$A$3:$B$80,2,0)/2)*(Q515*V515)/12,IF(RIGHT(T515,1)="K",(VLOOKUP(T515,ma_miengiam!$A$3:$B$80,2,0)*Q515)/2,IF(V515&gt;0,VLOOKUP(T515,ma_miengiam!$A$3:$B$80,2,0)*Q515*V515/12,VLOOKUP(T515,ma_miengiam!$A$3:$B$80,2,0)*Q515))))</f>
        <v>0</v>
      </c>
      <c r="X515" s="220">
        <f>IF(T515="NTS",VLOOKUP(T515,ma_miengiam!$A$3:$B$80,2,0)*R515*V515,IF(AND(T515="NTS",V515=0),0,IF(AND(LEFT(T515,1)="K",V515=0),VLOOKUP(T515,ma_miengiam!$A$3:$B$80,2,0)*R515,IF(LEFT(T515,1)="K",(VLOOKUP(T515,ma_miengiam!$A$3:$B$80,2,0)*R515/12)*V515,IF(AND(LEFT(T515,1)="S",V515&gt;0),(R515/12)*V515,IF(AND(LEFT(T515,1)="S",V515=0),R515,IF(T515="DH",VLOOKUP(T515,ma_miengiam!$A$3:$B$80,2,0)*R515,0)))))))</f>
        <v>0</v>
      </c>
      <c r="Y515" s="220">
        <f t="shared" si="1521"/>
        <v>270</v>
      </c>
      <c r="Z515" s="220">
        <f>IF(AND(T515="SĐH",V515&gt;0),(R515/12)*V515-X515,IF(AND(T515="DH",V515&gt;0),(R515*V515/12),IF(AND(T515&lt;&gt;"NTS",V515&gt;0),(R515*V515/12)-X515,IF(AND(T515="NTS",V515&gt;0),R515-X515,R515-X515))))</f>
        <v>80</v>
      </c>
      <c r="AA515" s="220">
        <f t="shared" ref="AA515:AB519" si="1668">Q515</f>
        <v>270</v>
      </c>
      <c r="AB515" s="220">
        <f t="shared" si="1668"/>
        <v>80</v>
      </c>
      <c r="AC515" s="220">
        <f t="shared" si="1664"/>
        <v>0</v>
      </c>
      <c r="AD515" s="220">
        <f t="shared" si="1664"/>
        <v>0</v>
      </c>
      <c r="AE515" s="220">
        <f t="shared" si="1664"/>
        <v>270</v>
      </c>
      <c r="AF515" s="220">
        <f t="shared" si="1664"/>
        <v>80</v>
      </c>
      <c r="AG515" s="220">
        <f t="shared" si="1665"/>
        <v>0</v>
      </c>
      <c r="AH515" s="220">
        <f t="shared" si="1666"/>
        <v>0</v>
      </c>
      <c r="AI515" s="220">
        <f t="shared" si="1667"/>
        <v>0</v>
      </c>
      <c r="AJ515" s="220">
        <f>IF(AG515-Z515&gt;0,0,AG515-Z515)</f>
        <v>-80</v>
      </c>
      <c r="AK515" s="216">
        <f t="shared" si="1639"/>
        <v>350</v>
      </c>
      <c r="AL515" s="220">
        <f t="shared" si="1640"/>
        <v>169.9</v>
      </c>
      <c r="AM515" s="220">
        <f t="shared" si="1641"/>
        <v>0</v>
      </c>
      <c r="AN515" s="221">
        <f t="shared" si="1642"/>
        <v>169.9</v>
      </c>
      <c r="AO515" s="220">
        <f t="shared" si="1643"/>
        <v>0</v>
      </c>
      <c r="AP515" s="220">
        <f t="shared" si="1644"/>
        <v>0</v>
      </c>
      <c r="AQ515" s="220">
        <f t="shared" si="1645"/>
        <v>0</v>
      </c>
      <c r="AR515" s="220">
        <f t="shared" si="1646"/>
        <v>0</v>
      </c>
      <c r="AS515" s="220">
        <f t="shared" si="1647"/>
        <v>0</v>
      </c>
      <c r="AT515" s="216">
        <f t="shared" si="1648"/>
        <v>169.9</v>
      </c>
      <c r="AU515" s="222">
        <f t="shared" si="1661"/>
        <v>-180.1</v>
      </c>
      <c r="AV515" s="220"/>
      <c r="AW515" s="220">
        <f t="shared" si="1530"/>
        <v>-180.1</v>
      </c>
      <c r="AX515" s="216">
        <f t="shared" si="1636"/>
        <v>-180.1</v>
      </c>
      <c r="AY515" s="220">
        <f t="shared" si="1537"/>
        <v>0</v>
      </c>
      <c r="AZ515" s="220">
        <f t="shared" si="1538"/>
        <v>0</v>
      </c>
      <c r="BA515" s="220">
        <f t="shared" si="1539"/>
        <v>0</v>
      </c>
      <c r="BB515" s="220">
        <f t="shared" si="1540"/>
        <v>0</v>
      </c>
      <c r="BC515" s="220">
        <f t="shared" si="1541"/>
        <v>0</v>
      </c>
      <c r="BD515" s="216">
        <f t="shared" si="1599"/>
        <v>0</v>
      </c>
      <c r="BE515" s="220">
        <f t="shared" si="1531"/>
        <v>0</v>
      </c>
      <c r="BF515" s="220">
        <f t="shared" si="1532"/>
        <v>0</v>
      </c>
      <c r="BG515" s="220">
        <f t="shared" si="1533"/>
        <v>0</v>
      </c>
      <c r="BH515" s="220">
        <f t="shared" si="1534"/>
        <v>0</v>
      </c>
      <c r="BI515" s="220">
        <f t="shared" si="1535"/>
        <v>0</v>
      </c>
      <c r="BJ515" s="220" t="s">
        <v>1562</v>
      </c>
      <c r="BK515" s="220"/>
      <c r="BL515" s="223">
        <f t="shared" si="1609"/>
        <v>0</v>
      </c>
      <c r="BM515" s="220">
        <v>4.32</v>
      </c>
      <c r="BN515" s="220"/>
      <c r="BO515" s="220">
        <f t="shared" si="1607"/>
        <v>4.32</v>
      </c>
      <c r="BP515" s="220">
        <f>IF(AND(BL515&gt;0,BL515&lt;tiet!$D$1),BL515,IF(BL515&lt;=0,0,IF(BL515&gt;tiet!$C$1,tiet!$C$1)))</f>
        <v>0</v>
      </c>
      <c r="BQ515" s="87">
        <f>VLOOKUP(P515,ma_dinhmuc_moi,4,0)</f>
        <v>65000</v>
      </c>
      <c r="BR515" s="224">
        <f>ROUND(BQ515*BP515,0)</f>
        <v>0</v>
      </c>
      <c r="BS515" s="220">
        <f t="shared" si="1478"/>
        <v>0</v>
      </c>
      <c r="BT515" s="224">
        <f>VLOOKUP(N515,ma_dinhmuc!$A$1:$J$31,10,0)</f>
        <v>51000</v>
      </c>
      <c r="BU515" s="224">
        <f>ROUND(IF(BS515&gt;0,VLOOKUP(N515,ma_dinhmuc!$A$1:$J$31,10,0)*BS515,0),0)</f>
        <v>0</v>
      </c>
      <c r="BV515" s="224">
        <f>ROUND(BU515+BR515,0)</f>
        <v>0</v>
      </c>
      <c r="BW515" s="224"/>
      <c r="BX515" s="224">
        <v>0</v>
      </c>
      <c r="BY515" s="224"/>
      <c r="BZ515" s="224"/>
      <c r="CA515" s="224"/>
      <c r="CB515" s="224"/>
      <c r="CC515" s="225">
        <f>ROUND(IF(BV515+BW515&gt;BX515+BY515+BZ515+CA515+CB515,(BW515+BV515)-(BX515+BY515+BZ515+CA515+CB515+CB515),0),0)</f>
        <v>0</v>
      </c>
      <c r="CD515" s="224">
        <f>ROUND(IF(BV515+BW515&lt;BX515+BY515+BZ515+CA515-CB515,(BX515+BY515+BZ515+CA515-CB515)-(BW515+BV515),0),0)</f>
        <v>0</v>
      </c>
      <c r="CE515" s="224"/>
      <c r="CF515" s="226"/>
      <c r="CG515" s="87"/>
      <c r="CH515" s="87">
        <f t="shared" si="1617"/>
        <v>21</v>
      </c>
      <c r="CI515" s="227" t="str">
        <f t="shared" si="1632"/>
        <v>Bùi Thị</v>
      </c>
      <c r="CJ515" s="227" t="str">
        <f t="shared" si="1633"/>
        <v>Thu</v>
      </c>
      <c r="CK515" s="87">
        <f>H515</f>
        <v>10</v>
      </c>
      <c r="CL515" s="227" t="str">
        <f>L515</f>
        <v>Vật lý</v>
      </c>
      <c r="CM515" s="87" t="str">
        <f t="shared" si="1536"/>
        <v>CB2</v>
      </c>
      <c r="CN515" s="87">
        <f t="shared" si="1663"/>
        <v>270</v>
      </c>
      <c r="CO515" s="87">
        <f t="shared" si="1663"/>
        <v>80</v>
      </c>
      <c r="CP515" s="229">
        <f t="shared" si="1483"/>
        <v>0</v>
      </c>
      <c r="CQ515" s="229">
        <f t="shared" si="1484"/>
        <v>22.7</v>
      </c>
      <c r="CR515" s="229">
        <f t="shared" si="1485"/>
        <v>9.1999999999999993</v>
      </c>
      <c r="CS515" s="229">
        <f t="shared" si="1486"/>
        <v>0</v>
      </c>
      <c r="CT515" s="229">
        <f t="shared" si="1487"/>
        <v>0</v>
      </c>
      <c r="CU515" s="229">
        <f t="shared" si="1488"/>
        <v>78</v>
      </c>
      <c r="CV515" s="229">
        <f t="shared" si="1489"/>
        <v>0</v>
      </c>
      <c r="CW515" s="229">
        <f t="shared" si="1490"/>
        <v>60</v>
      </c>
      <c r="CX515" s="229">
        <f t="shared" si="1491"/>
        <v>0</v>
      </c>
      <c r="CY515" s="229">
        <f t="shared" si="1492"/>
        <v>0</v>
      </c>
      <c r="CZ515" s="229">
        <f t="shared" si="1493"/>
        <v>0</v>
      </c>
      <c r="DA515" s="229">
        <f t="shared" si="1494"/>
        <v>0</v>
      </c>
      <c r="DB515" s="228">
        <f t="shared" si="1650"/>
        <v>169.9</v>
      </c>
      <c r="DC515" s="229"/>
      <c r="DD515" s="229"/>
      <c r="DE515" s="229"/>
      <c r="DF515" s="229"/>
      <c r="DG515" s="229"/>
      <c r="DH515" s="229"/>
      <c r="DI515" s="229"/>
      <c r="DJ515" s="229"/>
      <c r="DK515" s="229"/>
      <c r="DL515" s="229"/>
      <c r="DM515" s="229"/>
      <c r="DN515" s="229"/>
      <c r="DO515" s="228">
        <f t="shared" si="1651"/>
        <v>0</v>
      </c>
      <c r="DP515" s="228">
        <f t="shared" si="1652"/>
        <v>169.9</v>
      </c>
      <c r="DQ515" s="229">
        <f t="shared" si="1495"/>
        <v>0</v>
      </c>
      <c r="DR515" s="229">
        <f t="shared" si="1496"/>
        <v>0</v>
      </c>
      <c r="DS515" s="229">
        <f t="shared" si="1497"/>
        <v>0</v>
      </c>
      <c r="DT515" s="229">
        <f t="shared" si="1498"/>
        <v>0</v>
      </c>
      <c r="DU515" s="229">
        <f t="shared" si="1499"/>
        <v>0</v>
      </c>
      <c r="DV515" s="229">
        <f t="shared" si="1500"/>
        <v>0</v>
      </c>
      <c r="DW515" s="229">
        <f t="shared" si="1501"/>
        <v>0</v>
      </c>
      <c r="DX515" s="228">
        <f t="shared" si="1653"/>
        <v>0</v>
      </c>
      <c r="DY515" s="229"/>
      <c r="DZ515" s="229"/>
      <c r="EA515" s="229"/>
      <c r="EB515" s="229"/>
      <c r="EC515" s="229"/>
      <c r="ED515" s="229"/>
      <c r="EE515" s="229"/>
      <c r="EF515" s="228">
        <f t="shared" si="1480"/>
        <v>0</v>
      </c>
      <c r="EG515" s="228">
        <f t="shared" si="1654"/>
        <v>0</v>
      </c>
      <c r="EH515" s="229">
        <f t="shared" si="1481"/>
        <v>0</v>
      </c>
      <c r="EI515" s="229">
        <v>0</v>
      </c>
      <c r="EJ515" s="228">
        <f t="shared" si="1620"/>
        <v>0</v>
      </c>
      <c r="EK515" s="229"/>
      <c r="EL515" s="229"/>
      <c r="EM515" s="228">
        <f t="shared" si="1657"/>
        <v>0</v>
      </c>
      <c r="EN515" s="229">
        <f t="shared" si="1591"/>
        <v>0</v>
      </c>
      <c r="EO515" s="229">
        <f t="shared" si="1610"/>
        <v>0</v>
      </c>
      <c r="EP515" s="228">
        <f t="shared" si="1658"/>
        <v>0</v>
      </c>
      <c r="EQ515" s="173">
        <f t="shared" si="1479"/>
        <v>0</v>
      </c>
      <c r="ER515" s="189">
        <v>0</v>
      </c>
      <c r="ES515" s="189">
        <v>22.7</v>
      </c>
      <c r="ET515" s="189">
        <v>9.1999999999999993</v>
      </c>
      <c r="EU515" s="189">
        <v>0</v>
      </c>
      <c r="EV515" s="189">
        <v>0</v>
      </c>
      <c r="EW515" s="189">
        <v>78</v>
      </c>
      <c r="EX515" s="189">
        <v>0</v>
      </c>
      <c r="EY515" s="189">
        <v>60</v>
      </c>
      <c r="EZ515" s="189">
        <v>0</v>
      </c>
      <c r="FA515" s="189">
        <v>0</v>
      </c>
      <c r="FB515" s="189">
        <v>0</v>
      </c>
      <c r="FC515" s="189">
        <v>0</v>
      </c>
      <c r="FD515" s="189">
        <v>0</v>
      </c>
      <c r="FE515" s="189">
        <v>0</v>
      </c>
      <c r="FF515" s="189">
        <v>0</v>
      </c>
      <c r="FG515" s="189">
        <v>0</v>
      </c>
      <c r="FH515" s="189">
        <v>0</v>
      </c>
      <c r="FI515" s="189">
        <v>0</v>
      </c>
      <c r="FJ515" s="189">
        <v>0</v>
      </c>
      <c r="FK515" s="189">
        <v>169.9</v>
      </c>
      <c r="FL515" s="189">
        <v>124</v>
      </c>
      <c r="FN515" s="132">
        <v>0</v>
      </c>
    </row>
    <row r="516" spans="1:170" ht="30" customHeight="1">
      <c r="A516" s="88">
        <f>COUNTIF($H$12:H516,H516)</f>
        <v>22</v>
      </c>
      <c r="B516" s="88" t="s">
        <v>1249</v>
      </c>
      <c r="C516" s="88" t="s">
        <v>2054</v>
      </c>
      <c r="D516" s="88"/>
      <c r="E516" s="88"/>
      <c r="F516" s="301" t="s">
        <v>1139</v>
      </c>
      <c r="G516" s="303" t="s">
        <v>1772</v>
      </c>
      <c r="H516" s="88">
        <v>10</v>
      </c>
      <c r="I516" s="88">
        <v>10</v>
      </c>
      <c r="J516" s="88">
        <v>10</v>
      </c>
      <c r="K516" s="90" t="s">
        <v>1110</v>
      </c>
      <c r="L516" s="90" t="s">
        <v>1110</v>
      </c>
      <c r="M516" s="214"/>
      <c r="N516" s="88" t="s">
        <v>1179</v>
      </c>
      <c r="O516" s="216">
        <f t="shared" si="1656"/>
        <v>3.33</v>
      </c>
      <c r="P516" s="88" t="str">
        <f t="shared" si="1594"/>
        <v>B11_4</v>
      </c>
      <c r="Q516" s="88">
        <f t="shared" si="1567"/>
        <v>270</v>
      </c>
      <c r="R516" s="88">
        <f t="shared" si="1568"/>
        <v>80</v>
      </c>
      <c r="S516" s="218"/>
      <c r="T516" s="219" t="s">
        <v>3088</v>
      </c>
      <c r="U516" s="88">
        <f>IF(RIGHT(T516,1)="K",(VLOOKUP(T516,ma_miengiam!$A$3:$B$80,2,0)*100)/2,VLOOKUP(T516,ma_miengiam!$A$3:$B$80,2,0)*100)</f>
        <v>0</v>
      </c>
      <c r="V516" s="88"/>
      <c r="W516" s="220">
        <f>IF(AND(T516="NTS",V516&gt;0),(Q516-(Q516*V516)/12)*VLOOKUP(T516,ma_miengiam!$A$3:$B$80,2,0)+(Q516-(Q516*(12-V516))/12),IF(AND(RIGHT(T516,1)="K",V516&gt;0),(VLOOKUP(T516,ma_miengiam!$A$3:$B$80,2,0)/2)*(Q516*V516)/12,IF(RIGHT(T516,1)="K",(VLOOKUP(T516,ma_miengiam!$A$3:$B$80,2,0)*Q516)/2,IF(V516&gt;0,VLOOKUP(T516,ma_miengiam!$A$3:$B$80,2,0)*Q516*V516/12,VLOOKUP(T516,ma_miengiam!$A$3:$B$80,2,0)*Q516))))</f>
        <v>0</v>
      </c>
      <c r="X516" s="220">
        <f>IF(T516="NTS",VLOOKUP(T516,ma_miengiam!$A$3:$B$80,2,0)*R516*V516,IF(AND(T516="NTS",V516=0),0,IF(AND(LEFT(T516,1)="K",V516=0),VLOOKUP(T516,ma_miengiam!$A$3:$B$80,2,0)*R516,IF(LEFT(T516,1)="K",(VLOOKUP(T516,ma_miengiam!$A$3:$B$80,2,0)*R516/12)*V516,IF(AND(LEFT(T516,1)="S",V516&gt;0),(R516/12)*V516,IF(AND(LEFT(T516,1)="S",V516=0),R516,IF(T516="DH",VLOOKUP(T516,ma_miengiam!$A$3:$B$80,2,0)*R516,0)))))))</f>
        <v>0</v>
      </c>
      <c r="Y516" s="220">
        <f t="shared" si="1521"/>
        <v>270</v>
      </c>
      <c r="Z516" s="220">
        <f t="shared" si="1569"/>
        <v>80</v>
      </c>
      <c r="AA516" s="220">
        <f t="shared" si="1668"/>
        <v>270</v>
      </c>
      <c r="AB516" s="220">
        <f t="shared" si="1668"/>
        <v>80</v>
      </c>
      <c r="AC516" s="220">
        <f t="shared" ref="AC516:AF517" si="1669">W516</f>
        <v>0</v>
      </c>
      <c r="AD516" s="220">
        <f t="shared" si="1669"/>
        <v>0</v>
      </c>
      <c r="AE516" s="220">
        <f t="shared" si="1669"/>
        <v>270</v>
      </c>
      <c r="AF516" s="220">
        <f t="shared" si="1669"/>
        <v>80</v>
      </c>
      <c r="AG516" s="220">
        <f t="shared" si="1665"/>
        <v>0</v>
      </c>
      <c r="AH516" s="220">
        <f t="shared" si="1666"/>
        <v>0</v>
      </c>
      <c r="AI516" s="220">
        <f t="shared" si="1667"/>
        <v>0</v>
      </c>
      <c r="AJ516" s="220">
        <f t="shared" si="1551"/>
        <v>-80</v>
      </c>
      <c r="AK516" s="216">
        <f t="shared" si="1639"/>
        <v>350</v>
      </c>
      <c r="AL516" s="220">
        <f t="shared" si="1640"/>
        <v>185.5</v>
      </c>
      <c r="AM516" s="220">
        <f t="shared" si="1641"/>
        <v>0</v>
      </c>
      <c r="AN516" s="221">
        <f t="shared" si="1642"/>
        <v>185.5</v>
      </c>
      <c r="AO516" s="220">
        <f t="shared" si="1643"/>
        <v>0</v>
      </c>
      <c r="AP516" s="220">
        <f t="shared" si="1644"/>
        <v>0</v>
      </c>
      <c r="AQ516" s="220">
        <f t="shared" si="1645"/>
        <v>0</v>
      </c>
      <c r="AR516" s="220">
        <f t="shared" si="1646"/>
        <v>0</v>
      </c>
      <c r="AS516" s="220">
        <f t="shared" si="1647"/>
        <v>0</v>
      </c>
      <c r="AT516" s="216">
        <f t="shared" si="1648"/>
        <v>185.5</v>
      </c>
      <c r="AU516" s="222">
        <f t="shared" si="1661"/>
        <v>-164.5</v>
      </c>
      <c r="AV516" s="220"/>
      <c r="AW516" s="220">
        <f t="shared" si="1530"/>
        <v>-164.5</v>
      </c>
      <c r="AX516" s="216">
        <f t="shared" si="1636"/>
        <v>-164.5</v>
      </c>
      <c r="AY516" s="220">
        <f t="shared" si="1537"/>
        <v>0</v>
      </c>
      <c r="AZ516" s="220">
        <f t="shared" si="1538"/>
        <v>0</v>
      </c>
      <c r="BA516" s="220">
        <f t="shared" si="1539"/>
        <v>0</v>
      </c>
      <c r="BB516" s="220">
        <f t="shared" si="1540"/>
        <v>0</v>
      </c>
      <c r="BC516" s="220">
        <f t="shared" si="1541"/>
        <v>0</v>
      </c>
      <c r="BD516" s="216">
        <f t="shared" si="1599"/>
        <v>0</v>
      </c>
      <c r="BE516" s="220">
        <f t="shared" si="1531"/>
        <v>0</v>
      </c>
      <c r="BF516" s="220">
        <f t="shared" si="1532"/>
        <v>0</v>
      </c>
      <c r="BG516" s="220">
        <f t="shared" si="1533"/>
        <v>0</v>
      </c>
      <c r="BH516" s="220">
        <f t="shared" si="1534"/>
        <v>0</v>
      </c>
      <c r="BI516" s="220">
        <f t="shared" si="1535"/>
        <v>0</v>
      </c>
      <c r="BJ516" s="220" t="s">
        <v>1562</v>
      </c>
      <c r="BK516" s="220"/>
      <c r="BL516" s="223">
        <f t="shared" si="1609"/>
        <v>0</v>
      </c>
      <c r="BM516" s="220">
        <v>3.33</v>
      </c>
      <c r="BN516" s="220"/>
      <c r="BO516" s="220">
        <f t="shared" ref="BO516:BO539" si="1670">ROUND(BM516+(BM516*BN516),2)</f>
        <v>3.33</v>
      </c>
      <c r="BP516" s="220">
        <f>IF(AND(BL516&gt;0,BL516&lt;tiet!$D$1),BL516,IF(BL516&lt;=0,0,IF(BL516&gt;tiet!$C$1,tiet!$C$1)))</f>
        <v>0</v>
      </c>
      <c r="BQ516" s="87">
        <f t="shared" si="1552"/>
        <v>65000</v>
      </c>
      <c r="BR516" s="224">
        <f t="shared" si="1544"/>
        <v>0</v>
      </c>
      <c r="BS516" s="220">
        <f t="shared" si="1478"/>
        <v>0</v>
      </c>
      <c r="BT516" s="224">
        <f>VLOOKUP(N516,ma_dinhmuc!$A$1:$J$31,10,0)</f>
        <v>51000</v>
      </c>
      <c r="BU516" s="224">
        <f>ROUND(IF(BS516&gt;0,VLOOKUP(N516,ma_dinhmuc!$A$1:$J$31,10,0)*BS516,0),0)</f>
        <v>0</v>
      </c>
      <c r="BV516" s="224">
        <f t="shared" si="1545"/>
        <v>0</v>
      </c>
      <c r="BW516" s="224"/>
      <c r="BX516" s="224">
        <v>0</v>
      </c>
      <c r="BY516" s="224"/>
      <c r="BZ516" s="224"/>
      <c r="CA516" s="224"/>
      <c r="CB516" s="224"/>
      <c r="CC516" s="225">
        <f t="shared" si="1595"/>
        <v>0</v>
      </c>
      <c r="CD516" s="224">
        <f t="shared" si="1596"/>
        <v>0</v>
      </c>
      <c r="CE516" s="224"/>
      <c r="CF516" s="226"/>
      <c r="CG516" s="87"/>
      <c r="CH516" s="87">
        <f t="shared" si="1617"/>
        <v>22</v>
      </c>
      <c r="CI516" s="227" t="str">
        <f t="shared" ref="CI516:CI527" si="1671">F516</f>
        <v>Nguyễn Thị</v>
      </c>
      <c r="CJ516" s="227" t="str">
        <f t="shared" ref="CJ516:CJ527" si="1672">G516</f>
        <v>Thanh</v>
      </c>
      <c r="CK516" s="87">
        <f t="shared" ref="CK516:CK527" si="1673">H516</f>
        <v>10</v>
      </c>
      <c r="CL516" s="227" t="str">
        <f t="shared" si="1662"/>
        <v>Vật lý</v>
      </c>
      <c r="CM516" s="87" t="str">
        <f t="shared" si="1536"/>
        <v>CB2</v>
      </c>
      <c r="CN516" s="87">
        <f t="shared" ref="CN516:CN521" si="1674">Q516</f>
        <v>270</v>
      </c>
      <c r="CO516" s="87">
        <f t="shared" ref="CO516:CO521" si="1675">R516</f>
        <v>80</v>
      </c>
      <c r="CP516" s="229">
        <f t="shared" si="1483"/>
        <v>0</v>
      </c>
      <c r="CQ516" s="229">
        <f t="shared" si="1484"/>
        <v>22.9</v>
      </c>
      <c r="CR516" s="229">
        <f t="shared" si="1485"/>
        <v>9.1999999999999993</v>
      </c>
      <c r="CS516" s="229">
        <f t="shared" si="1486"/>
        <v>0</v>
      </c>
      <c r="CT516" s="229">
        <f t="shared" si="1487"/>
        <v>0</v>
      </c>
      <c r="CU516" s="229">
        <f t="shared" si="1488"/>
        <v>78.400000000000006</v>
      </c>
      <c r="CV516" s="229">
        <f t="shared" si="1489"/>
        <v>0</v>
      </c>
      <c r="CW516" s="229">
        <f t="shared" si="1490"/>
        <v>75</v>
      </c>
      <c r="CX516" s="229">
        <f t="shared" si="1491"/>
        <v>0</v>
      </c>
      <c r="CY516" s="229">
        <f t="shared" si="1492"/>
        <v>0</v>
      </c>
      <c r="CZ516" s="229">
        <f t="shared" si="1493"/>
        <v>0</v>
      </c>
      <c r="DA516" s="229">
        <f t="shared" si="1494"/>
        <v>0</v>
      </c>
      <c r="DB516" s="228">
        <f t="shared" si="1650"/>
        <v>185.5</v>
      </c>
      <c r="DC516" s="229"/>
      <c r="DD516" s="229"/>
      <c r="DE516" s="229"/>
      <c r="DF516" s="229"/>
      <c r="DG516" s="229"/>
      <c r="DH516" s="229"/>
      <c r="DI516" s="229"/>
      <c r="DJ516" s="229"/>
      <c r="DK516" s="229"/>
      <c r="DL516" s="229"/>
      <c r="DM516" s="229"/>
      <c r="DN516" s="229"/>
      <c r="DO516" s="228">
        <f t="shared" si="1651"/>
        <v>0</v>
      </c>
      <c r="DP516" s="228">
        <f t="shared" si="1652"/>
        <v>185.5</v>
      </c>
      <c r="DQ516" s="229">
        <f t="shared" si="1495"/>
        <v>0</v>
      </c>
      <c r="DR516" s="229">
        <f t="shared" si="1496"/>
        <v>0</v>
      </c>
      <c r="DS516" s="229">
        <f t="shared" si="1497"/>
        <v>0</v>
      </c>
      <c r="DT516" s="229">
        <f t="shared" si="1498"/>
        <v>0</v>
      </c>
      <c r="DU516" s="229">
        <f t="shared" si="1499"/>
        <v>0</v>
      </c>
      <c r="DV516" s="229">
        <f t="shared" si="1500"/>
        <v>0</v>
      </c>
      <c r="DW516" s="229">
        <f t="shared" si="1501"/>
        <v>0</v>
      </c>
      <c r="DX516" s="228">
        <f t="shared" si="1653"/>
        <v>0</v>
      </c>
      <c r="DY516" s="229"/>
      <c r="DZ516" s="229"/>
      <c r="EA516" s="229"/>
      <c r="EB516" s="229"/>
      <c r="EC516" s="229"/>
      <c r="ED516" s="229"/>
      <c r="EE516" s="229"/>
      <c r="EF516" s="228">
        <f t="shared" si="1480"/>
        <v>0</v>
      </c>
      <c r="EG516" s="228">
        <f t="shared" si="1654"/>
        <v>0</v>
      </c>
      <c r="EH516" s="229">
        <f t="shared" si="1481"/>
        <v>0</v>
      </c>
      <c r="EI516" s="229">
        <v>0</v>
      </c>
      <c r="EJ516" s="228">
        <f t="shared" si="1620"/>
        <v>0</v>
      </c>
      <c r="EK516" s="229"/>
      <c r="EL516" s="229"/>
      <c r="EM516" s="228">
        <f t="shared" si="1657"/>
        <v>0</v>
      </c>
      <c r="EN516" s="229">
        <f t="shared" si="1591"/>
        <v>0</v>
      </c>
      <c r="EO516" s="229">
        <f t="shared" si="1610"/>
        <v>0</v>
      </c>
      <c r="EP516" s="228">
        <f t="shared" si="1658"/>
        <v>0</v>
      </c>
      <c r="EQ516" s="173">
        <f t="shared" si="1479"/>
        <v>0</v>
      </c>
      <c r="ER516" s="189">
        <v>0</v>
      </c>
      <c r="ES516" s="189">
        <v>22.9</v>
      </c>
      <c r="ET516" s="189">
        <v>9.1999999999999993</v>
      </c>
      <c r="EU516" s="189">
        <v>0</v>
      </c>
      <c r="EV516" s="189">
        <v>0</v>
      </c>
      <c r="EW516" s="189">
        <v>78.400000000000006</v>
      </c>
      <c r="EX516" s="189">
        <v>0</v>
      </c>
      <c r="EY516" s="189">
        <v>75</v>
      </c>
      <c r="EZ516" s="189">
        <v>0</v>
      </c>
      <c r="FA516" s="189">
        <v>0</v>
      </c>
      <c r="FB516" s="189">
        <v>0</v>
      </c>
      <c r="FC516" s="189">
        <v>0</v>
      </c>
      <c r="FD516" s="189">
        <v>0</v>
      </c>
      <c r="FE516" s="189">
        <v>0</v>
      </c>
      <c r="FF516" s="189">
        <v>0</v>
      </c>
      <c r="FG516" s="189">
        <v>0</v>
      </c>
      <c r="FH516" s="189">
        <v>0</v>
      </c>
      <c r="FI516" s="189">
        <v>0</v>
      </c>
      <c r="FJ516" s="189">
        <v>0</v>
      </c>
      <c r="FK516" s="189">
        <v>185.5</v>
      </c>
      <c r="FL516" s="189">
        <v>139</v>
      </c>
      <c r="FN516" s="132">
        <v>0</v>
      </c>
    </row>
    <row r="517" spans="1:170" ht="30" customHeight="1">
      <c r="A517" s="88">
        <f>COUNTIF($H$12:H517,H517)</f>
        <v>23</v>
      </c>
      <c r="B517" s="88" t="s">
        <v>1250</v>
      </c>
      <c r="C517" s="88" t="s">
        <v>2055</v>
      </c>
      <c r="D517" s="88"/>
      <c r="E517" s="88"/>
      <c r="F517" s="301" t="s">
        <v>47</v>
      </c>
      <c r="G517" s="89" t="s">
        <v>2904</v>
      </c>
      <c r="H517" s="88">
        <v>10</v>
      </c>
      <c r="I517" s="88">
        <v>10</v>
      </c>
      <c r="J517" s="88">
        <v>10</v>
      </c>
      <c r="K517" s="90" t="s">
        <v>1110</v>
      </c>
      <c r="L517" s="90" t="s">
        <v>1110</v>
      </c>
      <c r="M517" s="214"/>
      <c r="N517" s="88" t="s">
        <v>1179</v>
      </c>
      <c r="O517" s="216">
        <f t="shared" si="1656"/>
        <v>3.66</v>
      </c>
      <c r="P517" s="88" t="str">
        <f t="shared" si="1594"/>
        <v>B11_4</v>
      </c>
      <c r="Q517" s="88">
        <f t="shared" si="1567"/>
        <v>270</v>
      </c>
      <c r="R517" s="88">
        <f t="shared" si="1568"/>
        <v>80</v>
      </c>
      <c r="S517" s="230" t="s">
        <v>2031</v>
      </c>
      <c r="T517" s="88" t="s">
        <v>3091</v>
      </c>
      <c r="U517" s="88">
        <f>IF(RIGHT(T517,1)="K",(VLOOKUP(T517,ma_miengiam!$A$3:$B$80,2,0)*100)/2,VLOOKUP(T517,ma_miengiam!$A$3:$B$80,2,0)*100)</f>
        <v>20</v>
      </c>
      <c r="V517" s="88"/>
      <c r="W517" s="220">
        <f>IF(AND(T517="NTS",V517&gt;0),(Q517-(Q517*V517)/12)*VLOOKUP(T517,ma_miengiam!$A$3:$B$80,2,0)+(Q517-(Q517*(12-V517))/12),IF(AND(RIGHT(T517,1)="K",V517&gt;0),(VLOOKUP(T517,ma_miengiam!$A$3:$B$80,2,0)/2)*(Q517*V517)/12,IF(RIGHT(T517,1)="K",(VLOOKUP(T517,ma_miengiam!$A$3:$B$80,2,0)*Q517)/2,IF(V517&gt;0,VLOOKUP(T517,ma_miengiam!$A$3:$B$80,2,0)*Q517*V517/12,VLOOKUP(T517,ma_miengiam!$A$3:$B$80,2,0)*Q517))))</f>
        <v>54</v>
      </c>
      <c r="X517" s="220">
        <f>IF(T517="NTS",VLOOKUP(T517,ma_miengiam!$A$3:$B$80,2,0)*R517*V517,IF(AND(T517="NTS",V517=0),0,IF(AND(LEFT(T517,1)="K",V517=0),VLOOKUP(T517,ma_miengiam!$A$3:$B$80,2,0)*R517,IF(LEFT(T517,1)="K",(VLOOKUP(T517,ma_miengiam!$A$3:$B$80,2,0)*R517/12)*V517,IF(AND(LEFT(T517,1)="S",V517&gt;0),(R517/12)*V517,IF(AND(LEFT(T517,1)="S",V517=0),R517,IF(T517="DH",VLOOKUP(T517,ma_miengiam!$A$3:$B$80,2,0)*R517,0)))))))</f>
        <v>0</v>
      </c>
      <c r="Y517" s="220">
        <f t="shared" si="1521"/>
        <v>216</v>
      </c>
      <c r="Z517" s="220">
        <f t="shared" si="1569"/>
        <v>80</v>
      </c>
      <c r="AA517" s="220">
        <f t="shared" si="1668"/>
        <v>270</v>
      </c>
      <c r="AB517" s="220">
        <f t="shared" si="1668"/>
        <v>80</v>
      </c>
      <c r="AC517" s="220">
        <f t="shared" si="1669"/>
        <v>54</v>
      </c>
      <c r="AD517" s="220">
        <f t="shared" si="1669"/>
        <v>0</v>
      </c>
      <c r="AE517" s="220">
        <f t="shared" si="1669"/>
        <v>216</v>
      </c>
      <c r="AF517" s="220">
        <f t="shared" si="1669"/>
        <v>80</v>
      </c>
      <c r="AG517" s="220">
        <f t="shared" si="1665"/>
        <v>75</v>
      </c>
      <c r="AH517" s="220">
        <f t="shared" si="1666"/>
        <v>0</v>
      </c>
      <c r="AI517" s="220">
        <f t="shared" si="1667"/>
        <v>75</v>
      </c>
      <c r="AJ517" s="220">
        <f t="shared" si="1551"/>
        <v>-5</v>
      </c>
      <c r="AK517" s="216">
        <f t="shared" si="1639"/>
        <v>221</v>
      </c>
      <c r="AL517" s="220">
        <f t="shared" si="1640"/>
        <v>187.2</v>
      </c>
      <c r="AM517" s="220">
        <f t="shared" si="1641"/>
        <v>0</v>
      </c>
      <c r="AN517" s="221">
        <f t="shared" si="1642"/>
        <v>187.2</v>
      </c>
      <c r="AO517" s="220">
        <f t="shared" si="1643"/>
        <v>0</v>
      </c>
      <c r="AP517" s="220">
        <f t="shared" si="1644"/>
        <v>0</v>
      </c>
      <c r="AQ517" s="220">
        <f t="shared" si="1645"/>
        <v>0</v>
      </c>
      <c r="AR517" s="220">
        <f t="shared" si="1646"/>
        <v>0</v>
      </c>
      <c r="AS517" s="220">
        <f t="shared" si="1647"/>
        <v>0</v>
      </c>
      <c r="AT517" s="216">
        <f t="shared" si="1648"/>
        <v>187.2</v>
      </c>
      <c r="AU517" s="222">
        <f t="shared" si="1661"/>
        <v>-33.800000000000011</v>
      </c>
      <c r="AV517" s="220"/>
      <c r="AW517" s="220">
        <f t="shared" si="1530"/>
        <v>-33.800000000000011</v>
      </c>
      <c r="AX517" s="216">
        <f t="shared" si="1636"/>
        <v>-33.800000000000011</v>
      </c>
      <c r="AY517" s="220">
        <f t="shared" si="1537"/>
        <v>0</v>
      </c>
      <c r="AZ517" s="220">
        <f t="shared" si="1538"/>
        <v>0</v>
      </c>
      <c r="BA517" s="220">
        <f t="shared" si="1539"/>
        <v>0</v>
      </c>
      <c r="BB517" s="220">
        <f t="shared" si="1540"/>
        <v>0</v>
      </c>
      <c r="BC517" s="220">
        <f t="shared" si="1541"/>
        <v>0</v>
      </c>
      <c r="BD517" s="216">
        <f t="shared" si="1599"/>
        <v>0</v>
      </c>
      <c r="BE517" s="220">
        <f t="shared" si="1531"/>
        <v>0</v>
      </c>
      <c r="BF517" s="220">
        <f t="shared" si="1532"/>
        <v>0</v>
      </c>
      <c r="BG517" s="220">
        <f t="shared" si="1533"/>
        <v>0</v>
      </c>
      <c r="BH517" s="220">
        <f t="shared" si="1534"/>
        <v>0</v>
      </c>
      <c r="BI517" s="220">
        <f t="shared" si="1535"/>
        <v>0</v>
      </c>
      <c r="BJ517" s="220" t="s">
        <v>1562</v>
      </c>
      <c r="BK517" s="220"/>
      <c r="BL517" s="223">
        <f t="shared" si="1609"/>
        <v>0</v>
      </c>
      <c r="BM517" s="220">
        <v>3.66</v>
      </c>
      <c r="BN517" s="220"/>
      <c r="BO517" s="220">
        <f t="shared" si="1670"/>
        <v>3.66</v>
      </c>
      <c r="BP517" s="220">
        <f>IF(AND(BL517&gt;0,BL517&lt;tiet!$D$1),BL517,IF(BL517&lt;=0,0,IF(BL517&gt;tiet!$C$1,tiet!$C$1)))</f>
        <v>0</v>
      </c>
      <c r="BQ517" s="87">
        <f t="shared" si="1552"/>
        <v>65000</v>
      </c>
      <c r="BR517" s="224">
        <f t="shared" si="1544"/>
        <v>0</v>
      </c>
      <c r="BS517" s="220">
        <f t="shared" si="1478"/>
        <v>0</v>
      </c>
      <c r="BT517" s="224">
        <f>VLOOKUP(N517,ma_dinhmuc!$A$1:$J$31,10,0)</f>
        <v>51000</v>
      </c>
      <c r="BU517" s="224">
        <f>ROUND(IF(BS517&gt;0,VLOOKUP(N517,ma_dinhmuc!$A$1:$J$31,10,0)*BS517,0),0)</f>
        <v>0</v>
      </c>
      <c r="BV517" s="224">
        <f t="shared" si="1545"/>
        <v>0</v>
      </c>
      <c r="BW517" s="224"/>
      <c r="BX517" s="224">
        <v>0</v>
      </c>
      <c r="BY517" s="224"/>
      <c r="BZ517" s="224"/>
      <c r="CA517" s="224"/>
      <c r="CB517" s="224"/>
      <c r="CC517" s="225">
        <f t="shared" si="1595"/>
        <v>0</v>
      </c>
      <c r="CD517" s="224">
        <f t="shared" si="1596"/>
        <v>0</v>
      </c>
      <c r="CE517" s="224"/>
      <c r="CF517" s="226"/>
      <c r="CG517" s="87"/>
      <c r="CH517" s="87">
        <f t="shared" si="1617"/>
        <v>23</v>
      </c>
      <c r="CI517" s="227" t="str">
        <f t="shared" si="1671"/>
        <v>Nguyễn Tiến</v>
      </c>
      <c r="CJ517" s="227" t="str">
        <f t="shared" si="1672"/>
        <v>Hiển</v>
      </c>
      <c r="CK517" s="87">
        <f t="shared" si="1673"/>
        <v>10</v>
      </c>
      <c r="CL517" s="227" t="str">
        <f>L517</f>
        <v>Vật lý</v>
      </c>
      <c r="CM517" s="87" t="str">
        <f t="shared" si="1536"/>
        <v>CB2</v>
      </c>
      <c r="CN517" s="87">
        <f>Q517</f>
        <v>270</v>
      </c>
      <c r="CO517" s="87">
        <f>R517</f>
        <v>80</v>
      </c>
      <c r="CP517" s="229">
        <f t="shared" si="1483"/>
        <v>0</v>
      </c>
      <c r="CQ517" s="229">
        <f t="shared" si="1484"/>
        <v>18.899999999999999</v>
      </c>
      <c r="CR517" s="229">
        <f t="shared" si="1485"/>
        <v>7.6</v>
      </c>
      <c r="CS517" s="229">
        <f t="shared" si="1486"/>
        <v>0</v>
      </c>
      <c r="CT517" s="229">
        <f t="shared" si="1487"/>
        <v>0</v>
      </c>
      <c r="CU517" s="229">
        <f t="shared" si="1488"/>
        <v>100.7</v>
      </c>
      <c r="CV517" s="229">
        <f t="shared" si="1489"/>
        <v>0</v>
      </c>
      <c r="CW517" s="229">
        <f t="shared" si="1490"/>
        <v>60</v>
      </c>
      <c r="CX517" s="229">
        <f t="shared" si="1491"/>
        <v>0</v>
      </c>
      <c r="CY517" s="229">
        <f t="shared" si="1492"/>
        <v>0</v>
      </c>
      <c r="CZ517" s="229">
        <f t="shared" si="1493"/>
        <v>0</v>
      </c>
      <c r="DA517" s="229">
        <f t="shared" si="1494"/>
        <v>0</v>
      </c>
      <c r="DB517" s="228">
        <f t="shared" si="1650"/>
        <v>187.2</v>
      </c>
      <c r="DC517" s="229"/>
      <c r="DD517" s="229"/>
      <c r="DE517" s="229"/>
      <c r="DF517" s="229"/>
      <c r="DG517" s="229"/>
      <c r="DH517" s="229"/>
      <c r="DI517" s="229"/>
      <c r="DJ517" s="229"/>
      <c r="DK517" s="229"/>
      <c r="DL517" s="229"/>
      <c r="DM517" s="229"/>
      <c r="DN517" s="229"/>
      <c r="DO517" s="228">
        <f t="shared" si="1651"/>
        <v>0</v>
      </c>
      <c r="DP517" s="228">
        <f t="shared" si="1652"/>
        <v>187.2</v>
      </c>
      <c r="DQ517" s="229">
        <f t="shared" si="1495"/>
        <v>0</v>
      </c>
      <c r="DR517" s="229">
        <f t="shared" si="1496"/>
        <v>0</v>
      </c>
      <c r="DS517" s="229">
        <f t="shared" si="1497"/>
        <v>0</v>
      </c>
      <c r="DT517" s="229">
        <f t="shared" si="1498"/>
        <v>0</v>
      </c>
      <c r="DU517" s="229">
        <f t="shared" si="1499"/>
        <v>0</v>
      </c>
      <c r="DV517" s="229">
        <f t="shared" si="1500"/>
        <v>0</v>
      </c>
      <c r="DW517" s="229">
        <f t="shared" si="1501"/>
        <v>0</v>
      </c>
      <c r="DX517" s="228">
        <f t="shared" si="1653"/>
        <v>0</v>
      </c>
      <c r="DY517" s="229"/>
      <c r="DZ517" s="229"/>
      <c r="EA517" s="229"/>
      <c r="EB517" s="229"/>
      <c r="EC517" s="229"/>
      <c r="ED517" s="229"/>
      <c r="EE517" s="229"/>
      <c r="EF517" s="228">
        <f t="shared" si="1480"/>
        <v>0</v>
      </c>
      <c r="EG517" s="228">
        <f t="shared" si="1654"/>
        <v>0</v>
      </c>
      <c r="EH517" s="229">
        <f t="shared" si="1481"/>
        <v>75</v>
      </c>
      <c r="EI517" s="229">
        <v>0</v>
      </c>
      <c r="EJ517" s="228">
        <f t="shared" si="1620"/>
        <v>75</v>
      </c>
      <c r="EK517" s="229"/>
      <c r="EL517" s="229"/>
      <c r="EM517" s="228">
        <f t="shared" si="1657"/>
        <v>0</v>
      </c>
      <c r="EN517" s="229">
        <f t="shared" si="1591"/>
        <v>75</v>
      </c>
      <c r="EO517" s="229">
        <f t="shared" si="1610"/>
        <v>0</v>
      </c>
      <c r="EP517" s="228">
        <f t="shared" si="1658"/>
        <v>75</v>
      </c>
      <c r="EQ517" s="173">
        <f t="shared" si="1479"/>
        <v>0</v>
      </c>
      <c r="ER517" s="189">
        <v>0</v>
      </c>
      <c r="ES517" s="189">
        <v>18.899999999999999</v>
      </c>
      <c r="ET517" s="189">
        <v>7.6</v>
      </c>
      <c r="EU517" s="189">
        <v>0</v>
      </c>
      <c r="EV517" s="189">
        <v>0</v>
      </c>
      <c r="EW517" s="189">
        <v>100.7</v>
      </c>
      <c r="EX517" s="189">
        <v>0</v>
      </c>
      <c r="EY517" s="189">
        <v>60</v>
      </c>
      <c r="EZ517" s="189">
        <v>0</v>
      </c>
      <c r="FA517" s="189">
        <v>0</v>
      </c>
      <c r="FB517" s="189">
        <v>0</v>
      </c>
      <c r="FC517" s="189">
        <v>0</v>
      </c>
      <c r="FD517" s="189">
        <v>0</v>
      </c>
      <c r="FE517" s="189">
        <v>0</v>
      </c>
      <c r="FF517" s="189">
        <v>0</v>
      </c>
      <c r="FG517" s="189">
        <v>0</v>
      </c>
      <c r="FH517" s="189">
        <v>0</v>
      </c>
      <c r="FI517" s="189">
        <v>0</v>
      </c>
      <c r="FJ517" s="189">
        <v>0</v>
      </c>
      <c r="FK517" s="189">
        <v>187.2</v>
      </c>
      <c r="FL517" s="189">
        <v>109</v>
      </c>
      <c r="FN517" s="132">
        <v>75</v>
      </c>
    </row>
    <row r="518" spans="1:170" ht="30" customHeight="1">
      <c r="A518" s="88">
        <f>COUNTIF($H$12:H518,H518)</f>
        <v>24</v>
      </c>
      <c r="B518" s="88" t="s">
        <v>1251</v>
      </c>
      <c r="C518" s="88" t="s">
        <v>2056</v>
      </c>
      <c r="D518" s="88"/>
      <c r="E518" s="88"/>
      <c r="F518" s="301" t="s">
        <v>2202</v>
      </c>
      <c r="G518" s="89" t="s">
        <v>1144</v>
      </c>
      <c r="H518" s="88">
        <v>10</v>
      </c>
      <c r="I518" s="88">
        <v>10</v>
      </c>
      <c r="J518" s="88">
        <v>10</v>
      </c>
      <c r="K518" s="90" t="s">
        <v>1110</v>
      </c>
      <c r="L518" s="90" t="s">
        <v>1110</v>
      </c>
      <c r="M518" s="214"/>
      <c r="N518" s="88" t="s">
        <v>1179</v>
      </c>
      <c r="O518" s="216">
        <f t="shared" si="1656"/>
        <v>3.33</v>
      </c>
      <c r="P518" s="88" t="str">
        <f t="shared" si="1594"/>
        <v>B11_4</v>
      </c>
      <c r="Q518" s="88">
        <f t="shared" si="1567"/>
        <v>270</v>
      </c>
      <c r="R518" s="88">
        <f t="shared" si="1568"/>
        <v>80</v>
      </c>
      <c r="S518" s="218" t="s">
        <v>2646</v>
      </c>
      <c r="T518" s="88" t="s">
        <v>3091</v>
      </c>
      <c r="U518" s="88">
        <f>IF(RIGHT(T518,1)="K",(VLOOKUP(T518,ma_miengiam!$A$3:$B$80,2,0)*100)/2,VLOOKUP(T518,ma_miengiam!$A$3:$B$80,2,0)*100)</f>
        <v>20</v>
      </c>
      <c r="V518" s="88">
        <v>6</v>
      </c>
      <c r="W518" s="220">
        <f>IF(AND(T518="NTS",V518&gt;0),(Q518-(Q518*V518)/12)*VLOOKUP(T518,ma_miengiam!$A$3:$B$80,2,0)+(Q518-(Q518*(12-V518))/12),IF(AND(RIGHT(T518,1)="K",V518&gt;0),(VLOOKUP(T518,ma_miengiam!$A$3:$B$80,2,0)/2)*(Q518*V518)/12,IF(RIGHT(T518,1)="K",(VLOOKUP(T518,ma_miengiam!$A$3:$B$80,2,0)*Q518)/2,IF(V518&gt;0,VLOOKUP(T518,ma_miengiam!$A$3:$B$80,2,0)*Q518*V518/12,VLOOKUP(T518,ma_miengiam!$A$3:$B$80,2,0)*Q518))))</f>
        <v>27</v>
      </c>
      <c r="X518" s="220">
        <f>IF(T518="NTS",VLOOKUP(T518,ma_miengiam!$A$3:$B$80,2,0)*R518*V518,IF(AND(T518="NTS",V518=0),0,IF(AND(LEFT(T518,1)="K",V518=0),VLOOKUP(T518,ma_miengiam!$A$3:$B$80,2,0)*R518,IF(LEFT(T518,1)="K",(VLOOKUP(T518,ma_miengiam!$A$3:$B$80,2,0)*R518/12)*V518,IF(AND(LEFT(T518,1)="S",V518&gt;0),(R518/12)*V518,IF(AND(LEFT(T518,1)="S",V518=0),R518,IF(T518="DH",VLOOKUP(T518,ma_miengiam!$A$3:$B$80,2,0)*R518,0)))))))</f>
        <v>0</v>
      </c>
      <c r="Y518" s="220">
        <f t="shared" si="1521"/>
        <v>108</v>
      </c>
      <c r="Z518" s="220">
        <f t="shared" si="1569"/>
        <v>40</v>
      </c>
      <c r="AA518" s="220">
        <f t="shared" si="1668"/>
        <v>270</v>
      </c>
      <c r="AB518" s="220">
        <f t="shared" si="1668"/>
        <v>80</v>
      </c>
      <c r="AC518" s="220">
        <f t="shared" ref="AC518:AF519" si="1676">W518</f>
        <v>27</v>
      </c>
      <c r="AD518" s="220">
        <f t="shared" si="1676"/>
        <v>0</v>
      </c>
      <c r="AE518" s="220">
        <f t="shared" si="1676"/>
        <v>108</v>
      </c>
      <c r="AF518" s="220">
        <f t="shared" si="1676"/>
        <v>40</v>
      </c>
      <c r="AG518" s="220">
        <f t="shared" si="1665"/>
        <v>0</v>
      </c>
      <c r="AH518" s="220">
        <f t="shared" si="1666"/>
        <v>0</v>
      </c>
      <c r="AI518" s="220">
        <f t="shared" si="1667"/>
        <v>0</v>
      </c>
      <c r="AJ518" s="220">
        <f t="shared" si="1551"/>
        <v>-40</v>
      </c>
      <c r="AK518" s="216">
        <f t="shared" si="1639"/>
        <v>148</v>
      </c>
      <c r="AL518" s="220">
        <f t="shared" si="1640"/>
        <v>0</v>
      </c>
      <c r="AM518" s="220">
        <f t="shared" si="1641"/>
        <v>0</v>
      </c>
      <c r="AN518" s="221">
        <f t="shared" si="1642"/>
        <v>0</v>
      </c>
      <c r="AO518" s="220">
        <f t="shared" si="1643"/>
        <v>0</v>
      </c>
      <c r="AP518" s="220">
        <f t="shared" si="1644"/>
        <v>0</v>
      </c>
      <c r="AQ518" s="220">
        <f t="shared" si="1645"/>
        <v>0</v>
      </c>
      <c r="AR518" s="220">
        <f t="shared" si="1646"/>
        <v>0</v>
      </c>
      <c r="AS518" s="220">
        <f t="shared" si="1647"/>
        <v>0</v>
      </c>
      <c r="AT518" s="216">
        <f t="shared" si="1648"/>
        <v>0</v>
      </c>
      <c r="AU518" s="222">
        <f t="shared" si="1661"/>
        <v>-148</v>
      </c>
      <c r="AV518" s="220"/>
      <c r="AW518" s="220">
        <f t="shared" si="1530"/>
        <v>-148</v>
      </c>
      <c r="AX518" s="216">
        <f t="shared" si="1636"/>
        <v>-148</v>
      </c>
      <c r="AY518" s="220">
        <f t="shared" si="1537"/>
        <v>0</v>
      </c>
      <c r="AZ518" s="220">
        <f t="shared" si="1538"/>
        <v>0</v>
      </c>
      <c r="BA518" s="220">
        <f t="shared" si="1539"/>
        <v>0</v>
      </c>
      <c r="BB518" s="220">
        <f t="shared" si="1540"/>
        <v>0</v>
      </c>
      <c r="BC518" s="220">
        <f t="shared" si="1541"/>
        <v>0</v>
      </c>
      <c r="BD518" s="216">
        <f t="shared" si="1599"/>
        <v>0</v>
      </c>
      <c r="BE518" s="220">
        <f t="shared" si="1531"/>
        <v>0</v>
      </c>
      <c r="BF518" s="220">
        <f t="shared" si="1532"/>
        <v>0</v>
      </c>
      <c r="BG518" s="220">
        <f t="shared" si="1533"/>
        <v>0</v>
      </c>
      <c r="BH518" s="220">
        <f t="shared" si="1534"/>
        <v>0</v>
      </c>
      <c r="BI518" s="220">
        <f t="shared" si="1535"/>
        <v>0</v>
      </c>
      <c r="BJ518" s="220" t="s">
        <v>1562</v>
      </c>
      <c r="BK518" s="220"/>
      <c r="BL518" s="223">
        <f t="shared" si="1609"/>
        <v>0</v>
      </c>
      <c r="BM518" s="220">
        <v>3.33</v>
      </c>
      <c r="BN518" s="220"/>
      <c r="BO518" s="220">
        <f>ROUND(BM518+(BM518*BN518),2)</f>
        <v>3.33</v>
      </c>
      <c r="BP518" s="220">
        <f>IF(AND(BL518&gt;0,BL518&lt;tiet!$D$1),BL518,IF(BL518&lt;=0,0,IF(BL518&gt;tiet!$C$1,tiet!$C$1)))</f>
        <v>0</v>
      </c>
      <c r="BQ518" s="87">
        <f t="shared" si="1552"/>
        <v>65000</v>
      </c>
      <c r="BR518" s="224">
        <f t="shared" si="1544"/>
        <v>0</v>
      </c>
      <c r="BS518" s="220">
        <f t="shared" si="1478"/>
        <v>0</v>
      </c>
      <c r="BT518" s="224">
        <f>VLOOKUP(N518,ma_dinhmuc!$A$1:$J$31,10,0)</f>
        <v>51000</v>
      </c>
      <c r="BU518" s="224">
        <f>ROUND(IF(BS518&gt;0,VLOOKUP(N518,ma_dinhmuc!$A$1:$J$31,10,0)*BS518,0),0)</f>
        <v>0</v>
      </c>
      <c r="BV518" s="224">
        <f t="shared" si="1545"/>
        <v>0</v>
      </c>
      <c r="BW518" s="224"/>
      <c r="BX518" s="224">
        <v>0</v>
      </c>
      <c r="BY518" s="224"/>
      <c r="BZ518" s="224"/>
      <c r="CA518" s="224"/>
      <c r="CB518" s="224"/>
      <c r="CC518" s="225">
        <f t="shared" si="1595"/>
        <v>0</v>
      </c>
      <c r="CD518" s="224">
        <f t="shared" si="1596"/>
        <v>0</v>
      </c>
      <c r="CE518" s="224"/>
      <c r="CF518" s="226"/>
      <c r="CG518" s="87"/>
      <c r="CH518" s="87">
        <f t="shared" si="1617"/>
        <v>24</v>
      </c>
      <c r="CI518" s="227" t="str">
        <f>F518</f>
        <v>Lê Phương</v>
      </c>
      <c r="CJ518" s="227" t="str">
        <f>G518</f>
        <v>Thảo</v>
      </c>
      <c r="CK518" s="87">
        <f>H518</f>
        <v>10</v>
      </c>
      <c r="CL518" s="227" t="str">
        <f>L518</f>
        <v>Vật lý</v>
      </c>
      <c r="CM518" s="87" t="str">
        <f t="shared" si="1536"/>
        <v>CB2</v>
      </c>
      <c r="CN518" s="87">
        <f>Q518</f>
        <v>270</v>
      </c>
      <c r="CO518" s="87">
        <f>R518</f>
        <v>80</v>
      </c>
      <c r="CP518" s="229">
        <f t="shared" si="1483"/>
        <v>0</v>
      </c>
      <c r="CQ518" s="229">
        <f t="shared" si="1484"/>
        <v>0</v>
      </c>
      <c r="CR518" s="229">
        <f t="shared" si="1485"/>
        <v>0</v>
      </c>
      <c r="CS518" s="229">
        <f t="shared" si="1486"/>
        <v>0</v>
      </c>
      <c r="CT518" s="229">
        <f t="shared" si="1487"/>
        <v>0</v>
      </c>
      <c r="CU518" s="229">
        <f t="shared" si="1488"/>
        <v>0</v>
      </c>
      <c r="CV518" s="229">
        <f t="shared" si="1489"/>
        <v>0</v>
      </c>
      <c r="CW518" s="229">
        <f t="shared" si="1490"/>
        <v>0</v>
      </c>
      <c r="CX518" s="229">
        <f t="shared" si="1491"/>
        <v>0</v>
      </c>
      <c r="CY518" s="229">
        <f t="shared" si="1492"/>
        <v>0</v>
      </c>
      <c r="CZ518" s="229">
        <f t="shared" si="1493"/>
        <v>0</v>
      </c>
      <c r="DA518" s="229">
        <f t="shared" si="1494"/>
        <v>0</v>
      </c>
      <c r="DB518" s="228">
        <f t="shared" si="1650"/>
        <v>0</v>
      </c>
      <c r="DC518" s="229"/>
      <c r="DD518" s="229"/>
      <c r="DE518" s="229"/>
      <c r="DF518" s="229"/>
      <c r="DG518" s="229"/>
      <c r="DH518" s="229"/>
      <c r="DI518" s="229"/>
      <c r="DJ518" s="229"/>
      <c r="DK518" s="229"/>
      <c r="DL518" s="229"/>
      <c r="DM518" s="229"/>
      <c r="DN518" s="229"/>
      <c r="DO518" s="228">
        <f t="shared" si="1651"/>
        <v>0</v>
      </c>
      <c r="DP518" s="228">
        <f t="shared" si="1652"/>
        <v>0</v>
      </c>
      <c r="DQ518" s="229">
        <f t="shared" si="1495"/>
        <v>0</v>
      </c>
      <c r="DR518" s="229">
        <f t="shared" si="1496"/>
        <v>0</v>
      </c>
      <c r="DS518" s="229">
        <f t="shared" si="1497"/>
        <v>0</v>
      </c>
      <c r="DT518" s="229">
        <f t="shared" si="1498"/>
        <v>0</v>
      </c>
      <c r="DU518" s="229">
        <f t="shared" si="1499"/>
        <v>0</v>
      </c>
      <c r="DV518" s="229">
        <f t="shared" si="1500"/>
        <v>0</v>
      </c>
      <c r="DW518" s="229">
        <f t="shared" si="1501"/>
        <v>0</v>
      </c>
      <c r="DX518" s="228">
        <f t="shared" si="1653"/>
        <v>0</v>
      </c>
      <c r="DY518" s="229"/>
      <c r="DZ518" s="229"/>
      <c r="EA518" s="229"/>
      <c r="EB518" s="229"/>
      <c r="EC518" s="229"/>
      <c r="ED518" s="229"/>
      <c r="EE518" s="229"/>
      <c r="EF518" s="228">
        <f t="shared" si="1480"/>
        <v>0</v>
      </c>
      <c r="EG518" s="228">
        <f t="shared" si="1654"/>
        <v>0</v>
      </c>
      <c r="EH518" s="229">
        <f t="shared" si="1481"/>
        <v>0</v>
      </c>
      <c r="EI518" s="229">
        <v>0</v>
      </c>
      <c r="EJ518" s="228">
        <f t="shared" si="1620"/>
        <v>0</v>
      </c>
      <c r="EK518" s="229"/>
      <c r="EL518" s="229"/>
      <c r="EM518" s="228">
        <f t="shared" si="1657"/>
        <v>0</v>
      </c>
      <c r="EN518" s="229">
        <f t="shared" si="1591"/>
        <v>0</v>
      </c>
      <c r="EO518" s="229">
        <f t="shared" si="1610"/>
        <v>0</v>
      </c>
      <c r="EP518" s="228">
        <f t="shared" si="1658"/>
        <v>0</v>
      </c>
      <c r="EQ518" s="173">
        <f t="shared" si="1479"/>
        <v>0</v>
      </c>
      <c r="ER518" s="189">
        <v>0</v>
      </c>
      <c r="ES518" s="189">
        <v>0</v>
      </c>
      <c r="ET518" s="189">
        <v>0</v>
      </c>
      <c r="EU518" s="189">
        <v>0</v>
      </c>
      <c r="EV518" s="189">
        <v>0</v>
      </c>
      <c r="EW518" s="189">
        <v>0</v>
      </c>
      <c r="EX518" s="189">
        <v>0</v>
      </c>
      <c r="EY518" s="189">
        <v>0</v>
      </c>
      <c r="EZ518" s="189">
        <v>0</v>
      </c>
      <c r="FA518" s="189">
        <v>0</v>
      </c>
      <c r="FB518" s="189">
        <v>0</v>
      </c>
      <c r="FC518" s="189">
        <v>0</v>
      </c>
      <c r="FD518" s="189">
        <v>0</v>
      </c>
      <c r="FE518" s="189">
        <v>0</v>
      </c>
      <c r="FF518" s="189">
        <v>0</v>
      </c>
      <c r="FG518" s="189">
        <v>0</v>
      </c>
      <c r="FH518" s="189">
        <v>0</v>
      </c>
      <c r="FI518" s="189">
        <v>0</v>
      </c>
      <c r="FJ518" s="189">
        <v>0</v>
      </c>
      <c r="FK518" s="189">
        <v>0</v>
      </c>
      <c r="FL518" s="189">
        <v>0</v>
      </c>
      <c r="FN518" s="132">
        <v>0</v>
      </c>
    </row>
    <row r="519" spans="1:170" ht="30" customHeight="1">
      <c r="A519" s="88">
        <f>COUNTIF($H$12:H519,H519)</f>
        <v>25</v>
      </c>
      <c r="B519" s="88" t="s">
        <v>1252</v>
      </c>
      <c r="C519" s="88" t="s">
        <v>2057</v>
      </c>
      <c r="D519" s="88"/>
      <c r="E519" s="88"/>
      <c r="F519" s="301" t="s">
        <v>48</v>
      </c>
      <c r="G519" s="89" t="s">
        <v>1280</v>
      </c>
      <c r="H519" s="88">
        <v>10</v>
      </c>
      <c r="I519" s="88">
        <v>10</v>
      </c>
      <c r="J519" s="88">
        <v>10</v>
      </c>
      <c r="K519" s="90" t="s">
        <v>1111</v>
      </c>
      <c r="L519" s="90" t="s">
        <v>1111</v>
      </c>
      <c r="M519" s="214"/>
      <c r="N519" s="88" t="s">
        <v>1804</v>
      </c>
      <c r="O519" s="216">
        <f t="shared" si="1656"/>
        <v>3.33</v>
      </c>
      <c r="P519" s="88" t="str">
        <f>IF(BO519&lt;3.33,"B1_3",IF(AND(BO519&gt;=3.33,BO519&lt;4.65),"B1_4",IF(AND(BO519&gt;=4.65,BO519&lt;5.42),"B1_5",IF(AND(BO519&gt;=5.42,BO519&lt;6.44),"B1_6",IF(AND(BO519&gt;=6.44,BO519&lt;=6.92),"B1_7","B1_8")))))</f>
        <v>B1_4</v>
      </c>
      <c r="Q519" s="88">
        <f t="shared" si="1567"/>
        <v>270</v>
      </c>
      <c r="R519" s="88">
        <f t="shared" si="1568"/>
        <v>120</v>
      </c>
      <c r="S519" s="233"/>
      <c r="T519" s="88" t="s">
        <v>3088</v>
      </c>
      <c r="U519" s="88">
        <f>IF(RIGHT(T519,1)="K",(VLOOKUP(T519,ma_miengiam!$A$3:$B$80,2,0)*100)/2,VLOOKUP(T519,ma_miengiam!$A$3:$B$80,2,0)*100)</f>
        <v>0</v>
      </c>
      <c r="V519" s="88"/>
      <c r="W519" s="220">
        <f>IF(AND(T519="NTS",V519&gt;0),(Q519-(Q519*V519)/12)*VLOOKUP(T519,ma_miengiam!$A$3:$B$80,2,0)+(Q519-(Q519*(12-V519))/12),IF(AND(RIGHT(T519,1)="K",V519&gt;0),(VLOOKUP(T519,ma_miengiam!$A$3:$B$80,2,0)/2)*(Q519*V519)/12,IF(RIGHT(T519,1)="K",(VLOOKUP(T519,ma_miengiam!$A$3:$B$80,2,0)*Q519)/2,IF(V519&gt;0,VLOOKUP(T519,ma_miengiam!$A$3:$B$80,2,0)*Q519*V519/12,VLOOKUP(T519,ma_miengiam!$A$3:$B$80,2,0)*Q519))))</f>
        <v>0</v>
      </c>
      <c r="X519" s="220">
        <f>IF(T519="NTS",VLOOKUP(T519,ma_miengiam!$A$3:$B$80,2,0)*R519*V519,IF(AND(T519="NTS",V519=0),0,IF(AND(LEFT(T519,1)="K",V519=0),VLOOKUP(T519,ma_miengiam!$A$3:$B$80,2,0)*R519,IF(LEFT(T519,1)="K",(VLOOKUP(T519,ma_miengiam!$A$3:$B$80,2,0)*R519/12)*V519,IF(AND(LEFT(T519,1)="S",V519&gt;0),(R519/12)*V519,IF(AND(LEFT(T519,1)="S",V519=0),R519,IF(T519="DH",VLOOKUP(T519,ma_miengiam!$A$3:$B$80,2,0)*R519,0)))))))</f>
        <v>0</v>
      </c>
      <c r="Y519" s="220">
        <f t="shared" si="1521"/>
        <v>270</v>
      </c>
      <c r="Z519" s="220">
        <f t="shared" si="1569"/>
        <v>120</v>
      </c>
      <c r="AA519" s="220">
        <f t="shared" si="1668"/>
        <v>270</v>
      </c>
      <c r="AB519" s="220">
        <f t="shared" si="1668"/>
        <v>120</v>
      </c>
      <c r="AC519" s="220">
        <f t="shared" si="1676"/>
        <v>0</v>
      </c>
      <c r="AD519" s="220">
        <f t="shared" si="1676"/>
        <v>0</v>
      </c>
      <c r="AE519" s="220">
        <f t="shared" si="1676"/>
        <v>270</v>
      </c>
      <c r="AF519" s="220">
        <f t="shared" si="1676"/>
        <v>120</v>
      </c>
      <c r="AG519" s="220">
        <f t="shared" si="1665"/>
        <v>180.15</v>
      </c>
      <c r="AH519" s="220">
        <f t="shared" si="1666"/>
        <v>0.15000000000000568</v>
      </c>
      <c r="AI519" s="220">
        <f t="shared" si="1667"/>
        <v>180</v>
      </c>
      <c r="AJ519" s="220">
        <f t="shared" si="1551"/>
        <v>0</v>
      </c>
      <c r="AK519" s="216">
        <f t="shared" si="1639"/>
        <v>270</v>
      </c>
      <c r="AL519" s="220">
        <f t="shared" si="1640"/>
        <v>401.29999999999995</v>
      </c>
      <c r="AM519" s="220">
        <f t="shared" si="1641"/>
        <v>0</v>
      </c>
      <c r="AN519" s="221">
        <f t="shared" si="1642"/>
        <v>401.29999999999995</v>
      </c>
      <c r="AO519" s="220">
        <f t="shared" si="1643"/>
        <v>0</v>
      </c>
      <c r="AP519" s="220">
        <f t="shared" si="1644"/>
        <v>0</v>
      </c>
      <c r="AQ519" s="220">
        <f t="shared" si="1645"/>
        <v>40</v>
      </c>
      <c r="AR519" s="220">
        <f t="shared" si="1646"/>
        <v>0</v>
      </c>
      <c r="AS519" s="220">
        <f t="shared" si="1647"/>
        <v>0</v>
      </c>
      <c r="AT519" s="216">
        <f t="shared" si="1648"/>
        <v>441.29999999999995</v>
      </c>
      <c r="AU519" s="222">
        <f t="shared" si="1661"/>
        <v>131.29999999999995</v>
      </c>
      <c r="AV519" s="220"/>
      <c r="AW519" s="220">
        <f t="shared" si="1530"/>
        <v>131.29999999999995</v>
      </c>
      <c r="AX519" s="216">
        <f t="shared" si="1636"/>
        <v>0</v>
      </c>
      <c r="AY519" s="220">
        <f t="shared" si="1537"/>
        <v>0</v>
      </c>
      <c r="AZ519" s="220">
        <f t="shared" si="1538"/>
        <v>0</v>
      </c>
      <c r="BA519" s="220">
        <f t="shared" si="1539"/>
        <v>40</v>
      </c>
      <c r="BB519" s="220">
        <f t="shared" si="1540"/>
        <v>0</v>
      </c>
      <c r="BC519" s="220">
        <f t="shared" si="1541"/>
        <v>0</v>
      </c>
      <c r="BD519" s="216">
        <f t="shared" si="1599"/>
        <v>40</v>
      </c>
      <c r="BE519" s="220">
        <f t="shared" si="1531"/>
        <v>0</v>
      </c>
      <c r="BF519" s="220">
        <f t="shared" si="1532"/>
        <v>0</v>
      </c>
      <c r="BG519" s="220">
        <f t="shared" si="1533"/>
        <v>0</v>
      </c>
      <c r="BH519" s="220">
        <f t="shared" si="1534"/>
        <v>0</v>
      </c>
      <c r="BI519" s="220">
        <f t="shared" si="1535"/>
        <v>0</v>
      </c>
      <c r="BJ519" s="220" t="s">
        <v>393</v>
      </c>
      <c r="BK519" s="220"/>
      <c r="BL519" s="223">
        <f t="shared" si="1609"/>
        <v>131.29999999999995</v>
      </c>
      <c r="BM519" s="220">
        <v>3.33</v>
      </c>
      <c r="BN519" s="220"/>
      <c r="BO519" s="220">
        <f t="shared" si="1670"/>
        <v>3.33</v>
      </c>
      <c r="BP519" s="220">
        <f>IF(AND(BL519&gt;0,BL519&lt;tiet!$D$1),BL519,IF(BL519&lt;=0,0,IF(BL519&gt;tiet!$C$1,tiet!$C$1)))</f>
        <v>131.29999999999995</v>
      </c>
      <c r="BQ519" s="87">
        <f t="shared" si="1552"/>
        <v>65000</v>
      </c>
      <c r="BR519" s="224">
        <f t="shared" si="1544"/>
        <v>8534500</v>
      </c>
      <c r="BS519" s="220">
        <f t="shared" si="1478"/>
        <v>0</v>
      </c>
      <c r="BT519" s="224">
        <f>VLOOKUP(N519,ma_dinhmuc!$A$1:$J$31,10,0)</f>
        <v>51000</v>
      </c>
      <c r="BU519" s="224">
        <f>ROUND(IF(BS519&gt;0,VLOOKUP(N519,ma_dinhmuc!$A$1:$J$31,10,0)*BS519,0),0)</f>
        <v>0</v>
      </c>
      <c r="BV519" s="224">
        <f t="shared" si="1545"/>
        <v>8534500</v>
      </c>
      <c r="BW519" s="224"/>
      <c r="BX519" s="224">
        <v>0</v>
      </c>
      <c r="BY519" s="224"/>
      <c r="BZ519" s="224"/>
      <c r="CA519" s="224"/>
      <c r="CB519" s="224"/>
      <c r="CC519" s="225">
        <f t="shared" si="1595"/>
        <v>8534500</v>
      </c>
      <c r="CD519" s="224">
        <f t="shared" si="1596"/>
        <v>0</v>
      </c>
      <c r="CE519" s="224"/>
      <c r="CF519" s="226"/>
      <c r="CG519" s="87"/>
      <c r="CH519" s="87">
        <f t="shared" ref="CH519:CH530" si="1677">A519</f>
        <v>25</v>
      </c>
      <c r="CI519" s="227" t="str">
        <f t="shared" si="1671"/>
        <v>Phan Trọng</v>
      </c>
      <c r="CJ519" s="227" t="str">
        <f t="shared" si="1672"/>
        <v>Tiến</v>
      </c>
      <c r="CK519" s="87">
        <f t="shared" si="1673"/>
        <v>10</v>
      </c>
      <c r="CL519" s="227" t="str">
        <f t="shared" si="1662"/>
        <v>Công nghệ phần mềm</v>
      </c>
      <c r="CM519" s="87" t="str">
        <f t="shared" si="1536"/>
        <v>CS2</v>
      </c>
      <c r="CN519" s="87">
        <f t="shared" si="1674"/>
        <v>270</v>
      </c>
      <c r="CO519" s="87">
        <f t="shared" si="1675"/>
        <v>120</v>
      </c>
      <c r="CP519" s="229">
        <f t="shared" si="1483"/>
        <v>0</v>
      </c>
      <c r="CQ519" s="229">
        <f t="shared" si="1484"/>
        <v>48.3</v>
      </c>
      <c r="CR519" s="229">
        <f t="shared" si="1485"/>
        <v>19.399999999999999</v>
      </c>
      <c r="CS519" s="229">
        <f t="shared" si="1486"/>
        <v>0</v>
      </c>
      <c r="CT519" s="229">
        <f t="shared" si="1487"/>
        <v>0</v>
      </c>
      <c r="CU519" s="229">
        <f t="shared" si="1488"/>
        <v>206.1</v>
      </c>
      <c r="CV519" s="229">
        <f t="shared" si="1489"/>
        <v>0</v>
      </c>
      <c r="CW519" s="229">
        <f t="shared" si="1490"/>
        <v>127.5</v>
      </c>
      <c r="CX519" s="229">
        <f t="shared" si="1491"/>
        <v>0</v>
      </c>
      <c r="CY519" s="229">
        <f t="shared" si="1492"/>
        <v>0</v>
      </c>
      <c r="CZ519" s="229">
        <f t="shared" si="1493"/>
        <v>0</v>
      </c>
      <c r="DA519" s="229">
        <f t="shared" si="1494"/>
        <v>40</v>
      </c>
      <c r="DB519" s="228">
        <f t="shared" si="1650"/>
        <v>441.29999999999995</v>
      </c>
      <c r="DC519" s="229"/>
      <c r="DD519" s="229"/>
      <c r="DE519" s="229"/>
      <c r="DF519" s="229"/>
      <c r="DG519" s="229"/>
      <c r="DH519" s="229"/>
      <c r="DI519" s="229"/>
      <c r="DJ519" s="229"/>
      <c r="DK519" s="229"/>
      <c r="DL519" s="229"/>
      <c r="DM519" s="229"/>
      <c r="DN519" s="229"/>
      <c r="DO519" s="228">
        <f t="shared" si="1651"/>
        <v>0</v>
      </c>
      <c r="DP519" s="228">
        <f t="shared" si="1652"/>
        <v>441.29999999999995</v>
      </c>
      <c r="DQ519" s="229">
        <f t="shared" si="1495"/>
        <v>0</v>
      </c>
      <c r="DR519" s="229">
        <f t="shared" si="1496"/>
        <v>0</v>
      </c>
      <c r="DS519" s="229">
        <f t="shared" si="1497"/>
        <v>0</v>
      </c>
      <c r="DT519" s="229">
        <f t="shared" si="1498"/>
        <v>0</v>
      </c>
      <c r="DU519" s="229">
        <f t="shared" si="1499"/>
        <v>0</v>
      </c>
      <c r="DV519" s="229">
        <f t="shared" si="1500"/>
        <v>0</v>
      </c>
      <c r="DW519" s="229">
        <f t="shared" si="1501"/>
        <v>0</v>
      </c>
      <c r="DX519" s="228">
        <f t="shared" si="1653"/>
        <v>0</v>
      </c>
      <c r="DY519" s="229"/>
      <c r="DZ519" s="229"/>
      <c r="EA519" s="229"/>
      <c r="EB519" s="229"/>
      <c r="EC519" s="229"/>
      <c r="ED519" s="229"/>
      <c r="EE519" s="229"/>
      <c r="EF519" s="228">
        <f t="shared" si="1480"/>
        <v>0</v>
      </c>
      <c r="EG519" s="228">
        <f t="shared" si="1654"/>
        <v>0</v>
      </c>
      <c r="EH519" s="229">
        <f t="shared" si="1481"/>
        <v>180</v>
      </c>
      <c r="EI519" s="229">
        <v>0.15000000000000568</v>
      </c>
      <c r="EJ519" s="228">
        <f t="shared" si="1620"/>
        <v>180.15</v>
      </c>
      <c r="EK519" s="229"/>
      <c r="EL519" s="229"/>
      <c r="EM519" s="228">
        <f t="shared" si="1657"/>
        <v>0</v>
      </c>
      <c r="EN519" s="229">
        <f t="shared" si="1591"/>
        <v>180</v>
      </c>
      <c r="EO519" s="229">
        <f t="shared" si="1610"/>
        <v>0.15000000000000568</v>
      </c>
      <c r="EP519" s="228">
        <f t="shared" si="1658"/>
        <v>180.15</v>
      </c>
      <c r="EQ519" s="173">
        <f t="shared" si="1479"/>
        <v>60</v>
      </c>
      <c r="ER519" s="189">
        <v>0</v>
      </c>
      <c r="ES519" s="189">
        <v>48.3</v>
      </c>
      <c r="ET519" s="189">
        <v>19.399999999999999</v>
      </c>
      <c r="EU519" s="189">
        <v>0</v>
      </c>
      <c r="EV519" s="189">
        <v>0</v>
      </c>
      <c r="EW519" s="189">
        <v>206.1</v>
      </c>
      <c r="EX519" s="189">
        <v>0</v>
      </c>
      <c r="EY519" s="189">
        <v>127.5</v>
      </c>
      <c r="EZ519" s="189">
        <v>0</v>
      </c>
      <c r="FA519" s="189">
        <v>0</v>
      </c>
      <c r="FB519" s="189">
        <v>0</v>
      </c>
      <c r="FC519" s="189">
        <v>40</v>
      </c>
      <c r="FD519" s="189">
        <v>0</v>
      </c>
      <c r="FE519" s="189">
        <v>0</v>
      </c>
      <c r="FF519" s="189">
        <v>0</v>
      </c>
      <c r="FG519" s="189">
        <v>0</v>
      </c>
      <c r="FH519" s="189">
        <v>0</v>
      </c>
      <c r="FI519" s="189">
        <v>0</v>
      </c>
      <c r="FJ519" s="189">
        <v>0</v>
      </c>
      <c r="FK519" s="189">
        <v>441.3</v>
      </c>
      <c r="FL519" s="189">
        <v>348</v>
      </c>
      <c r="FN519" s="132">
        <v>180</v>
      </c>
    </row>
    <row r="520" spans="1:170" ht="34.5" customHeight="1">
      <c r="A520" s="88">
        <f>COUNTIF($H$12:H520,H520)</f>
        <v>26</v>
      </c>
      <c r="B520" s="88" t="s">
        <v>1253</v>
      </c>
      <c r="C520" s="88" t="s">
        <v>2058</v>
      </c>
      <c r="D520" s="88"/>
      <c r="E520" s="88"/>
      <c r="F520" s="301" t="s">
        <v>3077</v>
      </c>
      <c r="G520" s="89" t="s">
        <v>2998</v>
      </c>
      <c r="H520" s="88">
        <v>10</v>
      </c>
      <c r="I520" s="88">
        <v>10</v>
      </c>
      <c r="J520" s="88">
        <v>10</v>
      </c>
      <c r="K520" s="90" t="s">
        <v>1111</v>
      </c>
      <c r="L520" s="90" t="s">
        <v>1111</v>
      </c>
      <c r="M520" s="214"/>
      <c r="N520" s="88" t="s">
        <v>1804</v>
      </c>
      <c r="O520" s="216">
        <f t="shared" si="1656"/>
        <v>3.33</v>
      </c>
      <c r="P520" s="88" t="str">
        <f t="shared" ref="P520:P547" si="1678">IF(BO520&lt;3.33,"B1_3",IF(AND(BO520&gt;=3.33,BO520&lt;4.65),"B1_4",IF(AND(BO520&gt;=4.65,BO520&lt;5.42),"B1_5",IF(AND(BO520&gt;=5.42,BO520&lt;6.44),"B1_6",IF(AND(BO520&gt;=6.44,BO520&lt;=6.92),"B1_7","B1_8")))))</f>
        <v>B1_4</v>
      </c>
      <c r="Q520" s="88">
        <f t="shared" si="1567"/>
        <v>270</v>
      </c>
      <c r="R520" s="88">
        <f t="shared" si="1568"/>
        <v>120</v>
      </c>
      <c r="S520" s="234"/>
      <c r="T520" s="88" t="s">
        <v>3088</v>
      </c>
      <c r="U520" s="88">
        <f>IF(RIGHT(T520,1)="K",(VLOOKUP(T520,ma_miengiam!$A$3:$B$80,2,0)*100)/2,VLOOKUP(T520,ma_miengiam!$A$3:$B$80,2,0)*100)</f>
        <v>0</v>
      </c>
      <c r="V520" s="88"/>
      <c r="W520" s="220">
        <f>IF(AND(T520="NTS",V520&gt;0),(Q520-(Q520*V520)/12)*VLOOKUP(T520,ma_miengiam!$A$3:$B$80,2,0)+(Q520-(Q520*(12-V520))/12),IF(AND(RIGHT(T520,1)="K",V520&gt;0),(VLOOKUP(T520,ma_miengiam!$A$3:$B$80,2,0)/2)*(Q520*V520)/12,IF(RIGHT(T520,1)="K",(VLOOKUP(T520,ma_miengiam!$A$3:$B$80,2,0)*Q520)/2,IF(V520&gt;0,VLOOKUP(T520,ma_miengiam!$A$3:$B$80,2,0)*Q520*V520/12,VLOOKUP(T520,ma_miengiam!$A$3:$B$80,2,0)*Q520))))</f>
        <v>0</v>
      </c>
      <c r="X520" s="220">
        <f>IF(T520="NTS",VLOOKUP(T520,ma_miengiam!$A$3:$B$80,2,0)*R520*V520,IF(AND(T520="NTS",V520=0),0,IF(AND(LEFT(T520,1)="K",V520=0),VLOOKUP(T520,ma_miengiam!$A$3:$B$80,2,0)*R520,IF(LEFT(T520,1)="K",(VLOOKUP(T520,ma_miengiam!$A$3:$B$80,2,0)*R520/12)*V520,IF(AND(LEFT(T520,1)="S",V520&gt;0),(R520/12)*V520,IF(AND(LEFT(T520,1)="S",V520=0),R520,IF(T520="DH",VLOOKUP(T520,ma_miengiam!$A$3:$B$80,2,0)*R520,0)))))))</f>
        <v>0</v>
      </c>
      <c r="Y520" s="220">
        <f t="shared" si="1521"/>
        <v>270</v>
      </c>
      <c r="Z520" s="220">
        <f t="shared" si="1569"/>
        <v>120</v>
      </c>
      <c r="AA520" s="220">
        <f t="shared" ref="AA520:AB522" si="1679">Q520</f>
        <v>270</v>
      </c>
      <c r="AB520" s="220">
        <f t="shared" si="1679"/>
        <v>120</v>
      </c>
      <c r="AC520" s="220">
        <f t="shared" ref="AC520:AF522" si="1680">W520</f>
        <v>0</v>
      </c>
      <c r="AD520" s="220">
        <f t="shared" si="1680"/>
        <v>0</v>
      </c>
      <c r="AE520" s="220">
        <f t="shared" si="1680"/>
        <v>270</v>
      </c>
      <c r="AF520" s="220">
        <f t="shared" si="1680"/>
        <v>120</v>
      </c>
      <c r="AG520" s="220">
        <f t="shared" ref="AG520:AG525" si="1681">AH520+AI520</f>
        <v>0.15000000000000568</v>
      </c>
      <c r="AH520" s="220">
        <f t="shared" ref="AH520:AH525" si="1682">EO520</f>
        <v>0.15000000000000568</v>
      </c>
      <c r="AI520" s="220">
        <f t="shared" ref="AI520:AI525" si="1683">EN520</f>
        <v>0</v>
      </c>
      <c r="AJ520" s="220">
        <f t="shared" si="1551"/>
        <v>-119.85</v>
      </c>
      <c r="AK520" s="216">
        <f t="shared" si="1639"/>
        <v>389.85</v>
      </c>
      <c r="AL520" s="220">
        <f t="shared" si="1640"/>
        <v>425.2</v>
      </c>
      <c r="AM520" s="220">
        <f t="shared" si="1641"/>
        <v>0</v>
      </c>
      <c r="AN520" s="221">
        <f t="shared" si="1642"/>
        <v>425.2</v>
      </c>
      <c r="AO520" s="220">
        <f t="shared" si="1643"/>
        <v>0</v>
      </c>
      <c r="AP520" s="220">
        <f t="shared" si="1644"/>
        <v>0</v>
      </c>
      <c r="AQ520" s="220">
        <f t="shared" si="1645"/>
        <v>20</v>
      </c>
      <c r="AR520" s="220">
        <f t="shared" si="1646"/>
        <v>0</v>
      </c>
      <c r="AS520" s="220">
        <f t="shared" si="1647"/>
        <v>0</v>
      </c>
      <c r="AT520" s="216">
        <f t="shared" si="1648"/>
        <v>445.2</v>
      </c>
      <c r="AU520" s="222">
        <f t="shared" si="1661"/>
        <v>35.349999999999966</v>
      </c>
      <c r="AV520" s="220"/>
      <c r="AW520" s="220">
        <f t="shared" si="1530"/>
        <v>35.349999999999966</v>
      </c>
      <c r="AX520" s="216">
        <f t="shared" si="1636"/>
        <v>0</v>
      </c>
      <c r="AY520" s="220">
        <f t="shared" si="1537"/>
        <v>0</v>
      </c>
      <c r="AZ520" s="220">
        <f t="shared" si="1538"/>
        <v>0</v>
      </c>
      <c r="BA520" s="220">
        <f t="shared" si="1539"/>
        <v>20</v>
      </c>
      <c r="BB520" s="220">
        <f t="shared" si="1540"/>
        <v>0</v>
      </c>
      <c r="BC520" s="220">
        <f t="shared" si="1541"/>
        <v>0</v>
      </c>
      <c r="BD520" s="216">
        <f t="shared" si="1599"/>
        <v>20</v>
      </c>
      <c r="BE520" s="220">
        <f t="shared" si="1531"/>
        <v>0</v>
      </c>
      <c r="BF520" s="220">
        <f t="shared" si="1532"/>
        <v>0</v>
      </c>
      <c r="BG520" s="220">
        <f t="shared" si="1533"/>
        <v>0</v>
      </c>
      <c r="BH520" s="220">
        <f t="shared" si="1534"/>
        <v>0</v>
      </c>
      <c r="BI520" s="220">
        <f t="shared" si="1535"/>
        <v>0</v>
      </c>
      <c r="BJ520" s="220" t="s">
        <v>393</v>
      </c>
      <c r="BK520" s="220"/>
      <c r="BL520" s="223">
        <f t="shared" si="1609"/>
        <v>35.349999999999966</v>
      </c>
      <c r="BM520" s="220">
        <v>3.33</v>
      </c>
      <c r="BN520" s="220"/>
      <c r="BO520" s="220">
        <f t="shared" si="1670"/>
        <v>3.33</v>
      </c>
      <c r="BP520" s="220">
        <f>IF(AND(BL520&gt;0,BL520&lt;tiet!$D$1),BL520,IF(BL520&lt;=0,0,IF(BL520&gt;tiet!$C$1,tiet!$C$1)))</f>
        <v>35.349999999999966</v>
      </c>
      <c r="BQ520" s="87">
        <f t="shared" si="1552"/>
        <v>65000</v>
      </c>
      <c r="BR520" s="224">
        <f t="shared" si="1544"/>
        <v>2297750</v>
      </c>
      <c r="BS520" s="220">
        <f t="shared" si="1478"/>
        <v>0</v>
      </c>
      <c r="BT520" s="224">
        <f>VLOOKUP(N520,ma_dinhmuc!$A$1:$J$31,10,0)</f>
        <v>51000</v>
      </c>
      <c r="BU520" s="224">
        <f>ROUND(IF(BS520&gt;0,VLOOKUP(N520,ma_dinhmuc!$A$1:$J$31,10,0)*BS520,0),0)</f>
        <v>0</v>
      </c>
      <c r="BV520" s="224">
        <f t="shared" si="1545"/>
        <v>2297750</v>
      </c>
      <c r="BW520" s="224"/>
      <c r="BX520" s="224">
        <v>0</v>
      </c>
      <c r="BY520" s="224"/>
      <c r="BZ520" s="224"/>
      <c r="CA520" s="224"/>
      <c r="CB520" s="224"/>
      <c r="CC520" s="225">
        <f t="shared" si="1595"/>
        <v>2297750</v>
      </c>
      <c r="CD520" s="224">
        <f t="shared" si="1596"/>
        <v>0</v>
      </c>
      <c r="CE520" s="224"/>
      <c r="CF520" s="226"/>
      <c r="CG520" s="87"/>
      <c r="CH520" s="87">
        <f>A520</f>
        <v>26</v>
      </c>
      <c r="CI520" s="227" t="str">
        <f t="shared" si="1671"/>
        <v>Lê Thị Minh</v>
      </c>
      <c r="CJ520" s="227" t="str">
        <f t="shared" si="1672"/>
        <v>Thuỳ</v>
      </c>
      <c r="CK520" s="87">
        <f t="shared" si="1673"/>
        <v>10</v>
      </c>
      <c r="CL520" s="227" t="str">
        <f>L520</f>
        <v>Công nghệ phần mềm</v>
      </c>
      <c r="CM520" s="87" t="str">
        <f t="shared" si="1536"/>
        <v>CS2</v>
      </c>
      <c r="CN520" s="87">
        <f>Q520</f>
        <v>270</v>
      </c>
      <c r="CO520" s="87">
        <f>R520</f>
        <v>120</v>
      </c>
      <c r="CP520" s="229">
        <f t="shared" si="1483"/>
        <v>0</v>
      </c>
      <c r="CQ520" s="229">
        <f t="shared" si="1484"/>
        <v>60.1</v>
      </c>
      <c r="CR520" s="229">
        <f t="shared" si="1485"/>
        <v>24.1</v>
      </c>
      <c r="CS520" s="229">
        <f t="shared" si="1486"/>
        <v>10.8</v>
      </c>
      <c r="CT520" s="229">
        <f t="shared" si="1487"/>
        <v>0</v>
      </c>
      <c r="CU520" s="229">
        <f t="shared" si="1488"/>
        <v>207.7</v>
      </c>
      <c r="CV520" s="229">
        <f t="shared" si="1489"/>
        <v>0</v>
      </c>
      <c r="CW520" s="229">
        <f t="shared" si="1490"/>
        <v>122.5</v>
      </c>
      <c r="CX520" s="229">
        <f t="shared" si="1491"/>
        <v>0</v>
      </c>
      <c r="CY520" s="229">
        <f t="shared" si="1492"/>
        <v>0</v>
      </c>
      <c r="CZ520" s="229">
        <f t="shared" si="1493"/>
        <v>0</v>
      </c>
      <c r="DA520" s="229">
        <f t="shared" si="1494"/>
        <v>20</v>
      </c>
      <c r="DB520" s="228">
        <f t="shared" si="1650"/>
        <v>445.2</v>
      </c>
      <c r="DC520" s="229"/>
      <c r="DD520" s="229"/>
      <c r="DE520" s="229"/>
      <c r="DF520" s="229"/>
      <c r="DG520" s="229"/>
      <c r="DH520" s="229"/>
      <c r="DI520" s="229"/>
      <c r="DJ520" s="229"/>
      <c r="DK520" s="229"/>
      <c r="DL520" s="229"/>
      <c r="DM520" s="229"/>
      <c r="DN520" s="229"/>
      <c r="DO520" s="228">
        <f t="shared" si="1651"/>
        <v>0</v>
      </c>
      <c r="DP520" s="228">
        <f t="shared" si="1652"/>
        <v>445.2</v>
      </c>
      <c r="DQ520" s="229">
        <f t="shared" si="1495"/>
        <v>0</v>
      </c>
      <c r="DR520" s="229">
        <f t="shared" si="1496"/>
        <v>0</v>
      </c>
      <c r="DS520" s="229">
        <f t="shared" si="1497"/>
        <v>0</v>
      </c>
      <c r="DT520" s="229">
        <f t="shared" si="1498"/>
        <v>0</v>
      </c>
      <c r="DU520" s="229">
        <f t="shared" si="1499"/>
        <v>0</v>
      </c>
      <c r="DV520" s="229">
        <f t="shared" si="1500"/>
        <v>0</v>
      </c>
      <c r="DW520" s="229">
        <f t="shared" si="1501"/>
        <v>0</v>
      </c>
      <c r="DX520" s="228">
        <f t="shared" si="1653"/>
        <v>0</v>
      </c>
      <c r="DY520" s="229"/>
      <c r="DZ520" s="229"/>
      <c r="EA520" s="229"/>
      <c r="EB520" s="229"/>
      <c r="EC520" s="229"/>
      <c r="ED520" s="229"/>
      <c r="EE520" s="229"/>
      <c r="EF520" s="228">
        <f t="shared" si="1480"/>
        <v>0</v>
      </c>
      <c r="EG520" s="228">
        <f t="shared" si="1654"/>
        <v>0</v>
      </c>
      <c r="EH520" s="229">
        <f t="shared" si="1481"/>
        <v>0</v>
      </c>
      <c r="EI520" s="229">
        <v>0.15000000000000568</v>
      </c>
      <c r="EJ520" s="228">
        <f t="shared" si="1620"/>
        <v>0.15000000000000568</v>
      </c>
      <c r="EK520" s="229"/>
      <c r="EL520" s="229"/>
      <c r="EM520" s="228">
        <f t="shared" si="1657"/>
        <v>0</v>
      </c>
      <c r="EN520" s="229">
        <f t="shared" si="1591"/>
        <v>0</v>
      </c>
      <c r="EO520" s="229">
        <f t="shared" si="1610"/>
        <v>0.15000000000000568</v>
      </c>
      <c r="EP520" s="228">
        <f t="shared" si="1658"/>
        <v>0.15000000000000568</v>
      </c>
      <c r="EQ520" s="173">
        <f t="shared" si="1479"/>
        <v>0</v>
      </c>
      <c r="ER520" s="189">
        <v>0</v>
      </c>
      <c r="ES520" s="189">
        <v>60.1</v>
      </c>
      <c r="ET520" s="189">
        <v>24.1</v>
      </c>
      <c r="EU520" s="189">
        <v>10.8</v>
      </c>
      <c r="EV520" s="189">
        <v>0</v>
      </c>
      <c r="EW520" s="189">
        <v>207.7</v>
      </c>
      <c r="EX520" s="189">
        <v>0</v>
      </c>
      <c r="EY520" s="189">
        <v>122.5</v>
      </c>
      <c r="EZ520" s="189">
        <v>0</v>
      </c>
      <c r="FA520" s="189">
        <v>0</v>
      </c>
      <c r="FB520" s="189">
        <v>0</v>
      </c>
      <c r="FC520" s="189">
        <v>20</v>
      </c>
      <c r="FD520" s="189">
        <v>0</v>
      </c>
      <c r="FE520" s="189">
        <v>0</v>
      </c>
      <c r="FF520" s="189">
        <v>0</v>
      </c>
      <c r="FG520" s="189">
        <v>0</v>
      </c>
      <c r="FH520" s="189">
        <v>0</v>
      </c>
      <c r="FI520" s="189">
        <v>0</v>
      </c>
      <c r="FJ520" s="189">
        <v>0</v>
      </c>
      <c r="FK520" s="189">
        <v>445.2</v>
      </c>
      <c r="FL520" s="189">
        <v>341.8</v>
      </c>
      <c r="FN520" s="132">
        <v>0</v>
      </c>
    </row>
    <row r="521" spans="1:170" ht="30" customHeight="1">
      <c r="A521" s="88">
        <f>COUNTIF($H$12:H521,H521)</f>
        <v>27</v>
      </c>
      <c r="B521" s="88" t="s">
        <v>1254</v>
      </c>
      <c r="C521" s="88" t="s">
        <v>2090</v>
      </c>
      <c r="D521" s="88"/>
      <c r="E521" s="88"/>
      <c r="F521" s="301" t="s">
        <v>1788</v>
      </c>
      <c r="G521" s="303" t="s">
        <v>1651</v>
      </c>
      <c r="H521" s="88">
        <v>10</v>
      </c>
      <c r="I521" s="88">
        <v>10</v>
      </c>
      <c r="J521" s="88">
        <v>10</v>
      </c>
      <c r="K521" s="90" t="s">
        <v>1111</v>
      </c>
      <c r="L521" s="90" t="s">
        <v>1111</v>
      </c>
      <c r="M521" s="214"/>
      <c r="N521" s="88" t="s">
        <v>1804</v>
      </c>
      <c r="O521" s="216">
        <f t="shared" si="1656"/>
        <v>3.66</v>
      </c>
      <c r="P521" s="88" t="str">
        <f t="shared" si="1678"/>
        <v>B1_4</v>
      </c>
      <c r="Q521" s="88">
        <f t="shared" si="1567"/>
        <v>270</v>
      </c>
      <c r="R521" s="88">
        <f t="shared" si="1568"/>
        <v>120</v>
      </c>
      <c r="S521" s="234"/>
      <c r="T521" s="88" t="s">
        <v>3088</v>
      </c>
      <c r="U521" s="88">
        <f>IF(RIGHT(T521,1)="K",(VLOOKUP(T521,ma_miengiam!$A$3:$B$80,2,0)*100)/2,VLOOKUP(T521,ma_miengiam!$A$3:$B$80,2,0)*100)</f>
        <v>0</v>
      </c>
      <c r="V521" s="88"/>
      <c r="W521" s="220">
        <f>IF(AND(T521="NTS",V521&gt;0),(Q521-(Q521*V521)/12)*VLOOKUP(T521,ma_miengiam!$A$3:$B$80,2,0)+(Q521-(Q521*(12-V521))/12),IF(AND(RIGHT(T521,1)="K",V521&gt;0),(VLOOKUP(T521,ma_miengiam!$A$3:$B$80,2,0)/2)*(Q521*V521)/12,IF(RIGHT(T521,1)="K",(VLOOKUP(T521,ma_miengiam!$A$3:$B$80,2,0)*Q521)/2,IF(V521&gt;0,VLOOKUP(T521,ma_miengiam!$A$3:$B$80,2,0)*Q521*V521/12,VLOOKUP(T521,ma_miengiam!$A$3:$B$80,2,0)*Q521))))</f>
        <v>0</v>
      </c>
      <c r="X521" s="220">
        <f>IF(T521="NTS",VLOOKUP(T521,ma_miengiam!$A$3:$B$80,2,0)*R521*V521,IF(AND(T521="NTS",V521=0),0,IF(AND(LEFT(T521,1)="K",V521=0),VLOOKUP(T521,ma_miengiam!$A$3:$B$80,2,0)*R521,IF(LEFT(T521,1)="K",(VLOOKUP(T521,ma_miengiam!$A$3:$B$80,2,0)*R521/12)*V521,IF(AND(LEFT(T521,1)="S",V521&gt;0),(R521/12)*V521,IF(AND(LEFT(T521,1)="S",V521=0),R521,IF(T521="DH",VLOOKUP(T521,ma_miengiam!$A$3:$B$80,2,0)*R521,0)))))))</f>
        <v>0</v>
      </c>
      <c r="Y521" s="220">
        <f t="shared" si="1521"/>
        <v>270</v>
      </c>
      <c r="Z521" s="220">
        <f t="shared" si="1569"/>
        <v>120</v>
      </c>
      <c r="AA521" s="220">
        <f t="shared" si="1679"/>
        <v>270</v>
      </c>
      <c r="AB521" s="220">
        <f t="shared" si="1679"/>
        <v>120</v>
      </c>
      <c r="AC521" s="220">
        <f t="shared" si="1680"/>
        <v>0</v>
      </c>
      <c r="AD521" s="220">
        <f t="shared" si="1680"/>
        <v>0</v>
      </c>
      <c r="AE521" s="220">
        <f t="shared" si="1680"/>
        <v>270</v>
      </c>
      <c r="AF521" s="220">
        <f t="shared" si="1680"/>
        <v>120</v>
      </c>
      <c r="AG521" s="220">
        <f t="shared" si="1681"/>
        <v>30.150000000000006</v>
      </c>
      <c r="AH521" s="220">
        <f t="shared" si="1682"/>
        <v>0.15000000000000568</v>
      </c>
      <c r="AI521" s="220">
        <f t="shared" si="1683"/>
        <v>30</v>
      </c>
      <c r="AJ521" s="220">
        <f t="shared" si="1551"/>
        <v>-89.85</v>
      </c>
      <c r="AK521" s="216">
        <f t="shared" si="1639"/>
        <v>359.85</v>
      </c>
      <c r="AL521" s="220">
        <f t="shared" si="1640"/>
        <v>312.70000000000005</v>
      </c>
      <c r="AM521" s="220">
        <f t="shared" si="1641"/>
        <v>0</v>
      </c>
      <c r="AN521" s="221">
        <f t="shared" si="1642"/>
        <v>312.70000000000005</v>
      </c>
      <c r="AO521" s="220">
        <f t="shared" si="1643"/>
        <v>0</v>
      </c>
      <c r="AP521" s="220">
        <f t="shared" si="1644"/>
        <v>0</v>
      </c>
      <c r="AQ521" s="220">
        <f t="shared" si="1645"/>
        <v>40</v>
      </c>
      <c r="AR521" s="220">
        <f t="shared" si="1646"/>
        <v>0</v>
      </c>
      <c r="AS521" s="220">
        <f t="shared" si="1647"/>
        <v>0</v>
      </c>
      <c r="AT521" s="216">
        <f t="shared" si="1648"/>
        <v>352.70000000000005</v>
      </c>
      <c r="AU521" s="222">
        <f t="shared" si="1661"/>
        <v>-47.149999999999977</v>
      </c>
      <c r="AV521" s="220"/>
      <c r="AW521" s="220">
        <f t="shared" si="1530"/>
        <v>-47.149999999999977</v>
      </c>
      <c r="AX521" s="216">
        <f t="shared" si="1636"/>
        <v>-47.149999999999977</v>
      </c>
      <c r="AY521" s="220">
        <f t="shared" si="1537"/>
        <v>0</v>
      </c>
      <c r="AZ521" s="220">
        <f t="shared" si="1538"/>
        <v>0</v>
      </c>
      <c r="BA521" s="220">
        <f t="shared" si="1539"/>
        <v>0</v>
      </c>
      <c r="BB521" s="220">
        <f t="shared" si="1540"/>
        <v>0</v>
      </c>
      <c r="BC521" s="220">
        <f t="shared" si="1541"/>
        <v>0</v>
      </c>
      <c r="BD521" s="216">
        <f t="shared" si="1599"/>
        <v>0</v>
      </c>
      <c r="BE521" s="220">
        <f t="shared" si="1531"/>
        <v>0</v>
      </c>
      <c r="BF521" s="220">
        <f t="shared" si="1532"/>
        <v>0</v>
      </c>
      <c r="BG521" s="220">
        <f t="shared" si="1533"/>
        <v>-40</v>
      </c>
      <c r="BH521" s="220">
        <f t="shared" si="1534"/>
        <v>0</v>
      </c>
      <c r="BI521" s="220">
        <f t="shared" si="1535"/>
        <v>0</v>
      </c>
      <c r="BJ521" s="220" t="s">
        <v>393</v>
      </c>
      <c r="BK521" s="220"/>
      <c r="BL521" s="223">
        <f t="shared" si="1609"/>
        <v>0</v>
      </c>
      <c r="BM521" s="220">
        <v>3.66</v>
      </c>
      <c r="BN521" s="220"/>
      <c r="BO521" s="220">
        <f t="shared" si="1670"/>
        <v>3.66</v>
      </c>
      <c r="BP521" s="220">
        <f>IF(AND(BL521&gt;0,BL521&lt;tiet!$D$1),BL521,IF(BL521&lt;=0,0,IF(BL521&gt;tiet!$C$1,tiet!$C$1)))</f>
        <v>0</v>
      </c>
      <c r="BQ521" s="87">
        <f t="shared" si="1552"/>
        <v>65000</v>
      </c>
      <c r="BR521" s="224">
        <f t="shared" si="1544"/>
        <v>0</v>
      </c>
      <c r="BS521" s="220">
        <f t="shared" si="1478"/>
        <v>0</v>
      </c>
      <c r="BT521" s="224">
        <f>VLOOKUP(N521,ma_dinhmuc!$A$1:$J$31,10,0)</f>
        <v>51000</v>
      </c>
      <c r="BU521" s="224">
        <f>ROUND(IF(BS521&gt;0,VLOOKUP(N521,ma_dinhmuc!$A$1:$J$31,10,0)*BS521,0),0)</f>
        <v>0</v>
      </c>
      <c r="BV521" s="224">
        <f t="shared" si="1545"/>
        <v>0</v>
      </c>
      <c r="BW521" s="224"/>
      <c r="BX521" s="224">
        <v>0</v>
      </c>
      <c r="BY521" s="224"/>
      <c r="BZ521" s="224"/>
      <c r="CA521" s="224"/>
      <c r="CB521" s="224"/>
      <c r="CC521" s="225">
        <f t="shared" si="1595"/>
        <v>0</v>
      </c>
      <c r="CD521" s="224">
        <f t="shared" si="1596"/>
        <v>0</v>
      </c>
      <c r="CE521" s="224"/>
      <c r="CF521" s="226"/>
      <c r="CG521" s="87"/>
      <c r="CH521" s="87">
        <f t="shared" si="1677"/>
        <v>27</v>
      </c>
      <c r="CI521" s="227" t="str">
        <f t="shared" si="1671"/>
        <v>Lê Thị</v>
      </c>
      <c r="CJ521" s="227" t="str">
        <f t="shared" si="1672"/>
        <v>Nhung</v>
      </c>
      <c r="CK521" s="87">
        <f t="shared" si="1673"/>
        <v>10</v>
      </c>
      <c r="CL521" s="227" t="str">
        <f t="shared" si="1662"/>
        <v>Công nghệ phần mềm</v>
      </c>
      <c r="CM521" s="87" t="str">
        <f t="shared" si="1536"/>
        <v>CS2</v>
      </c>
      <c r="CN521" s="87">
        <f t="shared" si="1674"/>
        <v>270</v>
      </c>
      <c r="CO521" s="87">
        <f t="shared" si="1675"/>
        <v>120</v>
      </c>
      <c r="CP521" s="229">
        <f t="shared" si="1483"/>
        <v>0</v>
      </c>
      <c r="CQ521" s="229">
        <f t="shared" si="1484"/>
        <v>36.700000000000003</v>
      </c>
      <c r="CR521" s="229">
        <f t="shared" si="1485"/>
        <v>14.7</v>
      </c>
      <c r="CS521" s="229">
        <f t="shared" si="1486"/>
        <v>0</v>
      </c>
      <c r="CT521" s="229">
        <f t="shared" si="1487"/>
        <v>0</v>
      </c>
      <c r="CU521" s="229">
        <f t="shared" si="1488"/>
        <v>193.3</v>
      </c>
      <c r="CV521" s="229">
        <f t="shared" si="1489"/>
        <v>0</v>
      </c>
      <c r="CW521" s="229">
        <f t="shared" si="1490"/>
        <v>68</v>
      </c>
      <c r="CX521" s="229">
        <f t="shared" si="1491"/>
        <v>0</v>
      </c>
      <c r="CY521" s="229">
        <f t="shared" si="1492"/>
        <v>0</v>
      </c>
      <c r="CZ521" s="229">
        <f t="shared" si="1493"/>
        <v>0</v>
      </c>
      <c r="DA521" s="229">
        <f t="shared" si="1494"/>
        <v>40</v>
      </c>
      <c r="DB521" s="228">
        <f t="shared" si="1650"/>
        <v>352.70000000000005</v>
      </c>
      <c r="DC521" s="229"/>
      <c r="DD521" s="229"/>
      <c r="DE521" s="229"/>
      <c r="DF521" s="229"/>
      <c r="DG521" s="229"/>
      <c r="DH521" s="229"/>
      <c r="DI521" s="229"/>
      <c r="DJ521" s="229"/>
      <c r="DK521" s="229"/>
      <c r="DL521" s="229"/>
      <c r="DM521" s="229"/>
      <c r="DN521" s="229"/>
      <c r="DO521" s="228">
        <f t="shared" si="1651"/>
        <v>0</v>
      </c>
      <c r="DP521" s="228">
        <f t="shared" si="1652"/>
        <v>352.70000000000005</v>
      </c>
      <c r="DQ521" s="229">
        <f t="shared" si="1495"/>
        <v>0</v>
      </c>
      <c r="DR521" s="229">
        <f t="shared" si="1496"/>
        <v>0</v>
      </c>
      <c r="DS521" s="229">
        <f t="shared" si="1497"/>
        <v>0</v>
      </c>
      <c r="DT521" s="229">
        <f t="shared" si="1498"/>
        <v>0</v>
      </c>
      <c r="DU521" s="229">
        <f t="shared" si="1499"/>
        <v>0</v>
      </c>
      <c r="DV521" s="229">
        <f t="shared" si="1500"/>
        <v>0</v>
      </c>
      <c r="DW521" s="229">
        <f t="shared" si="1501"/>
        <v>0</v>
      </c>
      <c r="DX521" s="228">
        <f t="shared" si="1653"/>
        <v>0</v>
      </c>
      <c r="DY521" s="229"/>
      <c r="DZ521" s="229"/>
      <c r="EA521" s="229"/>
      <c r="EB521" s="229"/>
      <c r="EC521" s="229"/>
      <c r="ED521" s="229"/>
      <c r="EE521" s="229"/>
      <c r="EF521" s="228">
        <f t="shared" si="1480"/>
        <v>0</v>
      </c>
      <c r="EG521" s="228">
        <f t="shared" si="1654"/>
        <v>0</v>
      </c>
      <c r="EH521" s="229">
        <f t="shared" si="1481"/>
        <v>30</v>
      </c>
      <c r="EI521" s="229">
        <v>0.15000000000000568</v>
      </c>
      <c r="EJ521" s="228">
        <f t="shared" si="1620"/>
        <v>30.150000000000006</v>
      </c>
      <c r="EK521" s="229"/>
      <c r="EL521" s="229"/>
      <c r="EM521" s="228">
        <f t="shared" si="1657"/>
        <v>0</v>
      </c>
      <c r="EN521" s="229">
        <f t="shared" si="1591"/>
        <v>30</v>
      </c>
      <c r="EO521" s="229">
        <f t="shared" si="1610"/>
        <v>0.15000000000000568</v>
      </c>
      <c r="EP521" s="228">
        <f t="shared" si="1658"/>
        <v>30.150000000000006</v>
      </c>
      <c r="EQ521" s="173">
        <f t="shared" si="1479"/>
        <v>0</v>
      </c>
      <c r="ER521" s="189">
        <v>0</v>
      </c>
      <c r="ES521" s="189">
        <v>36.700000000000003</v>
      </c>
      <c r="ET521" s="189">
        <v>14.7</v>
      </c>
      <c r="EU521" s="189">
        <v>0</v>
      </c>
      <c r="EV521" s="189">
        <v>0</v>
      </c>
      <c r="EW521" s="189">
        <v>193.3</v>
      </c>
      <c r="EX521" s="189">
        <v>0</v>
      </c>
      <c r="EY521" s="189">
        <v>68</v>
      </c>
      <c r="EZ521" s="189">
        <v>0</v>
      </c>
      <c r="FA521" s="189">
        <v>0</v>
      </c>
      <c r="FB521" s="189">
        <v>0</v>
      </c>
      <c r="FC521" s="189">
        <v>40</v>
      </c>
      <c r="FD521" s="189">
        <v>0</v>
      </c>
      <c r="FE521" s="189">
        <v>0</v>
      </c>
      <c r="FF521" s="189">
        <v>0</v>
      </c>
      <c r="FG521" s="189">
        <v>0</v>
      </c>
      <c r="FH521" s="189">
        <v>0</v>
      </c>
      <c r="FI521" s="189">
        <v>0</v>
      </c>
      <c r="FJ521" s="189">
        <v>0</v>
      </c>
      <c r="FK521" s="189">
        <v>352.7</v>
      </c>
      <c r="FL521" s="189">
        <v>292</v>
      </c>
      <c r="FN521" s="132">
        <v>30</v>
      </c>
    </row>
    <row r="522" spans="1:170" ht="30" customHeight="1">
      <c r="A522" s="88">
        <f>COUNTIF($H$12:H522,H522)</f>
        <v>28</v>
      </c>
      <c r="B522" s="88" t="s">
        <v>1255</v>
      </c>
      <c r="C522" s="88" t="s">
        <v>2091</v>
      </c>
      <c r="D522" s="88"/>
      <c r="E522" s="88"/>
      <c r="F522" s="301" t="s">
        <v>3078</v>
      </c>
      <c r="G522" s="89" t="s">
        <v>26</v>
      </c>
      <c r="H522" s="88">
        <v>10</v>
      </c>
      <c r="I522" s="88">
        <v>10</v>
      </c>
      <c r="J522" s="88">
        <v>10</v>
      </c>
      <c r="K522" s="90" t="s">
        <v>1111</v>
      </c>
      <c r="L522" s="90" t="s">
        <v>1111</v>
      </c>
      <c r="M522" s="214"/>
      <c r="N522" s="88" t="s">
        <v>1804</v>
      </c>
      <c r="O522" s="216">
        <f t="shared" si="1656"/>
        <v>3.99</v>
      </c>
      <c r="P522" s="88" t="str">
        <f t="shared" si="1678"/>
        <v>B1_4</v>
      </c>
      <c r="Q522" s="88">
        <f t="shared" si="1567"/>
        <v>270</v>
      </c>
      <c r="R522" s="88">
        <f t="shared" si="1568"/>
        <v>120</v>
      </c>
      <c r="S522" s="230" t="s">
        <v>2031</v>
      </c>
      <c r="T522" s="88" t="s">
        <v>3091</v>
      </c>
      <c r="U522" s="88">
        <f>IF(RIGHT(T522,1)="K",(VLOOKUP(T522,ma_miengiam!$A$3:$B$80,2,0)*100)/2,VLOOKUP(T522,ma_miengiam!$A$3:$B$80,2,0)*100)</f>
        <v>20</v>
      </c>
      <c r="V522" s="88"/>
      <c r="W522" s="220">
        <f>IF(AND(T522="NTS",V522&gt;0),(Q522-(Q522*V522)/12)*VLOOKUP(T522,ma_miengiam!$A$3:$B$80,2,0)+(Q522-(Q522*(12-V522))/12),IF(AND(RIGHT(T522,1)="K",V522&gt;0),(VLOOKUP(T522,ma_miengiam!$A$3:$B$80,2,0)/2)*(Q522*V522)/12,IF(RIGHT(T522,1)="K",(VLOOKUP(T522,ma_miengiam!$A$3:$B$80,2,0)*Q522)/2,IF(V522&gt;0,VLOOKUP(T522,ma_miengiam!$A$3:$B$80,2,0)*Q522*V522/12,VLOOKUP(T522,ma_miengiam!$A$3:$B$80,2,0)*Q522))))</f>
        <v>54</v>
      </c>
      <c r="X522" s="220">
        <f>IF(T522="NTS",VLOOKUP(T522,ma_miengiam!$A$3:$B$80,2,0)*R522*V522,IF(AND(T522="NTS",V522=0),0,IF(AND(LEFT(T522,1)="K",V522=0),VLOOKUP(T522,ma_miengiam!$A$3:$B$80,2,0)*R522,IF(LEFT(T522,1)="K",(VLOOKUP(T522,ma_miengiam!$A$3:$B$80,2,0)*R522/12)*V522,IF(AND(LEFT(T522,1)="S",V522&gt;0),(R522/12)*V522,IF(AND(LEFT(T522,1)="S",V522=0),R522,IF(T522="DH",VLOOKUP(T522,ma_miengiam!$A$3:$B$80,2,0)*R522,0)))))))</f>
        <v>0</v>
      </c>
      <c r="Y522" s="220">
        <f t="shared" si="1521"/>
        <v>216</v>
      </c>
      <c r="Z522" s="220">
        <f t="shared" si="1569"/>
        <v>120</v>
      </c>
      <c r="AA522" s="220">
        <f t="shared" si="1679"/>
        <v>270</v>
      </c>
      <c r="AB522" s="220">
        <f t="shared" si="1679"/>
        <v>120</v>
      </c>
      <c r="AC522" s="220">
        <f t="shared" si="1680"/>
        <v>54</v>
      </c>
      <c r="AD522" s="220">
        <f t="shared" si="1680"/>
        <v>0</v>
      </c>
      <c r="AE522" s="220">
        <f t="shared" si="1680"/>
        <v>216</v>
      </c>
      <c r="AF522" s="220">
        <f t="shared" si="1680"/>
        <v>120</v>
      </c>
      <c r="AG522" s="220">
        <f t="shared" si="1681"/>
        <v>74.5</v>
      </c>
      <c r="AH522" s="220">
        <f t="shared" si="1682"/>
        <v>4.5</v>
      </c>
      <c r="AI522" s="220">
        <f t="shared" si="1683"/>
        <v>70</v>
      </c>
      <c r="AJ522" s="220">
        <f t="shared" si="1551"/>
        <v>-45.5</v>
      </c>
      <c r="AK522" s="216">
        <f t="shared" si="1639"/>
        <v>261.5</v>
      </c>
      <c r="AL522" s="220">
        <f t="shared" si="1640"/>
        <v>661.40000000000009</v>
      </c>
      <c r="AM522" s="220">
        <f t="shared" si="1641"/>
        <v>0</v>
      </c>
      <c r="AN522" s="221">
        <f t="shared" si="1642"/>
        <v>661.40000000000009</v>
      </c>
      <c r="AO522" s="220">
        <f t="shared" si="1643"/>
        <v>0</v>
      </c>
      <c r="AP522" s="220">
        <f t="shared" si="1644"/>
        <v>0</v>
      </c>
      <c r="AQ522" s="220">
        <f t="shared" si="1645"/>
        <v>60</v>
      </c>
      <c r="AR522" s="220">
        <f t="shared" si="1646"/>
        <v>0</v>
      </c>
      <c r="AS522" s="220">
        <f t="shared" si="1647"/>
        <v>0</v>
      </c>
      <c r="AT522" s="216">
        <f t="shared" si="1648"/>
        <v>721.40000000000009</v>
      </c>
      <c r="AU522" s="222">
        <f t="shared" si="1661"/>
        <v>399.90000000000009</v>
      </c>
      <c r="AV522" s="220"/>
      <c r="AW522" s="220">
        <f t="shared" si="1530"/>
        <v>399.90000000000009</v>
      </c>
      <c r="AX522" s="216">
        <f t="shared" si="1636"/>
        <v>0</v>
      </c>
      <c r="AY522" s="220">
        <f t="shared" si="1537"/>
        <v>0</v>
      </c>
      <c r="AZ522" s="220">
        <f t="shared" si="1538"/>
        <v>0</v>
      </c>
      <c r="BA522" s="220">
        <f t="shared" si="1539"/>
        <v>60</v>
      </c>
      <c r="BB522" s="220">
        <f t="shared" si="1540"/>
        <v>0</v>
      </c>
      <c r="BC522" s="220">
        <f t="shared" si="1541"/>
        <v>0</v>
      </c>
      <c r="BD522" s="216">
        <f t="shared" si="1599"/>
        <v>60</v>
      </c>
      <c r="BE522" s="220">
        <f t="shared" si="1531"/>
        <v>0</v>
      </c>
      <c r="BF522" s="220">
        <f t="shared" si="1532"/>
        <v>0</v>
      </c>
      <c r="BG522" s="220">
        <f t="shared" si="1533"/>
        <v>0</v>
      </c>
      <c r="BH522" s="220">
        <f t="shared" si="1534"/>
        <v>0</v>
      </c>
      <c r="BI522" s="220">
        <f t="shared" si="1535"/>
        <v>0</v>
      </c>
      <c r="BJ522" s="220" t="s">
        <v>393</v>
      </c>
      <c r="BK522" s="220"/>
      <c r="BL522" s="223">
        <f t="shared" si="1609"/>
        <v>399.90000000000009</v>
      </c>
      <c r="BM522" s="220">
        <v>3.99</v>
      </c>
      <c r="BN522" s="220"/>
      <c r="BO522" s="220">
        <f t="shared" si="1670"/>
        <v>3.99</v>
      </c>
      <c r="BP522" s="220">
        <f>IF(AND(BL522&gt;0,BL522&lt;tiet!$D$1),BL522,IF(BL522&lt;=0,0,IF(BL522&gt;tiet!$C$1,tiet!$C$1)))</f>
        <v>200</v>
      </c>
      <c r="BQ522" s="87">
        <f t="shared" si="1552"/>
        <v>65000</v>
      </c>
      <c r="BR522" s="224">
        <f t="shared" si="1544"/>
        <v>13000000</v>
      </c>
      <c r="BS522" s="220">
        <f t="shared" si="1478"/>
        <v>199.90000000000009</v>
      </c>
      <c r="BT522" s="224">
        <f>VLOOKUP(N522,ma_dinhmuc!$A$1:$J$31,10,0)</f>
        <v>51000</v>
      </c>
      <c r="BU522" s="224">
        <f>ROUND(IF(BS522&gt;0,VLOOKUP(N522,ma_dinhmuc!$A$1:$J$31,10,0)*BS522,0),0)</f>
        <v>10194900</v>
      </c>
      <c r="BV522" s="224">
        <f t="shared" si="1545"/>
        <v>23194900</v>
      </c>
      <c r="BW522" s="224"/>
      <c r="BX522" s="224">
        <v>0</v>
      </c>
      <c r="BY522" s="224"/>
      <c r="BZ522" s="224"/>
      <c r="CA522" s="224"/>
      <c r="CB522" s="224"/>
      <c r="CC522" s="225">
        <f t="shared" si="1595"/>
        <v>23194900</v>
      </c>
      <c r="CD522" s="224">
        <f t="shared" si="1596"/>
        <v>0</v>
      </c>
      <c r="CE522" s="224"/>
      <c r="CF522" s="226"/>
      <c r="CG522" s="87"/>
      <c r="CH522" s="87">
        <f t="shared" si="1677"/>
        <v>28</v>
      </c>
      <c r="CI522" s="227" t="str">
        <f t="shared" si="1671"/>
        <v>Ngô Công</v>
      </c>
      <c r="CJ522" s="227" t="str">
        <f t="shared" si="1672"/>
        <v>Thắng</v>
      </c>
      <c r="CK522" s="87">
        <f t="shared" si="1673"/>
        <v>10</v>
      </c>
      <c r="CL522" s="227" t="str">
        <f t="shared" si="1662"/>
        <v>Công nghệ phần mềm</v>
      </c>
      <c r="CM522" s="87" t="str">
        <f t="shared" si="1536"/>
        <v>CS2</v>
      </c>
      <c r="CN522" s="87">
        <f>Q522</f>
        <v>270</v>
      </c>
      <c r="CO522" s="87">
        <f>R522</f>
        <v>120</v>
      </c>
      <c r="CP522" s="229">
        <f t="shared" si="1483"/>
        <v>0</v>
      </c>
      <c r="CQ522" s="229">
        <f t="shared" si="1484"/>
        <v>87.6</v>
      </c>
      <c r="CR522" s="229">
        <f t="shared" si="1485"/>
        <v>24.7</v>
      </c>
      <c r="CS522" s="229">
        <f t="shared" si="1486"/>
        <v>0</v>
      </c>
      <c r="CT522" s="229">
        <f t="shared" si="1487"/>
        <v>0</v>
      </c>
      <c r="CU522" s="229">
        <f t="shared" si="1488"/>
        <v>339.1</v>
      </c>
      <c r="CV522" s="229">
        <f t="shared" si="1489"/>
        <v>0</v>
      </c>
      <c r="CW522" s="229">
        <f t="shared" si="1490"/>
        <v>210</v>
      </c>
      <c r="CX522" s="229">
        <f t="shared" si="1491"/>
        <v>0</v>
      </c>
      <c r="CY522" s="229">
        <f t="shared" si="1492"/>
        <v>0</v>
      </c>
      <c r="CZ522" s="229">
        <f t="shared" si="1493"/>
        <v>0</v>
      </c>
      <c r="DA522" s="229">
        <f t="shared" si="1494"/>
        <v>60</v>
      </c>
      <c r="DB522" s="228">
        <f t="shared" si="1650"/>
        <v>721.40000000000009</v>
      </c>
      <c r="DC522" s="229"/>
      <c r="DD522" s="229"/>
      <c r="DE522" s="229"/>
      <c r="DF522" s="229"/>
      <c r="DG522" s="229"/>
      <c r="DH522" s="229"/>
      <c r="DI522" s="229"/>
      <c r="DJ522" s="229"/>
      <c r="DK522" s="229"/>
      <c r="DL522" s="229"/>
      <c r="DM522" s="229"/>
      <c r="DN522" s="229"/>
      <c r="DO522" s="228">
        <f t="shared" si="1651"/>
        <v>0</v>
      </c>
      <c r="DP522" s="228">
        <f t="shared" si="1652"/>
        <v>721.40000000000009</v>
      </c>
      <c r="DQ522" s="229">
        <f t="shared" si="1495"/>
        <v>0</v>
      </c>
      <c r="DR522" s="229">
        <f t="shared" si="1496"/>
        <v>0</v>
      </c>
      <c r="DS522" s="229">
        <f t="shared" si="1497"/>
        <v>0</v>
      </c>
      <c r="DT522" s="229">
        <f t="shared" si="1498"/>
        <v>0</v>
      </c>
      <c r="DU522" s="229">
        <f t="shared" si="1499"/>
        <v>0</v>
      </c>
      <c r="DV522" s="229">
        <f t="shared" si="1500"/>
        <v>0</v>
      </c>
      <c r="DW522" s="229">
        <f t="shared" si="1501"/>
        <v>0</v>
      </c>
      <c r="DX522" s="228">
        <f t="shared" si="1653"/>
        <v>0</v>
      </c>
      <c r="DY522" s="229"/>
      <c r="DZ522" s="229"/>
      <c r="EA522" s="229"/>
      <c r="EB522" s="229"/>
      <c r="EC522" s="229"/>
      <c r="ED522" s="229"/>
      <c r="EE522" s="229"/>
      <c r="EF522" s="228">
        <f t="shared" si="1480"/>
        <v>0</v>
      </c>
      <c r="EG522" s="228">
        <f t="shared" si="1654"/>
        <v>0</v>
      </c>
      <c r="EH522" s="229">
        <f t="shared" si="1481"/>
        <v>70</v>
      </c>
      <c r="EI522" s="229">
        <v>4.5</v>
      </c>
      <c r="EJ522" s="228">
        <f t="shared" si="1620"/>
        <v>74.5</v>
      </c>
      <c r="EK522" s="229"/>
      <c r="EL522" s="229"/>
      <c r="EM522" s="228">
        <f t="shared" si="1657"/>
        <v>0</v>
      </c>
      <c r="EN522" s="229">
        <f t="shared" si="1591"/>
        <v>70</v>
      </c>
      <c r="EO522" s="229">
        <f t="shared" si="1610"/>
        <v>4.5</v>
      </c>
      <c r="EP522" s="228">
        <f t="shared" si="1658"/>
        <v>74.5</v>
      </c>
      <c r="EQ522" s="173">
        <f t="shared" si="1479"/>
        <v>0</v>
      </c>
      <c r="ER522" s="189">
        <v>0</v>
      </c>
      <c r="ES522" s="189">
        <v>87.6</v>
      </c>
      <c r="ET522" s="189">
        <v>24.7</v>
      </c>
      <c r="EU522" s="189">
        <v>0</v>
      </c>
      <c r="EV522" s="189">
        <v>0</v>
      </c>
      <c r="EW522" s="189">
        <v>339.1</v>
      </c>
      <c r="EX522" s="189">
        <v>0</v>
      </c>
      <c r="EY522" s="189">
        <v>210</v>
      </c>
      <c r="EZ522" s="189">
        <v>0</v>
      </c>
      <c r="FA522" s="189">
        <v>0</v>
      </c>
      <c r="FB522" s="189">
        <v>0</v>
      </c>
      <c r="FC522" s="189">
        <v>60</v>
      </c>
      <c r="FD522" s="189">
        <v>0</v>
      </c>
      <c r="FE522" s="189">
        <v>0</v>
      </c>
      <c r="FF522" s="189">
        <v>0</v>
      </c>
      <c r="FG522" s="189">
        <v>0</v>
      </c>
      <c r="FH522" s="189">
        <v>0</v>
      </c>
      <c r="FI522" s="189">
        <v>0</v>
      </c>
      <c r="FJ522" s="189">
        <v>0</v>
      </c>
      <c r="FK522" s="189">
        <v>721.4</v>
      </c>
      <c r="FL522" s="189">
        <v>593</v>
      </c>
      <c r="FN522" s="132">
        <v>70</v>
      </c>
    </row>
    <row r="523" spans="1:170" ht="30" customHeight="1">
      <c r="A523" s="88">
        <f>COUNTIF($H$12:H523,H523)</f>
        <v>29</v>
      </c>
      <c r="B523" s="88" t="s">
        <v>1256</v>
      </c>
      <c r="C523" s="88" t="s">
        <v>2092</v>
      </c>
      <c r="D523" s="88"/>
      <c r="E523" s="88"/>
      <c r="F523" s="301" t="s">
        <v>53</v>
      </c>
      <c r="G523" s="89" t="s">
        <v>17</v>
      </c>
      <c r="H523" s="88">
        <v>10</v>
      </c>
      <c r="I523" s="88">
        <v>10</v>
      </c>
      <c r="J523" s="88">
        <v>10</v>
      </c>
      <c r="K523" s="90" t="s">
        <v>1111</v>
      </c>
      <c r="L523" s="90" t="s">
        <v>1111</v>
      </c>
      <c r="M523" s="214"/>
      <c r="N523" s="88" t="s">
        <v>606</v>
      </c>
      <c r="O523" s="216">
        <f t="shared" si="1656"/>
        <v>4.4000000000000004</v>
      </c>
      <c r="P523" s="88" t="str">
        <f t="shared" si="1678"/>
        <v>B1_4</v>
      </c>
      <c r="Q523" s="88">
        <f t="shared" si="1567"/>
        <v>270</v>
      </c>
      <c r="R523" s="88">
        <f t="shared" si="1568"/>
        <v>120</v>
      </c>
      <c r="S523" s="230" t="s">
        <v>689</v>
      </c>
      <c r="T523" s="88" t="s">
        <v>3090</v>
      </c>
      <c r="U523" s="88">
        <f>IF(RIGHT(T523,1)="K",(VLOOKUP(T523,ma_miengiam!$A$3:$B$80,2,0)*100)/2,VLOOKUP(T523,ma_miengiam!$A$3:$B$80,2,0)*100)</f>
        <v>15</v>
      </c>
      <c r="V523" s="88"/>
      <c r="W523" s="220">
        <f>IF(AND(T523="NTS",V523&gt;0),(Q523-(Q523*V523)/12)*VLOOKUP(T523,ma_miengiam!$A$3:$B$80,2,0)+(Q523-(Q523*(12-V523))/12),IF(AND(RIGHT(T523,1)="K",V523&gt;0),(VLOOKUP(T523,ma_miengiam!$A$3:$B$80,2,0)/2)*(Q523*V523)/12,IF(RIGHT(T523,1)="K",(VLOOKUP(T523,ma_miengiam!$A$3:$B$80,2,0)*Q523)/2,IF(V523&gt;0,VLOOKUP(T523,ma_miengiam!$A$3:$B$80,2,0)*Q523*V523/12,VLOOKUP(T523,ma_miengiam!$A$3:$B$80,2,0)*Q523))))</f>
        <v>40.5</v>
      </c>
      <c r="X523" s="220">
        <f>IF(T523="NTS",VLOOKUP(T523,ma_miengiam!$A$3:$B$80,2,0)*R523*V523,IF(AND(T523="NTS",V523=0),0,IF(AND(LEFT(T523,1)="K",V523=0),VLOOKUP(T523,ma_miengiam!$A$3:$B$80,2,0)*R523,IF(LEFT(T523,1)="K",(VLOOKUP(T523,ma_miengiam!$A$3:$B$80,2,0)*R523/12)*V523,IF(AND(LEFT(T523,1)="S",V523&gt;0),(R523/12)*V523,IF(AND(LEFT(T523,1)="S",V523=0),R523,IF(T523="DH",VLOOKUP(T523,ma_miengiam!$A$3:$B$80,2,0)*R523,0)))))))</f>
        <v>0</v>
      </c>
      <c r="Y523" s="220">
        <f t="shared" si="1521"/>
        <v>229.5</v>
      </c>
      <c r="Z523" s="220">
        <f t="shared" si="1569"/>
        <v>120</v>
      </c>
      <c r="AA523" s="220">
        <f t="shared" ref="AA523:AB525" si="1684">Q523</f>
        <v>270</v>
      </c>
      <c r="AB523" s="220">
        <f t="shared" si="1684"/>
        <v>120</v>
      </c>
      <c r="AC523" s="220">
        <f t="shared" ref="AC523:AF525" si="1685">W523</f>
        <v>40.5</v>
      </c>
      <c r="AD523" s="220">
        <f t="shared" si="1685"/>
        <v>0</v>
      </c>
      <c r="AE523" s="220">
        <f t="shared" si="1685"/>
        <v>229.5</v>
      </c>
      <c r="AF523" s="220">
        <f t="shared" si="1685"/>
        <v>120</v>
      </c>
      <c r="AG523" s="220">
        <f t="shared" si="1681"/>
        <v>30.150000000000006</v>
      </c>
      <c r="AH523" s="220">
        <f t="shared" si="1682"/>
        <v>0.15000000000000568</v>
      </c>
      <c r="AI523" s="220">
        <f t="shared" si="1683"/>
        <v>30</v>
      </c>
      <c r="AJ523" s="220">
        <f t="shared" si="1551"/>
        <v>-89.85</v>
      </c>
      <c r="AK523" s="216">
        <f t="shared" si="1639"/>
        <v>319.35000000000002</v>
      </c>
      <c r="AL523" s="220">
        <f t="shared" si="1640"/>
        <v>312.7</v>
      </c>
      <c r="AM523" s="220">
        <f t="shared" si="1641"/>
        <v>0</v>
      </c>
      <c r="AN523" s="221">
        <f t="shared" si="1642"/>
        <v>312.7</v>
      </c>
      <c r="AO523" s="220">
        <f t="shared" si="1643"/>
        <v>0</v>
      </c>
      <c r="AP523" s="220">
        <f t="shared" si="1644"/>
        <v>0</v>
      </c>
      <c r="AQ523" s="220">
        <f t="shared" si="1645"/>
        <v>60</v>
      </c>
      <c r="AR523" s="220">
        <f t="shared" si="1646"/>
        <v>0</v>
      </c>
      <c r="AS523" s="220">
        <f t="shared" si="1647"/>
        <v>0</v>
      </c>
      <c r="AT523" s="216">
        <f t="shared" si="1648"/>
        <v>372.7</v>
      </c>
      <c r="AU523" s="222">
        <f t="shared" si="1661"/>
        <v>-6.6500000000000341</v>
      </c>
      <c r="AV523" s="220"/>
      <c r="AW523" s="220">
        <f t="shared" si="1530"/>
        <v>-6.6500000000000341</v>
      </c>
      <c r="AX523" s="216">
        <f t="shared" si="1636"/>
        <v>-6.6500000000000341</v>
      </c>
      <c r="AY523" s="220">
        <f t="shared" si="1537"/>
        <v>0</v>
      </c>
      <c r="AZ523" s="220">
        <f t="shared" si="1538"/>
        <v>0</v>
      </c>
      <c r="BA523" s="220">
        <f t="shared" si="1539"/>
        <v>53.349999999999966</v>
      </c>
      <c r="BB523" s="220">
        <f t="shared" si="1540"/>
        <v>0</v>
      </c>
      <c r="BC523" s="220">
        <f t="shared" si="1541"/>
        <v>0</v>
      </c>
      <c r="BD523" s="216">
        <f t="shared" si="1599"/>
        <v>53.349999999999966</v>
      </c>
      <c r="BE523" s="220">
        <f t="shared" si="1531"/>
        <v>0</v>
      </c>
      <c r="BF523" s="220">
        <f t="shared" si="1532"/>
        <v>0</v>
      </c>
      <c r="BG523" s="220">
        <f t="shared" si="1533"/>
        <v>-6.6500000000000341</v>
      </c>
      <c r="BH523" s="220">
        <f t="shared" si="1534"/>
        <v>0</v>
      </c>
      <c r="BI523" s="220">
        <f t="shared" si="1535"/>
        <v>0</v>
      </c>
      <c r="BJ523" s="220" t="s">
        <v>393</v>
      </c>
      <c r="BK523" s="220"/>
      <c r="BL523" s="223">
        <f t="shared" si="1609"/>
        <v>0</v>
      </c>
      <c r="BM523" s="220">
        <v>4.4000000000000004</v>
      </c>
      <c r="BN523" s="220"/>
      <c r="BO523" s="220">
        <f t="shared" si="1670"/>
        <v>4.4000000000000004</v>
      </c>
      <c r="BP523" s="220">
        <f>IF(AND(BL523&gt;0,BL523&lt;tiet!$D$1),BL523,IF(BL523&lt;=0,0,IF(BL523&gt;tiet!$C$1,tiet!$C$1)))</f>
        <v>0</v>
      </c>
      <c r="BQ523" s="87">
        <f t="shared" si="1552"/>
        <v>65000</v>
      </c>
      <c r="BR523" s="224">
        <f t="shared" si="1544"/>
        <v>0</v>
      </c>
      <c r="BS523" s="220">
        <f t="shared" ref="BS523:BS586" si="1686">BL523-BP523</f>
        <v>0</v>
      </c>
      <c r="BT523" s="224">
        <f>VLOOKUP(N523,ma_dinhmuc!$A$1:$J$31,10,0)</f>
        <v>55000</v>
      </c>
      <c r="BU523" s="224">
        <f>ROUND(IF(BS523&gt;0,VLOOKUP(N523,ma_dinhmuc!$A$1:$J$31,10,0)*BS523,0),0)</f>
        <v>0</v>
      </c>
      <c r="BV523" s="224">
        <f t="shared" si="1545"/>
        <v>0</v>
      </c>
      <c r="BW523" s="224"/>
      <c r="BX523" s="224">
        <v>0</v>
      </c>
      <c r="BY523" s="224"/>
      <c r="BZ523" s="224"/>
      <c r="CA523" s="224"/>
      <c r="CB523" s="224"/>
      <c r="CC523" s="225">
        <f t="shared" si="1595"/>
        <v>0</v>
      </c>
      <c r="CD523" s="224">
        <f t="shared" si="1596"/>
        <v>0</v>
      </c>
      <c r="CE523" s="224"/>
      <c r="CF523" s="226"/>
      <c r="CG523" s="87"/>
      <c r="CH523" s="87">
        <f>A523</f>
        <v>29</v>
      </c>
      <c r="CI523" s="227" t="str">
        <f t="shared" si="1671"/>
        <v>Hoàng Thị</v>
      </c>
      <c r="CJ523" s="227" t="str">
        <f t="shared" si="1672"/>
        <v>Hà</v>
      </c>
      <c r="CK523" s="87">
        <f t="shared" si="1673"/>
        <v>10</v>
      </c>
      <c r="CL523" s="227" t="str">
        <f>L523</f>
        <v>Công nghệ phần mềm</v>
      </c>
      <c r="CM523" s="87" t="str">
        <f t="shared" si="1536"/>
        <v>CS3</v>
      </c>
      <c r="CN523" s="87">
        <f>Q523</f>
        <v>270</v>
      </c>
      <c r="CO523" s="87">
        <f>R523</f>
        <v>120</v>
      </c>
      <c r="CP523" s="229">
        <f t="shared" si="1483"/>
        <v>0</v>
      </c>
      <c r="CQ523" s="229">
        <f t="shared" si="1484"/>
        <v>28.7</v>
      </c>
      <c r="CR523" s="229">
        <f t="shared" si="1485"/>
        <v>11.6</v>
      </c>
      <c r="CS523" s="229">
        <f t="shared" si="1486"/>
        <v>32.4</v>
      </c>
      <c r="CT523" s="229">
        <f t="shared" si="1487"/>
        <v>0</v>
      </c>
      <c r="CU523" s="229">
        <f t="shared" si="1488"/>
        <v>171</v>
      </c>
      <c r="CV523" s="229">
        <f t="shared" si="1489"/>
        <v>0</v>
      </c>
      <c r="CW523" s="229">
        <f t="shared" si="1490"/>
        <v>69</v>
      </c>
      <c r="CX523" s="229">
        <f t="shared" si="1491"/>
        <v>0</v>
      </c>
      <c r="CY523" s="229">
        <f t="shared" si="1492"/>
        <v>0</v>
      </c>
      <c r="CZ523" s="229">
        <f t="shared" si="1493"/>
        <v>0</v>
      </c>
      <c r="DA523" s="229">
        <f t="shared" si="1494"/>
        <v>60</v>
      </c>
      <c r="DB523" s="228">
        <f t="shared" si="1650"/>
        <v>372.7</v>
      </c>
      <c r="DC523" s="229"/>
      <c r="DD523" s="229"/>
      <c r="DE523" s="229"/>
      <c r="DF523" s="229"/>
      <c r="DG523" s="229"/>
      <c r="DH523" s="229"/>
      <c r="DI523" s="229"/>
      <c r="DJ523" s="229"/>
      <c r="DK523" s="229"/>
      <c r="DL523" s="229"/>
      <c r="DM523" s="229"/>
      <c r="DN523" s="229"/>
      <c r="DO523" s="228">
        <f t="shared" si="1651"/>
        <v>0</v>
      </c>
      <c r="DP523" s="228">
        <f t="shared" si="1652"/>
        <v>372.7</v>
      </c>
      <c r="DQ523" s="229">
        <f t="shared" si="1495"/>
        <v>0</v>
      </c>
      <c r="DR523" s="229">
        <f t="shared" si="1496"/>
        <v>0</v>
      </c>
      <c r="DS523" s="229">
        <f t="shared" si="1497"/>
        <v>0</v>
      </c>
      <c r="DT523" s="229">
        <f t="shared" si="1498"/>
        <v>0</v>
      </c>
      <c r="DU523" s="229">
        <f t="shared" si="1499"/>
        <v>0</v>
      </c>
      <c r="DV523" s="229">
        <f t="shared" si="1500"/>
        <v>0</v>
      </c>
      <c r="DW523" s="229">
        <f t="shared" si="1501"/>
        <v>0</v>
      </c>
      <c r="DX523" s="228">
        <f t="shared" si="1653"/>
        <v>0</v>
      </c>
      <c r="DY523" s="229"/>
      <c r="DZ523" s="229"/>
      <c r="EA523" s="229"/>
      <c r="EB523" s="229"/>
      <c r="EC523" s="229"/>
      <c r="ED523" s="229"/>
      <c r="EE523" s="229"/>
      <c r="EF523" s="228">
        <f t="shared" si="1480"/>
        <v>0</v>
      </c>
      <c r="EG523" s="228">
        <f t="shared" si="1654"/>
        <v>0</v>
      </c>
      <c r="EH523" s="229">
        <f t="shared" si="1481"/>
        <v>30</v>
      </c>
      <c r="EI523" s="229">
        <v>0.15000000000000568</v>
      </c>
      <c r="EJ523" s="228">
        <f t="shared" si="1620"/>
        <v>30.150000000000006</v>
      </c>
      <c r="EK523" s="229"/>
      <c r="EL523" s="229"/>
      <c r="EM523" s="228">
        <f t="shared" si="1657"/>
        <v>0</v>
      </c>
      <c r="EN523" s="229">
        <f t="shared" si="1591"/>
        <v>30</v>
      </c>
      <c r="EO523" s="229">
        <f t="shared" si="1610"/>
        <v>0.15000000000000568</v>
      </c>
      <c r="EP523" s="228">
        <f t="shared" si="1658"/>
        <v>30.150000000000006</v>
      </c>
      <c r="EQ523" s="173">
        <f t="shared" ref="EQ523:EQ586" si="1687">IF(EN523&gt;Z523,EN523-Z523,0)</f>
        <v>0</v>
      </c>
      <c r="ER523" s="189">
        <v>0</v>
      </c>
      <c r="ES523" s="189">
        <v>28.7</v>
      </c>
      <c r="ET523" s="189">
        <v>11.6</v>
      </c>
      <c r="EU523" s="189">
        <v>32.4</v>
      </c>
      <c r="EV523" s="189">
        <v>0</v>
      </c>
      <c r="EW523" s="189">
        <v>171</v>
      </c>
      <c r="EX523" s="189">
        <v>0</v>
      </c>
      <c r="EY523" s="189">
        <v>69</v>
      </c>
      <c r="EZ523" s="189">
        <v>0</v>
      </c>
      <c r="FA523" s="189">
        <v>0</v>
      </c>
      <c r="FB523" s="189">
        <v>0</v>
      </c>
      <c r="FC523" s="189">
        <v>60</v>
      </c>
      <c r="FD523" s="189">
        <v>0</v>
      </c>
      <c r="FE523" s="189">
        <v>0</v>
      </c>
      <c r="FF523" s="189">
        <v>0</v>
      </c>
      <c r="FG523" s="189">
        <v>0</v>
      </c>
      <c r="FH523" s="189">
        <v>0</v>
      </c>
      <c r="FI523" s="189">
        <v>0</v>
      </c>
      <c r="FJ523" s="189">
        <v>0</v>
      </c>
      <c r="FK523" s="189">
        <v>372.7</v>
      </c>
      <c r="FL523" s="189">
        <v>314.39999999999998</v>
      </c>
      <c r="FN523" s="132">
        <v>30</v>
      </c>
    </row>
    <row r="524" spans="1:170" ht="30" customHeight="1">
      <c r="A524" s="88">
        <f>COUNTIF($H$12:H524,H524)</f>
        <v>30</v>
      </c>
      <c r="B524" s="88" t="s">
        <v>1257</v>
      </c>
      <c r="C524" s="88" t="s">
        <v>2093</v>
      </c>
      <c r="D524" s="88"/>
      <c r="E524" s="88"/>
      <c r="F524" s="301" t="s">
        <v>3035</v>
      </c>
      <c r="G524" s="89" t="s">
        <v>1909</v>
      </c>
      <c r="H524" s="88">
        <v>10</v>
      </c>
      <c r="I524" s="88">
        <v>10</v>
      </c>
      <c r="J524" s="88">
        <v>10</v>
      </c>
      <c r="K524" s="90" t="s">
        <v>1111</v>
      </c>
      <c r="L524" s="90" t="s">
        <v>1111</v>
      </c>
      <c r="M524" s="214"/>
      <c r="N524" s="88" t="s">
        <v>1804</v>
      </c>
      <c r="O524" s="216">
        <f t="shared" si="1656"/>
        <v>3</v>
      </c>
      <c r="P524" s="88" t="str">
        <f t="shared" si="1678"/>
        <v>B1_3</v>
      </c>
      <c r="Q524" s="88">
        <f t="shared" si="1567"/>
        <v>270</v>
      </c>
      <c r="R524" s="88">
        <f t="shared" si="1568"/>
        <v>100</v>
      </c>
      <c r="S524" s="218"/>
      <c r="T524" s="88" t="s">
        <v>3088</v>
      </c>
      <c r="U524" s="88">
        <f>IF(RIGHT(T524,1)="K",(VLOOKUP(T524,ma_miengiam!$A$3:$B$80,2,0)*100)/2,VLOOKUP(T524,ma_miengiam!$A$3:$B$80,2,0)*100)</f>
        <v>0</v>
      </c>
      <c r="V524" s="88"/>
      <c r="W524" s="220">
        <f>IF(AND(T524="NTS",V524&gt;0),(Q524-(Q524*V524)/12)*VLOOKUP(T524,ma_miengiam!$A$3:$B$80,2,0)+(Q524-(Q524*(12-V524))/12),IF(AND(RIGHT(T524,1)="K",V524&gt;0),(VLOOKUP(T524,ma_miengiam!$A$3:$B$80,2,0)/2)*(Q524*V524)/12,IF(RIGHT(T524,1)="K",(VLOOKUP(T524,ma_miengiam!$A$3:$B$80,2,0)*Q524)/2,IF(V524&gt;0,VLOOKUP(T524,ma_miengiam!$A$3:$B$80,2,0)*Q524*V524/12,VLOOKUP(T524,ma_miengiam!$A$3:$B$80,2,0)*Q524))))</f>
        <v>0</v>
      </c>
      <c r="X524" s="220">
        <f>IF(T524="NTS",VLOOKUP(T524,ma_miengiam!$A$3:$B$80,2,0)*R524*V524,IF(AND(T524="NTS",V524=0),0,IF(AND(LEFT(T524,1)="K",V524=0),VLOOKUP(T524,ma_miengiam!$A$3:$B$80,2,0)*R524,IF(LEFT(T524,1)="K",(VLOOKUP(T524,ma_miengiam!$A$3:$B$80,2,0)*R524/12)*V524,IF(AND(LEFT(T524,1)="S",V524&gt;0),(R524/12)*V524,IF(AND(LEFT(T524,1)="S",V524=0),R524,IF(T524="DH",VLOOKUP(T524,ma_miengiam!$A$3:$B$80,2,0)*R524,0)))))))</f>
        <v>0</v>
      </c>
      <c r="Y524" s="220">
        <f t="shared" si="1521"/>
        <v>270</v>
      </c>
      <c r="Z524" s="220">
        <f t="shared" si="1569"/>
        <v>100</v>
      </c>
      <c r="AA524" s="220">
        <f t="shared" si="1684"/>
        <v>270</v>
      </c>
      <c r="AB524" s="220">
        <f t="shared" si="1684"/>
        <v>100</v>
      </c>
      <c r="AC524" s="220">
        <f t="shared" si="1685"/>
        <v>0</v>
      </c>
      <c r="AD524" s="220">
        <f t="shared" si="1685"/>
        <v>0</v>
      </c>
      <c r="AE524" s="220">
        <f t="shared" si="1685"/>
        <v>270</v>
      </c>
      <c r="AF524" s="220">
        <f t="shared" si="1685"/>
        <v>100</v>
      </c>
      <c r="AG524" s="220">
        <f t="shared" si="1681"/>
        <v>60.129999999999995</v>
      </c>
      <c r="AH524" s="220">
        <f t="shared" si="1682"/>
        <v>0.12999999999999545</v>
      </c>
      <c r="AI524" s="220">
        <f t="shared" si="1683"/>
        <v>60</v>
      </c>
      <c r="AJ524" s="220">
        <f t="shared" si="1551"/>
        <v>-39.870000000000005</v>
      </c>
      <c r="AK524" s="216">
        <f t="shared" si="1639"/>
        <v>309.87</v>
      </c>
      <c r="AL524" s="220">
        <f t="shared" si="1640"/>
        <v>349.1</v>
      </c>
      <c r="AM524" s="220">
        <f t="shared" si="1641"/>
        <v>0</v>
      </c>
      <c r="AN524" s="221">
        <f t="shared" si="1642"/>
        <v>349.1</v>
      </c>
      <c r="AO524" s="220">
        <f t="shared" si="1643"/>
        <v>0</v>
      </c>
      <c r="AP524" s="220">
        <f t="shared" si="1644"/>
        <v>0</v>
      </c>
      <c r="AQ524" s="220">
        <f t="shared" si="1645"/>
        <v>40</v>
      </c>
      <c r="AR524" s="220">
        <f t="shared" si="1646"/>
        <v>0</v>
      </c>
      <c r="AS524" s="220">
        <f t="shared" si="1647"/>
        <v>0</v>
      </c>
      <c r="AT524" s="216">
        <f t="shared" si="1648"/>
        <v>389.1</v>
      </c>
      <c r="AU524" s="222">
        <f t="shared" si="1661"/>
        <v>39.230000000000018</v>
      </c>
      <c r="AV524" s="220"/>
      <c r="AW524" s="220">
        <f t="shared" ref="AW524:AW568" si="1688">IF(AU524&gt;0,AU524,AV524+AU524)</f>
        <v>39.230000000000018</v>
      </c>
      <c r="AX524" s="216">
        <f t="shared" si="1636"/>
        <v>0</v>
      </c>
      <c r="AY524" s="220">
        <f t="shared" si="1537"/>
        <v>0</v>
      </c>
      <c r="AZ524" s="220">
        <f t="shared" si="1538"/>
        <v>0</v>
      </c>
      <c r="BA524" s="220">
        <f t="shared" si="1539"/>
        <v>40</v>
      </c>
      <c r="BB524" s="220">
        <f t="shared" si="1540"/>
        <v>0</v>
      </c>
      <c r="BC524" s="220">
        <f t="shared" si="1541"/>
        <v>0</v>
      </c>
      <c r="BD524" s="216">
        <f t="shared" si="1599"/>
        <v>40</v>
      </c>
      <c r="BE524" s="220">
        <f t="shared" ref="BE524:BE568" si="1689">AY524-AO524</f>
        <v>0</v>
      </c>
      <c r="BF524" s="220">
        <f t="shared" ref="BF524:BF568" si="1690">AZ524-AP524</f>
        <v>0</v>
      </c>
      <c r="BG524" s="220">
        <f t="shared" ref="BG524:BG568" si="1691">BA524-AQ524</f>
        <v>0</v>
      </c>
      <c r="BH524" s="220">
        <f t="shared" ref="BH524:BH568" si="1692">BB524-AR524</f>
        <v>0</v>
      </c>
      <c r="BI524" s="220">
        <f t="shared" ref="BI524:BI568" si="1693">BC524-AS524</f>
        <v>0</v>
      </c>
      <c r="BJ524" s="220" t="s">
        <v>393</v>
      </c>
      <c r="BK524" s="220"/>
      <c r="BL524" s="223">
        <f t="shared" si="1609"/>
        <v>39.230000000000018</v>
      </c>
      <c r="BM524" s="220">
        <v>3</v>
      </c>
      <c r="BN524" s="220"/>
      <c r="BO524" s="220">
        <f t="shared" si="1670"/>
        <v>3</v>
      </c>
      <c r="BP524" s="220">
        <f>IF(AND(BL524&gt;0,BL524&lt;tiet!$D$1),BL524,IF(BL524&lt;=0,0,IF(BL524&gt;tiet!$C$1,tiet!$C$1)))</f>
        <v>39.230000000000018</v>
      </c>
      <c r="BQ524" s="87">
        <f t="shared" si="1552"/>
        <v>60000</v>
      </c>
      <c r="BR524" s="224">
        <f t="shared" si="1544"/>
        <v>2353800</v>
      </c>
      <c r="BS524" s="220">
        <f t="shared" si="1686"/>
        <v>0</v>
      </c>
      <c r="BT524" s="224">
        <f>VLOOKUP(N524,ma_dinhmuc!$A$1:$J$31,10,0)</f>
        <v>51000</v>
      </c>
      <c r="BU524" s="224">
        <f>ROUND(IF(BS524&gt;0,VLOOKUP(N524,ma_dinhmuc!$A$1:$J$31,10,0)*BS524,0),0)</f>
        <v>0</v>
      </c>
      <c r="BV524" s="224">
        <f t="shared" si="1545"/>
        <v>2353800</v>
      </c>
      <c r="BW524" s="224"/>
      <c r="BX524" s="224">
        <v>0</v>
      </c>
      <c r="BY524" s="224"/>
      <c r="BZ524" s="224"/>
      <c r="CA524" s="224"/>
      <c r="CB524" s="224"/>
      <c r="CC524" s="225">
        <f t="shared" si="1595"/>
        <v>2353800</v>
      </c>
      <c r="CD524" s="224">
        <f t="shared" si="1596"/>
        <v>0</v>
      </c>
      <c r="CE524" s="224"/>
      <c r="CF524" s="226"/>
      <c r="CG524" s="87"/>
      <c r="CH524" s="87">
        <f t="shared" si="1677"/>
        <v>30</v>
      </c>
      <c r="CI524" s="227" t="str">
        <f t="shared" si="1671"/>
        <v>Trần Trung</v>
      </c>
      <c r="CJ524" s="227" t="str">
        <f t="shared" si="1672"/>
        <v>Hiếu</v>
      </c>
      <c r="CK524" s="87">
        <f t="shared" si="1673"/>
        <v>10</v>
      </c>
      <c r="CL524" s="227" t="str">
        <f t="shared" si="1662"/>
        <v>Công nghệ phần mềm</v>
      </c>
      <c r="CM524" s="87" t="str">
        <f t="shared" ref="CM524:CM568" si="1694">N524</f>
        <v>CS2</v>
      </c>
      <c r="CN524" s="87">
        <f t="shared" ref="CN524:CO526" si="1695">Q524</f>
        <v>270</v>
      </c>
      <c r="CO524" s="87">
        <f t="shared" si="1695"/>
        <v>100</v>
      </c>
      <c r="CP524" s="229">
        <f t="shared" si="1483"/>
        <v>0</v>
      </c>
      <c r="CQ524" s="229">
        <f t="shared" si="1484"/>
        <v>31.8</v>
      </c>
      <c r="CR524" s="229">
        <f t="shared" si="1485"/>
        <v>12.9</v>
      </c>
      <c r="CS524" s="229">
        <f t="shared" si="1486"/>
        <v>10.8</v>
      </c>
      <c r="CT524" s="229">
        <f t="shared" si="1487"/>
        <v>0</v>
      </c>
      <c r="CU524" s="229">
        <f t="shared" si="1488"/>
        <v>188.1</v>
      </c>
      <c r="CV524" s="229">
        <f t="shared" si="1489"/>
        <v>0</v>
      </c>
      <c r="CW524" s="229">
        <f t="shared" si="1490"/>
        <v>105.5</v>
      </c>
      <c r="CX524" s="229">
        <f t="shared" si="1491"/>
        <v>0</v>
      </c>
      <c r="CY524" s="229">
        <f t="shared" si="1492"/>
        <v>0</v>
      </c>
      <c r="CZ524" s="229">
        <f t="shared" si="1493"/>
        <v>0</v>
      </c>
      <c r="DA524" s="229">
        <f t="shared" si="1494"/>
        <v>40</v>
      </c>
      <c r="DB524" s="228">
        <f t="shared" si="1650"/>
        <v>389.1</v>
      </c>
      <c r="DC524" s="229"/>
      <c r="DD524" s="229"/>
      <c r="DE524" s="229"/>
      <c r="DF524" s="229"/>
      <c r="DG524" s="229"/>
      <c r="DH524" s="229"/>
      <c r="DI524" s="229"/>
      <c r="DJ524" s="229"/>
      <c r="DK524" s="229"/>
      <c r="DL524" s="229"/>
      <c r="DM524" s="229"/>
      <c r="DN524" s="229"/>
      <c r="DO524" s="228">
        <f t="shared" si="1651"/>
        <v>0</v>
      </c>
      <c r="DP524" s="228">
        <f t="shared" si="1652"/>
        <v>389.1</v>
      </c>
      <c r="DQ524" s="229">
        <f t="shared" si="1495"/>
        <v>0</v>
      </c>
      <c r="DR524" s="229">
        <f t="shared" si="1496"/>
        <v>0</v>
      </c>
      <c r="DS524" s="229">
        <f t="shared" si="1497"/>
        <v>0</v>
      </c>
      <c r="DT524" s="229">
        <f t="shared" si="1498"/>
        <v>0</v>
      </c>
      <c r="DU524" s="229">
        <f t="shared" si="1499"/>
        <v>0</v>
      </c>
      <c r="DV524" s="229">
        <f t="shared" si="1500"/>
        <v>0</v>
      </c>
      <c r="DW524" s="229">
        <f t="shared" si="1501"/>
        <v>0</v>
      </c>
      <c r="DX524" s="228">
        <f t="shared" si="1653"/>
        <v>0</v>
      </c>
      <c r="DY524" s="229"/>
      <c r="DZ524" s="229"/>
      <c r="EA524" s="229"/>
      <c r="EB524" s="229"/>
      <c r="EC524" s="229"/>
      <c r="ED524" s="229"/>
      <c r="EE524" s="229"/>
      <c r="EF524" s="228">
        <f t="shared" ref="EF524:EF587" si="1696">SUM(DY524:EE524)</f>
        <v>0</v>
      </c>
      <c r="EG524" s="228">
        <f t="shared" si="1654"/>
        <v>0</v>
      </c>
      <c r="EH524" s="229">
        <f t="shared" ref="EH524:EH587" si="1697">FN524</f>
        <v>60</v>
      </c>
      <c r="EI524" s="229">
        <v>0.12999999999999545</v>
      </c>
      <c r="EJ524" s="228">
        <f t="shared" si="1620"/>
        <v>60.129999999999995</v>
      </c>
      <c r="EK524" s="229"/>
      <c r="EL524" s="229"/>
      <c r="EM524" s="228">
        <f t="shared" si="1657"/>
        <v>0</v>
      </c>
      <c r="EN524" s="229">
        <f t="shared" si="1591"/>
        <v>60</v>
      </c>
      <c r="EO524" s="229">
        <f t="shared" si="1610"/>
        <v>0.12999999999999545</v>
      </c>
      <c r="EP524" s="228">
        <f t="shared" si="1658"/>
        <v>60.129999999999995</v>
      </c>
      <c r="EQ524" s="173">
        <f t="shared" si="1687"/>
        <v>0</v>
      </c>
      <c r="ER524" s="189">
        <v>0</v>
      </c>
      <c r="ES524" s="189">
        <v>31.8</v>
      </c>
      <c r="ET524" s="189">
        <v>12.9</v>
      </c>
      <c r="EU524" s="189">
        <v>10.8</v>
      </c>
      <c r="EV524" s="189">
        <v>0</v>
      </c>
      <c r="EW524" s="189">
        <v>188.1</v>
      </c>
      <c r="EX524" s="189">
        <v>0</v>
      </c>
      <c r="EY524" s="189">
        <v>105.5</v>
      </c>
      <c r="EZ524" s="189">
        <v>0</v>
      </c>
      <c r="FA524" s="189">
        <v>0</v>
      </c>
      <c r="FB524" s="189">
        <v>0</v>
      </c>
      <c r="FC524" s="189">
        <v>40</v>
      </c>
      <c r="FD524" s="189">
        <v>0</v>
      </c>
      <c r="FE524" s="189">
        <v>0</v>
      </c>
      <c r="FF524" s="189">
        <v>0</v>
      </c>
      <c r="FG524" s="189">
        <v>0</v>
      </c>
      <c r="FH524" s="189">
        <v>0</v>
      </c>
      <c r="FI524" s="189">
        <v>0</v>
      </c>
      <c r="FJ524" s="189">
        <v>0</v>
      </c>
      <c r="FK524" s="189">
        <v>389.1</v>
      </c>
      <c r="FL524" s="189">
        <v>340.8</v>
      </c>
      <c r="FN524" s="132">
        <v>60</v>
      </c>
    </row>
    <row r="525" spans="1:170" ht="30" customHeight="1">
      <c r="A525" s="88">
        <f>COUNTIF($H$12:H525,H525)</f>
        <v>31</v>
      </c>
      <c r="B525" s="88" t="s">
        <v>1258</v>
      </c>
      <c r="C525" s="88" t="s">
        <v>2094</v>
      </c>
      <c r="D525" s="88"/>
      <c r="E525" s="88"/>
      <c r="F525" s="301" t="s">
        <v>54</v>
      </c>
      <c r="G525" s="89" t="s">
        <v>3040</v>
      </c>
      <c r="H525" s="88">
        <v>10</v>
      </c>
      <c r="I525" s="88">
        <v>10</v>
      </c>
      <c r="J525" s="88">
        <v>10</v>
      </c>
      <c r="K525" s="90" t="s">
        <v>1111</v>
      </c>
      <c r="L525" s="90" t="s">
        <v>1111</v>
      </c>
      <c r="M525" s="214"/>
      <c r="N525" s="88" t="s">
        <v>1804</v>
      </c>
      <c r="O525" s="216">
        <f t="shared" si="1656"/>
        <v>3.33</v>
      </c>
      <c r="P525" s="88" t="str">
        <f t="shared" si="1678"/>
        <v>B1_4</v>
      </c>
      <c r="Q525" s="88">
        <f t="shared" si="1567"/>
        <v>270</v>
      </c>
      <c r="R525" s="88">
        <f t="shared" si="1568"/>
        <v>120</v>
      </c>
      <c r="S525" s="218" t="s">
        <v>3114</v>
      </c>
      <c r="T525" s="88" t="s">
        <v>2961</v>
      </c>
      <c r="U525" s="88">
        <f>IF(RIGHT(T525,1)="K",(VLOOKUP(T525,ma_miengiam!$A$3:$B$80,2,0)*100)/2,VLOOKUP(T525,ma_miengiam!$A$3:$B$80,2,0)*100)</f>
        <v>100</v>
      </c>
      <c r="V525" s="88"/>
      <c r="W525" s="220">
        <f>IF(AND(T525="NTS",V525&gt;0),(Q525-(Q525*V525)/12)*VLOOKUP(T525,ma_miengiam!$A$3:$B$80,2,0)+(Q525-(Q525*(12-V525))/12),IF(AND(RIGHT(T525,1)="K",V525&gt;0),(VLOOKUP(T525,ma_miengiam!$A$3:$B$80,2,0)/2)*(Q525*V525)/12,IF(RIGHT(T525,1)="K",(VLOOKUP(T525,ma_miengiam!$A$3:$B$80,2,0)*Q525)/2,IF(V525&gt;0,VLOOKUP(T525,ma_miengiam!$A$3:$B$80,2,0)*Q525*V525/12,VLOOKUP(T525,ma_miengiam!$A$3:$B$80,2,0)*Q525))))</f>
        <v>270</v>
      </c>
      <c r="X525" s="220">
        <f>IF(T525="NTS",VLOOKUP(T525,ma_miengiam!$A$3:$B$80,2,0)*R525*V525,IF(AND(T525="NTS",V525=0),0,IF(AND(LEFT(T525,1)="K",V525=0),VLOOKUP(T525,ma_miengiam!$A$3:$B$80,2,0)*R525,IF(LEFT(T525,1)="K",(VLOOKUP(T525,ma_miengiam!$A$3:$B$80,2,0)*R525/12)*V525,IF(AND(LEFT(T525,1)="S",V525&gt;0),(R525/12)*V525,IF(AND(LEFT(T525,1)="S",V525=0),R525,IF(T525="DH",VLOOKUP(T525,ma_miengiam!$A$3:$B$80,2,0)*R525,0)))))))</f>
        <v>120</v>
      </c>
      <c r="Y525" s="220">
        <f t="shared" si="1521"/>
        <v>0</v>
      </c>
      <c r="Z525" s="220">
        <f t="shared" si="1569"/>
        <v>0</v>
      </c>
      <c r="AA525" s="220">
        <f t="shared" si="1684"/>
        <v>270</v>
      </c>
      <c r="AB525" s="220">
        <f t="shared" si="1684"/>
        <v>120</v>
      </c>
      <c r="AC525" s="220">
        <f t="shared" si="1685"/>
        <v>270</v>
      </c>
      <c r="AD525" s="220">
        <f t="shared" si="1685"/>
        <v>120</v>
      </c>
      <c r="AE525" s="220">
        <f t="shared" si="1685"/>
        <v>0</v>
      </c>
      <c r="AF525" s="220">
        <f t="shared" si="1685"/>
        <v>0</v>
      </c>
      <c r="AG525" s="220">
        <f t="shared" si="1681"/>
        <v>0</v>
      </c>
      <c r="AH525" s="220">
        <f t="shared" si="1682"/>
        <v>0</v>
      </c>
      <c r="AI525" s="220">
        <f t="shared" si="1683"/>
        <v>0</v>
      </c>
      <c r="AJ525" s="220">
        <f t="shared" si="1551"/>
        <v>0</v>
      </c>
      <c r="AK525" s="216">
        <f t="shared" si="1639"/>
        <v>0</v>
      </c>
      <c r="AL525" s="220">
        <f t="shared" si="1640"/>
        <v>0</v>
      </c>
      <c r="AM525" s="220">
        <f t="shared" si="1641"/>
        <v>0</v>
      </c>
      <c r="AN525" s="221">
        <f t="shared" si="1642"/>
        <v>0</v>
      </c>
      <c r="AO525" s="220">
        <f t="shared" si="1643"/>
        <v>0</v>
      </c>
      <c r="AP525" s="220">
        <f t="shared" si="1644"/>
        <v>0</v>
      </c>
      <c r="AQ525" s="220">
        <f t="shared" si="1645"/>
        <v>0</v>
      </c>
      <c r="AR525" s="220">
        <f t="shared" si="1646"/>
        <v>0</v>
      </c>
      <c r="AS525" s="220">
        <f t="shared" si="1647"/>
        <v>0</v>
      </c>
      <c r="AT525" s="216">
        <f t="shared" si="1648"/>
        <v>0</v>
      </c>
      <c r="AU525" s="222">
        <f t="shared" si="1661"/>
        <v>0</v>
      </c>
      <c r="AV525" s="220"/>
      <c r="AW525" s="220">
        <f t="shared" si="1688"/>
        <v>0</v>
      </c>
      <c r="AX525" s="216">
        <f t="shared" si="1636"/>
        <v>0</v>
      </c>
      <c r="AY525" s="220">
        <f t="shared" ref="AY525:AY569" si="1698">IF(AN525&gt;=AK525,AO525,IF(AN525+AO525-AK525&gt;=0,AN525+AO525-AK525,0))</f>
        <v>0</v>
      </c>
      <c r="AZ525" s="220">
        <f t="shared" ref="AZ525:AZ569" si="1699">IF(OR(AN525&gt;=AK525,AN525+AO525&gt;=AK525),AP525,IF(AN525+AO525+AP525&gt;AK525,AN525+AO525+AP525-AK525,0))</f>
        <v>0</v>
      </c>
      <c r="BA525" s="220">
        <f t="shared" ref="BA525:BA569" si="1700">IF(OR(AN525&gt;=AK525,AN525+AO525&gt;=AK525,AN525+AO525+AP525&gt;=AK525),AQ525,IF(AN525+AO525+AP525+AQ525&gt;=AK525,AN525+AO525+AP525+AQ525-AK525,0))</f>
        <v>0</v>
      </c>
      <c r="BB525" s="220">
        <f t="shared" ref="BB525:BB569" si="1701">IF(OR(AN525&gt;=AK525,AN525+AO525&gt;=AK525,AN525+AO525+AP525&gt;=AK525,AN525+AO525+AP525+AQ525&gt;=AK525),AR525,IF(AN525+AO525+AP525+AQ525+AR525&gt;=AK525,AN525+AO525+AP525+AQ525+AR525-AK525,0))</f>
        <v>0</v>
      </c>
      <c r="BC525" s="220">
        <f t="shared" ref="BC525:BC569" si="1702">IF(OR(AN525&gt;=AK525,AN525+AO525&gt;=AK525,AN525+AO525+AP525&gt;=AK525,AN525+AO525+AP525+AQ525&gt;=AK525,AN525+AO525+AP525+AQ525+AR525&gt;=AK525),AS525,IF(AN525+AO525+AP525+AQ525+AR525+AS525&gt;=AK525,AN525+AO525+AP525+AQ525+AR525+AS525-AK525,0))</f>
        <v>0</v>
      </c>
      <c r="BD525" s="216">
        <f t="shared" si="1599"/>
        <v>0</v>
      </c>
      <c r="BE525" s="220">
        <f t="shared" si="1689"/>
        <v>0</v>
      </c>
      <c r="BF525" s="220">
        <f t="shared" si="1690"/>
        <v>0</v>
      </c>
      <c r="BG525" s="220">
        <f t="shared" si="1691"/>
        <v>0</v>
      </c>
      <c r="BH525" s="220">
        <f t="shared" si="1692"/>
        <v>0</v>
      </c>
      <c r="BI525" s="220">
        <f t="shared" si="1693"/>
        <v>0</v>
      </c>
      <c r="BJ525" s="220" t="s">
        <v>393</v>
      </c>
      <c r="BK525" s="220"/>
      <c r="BL525" s="223">
        <f t="shared" si="1609"/>
        <v>0</v>
      </c>
      <c r="BM525" s="220">
        <v>3.33</v>
      </c>
      <c r="BN525" s="220"/>
      <c r="BO525" s="220">
        <f t="shared" si="1670"/>
        <v>3.33</v>
      </c>
      <c r="BP525" s="220">
        <f>IF(AND(BL525&gt;0,BL525&lt;tiet!$D$1),BL525,IF(BL525&lt;=0,0,IF(BL525&gt;tiet!$C$1,tiet!$C$1)))</f>
        <v>0</v>
      </c>
      <c r="BQ525" s="87">
        <f t="shared" si="1552"/>
        <v>65000</v>
      </c>
      <c r="BR525" s="224">
        <f t="shared" si="1544"/>
        <v>0</v>
      </c>
      <c r="BS525" s="220">
        <f t="shared" si="1686"/>
        <v>0</v>
      </c>
      <c r="BT525" s="224">
        <f>VLOOKUP(N525,ma_dinhmuc!$A$1:$J$31,10,0)</f>
        <v>51000</v>
      </c>
      <c r="BU525" s="224">
        <f>ROUND(IF(BS525&gt;0,VLOOKUP(N525,ma_dinhmuc!$A$1:$J$31,10,0)*BS525,0),0)</f>
        <v>0</v>
      </c>
      <c r="BV525" s="224">
        <f t="shared" si="1545"/>
        <v>0</v>
      </c>
      <c r="BW525" s="224"/>
      <c r="BX525" s="224">
        <v>0</v>
      </c>
      <c r="BY525" s="224"/>
      <c r="BZ525" s="224"/>
      <c r="CA525" s="224"/>
      <c r="CB525" s="224"/>
      <c r="CC525" s="225">
        <f t="shared" si="1595"/>
        <v>0</v>
      </c>
      <c r="CD525" s="224">
        <f t="shared" si="1596"/>
        <v>0</v>
      </c>
      <c r="CE525" s="224"/>
      <c r="CF525" s="226"/>
      <c r="CG525" s="87"/>
      <c r="CH525" s="87">
        <f t="shared" si="1677"/>
        <v>31</v>
      </c>
      <c r="CI525" s="227" t="str">
        <f t="shared" si="1671"/>
        <v>Nguyễn Doãn</v>
      </c>
      <c r="CJ525" s="227" t="str">
        <f t="shared" si="1672"/>
        <v>Đông</v>
      </c>
      <c r="CK525" s="87">
        <f t="shared" si="1673"/>
        <v>10</v>
      </c>
      <c r="CL525" s="227" t="str">
        <f t="shared" si="1662"/>
        <v>Công nghệ phần mềm</v>
      </c>
      <c r="CM525" s="87" t="str">
        <f t="shared" si="1694"/>
        <v>CS2</v>
      </c>
      <c r="CN525" s="87">
        <f t="shared" si="1695"/>
        <v>270</v>
      </c>
      <c r="CO525" s="87">
        <f t="shared" si="1695"/>
        <v>120</v>
      </c>
      <c r="CP525" s="229">
        <f t="shared" ref="CP525:CP588" si="1703">ER525</f>
        <v>0</v>
      </c>
      <c r="CQ525" s="229">
        <f t="shared" ref="CQ525:CQ588" si="1704">ES525</f>
        <v>0</v>
      </c>
      <c r="CR525" s="229">
        <f t="shared" ref="CR525:CR588" si="1705">ET525</f>
        <v>0</v>
      </c>
      <c r="CS525" s="229">
        <f t="shared" ref="CS525:CS588" si="1706">EU525</f>
        <v>0</v>
      </c>
      <c r="CT525" s="229">
        <f t="shared" ref="CT525:CT588" si="1707">EV525</f>
        <v>0</v>
      </c>
      <c r="CU525" s="229">
        <f t="shared" ref="CU525:CU588" si="1708">EW525</f>
        <v>0</v>
      </c>
      <c r="CV525" s="229">
        <f t="shared" ref="CV525:CV588" si="1709">EX525</f>
        <v>0</v>
      </c>
      <c r="CW525" s="229">
        <f t="shared" ref="CW525:CW588" si="1710">EY525</f>
        <v>0</v>
      </c>
      <c r="CX525" s="229">
        <f t="shared" ref="CX525:CX588" si="1711">EZ525</f>
        <v>0</v>
      </c>
      <c r="CY525" s="229">
        <f t="shared" ref="CY525:CY588" si="1712">FA525</f>
        <v>0</v>
      </c>
      <c r="CZ525" s="229">
        <f t="shared" ref="CZ525:CZ588" si="1713">FB525</f>
        <v>0</v>
      </c>
      <c r="DA525" s="229">
        <f t="shared" ref="DA525:DA588" si="1714">FC525</f>
        <v>0</v>
      </c>
      <c r="DB525" s="228">
        <f t="shared" si="1650"/>
        <v>0</v>
      </c>
      <c r="DC525" s="229"/>
      <c r="DD525" s="229"/>
      <c r="DE525" s="229"/>
      <c r="DF525" s="229"/>
      <c r="DG525" s="229"/>
      <c r="DH525" s="229"/>
      <c r="DI525" s="229"/>
      <c r="DJ525" s="229"/>
      <c r="DK525" s="229"/>
      <c r="DL525" s="229"/>
      <c r="DM525" s="229"/>
      <c r="DN525" s="229"/>
      <c r="DO525" s="228">
        <f t="shared" si="1651"/>
        <v>0</v>
      </c>
      <c r="DP525" s="228">
        <f t="shared" si="1652"/>
        <v>0</v>
      </c>
      <c r="DQ525" s="229">
        <f t="shared" ref="DQ525:DQ588" si="1715">FD525</f>
        <v>0</v>
      </c>
      <c r="DR525" s="229">
        <f t="shared" ref="DR525:DR588" si="1716">FE525</f>
        <v>0</v>
      </c>
      <c r="DS525" s="229">
        <f t="shared" ref="DS525:DS588" si="1717">FF525</f>
        <v>0</v>
      </c>
      <c r="DT525" s="229">
        <f t="shared" ref="DT525:DT588" si="1718">FG525</f>
        <v>0</v>
      </c>
      <c r="DU525" s="229">
        <f t="shared" ref="DU525:DU588" si="1719">FI525</f>
        <v>0</v>
      </c>
      <c r="DV525" s="229">
        <f t="shared" ref="DV525:DV588" si="1720">FH525</f>
        <v>0</v>
      </c>
      <c r="DW525" s="229">
        <f t="shared" ref="DW525:DW588" si="1721">FJ525</f>
        <v>0</v>
      </c>
      <c r="DX525" s="228">
        <f t="shared" si="1653"/>
        <v>0</v>
      </c>
      <c r="DY525" s="229"/>
      <c r="DZ525" s="229"/>
      <c r="EA525" s="229"/>
      <c r="EB525" s="229"/>
      <c r="EC525" s="229"/>
      <c r="ED525" s="229"/>
      <c r="EE525" s="229"/>
      <c r="EF525" s="228">
        <f t="shared" si="1696"/>
        <v>0</v>
      </c>
      <c r="EG525" s="228">
        <f t="shared" si="1654"/>
        <v>0</v>
      </c>
      <c r="EH525" s="229">
        <f t="shared" si="1697"/>
        <v>0</v>
      </c>
      <c r="EI525" s="229">
        <v>0</v>
      </c>
      <c r="EJ525" s="228">
        <f t="shared" si="1620"/>
        <v>0</v>
      </c>
      <c r="EK525" s="229"/>
      <c r="EL525" s="229"/>
      <c r="EM525" s="228">
        <f t="shared" si="1657"/>
        <v>0</v>
      </c>
      <c r="EN525" s="229">
        <f t="shared" si="1591"/>
        <v>0</v>
      </c>
      <c r="EO525" s="229">
        <f t="shared" si="1610"/>
        <v>0</v>
      </c>
      <c r="EP525" s="228">
        <f t="shared" si="1658"/>
        <v>0</v>
      </c>
      <c r="EQ525" s="173">
        <f t="shared" si="1687"/>
        <v>0</v>
      </c>
      <c r="ER525" s="189">
        <v>0</v>
      </c>
      <c r="ES525" s="189">
        <v>0</v>
      </c>
      <c r="ET525" s="189">
        <v>0</v>
      </c>
      <c r="EU525" s="189">
        <v>0</v>
      </c>
      <c r="EV525" s="189">
        <v>0</v>
      </c>
      <c r="EW525" s="189">
        <v>0</v>
      </c>
      <c r="EX525" s="189">
        <v>0</v>
      </c>
      <c r="EY525" s="189">
        <v>0</v>
      </c>
      <c r="EZ525" s="189">
        <v>0</v>
      </c>
      <c r="FA525" s="189">
        <v>0</v>
      </c>
      <c r="FB525" s="189">
        <v>0</v>
      </c>
      <c r="FC525" s="189">
        <v>0</v>
      </c>
      <c r="FD525" s="189">
        <v>0</v>
      </c>
      <c r="FE525" s="189">
        <v>0</v>
      </c>
      <c r="FF525" s="189">
        <v>0</v>
      </c>
      <c r="FG525" s="189">
        <v>0</v>
      </c>
      <c r="FH525" s="189">
        <v>0</v>
      </c>
      <c r="FI525" s="189">
        <v>0</v>
      </c>
      <c r="FJ525" s="189">
        <v>0</v>
      </c>
      <c r="FK525" s="189">
        <v>0</v>
      </c>
      <c r="FL525" s="189">
        <v>0</v>
      </c>
      <c r="FN525" s="132">
        <v>0</v>
      </c>
    </row>
    <row r="526" spans="1:170" ht="33.6" customHeight="1">
      <c r="A526" s="88">
        <f>COUNTIF($H$12:H526,H526)</f>
        <v>32</v>
      </c>
      <c r="B526" s="88" t="s">
        <v>1259</v>
      </c>
      <c r="C526" s="88" t="s">
        <v>690</v>
      </c>
      <c r="D526" s="88"/>
      <c r="E526" s="88"/>
      <c r="F526" s="301" t="s">
        <v>2817</v>
      </c>
      <c r="G526" s="89" t="s">
        <v>55</v>
      </c>
      <c r="H526" s="88">
        <v>10</v>
      </c>
      <c r="I526" s="88">
        <v>10</v>
      </c>
      <c r="J526" s="88">
        <v>10</v>
      </c>
      <c r="K526" s="90" t="s">
        <v>1111</v>
      </c>
      <c r="L526" s="90" t="s">
        <v>1111</v>
      </c>
      <c r="M526" s="214"/>
      <c r="N526" s="88" t="s">
        <v>1804</v>
      </c>
      <c r="O526" s="216">
        <f t="shared" si="1656"/>
        <v>3</v>
      </c>
      <c r="P526" s="88" t="str">
        <f t="shared" si="1678"/>
        <v>B1_3</v>
      </c>
      <c r="Q526" s="88">
        <f t="shared" si="1567"/>
        <v>270</v>
      </c>
      <c r="R526" s="88">
        <f t="shared" si="1568"/>
        <v>100</v>
      </c>
      <c r="S526" s="231" t="s">
        <v>2390</v>
      </c>
      <c r="T526" s="88" t="s">
        <v>3091</v>
      </c>
      <c r="U526" s="88">
        <f>IF(RIGHT(T526,1)="K",(VLOOKUP(T526,ma_miengiam!$A$3:$B$80,2,0)*100)/2,VLOOKUP(T526,ma_miengiam!$A$3:$B$80,2,0)*100)</f>
        <v>20</v>
      </c>
      <c r="V526" s="88"/>
      <c r="W526" s="220">
        <f>IF(AND(T526="NTS",V526&gt;0),(Q526-(Q526*V526)/12)*VLOOKUP(T526,ma_miengiam!$A$3:$B$80,2,0)+(Q526-(Q526*(12-V526))/12),IF(AND(RIGHT(T526,1)="K",V526&gt;0),(VLOOKUP(T526,ma_miengiam!$A$3:$B$80,2,0)/2)*(Q526*V526)/12,IF(RIGHT(T526,1)="K",(VLOOKUP(T526,ma_miengiam!$A$3:$B$80,2,0)*Q526)/2,IF(V526&gt;0,VLOOKUP(T526,ma_miengiam!$A$3:$B$80,2,0)*Q526*V526/12,VLOOKUP(T526,ma_miengiam!$A$3:$B$80,2,0)*Q526))))</f>
        <v>54</v>
      </c>
      <c r="X526" s="220">
        <f>IF(T526="NTS",VLOOKUP(T526,ma_miengiam!$A$3:$B$80,2,0)*R526*V526,IF(AND(T526="NTS",V526=0),0,IF(AND(LEFT(T526,1)="K",V526=0),VLOOKUP(T526,ma_miengiam!$A$3:$B$80,2,0)*R526,IF(LEFT(T526,1)="K",(VLOOKUP(T526,ma_miengiam!$A$3:$B$80,2,0)*R526/12)*V526,IF(AND(LEFT(T526,1)="S",V526&gt;0),(R526/12)*V526,IF(AND(LEFT(T526,1)="S",V526=0),R526,IF(T526="DH",VLOOKUP(T526,ma_miengiam!$A$3:$B$80,2,0)*R526,0)))))))</f>
        <v>0</v>
      </c>
      <c r="Y526" s="220">
        <f t="shared" si="1521"/>
        <v>216</v>
      </c>
      <c r="Z526" s="220">
        <f t="shared" si="1569"/>
        <v>100</v>
      </c>
      <c r="AA526" s="220">
        <f t="shared" ref="AA526:AB528" si="1722">Q526</f>
        <v>270</v>
      </c>
      <c r="AB526" s="220">
        <f t="shared" si="1722"/>
        <v>100</v>
      </c>
      <c r="AC526" s="220">
        <f t="shared" ref="AC526:AF527" si="1723">W526</f>
        <v>54</v>
      </c>
      <c r="AD526" s="220">
        <f t="shared" si="1723"/>
        <v>0</v>
      </c>
      <c r="AE526" s="220">
        <f t="shared" si="1723"/>
        <v>216</v>
      </c>
      <c r="AF526" s="220">
        <f t="shared" si="1723"/>
        <v>100</v>
      </c>
      <c r="AG526" s="220">
        <f t="shared" ref="AG526:AG532" si="1724">AH526+AI526</f>
        <v>30</v>
      </c>
      <c r="AH526" s="220">
        <f t="shared" ref="AH526:AH532" si="1725">EO526</f>
        <v>0</v>
      </c>
      <c r="AI526" s="220">
        <f t="shared" ref="AI526:AI532" si="1726">EN526</f>
        <v>30</v>
      </c>
      <c r="AJ526" s="220">
        <f t="shared" si="1551"/>
        <v>-70</v>
      </c>
      <c r="AK526" s="216">
        <f t="shared" si="1639"/>
        <v>286</v>
      </c>
      <c r="AL526" s="220">
        <f t="shared" si="1640"/>
        <v>238.89999999999998</v>
      </c>
      <c r="AM526" s="220">
        <f t="shared" si="1641"/>
        <v>0</v>
      </c>
      <c r="AN526" s="221">
        <f t="shared" si="1642"/>
        <v>238.89999999999998</v>
      </c>
      <c r="AO526" s="220">
        <f t="shared" si="1643"/>
        <v>0</v>
      </c>
      <c r="AP526" s="220">
        <f t="shared" si="1644"/>
        <v>0</v>
      </c>
      <c r="AQ526" s="220">
        <f t="shared" si="1645"/>
        <v>60</v>
      </c>
      <c r="AR526" s="220">
        <f t="shared" si="1646"/>
        <v>0</v>
      </c>
      <c r="AS526" s="220">
        <f t="shared" si="1647"/>
        <v>0</v>
      </c>
      <c r="AT526" s="216">
        <f t="shared" si="1648"/>
        <v>298.89999999999998</v>
      </c>
      <c r="AU526" s="222">
        <f t="shared" si="1661"/>
        <v>-47.100000000000023</v>
      </c>
      <c r="AV526" s="220"/>
      <c r="AW526" s="220">
        <f t="shared" si="1688"/>
        <v>-47.100000000000023</v>
      </c>
      <c r="AX526" s="216">
        <f t="shared" si="1636"/>
        <v>-47.100000000000023</v>
      </c>
      <c r="AY526" s="220">
        <f t="shared" si="1698"/>
        <v>0</v>
      </c>
      <c r="AZ526" s="220">
        <f t="shared" si="1699"/>
        <v>0</v>
      </c>
      <c r="BA526" s="220">
        <f t="shared" si="1700"/>
        <v>12.899999999999977</v>
      </c>
      <c r="BB526" s="220">
        <f t="shared" si="1701"/>
        <v>0</v>
      </c>
      <c r="BC526" s="220">
        <f t="shared" si="1702"/>
        <v>0</v>
      </c>
      <c r="BD526" s="216">
        <f t="shared" si="1599"/>
        <v>12.899999999999977</v>
      </c>
      <c r="BE526" s="220">
        <f t="shared" si="1689"/>
        <v>0</v>
      </c>
      <c r="BF526" s="220">
        <f t="shared" si="1690"/>
        <v>0</v>
      </c>
      <c r="BG526" s="220">
        <f t="shared" si="1691"/>
        <v>-47.100000000000023</v>
      </c>
      <c r="BH526" s="220">
        <f t="shared" si="1692"/>
        <v>0</v>
      </c>
      <c r="BI526" s="220">
        <f t="shared" si="1693"/>
        <v>0</v>
      </c>
      <c r="BJ526" s="220" t="s">
        <v>393</v>
      </c>
      <c r="BK526" s="220"/>
      <c r="BL526" s="223">
        <f t="shared" si="1609"/>
        <v>0</v>
      </c>
      <c r="BM526" s="220">
        <v>3</v>
      </c>
      <c r="BN526" s="220"/>
      <c r="BO526" s="220">
        <f t="shared" si="1670"/>
        <v>3</v>
      </c>
      <c r="BP526" s="220">
        <f>IF(AND(BL526&gt;0,BL526&lt;tiet!$D$1),BL526,IF(BL526&lt;=0,0,IF(BL526&gt;tiet!$C$1,tiet!$C$1)))</f>
        <v>0</v>
      </c>
      <c r="BQ526" s="87">
        <f t="shared" si="1552"/>
        <v>60000</v>
      </c>
      <c r="BR526" s="224">
        <f t="shared" si="1544"/>
        <v>0</v>
      </c>
      <c r="BS526" s="220">
        <f t="shared" si="1686"/>
        <v>0</v>
      </c>
      <c r="BT526" s="224">
        <f>VLOOKUP(N526,ma_dinhmuc!$A$1:$J$31,10,0)</f>
        <v>51000</v>
      </c>
      <c r="BU526" s="224">
        <f>ROUND(IF(BS526&gt;0,VLOOKUP(N526,ma_dinhmuc!$A$1:$J$31,10,0)*BS526,0),0)</f>
        <v>0</v>
      </c>
      <c r="BV526" s="224">
        <f t="shared" si="1545"/>
        <v>0</v>
      </c>
      <c r="BW526" s="224"/>
      <c r="BX526" s="224">
        <v>0</v>
      </c>
      <c r="BY526" s="224"/>
      <c r="BZ526" s="224"/>
      <c r="CA526" s="224"/>
      <c r="CB526" s="224"/>
      <c r="CC526" s="225">
        <f t="shared" si="1595"/>
        <v>0</v>
      </c>
      <c r="CD526" s="224">
        <f t="shared" si="1596"/>
        <v>0</v>
      </c>
      <c r="CE526" s="224"/>
      <c r="CF526" s="226"/>
      <c r="CG526" s="87"/>
      <c r="CH526" s="87">
        <f>A526</f>
        <v>32</v>
      </c>
      <c r="CI526" s="227" t="str">
        <f t="shared" si="1671"/>
        <v>Đỗ Thị</v>
      </c>
      <c r="CJ526" s="227" t="str">
        <f t="shared" si="1672"/>
        <v>Nhâm</v>
      </c>
      <c r="CK526" s="87">
        <f t="shared" si="1673"/>
        <v>10</v>
      </c>
      <c r="CL526" s="227" t="str">
        <f>L526</f>
        <v>Công nghệ phần mềm</v>
      </c>
      <c r="CM526" s="87" t="str">
        <f t="shared" si="1694"/>
        <v>CS2</v>
      </c>
      <c r="CN526" s="87">
        <f t="shared" si="1695"/>
        <v>270</v>
      </c>
      <c r="CO526" s="87">
        <f t="shared" si="1695"/>
        <v>100</v>
      </c>
      <c r="CP526" s="229">
        <f t="shared" si="1703"/>
        <v>0</v>
      </c>
      <c r="CQ526" s="229">
        <f t="shared" si="1704"/>
        <v>21.5</v>
      </c>
      <c r="CR526" s="229">
        <f t="shared" si="1705"/>
        <v>8.6999999999999993</v>
      </c>
      <c r="CS526" s="229">
        <f t="shared" si="1706"/>
        <v>0</v>
      </c>
      <c r="CT526" s="229">
        <f t="shared" si="1707"/>
        <v>0</v>
      </c>
      <c r="CU526" s="229">
        <f t="shared" si="1708"/>
        <v>154.69999999999999</v>
      </c>
      <c r="CV526" s="229">
        <f t="shared" si="1709"/>
        <v>0</v>
      </c>
      <c r="CW526" s="229">
        <f t="shared" si="1710"/>
        <v>54</v>
      </c>
      <c r="CX526" s="229">
        <f t="shared" si="1711"/>
        <v>0</v>
      </c>
      <c r="CY526" s="229">
        <f t="shared" si="1712"/>
        <v>0</v>
      </c>
      <c r="CZ526" s="229">
        <f t="shared" si="1713"/>
        <v>0</v>
      </c>
      <c r="DA526" s="229">
        <f t="shared" si="1714"/>
        <v>60</v>
      </c>
      <c r="DB526" s="228">
        <f t="shared" si="1650"/>
        <v>298.89999999999998</v>
      </c>
      <c r="DC526" s="229"/>
      <c r="DD526" s="229"/>
      <c r="DE526" s="229"/>
      <c r="DF526" s="229"/>
      <c r="DG526" s="229"/>
      <c r="DH526" s="229"/>
      <c r="DI526" s="229"/>
      <c r="DJ526" s="229"/>
      <c r="DK526" s="229"/>
      <c r="DL526" s="229"/>
      <c r="DM526" s="229"/>
      <c r="DN526" s="229"/>
      <c r="DO526" s="228">
        <f t="shared" si="1651"/>
        <v>0</v>
      </c>
      <c r="DP526" s="228">
        <f t="shared" si="1652"/>
        <v>298.89999999999998</v>
      </c>
      <c r="DQ526" s="229">
        <f t="shared" si="1715"/>
        <v>0</v>
      </c>
      <c r="DR526" s="229">
        <f t="shared" si="1716"/>
        <v>0</v>
      </c>
      <c r="DS526" s="229">
        <f t="shared" si="1717"/>
        <v>0</v>
      </c>
      <c r="DT526" s="229">
        <f t="shared" si="1718"/>
        <v>0</v>
      </c>
      <c r="DU526" s="229">
        <f t="shared" si="1719"/>
        <v>0</v>
      </c>
      <c r="DV526" s="229">
        <f t="shared" si="1720"/>
        <v>0</v>
      </c>
      <c r="DW526" s="229">
        <f t="shared" si="1721"/>
        <v>0</v>
      </c>
      <c r="DX526" s="228">
        <f t="shared" si="1653"/>
        <v>0</v>
      </c>
      <c r="DY526" s="229"/>
      <c r="DZ526" s="229"/>
      <c r="EA526" s="229"/>
      <c r="EB526" s="229"/>
      <c r="EC526" s="229"/>
      <c r="ED526" s="229"/>
      <c r="EE526" s="229"/>
      <c r="EF526" s="228">
        <f t="shared" si="1696"/>
        <v>0</v>
      </c>
      <c r="EG526" s="228">
        <f t="shared" si="1654"/>
        <v>0</v>
      </c>
      <c r="EH526" s="229">
        <f t="shared" si="1697"/>
        <v>30</v>
      </c>
      <c r="EI526" s="229">
        <v>0</v>
      </c>
      <c r="EJ526" s="228">
        <f t="shared" si="1620"/>
        <v>30</v>
      </c>
      <c r="EK526" s="229"/>
      <c r="EL526" s="229"/>
      <c r="EM526" s="228">
        <f t="shared" si="1657"/>
        <v>0</v>
      </c>
      <c r="EN526" s="229">
        <f t="shared" si="1591"/>
        <v>30</v>
      </c>
      <c r="EO526" s="229">
        <f t="shared" si="1610"/>
        <v>0</v>
      </c>
      <c r="EP526" s="228">
        <f t="shared" si="1658"/>
        <v>30</v>
      </c>
      <c r="EQ526" s="173">
        <f t="shared" si="1687"/>
        <v>0</v>
      </c>
      <c r="ER526" s="189">
        <v>0</v>
      </c>
      <c r="ES526" s="189">
        <v>21.5</v>
      </c>
      <c r="ET526" s="189">
        <v>8.6999999999999993</v>
      </c>
      <c r="EU526" s="189">
        <v>0</v>
      </c>
      <c r="EV526" s="189">
        <v>0</v>
      </c>
      <c r="EW526" s="189">
        <v>154.69999999999999</v>
      </c>
      <c r="EX526" s="189">
        <v>0</v>
      </c>
      <c r="EY526" s="189">
        <v>54</v>
      </c>
      <c r="EZ526" s="189">
        <v>0</v>
      </c>
      <c r="FA526" s="189">
        <v>0</v>
      </c>
      <c r="FB526" s="189">
        <v>0</v>
      </c>
      <c r="FC526" s="189">
        <v>60</v>
      </c>
      <c r="FD526" s="189">
        <v>0</v>
      </c>
      <c r="FE526" s="189">
        <v>0</v>
      </c>
      <c r="FF526" s="189">
        <v>0</v>
      </c>
      <c r="FG526" s="189">
        <v>0</v>
      </c>
      <c r="FH526" s="189">
        <v>0</v>
      </c>
      <c r="FI526" s="189">
        <v>0</v>
      </c>
      <c r="FJ526" s="189">
        <v>0</v>
      </c>
      <c r="FK526" s="189">
        <v>298.89999999999998</v>
      </c>
      <c r="FL526" s="189">
        <v>273</v>
      </c>
      <c r="FN526" s="132">
        <v>30</v>
      </c>
    </row>
    <row r="527" spans="1:170" ht="30" customHeight="1">
      <c r="A527" s="88">
        <f>COUNTIF($H$12:H527,H527)</f>
        <v>33</v>
      </c>
      <c r="B527" s="88" t="s">
        <v>1260</v>
      </c>
      <c r="C527" s="88" t="s">
        <v>691</v>
      </c>
      <c r="D527" s="88"/>
      <c r="E527" s="88"/>
      <c r="F527" s="301" t="s">
        <v>1139</v>
      </c>
      <c r="G527" s="89" t="s">
        <v>2883</v>
      </c>
      <c r="H527" s="88">
        <v>10</v>
      </c>
      <c r="I527" s="88">
        <v>10</v>
      </c>
      <c r="J527" s="88">
        <v>10</v>
      </c>
      <c r="K527" s="90" t="s">
        <v>1112</v>
      </c>
      <c r="L527" s="90" t="s">
        <v>1112</v>
      </c>
      <c r="M527" s="214"/>
      <c r="N527" s="88" t="s">
        <v>1804</v>
      </c>
      <c r="O527" s="216">
        <f t="shared" si="1656"/>
        <v>3.33</v>
      </c>
      <c r="P527" s="88" t="str">
        <f t="shared" si="1678"/>
        <v>B1_4</v>
      </c>
      <c r="Q527" s="88">
        <f t="shared" si="1567"/>
        <v>270</v>
      </c>
      <c r="R527" s="88">
        <f t="shared" si="1568"/>
        <v>120</v>
      </c>
      <c r="S527" s="218"/>
      <c r="T527" s="88" t="s">
        <v>3088</v>
      </c>
      <c r="U527" s="88">
        <f>IF(RIGHT(T527,1)="K",(VLOOKUP(T527,ma_miengiam!$A$3:$B$80,2,0)*100)/2,VLOOKUP(T527,ma_miengiam!$A$3:$B$80,2,0)*100)</f>
        <v>0</v>
      </c>
      <c r="V527" s="88"/>
      <c r="W527" s="220">
        <f>IF(AND(T527="NTS",V527&gt;0),(Q527-(Q527*V527)/12)*VLOOKUP(T527,ma_miengiam!$A$3:$B$80,2,0)+(Q527-(Q527*(12-V527))/12),IF(AND(RIGHT(T527,1)="K",V527&gt;0),(VLOOKUP(T527,ma_miengiam!$A$3:$B$80,2,0)/2)*(Q527*V527)/12,IF(RIGHT(T527,1)="K",(VLOOKUP(T527,ma_miengiam!$A$3:$B$80,2,0)*Q527)/2,IF(V527&gt;0,VLOOKUP(T527,ma_miengiam!$A$3:$B$80,2,0)*Q527*V527/12,VLOOKUP(T527,ma_miengiam!$A$3:$B$80,2,0)*Q527))))</f>
        <v>0</v>
      </c>
      <c r="X527" s="220">
        <f>IF(T527="NTS",VLOOKUP(T527,ma_miengiam!$A$3:$B$80,2,0)*R527*V527,IF(AND(T527="NTS",V527=0),0,IF(AND(LEFT(T527,1)="K",V527=0),VLOOKUP(T527,ma_miengiam!$A$3:$B$80,2,0)*R527,IF(LEFT(T527,1)="K",(VLOOKUP(T527,ma_miengiam!$A$3:$B$80,2,0)*R527/12)*V527,IF(AND(LEFT(T527,1)="S",V527&gt;0),(R527/12)*V527,IF(AND(LEFT(T527,1)="S",V527=0),R527,IF(T527="DH",VLOOKUP(T527,ma_miengiam!$A$3:$B$80,2,0)*R527,0)))))))</f>
        <v>0</v>
      </c>
      <c r="Y527" s="220">
        <f t="shared" si="1521"/>
        <v>270</v>
      </c>
      <c r="Z527" s="220">
        <f t="shared" si="1569"/>
        <v>120</v>
      </c>
      <c r="AA527" s="220">
        <f t="shared" si="1722"/>
        <v>270</v>
      </c>
      <c r="AB527" s="220">
        <f t="shared" si="1722"/>
        <v>120</v>
      </c>
      <c r="AC527" s="220">
        <f t="shared" si="1723"/>
        <v>0</v>
      </c>
      <c r="AD527" s="220">
        <f t="shared" si="1723"/>
        <v>0</v>
      </c>
      <c r="AE527" s="220">
        <f t="shared" si="1723"/>
        <v>270</v>
      </c>
      <c r="AF527" s="220">
        <f t="shared" si="1723"/>
        <v>120</v>
      </c>
      <c r="AG527" s="220">
        <f t="shared" si="1724"/>
        <v>85.42</v>
      </c>
      <c r="AH527" s="220">
        <f t="shared" si="1725"/>
        <v>20.420000000000002</v>
      </c>
      <c r="AI527" s="220">
        <f t="shared" si="1726"/>
        <v>65</v>
      </c>
      <c r="AJ527" s="220">
        <f t="shared" si="1551"/>
        <v>-34.58</v>
      </c>
      <c r="AK527" s="216">
        <f t="shared" si="1639"/>
        <v>304.58</v>
      </c>
      <c r="AL527" s="220">
        <f t="shared" si="1640"/>
        <v>242.3</v>
      </c>
      <c r="AM527" s="220">
        <f t="shared" si="1641"/>
        <v>0</v>
      </c>
      <c r="AN527" s="221">
        <f t="shared" si="1642"/>
        <v>242.3</v>
      </c>
      <c r="AO527" s="220">
        <f t="shared" si="1643"/>
        <v>0</v>
      </c>
      <c r="AP527" s="220">
        <f t="shared" si="1644"/>
        <v>0</v>
      </c>
      <c r="AQ527" s="220">
        <f t="shared" si="1645"/>
        <v>0</v>
      </c>
      <c r="AR527" s="220">
        <f t="shared" si="1646"/>
        <v>0</v>
      </c>
      <c r="AS527" s="220">
        <f t="shared" si="1647"/>
        <v>0</v>
      </c>
      <c r="AT527" s="216">
        <f t="shared" si="1648"/>
        <v>242.3</v>
      </c>
      <c r="AU527" s="222">
        <f t="shared" si="1661"/>
        <v>-62.279999999999973</v>
      </c>
      <c r="AV527" s="220"/>
      <c r="AW527" s="220">
        <f t="shared" si="1688"/>
        <v>-62.279999999999973</v>
      </c>
      <c r="AX527" s="216">
        <f t="shared" si="1636"/>
        <v>-62.279999999999973</v>
      </c>
      <c r="AY527" s="220">
        <f t="shared" si="1698"/>
        <v>0</v>
      </c>
      <c r="AZ527" s="220">
        <f t="shared" si="1699"/>
        <v>0</v>
      </c>
      <c r="BA527" s="220">
        <f t="shared" si="1700"/>
        <v>0</v>
      </c>
      <c r="BB527" s="220">
        <f t="shared" si="1701"/>
        <v>0</v>
      </c>
      <c r="BC527" s="220">
        <f t="shared" si="1702"/>
        <v>0</v>
      </c>
      <c r="BD527" s="216">
        <f t="shared" si="1599"/>
        <v>0</v>
      </c>
      <c r="BE527" s="220">
        <f t="shared" si="1689"/>
        <v>0</v>
      </c>
      <c r="BF527" s="220">
        <f t="shared" si="1690"/>
        <v>0</v>
      </c>
      <c r="BG527" s="220">
        <f t="shared" si="1691"/>
        <v>0</v>
      </c>
      <c r="BH527" s="220">
        <f t="shared" si="1692"/>
        <v>0</v>
      </c>
      <c r="BI527" s="220">
        <f t="shared" si="1693"/>
        <v>0</v>
      </c>
      <c r="BJ527" s="220" t="s">
        <v>394</v>
      </c>
      <c r="BK527" s="220"/>
      <c r="BL527" s="223">
        <f t="shared" si="1609"/>
        <v>0</v>
      </c>
      <c r="BM527" s="220">
        <v>3.33</v>
      </c>
      <c r="BN527" s="220"/>
      <c r="BO527" s="220">
        <f t="shared" si="1670"/>
        <v>3.33</v>
      </c>
      <c r="BP527" s="220">
        <f>IF(AND(BL527&gt;0,BL527&lt;tiet!$D$1),BL527,IF(BL527&lt;=0,0,IF(BL527&gt;tiet!$C$1,tiet!$C$1)))</f>
        <v>0</v>
      </c>
      <c r="BQ527" s="87">
        <f t="shared" si="1552"/>
        <v>65000</v>
      </c>
      <c r="BR527" s="224">
        <f t="shared" si="1544"/>
        <v>0</v>
      </c>
      <c r="BS527" s="220">
        <f t="shared" si="1686"/>
        <v>0</v>
      </c>
      <c r="BT527" s="224">
        <f>VLOOKUP(N527,ma_dinhmuc!$A$1:$J$31,10,0)</f>
        <v>51000</v>
      </c>
      <c r="BU527" s="224">
        <f>ROUND(IF(BS527&gt;0,VLOOKUP(N527,ma_dinhmuc!$A$1:$J$31,10,0)*BS527,0),0)</f>
        <v>0</v>
      </c>
      <c r="BV527" s="224">
        <f t="shared" si="1545"/>
        <v>0</v>
      </c>
      <c r="BW527" s="224"/>
      <c r="BX527" s="224">
        <v>0</v>
      </c>
      <c r="BY527" s="224"/>
      <c r="BZ527" s="224"/>
      <c r="CA527" s="224"/>
      <c r="CB527" s="224"/>
      <c r="CC527" s="225">
        <f t="shared" si="1595"/>
        <v>0</v>
      </c>
      <c r="CD527" s="224">
        <f t="shared" si="1596"/>
        <v>0</v>
      </c>
      <c r="CE527" s="224"/>
      <c r="CF527" s="226"/>
      <c r="CG527" s="87"/>
      <c r="CH527" s="87">
        <f t="shared" si="1677"/>
        <v>33</v>
      </c>
      <c r="CI527" s="227" t="str">
        <f t="shared" si="1671"/>
        <v>Nguyễn Thị</v>
      </c>
      <c r="CJ527" s="227" t="str">
        <f t="shared" si="1672"/>
        <v>Huyền</v>
      </c>
      <c r="CK527" s="87">
        <f t="shared" si="1673"/>
        <v>10</v>
      </c>
      <c r="CL527" s="227" t="str">
        <f t="shared" si="1662"/>
        <v>Khoa học máy tính</v>
      </c>
      <c r="CM527" s="87" t="str">
        <f t="shared" si="1694"/>
        <v>CS2</v>
      </c>
      <c r="CN527" s="87">
        <f t="shared" ref="CN527:CO530" si="1727">Q527</f>
        <v>270</v>
      </c>
      <c r="CO527" s="87">
        <f t="shared" si="1727"/>
        <v>120</v>
      </c>
      <c r="CP527" s="229">
        <f t="shared" si="1703"/>
        <v>0</v>
      </c>
      <c r="CQ527" s="229">
        <f t="shared" si="1704"/>
        <v>38.200000000000003</v>
      </c>
      <c r="CR527" s="229">
        <f t="shared" si="1705"/>
        <v>8.1999999999999993</v>
      </c>
      <c r="CS527" s="229">
        <f t="shared" si="1706"/>
        <v>10.8</v>
      </c>
      <c r="CT527" s="229">
        <f t="shared" si="1707"/>
        <v>0</v>
      </c>
      <c r="CU527" s="229">
        <f t="shared" si="1708"/>
        <v>138.6</v>
      </c>
      <c r="CV527" s="229">
        <f t="shared" si="1709"/>
        <v>0</v>
      </c>
      <c r="CW527" s="229">
        <f t="shared" si="1710"/>
        <v>46.5</v>
      </c>
      <c r="CX527" s="229">
        <f t="shared" si="1711"/>
        <v>0</v>
      </c>
      <c r="CY527" s="229">
        <f t="shared" si="1712"/>
        <v>0</v>
      </c>
      <c r="CZ527" s="229">
        <f t="shared" si="1713"/>
        <v>0</v>
      </c>
      <c r="DA527" s="229">
        <f t="shared" si="1714"/>
        <v>0</v>
      </c>
      <c r="DB527" s="228">
        <f t="shared" si="1650"/>
        <v>242.3</v>
      </c>
      <c r="DC527" s="229"/>
      <c r="DD527" s="229"/>
      <c r="DE527" s="229"/>
      <c r="DF527" s="229"/>
      <c r="DG527" s="229"/>
      <c r="DH527" s="229"/>
      <c r="DI527" s="229"/>
      <c r="DJ527" s="229"/>
      <c r="DK527" s="229"/>
      <c r="DL527" s="229"/>
      <c r="DM527" s="229"/>
      <c r="DN527" s="229"/>
      <c r="DO527" s="228">
        <f t="shared" si="1651"/>
        <v>0</v>
      </c>
      <c r="DP527" s="228">
        <f t="shared" si="1652"/>
        <v>242.3</v>
      </c>
      <c r="DQ527" s="229">
        <f t="shared" si="1715"/>
        <v>0</v>
      </c>
      <c r="DR527" s="229">
        <f t="shared" si="1716"/>
        <v>0</v>
      </c>
      <c r="DS527" s="229">
        <f t="shared" si="1717"/>
        <v>0</v>
      </c>
      <c r="DT527" s="229">
        <f t="shared" si="1718"/>
        <v>0</v>
      </c>
      <c r="DU527" s="229">
        <f t="shared" si="1719"/>
        <v>0</v>
      </c>
      <c r="DV527" s="229">
        <f t="shared" si="1720"/>
        <v>0</v>
      </c>
      <c r="DW527" s="229">
        <f t="shared" si="1721"/>
        <v>0</v>
      </c>
      <c r="DX527" s="228">
        <f t="shared" si="1653"/>
        <v>0</v>
      </c>
      <c r="DY527" s="229"/>
      <c r="DZ527" s="229"/>
      <c r="EA527" s="229"/>
      <c r="EB527" s="229"/>
      <c r="EC527" s="229"/>
      <c r="ED527" s="229"/>
      <c r="EE527" s="229"/>
      <c r="EF527" s="228">
        <f t="shared" si="1696"/>
        <v>0</v>
      </c>
      <c r="EG527" s="228">
        <f t="shared" si="1654"/>
        <v>0</v>
      </c>
      <c r="EH527" s="229">
        <f t="shared" si="1697"/>
        <v>65</v>
      </c>
      <c r="EI527" s="229">
        <v>20.420000000000002</v>
      </c>
      <c r="EJ527" s="228">
        <f t="shared" si="1620"/>
        <v>85.42</v>
      </c>
      <c r="EK527" s="229"/>
      <c r="EL527" s="229"/>
      <c r="EM527" s="228">
        <f t="shared" si="1657"/>
        <v>0</v>
      </c>
      <c r="EN527" s="229">
        <f t="shared" si="1591"/>
        <v>65</v>
      </c>
      <c r="EO527" s="229">
        <f t="shared" si="1610"/>
        <v>20.420000000000002</v>
      </c>
      <c r="EP527" s="228">
        <f t="shared" si="1658"/>
        <v>85.42</v>
      </c>
      <c r="EQ527" s="173">
        <f t="shared" si="1687"/>
        <v>0</v>
      </c>
      <c r="ER527" s="189">
        <v>0</v>
      </c>
      <c r="ES527" s="189">
        <v>38.200000000000003</v>
      </c>
      <c r="ET527" s="189">
        <v>8.1999999999999993</v>
      </c>
      <c r="EU527" s="189">
        <v>10.8</v>
      </c>
      <c r="EV527" s="189">
        <v>0</v>
      </c>
      <c r="EW527" s="189">
        <v>138.6</v>
      </c>
      <c r="EX527" s="189">
        <v>0</v>
      </c>
      <c r="EY527" s="189">
        <v>46.5</v>
      </c>
      <c r="EZ527" s="189">
        <v>0</v>
      </c>
      <c r="FA527" s="189">
        <v>0</v>
      </c>
      <c r="FB527" s="189">
        <v>0</v>
      </c>
      <c r="FC527" s="189">
        <v>0</v>
      </c>
      <c r="FD527" s="189">
        <v>0</v>
      </c>
      <c r="FE527" s="189">
        <v>0</v>
      </c>
      <c r="FF527" s="189">
        <v>0</v>
      </c>
      <c r="FG527" s="189">
        <v>0</v>
      </c>
      <c r="FH527" s="189">
        <v>0</v>
      </c>
      <c r="FI527" s="189">
        <v>0</v>
      </c>
      <c r="FJ527" s="189">
        <v>0</v>
      </c>
      <c r="FK527" s="189">
        <v>242.3</v>
      </c>
      <c r="FL527" s="189">
        <v>190.8</v>
      </c>
      <c r="FN527" s="132">
        <v>65</v>
      </c>
    </row>
    <row r="528" spans="1:170" ht="30" customHeight="1">
      <c r="A528" s="88">
        <f>COUNTIF($H$12:H528,H528)</f>
        <v>34</v>
      </c>
      <c r="B528" s="88" t="s">
        <v>1261</v>
      </c>
      <c r="C528" s="88" t="s">
        <v>692</v>
      </c>
      <c r="D528" s="88"/>
      <c r="E528" s="88"/>
      <c r="F528" s="301" t="s">
        <v>2895</v>
      </c>
      <c r="G528" s="89" t="s">
        <v>2893</v>
      </c>
      <c r="H528" s="88">
        <v>10</v>
      </c>
      <c r="I528" s="88">
        <v>10</v>
      </c>
      <c r="J528" s="88">
        <v>10</v>
      </c>
      <c r="K528" s="90" t="s">
        <v>1112</v>
      </c>
      <c r="L528" s="90" t="s">
        <v>1112</v>
      </c>
      <c r="M528" s="214"/>
      <c r="N528" s="88" t="s">
        <v>1804</v>
      </c>
      <c r="O528" s="216">
        <f t="shared" si="1656"/>
        <v>3.33</v>
      </c>
      <c r="P528" s="88" t="str">
        <f t="shared" si="1678"/>
        <v>B1_4</v>
      </c>
      <c r="Q528" s="88">
        <f t="shared" si="1567"/>
        <v>270</v>
      </c>
      <c r="R528" s="88">
        <f t="shared" si="1568"/>
        <v>120</v>
      </c>
      <c r="S528" s="233"/>
      <c r="T528" s="88" t="s">
        <v>3088</v>
      </c>
      <c r="U528" s="88">
        <f>IF(RIGHT(T528,1)="K",(VLOOKUP(T528,ma_miengiam!$A$3:$B$80,2,0)*100)/2,VLOOKUP(T528,ma_miengiam!$A$3:$B$80,2,0)*100)</f>
        <v>0</v>
      </c>
      <c r="V528" s="88"/>
      <c r="W528" s="220">
        <f>IF(AND(T528="NTS",V528&gt;0),(Q528-(Q528*V528)/12)*VLOOKUP(T528,ma_miengiam!$A$3:$B$80,2,0)+(Q528-(Q528*(12-V528))/12),IF(AND(RIGHT(T528,1)="K",V528&gt;0),(VLOOKUP(T528,ma_miengiam!$A$3:$B$80,2,0)/2)*(Q528*V528)/12,IF(RIGHT(T528,1)="K",(VLOOKUP(T528,ma_miengiam!$A$3:$B$80,2,0)*Q528)/2,IF(V528&gt;0,VLOOKUP(T528,ma_miengiam!$A$3:$B$80,2,0)*Q528*V528/12,VLOOKUP(T528,ma_miengiam!$A$3:$B$80,2,0)*Q528))))</f>
        <v>0</v>
      </c>
      <c r="X528" s="220">
        <f>IF(T528="NTS",VLOOKUP(T528,ma_miengiam!$A$3:$B$80,2,0)*R528*V528,IF(AND(T528="NTS",V528=0),0,IF(AND(LEFT(T528,1)="K",V528=0),VLOOKUP(T528,ma_miengiam!$A$3:$B$80,2,0)*R528,IF(LEFT(T528,1)="K",(VLOOKUP(T528,ma_miengiam!$A$3:$B$80,2,0)*R528/12)*V528,IF(AND(LEFT(T528,1)="S",V528&gt;0),(R528/12)*V528,IF(AND(LEFT(T528,1)="S",V528=0),R528,IF(T528="DH",VLOOKUP(T528,ma_miengiam!$A$3:$B$80,2,0)*R528,0)))))))</f>
        <v>0</v>
      </c>
      <c r="Y528" s="220">
        <f t="shared" si="1521"/>
        <v>270</v>
      </c>
      <c r="Z528" s="220">
        <f t="shared" si="1569"/>
        <v>120</v>
      </c>
      <c r="AA528" s="220">
        <f t="shared" si="1722"/>
        <v>270</v>
      </c>
      <c r="AB528" s="220">
        <f t="shared" si="1722"/>
        <v>120</v>
      </c>
      <c r="AC528" s="220">
        <f>W528</f>
        <v>0</v>
      </c>
      <c r="AD528" s="220">
        <f>X528</f>
        <v>0</v>
      </c>
      <c r="AE528" s="220">
        <f>Y528</f>
        <v>270</v>
      </c>
      <c r="AF528" s="220">
        <f>Z528</f>
        <v>120</v>
      </c>
      <c r="AG528" s="220">
        <f t="shared" si="1724"/>
        <v>0</v>
      </c>
      <c r="AH528" s="220">
        <f t="shared" si="1725"/>
        <v>0</v>
      </c>
      <c r="AI528" s="220">
        <f t="shared" si="1726"/>
        <v>0</v>
      </c>
      <c r="AJ528" s="220">
        <f t="shared" ref="AJ528:AJ540" si="1728">IF(AG528-Z528&gt;0,0,AG528-Z528)</f>
        <v>-120</v>
      </c>
      <c r="AK528" s="216">
        <f t="shared" si="1639"/>
        <v>390</v>
      </c>
      <c r="AL528" s="220">
        <f t="shared" si="1640"/>
        <v>255.9</v>
      </c>
      <c r="AM528" s="220">
        <f t="shared" si="1641"/>
        <v>0</v>
      </c>
      <c r="AN528" s="221">
        <f t="shared" si="1642"/>
        <v>255.9</v>
      </c>
      <c r="AO528" s="220">
        <f t="shared" si="1643"/>
        <v>0</v>
      </c>
      <c r="AP528" s="220">
        <f t="shared" si="1644"/>
        <v>0</v>
      </c>
      <c r="AQ528" s="220">
        <f t="shared" si="1645"/>
        <v>20</v>
      </c>
      <c r="AR528" s="220">
        <f t="shared" si="1646"/>
        <v>0</v>
      </c>
      <c r="AS528" s="220">
        <f t="shared" si="1647"/>
        <v>0</v>
      </c>
      <c r="AT528" s="216">
        <f t="shared" si="1648"/>
        <v>275.89999999999998</v>
      </c>
      <c r="AU528" s="222">
        <f t="shared" si="1661"/>
        <v>-134.1</v>
      </c>
      <c r="AV528" s="220"/>
      <c r="AW528" s="220">
        <f t="shared" si="1688"/>
        <v>-134.1</v>
      </c>
      <c r="AX528" s="216">
        <f t="shared" si="1636"/>
        <v>-134.1</v>
      </c>
      <c r="AY528" s="220">
        <f t="shared" si="1698"/>
        <v>0</v>
      </c>
      <c r="AZ528" s="220">
        <f t="shared" si="1699"/>
        <v>0</v>
      </c>
      <c r="BA528" s="220">
        <f t="shared" si="1700"/>
        <v>0</v>
      </c>
      <c r="BB528" s="220">
        <f t="shared" si="1701"/>
        <v>0</v>
      </c>
      <c r="BC528" s="220">
        <f t="shared" si="1702"/>
        <v>0</v>
      </c>
      <c r="BD528" s="216">
        <f t="shared" si="1599"/>
        <v>0</v>
      </c>
      <c r="BE528" s="220">
        <f t="shared" si="1689"/>
        <v>0</v>
      </c>
      <c r="BF528" s="220">
        <f t="shared" si="1690"/>
        <v>0</v>
      </c>
      <c r="BG528" s="220">
        <f t="shared" si="1691"/>
        <v>-20</v>
      </c>
      <c r="BH528" s="220">
        <f t="shared" si="1692"/>
        <v>0</v>
      </c>
      <c r="BI528" s="220">
        <f t="shared" si="1693"/>
        <v>0</v>
      </c>
      <c r="BJ528" s="220" t="s">
        <v>394</v>
      </c>
      <c r="BK528" s="220"/>
      <c r="BL528" s="223">
        <f t="shared" si="1609"/>
        <v>0</v>
      </c>
      <c r="BM528" s="220">
        <v>3.33</v>
      </c>
      <c r="BN528" s="220"/>
      <c r="BO528" s="220">
        <f t="shared" si="1670"/>
        <v>3.33</v>
      </c>
      <c r="BP528" s="220">
        <f>IF(AND(BL528&gt;0,BL528&lt;tiet!$D$1),BL528,IF(BL528&lt;=0,0,IF(BL528&gt;tiet!$C$1,tiet!$C$1)))</f>
        <v>0</v>
      </c>
      <c r="BQ528" s="87">
        <f t="shared" ref="BQ528:BQ550" si="1729">VLOOKUP(P528,ma_dinhmuc_moi,4,0)</f>
        <v>65000</v>
      </c>
      <c r="BR528" s="224">
        <f t="shared" ref="BR528:BR550" si="1730">ROUND(BQ528*BP528,0)</f>
        <v>0</v>
      </c>
      <c r="BS528" s="220">
        <f t="shared" si="1686"/>
        <v>0</v>
      </c>
      <c r="BT528" s="224">
        <f>VLOOKUP(N528,ma_dinhmuc!$A$1:$J$31,10,0)</f>
        <v>51000</v>
      </c>
      <c r="BU528" s="224">
        <f>ROUND(IF(BS528&gt;0,VLOOKUP(N528,ma_dinhmuc!$A$1:$J$31,10,0)*BS528,0),0)</f>
        <v>0</v>
      </c>
      <c r="BV528" s="224">
        <f t="shared" ref="BV528:BV550" si="1731">ROUND(BU528+BR528,0)</f>
        <v>0</v>
      </c>
      <c r="BW528" s="224"/>
      <c r="BX528" s="224">
        <v>0</v>
      </c>
      <c r="BY528" s="224"/>
      <c r="BZ528" s="224"/>
      <c r="CA528" s="224"/>
      <c r="CB528" s="224"/>
      <c r="CC528" s="225">
        <f t="shared" si="1595"/>
        <v>0</v>
      </c>
      <c r="CD528" s="224">
        <f t="shared" si="1596"/>
        <v>0</v>
      </c>
      <c r="CE528" s="224"/>
      <c r="CF528" s="226"/>
      <c r="CG528" s="87"/>
      <c r="CH528" s="87">
        <f>A528</f>
        <v>34</v>
      </c>
      <c r="CI528" s="227" t="str">
        <f t="shared" ref="CI528:CJ533" si="1732">F528</f>
        <v>Nguyễn Văn</v>
      </c>
      <c r="CJ528" s="227" t="str">
        <f t="shared" si="1732"/>
        <v>Hoàng</v>
      </c>
      <c r="CK528" s="87">
        <f t="shared" ref="CK528:CK533" si="1733">H528</f>
        <v>10</v>
      </c>
      <c r="CL528" s="227" t="str">
        <f t="shared" si="1662"/>
        <v>Khoa học máy tính</v>
      </c>
      <c r="CM528" s="87" t="str">
        <f t="shared" si="1694"/>
        <v>CS2</v>
      </c>
      <c r="CN528" s="87">
        <f t="shared" si="1727"/>
        <v>270</v>
      </c>
      <c r="CO528" s="87">
        <f t="shared" si="1727"/>
        <v>120</v>
      </c>
      <c r="CP528" s="229">
        <f t="shared" si="1703"/>
        <v>0</v>
      </c>
      <c r="CQ528" s="229">
        <f t="shared" si="1704"/>
        <v>41.7</v>
      </c>
      <c r="CR528" s="229">
        <f t="shared" si="1705"/>
        <v>16.8</v>
      </c>
      <c r="CS528" s="229">
        <f t="shared" si="1706"/>
        <v>0</v>
      </c>
      <c r="CT528" s="229">
        <f t="shared" si="1707"/>
        <v>0</v>
      </c>
      <c r="CU528" s="229">
        <f t="shared" si="1708"/>
        <v>122.4</v>
      </c>
      <c r="CV528" s="229">
        <f t="shared" si="1709"/>
        <v>0</v>
      </c>
      <c r="CW528" s="229">
        <f t="shared" si="1710"/>
        <v>75</v>
      </c>
      <c r="CX528" s="229">
        <f t="shared" si="1711"/>
        <v>0</v>
      </c>
      <c r="CY528" s="229">
        <f t="shared" si="1712"/>
        <v>0</v>
      </c>
      <c r="CZ528" s="229">
        <f t="shared" si="1713"/>
        <v>0</v>
      </c>
      <c r="DA528" s="229">
        <f t="shared" si="1714"/>
        <v>20</v>
      </c>
      <c r="DB528" s="228">
        <f t="shared" si="1650"/>
        <v>275.89999999999998</v>
      </c>
      <c r="DC528" s="229"/>
      <c r="DD528" s="229"/>
      <c r="DE528" s="229"/>
      <c r="DF528" s="229"/>
      <c r="DG528" s="229"/>
      <c r="DH528" s="229"/>
      <c r="DI528" s="229"/>
      <c r="DJ528" s="229"/>
      <c r="DK528" s="229"/>
      <c r="DL528" s="229"/>
      <c r="DM528" s="229"/>
      <c r="DN528" s="229"/>
      <c r="DO528" s="228">
        <f t="shared" si="1651"/>
        <v>0</v>
      </c>
      <c r="DP528" s="228">
        <f t="shared" si="1652"/>
        <v>275.89999999999998</v>
      </c>
      <c r="DQ528" s="229">
        <f t="shared" si="1715"/>
        <v>0</v>
      </c>
      <c r="DR528" s="229">
        <f t="shared" si="1716"/>
        <v>0</v>
      </c>
      <c r="DS528" s="229">
        <f t="shared" si="1717"/>
        <v>0</v>
      </c>
      <c r="DT528" s="229">
        <f t="shared" si="1718"/>
        <v>0</v>
      </c>
      <c r="DU528" s="229">
        <f t="shared" si="1719"/>
        <v>0</v>
      </c>
      <c r="DV528" s="229">
        <f t="shared" si="1720"/>
        <v>0</v>
      </c>
      <c r="DW528" s="229">
        <f t="shared" si="1721"/>
        <v>0</v>
      </c>
      <c r="DX528" s="228">
        <f t="shared" si="1653"/>
        <v>0</v>
      </c>
      <c r="DY528" s="229"/>
      <c r="DZ528" s="229"/>
      <c r="EA528" s="229"/>
      <c r="EB528" s="229"/>
      <c r="EC528" s="229"/>
      <c r="ED528" s="229"/>
      <c r="EE528" s="229"/>
      <c r="EF528" s="228">
        <f t="shared" si="1696"/>
        <v>0</v>
      </c>
      <c r="EG528" s="228">
        <f t="shared" si="1654"/>
        <v>0</v>
      </c>
      <c r="EH528" s="229">
        <f t="shared" si="1697"/>
        <v>0</v>
      </c>
      <c r="EI528" s="229">
        <v>0</v>
      </c>
      <c r="EJ528" s="228">
        <f t="shared" si="1620"/>
        <v>0</v>
      </c>
      <c r="EK528" s="229"/>
      <c r="EL528" s="229"/>
      <c r="EM528" s="228">
        <f t="shared" si="1657"/>
        <v>0</v>
      </c>
      <c r="EN528" s="229">
        <f t="shared" si="1591"/>
        <v>0</v>
      </c>
      <c r="EO528" s="229">
        <f t="shared" si="1610"/>
        <v>0</v>
      </c>
      <c r="EP528" s="228">
        <f t="shared" si="1658"/>
        <v>0</v>
      </c>
      <c r="EQ528" s="173">
        <f t="shared" si="1687"/>
        <v>0</v>
      </c>
      <c r="ER528" s="189">
        <v>0</v>
      </c>
      <c r="ES528" s="189">
        <v>41.7</v>
      </c>
      <c r="ET528" s="189">
        <v>16.8</v>
      </c>
      <c r="EU528" s="189">
        <v>0</v>
      </c>
      <c r="EV528" s="189">
        <v>0</v>
      </c>
      <c r="EW528" s="189">
        <v>122.4</v>
      </c>
      <c r="EX528" s="189">
        <v>0</v>
      </c>
      <c r="EY528" s="189">
        <v>75</v>
      </c>
      <c r="EZ528" s="189">
        <v>0</v>
      </c>
      <c r="FA528" s="189">
        <v>0</v>
      </c>
      <c r="FB528" s="189">
        <v>0</v>
      </c>
      <c r="FC528" s="189">
        <v>20</v>
      </c>
      <c r="FD528" s="189">
        <v>0</v>
      </c>
      <c r="FE528" s="189">
        <v>0</v>
      </c>
      <c r="FF528" s="189">
        <v>0</v>
      </c>
      <c r="FG528" s="189">
        <v>0</v>
      </c>
      <c r="FH528" s="189">
        <v>0</v>
      </c>
      <c r="FI528" s="189">
        <v>0</v>
      </c>
      <c r="FJ528" s="189">
        <v>0</v>
      </c>
      <c r="FK528" s="189">
        <v>275.89999999999998</v>
      </c>
      <c r="FL528" s="189">
        <v>195</v>
      </c>
      <c r="FN528" s="132">
        <v>0</v>
      </c>
    </row>
    <row r="529" spans="1:170" ht="47.45" customHeight="1">
      <c r="A529" s="88">
        <f>COUNTIF($H$12:H529,H529)</f>
        <v>35</v>
      </c>
      <c r="B529" s="88" t="s">
        <v>1262</v>
      </c>
      <c r="C529" s="88" t="s">
        <v>693</v>
      </c>
      <c r="D529" s="88"/>
      <c r="E529" s="88"/>
      <c r="F529" s="301" t="s">
        <v>2971</v>
      </c>
      <c r="G529" s="89" t="s">
        <v>2901</v>
      </c>
      <c r="H529" s="88">
        <v>10</v>
      </c>
      <c r="I529" s="88">
        <v>10</v>
      </c>
      <c r="J529" s="88">
        <v>10</v>
      </c>
      <c r="K529" s="90" t="s">
        <v>1112</v>
      </c>
      <c r="L529" s="90" t="s">
        <v>1112</v>
      </c>
      <c r="M529" s="214"/>
      <c r="N529" s="88" t="s">
        <v>606</v>
      </c>
      <c r="O529" s="216">
        <f>BO529</f>
        <v>4.4000000000000004</v>
      </c>
      <c r="P529" s="88" t="str">
        <f t="shared" si="1678"/>
        <v>B1_4</v>
      </c>
      <c r="Q529" s="88">
        <f t="shared" si="1567"/>
        <v>270</v>
      </c>
      <c r="R529" s="88">
        <f t="shared" si="1568"/>
        <v>120</v>
      </c>
      <c r="S529" s="218" t="s">
        <v>2391</v>
      </c>
      <c r="T529" s="219" t="s">
        <v>3093</v>
      </c>
      <c r="U529" s="88">
        <f>IF(RIGHT(T529,1)="K",(VLOOKUP(T529,ma_miengiam!$A$3:$B$80,2,0)*100)/2,VLOOKUP(T529,ma_miengiam!$A$3:$B$80,2,0)*100)</f>
        <v>30</v>
      </c>
      <c r="V529" s="88"/>
      <c r="W529" s="220">
        <f>IF(AND(T529="NTS",V529&gt;0),(Q529-(Q529*V529)/12)*VLOOKUP(T529,ma_miengiam!$A$3:$B$80,2,0)+(Q529-(Q529*(12-V529))/12),IF(AND(RIGHT(T529,1)="K",V529&gt;0),(VLOOKUP(T529,ma_miengiam!$A$3:$B$80,2,0)/2)*(Q529*V529)/12,IF(RIGHT(T529,1)="K",(VLOOKUP(T529,ma_miengiam!$A$3:$B$80,2,0)*Q529)/2,IF(V529&gt;0,VLOOKUP(T529,ma_miengiam!$A$3:$B$80,2,0)*Q529*V529/12,VLOOKUP(T529,ma_miengiam!$A$3:$B$80,2,0)*Q529))))</f>
        <v>81</v>
      </c>
      <c r="X529" s="220">
        <f>IF(T529="NTS",VLOOKUP(T529,ma_miengiam!$A$3:$B$80,2,0)*R529*V529,IF(AND(T529="NTS",V529=0),0,IF(AND(LEFT(T529,1)="K",V529=0),VLOOKUP(T529,ma_miengiam!$A$3:$B$80,2,0)*R529,IF(LEFT(T529,1)="K",(VLOOKUP(T529,ma_miengiam!$A$3:$B$80,2,0)*R529/12)*V529,IF(AND(LEFT(T529,1)="S",V529&gt;0),(R529/12)*V529,IF(AND(LEFT(T529,1)="S",V529=0),R529,IF(T529="DH",VLOOKUP(T529,ma_miengiam!$A$3:$B$80,2,0)*R529,0)))))))</f>
        <v>0</v>
      </c>
      <c r="Y529" s="220">
        <f>IF(AND(T529="DH",V529&gt;0),(S529*V529/12),IF(AND(T529&lt;&gt;"NTS",V529&gt;0),(Q529*V529/12)-W529,IF(AND(T529="NTS",V529&gt;0),Q529-W529,Q529-W529)))</f>
        <v>189</v>
      </c>
      <c r="Z529" s="220">
        <f>IF(AND(T529="SĐH",V529&gt;0),(R529/12)*V529-X529,IF(AND(T529="DH",V529&gt;0),(R529*V529/12),IF(AND(T529&lt;&gt;"NTS",V529&gt;0),(R529*V529/12)-X529,IF(AND(T529="NTS",V529&gt;0),R529-X529,R529-X529))))</f>
        <v>120</v>
      </c>
      <c r="AA529" s="220">
        <f t="shared" ref="AA529:AB532" si="1734">Q529</f>
        <v>270</v>
      </c>
      <c r="AB529" s="220">
        <f t="shared" si="1734"/>
        <v>120</v>
      </c>
      <c r="AC529" s="220">
        <f t="shared" ref="AC529:AF532" si="1735">W529</f>
        <v>81</v>
      </c>
      <c r="AD529" s="220">
        <f t="shared" si="1735"/>
        <v>0</v>
      </c>
      <c r="AE529" s="220">
        <f t="shared" si="1735"/>
        <v>189</v>
      </c>
      <c r="AF529" s="220">
        <f t="shared" si="1735"/>
        <v>120</v>
      </c>
      <c r="AG529" s="220">
        <f t="shared" si="1724"/>
        <v>77.650000000000006</v>
      </c>
      <c r="AH529" s="220">
        <f t="shared" si="1725"/>
        <v>0.15000000000000568</v>
      </c>
      <c r="AI529" s="220">
        <f t="shared" si="1726"/>
        <v>77.5</v>
      </c>
      <c r="AJ529" s="220">
        <f>IF(AG529-Z529&gt;0,0,AG529-Z529)</f>
        <v>-42.349999999999994</v>
      </c>
      <c r="AK529" s="216">
        <f t="shared" si="1639"/>
        <v>231.35</v>
      </c>
      <c r="AL529" s="220">
        <f>SUM(CP529:CX529)+SUM(DC529:DK529)</f>
        <v>272.10000000000002</v>
      </c>
      <c r="AM529" s="220">
        <f>SUM(DQ529:DU529)+SUM(DY529:EC529)</f>
        <v>81.600000000000009</v>
      </c>
      <c r="AN529" s="221">
        <f>AM529+AL529</f>
        <v>353.70000000000005</v>
      </c>
      <c r="AO529" s="220">
        <f>CY529+DL529</f>
        <v>0</v>
      </c>
      <c r="AP529" s="220">
        <f>CZ529+DM529</f>
        <v>0</v>
      </c>
      <c r="AQ529" s="220">
        <f>DA529+DN529</f>
        <v>0</v>
      </c>
      <c r="AR529" s="220">
        <f>DV529+ED529</f>
        <v>0</v>
      </c>
      <c r="AS529" s="220">
        <f>DW529+EE529</f>
        <v>0</v>
      </c>
      <c r="AT529" s="216">
        <f>AN529+SUM(AO529:AS529)</f>
        <v>353.70000000000005</v>
      </c>
      <c r="AU529" s="222">
        <f>AN529-AK529</f>
        <v>122.35000000000005</v>
      </c>
      <c r="AV529" s="220"/>
      <c r="AW529" s="220">
        <f>IF(AU529&gt;0,AU529,AV529+AU529)</f>
        <v>122.35000000000005</v>
      </c>
      <c r="AX529" s="216">
        <f t="shared" si="1636"/>
        <v>0</v>
      </c>
      <c r="AY529" s="220">
        <f>IF(AN529&gt;=AK529,AO529,IF(AN529+AO529-AK529&gt;=0,AN529+AO529-AK529,0))</f>
        <v>0</v>
      </c>
      <c r="AZ529" s="220">
        <f>IF(OR(AN529&gt;=AK529,AN529+AO529&gt;=AK529),AP529,IF(AN529+AO529+AP529&gt;AK529,AN529+AO529+AP529-AK529,0))</f>
        <v>0</v>
      </c>
      <c r="BA529" s="220">
        <f>IF(OR(AN529&gt;=AK529,AN529+AO529&gt;=AK529,AN529+AO529+AP529&gt;=AK529),AQ529,IF(AN529+AO529+AP529+AQ529&gt;=AK529,AN529+AO529+AP529+AQ529-AK529,0))</f>
        <v>0</v>
      </c>
      <c r="BB529" s="220">
        <f>IF(OR(AN529&gt;=AK529,AN529+AO529&gt;=AK529,AN529+AO529+AP529&gt;=AK529,AN529+AO529+AP529+AQ529&gt;=AK529),AR529,IF(AN529+AO529+AP529+AQ529+AR529&gt;=AK529,AN529+AO529+AP529+AQ529+AR529-AK529,0))</f>
        <v>0</v>
      </c>
      <c r="BC529" s="220">
        <f>IF(OR(AN529&gt;=AK529,AN529+AO529&gt;=AK529,AN529+AO529+AP529&gt;=AK529,AN529+AO529+AP529+AQ529&gt;=AK529,AN529+AO529+AP529+AQ529+AR529&gt;=AK529),AS529,IF(AN529+AO529+AP529+AQ529+AR529+AS529&gt;=AK529,AN529+AO529+AP529+AQ529+AR529+AS529-AK529,0))</f>
        <v>0</v>
      </c>
      <c r="BD529" s="216">
        <f t="shared" si="1599"/>
        <v>0</v>
      </c>
      <c r="BE529" s="220">
        <f>AY529-AO529</f>
        <v>0</v>
      </c>
      <c r="BF529" s="220">
        <f>AZ529-AP529</f>
        <v>0</v>
      </c>
      <c r="BG529" s="220">
        <f>BA529-AQ529</f>
        <v>0</v>
      </c>
      <c r="BH529" s="220">
        <f>BB529-AR529</f>
        <v>0</v>
      </c>
      <c r="BI529" s="220">
        <f>BC529-AS529</f>
        <v>0</v>
      </c>
      <c r="BJ529" s="220" t="s">
        <v>394</v>
      </c>
      <c r="BK529" s="220"/>
      <c r="BL529" s="223">
        <f t="shared" si="1609"/>
        <v>122.35000000000005</v>
      </c>
      <c r="BM529" s="220">
        <v>4.4000000000000004</v>
      </c>
      <c r="BN529" s="220"/>
      <c r="BO529" s="220">
        <f>ROUND(BM529+(BM529*BN529),2)</f>
        <v>4.4000000000000004</v>
      </c>
      <c r="BP529" s="220">
        <f>IF(AND(BL529&gt;0,BL529&lt;tiet!$D$1),BL529,IF(BL529&lt;=0,0,IF(BL529&gt;tiet!$C$1,tiet!$C$1)))</f>
        <v>122.35000000000005</v>
      </c>
      <c r="BQ529" s="87">
        <f>VLOOKUP(P529,ma_dinhmuc_moi,4,0)</f>
        <v>65000</v>
      </c>
      <c r="BR529" s="224">
        <f>ROUND(BQ529*BP529,0)</f>
        <v>7952750</v>
      </c>
      <c r="BS529" s="220">
        <f t="shared" si="1686"/>
        <v>0</v>
      </c>
      <c r="BT529" s="224">
        <f>VLOOKUP(N529,ma_dinhmuc!$A$1:$J$31,10,0)</f>
        <v>55000</v>
      </c>
      <c r="BU529" s="224">
        <f>ROUND(IF(BS529&gt;0,VLOOKUP(N529,ma_dinhmuc!$A$1:$J$31,10,0)*BS529,0),0)</f>
        <v>0</v>
      </c>
      <c r="BV529" s="224">
        <f>ROUND(BU529+BR529,0)</f>
        <v>7952750</v>
      </c>
      <c r="BW529" s="224"/>
      <c r="BX529" s="224">
        <v>0</v>
      </c>
      <c r="BY529" s="224"/>
      <c r="BZ529" s="224"/>
      <c r="CA529" s="224"/>
      <c r="CB529" s="224"/>
      <c r="CC529" s="225">
        <f>ROUND(IF(BV529+BW529&gt;BX529+BY529+BZ529+CA529+CB529,(BW529+BV529)-(BX529+BY529+BZ529+CA529+CB529+CB529),0),0)</f>
        <v>7952750</v>
      </c>
      <c r="CD529" s="224">
        <f>ROUND(IF(BV529+BW529&lt;BX529+BY529+BZ529+CA529-CB529,(BX529+BY529+BZ529+CA529-CB529)-(BW529+BV529),0),0)</f>
        <v>0</v>
      </c>
      <c r="CE529" s="224"/>
      <c r="CF529" s="226"/>
      <c r="CG529" s="87"/>
      <c r="CH529" s="87">
        <f>A529</f>
        <v>35</v>
      </c>
      <c r="CI529" s="227" t="str">
        <f t="shared" si="1732"/>
        <v>Phạm Quang</v>
      </c>
      <c r="CJ529" s="227" t="str">
        <f t="shared" si="1732"/>
        <v>Dũng</v>
      </c>
      <c r="CK529" s="87">
        <f t="shared" si="1733"/>
        <v>10</v>
      </c>
      <c r="CL529" s="227" t="str">
        <f>L529</f>
        <v>Khoa học máy tính</v>
      </c>
      <c r="CM529" s="87" t="str">
        <f>N529</f>
        <v>CS3</v>
      </c>
      <c r="CN529" s="87">
        <f>Q529</f>
        <v>270</v>
      </c>
      <c r="CO529" s="87">
        <f>R529</f>
        <v>120</v>
      </c>
      <c r="CP529" s="229">
        <f t="shared" si="1703"/>
        <v>0</v>
      </c>
      <c r="CQ529" s="229">
        <f t="shared" si="1704"/>
        <v>84.4</v>
      </c>
      <c r="CR529" s="229">
        <f t="shared" si="1705"/>
        <v>9.1</v>
      </c>
      <c r="CS529" s="229">
        <f t="shared" si="1706"/>
        <v>39.6</v>
      </c>
      <c r="CT529" s="229">
        <f t="shared" si="1707"/>
        <v>0</v>
      </c>
      <c r="CU529" s="229">
        <f t="shared" si="1708"/>
        <v>87</v>
      </c>
      <c r="CV529" s="229">
        <f t="shared" si="1709"/>
        <v>0</v>
      </c>
      <c r="CW529" s="229">
        <f t="shared" si="1710"/>
        <v>52</v>
      </c>
      <c r="CX529" s="229">
        <f t="shared" si="1711"/>
        <v>0</v>
      </c>
      <c r="CY529" s="229">
        <f t="shared" si="1712"/>
        <v>0</v>
      </c>
      <c r="CZ529" s="229">
        <f t="shared" si="1713"/>
        <v>0</v>
      </c>
      <c r="DA529" s="229">
        <f t="shared" si="1714"/>
        <v>0</v>
      </c>
      <c r="DB529" s="228">
        <f>SUM(CP529:DA529)</f>
        <v>272.10000000000002</v>
      </c>
      <c r="DC529" s="229"/>
      <c r="DD529" s="229"/>
      <c r="DE529" s="229"/>
      <c r="DF529" s="229"/>
      <c r="DG529" s="229"/>
      <c r="DH529" s="229"/>
      <c r="DI529" s="229"/>
      <c r="DJ529" s="229"/>
      <c r="DK529" s="229"/>
      <c r="DL529" s="229"/>
      <c r="DM529" s="229"/>
      <c r="DN529" s="229"/>
      <c r="DO529" s="228">
        <f>SUM(DC529:DN529)</f>
        <v>0</v>
      </c>
      <c r="DP529" s="228">
        <f>DO529+DB529</f>
        <v>272.10000000000002</v>
      </c>
      <c r="DQ529" s="229">
        <f t="shared" si="1715"/>
        <v>81</v>
      </c>
      <c r="DR529" s="229">
        <f t="shared" si="1716"/>
        <v>0.4</v>
      </c>
      <c r="DS529" s="229">
        <f t="shared" si="1717"/>
        <v>0</v>
      </c>
      <c r="DT529" s="229">
        <f t="shared" si="1718"/>
        <v>0.2</v>
      </c>
      <c r="DU529" s="229">
        <f t="shared" si="1719"/>
        <v>0</v>
      </c>
      <c r="DV529" s="229">
        <f t="shared" si="1720"/>
        <v>0</v>
      </c>
      <c r="DW529" s="229">
        <f t="shared" si="1721"/>
        <v>0</v>
      </c>
      <c r="DX529" s="228">
        <f>SUM(DQ529:DW529)</f>
        <v>81.600000000000009</v>
      </c>
      <c r="DY529" s="229"/>
      <c r="DZ529" s="229"/>
      <c r="EA529" s="229"/>
      <c r="EB529" s="229"/>
      <c r="EC529" s="229"/>
      <c r="ED529" s="229"/>
      <c r="EE529" s="229"/>
      <c r="EF529" s="228">
        <f t="shared" si="1696"/>
        <v>0</v>
      </c>
      <c r="EG529" s="228">
        <f>EF529+DX529</f>
        <v>81.600000000000009</v>
      </c>
      <c r="EH529" s="229">
        <f t="shared" si="1697"/>
        <v>77.5</v>
      </c>
      <c r="EI529" s="229">
        <v>0.15000000000000568</v>
      </c>
      <c r="EJ529" s="228">
        <f t="shared" si="1620"/>
        <v>77.650000000000006</v>
      </c>
      <c r="EK529" s="229"/>
      <c r="EL529" s="229"/>
      <c r="EM529" s="228">
        <f>SUM(EK529:EL529)</f>
        <v>0</v>
      </c>
      <c r="EN529" s="229">
        <f>EK529+EH529+EL529</f>
        <v>77.5</v>
      </c>
      <c r="EO529" s="229">
        <f>EI529</f>
        <v>0.15000000000000568</v>
      </c>
      <c r="EP529" s="228">
        <f>EM529+EJ529</f>
        <v>77.650000000000006</v>
      </c>
      <c r="EQ529" s="173">
        <f t="shared" si="1687"/>
        <v>0</v>
      </c>
      <c r="ER529" s="189">
        <v>0</v>
      </c>
      <c r="ES529" s="189">
        <v>84.4</v>
      </c>
      <c r="ET529" s="189">
        <v>9.1</v>
      </c>
      <c r="EU529" s="189">
        <v>39.6</v>
      </c>
      <c r="EV529" s="189">
        <v>0</v>
      </c>
      <c r="EW529" s="189">
        <v>87</v>
      </c>
      <c r="EX529" s="189">
        <v>0</v>
      </c>
      <c r="EY529" s="189">
        <v>52</v>
      </c>
      <c r="EZ529" s="189">
        <v>0</v>
      </c>
      <c r="FA529" s="189">
        <v>0</v>
      </c>
      <c r="FB529" s="189">
        <v>0</v>
      </c>
      <c r="FC529" s="189">
        <v>0</v>
      </c>
      <c r="FD529" s="189">
        <v>81</v>
      </c>
      <c r="FE529" s="189">
        <v>0.4</v>
      </c>
      <c r="FF529" s="189">
        <v>0</v>
      </c>
      <c r="FG529" s="189">
        <v>0.2</v>
      </c>
      <c r="FH529" s="189">
        <v>0</v>
      </c>
      <c r="FI529" s="189">
        <v>0</v>
      </c>
      <c r="FJ529" s="189">
        <v>0</v>
      </c>
      <c r="FK529" s="189">
        <v>353.7</v>
      </c>
      <c r="FL529" s="189">
        <v>228.6</v>
      </c>
      <c r="FN529" s="132">
        <v>77.5</v>
      </c>
    </row>
    <row r="530" spans="1:170" ht="30" customHeight="1">
      <c r="A530" s="88">
        <f>COUNTIF($H$12:H530,H530)</f>
        <v>36</v>
      </c>
      <c r="B530" s="88" t="s">
        <v>1263</v>
      </c>
      <c r="C530" s="88" t="s">
        <v>694</v>
      </c>
      <c r="D530" s="88"/>
      <c r="E530" s="88"/>
      <c r="F530" s="301" t="s">
        <v>2199</v>
      </c>
      <c r="G530" s="89" t="s">
        <v>2883</v>
      </c>
      <c r="H530" s="88">
        <v>10</v>
      </c>
      <c r="I530" s="88">
        <v>10</v>
      </c>
      <c r="J530" s="88">
        <v>10</v>
      </c>
      <c r="K530" s="90" t="s">
        <v>1112</v>
      </c>
      <c r="L530" s="90" t="s">
        <v>1112</v>
      </c>
      <c r="M530" s="214"/>
      <c r="N530" s="88" t="s">
        <v>606</v>
      </c>
      <c r="O530" s="216">
        <f t="shared" si="1656"/>
        <v>4.4000000000000004</v>
      </c>
      <c r="P530" s="88" t="str">
        <f t="shared" si="1678"/>
        <v>B1_4</v>
      </c>
      <c r="Q530" s="88">
        <f t="shared" si="1567"/>
        <v>270</v>
      </c>
      <c r="R530" s="88">
        <f t="shared" si="1568"/>
        <v>120</v>
      </c>
      <c r="S530" s="230" t="s">
        <v>689</v>
      </c>
      <c r="T530" s="88" t="s">
        <v>3090</v>
      </c>
      <c r="U530" s="88">
        <f>IF(RIGHT(T530,1)="K",(VLOOKUP(T530,ma_miengiam!$A$3:$B$80,2,0)*100)/2,VLOOKUP(T530,ma_miengiam!$A$3:$B$80,2,0)*100)</f>
        <v>15</v>
      </c>
      <c r="V530" s="88"/>
      <c r="W530" s="220">
        <f>IF(AND(T530="NTS",V530&gt;0),(Q530-(Q530*V530)/12)*VLOOKUP(T530,ma_miengiam!$A$3:$B$80,2,0)+(Q530-(Q530*(12-V530))/12),IF(AND(RIGHT(T530,1)="K",V530&gt;0),(VLOOKUP(T530,ma_miengiam!$A$3:$B$80,2,0)/2)*(Q530*V530)/12,IF(RIGHT(T530,1)="K",(VLOOKUP(T530,ma_miengiam!$A$3:$B$80,2,0)*Q530)/2,IF(V530&gt;0,VLOOKUP(T530,ma_miengiam!$A$3:$B$80,2,0)*Q530*V530/12,VLOOKUP(T530,ma_miengiam!$A$3:$B$80,2,0)*Q530))))</f>
        <v>40.5</v>
      </c>
      <c r="X530" s="220">
        <f>IF(T530="NTS",VLOOKUP(T530,ma_miengiam!$A$3:$B$80,2,0)*R530*V530,IF(AND(T530="NTS",V530=0),0,IF(AND(LEFT(T530,1)="K",V530=0),VLOOKUP(T530,ma_miengiam!$A$3:$B$80,2,0)*R530,IF(LEFT(T530,1)="K",(VLOOKUP(T530,ma_miengiam!$A$3:$B$80,2,0)*R530/12)*V530,IF(AND(LEFT(T530,1)="S",V530&gt;0),(R530/12)*V530,IF(AND(LEFT(T530,1)="S",V530=0),R530,IF(T530="DH",VLOOKUP(T530,ma_miengiam!$A$3:$B$80,2,0)*R530,0)))))))</f>
        <v>0</v>
      </c>
      <c r="Y530" s="220">
        <f t="shared" si="1521"/>
        <v>229.5</v>
      </c>
      <c r="Z530" s="220">
        <f t="shared" si="1569"/>
        <v>120</v>
      </c>
      <c r="AA530" s="220">
        <f t="shared" si="1734"/>
        <v>270</v>
      </c>
      <c r="AB530" s="220">
        <f t="shared" si="1734"/>
        <v>120</v>
      </c>
      <c r="AC530" s="220">
        <f t="shared" si="1735"/>
        <v>40.5</v>
      </c>
      <c r="AD530" s="220">
        <f t="shared" si="1735"/>
        <v>0</v>
      </c>
      <c r="AE530" s="220">
        <f t="shared" si="1735"/>
        <v>229.5</v>
      </c>
      <c r="AF530" s="220">
        <f t="shared" si="1735"/>
        <v>120</v>
      </c>
      <c r="AG530" s="220">
        <f t="shared" si="1724"/>
        <v>12.650000000000006</v>
      </c>
      <c r="AH530" s="220">
        <f t="shared" si="1725"/>
        <v>0.15000000000000568</v>
      </c>
      <c r="AI530" s="220">
        <f t="shared" si="1726"/>
        <v>12.5</v>
      </c>
      <c r="AJ530" s="220">
        <f t="shared" si="1728"/>
        <v>-107.35</v>
      </c>
      <c r="AK530" s="216">
        <f t="shared" si="1639"/>
        <v>336.85</v>
      </c>
      <c r="AL530" s="220">
        <f t="shared" si="1640"/>
        <v>390</v>
      </c>
      <c r="AM530" s="220">
        <f t="shared" si="1641"/>
        <v>0</v>
      </c>
      <c r="AN530" s="221">
        <f t="shared" si="1642"/>
        <v>390</v>
      </c>
      <c r="AO530" s="220">
        <f t="shared" si="1643"/>
        <v>0</v>
      </c>
      <c r="AP530" s="220">
        <f t="shared" si="1644"/>
        <v>0</v>
      </c>
      <c r="AQ530" s="220">
        <f t="shared" si="1645"/>
        <v>0</v>
      </c>
      <c r="AR530" s="220">
        <f t="shared" si="1646"/>
        <v>0</v>
      </c>
      <c r="AS530" s="220">
        <f t="shared" si="1647"/>
        <v>0</v>
      </c>
      <c r="AT530" s="216">
        <f t="shared" si="1648"/>
        <v>390</v>
      </c>
      <c r="AU530" s="222">
        <f>AN530-AK530</f>
        <v>53.149999999999977</v>
      </c>
      <c r="AV530" s="220"/>
      <c r="AW530" s="220">
        <f t="shared" si="1688"/>
        <v>53.149999999999977</v>
      </c>
      <c r="AX530" s="216">
        <f t="shared" si="1636"/>
        <v>0</v>
      </c>
      <c r="AY530" s="220">
        <f t="shared" si="1698"/>
        <v>0</v>
      </c>
      <c r="AZ530" s="220">
        <f t="shared" si="1699"/>
        <v>0</v>
      </c>
      <c r="BA530" s="220">
        <f t="shared" si="1700"/>
        <v>0</v>
      </c>
      <c r="BB530" s="220">
        <f t="shared" si="1701"/>
        <v>0</v>
      </c>
      <c r="BC530" s="220">
        <f t="shared" si="1702"/>
        <v>0</v>
      </c>
      <c r="BD530" s="216">
        <f t="shared" si="1599"/>
        <v>0</v>
      </c>
      <c r="BE530" s="220">
        <f t="shared" si="1689"/>
        <v>0</v>
      </c>
      <c r="BF530" s="220">
        <f t="shared" si="1690"/>
        <v>0</v>
      </c>
      <c r="BG530" s="220">
        <f t="shared" si="1691"/>
        <v>0</v>
      </c>
      <c r="BH530" s="220">
        <f t="shared" si="1692"/>
        <v>0</v>
      </c>
      <c r="BI530" s="220">
        <f t="shared" si="1693"/>
        <v>0</v>
      </c>
      <c r="BJ530" s="220" t="s">
        <v>394</v>
      </c>
      <c r="BK530" s="220"/>
      <c r="BL530" s="223">
        <f t="shared" si="1609"/>
        <v>53.149999999999977</v>
      </c>
      <c r="BM530" s="220">
        <v>4.4000000000000004</v>
      </c>
      <c r="BN530" s="220"/>
      <c r="BO530" s="220">
        <f t="shared" si="1670"/>
        <v>4.4000000000000004</v>
      </c>
      <c r="BP530" s="220">
        <f>IF(AND(BL530&gt;0,BL530&lt;tiet!$D$1),BL530,IF(BL530&lt;=0,0,IF(BL530&gt;tiet!$C$1,tiet!$C$1)))</f>
        <v>53.149999999999977</v>
      </c>
      <c r="BQ530" s="87">
        <f t="shared" si="1729"/>
        <v>65000</v>
      </c>
      <c r="BR530" s="224">
        <f t="shared" si="1730"/>
        <v>3454750</v>
      </c>
      <c r="BS530" s="220">
        <f t="shared" si="1686"/>
        <v>0</v>
      </c>
      <c r="BT530" s="224">
        <f>VLOOKUP(N530,ma_dinhmuc!$A$1:$J$31,10,0)</f>
        <v>55000</v>
      </c>
      <c r="BU530" s="224">
        <f>ROUND(IF(BS530&gt;0,VLOOKUP(N530,ma_dinhmuc!$A$1:$J$31,10,0)*BS530,0),0)</f>
        <v>0</v>
      </c>
      <c r="BV530" s="224">
        <f t="shared" si="1731"/>
        <v>3454750</v>
      </c>
      <c r="BW530" s="224"/>
      <c r="BX530" s="224">
        <v>0</v>
      </c>
      <c r="BY530" s="224"/>
      <c r="BZ530" s="224"/>
      <c r="CA530" s="224"/>
      <c r="CB530" s="224"/>
      <c r="CC530" s="225">
        <f t="shared" si="1595"/>
        <v>3454750</v>
      </c>
      <c r="CD530" s="224">
        <f t="shared" si="1596"/>
        <v>0</v>
      </c>
      <c r="CE530" s="224"/>
      <c r="CF530" s="226"/>
      <c r="CG530" s="87"/>
      <c r="CH530" s="87">
        <f t="shared" si="1677"/>
        <v>36</v>
      </c>
      <c r="CI530" s="227" t="str">
        <f t="shared" si="1732"/>
        <v>Trần Thị Thu</v>
      </c>
      <c r="CJ530" s="227" t="str">
        <f t="shared" si="1732"/>
        <v>Huyền</v>
      </c>
      <c r="CK530" s="87">
        <f t="shared" si="1733"/>
        <v>10</v>
      </c>
      <c r="CL530" s="227" t="str">
        <f t="shared" si="1662"/>
        <v>Khoa học máy tính</v>
      </c>
      <c r="CM530" s="87" t="str">
        <f t="shared" si="1694"/>
        <v>CS3</v>
      </c>
      <c r="CN530" s="87">
        <f t="shared" si="1727"/>
        <v>270</v>
      </c>
      <c r="CO530" s="87">
        <f t="shared" si="1727"/>
        <v>120</v>
      </c>
      <c r="CP530" s="229">
        <f t="shared" si="1703"/>
        <v>0</v>
      </c>
      <c r="CQ530" s="229">
        <f t="shared" si="1704"/>
        <v>35.5</v>
      </c>
      <c r="CR530" s="229">
        <f t="shared" si="1705"/>
        <v>14.3</v>
      </c>
      <c r="CS530" s="229">
        <f t="shared" si="1706"/>
        <v>25.2</v>
      </c>
      <c r="CT530" s="229">
        <f t="shared" si="1707"/>
        <v>0</v>
      </c>
      <c r="CU530" s="229">
        <f t="shared" si="1708"/>
        <v>262</v>
      </c>
      <c r="CV530" s="229">
        <f t="shared" si="1709"/>
        <v>0</v>
      </c>
      <c r="CW530" s="229">
        <f t="shared" si="1710"/>
        <v>53</v>
      </c>
      <c r="CX530" s="229">
        <f t="shared" si="1711"/>
        <v>0</v>
      </c>
      <c r="CY530" s="229">
        <f t="shared" si="1712"/>
        <v>0</v>
      </c>
      <c r="CZ530" s="229">
        <f t="shared" si="1713"/>
        <v>0</v>
      </c>
      <c r="DA530" s="229">
        <f t="shared" si="1714"/>
        <v>0</v>
      </c>
      <c r="DB530" s="228">
        <f t="shared" si="1650"/>
        <v>390</v>
      </c>
      <c r="DC530" s="229"/>
      <c r="DD530" s="229"/>
      <c r="DE530" s="229"/>
      <c r="DF530" s="229"/>
      <c r="DG530" s="229"/>
      <c r="DH530" s="229"/>
      <c r="DI530" s="229"/>
      <c r="DJ530" s="229"/>
      <c r="DK530" s="229"/>
      <c r="DL530" s="229"/>
      <c r="DM530" s="229"/>
      <c r="DN530" s="229"/>
      <c r="DO530" s="228">
        <f t="shared" si="1651"/>
        <v>0</v>
      </c>
      <c r="DP530" s="228">
        <f t="shared" si="1652"/>
        <v>390</v>
      </c>
      <c r="DQ530" s="229">
        <f t="shared" si="1715"/>
        <v>0</v>
      </c>
      <c r="DR530" s="229">
        <f t="shared" si="1716"/>
        <v>0</v>
      </c>
      <c r="DS530" s="229">
        <f t="shared" si="1717"/>
        <v>0</v>
      </c>
      <c r="DT530" s="229">
        <f t="shared" si="1718"/>
        <v>0</v>
      </c>
      <c r="DU530" s="229">
        <f t="shared" si="1719"/>
        <v>0</v>
      </c>
      <c r="DV530" s="229">
        <f t="shared" si="1720"/>
        <v>0</v>
      </c>
      <c r="DW530" s="229">
        <f t="shared" si="1721"/>
        <v>0</v>
      </c>
      <c r="DX530" s="228">
        <f t="shared" si="1653"/>
        <v>0</v>
      </c>
      <c r="DY530" s="229"/>
      <c r="DZ530" s="229"/>
      <c r="EA530" s="229"/>
      <c r="EB530" s="229"/>
      <c r="EC530" s="229"/>
      <c r="ED530" s="229"/>
      <c r="EE530" s="229"/>
      <c r="EF530" s="228">
        <f t="shared" si="1696"/>
        <v>0</v>
      </c>
      <c r="EG530" s="228">
        <f t="shared" si="1654"/>
        <v>0</v>
      </c>
      <c r="EH530" s="229">
        <f t="shared" si="1697"/>
        <v>12.5</v>
      </c>
      <c r="EI530" s="229">
        <v>0.15000000000000568</v>
      </c>
      <c r="EJ530" s="228">
        <f t="shared" si="1620"/>
        <v>12.650000000000006</v>
      </c>
      <c r="EK530" s="229"/>
      <c r="EL530" s="229"/>
      <c r="EM530" s="228">
        <f t="shared" si="1657"/>
        <v>0</v>
      </c>
      <c r="EN530" s="229">
        <f t="shared" si="1591"/>
        <v>12.5</v>
      </c>
      <c r="EO530" s="229">
        <f t="shared" si="1610"/>
        <v>0.15000000000000568</v>
      </c>
      <c r="EP530" s="228">
        <f t="shared" si="1658"/>
        <v>12.650000000000006</v>
      </c>
      <c r="EQ530" s="173">
        <f t="shared" si="1687"/>
        <v>0</v>
      </c>
      <c r="ER530" s="189">
        <v>0</v>
      </c>
      <c r="ES530" s="189">
        <v>35.5</v>
      </c>
      <c r="ET530" s="189">
        <v>14.3</v>
      </c>
      <c r="EU530" s="189">
        <v>25.2</v>
      </c>
      <c r="EV530" s="189">
        <v>0</v>
      </c>
      <c r="EW530" s="189">
        <v>262</v>
      </c>
      <c r="EX530" s="189">
        <v>0</v>
      </c>
      <c r="EY530" s="189">
        <v>53</v>
      </c>
      <c r="EZ530" s="189">
        <v>0</v>
      </c>
      <c r="FA530" s="189">
        <v>0</v>
      </c>
      <c r="FB530" s="189">
        <v>0</v>
      </c>
      <c r="FC530" s="189">
        <v>0</v>
      </c>
      <c r="FD530" s="189">
        <v>0</v>
      </c>
      <c r="FE530" s="189">
        <v>0</v>
      </c>
      <c r="FF530" s="189">
        <v>0</v>
      </c>
      <c r="FG530" s="189">
        <v>0</v>
      </c>
      <c r="FH530" s="189">
        <v>0</v>
      </c>
      <c r="FI530" s="189">
        <v>0</v>
      </c>
      <c r="FJ530" s="189">
        <v>0</v>
      </c>
      <c r="FK530" s="189">
        <v>390</v>
      </c>
      <c r="FL530" s="189">
        <v>339.2</v>
      </c>
      <c r="FN530" s="132">
        <v>12.5</v>
      </c>
    </row>
    <row r="531" spans="1:170" ht="30" customHeight="1">
      <c r="A531" s="88">
        <f>COUNTIF($H$12:H531,H531)</f>
        <v>37</v>
      </c>
      <c r="B531" s="88" t="s">
        <v>1264</v>
      </c>
      <c r="C531" s="88" t="s">
        <v>695</v>
      </c>
      <c r="D531" s="88"/>
      <c r="E531" s="88"/>
      <c r="F531" s="301" t="s">
        <v>1139</v>
      </c>
      <c r="G531" s="89" t="s">
        <v>2894</v>
      </c>
      <c r="H531" s="88">
        <v>10</v>
      </c>
      <c r="I531" s="88">
        <v>10</v>
      </c>
      <c r="J531" s="88">
        <v>10</v>
      </c>
      <c r="K531" s="90" t="s">
        <v>1112</v>
      </c>
      <c r="L531" s="90" t="s">
        <v>1112</v>
      </c>
      <c r="M531" s="214"/>
      <c r="N531" s="88" t="s">
        <v>605</v>
      </c>
      <c r="O531" s="216">
        <f t="shared" si="1656"/>
        <v>6.2</v>
      </c>
      <c r="P531" s="88" t="str">
        <f t="shared" si="1678"/>
        <v>B1_6</v>
      </c>
      <c r="Q531" s="88">
        <f t="shared" si="1567"/>
        <v>270</v>
      </c>
      <c r="R531" s="88">
        <f t="shared" si="1568"/>
        <v>170</v>
      </c>
      <c r="S531" s="230" t="s">
        <v>2031</v>
      </c>
      <c r="T531" s="88" t="s">
        <v>3091</v>
      </c>
      <c r="U531" s="88">
        <f>IF(RIGHT(T531,1)="K",(VLOOKUP(T531,ma_miengiam!$A$3:$B$80,2,0)*100)/2,VLOOKUP(T531,ma_miengiam!$A$3:$B$80,2,0)*100)</f>
        <v>20</v>
      </c>
      <c r="V531" s="88"/>
      <c r="W531" s="220">
        <f>IF(AND(T531="NTS",V531&gt;0),(Q531-(Q531*V531)/12)*VLOOKUP(T531,ma_miengiam!$A$3:$B$80,2,0)+(Q531-(Q531*(12-V531))/12),IF(AND(RIGHT(T531,1)="K",V531&gt;0),(VLOOKUP(T531,ma_miengiam!$A$3:$B$80,2,0)/2)*(Q531*V531)/12,IF(RIGHT(T531,1)="K",(VLOOKUP(T531,ma_miengiam!$A$3:$B$80,2,0)*Q531)/2,IF(V531&gt;0,VLOOKUP(T531,ma_miengiam!$A$3:$B$80,2,0)*Q531*V531/12,VLOOKUP(T531,ma_miengiam!$A$3:$B$80,2,0)*Q531))))</f>
        <v>54</v>
      </c>
      <c r="X531" s="220">
        <f>IF(T531="NTS",VLOOKUP(T531,ma_miengiam!$A$3:$B$80,2,0)*R531*V531,IF(AND(T531="NTS",V531=0),0,IF(AND(LEFT(T531,1)="K",V531=0),VLOOKUP(T531,ma_miengiam!$A$3:$B$80,2,0)*R531,IF(LEFT(T531,1)="K",(VLOOKUP(T531,ma_miengiam!$A$3:$B$80,2,0)*R531/12)*V531,IF(AND(LEFT(T531,1)="S",V531&gt;0),(R531/12)*V531,IF(AND(LEFT(T531,1)="S",V531=0),R531,IF(T531="DH",VLOOKUP(T531,ma_miengiam!$A$3:$B$80,2,0)*R531,0)))))))</f>
        <v>0</v>
      </c>
      <c r="Y531" s="220">
        <f t="shared" si="1521"/>
        <v>216</v>
      </c>
      <c r="Z531" s="220">
        <f t="shared" si="1569"/>
        <v>170</v>
      </c>
      <c r="AA531" s="220">
        <f t="shared" si="1734"/>
        <v>270</v>
      </c>
      <c r="AB531" s="220">
        <f t="shared" si="1734"/>
        <v>170</v>
      </c>
      <c r="AC531" s="220">
        <f t="shared" si="1735"/>
        <v>54</v>
      </c>
      <c r="AD531" s="220">
        <f t="shared" si="1735"/>
        <v>0</v>
      </c>
      <c r="AE531" s="220">
        <f t="shared" si="1735"/>
        <v>216</v>
      </c>
      <c r="AF531" s="220">
        <f t="shared" si="1735"/>
        <v>170</v>
      </c>
      <c r="AG531" s="220">
        <f t="shared" si="1724"/>
        <v>52.710000000000008</v>
      </c>
      <c r="AH531" s="220">
        <f t="shared" si="1725"/>
        <v>0.21000000000000796</v>
      </c>
      <c r="AI531" s="220">
        <f t="shared" si="1726"/>
        <v>52.5</v>
      </c>
      <c r="AJ531" s="220">
        <f t="shared" si="1728"/>
        <v>-117.28999999999999</v>
      </c>
      <c r="AK531" s="216">
        <f t="shared" si="1639"/>
        <v>333.28999999999996</v>
      </c>
      <c r="AL531" s="220">
        <f t="shared" si="1640"/>
        <v>106.30000000000001</v>
      </c>
      <c r="AM531" s="220">
        <f t="shared" si="1641"/>
        <v>0</v>
      </c>
      <c r="AN531" s="221">
        <f t="shared" si="1642"/>
        <v>106.30000000000001</v>
      </c>
      <c r="AO531" s="220">
        <f t="shared" si="1643"/>
        <v>0</v>
      </c>
      <c r="AP531" s="220">
        <f t="shared" si="1644"/>
        <v>0</v>
      </c>
      <c r="AQ531" s="220">
        <f t="shared" si="1645"/>
        <v>0</v>
      </c>
      <c r="AR531" s="220">
        <f t="shared" si="1646"/>
        <v>0</v>
      </c>
      <c r="AS531" s="220">
        <f t="shared" si="1647"/>
        <v>0</v>
      </c>
      <c r="AT531" s="216">
        <f t="shared" si="1648"/>
        <v>106.30000000000001</v>
      </c>
      <c r="AU531" s="222">
        <f>AN531-AK531</f>
        <v>-226.98999999999995</v>
      </c>
      <c r="AV531" s="220"/>
      <c r="AW531" s="220">
        <f t="shared" si="1688"/>
        <v>-226.98999999999995</v>
      </c>
      <c r="AX531" s="216">
        <f t="shared" si="1636"/>
        <v>-226.98999999999995</v>
      </c>
      <c r="AY531" s="220">
        <f t="shared" si="1698"/>
        <v>0</v>
      </c>
      <c r="AZ531" s="220">
        <f t="shared" si="1699"/>
        <v>0</v>
      </c>
      <c r="BA531" s="220">
        <f t="shared" si="1700"/>
        <v>0</v>
      </c>
      <c r="BB531" s="220">
        <f t="shared" si="1701"/>
        <v>0</v>
      </c>
      <c r="BC531" s="220">
        <f t="shared" si="1702"/>
        <v>0</v>
      </c>
      <c r="BD531" s="216">
        <f t="shared" si="1599"/>
        <v>0</v>
      </c>
      <c r="BE531" s="220">
        <f t="shared" si="1689"/>
        <v>0</v>
      </c>
      <c r="BF531" s="220">
        <f t="shared" si="1690"/>
        <v>0</v>
      </c>
      <c r="BG531" s="220">
        <f t="shared" si="1691"/>
        <v>0</v>
      </c>
      <c r="BH531" s="220">
        <f t="shared" si="1692"/>
        <v>0</v>
      </c>
      <c r="BI531" s="220">
        <f t="shared" si="1693"/>
        <v>0</v>
      </c>
      <c r="BJ531" s="220" t="s">
        <v>394</v>
      </c>
      <c r="BK531" s="220"/>
      <c r="BL531" s="223">
        <f t="shared" si="1609"/>
        <v>0</v>
      </c>
      <c r="BM531" s="220">
        <v>6.2</v>
      </c>
      <c r="BN531" s="220"/>
      <c r="BO531" s="220">
        <f t="shared" si="1670"/>
        <v>6.2</v>
      </c>
      <c r="BP531" s="220">
        <f>IF(AND(BL531&gt;0,BL531&lt;tiet!$D$1),BL531,IF(BL531&lt;=0,0,IF(BL531&gt;tiet!$C$1,tiet!$C$1)))</f>
        <v>0</v>
      </c>
      <c r="BQ531" s="87">
        <f t="shared" si="1729"/>
        <v>75000</v>
      </c>
      <c r="BR531" s="224">
        <f t="shared" si="1730"/>
        <v>0</v>
      </c>
      <c r="BS531" s="220">
        <f t="shared" si="1686"/>
        <v>0</v>
      </c>
      <c r="BT531" s="224">
        <f>VLOOKUP(N531,ma_dinhmuc!$A$1:$J$31,10,0)</f>
        <v>65000</v>
      </c>
      <c r="BU531" s="224">
        <f>ROUND(IF(BS531&gt;0,VLOOKUP(N531,ma_dinhmuc!$A$1:$J$31,10,0)*BS531,0),0)</f>
        <v>0</v>
      </c>
      <c r="BV531" s="224">
        <f t="shared" si="1731"/>
        <v>0</v>
      </c>
      <c r="BW531" s="224"/>
      <c r="BX531" s="224">
        <v>0</v>
      </c>
      <c r="BY531" s="224"/>
      <c r="BZ531" s="224"/>
      <c r="CA531" s="224"/>
      <c r="CB531" s="224"/>
      <c r="CC531" s="225">
        <f t="shared" si="1595"/>
        <v>0</v>
      </c>
      <c r="CD531" s="224">
        <f t="shared" si="1596"/>
        <v>0</v>
      </c>
      <c r="CE531" s="224"/>
      <c r="CF531" s="226"/>
      <c r="CG531" s="87"/>
      <c r="CH531" s="87">
        <f t="shared" ref="CH531:CH540" si="1736">A531</f>
        <v>37</v>
      </c>
      <c r="CI531" s="227" t="str">
        <f t="shared" si="1732"/>
        <v>Nguyễn Thị</v>
      </c>
      <c r="CJ531" s="227" t="str">
        <f t="shared" si="1732"/>
        <v>Thuỷ</v>
      </c>
      <c r="CK531" s="87">
        <f t="shared" si="1733"/>
        <v>10</v>
      </c>
      <c r="CL531" s="227" t="str">
        <f t="shared" si="1662"/>
        <v>Khoa học máy tính</v>
      </c>
      <c r="CM531" s="87" t="str">
        <f t="shared" si="1694"/>
        <v>CS4</v>
      </c>
      <c r="CN531" s="87">
        <f t="shared" ref="CN531:CO536" si="1737">Q531</f>
        <v>270</v>
      </c>
      <c r="CO531" s="87">
        <f t="shared" si="1737"/>
        <v>170</v>
      </c>
      <c r="CP531" s="229">
        <f t="shared" si="1703"/>
        <v>0</v>
      </c>
      <c r="CQ531" s="229">
        <f t="shared" si="1704"/>
        <v>14.5</v>
      </c>
      <c r="CR531" s="229">
        <f t="shared" si="1705"/>
        <v>5.9</v>
      </c>
      <c r="CS531" s="229">
        <f t="shared" si="1706"/>
        <v>0</v>
      </c>
      <c r="CT531" s="229">
        <f t="shared" si="1707"/>
        <v>0</v>
      </c>
      <c r="CU531" s="229">
        <f t="shared" si="1708"/>
        <v>77.900000000000006</v>
      </c>
      <c r="CV531" s="229">
        <f t="shared" si="1709"/>
        <v>0</v>
      </c>
      <c r="CW531" s="229">
        <f t="shared" si="1710"/>
        <v>8</v>
      </c>
      <c r="CX531" s="229">
        <f t="shared" si="1711"/>
        <v>0</v>
      </c>
      <c r="CY531" s="229">
        <f t="shared" si="1712"/>
        <v>0</v>
      </c>
      <c r="CZ531" s="229">
        <f t="shared" si="1713"/>
        <v>0</v>
      </c>
      <c r="DA531" s="229">
        <f t="shared" si="1714"/>
        <v>0</v>
      </c>
      <c r="DB531" s="228">
        <f t="shared" si="1650"/>
        <v>106.30000000000001</v>
      </c>
      <c r="DC531" s="229"/>
      <c r="DD531" s="229"/>
      <c r="DE531" s="229"/>
      <c r="DF531" s="229"/>
      <c r="DG531" s="229"/>
      <c r="DH531" s="229"/>
      <c r="DI531" s="229"/>
      <c r="DJ531" s="229"/>
      <c r="DK531" s="229"/>
      <c r="DL531" s="229"/>
      <c r="DM531" s="229"/>
      <c r="DN531" s="229"/>
      <c r="DO531" s="228">
        <f t="shared" si="1651"/>
        <v>0</v>
      </c>
      <c r="DP531" s="228">
        <f t="shared" si="1652"/>
        <v>106.30000000000001</v>
      </c>
      <c r="DQ531" s="229">
        <f t="shared" si="1715"/>
        <v>0</v>
      </c>
      <c r="DR531" s="229">
        <f t="shared" si="1716"/>
        <v>0</v>
      </c>
      <c r="DS531" s="229">
        <f t="shared" si="1717"/>
        <v>0</v>
      </c>
      <c r="DT531" s="229">
        <f t="shared" si="1718"/>
        <v>0</v>
      </c>
      <c r="DU531" s="229">
        <f t="shared" si="1719"/>
        <v>0</v>
      </c>
      <c r="DV531" s="229">
        <f t="shared" si="1720"/>
        <v>0</v>
      </c>
      <c r="DW531" s="229">
        <f t="shared" si="1721"/>
        <v>0</v>
      </c>
      <c r="DX531" s="228">
        <f t="shared" si="1653"/>
        <v>0</v>
      </c>
      <c r="DY531" s="229"/>
      <c r="DZ531" s="229"/>
      <c r="EA531" s="229"/>
      <c r="EB531" s="229"/>
      <c r="EC531" s="229"/>
      <c r="ED531" s="229"/>
      <c r="EE531" s="229"/>
      <c r="EF531" s="228">
        <f t="shared" si="1696"/>
        <v>0</v>
      </c>
      <c r="EG531" s="228">
        <f t="shared" si="1654"/>
        <v>0</v>
      </c>
      <c r="EH531" s="229">
        <f t="shared" si="1697"/>
        <v>52.5</v>
      </c>
      <c r="EI531" s="229">
        <v>0.21000000000000796</v>
      </c>
      <c r="EJ531" s="228">
        <f t="shared" si="1620"/>
        <v>52.710000000000008</v>
      </c>
      <c r="EK531" s="229"/>
      <c r="EL531" s="229"/>
      <c r="EM531" s="228">
        <f t="shared" si="1657"/>
        <v>0</v>
      </c>
      <c r="EN531" s="229">
        <f t="shared" si="1591"/>
        <v>52.5</v>
      </c>
      <c r="EO531" s="229">
        <f t="shared" si="1610"/>
        <v>0.21000000000000796</v>
      </c>
      <c r="EP531" s="228">
        <f t="shared" si="1658"/>
        <v>52.710000000000008</v>
      </c>
      <c r="EQ531" s="173">
        <f t="shared" si="1687"/>
        <v>0</v>
      </c>
      <c r="ER531" s="189">
        <v>0</v>
      </c>
      <c r="ES531" s="189">
        <v>14.5</v>
      </c>
      <c r="ET531" s="189">
        <v>5.9</v>
      </c>
      <c r="EU531" s="189">
        <v>0</v>
      </c>
      <c r="EV531" s="189">
        <v>0</v>
      </c>
      <c r="EW531" s="189">
        <v>77.900000000000006</v>
      </c>
      <c r="EX531" s="189">
        <v>0</v>
      </c>
      <c r="EY531" s="189">
        <v>8</v>
      </c>
      <c r="EZ531" s="189">
        <v>0</v>
      </c>
      <c r="FA531" s="189">
        <v>0</v>
      </c>
      <c r="FB531" s="189">
        <v>0</v>
      </c>
      <c r="FC531" s="189">
        <v>0</v>
      </c>
      <c r="FD531" s="189">
        <v>0</v>
      </c>
      <c r="FE531" s="189">
        <v>0</v>
      </c>
      <c r="FF531" s="189">
        <v>0</v>
      </c>
      <c r="FG531" s="189">
        <v>0</v>
      </c>
      <c r="FH531" s="189">
        <v>0</v>
      </c>
      <c r="FI531" s="189">
        <v>0</v>
      </c>
      <c r="FJ531" s="189">
        <v>0</v>
      </c>
      <c r="FK531" s="189">
        <v>106.3</v>
      </c>
      <c r="FL531" s="189">
        <v>79</v>
      </c>
      <c r="FN531" s="132">
        <v>52.5</v>
      </c>
    </row>
    <row r="532" spans="1:170" ht="30" customHeight="1">
      <c r="A532" s="88">
        <f>COUNTIF($H$12:H532,H532)</f>
        <v>38</v>
      </c>
      <c r="B532" s="88" t="s">
        <v>1265</v>
      </c>
      <c r="C532" s="88" t="s">
        <v>696</v>
      </c>
      <c r="D532" s="88"/>
      <c r="E532" s="88"/>
      <c r="F532" s="301" t="s">
        <v>2972</v>
      </c>
      <c r="G532" s="303" t="s">
        <v>2086</v>
      </c>
      <c r="H532" s="88">
        <v>10</v>
      </c>
      <c r="I532" s="88">
        <v>10</v>
      </c>
      <c r="J532" s="88">
        <v>10</v>
      </c>
      <c r="K532" s="90" t="s">
        <v>1112</v>
      </c>
      <c r="L532" s="90" t="s">
        <v>1112</v>
      </c>
      <c r="M532" s="214"/>
      <c r="N532" s="88" t="s">
        <v>606</v>
      </c>
      <c r="O532" s="216">
        <f>BO532</f>
        <v>5.42</v>
      </c>
      <c r="P532" s="88" t="str">
        <f t="shared" si="1678"/>
        <v>B1_6</v>
      </c>
      <c r="Q532" s="88">
        <f t="shared" si="1567"/>
        <v>270</v>
      </c>
      <c r="R532" s="88">
        <f t="shared" si="1568"/>
        <v>170</v>
      </c>
      <c r="S532" s="218" t="s">
        <v>348</v>
      </c>
      <c r="T532" s="88" t="s">
        <v>3090</v>
      </c>
      <c r="U532" s="88">
        <f>IF(RIGHT(T532,1)="K",(VLOOKUP(T532,ma_miengiam!$A$3:$B$80,2,0)*100)/2,VLOOKUP(T532,ma_miengiam!$A$3:$B$80,2,0)*100)</f>
        <v>15</v>
      </c>
      <c r="V532" s="88"/>
      <c r="W532" s="220">
        <f>IF(AND(T532="NTS",V532&gt;0),(Q532-(Q532*V532)/12)*VLOOKUP(T532,ma_miengiam!$A$3:$B$80,2,0)+(Q532-(Q532*(12-V532))/12),IF(AND(RIGHT(T532,1)="K",V532&gt;0),(VLOOKUP(T532,ma_miengiam!$A$3:$B$80,2,0)/2)*(Q532*V532)/12,IF(RIGHT(T532,1)="K",(VLOOKUP(T532,ma_miengiam!$A$3:$B$80,2,0)*Q532)/2,IF(V532&gt;0,VLOOKUP(T532,ma_miengiam!$A$3:$B$80,2,0)*Q532*V532/12,VLOOKUP(T532,ma_miengiam!$A$3:$B$80,2,0)*Q532))))</f>
        <v>40.5</v>
      </c>
      <c r="X532" s="220">
        <f>IF(T532="NTS",VLOOKUP(T532,ma_miengiam!$A$3:$B$80,2,0)*R532*V532,IF(AND(T532="NTS",V532=0),0,IF(AND(LEFT(T532,1)="K",V532=0),VLOOKUP(T532,ma_miengiam!$A$3:$B$80,2,0)*R532,IF(LEFT(T532,1)="K",(VLOOKUP(T532,ma_miengiam!$A$3:$B$80,2,0)*R532/12)*V532,IF(AND(LEFT(T532,1)="S",V532&gt;0),(R532/12)*V532,IF(AND(LEFT(T532,1)="S",V532=0),R532,IF(T532="DH",VLOOKUP(T532,ma_miengiam!$A$3:$B$80,2,0)*R532,0)))))))</f>
        <v>0</v>
      </c>
      <c r="Y532" s="220">
        <f>IF(AND(T532="DH",V532&gt;0),(S532*V532/12),IF(AND(T532&lt;&gt;"NTS",V532&gt;0),(Q532*V532/12)-W532,IF(AND(T532="NTS",V532&gt;0),Q532-W532,Q532-W532)))</f>
        <v>229.5</v>
      </c>
      <c r="Z532" s="220">
        <f>IF(AND(T532="SĐH",V532&gt;0),(R532/12)*V532-X532,IF(AND(T532="DH",V532&gt;0),(R532*V532/12),IF(AND(T532&lt;&gt;"NTS",V532&gt;0),(R532*V532/12)-X532,IF(AND(T532="NTS",V532&gt;0),R532-X532,R532-X532))))</f>
        <v>170</v>
      </c>
      <c r="AA532" s="220">
        <f t="shared" si="1734"/>
        <v>270</v>
      </c>
      <c r="AB532" s="220">
        <f t="shared" si="1734"/>
        <v>170</v>
      </c>
      <c r="AC532" s="220">
        <f t="shared" si="1735"/>
        <v>40.5</v>
      </c>
      <c r="AD532" s="220">
        <f t="shared" si="1735"/>
        <v>0</v>
      </c>
      <c r="AE532" s="220">
        <f t="shared" si="1735"/>
        <v>229.5</v>
      </c>
      <c r="AF532" s="220">
        <f t="shared" si="1735"/>
        <v>170</v>
      </c>
      <c r="AG532" s="220">
        <f t="shared" si="1724"/>
        <v>0</v>
      </c>
      <c r="AH532" s="220">
        <f t="shared" si="1725"/>
        <v>0</v>
      </c>
      <c r="AI532" s="220">
        <f t="shared" si="1726"/>
        <v>0</v>
      </c>
      <c r="AJ532" s="220">
        <f t="shared" si="1728"/>
        <v>-170</v>
      </c>
      <c r="AK532" s="216">
        <f t="shared" si="1639"/>
        <v>399.5</v>
      </c>
      <c r="AL532" s="220">
        <f t="shared" si="1640"/>
        <v>119.2</v>
      </c>
      <c r="AM532" s="220">
        <f t="shared" si="1641"/>
        <v>0</v>
      </c>
      <c r="AN532" s="221">
        <f t="shared" si="1642"/>
        <v>119.2</v>
      </c>
      <c r="AO532" s="220">
        <f t="shared" si="1643"/>
        <v>0</v>
      </c>
      <c r="AP532" s="220">
        <f t="shared" si="1644"/>
        <v>0</v>
      </c>
      <c r="AQ532" s="220">
        <f t="shared" si="1645"/>
        <v>0</v>
      </c>
      <c r="AR532" s="220">
        <f t="shared" si="1646"/>
        <v>0</v>
      </c>
      <c r="AS532" s="220">
        <f t="shared" si="1647"/>
        <v>0</v>
      </c>
      <c r="AT532" s="216">
        <f t="shared" si="1648"/>
        <v>119.2</v>
      </c>
      <c r="AU532" s="222">
        <f>AN532-AK532</f>
        <v>-280.3</v>
      </c>
      <c r="AV532" s="220"/>
      <c r="AW532" s="220">
        <f>IF(AU532&gt;0,AU532,AV532+AU532)</f>
        <v>-280.3</v>
      </c>
      <c r="AX532" s="216">
        <f t="shared" si="1636"/>
        <v>-280.3</v>
      </c>
      <c r="AY532" s="220">
        <f>IF(AN532&gt;=AK532,AO532,IF(AN532+AO532-AK532&gt;=0,AN532+AO532-AK532,0))</f>
        <v>0</v>
      </c>
      <c r="AZ532" s="220">
        <f>IF(OR(AN532&gt;=AK532,AN532+AO532&gt;=AK532),AP532,IF(AN532+AO532+AP532&gt;AK532,AN532+AO532+AP532-AK532,0))</f>
        <v>0</v>
      </c>
      <c r="BA532" s="220">
        <f>IF(OR(AN532&gt;=AK532,AN532+AO532&gt;=AK532,AN532+AO532+AP532&gt;=AK532),AQ532,IF(AN532+AO532+AP532+AQ532&gt;=AK532,AN532+AO532+AP532+AQ532-AK532,0))</f>
        <v>0</v>
      </c>
      <c r="BB532" s="220">
        <f>IF(OR(AN532&gt;=AK532,AN532+AO532&gt;=AK532,AN532+AO532+AP532&gt;=AK532,AN532+AO532+AP532+AQ532&gt;=AK532),AR532,IF(AN532+AO532+AP532+AQ532+AR532&gt;=AK532,AN532+AO532+AP532+AQ532+AR532-AK532,0))</f>
        <v>0</v>
      </c>
      <c r="BC532" s="220">
        <f>IF(OR(AN532&gt;=AK532,AN532+AO532&gt;=AK532,AN532+AO532+AP532&gt;=AK532,AN532+AO532+AP532+AQ532&gt;=AK532,AN532+AO532+AP532+AQ532+AR532&gt;=AK532),AS532,IF(AN532+AO532+AP532+AQ532+AR532+AS532&gt;=AK532,AN532+AO532+AP532+AQ532+AR532+AS532-AK532,0))</f>
        <v>0</v>
      </c>
      <c r="BD532" s="216">
        <f t="shared" si="1599"/>
        <v>0</v>
      </c>
      <c r="BE532" s="220">
        <f t="shared" ref="BE532:BI533" si="1738">AY532-AO532</f>
        <v>0</v>
      </c>
      <c r="BF532" s="220">
        <f t="shared" si="1738"/>
        <v>0</v>
      </c>
      <c r="BG532" s="220">
        <f t="shared" si="1738"/>
        <v>0</v>
      </c>
      <c r="BH532" s="220">
        <f t="shared" si="1738"/>
        <v>0</v>
      </c>
      <c r="BI532" s="220">
        <f t="shared" si="1738"/>
        <v>0</v>
      </c>
      <c r="BJ532" s="220" t="s">
        <v>394</v>
      </c>
      <c r="BK532" s="220"/>
      <c r="BL532" s="223">
        <f t="shared" si="1609"/>
        <v>0</v>
      </c>
      <c r="BM532" s="220">
        <v>5.42</v>
      </c>
      <c r="BN532" s="220"/>
      <c r="BO532" s="220">
        <f>ROUND(BM532+(BM532*BN532),2)</f>
        <v>5.42</v>
      </c>
      <c r="BP532" s="220">
        <f>IF(AND(BL532&gt;0,BL532&lt;tiet!$D$1),BL532,IF(BL532&lt;=0,0,IF(BL532&gt;tiet!$C$1,tiet!$C$1)))</f>
        <v>0</v>
      </c>
      <c r="BQ532" s="87">
        <f t="shared" si="1729"/>
        <v>75000</v>
      </c>
      <c r="BR532" s="224">
        <f t="shared" si="1730"/>
        <v>0</v>
      </c>
      <c r="BS532" s="220">
        <f t="shared" si="1686"/>
        <v>0</v>
      </c>
      <c r="BT532" s="224">
        <f>VLOOKUP(N532,ma_dinhmuc!$A$1:$J$31,10,0)</f>
        <v>55000</v>
      </c>
      <c r="BU532" s="224">
        <f>ROUND(IF(BS532&gt;0,VLOOKUP(N532,ma_dinhmuc!$A$1:$J$31,10,0)*BS532,0),0)</f>
        <v>0</v>
      </c>
      <c r="BV532" s="224">
        <f t="shared" si="1731"/>
        <v>0</v>
      </c>
      <c r="BW532" s="224"/>
      <c r="BX532" s="224">
        <v>0</v>
      </c>
      <c r="BY532" s="224"/>
      <c r="BZ532" s="224"/>
      <c r="CA532" s="224"/>
      <c r="CB532" s="224"/>
      <c r="CC532" s="225">
        <f>ROUND(IF(BV532+BW532&gt;BX532+BY532+BZ532+CA532+CB532,(BW532+BV532)-(BX532+BY532+BZ532+CA532+CB532+CB532),0),0)</f>
        <v>0</v>
      </c>
      <c r="CD532" s="224">
        <f>ROUND(IF(BV532+BW532&lt;BX532+BY532+BZ532+CA532-CB532,(BX532+BY532+BZ532+CA532-CB532)-(BW532+BV532),0),0)</f>
        <v>0</v>
      </c>
      <c r="CE532" s="224"/>
      <c r="CF532" s="226"/>
      <c r="CG532" s="87"/>
      <c r="CH532" s="87">
        <f>A532</f>
        <v>38</v>
      </c>
      <c r="CI532" s="227" t="str">
        <f t="shared" si="1732"/>
        <v>Ngô Tuấn</v>
      </c>
      <c r="CJ532" s="227" t="str">
        <f t="shared" si="1732"/>
        <v>Anh</v>
      </c>
      <c r="CK532" s="87">
        <f t="shared" si="1733"/>
        <v>10</v>
      </c>
      <c r="CL532" s="227" t="str">
        <f>L532</f>
        <v>Khoa học máy tính</v>
      </c>
      <c r="CM532" s="87" t="str">
        <f>N532</f>
        <v>CS3</v>
      </c>
      <c r="CN532" s="87">
        <f t="shared" si="1737"/>
        <v>270</v>
      </c>
      <c r="CO532" s="87">
        <f t="shared" si="1737"/>
        <v>170</v>
      </c>
      <c r="CP532" s="229">
        <f t="shared" si="1703"/>
        <v>0</v>
      </c>
      <c r="CQ532" s="229">
        <f t="shared" si="1704"/>
        <v>10.1</v>
      </c>
      <c r="CR532" s="229">
        <f t="shared" si="1705"/>
        <v>4.0999999999999996</v>
      </c>
      <c r="CS532" s="229">
        <f t="shared" si="1706"/>
        <v>0</v>
      </c>
      <c r="CT532" s="229">
        <f t="shared" si="1707"/>
        <v>0</v>
      </c>
      <c r="CU532" s="229">
        <f t="shared" si="1708"/>
        <v>97</v>
      </c>
      <c r="CV532" s="229">
        <f t="shared" si="1709"/>
        <v>0</v>
      </c>
      <c r="CW532" s="229">
        <f t="shared" si="1710"/>
        <v>8</v>
      </c>
      <c r="CX532" s="229">
        <f t="shared" si="1711"/>
        <v>0</v>
      </c>
      <c r="CY532" s="229">
        <f t="shared" si="1712"/>
        <v>0</v>
      </c>
      <c r="CZ532" s="229">
        <f t="shared" si="1713"/>
        <v>0</v>
      </c>
      <c r="DA532" s="229">
        <f t="shared" si="1714"/>
        <v>0</v>
      </c>
      <c r="DB532" s="228">
        <f t="shared" si="1650"/>
        <v>119.2</v>
      </c>
      <c r="DC532" s="229"/>
      <c r="DD532" s="229"/>
      <c r="DE532" s="229"/>
      <c r="DF532" s="229"/>
      <c r="DG532" s="229"/>
      <c r="DH532" s="229"/>
      <c r="DI532" s="229"/>
      <c r="DJ532" s="229"/>
      <c r="DK532" s="229"/>
      <c r="DL532" s="229"/>
      <c r="DM532" s="229"/>
      <c r="DN532" s="229"/>
      <c r="DO532" s="228">
        <f t="shared" si="1651"/>
        <v>0</v>
      </c>
      <c r="DP532" s="228">
        <f t="shared" si="1652"/>
        <v>119.2</v>
      </c>
      <c r="DQ532" s="229">
        <f t="shared" si="1715"/>
        <v>0</v>
      </c>
      <c r="DR532" s="229">
        <f t="shared" si="1716"/>
        <v>0</v>
      </c>
      <c r="DS532" s="229">
        <f t="shared" si="1717"/>
        <v>0</v>
      </c>
      <c r="DT532" s="229">
        <f t="shared" si="1718"/>
        <v>0</v>
      </c>
      <c r="DU532" s="229">
        <f t="shared" si="1719"/>
        <v>0</v>
      </c>
      <c r="DV532" s="229">
        <f t="shared" si="1720"/>
        <v>0</v>
      </c>
      <c r="DW532" s="229">
        <f t="shared" si="1721"/>
        <v>0</v>
      </c>
      <c r="DX532" s="228">
        <f t="shared" si="1653"/>
        <v>0</v>
      </c>
      <c r="DY532" s="229"/>
      <c r="DZ532" s="229"/>
      <c r="EA532" s="229"/>
      <c r="EB532" s="229"/>
      <c r="EC532" s="229"/>
      <c r="ED532" s="229"/>
      <c r="EE532" s="229"/>
      <c r="EF532" s="228">
        <f t="shared" si="1696"/>
        <v>0</v>
      </c>
      <c r="EG532" s="228">
        <f t="shared" si="1654"/>
        <v>0</v>
      </c>
      <c r="EH532" s="229">
        <f t="shared" si="1697"/>
        <v>0</v>
      </c>
      <c r="EI532" s="229">
        <v>0</v>
      </c>
      <c r="EJ532" s="228">
        <f t="shared" si="1620"/>
        <v>0</v>
      </c>
      <c r="EK532" s="229"/>
      <c r="EL532" s="229"/>
      <c r="EM532" s="228">
        <f t="shared" ref="EM532:EM540" si="1739">SUM(EK532:EL532)</f>
        <v>0</v>
      </c>
      <c r="EN532" s="229">
        <f>EK532+EH532+EL532</f>
        <v>0</v>
      </c>
      <c r="EO532" s="229">
        <f>EI532</f>
        <v>0</v>
      </c>
      <c r="EP532" s="228">
        <f>EM532+EJ532</f>
        <v>0</v>
      </c>
      <c r="EQ532" s="173">
        <f t="shared" si="1687"/>
        <v>0</v>
      </c>
      <c r="ER532" s="189">
        <v>0</v>
      </c>
      <c r="ES532" s="189">
        <v>10.1</v>
      </c>
      <c r="ET532" s="189">
        <v>4.0999999999999996</v>
      </c>
      <c r="EU532" s="189">
        <v>0</v>
      </c>
      <c r="EV532" s="189">
        <v>0</v>
      </c>
      <c r="EW532" s="189">
        <v>97</v>
      </c>
      <c r="EX532" s="189">
        <v>0</v>
      </c>
      <c r="EY532" s="189">
        <v>8</v>
      </c>
      <c r="EZ532" s="189">
        <v>0</v>
      </c>
      <c r="FA532" s="189">
        <v>0</v>
      </c>
      <c r="FB532" s="189">
        <v>0</v>
      </c>
      <c r="FC532" s="189">
        <v>0</v>
      </c>
      <c r="FD532" s="189">
        <v>0</v>
      </c>
      <c r="FE532" s="189">
        <v>0</v>
      </c>
      <c r="FF532" s="189">
        <v>0</v>
      </c>
      <c r="FG532" s="189">
        <v>0</v>
      </c>
      <c r="FH532" s="189">
        <v>0</v>
      </c>
      <c r="FI532" s="189">
        <v>0</v>
      </c>
      <c r="FJ532" s="189">
        <v>0</v>
      </c>
      <c r="FK532" s="189">
        <v>119.2</v>
      </c>
      <c r="FL532" s="189">
        <v>111</v>
      </c>
      <c r="FN532" s="132">
        <v>0</v>
      </c>
    </row>
    <row r="533" spans="1:170" ht="30" customHeight="1">
      <c r="A533" s="88">
        <f>COUNTIF($H$12:H533,H533)</f>
        <v>39</v>
      </c>
      <c r="B533" s="88" t="s">
        <v>1266</v>
      </c>
      <c r="C533" s="88" t="s">
        <v>697</v>
      </c>
      <c r="D533" s="88"/>
      <c r="E533" s="88"/>
      <c r="F533" s="301" t="s">
        <v>724</v>
      </c>
      <c r="G533" s="89" t="s">
        <v>2973</v>
      </c>
      <c r="H533" s="88">
        <v>10</v>
      </c>
      <c r="I533" s="88">
        <v>10</v>
      </c>
      <c r="J533" s="88">
        <v>10</v>
      </c>
      <c r="K533" s="90" t="s">
        <v>1112</v>
      </c>
      <c r="L533" s="90" t="s">
        <v>1112</v>
      </c>
      <c r="M533" s="214"/>
      <c r="N533" s="88" t="s">
        <v>1804</v>
      </c>
      <c r="O533" s="216">
        <f>BO533</f>
        <v>3.33</v>
      </c>
      <c r="P533" s="88" t="str">
        <f t="shared" si="1678"/>
        <v>B1_4</v>
      </c>
      <c r="Q533" s="88">
        <f t="shared" si="1567"/>
        <v>270</v>
      </c>
      <c r="R533" s="88">
        <f t="shared" si="1568"/>
        <v>120</v>
      </c>
      <c r="S533" s="218"/>
      <c r="T533" s="88" t="s">
        <v>3088</v>
      </c>
      <c r="U533" s="88">
        <f>IF(RIGHT(T533,1)="K",(VLOOKUP(T533,ma_miengiam!$A$3:$B$80,2,0)*100)/2,VLOOKUP(T533,ma_miengiam!$A$3:$B$80,2,0)*100)</f>
        <v>0</v>
      </c>
      <c r="V533" s="88"/>
      <c r="W533" s="220">
        <f>IF(AND(T533="NTS",V533&gt;0),(Q533-(Q533*V533)/12)*VLOOKUP(T533,ma_miengiam!$A$3:$B$80,2,0)+(Q533-(Q533*(12-V533))/12),IF(AND(RIGHT(T533,1)="K",V533&gt;0),(VLOOKUP(T533,ma_miengiam!$A$3:$B$80,2,0)/2)*(Q533*V533)/12,IF(RIGHT(T533,1)="K",(VLOOKUP(T533,ma_miengiam!$A$3:$B$80,2,0)*Q533)/2,IF(V533&gt;0,VLOOKUP(T533,ma_miengiam!$A$3:$B$80,2,0)*Q533*V533/12,VLOOKUP(T533,ma_miengiam!$A$3:$B$80,2,0)*Q533))))</f>
        <v>0</v>
      </c>
      <c r="X533" s="220">
        <f>IF(T533="NTS",VLOOKUP(T533,ma_miengiam!$A$3:$B$80,2,0)*R533*V533,IF(AND(T533="NTS",V533=0),0,IF(AND(LEFT(T533,1)="K",V533=0),VLOOKUP(T533,ma_miengiam!$A$3:$B$80,2,0)*R533,IF(LEFT(T533,1)="K",(VLOOKUP(T533,ma_miengiam!$A$3:$B$80,2,0)*R533/12)*V533,IF(AND(LEFT(T533,1)="S",V533&gt;0),(R533/12)*V533,IF(AND(LEFT(T533,1)="S",V533=0),R533,IF(T533="DH",VLOOKUP(T533,ma_miengiam!$A$3:$B$80,2,0)*R533,0)))))))</f>
        <v>0</v>
      </c>
      <c r="Y533" s="220">
        <f>IF(AND(T533="DH",V533&gt;0),(S533*V533/12),IF(AND(T533&lt;&gt;"NTS",V533&gt;0),(Q533*V533/12)-W533,IF(AND(T533="NTS",V533&gt;0),Q533-W533,Q533-W533)))</f>
        <v>270</v>
      </c>
      <c r="Z533" s="220">
        <f>IF(AND(T533="SĐH",V533&gt;0),(R533/12)*V533-X533,IF(AND(T533="DH",V533&gt;0),(R533*V533/12),IF(AND(T533&lt;&gt;"NTS",V533&gt;0),(R533*V533/12)-X533,IF(AND(T533="NTS",V533&gt;0),R533-X533,R533-X533))))</f>
        <v>120</v>
      </c>
      <c r="AA533" s="220">
        <f>Q533</f>
        <v>270</v>
      </c>
      <c r="AB533" s="220">
        <f>R533</f>
        <v>120</v>
      </c>
      <c r="AC533" s="220">
        <f t="shared" ref="AC533:AF534" si="1740">W533</f>
        <v>0</v>
      </c>
      <c r="AD533" s="220">
        <f t="shared" si="1740"/>
        <v>0</v>
      </c>
      <c r="AE533" s="220">
        <f t="shared" si="1740"/>
        <v>270</v>
      </c>
      <c r="AF533" s="220">
        <f t="shared" si="1740"/>
        <v>120</v>
      </c>
      <c r="AG533" s="220">
        <f t="shared" ref="AG533:AG540" si="1741">AH533+AI533</f>
        <v>56.379999999999995</v>
      </c>
      <c r="AH533" s="220">
        <f t="shared" ref="AH533:AH540" si="1742">EO533</f>
        <v>0.12999999999999545</v>
      </c>
      <c r="AI533" s="220">
        <f t="shared" ref="AI533:AI540" si="1743">EN533</f>
        <v>56.25</v>
      </c>
      <c r="AJ533" s="220">
        <f>IF(AG533-Z533&gt;0,0,AG533-Z533)</f>
        <v>-63.620000000000005</v>
      </c>
      <c r="AK533" s="216">
        <f t="shared" si="1639"/>
        <v>333.62</v>
      </c>
      <c r="AL533" s="220">
        <f>SUM(CP533:CX533)+SUM(DC533:DK533)</f>
        <v>146.30000000000001</v>
      </c>
      <c r="AM533" s="220">
        <f>SUM(DQ533:DU533)+SUM(DY533:EC533)</f>
        <v>0</v>
      </c>
      <c r="AN533" s="221">
        <f>AM533+AL533</f>
        <v>146.30000000000001</v>
      </c>
      <c r="AO533" s="220">
        <f>CY533+DL533</f>
        <v>0</v>
      </c>
      <c r="AP533" s="220">
        <f>CZ533+DM533</f>
        <v>0</v>
      </c>
      <c r="AQ533" s="220">
        <f>DA533+DN533</f>
        <v>60</v>
      </c>
      <c r="AR533" s="220">
        <f>DV533+ED533</f>
        <v>0</v>
      </c>
      <c r="AS533" s="220">
        <f>DW533+EE533</f>
        <v>0</v>
      </c>
      <c r="AT533" s="216">
        <f>AN533+SUM(AO533:AS533)</f>
        <v>206.3</v>
      </c>
      <c r="AU533" s="222">
        <f t="shared" ref="AU533:AU540" si="1744">AN533-AK533</f>
        <v>-187.32</v>
      </c>
      <c r="AV533" s="220"/>
      <c r="AW533" s="220">
        <f>IF(AU533&gt;0,AU533,AV533+AU533)</f>
        <v>-187.32</v>
      </c>
      <c r="AX533" s="216">
        <f t="shared" si="1636"/>
        <v>-187.32</v>
      </c>
      <c r="AY533" s="220">
        <f>IF(AN533&gt;=AK533,AO533,IF(AN533+AO533-AK533&gt;=0,AN533+AO533-AK533,0))</f>
        <v>0</v>
      </c>
      <c r="AZ533" s="220">
        <f>IF(OR(AN533&gt;=AK533,AN533+AO533&gt;=AK533),AP533,IF(AN533+AO533+AP533&gt;AK533,AN533+AO533+AP533-AK533,0))</f>
        <v>0</v>
      </c>
      <c r="BA533" s="220">
        <f>IF(OR(AN533&gt;=AK533,AN533+AO533&gt;=AK533,AN533+AO533+AP533&gt;=AK533),AQ533,IF(AN533+AO533+AP533+AQ533&gt;=AK533,AN533+AO533+AP533+AQ533-AK533,0))</f>
        <v>0</v>
      </c>
      <c r="BB533" s="220">
        <f>IF(OR(AN533&gt;=AK533,AN533+AO533&gt;=AK533,AN533+AO533+AP533&gt;=AK533,AN533+AO533+AP533+AQ533&gt;=AK533),AR533,IF(AN533+AO533+AP533+AQ533+AR533&gt;=AK533,AN533+AO533+AP533+AQ533+AR533-AK533,0))</f>
        <v>0</v>
      </c>
      <c r="BC533" s="220">
        <f>IF(OR(AN533&gt;=AK533,AN533+AO533&gt;=AK533,AN533+AO533+AP533&gt;=AK533,AN533+AO533+AP533+AQ533&gt;=AK533,AN533+AO533+AP533+AQ533+AR533&gt;=AK533),AS533,IF(AN533+AO533+AP533+AQ533+AR533+AS533&gt;=AK533,AN533+AO533+AP533+AQ533+AR533+AS533-AK533,0))</f>
        <v>0</v>
      </c>
      <c r="BD533" s="216">
        <f t="shared" si="1599"/>
        <v>0</v>
      </c>
      <c r="BE533" s="220">
        <f t="shared" si="1738"/>
        <v>0</v>
      </c>
      <c r="BF533" s="220">
        <f t="shared" si="1738"/>
        <v>0</v>
      </c>
      <c r="BG533" s="220">
        <f t="shared" si="1738"/>
        <v>-60</v>
      </c>
      <c r="BH533" s="220">
        <f t="shared" si="1738"/>
        <v>0</v>
      </c>
      <c r="BI533" s="220">
        <f t="shared" si="1738"/>
        <v>0</v>
      </c>
      <c r="BJ533" s="220" t="s">
        <v>394</v>
      </c>
      <c r="BK533" s="220"/>
      <c r="BL533" s="223">
        <f t="shared" si="1609"/>
        <v>0</v>
      </c>
      <c r="BM533" s="220">
        <v>3.33</v>
      </c>
      <c r="BN533" s="220"/>
      <c r="BO533" s="220">
        <f>ROUND(BM533+(BM533*BN533),2)</f>
        <v>3.33</v>
      </c>
      <c r="BP533" s="220">
        <f>IF(AND(BL533&gt;0,BL533&lt;tiet!$D$1),BL533,IF(BL533&lt;=0,0,IF(BL533&gt;tiet!$C$1,tiet!$C$1)))</f>
        <v>0</v>
      </c>
      <c r="BQ533" s="87">
        <f t="shared" si="1729"/>
        <v>65000</v>
      </c>
      <c r="BR533" s="224">
        <f t="shared" si="1730"/>
        <v>0</v>
      </c>
      <c r="BS533" s="220">
        <f t="shared" si="1686"/>
        <v>0</v>
      </c>
      <c r="BT533" s="224">
        <f>VLOOKUP(N533,ma_dinhmuc!$A$1:$J$31,10,0)</f>
        <v>51000</v>
      </c>
      <c r="BU533" s="224">
        <f>ROUND(IF(BS533&gt;0,VLOOKUP(N533,ma_dinhmuc!$A$1:$J$31,10,0)*BS533,0),0)</f>
        <v>0</v>
      </c>
      <c r="BV533" s="224">
        <f t="shared" si="1731"/>
        <v>0</v>
      </c>
      <c r="BW533" s="224"/>
      <c r="BX533" s="224">
        <v>0</v>
      </c>
      <c r="BY533" s="224"/>
      <c r="BZ533" s="224"/>
      <c r="CA533" s="224"/>
      <c r="CB533" s="224"/>
      <c r="CC533" s="225">
        <f>ROUND(IF(BV533+BW533&gt;BX533+BY533+BZ533+CA533+CB533,(BW533+BV533)-(BX533+BY533+BZ533+CA533+CB533+CB533),0),0)</f>
        <v>0</v>
      </c>
      <c r="CD533" s="224">
        <f>ROUND(IF(BV533+BW533&lt;BX533+BY533+BZ533+CA533-CB533,(BX533+BY533+BZ533+CA533-CB533)-(BW533+BV533),0),0)</f>
        <v>0</v>
      </c>
      <c r="CE533" s="224"/>
      <c r="CF533" s="226"/>
      <c r="CG533" s="87"/>
      <c r="CH533" s="87">
        <f>A533</f>
        <v>39</v>
      </c>
      <c r="CI533" s="227" t="str">
        <f t="shared" si="1732"/>
        <v>Vũ Thị</v>
      </c>
      <c r="CJ533" s="227" t="str">
        <f t="shared" si="1732"/>
        <v>Lưu</v>
      </c>
      <c r="CK533" s="87">
        <f t="shared" si="1733"/>
        <v>10</v>
      </c>
      <c r="CL533" s="227" t="str">
        <f>L533</f>
        <v>Khoa học máy tính</v>
      </c>
      <c r="CM533" s="87" t="str">
        <f>N533</f>
        <v>CS2</v>
      </c>
      <c r="CN533" s="87">
        <f>Q533</f>
        <v>270</v>
      </c>
      <c r="CO533" s="87">
        <f>R533</f>
        <v>120</v>
      </c>
      <c r="CP533" s="229">
        <f t="shared" si="1703"/>
        <v>0</v>
      </c>
      <c r="CQ533" s="229">
        <f t="shared" si="1704"/>
        <v>11</v>
      </c>
      <c r="CR533" s="229">
        <f t="shared" si="1705"/>
        <v>4.5</v>
      </c>
      <c r="CS533" s="229">
        <f t="shared" si="1706"/>
        <v>10.8</v>
      </c>
      <c r="CT533" s="229">
        <f t="shared" si="1707"/>
        <v>0</v>
      </c>
      <c r="CU533" s="229">
        <f t="shared" si="1708"/>
        <v>82</v>
      </c>
      <c r="CV533" s="229">
        <f t="shared" si="1709"/>
        <v>0</v>
      </c>
      <c r="CW533" s="229">
        <f t="shared" si="1710"/>
        <v>38</v>
      </c>
      <c r="CX533" s="229">
        <f t="shared" si="1711"/>
        <v>0</v>
      </c>
      <c r="CY533" s="229">
        <f t="shared" si="1712"/>
        <v>0</v>
      </c>
      <c r="CZ533" s="229">
        <f t="shared" si="1713"/>
        <v>0</v>
      </c>
      <c r="DA533" s="229">
        <f t="shared" si="1714"/>
        <v>60</v>
      </c>
      <c r="DB533" s="228">
        <f>SUM(CP533:DA533)</f>
        <v>206.3</v>
      </c>
      <c r="DC533" s="229"/>
      <c r="DD533" s="229"/>
      <c r="DE533" s="229"/>
      <c r="DF533" s="229"/>
      <c r="DG533" s="229"/>
      <c r="DH533" s="229"/>
      <c r="DI533" s="229"/>
      <c r="DJ533" s="229"/>
      <c r="DK533" s="229"/>
      <c r="DL533" s="229"/>
      <c r="DM533" s="229"/>
      <c r="DN533" s="229"/>
      <c r="DO533" s="228">
        <f>SUM(DC533:DN533)</f>
        <v>0</v>
      </c>
      <c r="DP533" s="228">
        <f>DO533+DB533</f>
        <v>206.3</v>
      </c>
      <c r="DQ533" s="229">
        <f t="shared" si="1715"/>
        <v>0</v>
      </c>
      <c r="DR533" s="229">
        <f t="shared" si="1716"/>
        <v>0</v>
      </c>
      <c r="DS533" s="229">
        <f t="shared" si="1717"/>
        <v>0</v>
      </c>
      <c r="DT533" s="229">
        <f t="shared" si="1718"/>
        <v>0</v>
      </c>
      <c r="DU533" s="229">
        <f t="shared" si="1719"/>
        <v>0</v>
      </c>
      <c r="DV533" s="229">
        <f t="shared" si="1720"/>
        <v>0</v>
      </c>
      <c r="DW533" s="229">
        <f t="shared" si="1721"/>
        <v>0</v>
      </c>
      <c r="DX533" s="228">
        <f>SUM(DQ533:DW533)</f>
        <v>0</v>
      </c>
      <c r="DY533" s="229"/>
      <c r="DZ533" s="229"/>
      <c r="EA533" s="229"/>
      <c r="EB533" s="229"/>
      <c r="EC533" s="229"/>
      <c r="ED533" s="229"/>
      <c r="EE533" s="229"/>
      <c r="EF533" s="228">
        <f t="shared" si="1696"/>
        <v>0</v>
      </c>
      <c r="EG533" s="228">
        <f>EF533+DX533</f>
        <v>0</v>
      </c>
      <c r="EH533" s="229">
        <f t="shared" si="1697"/>
        <v>56.25</v>
      </c>
      <c r="EI533" s="229">
        <v>0.12999999999999545</v>
      </c>
      <c r="EJ533" s="228">
        <f t="shared" si="1620"/>
        <v>56.379999999999995</v>
      </c>
      <c r="EK533" s="229"/>
      <c r="EL533" s="229"/>
      <c r="EM533" s="228">
        <f>SUM(EK533:EL533)</f>
        <v>0</v>
      </c>
      <c r="EN533" s="229">
        <f>EK533+EH533+EL533</f>
        <v>56.25</v>
      </c>
      <c r="EO533" s="229">
        <f>EI533</f>
        <v>0.12999999999999545</v>
      </c>
      <c r="EP533" s="228">
        <f>EM533+EJ533</f>
        <v>56.379999999999995</v>
      </c>
      <c r="EQ533" s="173">
        <f t="shared" si="1687"/>
        <v>0</v>
      </c>
      <c r="ER533" s="189">
        <v>0</v>
      </c>
      <c r="ES533" s="189">
        <v>11</v>
      </c>
      <c r="ET533" s="189">
        <v>4.5</v>
      </c>
      <c r="EU533" s="189">
        <v>10.8</v>
      </c>
      <c r="EV533" s="189">
        <v>0</v>
      </c>
      <c r="EW533" s="189">
        <v>82</v>
      </c>
      <c r="EX533" s="189">
        <v>0</v>
      </c>
      <c r="EY533" s="189">
        <v>38</v>
      </c>
      <c r="EZ533" s="189">
        <v>0</v>
      </c>
      <c r="FA533" s="189">
        <v>0</v>
      </c>
      <c r="FB533" s="189">
        <v>0</v>
      </c>
      <c r="FC533" s="189">
        <v>60</v>
      </c>
      <c r="FD533" s="189">
        <v>0</v>
      </c>
      <c r="FE533" s="189">
        <v>0</v>
      </c>
      <c r="FF533" s="189">
        <v>0</v>
      </c>
      <c r="FG533" s="189">
        <v>0</v>
      </c>
      <c r="FH533" s="189">
        <v>0</v>
      </c>
      <c r="FI533" s="189">
        <v>0</v>
      </c>
      <c r="FJ533" s="189">
        <v>0</v>
      </c>
      <c r="FK533" s="189">
        <v>206.3</v>
      </c>
      <c r="FL533" s="189">
        <v>196.8</v>
      </c>
      <c r="FN533" s="132">
        <v>56.25</v>
      </c>
    </row>
    <row r="534" spans="1:170" ht="30" customHeight="1">
      <c r="A534" s="88">
        <f>COUNTIF($H$12:H534,H534)</f>
        <v>40</v>
      </c>
      <c r="B534" s="88" t="s">
        <v>1267</v>
      </c>
      <c r="C534" s="88" t="s">
        <v>698</v>
      </c>
      <c r="D534" s="88"/>
      <c r="E534" s="88"/>
      <c r="F534" s="301" t="s">
        <v>1139</v>
      </c>
      <c r="G534" s="89" t="s">
        <v>1144</v>
      </c>
      <c r="H534" s="88">
        <v>10</v>
      </c>
      <c r="I534" s="88">
        <v>10</v>
      </c>
      <c r="J534" s="88">
        <v>10</v>
      </c>
      <c r="K534" s="90" t="s">
        <v>1112</v>
      </c>
      <c r="L534" s="90" t="s">
        <v>1112</v>
      </c>
      <c r="M534" s="214"/>
      <c r="N534" s="88" t="s">
        <v>1804</v>
      </c>
      <c r="O534" s="216">
        <f t="shared" si="1656"/>
        <v>3.66</v>
      </c>
      <c r="P534" s="88" t="str">
        <f t="shared" si="1678"/>
        <v>B1_4</v>
      </c>
      <c r="Q534" s="88">
        <f t="shared" si="1567"/>
        <v>270</v>
      </c>
      <c r="R534" s="88">
        <f t="shared" si="1568"/>
        <v>120</v>
      </c>
      <c r="S534" s="233"/>
      <c r="T534" s="214" t="s">
        <v>3088</v>
      </c>
      <c r="U534" s="88">
        <f>IF(RIGHT(T534,1)="K",(VLOOKUP(T534,ma_miengiam!$A$3:$B$80,2,0)*100)/2,VLOOKUP(T534,ma_miengiam!$A$3:$B$80,2,0)*100)</f>
        <v>0</v>
      </c>
      <c r="V534" s="88"/>
      <c r="W534" s="220">
        <f>IF(AND(T534="NTS",V534&gt;0),(Q534-(Q534*V534)/12)*VLOOKUP(T534,ma_miengiam!$A$3:$B$80,2,0)+(Q534-(Q534*(12-V534))/12),IF(AND(RIGHT(T534,1)="K",V534&gt;0),(VLOOKUP(T534,ma_miengiam!$A$3:$B$80,2,0)/2)*(Q534*V534)/12,IF(RIGHT(T534,1)="K",(VLOOKUP(T534,ma_miengiam!$A$3:$B$80,2,0)*Q534)/2,IF(V534&gt;0,VLOOKUP(T534,ma_miengiam!$A$3:$B$80,2,0)*Q534*V534/12,VLOOKUP(T534,ma_miengiam!$A$3:$B$80,2,0)*Q534))))</f>
        <v>0</v>
      </c>
      <c r="X534" s="220">
        <f>IF(T534="NTS",VLOOKUP(T534,ma_miengiam!$A$3:$B$80,2,0)*R534*V534,IF(AND(T534="NTS",V534=0),0,IF(AND(LEFT(T534,1)="K",V534=0),VLOOKUP(T534,ma_miengiam!$A$3:$B$80,2,0)*R534,IF(LEFT(T534,1)="K",(VLOOKUP(T534,ma_miengiam!$A$3:$B$80,2,0)*R534/12)*V534,IF(AND(LEFT(T534,1)="S",V534&gt;0),(R534/12)*V534,IF(AND(LEFT(T534,1)="S",V534=0),R534,IF(T534="DH",VLOOKUP(T534,ma_miengiam!$A$3:$B$80,2,0)*R534,0)))))))</f>
        <v>0</v>
      </c>
      <c r="Y534" s="220">
        <f t="shared" ref="Y534:Y592" si="1745">IF(AND(T534="DH",V534&gt;0),(S534*V534/12),IF(AND(T534&lt;&gt;"NTS",V534&gt;0),(Q534*V534/12)-W534,IF(AND(T534="NTS",V534&gt;0),Q534-W534,Q534-W534)))</f>
        <v>270</v>
      </c>
      <c r="Z534" s="220">
        <f t="shared" si="1569"/>
        <v>120</v>
      </c>
      <c r="AA534" s="220">
        <f>Q534</f>
        <v>270</v>
      </c>
      <c r="AB534" s="220">
        <f>R534</f>
        <v>120</v>
      </c>
      <c r="AC534" s="220">
        <f t="shared" si="1740"/>
        <v>0</v>
      </c>
      <c r="AD534" s="220">
        <f t="shared" si="1740"/>
        <v>0</v>
      </c>
      <c r="AE534" s="220">
        <f t="shared" si="1740"/>
        <v>270</v>
      </c>
      <c r="AF534" s="220">
        <f t="shared" si="1740"/>
        <v>120</v>
      </c>
      <c r="AG534" s="220">
        <f t="shared" si="1741"/>
        <v>12.650000000000006</v>
      </c>
      <c r="AH534" s="220">
        <f t="shared" si="1742"/>
        <v>0.15000000000000568</v>
      </c>
      <c r="AI534" s="220">
        <f t="shared" si="1743"/>
        <v>12.5</v>
      </c>
      <c r="AJ534" s="220">
        <f t="shared" si="1728"/>
        <v>-107.35</v>
      </c>
      <c r="AK534" s="216">
        <f t="shared" si="1639"/>
        <v>377.35</v>
      </c>
      <c r="AL534" s="220">
        <f t="shared" si="1640"/>
        <v>292</v>
      </c>
      <c r="AM534" s="220">
        <f t="shared" si="1641"/>
        <v>0</v>
      </c>
      <c r="AN534" s="221">
        <f t="shared" si="1642"/>
        <v>292</v>
      </c>
      <c r="AO534" s="220">
        <f t="shared" si="1643"/>
        <v>0</v>
      </c>
      <c r="AP534" s="220">
        <f t="shared" si="1644"/>
        <v>0</v>
      </c>
      <c r="AQ534" s="220">
        <f t="shared" si="1645"/>
        <v>40</v>
      </c>
      <c r="AR534" s="220">
        <f t="shared" si="1646"/>
        <v>0</v>
      </c>
      <c r="AS534" s="220">
        <f t="shared" si="1647"/>
        <v>0</v>
      </c>
      <c r="AT534" s="216">
        <f t="shared" si="1648"/>
        <v>332</v>
      </c>
      <c r="AU534" s="222">
        <f t="shared" si="1744"/>
        <v>-85.350000000000023</v>
      </c>
      <c r="AV534" s="220"/>
      <c r="AW534" s="220">
        <f t="shared" si="1688"/>
        <v>-85.350000000000023</v>
      </c>
      <c r="AX534" s="216">
        <f t="shared" si="1636"/>
        <v>-85.350000000000023</v>
      </c>
      <c r="AY534" s="220">
        <f t="shared" si="1698"/>
        <v>0</v>
      </c>
      <c r="AZ534" s="220">
        <f t="shared" si="1699"/>
        <v>0</v>
      </c>
      <c r="BA534" s="220">
        <f t="shared" si="1700"/>
        <v>0</v>
      </c>
      <c r="BB534" s="220">
        <f t="shared" si="1701"/>
        <v>0</v>
      </c>
      <c r="BC534" s="220">
        <f t="shared" si="1702"/>
        <v>0</v>
      </c>
      <c r="BD534" s="216">
        <f t="shared" si="1599"/>
        <v>0</v>
      </c>
      <c r="BE534" s="220">
        <f t="shared" si="1689"/>
        <v>0</v>
      </c>
      <c r="BF534" s="220">
        <f t="shared" si="1690"/>
        <v>0</v>
      </c>
      <c r="BG534" s="220">
        <f t="shared" si="1691"/>
        <v>-40</v>
      </c>
      <c r="BH534" s="220">
        <f t="shared" si="1692"/>
        <v>0</v>
      </c>
      <c r="BI534" s="220">
        <f t="shared" si="1693"/>
        <v>0</v>
      </c>
      <c r="BJ534" s="220" t="s">
        <v>394</v>
      </c>
      <c r="BK534" s="220"/>
      <c r="BL534" s="223">
        <f t="shared" si="1609"/>
        <v>0</v>
      </c>
      <c r="BM534" s="220">
        <v>3.66</v>
      </c>
      <c r="BN534" s="220"/>
      <c r="BO534" s="220">
        <f t="shared" si="1670"/>
        <v>3.66</v>
      </c>
      <c r="BP534" s="220">
        <f>IF(AND(BL534&gt;0,BL534&lt;tiet!$D$1),BL534,IF(BL534&lt;=0,0,IF(BL534&gt;tiet!$C$1,tiet!$C$1)))</f>
        <v>0</v>
      </c>
      <c r="BQ534" s="87">
        <f t="shared" si="1729"/>
        <v>65000</v>
      </c>
      <c r="BR534" s="224">
        <f t="shared" si="1730"/>
        <v>0</v>
      </c>
      <c r="BS534" s="220">
        <f t="shared" si="1686"/>
        <v>0</v>
      </c>
      <c r="BT534" s="224">
        <f>VLOOKUP(N534,ma_dinhmuc!$A$1:$J$31,10,0)</f>
        <v>51000</v>
      </c>
      <c r="BU534" s="224">
        <f>ROUND(IF(BS534&gt;0,VLOOKUP(N534,ma_dinhmuc!$A$1:$J$31,10,0)*BS534,0),0)</f>
        <v>0</v>
      </c>
      <c r="BV534" s="224">
        <f t="shared" si="1731"/>
        <v>0</v>
      </c>
      <c r="BW534" s="224"/>
      <c r="BX534" s="224">
        <v>0</v>
      </c>
      <c r="BY534" s="224"/>
      <c r="BZ534" s="224"/>
      <c r="CA534" s="224"/>
      <c r="CB534" s="224"/>
      <c r="CC534" s="225">
        <f t="shared" si="1595"/>
        <v>0</v>
      </c>
      <c r="CD534" s="224">
        <f t="shared" si="1596"/>
        <v>0</v>
      </c>
      <c r="CE534" s="224"/>
      <c r="CF534" s="226"/>
      <c r="CG534" s="87"/>
      <c r="CH534" s="87">
        <f t="shared" si="1736"/>
        <v>40</v>
      </c>
      <c r="CI534" s="227" t="str">
        <f t="shared" ref="CI534:CI552" si="1746">F534</f>
        <v>Nguyễn Thị</v>
      </c>
      <c r="CJ534" s="227" t="str">
        <f t="shared" ref="CJ534:CJ552" si="1747">G534</f>
        <v>Thảo</v>
      </c>
      <c r="CK534" s="87">
        <f t="shared" ref="CK534:CK552" si="1748">H534</f>
        <v>10</v>
      </c>
      <c r="CL534" s="227" t="str">
        <f t="shared" ref="CL534:CL552" si="1749">L534</f>
        <v>Khoa học máy tính</v>
      </c>
      <c r="CM534" s="87" t="str">
        <f t="shared" si="1694"/>
        <v>CS2</v>
      </c>
      <c r="CN534" s="87">
        <f t="shared" si="1737"/>
        <v>270</v>
      </c>
      <c r="CO534" s="87">
        <f t="shared" si="1737"/>
        <v>120</v>
      </c>
      <c r="CP534" s="229">
        <f t="shared" si="1703"/>
        <v>0</v>
      </c>
      <c r="CQ534" s="229">
        <f t="shared" si="1704"/>
        <v>42.7</v>
      </c>
      <c r="CR534" s="229">
        <f t="shared" si="1705"/>
        <v>17.2</v>
      </c>
      <c r="CS534" s="229">
        <f t="shared" si="1706"/>
        <v>7.2</v>
      </c>
      <c r="CT534" s="229">
        <f t="shared" si="1707"/>
        <v>0</v>
      </c>
      <c r="CU534" s="229">
        <f t="shared" si="1708"/>
        <v>135.4</v>
      </c>
      <c r="CV534" s="229">
        <f t="shared" si="1709"/>
        <v>0</v>
      </c>
      <c r="CW534" s="229">
        <f t="shared" si="1710"/>
        <v>89.5</v>
      </c>
      <c r="CX534" s="229">
        <f t="shared" si="1711"/>
        <v>0</v>
      </c>
      <c r="CY534" s="229">
        <f t="shared" si="1712"/>
        <v>0</v>
      </c>
      <c r="CZ534" s="229">
        <f t="shared" si="1713"/>
        <v>0</v>
      </c>
      <c r="DA534" s="229">
        <f t="shared" si="1714"/>
        <v>40</v>
      </c>
      <c r="DB534" s="228">
        <f t="shared" si="1650"/>
        <v>332</v>
      </c>
      <c r="DC534" s="229"/>
      <c r="DD534" s="229"/>
      <c r="DE534" s="229"/>
      <c r="DF534" s="229"/>
      <c r="DG534" s="229"/>
      <c r="DH534" s="229"/>
      <c r="DI534" s="229"/>
      <c r="DJ534" s="229"/>
      <c r="DK534" s="229"/>
      <c r="DL534" s="229"/>
      <c r="DM534" s="229"/>
      <c r="DN534" s="229"/>
      <c r="DO534" s="228">
        <f t="shared" si="1651"/>
        <v>0</v>
      </c>
      <c r="DP534" s="228">
        <f t="shared" si="1652"/>
        <v>332</v>
      </c>
      <c r="DQ534" s="229">
        <f t="shared" si="1715"/>
        <v>0</v>
      </c>
      <c r="DR534" s="229">
        <f t="shared" si="1716"/>
        <v>0</v>
      </c>
      <c r="DS534" s="229">
        <f t="shared" si="1717"/>
        <v>0</v>
      </c>
      <c r="DT534" s="229">
        <f t="shared" si="1718"/>
        <v>0</v>
      </c>
      <c r="DU534" s="229">
        <f t="shared" si="1719"/>
        <v>0</v>
      </c>
      <c r="DV534" s="229">
        <f t="shared" si="1720"/>
        <v>0</v>
      </c>
      <c r="DW534" s="229">
        <f t="shared" si="1721"/>
        <v>0</v>
      </c>
      <c r="DX534" s="228">
        <f t="shared" si="1653"/>
        <v>0</v>
      </c>
      <c r="DY534" s="229"/>
      <c r="DZ534" s="229"/>
      <c r="EA534" s="229"/>
      <c r="EB534" s="229"/>
      <c r="EC534" s="229"/>
      <c r="ED534" s="229"/>
      <c r="EE534" s="229"/>
      <c r="EF534" s="228">
        <f t="shared" si="1696"/>
        <v>0</v>
      </c>
      <c r="EG534" s="228">
        <f t="shared" si="1654"/>
        <v>0</v>
      </c>
      <c r="EH534" s="229">
        <f t="shared" si="1697"/>
        <v>12.5</v>
      </c>
      <c r="EI534" s="229">
        <v>0.15000000000000568</v>
      </c>
      <c r="EJ534" s="228">
        <f t="shared" si="1620"/>
        <v>12.650000000000006</v>
      </c>
      <c r="EK534" s="229"/>
      <c r="EL534" s="229"/>
      <c r="EM534" s="228">
        <f t="shared" si="1739"/>
        <v>0</v>
      </c>
      <c r="EN534" s="229">
        <f t="shared" si="1591"/>
        <v>12.5</v>
      </c>
      <c r="EO534" s="229">
        <f t="shared" si="1610"/>
        <v>0.15000000000000568</v>
      </c>
      <c r="EP534" s="228">
        <f t="shared" ref="EP534:EP547" si="1750">EM534+EJ534</f>
        <v>12.650000000000006</v>
      </c>
      <c r="EQ534" s="173">
        <f t="shared" si="1687"/>
        <v>0</v>
      </c>
      <c r="ER534" s="189">
        <v>0</v>
      </c>
      <c r="ES534" s="189">
        <v>42.7</v>
      </c>
      <c r="ET534" s="189">
        <v>17.2</v>
      </c>
      <c r="EU534" s="189">
        <v>7.2</v>
      </c>
      <c r="EV534" s="189">
        <v>0</v>
      </c>
      <c r="EW534" s="189">
        <v>135.4</v>
      </c>
      <c r="EX534" s="189">
        <v>0</v>
      </c>
      <c r="EY534" s="189">
        <v>89.5</v>
      </c>
      <c r="EZ534" s="189">
        <v>0</v>
      </c>
      <c r="FA534" s="189">
        <v>0</v>
      </c>
      <c r="FB534" s="189">
        <v>0</v>
      </c>
      <c r="FC534" s="189">
        <v>40</v>
      </c>
      <c r="FD534" s="189">
        <v>0</v>
      </c>
      <c r="FE534" s="189">
        <v>0</v>
      </c>
      <c r="FF534" s="189">
        <v>0</v>
      </c>
      <c r="FG534" s="189">
        <v>0</v>
      </c>
      <c r="FH534" s="189">
        <v>0</v>
      </c>
      <c r="FI534" s="189">
        <v>0</v>
      </c>
      <c r="FJ534" s="189">
        <v>0</v>
      </c>
      <c r="FK534" s="189">
        <v>332</v>
      </c>
      <c r="FL534" s="189">
        <v>261.2</v>
      </c>
      <c r="FN534" s="132">
        <v>12.5</v>
      </c>
    </row>
    <row r="535" spans="1:170" ht="30" customHeight="1">
      <c r="A535" s="88">
        <f>COUNTIF($H$12:H535,H535)</f>
        <v>41</v>
      </c>
      <c r="B535" s="88" t="s">
        <v>1951</v>
      </c>
      <c r="C535" s="88" t="s">
        <v>699</v>
      </c>
      <c r="D535" s="88"/>
      <c r="E535" s="88"/>
      <c r="F535" s="301" t="s">
        <v>1162</v>
      </c>
      <c r="G535" s="89" t="s">
        <v>728</v>
      </c>
      <c r="H535" s="88">
        <v>10</v>
      </c>
      <c r="I535" s="88">
        <v>10</v>
      </c>
      <c r="J535" s="88">
        <v>10</v>
      </c>
      <c r="K535" s="90" t="s">
        <v>1112</v>
      </c>
      <c r="L535" s="90" t="s">
        <v>1112</v>
      </c>
      <c r="M535" s="214"/>
      <c r="N535" s="88" t="s">
        <v>1804</v>
      </c>
      <c r="O535" s="216">
        <f>BO535</f>
        <v>3</v>
      </c>
      <c r="P535" s="88" t="str">
        <f t="shared" si="1678"/>
        <v>B1_3</v>
      </c>
      <c r="Q535" s="88">
        <f t="shared" ref="Q535:Q587" si="1751">IF(M535&gt;0,VLOOKUP(P535,ma_dinhmuc_moi,2,0)/2,VLOOKUP(P535,ma_dinhmuc_moi,2,0))</f>
        <v>270</v>
      </c>
      <c r="R535" s="88">
        <f t="shared" ref="R535:R587" si="1752">IF(M535&gt;0,VLOOKUP(P535,ma_dinhmuc_moi,3,0)/2,VLOOKUP(P535,ma_dinhmuc_moi,3,0))</f>
        <v>100</v>
      </c>
      <c r="S535" s="218"/>
      <c r="T535" s="88" t="s">
        <v>3088</v>
      </c>
      <c r="U535" s="88">
        <f>IF(RIGHT(T535,1)="K",(VLOOKUP(T535,ma_miengiam!$A$3:$B$80,2,0)*100)/2,VLOOKUP(T535,ma_miengiam!$A$3:$B$80,2,0)*100)</f>
        <v>0</v>
      </c>
      <c r="V535" s="88"/>
      <c r="W535" s="220">
        <f>IF(AND(T535="NTS",V535&gt;0),(Q535-(Q535*V535)/12)*VLOOKUP(T535,ma_miengiam!$A$3:$B$80,2,0)+(Q535-(Q535*(12-V535))/12),IF(AND(RIGHT(T535,1)="K",V535&gt;0),(VLOOKUP(T535,ma_miengiam!$A$3:$B$80,2,0)/2)*(Q535*V535)/12,IF(RIGHT(T535,1)="K",(VLOOKUP(T535,ma_miengiam!$A$3:$B$80,2,0)*Q535)/2,IF(V535&gt;0,VLOOKUP(T535,ma_miengiam!$A$3:$B$80,2,0)*Q535*V535/12,VLOOKUP(T535,ma_miengiam!$A$3:$B$80,2,0)*Q535))))</f>
        <v>0</v>
      </c>
      <c r="X535" s="220">
        <f>IF(T535="NTS",VLOOKUP(T535,ma_miengiam!$A$3:$B$80,2,0)*R535*V535,IF(AND(T535="NTS",V535=0),0,IF(AND(LEFT(T535,1)="K",V535=0),VLOOKUP(T535,ma_miengiam!$A$3:$B$80,2,0)*R535,IF(LEFT(T535,1)="K",(VLOOKUP(T535,ma_miengiam!$A$3:$B$80,2,0)*R535/12)*V535,IF(AND(LEFT(T535,1)="S",V535&gt;0),(R535/12)*V535,IF(AND(LEFT(T535,1)="S",V535=0),R535,IF(T535="DH",VLOOKUP(T535,ma_miengiam!$A$3:$B$80,2,0)*R535,0)))))))</f>
        <v>0</v>
      </c>
      <c r="Y535" s="220">
        <f t="shared" si="1745"/>
        <v>270</v>
      </c>
      <c r="Z535" s="220">
        <f>IF(AND(T535="SĐH",V535&gt;0),(R535/12)*V535-X535,IF(AND(T535="DH",V535&gt;0),(R535*V535/12),IF(AND(T535&lt;&gt;"NTS",V535&gt;0),(R535*V535/12)-X535,IF(AND(T535="NTS",V535&gt;0),R535-X535,R535-X535))))</f>
        <v>100</v>
      </c>
      <c r="AA535" s="220">
        <f t="shared" ref="AA535:AB538" si="1753">Q535</f>
        <v>270</v>
      </c>
      <c r="AB535" s="220">
        <f t="shared" si="1753"/>
        <v>100</v>
      </c>
      <c r="AC535" s="220">
        <f t="shared" ref="AC535:AF536" si="1754">W535</f>
        <v>0</v>
      </c>
      <c r="AD535" s="220">
        <f t="shared" si="1754"/>
        <v>0</v>
      </c>
      <c r="AE535" s="220">
        <f t="shared" si="1754"/>
        <v>270</v>
      </c>
      <c r="AF535" s="220">
        <f t="shared" si="1754"/>
        <v>100</v>
      </c>
      <c r="AG535" s="220">
        <f t="shared" si="1741"/>
        <v>0</v>
      </c>
      <c r="AH535" s="220">
        <f t="shared" si="1742"/>
        <v>0</v>
      </c>
      <c r="AI535" s="220">
        <f t="shared" si="1743"/>
        <v>0</v>
      </c>
      <c r="AJ535" s="220">
        <f t="shared" si="1728"/>
        <v>-100</v>
      </c>
      <c r="AK535" s="216">
        <f t="shared" si="1639"/>
        <v>370</v>
      </c>
      <c r="AL535" s="220">
        <f t="shared" si="1640"/>
        <v>75.099999999999994</v>
      </c>
      <c r="AM535" s="220">
        <f t="shared" si="1641"/>
        <v>0</v>
      </c>
      <c r="AN535" s="221">
        <f t="shared" si="1642"/>
        <v>75.099999999999994</v>
      </c>
      <c r="AO535" s="220">
        <f t="shared" si="1643"/>
        <v>0</v>
      </c>
      <c r="AP535" s="220">
        <f t="shared" si="1644"/>
        <v>0</v>
      </c>
      <c r="AQ535" s="220">
        <f t="shared" si="1645"/>
        <v>0</v>
      </c>
      <c r="AR535" s="220">
        <f t="shared" si="1646"/>
        <v>0</v>
      </c>
      <c r="AS535" s="220">
        <f t="shared" si="1647"/>
        <v>0</v>
      </c>
      <c r="AT535" s="216">
        <f t="shared" si="1648"/>
        <v>75.099999999999994</v>
      </c>
      <c r="AU535" s="222">
        <f t="shared" si="1744"/>
        <v>-294.89999999999998</v>
      </c>
      <c r="AV535" s="220"/>
      <c r="AW535" s="220">
        <f>IF(AU535&gt;0,AU535,AV535+AU535)</f>
        <v>-294.89999999999998</v>
      </c>
      <c r="AX535" s="216">
        <f t="shared" si="1636"/>
        <v>-294.89999999999998</v>
      </c>
      <c r="AY535" s="220">
        <f>IF(AN535&gt;=AK535,AO535,IF(AN535+AO535-AK535&gt;=0,AN535+AO535-AK535,0))</f>
        <v>0</v>
      </c>
      <c r="AZ535" s="220">
        <f>IF(OR(AN535&gt;=AK535,AN535+AO535&gt;=AK535),AP535,IF(AN535+AO535+AP535&gt;AK535,AN535+AO535+AP535-AK535,0))</f>
        <v>0</v>
      </c>
      <c r="BA535" s="220">
        <f>IF(OR(AN535&gt;=AK535,AN535+AO535&gt;=AK535,AN535+AO535+AP535&gt;=AK535),AQ535,IF(AN535+AO535+AP535+AQ535&gt;=AK535,AN535+AO535+AP535+AQ535-AK535,0))</f>
        <v>0</v>
      </c>
      <c r="BB535" s="220">
        <f>IF(OR(AN535&gt;=AK535,AN535+AO535&gt;=AK535,AN535+AO535+AP535&gt;=AK535,AN535+AO535+AP535+AQ535&gt;=AK535),AR535,IF(AN535+AO535+AP535+AQ535+AR535&gt;=AK535,AN535+AO535+AP535+AQ535+AR535-AK535,0))</f>
        <v>0</v>
      </c>
      <c r="BC535" s="220">
        <f>IF(OR(AN535&gt;=AK535,AN535+AO535&gt;=AK535,AN535+AO535+AP535&gt;=AK535,AN535+AO535+AP535+AQ535&gt;=AK535,AN535+AO535+AP535+AQ535+AR535&gt;=AK535),AS535,IF(AN535+AO535+AP535+AQ535+AR535+AS535&gt;=AK535,AN535+AO535+AP535+AQ535+AR535+AS535-AK535,0))</f>
        <v>0</v>
      </c>
      <c r="BD535" s="216">
        <f t="shared" si="1599"/>
        <v>0</v>
      </c>
      <c r="BE535" s="220">
        <f t="shared" ref="BE535:BI536" si="1755">AY535-AO535</f>
        <v>0</v>
      </c>
      <c r="BF535" s="220">
        <f t="shared" si="1755"/>
        <v>0</v>
      </c>
      <c r="BG535" s="220">
        <f t="shared" si="1755"/>
        <v>0</v>
      </c>
      <c r="BH535" s="220">
        <f t="shared" si="1755"/>
        <v>0</v>
      </c>
      <c r="BI535" s="220">
        <f t="shared" si="1755"/>
        <v>0</v>
      </c>
      <c r="BJ535" s="220" t="s">
        <v>394</v>
      </c>
      <c r="BK535" s="220"/>
      <c r="BL535" s="223">
        <f t="shared" si="1609"/>
        <v>0</v>
      </c>
      <c r="BM535" s="220">
        <v>3</v>
      </c>
      <c r="BN535" s="220"/>
      <c r="BO535" s="220">
        <f>ROUND(BM535+(BM535*BN535),2)</f>
        <v>3</v>
      </c>
      <c r="BP535" s="220">
        <f>IF(AND(BL535&gt;0,BL535&lt;tiet!$D$1),BL535,IF(BL535&lt;=0,0,IF(BL535&gt;tiet!$C$1,tiet!$C$1)))</f>
        <v>0</v>
      </c>
      <c r="BQ535" s="87">
        <f t="shared" si="1729"/>
        <v>60000</v>
      </c>
      <c r="BR535" s="224">
        <f t="shared" si="1730"/>
        <v>0</v>
      </c>
      <c r="BS535" s="220">
        <f t="shared" si="1686"/>
        <v>0</v>
      </c>
      <c r="BT535" s="224">
        <f>VLOOKUP(N535,ma_dinhmuc!$A$1:$J$31,10,0)</f>
        <v>51000</v>
      </c>
      <c r="BU535" s="224">
        <f>ROUND(IF(BS535&gt;0,VLOOKUP(N535,ma_dinhmuc!$A$1:$J$31,10,0)*BS535,0),0)</f>
        <v>0</v>
      </c>
      <c r="BV535" s="224">
        <f t="shared" si="1731"/>
        <v>0</v>
      </c>
      <c r="BW535" s="224"/>
      <c r="BX535" s="224">
        <v>0</v>
      </c>
      <c r="BY535" s="224"/>
      <c r="BZ535" s="224"/>
      <c r="CA535" s="224"/>
      <c r="CB535" s="224"/>
      <c r="CC535" s="225">
        <f>ROUND(IF(BV535+BW535&gt;BX535+BY535+BZ535+CA535+CB535,(BW535+BV535)-(BX535+BY535+BZ535+CA535+CB535+CB535),0),0)</f>
        <v>0</v>
      </c>
      <c r="CD535" s="224">
        <f>ROUND(IF(BV535+BW535&lt;BX535+BY535+BZ535+CA535-CB535,(BX535+BY535+BZ535+CA535-CB535)-(BW535+BV535),0),0)</f>
        <v>0</v>
      </c>
      <c r="CE535" s="224"/>
      <c r="CF535" s="226"/>
      <c r="CG535" s="87"/>
      <c r="CH535" s="87">
        <f t="shared" si="1736"/>
        <v>41</v>
      </c>
      <c r="CI535" s="227" t="str">
        <f t="shared" ref="CI535:CJ538" si="1756">F535</f>
        <v>Nguyễn Đức</v>
      </c>
      <c r="CJ535" s="227" t="str">
        <f t="shared" si="1756"/>
        <v>Thịnh</v>
      </c>
      <c r="CK535" s="87">
        <f>H535</f>
        <v>10</v>
      </c>
      <c r="CL535" s="227" t="str">
        <f>L535</f>
        <v>Khoa học máy tính</v>
      </c>
      <c r="CM535" s="87" t="str">
        <f>N535</f>
        <v>CS2</v>
      </c>
      <c r="CN535" s="87">
        <f t="shared" si="1737"/>
        <v>270</v>
      </c>
      <c r="CO535" s="87">
        <f t="shared" si="1737"/>
        <v>100</v>
      </c>
      <c r="CP535" s="229">
        <f t="shared" si="1703"/>
        <v>0</v>
      </c>
      <c r="CQ535" s="229">
        <f t="shared" si="1704"/>
        <v>0</v>
      </c>
      <c r="CR535" s="229">
        <f t="shared" si="1705"/>
        <v>7.1</v>
      </c>
      <c r="CS535" s="229">
        <f t="shared" si="1706"/>
        <v>0</v>
      </c>
      <c r="CT535" s="229">
        <f t="shared" si="1707"/>
        <v>0</v>
      </c>
      <c r="CU535" s="229">
        <f t="shared" si="1708"/>
        <v>0</v>
      </c>
      <c r="CV535" s="229">
        <f t="shared" si="1709"/>
        <v>0</v>
      </c>
      <c r="CW535" s="229">
        <f t="shared" si="1710"/>
        <v>68</v>
      </c>
      <c r="CX535" s="229">
        <f t="shared" si="1711"/>
        <v>0</v>
      </c>
      <c r="CY535" s="229">
        <f t="shared" si="1712"/>
        <v>0</v>
      </c>
      <c r="CZ535" s="229">
        <f t="shared" si="1713"/>
        <v>0</v>
      </c>
      <c r="DA535" s="229">
        <f t="shared" si="1714"/>
        <v>0</v>
      </c>
      <c r="DB535" s="228">
        <f t="shared" si="1650"/>
        <v>75.099999999999994</v>
      </c>
      <c r="DC535" s="229"/>
      <c r="DD535" s="229"/>
      <c r="DE535" s="229"/>
      <c r="DF535" s="229"/>
      <c r="DG535" s="229"/>
      <c r="DH535" s="229"/>
      <c r="DI535" s="229"/>
      <c r="DJ535" s="229"/>
      <c r="DK535" s="229"/>
      <c r="DL535" s="229"/>
      <c r="DM535" s="229"/>
      <c r="DN535" s="229"/>
      <c r="DO535" s="228">
        <f t="shared" si="1651"/>
        <v>0</v>
      </c>
      <c r="DP535" s="228">
        <f t="shared" si="1652"/>
        <v>75.099999999999994</v>
      </c>
      <c r="DQ535" s="229">
        <f t="shared" si="1715"/>
        <v>0</v>
      </c>
      <c r="DR535" s="229">
        <f t="shared" si="1716"/>
        <v>0</v>
      </c>
      <c r="DS535" s="229">
        <f t="shared" si="1717"/>
        <v>0</v>
      </c>
      <c r="DT535" s="229">
        <f t="shared" si="1718"/>
        <v>0</v>
      </c>
      <c r="DU535" s="229">
        <f t="shared" si="1719"/>
        <v>0</v>
      </c>
      <c r="DV535" s="229">
        <f t="shared" si="1720"/>
        <v>0</v>
      </c>
      <c r="DW535" s="229">
        <f t="shared" si="1721"/>
        <v>0</v>
      </c>
      <c r="DX535" s="228">
        <f t="shared" si="1653"/>
        <v>0</v>
      </c>
      <c r="DY535" s="229"/>
      <c r="DZ535" s="229"/>
      <c r="EA535" s="229"/>
      <c r="EB535" s="229"/>
      <c r="EC535" s="229"/>
      <c r="ED535" s="229"/>
      <c r="EE535" s="229"/>
      <c r="EF535" s="228">
        <f t="shared" si="1696"/>
        <v>0</v>
      </c>
      <c r="EG535" s="228">
        <f t="shared" si="1654"/>
        <v>0</v>
      </c>
      <c r="EH535" s="229">
        <f t="shared" si="1697"/>
        <v>0</v>
      </c>
      <c r="EI535" s="229">
        <v>0</v>
      </c>
      <c r="EJ535" s="228">
        <f t="shared" si="1620"/>
        <v>0</v>
      </c>
      <c r="EK535" s="229"/>
      <c r="EL535" s="229"/>
      <c r="EM535" s="228">
        <f t="shared" si="1739"/>
        <v>0</v>
      </c>
      <c r="EN535" s="229">
        <f>EK535+EH535+EL535</f>
        <v>0</v>
      </c>
      <c r="EO535" s="229">
        <f>EI535</f>
        <v>0</v>
      </c>
      <c r="EP535" s="228">
        <f>EM535+EJ535</f>
        <v>0</v>
      </c>
      <c r="EQ535" s="173">
        <f t="shared" si="1687"/>
        <v>0</v>
      </c>
      <c r="ER535" s="189">
        <v>0</v>
      </c>
      <c r="ES535" s="189">
        <v>0</v>
      </c>
      <c r="ET535" s="189">
        <v>7.1</v>
      </c>
      <c r="EU535" s="189">
        <v>0</v>
      </c>
      <c r="EV535" s="189">
        <v>0</v>
      </c>
      <c r="EW535" s="189">
        <v>0</v>
      </c>
      <c r="EX535" s="189">
        <v>0</v>
      </c>
      <c r="EY535" s="189">
        <v>68</v>
      </c>
      <c r="EZ535" s="189">
        <v>0</v>
      </c>
      <c r="FA535" s="189">
        <v>0</v>
      </c>
      <c r="FB535" s="189">
        <v>0</v>
      </c>
      <c r="FC535" s="189">
        <v>0</v>
      </c>
      <c r="FD535" s="189">
        <v>0</v>
      </c>
      <c r="FE535" s="189">
        <v>0</v>
      </c>
      <c r="FF535" s="189">
        <v>0</v>
      </c>
      <c r="FG535" s="189">
        <v>0</v>
      </c>
      <c r="FH535" s="189">
        <v>0</v>
      </c>
      <c r="FI535" s="189">
        <v>0</v>
      </c>
      <c r="FJ535" s="189">
        <v>0</v>
      </c>
      <c r="FK535" s="189">
        <v>75.099999999999994</v>
      </c>
      <c r="FL535" s="189">
        <v>58</v>
      </c>
      <c r="FN535" s="132">
        <v>0</v>
      </c>
    </row>
    <row r="536" spans="1:170" ht="30" customHeight="1">
      <c r="A536" s="88">
        <f>COUNTIF($H$12:H539,H536)</f>
        <v>45</v>
      </c>
      <c r="B536" s="88" t="s">
        <v>1952</v>
      </c>
      <c r="C536" s="88" t="s">
        <v>700</v>
      </c>
      <c r="D536" s="88"/>
      <c r="E536" s="88"/>
      <c r="F536" s="301" t="s">
        <v>1433</v>
      </c>
      <c r="G536" s="89" t="s">
        <v>2086</v>
      </c>
      <c r="H536" s="88">
        <v>10</v>
      </c>
      <c r="I536" s="88">
        <v>10</v>
      </c>
      <c r="J536" s="88">
        <v>10</v>
      </c>
      <c r="K536" s="90" t="s">
        <v>1112</v>
      </c>
      <c r="L536" s="90" t="s">
        <v>1112</v>
      </c>
      <c r="M536" s="214"/>
      <c r="N536" s="88" t="s">
        <v>1804</v>
      </c>
      <c r="O536" s="216">
        <f>BO536</f>
        <v>2.67</v>
      </c>
      <c r="P536" s="88" t="str">
        <f t="shared" si="1678"/>
        <v>B1_3</v>
      </c>
      <c r="Q536" s="88">
        <f t="shared" si="1751"/>
        <v>270</v>
      </c>
      <c r="R536" s="88">
        <f t="shared" si="1752"/>
        <v>100</v>
      </c>
      <c r="S536" s="231" t="s">
        <v>2041</v>
      </c>
      <c r="T536" s="214" t="s">
        <v>3091</v>
      </c>
      <c r="U536" s="88">
        <f>IF(RIGHT(T536,1)="K",(VLOOKUP(T536,ma_miengiam!$A$3:$B$80,2,0)*100)/2,VLOOKUP(T536,ma_miengiam!$A$3:$B$80,2,0)*100)</f>
        <v>20</v>
      </c>
      <c r="V536" s="88"/>
      <c r="W536" s="220">
        <f>IF(AND(T536="NTS",V536&gt;0),(Q536-(Q536*V536)/12)*VLOOKUP(T536,ma_miengiam!$A$3:$B$80,2,0)+(Q536-(Q536*(12-V536))/12),IF(AND(RIGHT(T536,1)="K",V536&gt;0),(VLOOKUP(T536,ma_miengiam!$A$3:$B$80,2,0)/2)*(Q536*V536)/12,IF(RIGHT(T536,1)="K",(VLOOKUP(T536,ma_miengiam!$A$3:$B$80,2,0)*Q536)/2,IF(V536&gt;0,VLOOKUP(T536,ma_miengiam!$A$3:$B$80,2,0)*Q536*V536/12,VLOOKUP(T536,ma_miengiam!$A$3:$B$80,2,0)*Q536))))</f>
        <v>54</v>
      </c>
      <c r="X536" s="220">
        <f>IF(T536="NTS",VLOOKUP(T536,ma_miengiam!$A$3:$B$80,2,0)*R536*V536,IF(AND(T536="NTS",V536=0),0,IF(AND(LEFT(T536,1)="K",V536=0),VLOOKUP(T536,ma_miengiam!$A$3:$B$80,2,0)*R536,IF(LEFT(T536,1)="K",(VLOOKUP(T536,ma_miengiam!$A$3:$B$80,2,0)*R536/12)*V536,IF(AND(LEFT(T536,1)="S",V536&gt;0),(R536/12)*V536,IF(AND(LEFT(T536,1)="S",V536=0),R536,IF(T536="DH",VLOOKUP(T536,ma_miengiam!$A$3:$B$80,2,0)*R536,0)))))))</f>
        <v>0</v>
      </c>
      <c r="Y536" s="220">
        <f t="shared" si="1745"/>
        <v>216</v>
      </c>
      <c r="Z536" s="220">
        <f>IF(AND(T536="SĐH",V536&gt;0),(R536/12)*V536-X536,IF(AND(T536="DH",V536&gt;0),(R536*V536/12),IF(AND(T536&lt;&gt;"NTS",V536&gt;0),(R536*V536/12)-X536,IF(AND(T536="NTS",V536&gt;0),R536-X536,R536-X536))))</f>
        <v>100</v>
      </c>
      <c r="AA536" s="220">
        <f t="shared" si="1753"/>
        <v>270</v>
      </c>
      <c r="AB536" s="220">
        <f t="shared" si="1753"/>
        <v>100</v>
      </c>
      <c r="AC536" s="220">
        <f t="shared" si="1754"/>
        <v>54</v>
      </c>
      <c r="AD536" s="220">
        <f t="shared" si="1754"/>
        <v>0</v>
      </c>
      <c r="AE536" s="220">
        <f t="shared" si="1754"/>
        <v>216</v>
      </c>
      <c r="AF536" s="220">
        <f t="shared" si="1754"/>
        <v>100</v>
      </c>
      <c r="AG536" s="220">
        <f t="shared" si="1741"/>
        <v>12.629999999999995</v>
      </c>
      <c r="AH536" s="220">
        <f t="shared" si="1742"/>
        <v>0.12999999999999545</v>
      </c>
      <c r="AI536" s="220">
        <f t="shared" si="1743"/>
        <v>12.5</v>
      </c>
      <c r="AJ536" s="220">
        <f t="shared" si="1728"/>
        <v>-87.37</v>
      </c>
      <c r="AK536" s="216">
        <f t="shared" si="1639"/>
        <v>303.37</v>
      </c>
      <c r="AL536" s="220">
        <f t="shared" si="1640"/>
        <v>211</v>
      </c>
      <c r="AM536" s="220">
        <f t="shared" si="1641"/>
        <v>0</v>
      </c>
      <c r="AN536" s="221">
        <f t="shared" si="1642"/>
        <v>211</v>
      </c>
      <c r="AO536" s="220">
        <f t="shared" si="1643"/>
        <v>0</v>
      </c>
      <c r="AP536" s="220">
        <f t="shared" si="1644"/>
        <v>0</v>
      </c>
      <c r="AQ536" s="220">
        <f t="shared" si="1645"/>
        <v>40</v>
      </c>
      <c r="AR536" s="220">
        <f t="shared" si="1646"/>
        <v>0</v>
      </c>
      <c r="AS536" s="220">
        <f t="shared" si="1647"/>
        <v>0</v>
      </c>
      <c r="AT536" s="216">
        <f t="shared" si="1648"/>
        <v>251</v>
      </c>
      <c r="AU536" s="222">
        <f t="shared" si="1744"/>
        <v>-92.37</v>
      </c>
      <c r="AV536" s="220"/>
      <c r="AW536" s="220">
        <f>IF(AU536&gt;0,AU536,AV536+AU536)</f>
        <v>-92.37</v>
      </c>
      <c r="AX536" s="216">
        <f t="shared" si="1636"/>
        <v>-92.37</v>
      </c>
      <c r="AY536" s="220">
        <f>IF(AN536&gt;=AK536,AO536,IF(AN536+AO536-AK536&gt;=0,AN536+AO536-AK536,0))</f>
        <v>0</v>
      </c>
      <c r="AZ536" s="220">
        <f>IF(OR(AN536&gt;=AK536,AN536+AO536&gt;=AK536),AP536,IF(AN536+AO536+AP536&gt;AK536,AN536+AO536+AP536-AK536,0))</f>
        <v>0</v>
      </c>
      <c r="BA536" s="220">
        <f>IF(OR(AN536&gt;=AK536,AN536+AO536&gt;=AK536,AN536+AO536+AP536&gt;=AK536),AQ536,IF(AN536+AO536+AP536+AQ536&gt;=AK536,AN536+AO536+AP536+AQ536-AK536,0))</f>
        <v>0</v>
      </c>
      <c r="BB536" s="220">
        <f>IF(OR(AN536&gt;=AK536,AN536+AO536&gt;=AK536,AN536+AO536+AP536&gt;=AK536,AN536+AO536+AP536+AQ536&gt;=AK536),AR536,IF(AN536+AO536+AP536+AQ536+AR536&gt;=AK536,AN536+AO536+AP536+AQ536+AR536-AK536,0))</f>
        <v>0</v>
      </c>
      <c r="BC536" s="220">
        <f>IF(OR(AN536&gt;=AK536,AN536+AO536&gt;=AK536,AN536+AO536+AP536&gt;=AK536,AN536+AO536+AP536+AQ536&gt;=AK536,AN536+AO536+AP536+AQ536+AR536&gt;=AK536),AS536,IF(AN536+AO536+AP536+AQ536+AR536+AS536&gt;=AK536,AN536+AO536+AP536+AQ536+AR536+AS536-AK536,0))</f>
        <v>0</v>
      </c>
      <c r="BD536" s="216">
        <f t="shared" si="1599"/>
        <v>0</v>
      </c>
      <c r="BE536" s="220">
        <f t="shared" si="1755"/>
        <v>0</v>
      </c>
      <c r="BF536" s="220">
        <f t="shared" si="1755"/>
        <v>0</v>
      </c>
      <c r="BG536" s="220">
        <f t="shared" si="1755"/>
        <v>-40</v>
      </c>
      <c r="BH536" s="220">
        <f t="shared" si="1755"/>
        <v>0</v>
      </c>
      <c r="BI536" s="220">
        <f t="shared" si="1755"/>
        <v>0</v>
      </c>
      <c r="BJ536" s="220" t="s">
        <v>394</v>
      </c>
      <c r="BK536" s="220"/>
      <c r="BL536" s="223">
        <f t="shared" si="1609"/>
        <v>0</v>
      </c>
      <c r="BM536" s="220">
        <v>2.67</v>
      </c>
      <c r="BN536" s="220"/>
      <c r="BO536" s="220">
        <f>ROUND(BM536+(BM536*BN536),2)</f>
        <v>2.67</v>
      </c>
      <c r="BP536" s="220">
        <f>IF(AND(BL536&gt;0,BL536&lt;tiet!$D$1),BL536,IF(BL536&lt;=0,0,IF(BL536&gt;tiet!$C$1,tiet!$C$1)))</f>
        <v>0</v>
      </c>
      <c r="BQ536" s="87">
        <f t="shared" si="1729"/>
        <v>60000</v>
      </c>
      <c r="BR536" s="224">
        <f t="shared" si="1730"/>
        <v>0</v>
      </c>
      <c r="BS536" s="220">
        <f t="shared" si="1686"/>
        <v>0</v>
      </c>
      <c r="BT536" s="224">
        <f>VLOOKUP(N536,ma_dinhmuc!$A$1:$J$31,10,0)</f>
        <v>51000</v>
      </c>
      <c r="BU536" s="224">
        <f>ROUND(IF(BS536&gt;0,VLOOKUP(N536,ma_dinhmuc!$A$1:$J$31,10,0)*BS536,0),0)</f>
        <v>0</v>
      </c>
      <c r="BV536" s="224">
        <f t="shared" si="1731"/>
        <v>0</v>
      </c>
      <c r="BW536" s="224"/>
      <c r="BX536" s="224">
        <v>0</v>
      </c>
      <c r="BY536" s="224"/>
      <c r="BZ536" s="224"/>
      <c r="CA536" s="224"/>
      <c r="CB536" s="224"/>
      <c r="CC536" s="225">
        <f>ROUND(IF(BV536+BW536&gt;BX536+BY536+BZ536+CA536+CB536,(BW536+BV536)-(BX536+BY536+BZ536+CA536+CB536+CB536),0),0)</f>
        <v>0</v>
      </c>
      <c r="CD536" s="224">
        <f>ROUND(IF(BV536+BW536&lt;BX536+BY536+BZ536+CA536-CB536,(BX536+BY536+BZ536+CA536-CB536)-(BW536+BV536),0),0)</f>
        <v>0</v>
      </c>
      <c r="CE536" s="224"/>
      <c r="CF536" s="226"/>
      <c r="CG536" s="87"/>
      <c r="CH536" s="87">
        <f t="shared" si="1736"/>
        <v>45</v>
      </c>
      <c r="CI536" s="227" t="str">
        <f t="shared" si="1756"/>
        <v>Phạm Thị Lan</v>
      </c>
      <c r="CJ536" s="227" t="str">
        <f t="shared" si="1756"/>
        <v>Anh</v>
      </c>
      <c r="CK536" s="87">
        <f>H536</f>
        <v>10</v>
      </c>
      <c r="CL536" s="227" t="str">
        <f>L536</f>
        <v>Khoa học máy tính</v>
      </c>
      <c r="CM536" s="87" t="str">
        <f>N536</f>
        <v>CS2</v>
      </c>
      <c r="CN536" s="87">
        <f t="shared" si="1737"/>
        <v>270</v>
      </c>
      <c r="CO536" s="87">
        <f t="shared" si="1737"/>
        <v>100</v>
      </c>
      <c r="CP536" s="229">
        <f t="shared" si="1703"/>
        <v>0</v>
      </c>
      <c r="CQ536" s="229">
        <f t="shared" si="1704"/>
        <v>28</v>
      </c>
      <c r="CR536" s="229">
        <f t="shared" si="1705"/>
        <v>14.5</v>
      </c>
      <c r="CS536" s="229">
        <f t="shared" si="1706"/>
        <v>7.2</v>
      </c>
      <c r="CT536" s="229">
        <f t="shared" si="1707"/>
        <v>0</v>
      </c>
      <c r="CU536" s="229">
        <f t="shared" si="1708"/>
        <v>106.8</v>
      </c>
      <c r="CV536" s="229">
        <f t="shared" si="1709"/>
        <v>0</v>
      </c>
      <c r="CW536" s="229">
        <f t="shared" si="1710"/>
        <v>54.5</v>
      </c>
      <c r="CX536" s="229">
        <f t="shared" si="1711"/>
        <v>0</v>
      </c>
      <c r="CY536" s="229">
        <f t="shared" si="1712"/>
        <v>0</v>
      </c>
      <c r="CZ536" s="229">
        <f t="shared" si="1713"/>
        <v>0</v>
      </c>
      <c r="DA536" s="229">
        <f t="shared" si="1714"/>
        <v>40</v>
      </c>
      <c r="DB536" s="228">
        <f t="shared" si="1650"/>
        <v>251</v>
      </c>
      <c r="DC536" s="229"/>
      <c r="DD536" s="229"/>
      <c r="DE536" s="229"/>
      <c r="DF536" s="229"/>
      <c r="DG536" s="229"/>
      <c r="DH536" s="229"/>
      <c r="DI536" s="229"/>
      <c r="DJ536" s="229"/>
      <c r="DK536" s="229"/>
      <c r="DL536" s="229"/>
      <c r="DM536" s="229"/>
      <c r="DN536" s="229"/>
      <c r="DO536" s="228">
        <f t="shared" si="1651"/>
        <v>0</v>
      </c>
      <c r="DP536" s="228">
        <f t="shared" si="1652"/>
        <v>251</v>
      </c>
      <c r="DQ536" s="229">
        <f t="shared" si="1715"/>
        <v>0</v>
      </c>
      <c r="DR536" s="229">
        <f t="shared" si="1716"/>
        <v>0</v>
      </c>
      <c r="DS536" s="229">
        <f t="shared" si="1717"/>
        <v>0</v>
      </c>
      <c r="DT536" s="229">
        <f t="shared" si="1718"/>
        <v>0</v>
      </c>
      <c r="DU536" s="229">
        <f t="shared" si="1719"/>
        <v>0</v>
      </c>
      <c r="DV536" s="229">
        <f t="shared" si="1720"/>
        <v>0</v>
      </c>
      <c r="DW536" s="229">
        <f t="shared" si="1721"/>
        <v>0</v>
      </c>
      <c r="DX536" s="228">
        <f t="shared" si="1653"/>
        <v>0</v>
      </c>
      <c r="DY536" s="229"/>
      <c r="DZ536" s="229"/>
      <c r="EA536" s="229"/>
      <c r="EB536" s="229"/>
      <c r="EC536" s="229"/>
      <c r="ED536" s="229"/>
      <c r="EE536" s="229"/>
      <c r="EF536" s="228">
        <f t="shared" si="1696"/>
        <v>0</v>
      </c>
      <c r="EG536" s="228">
        <f t="shared" si="1654"/>
        <v>0</v>
      </c>
      <c r="EH536" s="229">
        <f t="shared" si="1697"/>
        <v>12.5</v>
      </c>
      <c r="EI536" s="229">
        <v>0.12999999999999545</v>
      </c>
      <c r="EJ536" s="228">
        <f t="shared" ref="EJ536:EJ567" si="1757">SUM(EH536:EI536)</f>
        <v>12.629999999999995</v>
      </c>
      <c r="EK536" s="229"/>
      <c r="EL536" s="229"/>
      <c r="EM536" s="228">
        <f t="shared" si="1739"/>
        <v>0</v>
      </c>
      <c r="EN536" s="229">
        <f>EK536+EH536+EL536</f>
        <v>12.5</v>
      </c>
      <c r="EO536" s="229">
        <f>EI536</f>
        <v>0.12999999999999545</v>
      </c>
      <c r="EP536" s="228">
        <f>EM536+EJ536</f>
        <v>12.629999999999995</v>
      </c>
      <c r="EQ536" s="173">
        <f t="shared" si="1687"/>
        <v>0</v>
      </c>
      <c r="ER536" s="189">
        <v>0</v>
      </c>
      <c r="ES536" s="189">
        <v>28</v>
      </c>
      <c r="ET536" s="189">
        <v>14.5</v>
      </c>
      <c r="EU536" s="189">
        <v>7.2</v>
      </c>
      <c r="EV536" s="189">
        <v>0</v>
      </c>
      <c r="EW536" s="189">
        <v>106.8</v>
      </c>
      <c r="EX536" s="189">
        <v>0</v>
      </c>
      <c r="EY536" s="189">
        <v>54.5</v>
      </c>
      <c r="EZ536" s="189">
        <v>0</v>
      </c>
      <c r="FA536" s="189">
        <v>0</v>
      </c>
      <c r="FB536" s="189">
        <v>0</v>
      </c>
      <c r="FC536" s="189">
        <v>40</v>
      </c>
      <c r="FD536" s="189">
        <v>0</v>
      </c>
      <c r="FE536" s="189">
        <v>0</v>
      </c>
      <c r="FF536" s="189">
        <v>0</v>
      </c>
      <c r="FG536" s="189">
        <v>0</v>
      </c>
      <c r="FH536" s="189">
        <v>0</v>
      </c>
      <c r="FI536" s="189">
        <v>0</v>
      </c>
      <c r="FJ536" s="189">
        <v>0</v>
      </c>
      <c r="FK536" s="189">
        <v>251</v>
      </c>
      <c r="FL536" s="189">
        <v>198.2</v>
      </c>
      <c r="FN536" s="132">
        <v>12.5</v>
      </c>
    </row>
    <row r="537" spans="1:170" ht="30" customHeight="1">
      <c r="A537" s="88">
        <f>COUNTIF($H$12:H538,H537)</f>
        <v>44</v>
      </c>
      <c r="B537" s="88" t="s">
        <v>1949</v>
      </c>
      <c r="C537" s="88" t="s">
        <v>702</v>
      </c>
      <c r="D537" s="88"/>
      <c r="E537" s="88"/>
      <c r="F537" s="301" t="s">
        <v>57</v>
      </c>
      <c r="G537" s="89" t="s">
        <v>2898</v>
      </c>
      <c r="H537" s="88">
        <v>10</v>
      </c>
      <c r="I537" s="88">
        <v>10</v>
      </c>
      <c r="J537" s="88">
        <v>10</v>
      </c>
      <c r="K537" s="90" t="s">
        <v>1112</v>
      </c>
      <c r="L537" s="90" t="s">
        <v>1112</v>
      </c>
      <c r="M537" s="214"/>
      <c r="N537" s="88" t="s">
        <v>1804</v>
      </c>
      <c r="O537" s="216">
        <f>BO537</f>
        <v>3.66</v>
      </c>
      <c r="P537" s="88" t="str">
        <f t="shared" si="1678"/>
        <v>B1_4</v>
      </c>
      <c r="Q537" s="88">
        <f t="shared" si="1751"/>
        <v>270</v>
      </c>
      <c r="R537" s="88">
        <f t="shared" si="1752"/>
        <v>120</v>
      </c>
      <c r="S537" s="218" t="s">
        <v>802</v>
      </c>
      <c r="T537" s="88" t="s">
        <v>3092</v>
      </c>
      <c r="U537" s="88">
        <f>IF(RIGHT(T537,1)="K",(VLOOKUP(T537,ma_miengiam!$A$3:$B$80,2,0)*100)/2,VLOOKUP(T537,ma_miengiam!$A$3:$B$80,2,0)*100)</f>
        <v>25</v>
      </c>
      <c r="V537" s="88"/>
      <c r="W537" s="220">
        <f>IF(AND(T537="NTS",V537&gt;0),(Q537-(Q537*V537)/12)*VLOOKUP(T537,ma_miengiam!$A$3:$B$80,2,0)+(Q537-(Q537*(12-V537))/12),IF(AND(RIGHT(T537,1)="K",V537&gt;0),(VLOOKUP(T537,ma_miengiam!$A$3:$B$80,2,0)/2)*(Q537*V537)/12,IF(RIGHT(T537,1)="K",(VLOOKUP(T537,ma_miengiam!$A$3:$B$80,2,0)*Q537)/2,IF(V537&gt;0,VLOOKUP(T537,ma_miengiam!$A$3:$B$80,2,0)*Q537*V537/12,VLOOKUP(T537,ma_miengiam!$A$3:$B$80,2,0)*Q537))))</f>
        <v>67.5</v>
      </c>
      <c r="X537" s="220">
        <f>IF(T537="NTS",VLOOKUP(T537,ma_miengiam!$A$3:$B$80,2,0)*R537*V537,IF(AND(T537="NTS",V537=0),0,IF(AND(LEFT(T537,1)="K",V537=0),VLOOKUP(T537,ma_miengiam!$A$3:$B$80,2,0)*R537,IF(LEFT(T537,1)="K",(VLOOKUP(T537,ma_miengiam!$A$3:$B$80,2,0)*R537/12)*V537,IF(AND(LEFT(T537,1)="S",V537&gt;0),(R537/12)*V537,IF(AND(LEFT(T537,1)="S",V537=0),R537,IF(T537="DH",VLOOKUP(T537,ma_miengiam!$A$3:$B$80,2,0)*R537,0)))))))</f>
        <v>0</v>
      </c>
      <c r="Y537" s="220">
        <f>IF(AND(T537="DH",V537&gt;0),(S537*V537/12),IF(AND(T537&lt;&gt;"NTS",V537&gt;0),(Q537*V537/12)-W537,IF(AND(T537="NTS",V537&gt;0),Q537-W537,Q537-W537)))</f>
        <v>202.5</v>
      </c>
      <c r="Z537" s="220">
        <f>IF(AND(T537="SĐH",V537&gt;0),(R537/12)*V537-X537,IF(AND(T537="DH",V537&gt;0),(R537*V537/12),IF(AND(T537&lt;&gt;"NTS",V537&gt;0),(R537*V537/12)-X537,IF(AND(T537="NTS",V537&gt;0),R537-X537,R537-X537))))</f>
        <v>120</v>
      </c>
      <c r="AA537" s="220">
        <f t="shared" si="1753"/>
        <v>270</v>
      </c>
      <c r="AB537" s="220">
        <f t="shared" si="1753"/>
        <v>120</v>
      </c>
      <c r="AC537" s="220">
        <f t="shared" ref="AC537:AF539" si="1758">W537</f>
        <v>67.5</v>
      </c>
      <c r="AD537" s="220">
        <f t="shared" si="1758"/>
        <v>0</v>
      </c>
      <c r="AE537" s="220">
        <f t="shared" si="1758"/>
        <v>202.5</v>
      </c>
      <c r="AF537" s="220">
        <f t="shared" si="1758"/>
        <v>120</v>
      </c>
      <c r="AG537" s="220">
        <f t="shared" si="1741"/>
        <v>126.66</v>
      </c>
      <c r="AH537" s="220">
        <f t="shared" si="1742"/>
        <v>43.33</v>
      </c>
      <c r="AI537" s="220">
        <f t="shared" si="1743"/>
        <v>83.33</v>
      </c>
      <c r="AJ537" s="220">
        <f t="shared" si="1728"/>
        <v>0</v>
      </c>
      <c r="AK537" s="216">
        <f t="shared" si="1639"/>
        <v>202.5</v>
      </c>
      <c r="AL537" s="220">
        <f>SUM(CP537:CX537)+SUM(DC537:DK537)</f>
        <v>148.69999999999999</v>
      </c>
      <c r="AM537" s="220">
        <f>SUM(DQ537:DU537)+SUM(DY537:EC537)</f>
        <v>0</v>
      </c>
      <c r="AN537" s="216">
        <f>AM537+AL537</f>
        <v>148.69999999999999</v>
      </c>
      <c r="AO537" s="220">
        <f>CY537+DL537</f>
        <v>0</v>
      </c>
      <c r="AP537" s="220">
        <f>CZ537+DM537</f>
        <v>0</v>
      </c>
      <c r="AQ537" s="220">
        <f>DA537+DN537</f>
        <v>0</v>
      </c>
      <c r="AR537" s="220">
        <f>DV537+ED537</f>
        <v>0</v>
      </c>
      <c r="AS537" s="220">
        <f>DW537+EE537</f>
        <v>0</v>
      </c>
      <c r="AT537" s="216">
        <f>AN537+SUM(AO537:AS537)</f>
        <v>148.69999999999999</v>
      </c>
      <c r="AU537" s="220">
        <f t="shared" si="1744"/>
        <v>-53.800000000000011</v>
      </c>
      <c r="AV537" s="220"/>
      <c r="AW537" s="220">
        <f>IF(AU537&gt;0,AU537,AV537+AU537)</f>
        <v>-53.800000000000011</v>
      </c>
      <c r="AX537" s="216">
        <f t="shared" si="1636"/>
        <v>-53.800000000000011</v>
      </c>
      <c r="AY537" s="220">
        <f>IF(AN537&gt;=AK537,AO537,IF(AN537+AO537-AK537&gt;=0,AN537+AO537-AK537,0))</f>
        <v>0</v>
      </c>
      <c r="AZ537" s="220">
        <f>IF(OR(AN537&gt;=AK537,AN537+AO537&gt;=AK537),AP537,IF(AN537+AO537+AP537&gt;AK537,AN537+AO537+AP537-AK537,0))</f>
        <v>0</v>
      </c>
      <c r="BA537" s="220">
        <f>IF(OR(AN537&gt;=AK537,AN537+AO537&gt;=AK537,AN537+AO537+AP537&gt;=AK537),AQ537,IF(AN537+AO537+AP537+AQ537&gt;=AK537,AN537+AO537+AP537+AQ537-AK537,0))</f>
        <v>0</v>
      </c>
      <c r="BB537" s="220">
        <f>IF(OR(AN537&gt;=AK537,AN537+AO537&gt;=AK537,AN537+AO537+AP537&gt;=AK537,AN537+AO537+AP537+AQ537&gt;=AK537),AR537,IF(AN537+AO537+AP537+AQ537+AR537&gt;=AK537,AN537+AO537+AP537+AQ537+AR537-AK537,0))</f>
        <v>0</v>
      </c>
      <c r="BC537" s="220">
        <f>IF(OR(AN537&gt;=AK537,AN537+AO537&gt;=AK537,AN537+AO537+AP537&gt;=AK537,AN537+AO537+AP537+AQ537&gt;=AK537,AN537+AO537+AP537+AQ537+AR537&gt;=AK537),AS537,IF(AN537+AO537+AP537+AQ537+AR537+AS537&gt;=AK537,AN537+AO537+AP537+AQ537+AR537+AS537-AK537,0))</f>
        <v>0</v>
      </c>
      <c r="BD537" s="216">
        <f t="shared" si="1599"/>
        <v>0</v>
      </c>
      <c r="BE537" s="220">
        <f>AY537-AO537</f>
        <v>0</v>
      </c>
      <c r="BF537" s="220">
        <f>AZ537-AP537</f>
        <v>0</v>
      </c>
      <c r="BG537" s="220">
        <f>BA537-AQ537</f>
        <v>0</v>
      </c>
      <c r="BH537" s="220">
        <f>BB537-AR537</f>
        <v>0</v>
      </c>
      <c r="BI537" s="220">
        <f>BC537-AS537</f>
        <v>0</v>
      </c>
      <c r="BJ537" s="220" t="s">
        <v>394</v>
      </c>
      <c r="BK537" s="220"/>
      <c r="BL537" s="223">
        <f t="shared" si="1609"/>
        <v>0</v>
      </c>
      <c r="BM537" s="220">
        <v>3.66</v>
      </c>
      <c r="BN537" s="220"/>
      <c r="BO537" s="220">
        <f>ROUND(BM537+(BM537*BN537),2)</f>
        <v>3.66</v>
      </c>
      <c r="BP537" s="220">
        <f>IF(AND(BL537&gt;0,BL537&lt;tiet!$D$1),BL537,IF(BL537&lt;=0,0,IF(BL537&gt;tiet!$C$1,tiet!$C$1)))</f>
        <v>0</v>
      </c>
      <c r="BQ537" s="87">
        <f t="shared" si="1729"/>
        <v>65000</v>
      </c>
      <c r="BR537" s="224">
        <f t="shared" si="1730"/>
        <v>0</v>
      </c>
      <c r="BS537" s="220">
        <f t="shared" si="1686"/>
        <v>0</v>
      </c>
      <c r="BT537" s="224">
        <f>VLOOKUP(N537,ma_dinhmuc!$A$1:$J$31,10,0)</f>
        <v>51000</v>
      </c>
      <c r="BU537" s="224">
        <f>ROUND(IF(BS537&gt;0,VLOOKUP(N537,ma_dinhmuc!$A$1:$J$31,10,0)*BS537,0),0)</f>
        <v>0</v>
      </c>
      <c r="BV537" s="224">
        <f t="shared" si="1731"/>
        <v>0</v>
      </c>
      <c r="BW537" s="224"/>
      <c r="BX537" s="224">
        <v>0</v>
      </c>
      <c r="BY537" s="224"/>
      <c r="BZ537" s="224"/>
      <c r="CA537" s="224"/>
      <c r="CB537" s="224"/>
      <c r="CC537" s="225">
        <f>ROUND(IF(BV537+BW537&gt;BX537+BY537+BZ537+CA537+CB537,(BW537+BV537)-(BX537+BY537+BZ537+CA537+CB537+CB537),0),0)</f>
        <v>0</v>
      </c>
      <c r="CD537" s="224">
        <f>ROUND(IF(BV537+BW537&lt;BX537+BY537+BZ537+CA537-CB537,(BX537+BY537+BZ537+CA537-CB537)-(BW537+BV537),0),0)</f>
        <v>0</v>
      </c>
      <c r="CE537" s="224"/>
      <c r="CF537" s="226"/>
      <c r="CG537" s="87"/>
      <c r="CH537" s="87">
        <f>A537</f>
        <v>44</v>
      </c>
      <c r="CI537" s="227" t="str">
        <f t="shared" si="1756"/>
        <v>Phan Thị Thu</v>
      </c>
      <c r="CJ537" s="227" t="str">
        <f t="shared" si="1756"/>
        <v>Hồng</v>
      </c>
      <c r="CK537" s="87">
        <f>H537</f>
        <v>10</v>
      </c>
      <c r="CL537" s="227" t="str">
        <f>L537</f>
        <v>Khoa học máy tính</v>
      </c>
      <c r="CM537" s="87" t="str">
        <f>N537</f>
        <v>CS2</v>
      </c>
      <c r="CN537" s="87">
        <f t="shared" ref="CN537:CO540" si="1759">Q537</f>
        <v>270</v>
      </c>
      <c r="CO537" s="87">
        <f t="shared" si="1759"/>
        <v>120</v>
      </c>
      <c r="CP537" s="229">
        <f t="shared" si="1703"/>
        <v>0</v>
      </c>
      <c r="CQ537" s="229">
        <f t="shared" si="1704"/>
        <v>13.9</v>
      </c>
      <c r="CR537" s="229">
        <f t="shared" si="1705"/>
        <v>5.6</v>
      </c>
      <c r="CS537" s="229">
        <f t="shared" si="1706"/>
        <v>7.2</v>
      </c>
      <c r="CT537" s="229">
        <f t="shared" si="1707"/>
        <v>0</v>
      </c>
      <c r="CU537" s="229">
        <f t="shared" si="1708"/>
        <v>122</v>
      </c>
      <c r="CV537" s="229">
        <f t="shared" si="1709"/>
        <v>0</v>
      </c>
      <c r="CW537" s="229">
        <f t="shared" si="1710"/>
        <v>0</v>
      </c>
      <c r="CX537" s="229">
        <f t="shared" si="1711"/>
        <v>0</v>
      </c>
      <c r="CY537" s="229">
        <f t="shared" si="1712"/>
        <v>0</v>
      </c>
      <c r="CZ537" s="229">
        <f t="shared" si="1713"/>
        <v>0</v>
      </c>
      <c r="DA537" s="229">
        <f t="shared" si="1714"/>
        <v>0</v>
      </c>
      <c r="DB537" s="228">
        <f>SUM(CP537:DA537)</f>
        <v>148.69999999999999</v>
      </c>
      <c r="DC537" s="229"/>
      <c r="DD537" s="229"/>
      <c r="DE537" s="229"/>
      <c r="DF537" s="229"/>
      <c r="DG537" s="229"/>
      <c r="DH537" s="229"/>
      <c r="DI537" s="229"/>
      <c r="DJ537" s="229"/>
      <c r="DK537" s="229"/>
      <c r="DL537" s="229"/>
      <c r="DM537" s="229"/>
      <c r="DN537" s="229"/>
      <c r="DO537" s="228">
        <f>SUM(DC537:DN537)</f>
        <v>0</v>
      </c>
      <c r="DP537" s="228">
        <f>DO537+DB537</f>
        <v>148.69999999999999</v>
      </c>
      <c r="DQ537" s="229">
        <f t="shared" si="1715"/>
        <v>0</v>
      </c>
      <c r="DR537" s="229">
        <f t="shared" si="1716"/>
        <v>0</v>
      </c>
      <c r="DS537" s="229">
        <f t="shared" si="1717"/>
        <v>0</v>
      </c>
      <c r="DT537" s="229">
        <f t="shared" si="1718"/>
        <v>0</v>
      </c>
      <c r="DU537" s="229">
        <f t="shared" si="1719"/>
        <v>0</v>
      </c>
      <c r="DV537" s="229">
        <f t="shared" si="1720"/>
        <v>0</v>
      </c>
      <c r="DW537" s="229">
        <f t="shared" si="1721"/>
        <v>0</v>
      </c>
      <c r="DX537" s="228">
        <f>SUM(DQ537:DW537)</f>
        <v>0</v>
      </c>
      <c r="DY537" s="229"/>
      <c r="DZ537" s="229"/>
      <c r="EA537" s="229"/>
      <c r="EB537" s="229"/>
      <c r="EC537" s="229"/>
      <c r="ED537" s="229"/>
      <c r="EE537" s="229"/>
      <c r="EF537" s="228">
        <f t="shared" si="1696"/>
        <v>0</v>
      </c>
      <c r="EG537" s="228">
        <f>EF537+DX537</f>
        <v>0</v>
      </c>
      <c r="EH537" s="229">
        <f t="shared" si="1697"/>
        <v>83.33</v>
      </c>
      <c r="EI537" s="229">
        <v>43.33</v>
      </c>
      <c r="EJ537" s="228">
        <f t="shared" si="1757"/>
        <v>126.66</v>
      </c>
      <c r="EK537" s="229"/>
      <c r="EL537" s="229"/>
      <c r="EM537" s="228">
        <f>SUM(EK537:EL537)</f>
        <v>0</v>
      </c>
      <c r="EN537" s="229">
        <f>EK537+EH537+EL537</f>
        <v>83.33</v>
      </c>
      <c r="EO537" s="229">
        <f>EI537</f>
        <v>43.33</v>
      </c>
      <c r="EP537" s="228">
        <f>EM537+EJ537</f>
        <v>126.66</v>
      </c>
      <c r="EQ537" s="173">
        <f t="shared" si="1687"/>
        <v>0</v>
      </c>
      <c r="ER537" s="189">
        <v>0</v>
      </c>
      <c r="ES537" s="189">
        <v>13.9</v>
      </c>
      <c r="ET537" s="189">
        <v>5.6</v>
      </c>
      <c r="EU537" s="189">
        <v>7.2</v>
      </c>
      <c r="EV537" s="189">
        <v>0</v>
      </c>
      <c r="EW537" s="189">
        <v>122</v>
      </c>
      <c r="EX537" s="189">
        <v>0</v>
      </c>
      <c r="EY537" s="189">
        <v>0</v>
      </c>
      <c r="EZ537" s="189">
        <v>0</v>
      </c>
      <c r="FA537" s="189">
        <v>0</v>
      </c>
      <c r="FB537" s="189">
        <v>0</v>
      </c>
      <c r="FC537" s="189">
        <v>0</v>
      </c>
      <c r="FD537" s="189">
        <v>0</v>
      </c>
      <c r="FE537" s="189">
        <v>0</v>
      </c>
      <c r="FF537" s="189">
        <v>0</v>
      </c>
      <c r="FG537" s="189">
        <v>0</v>
      </c>
      <c r="FH537" s="189">
        <v>0</v>
      </c>
      <c r="FI537" s="189">
        <v>0</v>
      </c>
      <c r="FJ537" s="189">
        <v>0</v>
      </c>
      <c r="FK537" s="189">
        <v>148.69999999999999</v>
      </c>
      <c r="FL537" s="189">
        <v>135.19999999999999</v>
      </c>
      <c r="FN537" s="132">
        <v>83.33</v>
      </c>
    </row>
    <row r="538" spans="1:170" ht="30" customHeight="1">
      <c r="A538" s="88">
        <f>COUNTIF($H$12:H538,H538)</f>
        <v>44</v>
      </c>
      <c r="B538" s="88" t="s">
        <v>1948</v>
      </c>
      <c r="C538" s="88" t="s">
        <v>701</v>
      </c>
      <c r="D538" s="88"/>
      <c r="E538" s="88"/>
      <c r="F538" s="301" t="s">
        <v>56</v>
      </c>
      <c r="G538" s="89" t="s">
        <v>17</v>
      </c>
      <c r="H538" s="88">
        <v>10</v>
      </c>
      <c r="I538" s="88">
        <v>10</v>
      </c>
      <c r="J538" s="88">
        <v>10</v>
      </c>
      <c r="K538" s="90" t="s">
        <v>1112</v>
      </c>
      <c r="L538" s="90" t="s">
        <v>1112</v>
      </c>
      <c r="M538" s="214"/>
      <c r="N538" s="88" t="s">
        <v>1804</v>
      </c>
      <c r="O538" s="216">
        <f t="shared" ref="O538:O552" si="1760">BO538</f>
        <v>3.33</v>
      </c>
      <c r="P538" s="88" t="str">
        <f t="shared" si="1678"/>
        <v>B1_4</v>
      </c>
      <c r="Q538" s="88">
        <f t="shared" si="1751"/>
        <v>270</v>
      </c>
      <c r="R538" s="88">
        <f t="shared" si="1752"/>
        <v>120</v>
      </c>
      <c r="S538" s="218" t="s">
        <v>2539</v>
      </c>
      <c r="T538" s="88" t="s">
        <v>3088</v>
      </c>
      <c r="U538" s="88">
        <f>IF(RIGHT(T538,1)="K",(VLOOKUP(T538,ma_miengiam!$A$3:$B$80,2,0)*100)/2,VLOOKUP(T538,ma_miengiam!$A$3:$B$80,2,0)*100)</f>
        <v>0</v>
      </c>
      <c r="V538" s="88"/>
      <c r="W538" s="220">
        <f>IF(AND(T538="NTS",V538&gt;0),(Q538-(Q538*V538)/12)*VLOOKUP(T538,ma_miengiam!$A$3:$B$80,2,0)+(Q538-(Q538*(12-V538))/12),IF(AND(RIGHT(T538,1)="K",V538&gt;0),(VLOOKUP(T538,ma_miengiam!$A$3:$B$80,2,0)/2)*(Q538*V538)/12,IF(RIGHT(T538,1)="K",(VLOOKUP(T538,ma_miengiam!$A$3:$B$80,2,0)*Q538)/2,IF(V538&gt;0,VLOOKUP(T538,ma_miengiam!$A$3:$B$80,2,0)*Q538*V538/12,VLOOKUP(T538,ma_miengiam!$A$3:$B$80,2,0)*Q538))))</f>
        <v>0</v>
      </c>
      <c r="X538" s="220">
        <f>IF(T538="NTS",VLOOKUP(T538,ma_miengiam!$A$3:$B$80,2,0)*R538*V538,IF(AND(T538="NTS",V538=0),0,IF(AND(LEFT(T538,1)="K",V538=0),VLOOKUP(T538,ma_miengiam!$A$3:$B$80,2,0)*R538,IF(LEFT(T538,1)="K",(VLOOKUP(T538,ma_miengiam!$A$3:$B$80,2,0)*R538/12)*V538,IF(AND(LEFT(T538,1)="S",V538&gt;0),(R538/12)*V538,IF(AND(LEFT(T538,1)="S",V538=0),R538,IF(T538="DH",VLOOKUP(T538,ma_miengiam!$A$3:$B$80,2,0)*R538,0)))))))</f>
        <v>0</v>
      </c>
      <c r="Y538" s="220">
        <f t="shared" si="1745"/>
        <v>270</v>
      </c>
      <c r="Z538" s="220">
        <f>IF(AND(T538="SĐH",V538&gt;0),(R538/12)*V538-X538,IF(AND(T538="DH",V538&gt;0),(R538*V538/12),IF(AND(T538&lt;&gt;"NTS",V538&gt;0),(R538*V538/12)-X538,IF(AND(T538="NTS",V538&gt;0),R538-X538,R538-X538))))</f>
        <v>120</v>
      </c>
      <c r="AA538" s="220">
        <f t="shared" si="1753"/>
        <v>270</v>
      </c>
      <c r="AB538" s="220">
        <f t="shared" si="1753"/>
        <v>120</v>
      </c>
      <c r="AC538" s="220">
        <f t="shared" si="1758"/>
        <v>0</v>
      </c>
      <c r="AD538" s="220">
        <f t="shared" si="1758"/>
        <v>0</v>
      </c>
      <c r="AE538" s="220">
        <f t="shared" si="1758"/>
        <v>270</v>
      </c>
      <c r="AF538" s="220">
        <f t="shared" si="1758"/>
        <v>120</v>
      </c>
      <c r="AG538" s="220">
        <f t="shared" si="1741"/>
        <v>0</v>
      </c>
      <c r="AH538" s="220">
        <f t="shared" si="1742"/>
        <v>0</v>
      </c>
      <c r="AI538" s="220">
        <f t="shared" si="1743"/>
        <v>0</v>
      </c>
      <c r="AJ538" s="220">
        <f t="shared" si="1728"/>
        <v>-120</v>
      </c>
      <c r="AK538" s="216">
        <f t="shared" si="1639"/>
        <v>390</v>
      </c>
      <c r="AL538" s="220">
        <f t="shared" si="1640"/>
        <v>293.3</v>
      </c>
      <c r="AM538" s="220">
        <f t="shared" si="1641"/>
        <v>0</v>
      </c>
      <c r="AN538" s="216">
        <f t="shared" si="1642"/>
        <v>293.3</v>
      </c>
      <c r="AO538" s="220">
        <f t="shared" si="1643"/>
        <v>0</v>
      </c>
      <c r="AP538" s="220">
        <f t="shared" si="1644"/>
        <v>0</v>
      </c>
      <c r="AQ538" s="220">
        <f t="shared" si="1645"/>
        <v>0</v>
      </c>
      <c r="AR538" s="220">
        <f t="shared" si="1646"/>
        <v>0</v>
      </c>
      <c r="AS538" s="220">
        <f t="shared" si="1647"/>
        <v>0</v>
      </c>
      <c r="AT538" s="216">
        <f t="shared" si="1648"/>
        <v>293.3</v>
      </c>
      <c r="AU538" s="220">
        <f t="shared" si="1744"/>
        <v>-96.699999999999989</v>
      </c>
      <c r="AV538" s="220"/>
      <c r="AW538" s="220">
        <f t="shared" si="1688"/>
        <v>-96.699999999999989</v>
      </c>
      <c r="AX538" s="216">
        <f t="shared" si="1636"/>
        <v>-96.699999999999989</v>
      </c>
      <c r="AY538" s="220">
        <f t="shared" si="1698"/>
        <v>0</v>
      </c>
      <c r="AZ538" s="220">
        <f t="shared" si="1699"/>
        <v>0</v>
      </c>
      <c r="BA538" s="220">
        <f t="shared" si="1700"/>
        <v>0</v>
      </c>
      <c r="BB538" s="220">
        <f t="shared" si="1701"/>
        <v>0</v>
      </c>
      <c r="BC538" s="220">
        <f t="shared" si="1702"/>
        <v>0</v>
      </c>
      <c r="BD538" s="216">
        <f t="shared" si="1599"/>
        <v>0</v>
      </c>
      <c r="BE538" s="220">
        <f t="shared" si="1689"/>
        <v>0</v>
      </c>
      <c r="BF538" s="220">
        <f t="shared" si="1690"/>
        <v>0</v>
      </c>
      <c r="BG538" s="220">
        <f t="shared" si="1691"/>
        <v>0</v>
      </c>
      <c r="BH538" s="220">
        <f t="shared" si="1692"/>
        <v>0</v>
      </c>
      <c r="BI538" s="220">
        <f t="shared" si="1693"/>
        <v>0</v>
      </c>
      <c r="BJ538" s="220" t="s">
        <v>394</v>
      </c>
      <c r="BK538" s="220"/>
      <c r="BL538" s="223">
        <f t="shared" si="1609"/>
        <v>0</v>
      </c>
      <c r="BM538" s="220">
        <v>3.33</v>
      </c>
      <c r="BN538" s="220"/>
      <c r="BO538" s="220">
        <f>ROUND(BM538+(BM538*BN538),2)</f>
        <v>3.33</v>
      </c>
      <c r="BP538" s="220">
        <f>IF(AND(BL538&gt;0,BL538&lt;tiet!$D$1),BL538,IF(BL538&lt;=0,0,IF(BL538&gt;tiet!$C$1,tiet!$C$1)))</f>
        <v>0</v>
      </c>
      <c r="BQ538" s="87">
        <f t="shared" si="1729"/>
        <v>65000</v>
      </c>
      <c r="BR538" s="224">
        <f t="shared" si="1730"/>
        <v>0</v>
      </c>
      <c r="BS538" s="220">
        <f t="shared" si="1686"/>
        <v>0</v>
      </c>
      <c r="BT538" s="224">
        <f>VLOOKUP(N538,ma_dinhmuc!$A$1:$J$31,10,0)</f>
        <v>51000</v>
      </c>
      <c r="BU538" s="224">
        <f>ROUND(IF(BS538&gt;0,VLOOKUP(N538,ma_dinhmuc!$A$1:$J$31,10,0)*BS538,0),0)</f>
        <v>0</v>
      </c>
      <c r="BV538" s="224">
        <f t="shared" si="1731"/>
        <v>0</v>
      </c>
      <c r="BW538" s="224"/>
      <c r="BX538" s="224">
        <v>0</v>
      </c>
      <c r="BY538" s="224"/>
      <c r="BZ538" s="224"/>
      <c r="CA538" s="224"/>
      <c r="CB538" s="224"/>
      <c r="CC538" s="225">
        <f>ROUND(IF(BV538+BW538&gt;BX538+BY538+BZ538+CA538+CB538,(BW538+BV538)-(BX538+BY538+BZ538+CA538+CB538+CB538),0),0)</f>
        <v>0</v>
      </c>
      <c r="CD538" s="224">
        <f>ROUND(IF(BV538+BW538&lt;BX538+BY538+BZ538+CA538-CB538,(BX538+BY538+BZ538+CA538-CB538)-(BW538+BV538),0),0)</f>
        <v>0</v>
      </c>
      <c r="CE538" s="224"/>
      <c r="CF538" s="226"/>
      <c r="CG538" s="87"/>
      <c r="CH538" s="87">
        <f t="shared" si="1736"/>
        <v>44</v>
      </c>
      <c r="CI538" s="227" t="str">
        <f t="shared" si="1756"/>
        <v>Trần Vũ</v>
      </c>
      <c r="CJ538" s="227" t="str">
        <f t="shared" si="1756"/>
        <v>Hà</v>
      </c>
      <c r="CK538" s="87">
        <f>H538</f>
        <v>10</v>
      </c>
      <c r="CL538" s="227" t="str">
        <f t="shared" si="1749"/>
        <v>Khoa học máy tính</v>
      </c>
      <c r="CM538" s="87" t="str">
        <f t="shared" si="1694"/>
        <v>CS2</v>
      </c>
      <c r="CN538" s="87">
        <f t="shared" si="1759"/>
        <v>270</v>
      </c>
      <c r="CO538" s="87">
        <f t="shared" si="1759"/>
        <v>120</v>
      </c>
      <c r="CP538" s="229">
        <f t="shared" si="1703"/>
        <v>0</v>
      </c>
      <c r="CQ538" s="229">
        <f t="shared" si="1704"/>
        <v>13.8</v>
      </c>
      <c r="CR538" s="229">
        <f t="shared" si="1705"/>
        <v>19.399999999999999</v>
      </c>
      <c r="CS538" s="229">
        <f t="shared" si="1706"/>
        <v>10.8</v>
      </c>
      <c r="CT538" s="229">
        <f t="shared" si="1707"/>
        <v>0</v>
      </c>
      <c r="CU538" s="229">
        <f t="shared" si="1708"/>
        <v>158.30000000000001</v>
      </c>
      <c r="CV538" s="229">
        <f t="shared" si="1709"/>
        <v>0</v>
      </c>
      <c r="CW538" s="229">
        <f t="shared" si="1710"/>
        <v>91</v>
      </c>
      <c r="CX538" s="229">
        <f t="shared" si="1711"/>
        <v>0</v>
      </c>
      <c r="CY538" s="229">
        <f t="shared" si="1712"/>
        <v>0</v>
      </c>
      <c r="CZ538" s="229">
        <f t="shared" si="1713"/>
        <v>0</v>
      </c>
      <c r="DA538" s="229">
        <f t="shared" si="1714"/>
        <v>0</v>
      </c>
      <c r="DB538" s="228">
        <f t="shared" si="1650"/>
        <v>293.3</v>
      </c>
      <c r="DC538" s="229"/>
      <c r="DD538" s="229"/>
      <c r="DE538" s="229"/>
      <c r="DF538" s="229"/>
      <c r="DG538" s="229"/>
      <c r="DH538" s="229"/>
      <c r="DI538" s="229"/>
      <c r="DJ538" s="229"/>
      <c r="DK538" s="229"/>
      <c r="DL538" s="229"/>
      <c r="DM538" s="229"/>
      <c r="DN538" s="229"/>
      <c r="DO538" s="228">
        <f t="shared" si="1651"/>
        <v>0</v>
      </c>
      <c r="DP538" s="228">
        <f t="shared" si="1652"/>
        <v>293.3</v>
      </c>
      <c r="DQ538" s="229">
        <f t="shared" si="1715"/>
        <v>0</v>
      </c>
      <c r="DR538" s="229">
        <f t="shared" si="1716"/>
        <v>0</v>
      </c>
      <c r="DS538" s="229">
        <f t="shared" si="1717"/>
        <v>0</v>
      </c>
      <c r="DT538" s="229">
        <f t="shared" si="1718"/>
        <v>0</v>
      </c>
      <c r="DU538" s="229">
        <f t="shared" si="1719"/>
        <v>0</v>
      </c>
      <c r="DV538" s="229">
        <f t="shared" si="1720"/>
        <v>0</v>
      </c>
      <c r="DW538" s="229">
        <f t="shared" si="1721"/>
        <v>0</v>
      </c>
      <c r="DX538" s="228">
        <f t="shared" si="1653"/>
        <v>0</v>
      </c>
      <c r="DY538" s="229"/>
      <c r="DZ538" s="229"/>
      <c r="EA538" s="229"/>
      <c r="EB538" s="229"/>
      <c r="EC538" s="229"/>
      <c r="ED538" s="229"/>
      <c r="EE538" s="229"/>
      <c r="EF538" s="228">
        <f t="shared" si="1696"/>
        <v>0</v>
      </c>
      <c r="EG538" s="228">
        <f t="shared" si="1654"/>
        <v>0</v>
      </c>
      <c r="EH538" s="229">
        <f t="shared" si="1697"/>
        <v>0</v>
      </c>
      <c r="EI538" s="229">
        <v>0</v>
      </c>
      <c r="EJ538" s="228">
        <f t="shared" si="1757"/>
        <v>0</v>
      </c>
      <c r="EK538" s="229"/>
      <c r="EL538" s="229"/>
      <c r="EM538" s="228">
        <f t="shared" si="1739"/>
        <v>0</v>
      </c>
      <c r="EN538" s="229">
        <f t="shared" si="1591"/>
        <v>0</v>
      </c>
      <c r="EO538" s="229">
        <f>EI538</f>
        <v>0</v>
      </c>
      <c r="EP538" s="228">
        <f>EM538+EJ538</f>
        <v>0</v>
      </c>
      <c r="EQ538" s="173">
        <f t="shared" si="1687"/>
        <v>0</v>
      </c>
      <c r="ER538" s="189">
        <v>0</v>
      </c>
      <c r="ES538" s="189">
        <v>13.8</v>
      </c>
      <c r="ET538" s="189">
        <v>19.399999999999999</v>
      </c>
      <c r="EU538" s="189">
        <v>10.8</v>
      </c>
      <c r="EV538" s="189">
        <v>0</v>
      </c>
      <c r="EW538" s="189">
        <v>158.30000000000001</v>
      </c>
      <c r="EX538" s="189">
        <v>0</v>
      </c>
      <c r="EY538" s="189">
        <v>91</v>
      </c>
      <c r="EZ538" s="189">
        <v>0</v>
      </c>
      <c r="FA538" s="189">
        <v>0</v>
      </c>
      <c r="FB538" s="189">
        <v>0</v>
      </c>
      <c r="FC538" s="189">
        <v>0</v>
      </c>
      <c r="FD538" s="189">
        <v>0</v>
      </c>
      <c r="FE538" s="189">
        <v>0</v>
      </c>
      <c r="FF538" s="189">
        <v>0</v>
      </c>
      <c r="FG538" s="189">
        <v>0</v>
      </c>
      <c r="FH538" s="189">
        <v>0</v>
      </c>
      <c r="FI538" s="189">
        <v>0</v>
      </c>
      <c r="FJ538" s="189">
        <v>0</v>
      </c>
      <c r="FK538" s="189">
        <v>293.3</v>
      </c>
      <c r="FL538" s="189">
        <v>237.8</v>
      </c>
      <c r="FN538" s="132">
        <v>0</v>
      </c>
    </row>
    <row r="539" spans="1:170" ht="30" customHeight="1">
      <c r="A539" s="88">
        <f>COUNTIF($H$12:H539,H539)</f>
        <v>45</v>
      </c>
      <c r="B539" s="88" t="s">
        <v>1950</v>
      </c>
      <c r="C539" s="88" t="s">
        <v>703</v>
      </c>
      <c r="D539" s="88"/>
      <c r="E539" s="88"/>
      <c r="F539" s="301" t="s">
        <v>2974</v>
      </c>
      <c r="G539" s="89" t="s">
        <v>17</v>
      </c>
      <c r="H539" s="88">
        <v>10</v>
      </c>
      <c r="I539" s="88">
        <v>10</v>
      </c>
      <c r="J539" s="88">
        <v>10</v>
      </c>
      <c r="K539" s="90" t="s">
        <v>1112</v>
      </c>
      <c r="L539" s="90" t="s">
        <v>1112</v>
      </c>
      <c r="M539" s="214"/>
      <c r="N539" s="88" t="s">
        <v>1804</v>
      </c>
      <c r="O539" s="216">
        <f t="shared" si="1760"/>
        <v>3</v>
      </c>
      <c r="P539" s="88" t="str">
        <f t="shared" si="1678"/>
        <v>B1_3</v>
      </c>
      <c r="Q539" s="88">
        <f t="shared" si="1751"/>
        <v>270</v>
      </c>
      <c r="R539" s="88">
        <f t="shared" si="1752"/>
        <v>100</v>
      </c>
      <c r="S539" s="218" t="s">
        <v>2392</v>
      </c>
      <c r="T539" s="88" t="s">
        <v>3088</v>
      </c>
      <c r="U539" s="88">
        <f>IF(RIGHT(T539,1)="K",(VLOOKUP(T539,ma_miengiam!$A$3:$B$80,2,0)*100)/2,VLOOKUP(T539,ma_miengiam!$A$3:$B$80,2,0)*100)</f>
        <v>0</v>
      </c>
      <c r="V539" s="88">
        <v>6</v>
      </c>
      <c r="W539" s="220">
        <f>IF(AND(T539="NTS",V539&gt;0),(Q539-(Q539*V539)/12)*VLOOKUP(T539,ma_miengiam!$A$3:$B$80,2,0)+(Q539-(Q539*(12-V539))/12),IF(AND(RIGHT(T539,1)="K",V539&gt;0),(VLOOKUP(T539,ma_miengiam!$A$3:$B$80,2,0)/2)*(Q539*V539)/12,IF(RIGHT(T539,1)="K",(VLOOKUP(T539,ma_miengiam!$A$3:$B$80,2,0)*Q539)/2,IF(V539&gt;0,VLOOKUP(T539,ma_miengiam!$A$3:$B$80,2,0)*Q539*V539/12,VLOOKUP(T539,ma_miengiam!$A$3:$B$80,2,0)*Q539))))</f>
        <v>0</v>
      </c>
      <c r="X539" s="220">
        <f>IF(T539="NTS",VLOOKUP(T539,ma_miengiam!$A$3:$B$80,2,0)*R539*V539,IF(AND(T539="NTS",V539=0),0,IF(AND(LEFT(T539,1)="K",V539=0),VLOOKUP(T539,ma_miengiam!$A$3:$B$80,2,0)*R539,IF(LEFT(T539,1)="K",(VLOOKUP(T539,ma_miengiam!$A$3:$B$80,2,0)*R539/12)*V539,IF(AND(LEFT(T539,1)="S",V539&gt;0),(R539/12)*V539,IF(AND(LEFT(T539,1)="S",V539=0),R539,IF(T539="DH",VLOOKUP(T539,ma_miengiam!$A$3:$B$80,2,0)*R539,0)))))))</f>
        <v>0</v>
      </c>
      <c r="Y539" s="220">
        <f t="shared" si="1745"/>
        <v>135</v>
      </c>
      <c r="Z539" s="220">
        <f t="shared" si="1569"/>
        <v>50</v>
      </c>
      <c r="AA539" s="220">
        <f t="shared" ref="AA539:AB542" si="1761">Q539</f>
        <v>270</v>
      </c>
      <c r="AB539" s="220">
        <f t="shared" si="1761"/>
        <v>100</v>
      </c>
      <c r="AC539" s="220">
        <f t="shared" si="1758"/>
        <v>0</v>
      </c>
      <c r="AD539" s="220">
        <f t="shared" si="1758"/>
        <v>0</v>
      </c>
      <c r="AE539" s="220">
        <f t="shared" si="1758"/>
        <v>135</v>
      </c>
      <c r="AF539" s="220">
        <f t="shared" si="1758"/>
        <v>50</v>
      </c>
      <c r="AG539" s="220">
        <f t="shared" si="1741"/>
        <v>115</v>
      </c>
      <c r="AH539" s="220">
        <f t="shared" si="1742"/>
        <v>35</v>
      </c>
      <c r="AI539" s="220">
        <f t="shared" si="1743"/>
        <v>80</v>
      </c>
      <c r="AJ539" s="220">
        <f t="shared" si="1728"/>
        <v>0</v>
      </c>
      <c r="AK539" s="216">
        <f t="shared" si="1639"/>
        <v>135</v>
      </c>
      <c r="AL539" s="220">
        <f t="shared" si="1640"/>
        <v>216</v>
      </c>
      <c r="AM539" s="220">
        <f t="shared" si="1641"/>
        <v>0</v>
      </c>
      <c r="AN539" s="216">
        <f t="shared" si="1642"/>
        <v>216</v>
      </c>
      <c r="AO539" s="220">
        <f t="shared" si="1643"/>
        <v>0</v>
      </c>
      <c r="AP539" s="220">
        <f t="shared" si="1644"/>
        <v>0</v>
      </c>
      <c r="AQ539" s="220">
        <f t="shared" si="1645"/>
        <v>0</v>
      </c>
      <c r="AR539" s="220">
        <f t="shared" si="1646"/>
        <v>0</v>
      </c>
      <c r="AS539" s="220">
        <f t="shared" si="1647"/>
        <v>0</v>
      </c>
      <c r="AT539" s="216">
        <f t="shared" si="1648"/>
        <v>216</v>
      </c>
      <c r="AU539" s="220">
        <f t="shared" si="1744"/>
        <v>81</v>
      </c>
      <c r="AV539" s="220"/>
      <c r="AW539" s="220">
        <f t="shared" si="1688"/>
        <v>81</v>
      </c>
      <c r="AX539" s="216">
        <f t="shared" si="1636"/>
        <v>0</v>
      </c>
      <c r="AY539" s="220">
        <f t="shared" si="1698"/>
        <v>0</v>
      </c>
      <c r="AZ539" s="220">
        <f t="shared" si="1699"/>
        <v>0</v>
      </c>
      <c r="BA539" s="220">
        <f t="shared" si="1700"/>
        <v>0</v>
      </c>
      <c r="BB539" s="220">
        <f t="shared" si="1701"/>
        <v>0</v>
      </c>
      <c r="BC539" s="220">
        <f t="shared" si="1702"/>
        <v>0</v>
      </c>
      <c r="BD539" s="216">
        <f t="shared" si="1599"/>
        <v>0</v>
      </c>
      <c r="BE539" s="220">
        <f t="shared" si="1689"/>
        <v>0</v>
      </c>
      <c r="BF539" s="220">
        <f t="shared" si="1690"/>
        <v>0</v>
      </c>
      <c r="BG539" s="220">
        <f t="shared" si="1691"/>
        <v>0</v>
      </c>
      <c r="BH539" s="220">
        <f t="shared" si="1692"/>
        <v>0</v>
      </c>
      <c r="BI539" s="220">
        <f t="shared" si="1693"/>
        <v>0</v>
      </c>
      <c r="BJ539" s="220" t="s">
        <v>394</v>
      </c>
      <c r="BK539" s="220"/>
      <c r="BL539" s="223">
        <f t="shared" si="1609"/>
        <v>81</v>
      </c>
      <c r="BM539" s="220">
        <v>3</v>
      </c>
      <c r="BN539" s="220"/>
      <c r="BO539" s="220">
        <f t="shared" si="1670"/>
        <v>3</v>
      </c>
      <c r="BP539" s="220">
        <f>IF(AND(BL539&gt;0,BL539&lt;tiet!$D$1),BL539,IF(BL539&lt;=0,0,IF(BL539&gt;tiet!$C$1,tiet!$C$1)))</f>
        <v>81</v>
      </c>
      <c r="BQ539" s="87">
        <f t="shared" si="1729"/>
        <v>60000</v>
      </c>
      <c r="BR539" s="224">
        <f t="shared" si="1730"/>
        <v>4860000</v>
      </c>
      <c r="BS539" s="220">
        <f t="shared" si="1686"/>
        <v>0</v>
      </c>
      <c r="BT539" s="224">
        <f>VLOOKUP(N539,ma_dinhmuc!$A$1:$J$31,10,0)</f>
        <v>51000</v>
      </c>
      <c r="BU539" s="224">
        <f>ROUND(IF(BS539&gt;0,VLOOKUP(N539,ma_dinhmuc!$A$1:$J$31,10,0)*BS539,0),0)</f>
        <v>0</v>
      </c>
      <c r="BV539" s="224">
        <f t="shared" si="1731"/>
        <v>4860000</v>
      </c>
      <c r="BW539" s="224"/>
      <c r="BX539" s="224">
        <v>0</v>
      </c>
      <c r="BY539" s="224"/>
      <c r="BZ539" s="224"/>
      <c r="CA539" s="224"/>
      <c r="CB539" s="224"/>
      <c r="CC539" s="225">
        <f t="shared" si="1595"/>
        <v>4860000</v>
      </c>
      <c r="CD539" s="224">
        <f t="shared" si="1596"/>
        <v>0</v>
      </c>
      <c r="CE539" s="224"/>
      <c r="CF539" s="226"/>
      <c r="CG539" s="87"/>
      <c r="CH539" s="87">
        <f t="shared" si="1736"/>
        <v>45</v>
      </c>
      <c r="CI539" s="227" t="str">
        <f t="shared" si="1746"/>
        <v>Đoàn Thị Thu</v>
      </c>
      <c r="CJ539" s="227" t="str">
        <f t="shared" si="1747"/>
        <v>Hà</v>
      </c>
      <c r="CK539" s="87">
        <f t="shared" si="1748"/>
        <v>10</v>
      </c>
      <c r="CL539" s="227" t="str">
        <f t="shared" si="1749"/>
        <v>Khoa học máy tính</v>
      </c>
      <c r="CM539" s="87" t="str">
        <f t="shared" si="1694"/>
        <v>CS2</v>
      </c>
      <c r="CN539" s="87">
        <f t="shared" si="1759"/>
        <v>270</v>
      </c>
      <c r="CO539" s="87">
        <f t="shared" si="1759"/>
        <v>100</v>
      </c>
      <c r="CP539" s="229">
        <f t="shared" si="1703"/>
        <v>0</v>
      </c>
      <c r="CQ539" s="229">
        <f t="shared" si="1704"/>
        <v>23.1</v>
      </c>
      <c r="CR539" s="229">
        <f t="shared" si="1705"/>
        <v>17.2</v>
      </c>
      <c r="CS539" s="229">
        <f t="shared" si="1706"/>
        <v>3.6</v>
      </c>
      <c r="CT539" s="229">
        <f t="shared" si="1707"/>
        <v>0</v>
      </c>
      <c r="CU539" s="229">
        <f t="shared" si="1708"/>
        <v>108.1</v>
      </c>
      <c r="CV539" s="229">
        <f t="shared" si="1709"/>
        <v>0</v>
      </c>
      <c r="CW539" s="229">
        <f t="shared" si="1710"/>
        <v>64</v>
      </c>
      <c r="CX539" s="229">
        <f t="shared" si="1711"/>
        <v>0</v>
      </c>
      <c r="CY539" s="229">
        <f t="shared" si="1712"/>
        <v>0</v>
      </c>
      <c r="CZ539" s="229">
        <f t="shared" si="1713"/>
        <v>0</v>
      </c>
      <c r="DA539" s="229">
        <f t="shared" si="1714"/>
        <v>0</v>
      </c>
      <c r="DB539" s="228">
        <f t="shared" si="1650"/>
        <v>216</v>
      </c>
      <c r="DC539" s="229"/>
      <c r="DD539" s="229"/>
      <c r="DE539" s="229"/>
      <c r="DF539" s="229"/>
      <c r="DG539" s="229"/>
      <c r="DH539" s="229"/>
      <c r="DI539" s="229"/>
      <c r="DJ539" s="229"/>
      <c r="DK539" s="229"/>
      <c r="DL539" s="229"/>
      <c r="DM539" s="229"/>
      <c r="DN539" s="229"/>
      <c r="DO539" s="228">
        <f t="shared" si="1651"/>
        <v>0</v>
      </c>
      <c r="DP539" s="228">
        <f t="shared" si="1652"/>
        <v>216</v>
      </c>
      <c r="DQ539" s="229">
        <f t="shared" si="1715"/>
        <v>0</v>
      </c>
      <c r="DR539" s="229">
        <f t="shared" si="1716"/>
        <v>0</v>
      </c>
      <c r="DS539" s="229">
        <f t="shared" si="1717"/>
        <v>0</v>
      </c>
      <c r="DT539" s="229">
        <f t="shared" si="1718"/>
        <v>0</v>
      </c>
      <c r="DU539" s="229">
        <f t="shared" si="1719"/>
        <v>0</v>
      </c>
      <c r="DV539" s="229">
        <f t="shared" si="1720"/>
        <v>0</v>
      </c>
      <c r="DW539" s="229">
        <f t="shared" si="1721"/>
        <v>0</v>
      </c>
      <c r="DX539" s="228">
        <f t="shared" si="1653"/>
        <v>0</v>
      </c>
      <c r="DY539" s="229"/>
      <c r="DZ539" s="229"/>
      <c r="EA539" s="229"/>
      <c r="EB539" s="229"/>
      <c r="EC539" s="229"/>
      <c r="ED539" s="229"/>
      <c r="EE539" s="229"/>
      <c r="EF539" s="228">
        <f t="shared" si="1696"/>
        <v>0</v>
      </c>
      <c r="EG539" s="228">
        <f t="shared" si="1654"/>
        <v>0</v>
      </c>
      <c r="EH539" s="229">
        <f t="shared" si="1697"/>
        <v>80</v>
      </c>
      <c r="EI539" s="229">
        <v>35</v>
      </c>
      <c r="EJ539" s="228">
        <f t="shared" si="1757"/>
        <v>115</v>
      </c>
      <c r="EK539" s="229"/>
      <c r="EL539" s="229"/>
      <c r="EM539" s="228">
        <f t="shared" si="1739"/>
        <v>0</v>
      </c>
      <c r="EN539" s="229">
        <f t="shared" si="1591"/>
        <v>80</v>
      </c>
      <c r="EO539" s="229">
        <f t="shared" si="1610"/>
        <v>35</v>
      </c>
      <c r="EP539" s="228">
        <f t="shared" si="1750"/>
        <v>115</v>
      </c>
      <c r="EQ539" s="173">
        <f t="shared" si="1687"/>
        <v>30</v>
      </c>
      <c r="ER539" s="189">
        <v>0</v>
      </c>
      <c r="ES539" s="189">
        <v>23.1</v>
      </c>
      <c r="ET539" s="189">
        <v>17.2</v>
      </c>
      <c r="EU539" s="189">
        <v>3.6</v>
      </c>
      <c r="EV539" s="189">
        <v>0</v>
      </c>
      <c r="EW539" s="189">
        <v>108.1</v>
      </c>
      <c r="EX539" s="189">
        <v>0</v>
      </c>
      <c r="EY539" s="189">
        <v>64</v>
      </c>
      <c r="EZ539" s="189">
        <v>0</v>
      </c>
      <c r="FA539" s="189">
        <v>0</v>
      </c>
      <c r="FB539" s="189">
        <v>0</v>
      </c>
      <c r="FC539" s="189">
        <v>0</v>
      </c>
      <c r="FD539" s="189">
        <v>0</v>
      </c>
      <c r="FE539" s="189">
        <v>0</v>
      </c>
      <c r="FF539" s="189">
        <v>0</v>
      </c>
      <c r="FG539" s="189">
        <v>0</v>
      </c>
      <c r="FH539" s="189">
        <v>0</v>
      </c>
      <c r="FI539" s="189">
        <v>0</v>
      </c>
      <c r="FJ539" s="189">
        <v>0</v>
      </c>
      <c r="FK539" s="189">
        <v>216</v>
      </c>
      <c r="FL539" s="189">
        <v>161.6</v>
      </c>
      <c r="FN539" s="132">
        <v>80</v>
      </c>
    </row>
    <row r="540" spans="1:170" ht="30" customHeight="1">
      <c r="A540" s="88">
        <f>COUNTIF($H$12:H540,H540)</f>
        <v>46</v>
      </c>
      <c r="B540" s="88" t="s">
        <v>1953</v>
      </c>
      <c r="C540" s="88" t="s">
        <v>704</v>
      </c>
      <c r="D540" s="88"/>
      <c r="E540" s="88"/>
      <c r="F540" s="301" t="s">
        <v>2895</v>
      </c>
      <c r="G540" s="89" t="s">
        <v>3151</v>
      </c>
      <c r="H540" s="88">
        <v>10</v>
      </c>
      <c r="I540" s="88">
        <v>10</v>
      </c>
      <c r="J540" s="88">
        <v>10</v>
      </c>
      <c r="K540" s="90" t="s">
        <v>1660</v>
      </c>
      <c r="L540" s="90" t="s">
        <v>1660</v>
      </c>
      <c r="M540" s="214"/>
      <c r="N540" s="88" t="s">
        <v>605</v>
      </c>
      <c r="O540" s="216">
        <f t="shared" si="1760"/>
        <v>7.28</v>
      </c>
      <c r="P540" s="88" t="str">
        <f t="shared" si="1678"/>
        <v>B1_8</v>
      </c>
      <c r="Q540" s="88">
        <f t="shared" si="1751"/>
        <v>270</v>
      </c>
      <c r="R540" s="88">
        <f t="shared" si="1752"/>
        <v>280</v>
      </c>
      <c r="S540" s="233" t="s">
        <v>3173</v>
      </c>
      <c r="T540" s="88" t="s">
        <v>3088</v>
      </c>
      <c r="U540" s="88">
        <f>IF(RIGHT(T540,1)="K",(VLOOKUP(T540,ma_miengiam!$A$3:$B$80,2,0)*100)/2,VLOOKUP(T540,ma_miengiam!$A$3:$B$80,2,0)*100)</f>
        <v>0</v>
      </c>
      <c r="V540" s="88">
        <v>4</v>
      </c>
      <c r="W540" s="220">
        <f>IF(AND(T540="NTS",V540&gt;0),(Q540-(Q540*V540)/12)*VLOOKUP(T540,ma_miengiam!$A$3:$B$80,2,0)+(Q540-(Q540*(12-V540))/12),IF(AND(RIGHT(T540,1)="K",V540&gt;0),(VLOOKUP(T540,ma_miengiam!$A$3:$B$80,2,0)/2)*(Q540*V540)/12,IF(RIGHT(T540,1)="K",(VLOOKUP(T540,ma_miengiam!$A$3:$B$80,2,0)*Q540)/2,IF(V540&gt;0,VLOOKUP(T540,ma_miengiam!$A$3:$B$80,2,0)*Q540*V540/12,VLOOKUP(T540,ma_miengiam!$A$3:$B$80,2,0)*Q540))))</f>
        <v>0</v>
      </c>
      <c r="X540" s="220">
        <f>IF(T540="NTS",VLOOKUP(T540,ma_miengiam!$A$3:$B$80,2,0)*R540*V540,IF(AND(T540="NTS",V540=0),0,IF(AND(LEFT(T540,1)="K",V540=0),VLOOKUP(T540,ma_miengiam!$A$3:$B$80,2,0)*R540,IF(LEFT(T540,1)="K",(VLOOKUP(T540,ma_miengiam!$A$3:$B$80,2,0)*R540/12)*V540,IF(AND(LEFT(T540,1)="S",V540&gt;0),(R540/12)*V540,IF(AND(LEFT(T540,1)="S",V540=0),R540,IF(T540="DH",VLOOKUP(T540,ma_miengiam!$A$3:$B$80,2,0)*R540,0)))))))</f>
        <v>0</v>
      </c>
      <c r="Y540" s="220">
        <f t="shared" si="1745"/>
        <v>90</v>
      </c>
      <c r="Z540" s="220">
        <f t="shared" ref="Z540:Z559" si="1762">IF(AND(T540="SĐH",V540&gt;0),(R540/12)*V540-X540,IF(AND(T540="DH",V540&gt;0),(R540*V540/12),IF(AND(T540&lt;&gt;"NTS",V540&gt;0),(R540*V540/12)-X540,IF(AND(T540="NTS",V540&gt;0),R540-X540,R540-X540))))</f>
        <v>93.333333333333329</v>
      </c>
      <c r="AA540" s="220">
        <f t="shared" si="1761"/>
        <v>270</v>
      </c>
      <c r="AB540" s="220">
        <f t="shared" si="1761"/>
        <v>280</v>
      </c>
      <c r="AC540" s="220">
        <f t="shared" ref="AC540:AF541" si="1763">W540</f>
        <v>0</v>
      </c>
      <c r="AD540" s="220">
        <f t="shared" si="1763"/>
        <v>0</v>
      </c>
      <c r="AE540" s="220">
        <f t="shared" si="1763"/>
        <v>90</v>
      </c>
      <c r="AF540" s="220">
        <f t="shared" si="1763"/>
        <v>93.333333333333329</v>
      </c>
      <c r="AG540" s="220">
        <f t="shared" si="1741"/>
        <v>0.35000000000002274</v>
      </c>
      <c r="AH540" s="220">
        <f t="shared" si="1742"/>
        <v>0.35000000000002274</v>
      </c>
      <c r="AI540" s="220">
        <f t="shared" si="1743"/>
        <v>0</v>
      </c>
      <c r="AJ540" s="220">
        <f t="shared" si="1728"/>
        <v>-92.983333333333306</v>
      </c>
      <c r="AK540" s="216">
        <f t="shared" si="1639"/>
        <v>182.98333333333329</v>
      </c>
      <c r="AL540" s="220">
        <f t="shared" si="1640"/>
        <v>256.3</v>
      </c>
      <c r="AM540" s="220">
        <f t="shared" si="1641"/>
        <v>81.600000000000009</v>
      </c>
      <c r="AN540" s="221">
        <f t="shared" si="1642"/>
        <v>337.90000000000003</v>
      </c>
      <c r="AO540" s="220">
        <f t="shared" si="1643"/>
        <v>0</v>
      </c>
      <c r="AP540" s="220">
        <f t="shared" si="1644"/>
        <v>0</v>
      </c>
      <c r="AQ540" s="220">
        <f t="shared" si="1645"/>
        <v>60</v>
      </c>
      <c r="AR540" s="220">
        <f t="shared" si="1646"/>
        <v>0</v>
      </c>
      <c r="AS540" s="220">
        <f t="shared" si="1647"/>
        <v>0</v>
      </c>
      <c r="AT540" s="216">
        <f t="shared" si="1648"/>
        <v>397.90000000000003</v>
      </c>
      <c r="AU540" s="222">
        <f t="shared" si="1744"/>
        <v>154.91666666666674</v>
      </c>
      <c r="AV540" s="220"/>
      <c r="AW540" s="220">
        <f t="shared" si="1688"/>
        <v>154.91666666666674</v>
      </c>
      <c r="AX540" s="216">
        <f t="shared" si="1636"/>
        <v>0</v>
      </c>
      <c r="AY540" s="220">
        <f t="shared" si="1698"/>
        <v>0</v>
      </c>
      <c r="AZ540" s="220">
        <f t="shared" si="1699"/>
        <v>0</v>
      </c>
      <c r="BA540" s="220">
        <f t="shared" si="1700"/>
        <v>60</v>
      </c>
      <c r="BB540" s="220">
        <f t="shared" si="1701"/>
        <v>0</v>
      </c>
      <c r="BC540" s="220">
        <f t="shared" si="1702"/>
        <v>0</v>
      </c>
      <c r="BD540" s="216">
        <f t="shared" si="1599"/>
        <v>60</v>
      </c>
      <c r="BE540" s="220">
        <f t="shared" si="1689"/>
        <v>0</v>
      </c>
      <c r="BF540" s="220">
        <f t="shared" si="1690"/>
        <v>0</v>
      </c>
      <c r="BG540" s="220">
        <f t="shared" si="1691"/>
        <v>0</v>
      </c>
      <c r="BH540" s="220">
        <f t="shared" si="1692"/>
        <v>0</v>
      </c>
      <c r="BI540" s="220">
        <f t="shared" si="1693"/>
        <v>0</v>
      </c>
      <c r="BJ540" s="220" t="s">
        <v>395</v>
      </c>
      <c r="BK540" s="220"/>
      <c r="BL540" s="223">
        <f t="shared" si="1609"/>
        <v>154.91666666666674</v>
      </c>
      <c r="BM540" s="220">
        <v>7.28</v>
      </c>
      <c r="BN540" s="220"/>
      <c r="BO540" s="220">
        <f t="shared" ref="BO540:BO547" si="1764">ROUND(BM540+(BM540*BN540),2)</f>
        <v>7.28</v>
      </c>
      <c r="BP540" s="220">
        <f>IF(AND(BL540&gt;0,BL540&lt;tiet!$D$1),BL540,IF(BL540&lt;=0,0,IF(BL540&gt;tiet!$C$1,tiet!$C$1)))</f>
        <v>154.91666666666674</v>
      </c>
      <c r="BQ540" s="87">
        <f t="shared" si="1729"/>
        <v>85000</v>
      </c>
      <c r="BR540" s="224">
        <f t="shared" si="1730"/>
        <v>13167917</v>
      </c>
      <c r="BS540" s="220">
        <f t="shared" si="1686"/>
        <v>0</v>
      </c>
      <c r="BT540" s="224">
        <f>VLOOKUP(N540,ma_dinhmuc!$A$1:$J$31,10,0)</f>
        <v>65000</v>
      </c>
      <c r="BU540" s="224">
        <f>ROUND(IF(BS540&gt;0,VLOOKUP(N540,ma_dinhmuc!$A$1:$J$31,10,0)*BS540,0),0)</f>
        <v>0</v>
      </c>
      <c r="BV540" s="224">
        <f t="shared" si="1731"/>
        <v>13167917</v>
      </c>
      <c r="BW540" s="224"/>
      <c r="BX540" s="224">
        <v>0</v>
      </c>
      <c r="BY540" s="224"/>
      <c r="BZ540" s="224"/>
      <c r="CA540" s="224"/>
      <c r="CB540" s="224"/>
      <c r="CC540" s="225">
        <f t="shared" si="1595"/>
        <v>13167917</v>
      </c>
      <c r="CD540" s="224">
        <f t="shared" si="1596"/>
        <v>0</v>
      </c>
      <c r="CE540" s="224"/>
      <c r="CF540" s="226"/>
      <c r="CG540" s="87"/>
      <c r="CH540" s="87">
        <f t="shared" si="1736"/>
        <v>46</v>
      </c>
      <c r="CI540" s="227" t="str">
        <f t="shared" si="1746"/>
        <v>Nguyễn Văn</v>
      </c>
      <c r="CJ540" s="227" t="str">
        <f t="shared" si="1747"/>
        <v>Định</v>
      </c>
      <c r="CK540" s="87">
        <f t="shared" si="1748"/>
        <v>10</v>
      </c>
      <c r="CL540" s="227" t="str">
        <f t="shared" si="1749"/>
        <v>Toán - Tin ứng dụng</v>
      </c>
      <c r="CM540" s="87" t="str">
        <f t="shared" si="1694"/>
        <v>CS4</v>
      </c>
      <c r="CN540" s="87">
        <f t="shared" si="1759"/>
        <v>270</v>
      </c>
      <c r="CO540" s="87">
        <f t="shared" si="1759"/>
        <v>280</v>
      </c>
      <c r="CP540" s="229">
        <f t="shared" si="1703"/>
        <v>0</v>
      </c>
      <c r="CQ540" s="229">
        <f t="shared" si="1704"/>
        <v>31.2</v>
      </c>
      <c r="CR540" s="229">
        <f t="shared" si="1705"/>
        <v>12.5</v>
      </c>
      <c r="CS540" s="229">
        <f t="shared" si="1706"/>
        <v>10.8</v>
      </c>
      <c r="CT540" s="229">
        <f t="shared" si="1707"/>
        <v>0</v>
      </c>
      <c r="CU540" s="229">
        <f t="shared" si="1708"/>
        <v>181.8</v>
      </c>
      <c r="CV540" s="229">
        <f t="shared" si="1709"/>
        <v>0</v>
      </c>
      <c r="CW540" s="229">
        <f t="shared" si="1710"/>
        <v>20</v>
      </c>
      <c r="CX540" s="229">
        <f t="shared" si="1711"/>
        <v>0</v>
      </c>
      <c r="CY540" s="229">
        <f t="shared" si="1712"/>
        <v>0</v>
      </c>
      <c r="CZ540" s="229">
        <f t="shared" si="1713"/>
        <v>0</v>
      </c>
      <c r="DA540" s="229">
        <f t="shared" si="1714"/>
        <v>60</v>
      </c>
      <c r="DB540" s="228">
        <f t="shared" si="1650"/>
        <v>316.3</v>
      </c>
      <c r="DC540" s="229"/>
      <c r="DD540" s="229"/>
      <c r="DE540" s="229"/>
      <c r="DF540" s="229"/>
      <c r="DG540" s="229"/>
      <c r="DH540" s="229"/>
      <c r="DI540" s="229"/>
      <c r="DJ540" s="229"/>
      <c r="DK540" s="229"/>
      <c r="DL540" s="229"/>
      <c r="DM540" s="229"/>
      <c r="DN540" s="229"/>
      <c r="DO540" s="228">
        <f t="shared" si="1651"/>
        <v>0</v>
      </c>
      <c r="DP540" s="228">
        <f t="shared" si="1652"/>
        <v>316.3</v>
      </c>
      <c r="DQ540" s="229">
        <f t="shared" si="1715"/>
        <v>81</v>
      </c>
      <c r="DR540" s="229">
        <f t="shared" si="1716"/>
        <v>0.4</v>
      </c>
      <c r="DS540" s="229">
        <f t="shared" si="1717"/>
        <v>0</v>
      </c>
      <c r="DT540" s="229">
        <f t="shared" si="1718"/>
        <v>0.2</v>
      </c>
      <c r="DU540" s="229">
        <f t="shared" si="1719"/>
        <v>0</v>
      </c>
      <c r="DV540" s="229">
        <f t="shared" si="1720"/>
        <v>0</v>
      </c>
      <c r="DW540" s="229">
        <f t="shared" si="1721"/>
        <v>0</v>
      </c>
      <c r="DX540" s="228">
        <f t="shared" si="1653"/>
        <v>81.600000000000009</v>
      </c>
      <c r="DY540" s="229"/>
      <c r="DZ540" s="229"/>
      <c r="EA540" s="229"/>
      <c r="EB540" s="229"/>
      <c r="EC540" s="229"/>
      <c r="ED540" s="229"/>
      <c r="EE540" s="229"/>
      <c r="EF540" s="228">
        <f t="shared" si="1696"/>
        <v>0</v>
      </c>
      <c r="EG540" s="228">
        <f t="shared" si="1654"/>
        <v>81.600000000000009</v>
      </c>
      <c r="EH540" s="229">
        <f t="shared" si="1697"/>
        <v>0</v>
      </c>
      <c r="EI540" s="229">
        <v>0.35000000000002274</v>
      </c>
      <c r="EJ540" s="228">
        <f t="shared" si="1757"/>
        <v>0.35000000000002274</v>
      </c>
      <c r="EK540" s="229"/>
      <c r="EL540" s="229"/>
      <c r="EM540" s="228">
        <f t="shared" si="1739"/>
        <v>0</v>
      </c>
      <c r="EN540" s="229">
        <f t="shared" ref="EN540:EN579" si="1765">EK540+EH540+EL540</f>
        <v>0</v>
      </c>
      <c r="EO540" s="229">
        <f t="shared" si="1610"/>
        <v>0.35000000000002274</v>
      </c>
      <c r="EP540" s="228">
        <f t="shared" si="1750"/>
        <v>0.35000000000002274</v>
      </c>
      <c r="EQ540" s="173">
        <f t="shared" si="1687"/>
        <v>0</v>
      </c>
      <c r="ER540" s="189">
        <v>0</v>
      </c>
      <c r="ES540" s="189">
        <v>31.2</v>
      </c>
      <c r="ET540" s="189">
        <v>12.5</v>
      </c>
      <c r="EU540" s="189">
        <v>10.8</v>
      </c>
      <c r="EV540" s="189">
        <v>0</v>
      </c>
      <c r="EW540" s="189">
        <v>181.8</v>
      </c>
      <c r="EX540" s="189">
        <v>0</v>
      </c>
      <c r="EY540" s="189">
        <v>20</v>
      </c>
      <c r="EZ540" s="189">
        <v>0</v>
      </c>
      <c r="FA540" s="189">
        <v>0</v>
      </c>
      <c r="FB540" s="189">
        <v>0</v>
      </c>
      <c r="FC540" s="189">
        <v>60</v>
      </c>
      <c r="FD540" s="189">
        <v>81</v>
      </c>
      <c r="FE540" s="189">
        <v>0.4</v>
      </c>
      <c r="FF540" s="189">
        <v>0</v>
      </c>
      <c r="FG540" s="189">
        <v>0.2</v>
      </c>
      <c r="FH540" s="189">
        <v>0</v>
      </c>
      <c r="FI540" s="189">
        <v>0</v>
      </c>
      <c r="FJ540" s="189">
        <v>0</v>
      </c>
      <c r="FK540" s="189">
        <v>397.9</v>
      </c>
      <c r="FL540" s="189">
        <v>290.8</v>
      </c>
      <c r="FN540" s="132">
        <v>0</v>
      </c>
    </row>
    <row r="541" spans="1:170" ht="30">
      <c r="A541" s="88">
        <f>COUNTIF($H$12:H541,H541)</f>
        <v>47</v>
      </c>
      <c r="B541" s="88" t="s">
        <v>1954</v>
      </c>
      <c r="C541" s="88" t="s">
        <v>705</v>
      </c>
      <c r="D541" s="88"/>
      <c r="E541" s="88"/>
      <c r="F541" s="301" t="s">
        <v>2190</v>
      </c>
      <c r="G541" s="89" t="s">
        <v>2975</v>
      </c>
      <c r="H541" s="88">
        <v>10</v>
      </c>
      <c r="I541" s="88">
        <v>10</v>
      </c>
      <c r="J541" s="88">
        <v>10</v>
      </c>
      <c r="K541" s="90" t="s">
        <v>1660</v>
      </c>
      <c r="L541" s="90" t="s">
        <v>1660</v>
      </c>
      <c r="M541" s="214"/>
      <c r="N541" s="88" t="s">
        <v>1804</v>
      </c>
      <c r="O541" s="216">
        <f>BO541</f>
        <v>3.99</v>
      </c>
      <c r="P541" s="88" t="str">
        <f t="shared" si="1678"/>
        <v>B1_4</v>
      </c>
      <c r="Q541" s="88">
        <f t="shared" si="1751"/>
        <v>270</v>
      </c>
      <c r="R541" s="88">
        <f t="shared" si="1752"/>
        <v>120</v>
      </c>
      <c r="S541" s="233" t="s">
        <v>3006</v>
      </c>
      <c r="T541" s="88" t="s">
        <v>3091</v>
      </c>
      <c r="U541" s="88">
        <f>IF(RIGHT(T541,1)="K",(VLOOKUP(T541,ma_miengiam!$A$3:$B$80,2,0)*100)/2,VLOOKUP(T541,ma_miengiam!$A$3:$B$80,2,0)*100)</f>
        <v>20</v>
      </c>
      <c r="V541" s="88"/>
      <c r="W541" s="220">
        <f>IF(AND(T541="NTS",V541&gt;0),(Q541-(Q541*V541)/12)*VLOOKUP(T541,ma_miengiam!$A$3:$B$80,2,0)+(Q541-(Q541*(12-V541))/12),IF(AND(RIGHT(T541,1)="K",V541&gt;0),(VLOOKUP(T541,ma_miengiam!$A$3:$B$80,2,0)/2)*(Q541*V541)/12,IF(RIGHT(T541,1)="K",(VLOOKUP(T541,ma_miengiam!$A$3:$B$80,2,0)*Q541)/2,IF(V541&gt;0,VLOOKUP(T541,ma_miengiam!$A$3:$B$80,2,0)*Q541*V541/12,VLOOKUP(T541,ma_miengiam!$A$3:$B$80,2,0)*Q541))))</f>
        <v>54</v>
      </c>
      <c r="X541" s="220">
        <f>IF(T541="NTS",VLOOKUP(T541,ma_miengiam!$A$3:$B$80,2,0)*R541*V541,IF(AND(T541="NTS",V541=0),0,IF(AND(LEFT(T541,1)="K",V541=0),VLOOKUP(T541,ma_miengiam!$A$3:$B$80,2,0)*R541,IF(LEFT(T541,1)="K",(VLOOKUP(T541,ma_miengiam!$A$3:$B$80,2,0)*R541/12)*V541,IF(AND(LEFT(T541,1)="S",V541&gt;0),(R541/12)*V541,IF(AND(LEFT(T541,1)="S",V541=0),R541,IF(T541="DH",VLOOKUP(T541,ma_miengiam!$A$3:$B$80,2,0)*R541,0)))))))</f>
        <v>0</v>
      </c>
      <c r="Y541" s="220">
        <f>IF(AND(T541="DH",V541&gt;0),(S541*V541/12),IF(AND(T541&lt;&gt;"NTS",V541&gt;0),(Q541*V541/12)-W541,IF(AND(T541="NTS",V541&gt;0),Q541-W541,Q541-W541)))</f>
        <v>216</v>
      </c>
      <c r="Z541" s="220">
        <f>IF(AND(T541="SĐH",V541&gt;0),(R541/12)*V541-X541,IF(AND(T541="DH",V541&gt;0),(R541*V541/12),IF(AND(T541&lt;&gt;"NTS",V541&gt;0),(R541*V541/12)-X541,IF(AND(T541="NTS",V541&gt;0),R541-X541,R541-X541))))</f>
        <v>120</v>
      </c>
      <c r="AA541" s="220">
        <f t="shared" si="1761"/>
        <v>270</v>
      </c>
      <c r="AB541" s="220">
        <f t="shared" si="1761"/>
        <v>120</v>
      </c>
      <c r="AC541" s="220">
        <f t="shared" si="1763"/>
        <v>54</v>
      </c>
      <c r="AD541" s="220">
        <f t="shared" si="1763"/>
        <v>0</v>
      </c>
      <c r="AE541" s="220">
        <f t="shared" si="1763"/>
        <v>216</v>
      </c>
      <c r="AF541" s="220">
        <f t="shared" si="1763"/>
        <v>120</v>
      </c>
      <c r="AG541" s="220">
        <f t="shared" ref="AG541:AG550" si="1766">AH541+AI541</f>
        <v>250</v>
      </c>
      <c r="AH541" s="220">
        <f t="shared" ref="AH541:AH550" si="1767">EO541</f>
        <v>150</v>
      </c>
      <c r="AI541" s="220">
        <f t="shared" ref="AI541:AI550" si="1768">EN541</f>
        <v>100</v>
      </c>
      <c r="AJ541" s="220">
        <f>IF(AG541-Z541&gt;0,0,AG541-Z541)</f>
        <v>0</v>
      </c>
      <c r="AK541" s="216">
        <f t="shared" si="1639"/>
        <v>216</v>
      </c>
      <c r="AL541" s="220">
        <f>SUM(CP541:CX541)+SUM(DC541:DK541)</f>
        <v>126.5</v>
      </c>
      <c r="AM541" s="220">
        <f>SUM(DQ541:DU541)+SUM(DY541:EC541)</f>
        <v>0</v>
      </c>
      <c r="AN541" s="216">
        <f>AM541+AL541</f>
        <v>126.5</v>
      </c>
      <c r="AO541" s="220">
        <f t="shared" ref="AO541:AQ542" si="1769">CY541+DL541</f>
        <v>0</v>
      </c>
      <c r="AP541" s="220">
        <f t="shared" si="1769"/>
        <v>0</v>
      </c>
      <c r="AQ541" s="220">
        <f t="shared" si="1769"/>
        <v>0</v>
      </c>
      <c r="AR541" s="220">
        <f>DV541+ED541</f>
        <v>0</v>
      </c>
      <c r="AS541" s="220">
        <f>DW541+EE541</f>
        <v>0</v>
      </c>
      <c r="AT541" s="216">
        <f>AN541+SUM(AO541:AS541)</f>
        <v>126.5</v>
      </c>
      <c r="AU541" s="220">
        <f t="shared" ref="AU541:AU548" si="1770">AN541-AK541</f>
        <v>-89.5</v>
      </c>
      <c r="AV541" s="220"/>
      <c r="AW541" s="220">
        <f>IF(AU541&gt;0,AU541,AV541+AU541)</f>
        <v>-89.5</v>
      </c>
      <c r="AX541" s="216">
        <f t="shared" si="1636"/>
        <v>-89.5</v>
      </c>
      <c r="AY541" s="220">
        <f>IF(AN541&gt;=AK541,AO541,IF(AN541+AO541-AK541&gt;=0,AN541+AO541-AK541,0))</f>
        <v>0</v>
      </c>
      <c r="AZ541" s="220">
        <f>IF(OR(AN541&gt;=AK541,AN541+AO541&gt;=AK541),AP541,IF(AN541+AO541+AP541&gt;AK541,AN541+AO541+AP541-AK541,0))</f>
        <v>0</v>
      </c>
      <c r="BA541" s="220">
        <f>IF(OR(AN541&gt;=AK541,AN541+AO541&gt;=AK541,AN541+AO541+AP541&gt;=AK541),AQ541,IF(AN541+AO541+AP541+AQ541&gt;=AK541,AN541+AO541+AP541+AQ541-AK541,0))</f>
        <v>0</v>
      </c>
      <c r="BB541" s="220">
        <f>IF(OR(AN541&gt;=AK541,AN541+AO541&gt;=AK541,AN541+AO541+AP541&gt;=AK541,AN541+AO541+AP541+AQ541&gt;=AK541),AR541,IF(AN541+AO541+AP541+AQ541+AR541&gt;=AK541,AN541+AO541+AP541+AQ541+AR541-AK541,0))</f>
        <v>0</v>
      </c>
      <c r="BC541" s="220">
        <f>IF(OR(AN541&gt;=AK541,AN541+AO541&gt;=AK541,AN541+AO541+AP541&gt;=AK541,AN541+AO541+AP541+AQ541&gt;=AK541,AN541+AO541+AP541+AQ541+AR541&gt;=AK541),AS541,IF(AN541+AO541+AP541+AQ541+AR541+AS541&gt;=AK541,AN541+AO541+AP541+AQ541+AR541+AS541-AK541,0))</f>
        <v>0</v>
      </c>
      <c r="BD541" s="216">
        <f t="shared" si="1599"/>
        <v>0</v>
      </c>
      <c r="BE541" s="220">
        <f t="shared" ref="BE541:BI542" si="1771">AY541-AO541</f>
        <v>0</v>
      </c>
      <c r="BF541" s="220">
        <f t="shared" si="1771"/>
        <v>0</v>
      </c>
      <c r="BG541" s="220">
        <f t="shared" si="1771"/>
        <v>0</v>
      </c>
      <c r="BH541" s="220">
        <f t="shared" si="1771"/>
        <v>0</v>
      </c>
      <c r="BI541" s="220">
        <f t="shared" si="1771"/>
        <v>0</v>
      </c>
      <c r="BJ541" s="220" t="s">
        <v>395</v>
      </c>
      <c r="BK541" s="220"/>
      <c r="BL541" s="223">
        <f t="shared" si="1609"/>
        <v>0</v>
      </c>
      <c r="BM541" s="220">
        <v>3.99</v>
      </c>
      <c r="BN541" s="220"/>
      <c r="BO541" s="220">
        <f>ROUND(BM541+(BM541*BN541),2)</f>
        <v>3.99</v>
      </c>
      <c r="BP541" s="220">
        <f>IF(AND(BL541&gt;0,BL541&lt;tiet!$D$1),BL541,IF(BL541&lt;=0,0,IF(BL541&gt;tiet!$C$1,tiet!$C$1)))</f>
        <v>0</v>
      </c>
      <c r="BQ541" s="87">
        <f t="shared" si="1729"/>
        <v>65000</v>
      </c>
      <c r="BR541" s="224">
        <f t="shared" si="1730"/>
        <v>0</v>
      </c>
      <c r="BS541" s="220">
        <f t="shared" si="1686"/>
        <v>0</v>
      </c>
      <c r="BT541" s="224">
        <f>VLOOKUP(N541,ma_dinhmuc!$A$1:$J$31,10,0)</f>
        <v>51000</v>
      </c>
      <c r="BU541" s="224">
        <f>ROUND(IF(BS541&gt;0,VLOOKUP(N541,ma_dinhmuc!$A$1:$J$31,10,0)*BS541,0),0)</f>
        <v>0</v>
      </c>
      <c r="BV541" s="224">
        <f t="shared" si="1731"/>
        <v>0</v>
      </c>
      <c r="BW541" s="224"/>
      <c r="BX541" s="224">
        <v>0</v>
      </c>
      <c r="BY541" s="224"/>
      <c r="BZ541" s="224"/>
      <c r="CA541" s="224"/>
      <c r="CB541" s="224"/>
      <c r="CC541" s="225">
        <f>ROUND(IF(BV541+BW541&gt;BX541+BY541+BZ541+CA541+CB541,(BW541+BV541)-(BX541+BY541+BZ541+CA541+CB541+CB541),0),0)</f>
        <v>0</v>
      </c>
      <c r="CD541" s="224">
        <f>ROUND(IF(BV541+BW541&lt;BX541+BY541+BZ541+CA541-CB541,(BX541+BY541+BZ541+CA541-CB541)-(BW541+BV541),0),0)</f>
        <v>0</v>
      </c>
      <c r="CE541" s="224"/>
      <c r="CF541" s="226"/>
      <c r="CG541" s="87"/>
      <c r="CH541" s="87">
        <f t="shared" ref="CH541:CH547" si="1772">A541</f>
        <v>47</v>
      </c>
      <c r="CI541" s="227" t="str">
        <f t="shared" ref="CI541:CK542" si="1773">F541</f>
        <v>Nguyễn Trọng</v>
      </c>
      <c r="CJ541" s="227" t="str">
        <f t="shared" si="1773"/>
        <v>Kương</v>
      </c>
      <c r="CK541" s="87">
        <f t="shared" si="1773"/>
        <v>10</v>
      </c>
      <c r="CL541" s="227" t="str">
        <f>L541</f>
        <v>Toán - Tin ứng dụng</v>
      </c>
      <c r="CM541" s="87" t="str">
        <f>N541</f>
        <v>CS2</v>
      </c>
      <c r="CN541" s="87">
        <f t="shared" ref="CN541:CO547" si="1774">Q541</f>
        <v>270</v>
      </c>
      <c r="CO541" s="87">
        <f t="shared" si="1774"/>
        <v>120</v>
      </c>
      <c r="CP541" s="229">
        <f t="shared" si="1703"/>
        <v>0</v>
      </c>
      <c r="CQ541" s="229">
        <f t="shared" si="1704"/>
        <v>15.3</v>
      </c>
      <c r="CR541" s="229">
        <f t="shared" si="1705"/>
        <v>6.2</v>
      </c>
      <c r="CS541" s="229">
        <f t="shared" si="1706"/>
        <v>0</v>
      </c>
      <c r="CT541" s="229">
        <f t="shared" si="1707"/>
        <v>0</v>
      </c>
      <c r="CU541" s="229">
        <f t="shared" si="1708"/>
        <v>90</v>
      </c>
      <c r="CV541" s="229">
        <f t="shared" si="1709"/>
        <v>0</v>
      </c>
      <c r="CW541" s="229">
        <f t="shared" si="1710"/>
        <v>15</v>
      </c>
      <c r="CX541" s="229">
        <f t="shared" si="1711"/>
        <v>0</v>
      </c>
      <c r="CY541" s="229">
        <f t="shared" si="1712"/>
        <v>0</v>
      </c>
      <c r="CZ541" s="229">
        <f t="shared" si="1713"/>
        <v>0</v>
      </c>
      <c r="DA541" s="229">
        <f t="shared" si="1714"/>
        <v>0</v>
      </c>
      <c r="DB541" s="228">
        <f>SUM(CP541:DA541)</f>
        <v>126.5</v>
      </c>
      <c r="DC541" s="229"/>
      <c r="DD541" s="229"/>
      <c r="DE541" s="229"/>
      <c r="DF541" s="229"/>
      <c r="DG541" s="229"/>
      <c r="DH541" s="229"/>
      <c r="DI541" s="229"/>
      <c r="DJ541" s="229"/>
      <c r="DK541" s="229"/>
      <c r="DL541" s="229"/>
      <c r="DM541" s="229"/>
      <c r="DN541" s="229"/>
      <c r="DO541" s="228">
        <f>SUM(DC541:DN541)</f>
        <v>0</v>
      </c>
      <c r="DP541" s="228">
        <f>DO541+DB541</f>
        <v>126.5</v>
      </c>
      <c r="DQ541" s="229">
        <f t="shared" si="1715"/>
        <v>0</v>
      </c>
      <c r="DR541" s="229">
        <f t="shared" si="1716"/>
        <v>0</v>
      </c>
      <c r="DS541" s="229">
        <f t="shared" si="1717"/>
        <v>0</v>
      </c>
      <c r="DT541" s="229">
        <f t="shared" si="1718"/>
        <v>0</v>
      </c>
      <c r="DU541" s="229">
        <f t="shared" si="1719"/>
        <v>0</v>
      </c>
      <c r="DV541" s="229">
        <f t="shared" si="1720"/>
        <v>0</v>
      </c>
      <c r="DW541" s="229">
        <f t="shared" si="1721"/>
        <v>0</v>
      </c>
      <c r="DX541" s="228">
        <f>SUM(DQ541:DW541)</f>
        <v>0</v>
      </c>
      <c r="DY541" s="229"/>
      <c r="DZ541" s="229"/>
      <c r="EA541" s="229"/>
      <c r="EB541" s="229"/>
      <c r="EC541" s="229"/>
      <c r="ED541" s="229"/>
      <c r="EE541" s="229"/>
      <c r="EF541" s="228">
        <f t="shared" si="1696"/>
        <v>0</v>
      </c>
      <c r="EG541" s="228">
        <f>EF541+DX541</f>
        <v>0</v>
      </c>
      <c r="EH541" s="229">
        <f t="shared" si="1697"/>
        <v>100</v>
      </c>
      <c r="EI541" s="229">
        <v>150</v>
      </c>
      <c r="EJ541" s="228">
        <f t="shared" si="1757"/>
        <v>250</v>
      </c>
      <c r="EK541" s="229"/>
      <c r="EL541" s="229"/>
      <c r="EM541" s="228">
        <f t="shared" ref="EM541:EM558" si="1775">SUM(EK541:EL541)</f>
        <v>0</v>
      </c>
      <c r="EN541" s="229">
        <f>EK541+EH541+EL541</f>
        <v>100</v>
      </c>
      <c r="EO541" s="229">
        <f>EI541</f>
        <v>150</v>
      </c>
      <c r="EP541" s="228">
        <f>EM541+EJ541</f>
        <v>250</v>
      </c>
      <c r="EQ541" s="173">
        <f t="shared" si="1687"/>
        <v>0</v>
      </c>
      <c r="ER541" s="189">
        <v>0</v>
      </c>
      <c r="ES541" s="189">
        <v>15.3</v>
      </c>
      <c r="ET541" s="189">
        <v>6.2</v>
      </c>
      <c r="EU541" s="189">
        <v>0</v>
      </c>
      <c r="EV541" s="189">
        <v>0</v>
      </c>
      <c r="EW541" s="189">
        <v>90</v>
      </c>
      <c r="EX541" s="189">
        <v>0</v>
      </c>
      <c r="EY541" s="189">
        <v>15</v>
      </c>
      <c r="EZ541" s="189">
        <v>0</v>
      </c>
      <c r="FA541" s="189">
        <v>0</v>
      </c>
      <c r="FB541" s="189">
        <v>0</v>
      </c>
      <c r="FC541" s="189">
        <v>0</v>
      </c>
      <c r="FD541" s="189">
        <v>0</v>
      </c>
      <c r="FE541" s="189">
        <v>0</v>
      </c>
      <c r="FF541" s="189">
        <v>0</v>
      </c>
      <c r="FG541" s="189">
        <v>0</v>
      </c>
      <c r="FH541" s="189">
        <v>0</v>
      </c>
      <c r="FI541" s="189">
        <v>0</v>
      </c>
      <c r="FJ541" s="189">
        <v>0</v>
      </c>
      <c r="FK541" s="189">
        <v>126.5</v>
      </c>
      <c r="FL541" s="189">
        <v>111</v>
      </c>
      <c r="FN541" s="132">
        <v>100</v>
      </c>
    </row>
    <row r="542" spans="1:170" ht="30" customHeight="1">
      <c r="A542" s="88">
        <f>COUNTIF($H$12:H542,H542)</f>
        <v>48</v>
      </c>
      <c r="B542" s="88" t="s">
        <v>2570</v>
      </c>
      <c r="C542" s="88" t="s">
        <v>968</v>
      </c>
      <c r="D542" s="88"/>
      <c r="E542" s="88"/>
      <c r="F542" s="301" t="s">
        <v>727</v>
      </c>
      <c r="G542" s="303" t="s">
        <v>607</v>
      </c>
      <c r="H542" s="88">
        <v>10</v>
      </c>
      <c r="I542" s="88">
        <v>10</v>
      </c>
      <c r="J542" s="88">
        <v>10</v>
      </c>
      <c r="K542" s="90" t="s">
        <v>1660</v>
      </c>
      <c r="L542" s="90" t="s">
        <v>1660</v>
      </c>
      <c r="M542" s="214"/>
      <c r="N542" s="88" t="s">
        <v>1804</v>
      </c>
      <c r="O542" s="216">
        <f>BO542</f>
        <v>4.32</v>
      </c>
      <c r="P542" s="88" t="str">
        <f t="shared" si="1678"/>
        <v>B1_4</v>
      </c>
      <c r="Q542" s="88">
        <f t="shared" si="1751"/>
        <v>270</v>
      </c>
      <c r="R542" s="88">
        <f t="shared" si="1752"/>
        <v>120</v>
      </c>
      <c r="S542" s="218"/>
      <c r="T542" s="88" t="s">
        <v>3088</v>
      </c>
      <c r="U542" s="88">
        <f>IF(RIGHT(T542,1)="K",(VLOOKUP(T542,ma_miengiam!$A$3:$B$80,2,0)*100)/2,VLOOKUP(T542,ma_miengiam!$A$3:$B$80,2,0)*100)</f>
        <v>0</v>
      </c>
      <c r="V542" s="88"/>
      <c r="W542" s="220">
        <f>IF(AND(T542="NTS",V542&gt;0),(Q542-(Q542*V542)/12)*VLOOKUP(T542,ma_miengiam!$A$3:$B$80,2,0)+(Q542-(Q542*(12-V542))/12),IF(AND(RIGHT(T542,1)="K",V542&gt;0),(VLOOKUP(T542,ma_miengiam!$A$3:$B$80,2,0)/2)*(Q542*V542)/12,IF(RIGHT(T542,1)="K",(VLOOKUP(T542,ma_miengiam!$A$3:$B$80,2,0)*Q542)/2,IF(V542&gt;0,VLOOKUP(T542,ma_miengiam!$A$3:$B$80,2,0)*Q542*V542/12,VLOOKUP(T542,ma_miengiam!$A$3:$B$80,2,0)*Q542))))</f>
        <v>0</v>
      </c>
      <c r="X542" s="220">
        <f>IF(T542="NTS",VLOOKUP(T542,ma_miengiam!$A$3:$B$80,2,0)*R542*V542,IF(AND(T542="NTS",V542=0),0,IF(AND(LEFT(T542,1)="K",V542=0),VLOOKUP(T542,ma_miengiam!$A$3:$B$80,2,0)*R542,IF(LEFT(T542,1)="K",(VLOOKUP(T542,ma_miengiam!$A$3:$B$80,2,0)*R542/12)*V542,IF(AND(LEFT(T542,1)="S",V542&gt;0),(R542/12)*V542,IF(AND(LEFT(T542,1)="S",V542=0),R542,IF(T542="DH",VLOOKUP(T542,ma_miengiam!$A$3:$B$80,2,0)*R542,0)))))))</f>
        <v>0</v>
      </c>
      <c r="Y542" s="220">
        <f>IF(AND(T542="DH",V542&gt;0),(S542*V542/12),IF(AND(T542&lt;&gt;"NTS",V542&gt;0),(Q542*V542/12)-W542,IF(AND(T542="NTS",V542&gt;0),Q542-W542,Q542-W542)))</f>
        <v>270</v>
      </c>
      <c r="Z542" s="220">
        <f>IF(AND(T542="SĐH",V542&gt;0),(R542/12)*V542-X542,IF(AND(T542="DH",V542&gt;0),(R542*V542/12),IF(AND(T542&lt;&gt;"NTS",V542&gt;0),(R542*V542/12)-X542,IF(AND(T542="NTS",V542&gt;0),R542-X542,R542-X542))))</f>
        <v>120</v>
      </c>
      <c r="AA542" s="220">
        <f t="shared" si="1761"/>
        <v>270</v>
      </c>
      <c r="AB542" s="220">
        <f t="shared" si="1761"/>
        <v>120</v>
      </c>
      <c r="AC542" s="220">
        <f t="shared" ref="AC542:AF543" si="1776">W542</f>
        <v>0</v>
      </c>
      <c r="AD542" s="220">
        <f t="shared" si="1776"/>
        <v>0</v>
      </c>
      <c r="AE542" s="220">
        <f t="shared" si="1776"/>
        <v>270</v>
      </c>
      <c r="AF542" s="220">
        <f t="shared" si="1776"/>
        <v>120</v>
      </c>
      <c r="AG542" s="220">
        <f t="shared" si="1766"/>
        <v>0</v>
      </c>
      <c r="AH542" s="220">
        <f t="shared" si="1767"/>
        <v>0</v>
      </c>
      <c r="AI542" s="220">
        <f t="shared" si="1768"/>
        <v>0</v>
      </c>
      <c r="AJ542" s="220">
        <f>IF(AG542-Z542&gt;0,0,AG542-Z542)</f>
        <v>-120</v>
      </c>
      <c r="AK542" s="216">
        <f t="shared" si="1639"/>
        <v>390</v>
      </c>
      <c r="AL542" s="220">
        <f>SUM(CP542:CX542)+SUM(DC542:DK542)</f>
        <v>70.2</v>
      </c>
      <c r="AM542" s="220">
        <f>SUM(DQ542:DU542)+SUM(DY542:EC542)</f>
        <v>81.600000000000009</v>
      </c>
      <c r="AN542" s="221">
        <f>AM542+AL542</f>
        <v>151.80000000000001</v>
      </c>
      <c r="AO542" s="220">
        <f t="shared" si="1769"/>
        <v>0</v>
      </c>
      <c r="AP542" s="220">
        <f t="shared" si="1769"/>
        <v>0</v>
      </c>
      <c r="AQ542" s="220">
        <f t="shared" si="1769"/>
        <v>0</v>
      </c>
      <c r="AR542" s="220">
        <f>DV542+ED542</f>
        <v>0</v>
      </c>
      <c r="AS542" s="220">
        <f>DW542+EE542</f>
        <v>0</v>
      </c>
      <c r="AT542" s="216">
        <f>AN542+SUM(AO542:AS542)</f>
        <v>151.80000000000001</v>
      </c>
      <c r="AU542" s="222">
        <f t="shared" si="1770"/>
        <v>-238.2</v>
      </c>
      <c r="AV542" s="220"/>
      <c r="AW542" s="220">
        <f>IF(AU542&gt;0,AU542,AV542+AU542)</f>
        <v>-238.2</v>
      </c>
      <c r="AX542" s="216">
        <f t="shared" si="1636"/>
        <v>-238.2</v>
      </c>
      <c r="AY542" s="220">
        <f>IF(AN542&gt;=AK542,AO542,IF(AN542+AO542-AK542&gt;=0,AN542+AO542-AK542,0))</f>
        <v>0</v>
      </c>
      <c r="AZ542" s="220">
        <f>IF(OR(AN542&gt;=AK542,AN542+AO542&gt;=AK542),AP542,IF(AN542+AO542+AP542&gt;AK542,AN542+AO542+AP542-AK542,0))</f>
        <v>0</v>
      </c>
      <c r="BA542" s="220">
        <f>IF(OR(AN542&gt;=AK542,AN542+AO542&gt;=AK542,AN542+AO542+AP542&gt;=AK542),AQ542,IF(AN542+AO542+AP542+AQ542&gt;=AK542,AN542+AO542+AP542+AQ542-AK542,0))</f>
        <v>0</v>
      </c>
      <c r="BB542" s="220">
        <f>IF(OR(AN542&gt;=AK542,AN542+AO542&gt;=AK542,AN542+AO542+AP542&gt;=AK542,AN542+AO542+AP542+AQ542&gt;=AK542),AR542,IF(AN542+AO542+AP542+AQ542+AR542&gt;=AK542,AN542+AO542+AP542+AQ542+AR542-AK542,0))</f>
        <v>0</v>
      </c>
      <c r="BC542" s="220">
        <f>IF(OR(AN542&gt;=AK542,AN542+AO542&gt;=AK542,AN542+AO542+AP542&gt;=AK542,AN542+AO542+AP542+AQ542&gt;=AK542,AN542+AO542+AP542+AQ542+AR542&gt;=AK542),AS542,IF(AN542+AO542+AP542+AQ542+AR542+AS542&gt;=AK542,AN542+AO542+AP542+AQ542+AR542+AS542-AK542,0))</f>
        <v>0</v>
      </c>
      <c r="BD542" s="216">
        <f t="shared" si="1599"/>
        <v>0</v>
      </c>
      <c r="BE542" s="220">
        <f t="shared" si="1771"/>
        <v>0</v>
      </c>
      <c r="BF542" s="220">
        <f t="shared" si="1771"/>
        <v>0</v>
      </c>
      <c r="BG542" s="220">
        <f t="shared" si="1771"/>
        <v>0</v>
      </c>
      <c r="BH542" s="220">
        <f t="shared" si="1771"/>
        <v>0</v>
      </c>
      <c r="BI542" s="220">
        <f t="shared" si="1771"/>
        <v>0</v>
      </c>
      <c r="BJ542" s="220" t="s">
        <v>395</v>
      </c>
      <c r="BK542" s="220"/>
      <c r="BL542" s="223">
        <f t="shared" si="1609"/>
        <v>0</v>
      </c>
      <c r="BM542" s="220">
        <v>4.32</v>
      </c>
      <c r="BN542" s="220"/>
      <c r="BO542" s="220">
        <f>ROUND(BM542+(BM542*BN542),2)</f>
        <v>4.32</v>
      </c>
      <c r="BP542" s="220">
        <f>IF(AND(BL542&gt;0,BL542&lt;tiet!$D$1),BL542,IF(BL542&lt;=0,0,IF(BL542&gt;tiet!$C$1,tiet!$C$1)))</f>
        <v>0</v>
      </c>
      <c r="BQ542" s="87">
        <f t="shared" si="1729"/>
        <v>65000</v>
      </c>
      <c r="BR542" s="224">
        <f t="shared" si="1730"/>
        <v>0</v>
      </c>
      <c r="BS542" s="220">
        <f t="shared" si="1686"/>
        <v>0</v>
      </c>
      <c r="BT542" s="224">
        <f>VLOOKUP(N542,ma_dinhmuc!$A$1:$J$31,10,0)</f>
        <v>51000</v>
      </c>
      <c r="BU542" s="224">
        <f>ROUND(IF(BS542&gt;0,VLOOKUP(N542,ma_dinhmuc!$A$1:$J$31,10,0)*BS542,0),0)</f>
        <v>0</v>
      </c>
      <c r="BV542" s="224">
        <f t="shared" si="1731"/>
        <v>0</v>
      </c>
      <c r="BW542" s="224"/>
      <c r="BX542" s="224">
        <v>0</v>
      </c>
      <c r="BY542" s="224"/>
      <c r="BZ542" s="224"/>
      <c r="CA542" s="224"/>
      <c r="CB542" s="224"/>
      <c r="CC542" s="225">
        <f>ROUND(IF(BV542+BW542&gt;BX542+BY542+BZ542+CA542+CB542,(BW542+BV542)-(BX542+BY542+BZ542+CA542+CB542+CB542),0),0)</f>
        <v>0</v>
      </c>
      <c r="CD542" s="224">
        <f>ROUND(IF(BV542+BW542&lt;BX542+BY542+BZ542+CA542-CB542,(BX542+BY542+BZ542+CA542-CB542)-(BW542+BV542),0),0)</f>
        <v>0</v>
      </c>
      <c r="CE542" s="224"/>
      <c r="CF542" s="226"/>
      <c r="CG542" s="87"/>
      <c r="CH542" s="87">
        <f t="shared" si="1772"/>
        <v>48</v>
      </c>
      <c r="CI542" s="227" t="str">
        <f t="shared" si="1773"/>
        <v>Nguyễn Hoàng</v>
      </c>
      <c r="CJ542" s="227" t="str">
        <f t="shared" si="1773"/>
        <v>Huy</v>
      </c>
      <c r="CK542" s="87">
        <f t="shared" si="1773"/>
        <v>10</v>
      </c>
      <c r="CL542" s="227" t="str">
        <f>L542</f>
        <v>Toán - Tin ứng dụng</v>
      </c>
      <c r="CM542" s="87" t="str">
        <f>N542</f>
        <v>CS2</v>
      </c>
      <c r="CN542" s="87">
        <f t="shared" si="1774"/>
        <v>270</v>
      </c>
      <c r="CO542" s="87">
        <f t="shared" si="1774"/>
        <v>120</v>
      </c>
      <c r="CP542" s="229">
        <f t="shared" si="1703"/>
        <v>0</v>
      </c>
      <c r="CQ542" s="229">
        <f t="shared" si="1704"/>
        <v>1.9</v>
      </c>
      <c r="CR542" s="229">
        <f t="shared" si="1705"/>
        <v>0.8</v>
      </c>
      <c r="CS542" s="229">
        <f t="shared" si="1706"/>
        <v>0</v>
      </c>
      <c r="CT542" s="229">
        <f t="shared" si="1707"/>
        <v>0</v>
      </c>
      <c r="CU542" s="229">
        <f t="shared" si="1708"/>
        <v>67.5</v>
      </c>
      <c r="CV542" s="229">
        <f t="shared" si="1709"/>
        <v>0</v>
      </c>
      <c r="CW542" s="229">
        <f t="shared" si="1710"/>
        <v>0</v>
      </c>
      <c r="CX542" s="229">
        <f t="shared" si="1711"/>
        <v>0</v>
      </c>
      <c r="CY542" s="229">
        <f t="shared" si="1712"/>
        <v>0</v>
      </c>
      <c r="CZ542" s="229">
        <f t="shared" si="1713"/>
        <v>0</v>
      </c>
      <c r="DA542" s="229">
        <f t="shared" si="1714"/>
        <v>0</v>
      </c>
      <c r="DB542" s="228">
        <f>SUM(CP542:DA542)</f>
        <v>70.2</v>
      </c>
      <c r="DC542" s="229"/>
      <c r="DD542" s="229"/>
      <c r="DE542" s="229"/>
      <c r="DF542" s="229"/>
      <c r="DG542" s="229"/>
      <c r="DH542" s="229"/>
      <c r="DI542" s="229"/>
      <c r="DJ542" s="229"/>
      <c r="DK542" s="229"/>
      <c r="DL542" s="229"/>
      <c r="DM542" s="229"/>
      <c r="DN542" s="229"/>
      <c r="DO542" s="228">
        <f>SUM(DC542:DN542)</f>
        <v>0</v>
      </c>
      <c r="DP542" s="228">
        <f>DO542+DB542</f>
        <v>70.2</v>
      </c>
      <c r="DQ542" s="229">
        <f t="shared" si="1715"/>
        <v>81</v>
      </c>
      <c r="DR542" s="229">
        <f t="shared" si="1716"/>
        <v>0.4</v>
      </c>
      <c r="DS542" s="229">
        <f t="shared" si="1717"/>
        <v>0</v>
      </c>
      <c r="DT542" s="229">
        <f t="shared" si="1718"/>
        <v>0.2</v>
      </c>
      <c r="DU542" s="229">
        <f t="shared" si="1719"/>
        <v>0</v>
      </c>
      <c r="DV542" s="229">
        <f t="shared" si="1720"/>
        <v>0</v>
      </c>
      <c r="DW542" s="229">
        <f t="shared" si="1721"/>
        <v>0</v>
      </c>
      <c r="DX542" s="228">
        <f>SUM(DQ542:DW542)</f>
        <v>81.600000000000009</v>
      </c>
      <c r="DY542" s="229"/>
      <c r="DZ542" s="229"/>
      <c r="EA542" s="229"/>
      <c r="EB542" s="229"/>
      <c r="EC542" s="229"/>
      <c r="ED542" s="229"/>
      <c r="EE542" s="229"/>
      <c r="EF542" s="228">
        <f t="shared" si="1696"/>
        <v>0</v>
      </c>
      <c r="EG542" s="228">
        <f>EF542+DX542</f>
        <v>81.600000000000009</v>
      </c>
      <c r="EH542" s="229">
        <f t="shared" si="1697"/>
        <v>0</v>
      </c>
      <c r="EI542" s="229">
        <v>0</v>
      </c>
      <c r="EJ542" s="228">
        <f t="shared" si="1757"/>
        <v>0</v>
      </c>
      <c r="EK542" s="229"/>
      <c r="EL542" s="229"/>
      <c r="EM542" s="228">
        <f t="shared" si="1775"/>
        <v>0</v>
      </c>
      <c r="EN542" s="229">
        <f>EK542+EH542+EL542</f>
        <v>0</v>
      </c>
      <c r="EO542" s="229">
        <f>EI542</f>
        <v>0</v>
      </c>
      <c r="EP542" s="228">
        <f>EM542+EJ542</f>
        <v>0</v>
      </c>
      <c r="EQ542" s="173">
        <f t="shared" si="1687"/>
        <v>0</v>
      </c>
      <c r="ER542" s="189">
        <v>0</v>
      </c>
      <c r="ES542" s="189">
        <v>1.9</v>
      </c>
      <c r="ET542" s="189">
        <v>0.8</v>
      </c>
      <c r="EU542" s="189">
        <v>0</v>
      </c>
      <c r="EV542" s="189">
        <v>0</v>
      </c>
      <c r="EW542" s="189">
        <v>67.5</v>
      </c>
      <c r="EX542" s="189">
        <v>0</v>
      </c>
      <c r="EY542" s="189">
        <v>0</v>
      </c>
      <c r="EZ542" s="189">
        <v>0</v>
      </c>
      <c r="FA542" s="189">
        <v>0</v>
      </c>
      <c r="FB542" s="189">
        <v>0</v>
      </c>
      <c r="FC542" s="189">
        <v>0</v>
      </c>
      <c r="FD542" s="189">
        <v>81</v>
      </c>
      <c r="FE542" s="189">
        <v>0.4</v>
      </c>
      <c r="FF542" s="189">
        <v>0</v>
      </c>
      <c r="FG542" s="189">
        <v>0.2</v>
      </c>
      <c r="FH542" s="189">
        <v>0</v>
      </c>
      <c r="FI542" s="189">
        <v>0</v>
      </c>
      <c r="FJ542" s="189">
        <v>0</v>
      </c>
      <c r="FK542" s="189">
        <v>151.80000000000001</v>
      </c>
      <c r="FL542" s="189">
        <v>94</v>
      </c>
      <c r="FN542" s="132">
        <v>0</v>
      </c>
    </row>
    <row r="543" spans="1:170" ht="30" customHeight="1">
      <c r="A543" s="88">
        <f>COUNTIF($H$12:H543,H543)</f>
        <v>49</v>
      </c>
      <c r="B543" s="88" t="s">
        <v>2571</v>
      </c>
      <c r="C543" s="88" t="s">
        <v>969</v>
      </c>
      <c r="D543" s="88"/>
      <c r="E543" s="88"/>
      <c r="F543" s="301" t="s">
        <v>1272</v>
      </c>
      <c r="G543" s="303" t="s">
        <v>2088</v>
      </c>
      <c r="H543" s="88">
        <v>10</v>
      </c>
      <c r="I543" s="88">
        <v>10</v>
      </c>
      <c r="J543" s="88">
        <v>10</v>
      </c>
      <c r="K543" s="90" t="s">
        <v>1660</v>
      </c>
      <c r="L543" s="90" t="s">
        <v>1660</v>
      </c>
      <c r="M543" s="214"/>
      <c r="N543" s="88" t="s">
        <v>1804</v>
      </c>
      <c r="O543" s="216">
        <f t="shared" si="1760"/>
        <v>3.66</v>
      </c>
      <c r="P543" s="88" t="str">
        <f t="shared" si="1678"/>
        <v>B1_4</v>
      </c>
      <c r="Q543" s="88">
        <f t="shared" si="1751"/>
        <v>270</v>
      </c>
      <c r="R543" s="88">
        <f t="shared" si="1752"/>
        <v>120</v>
      </c>
      <c r="S543" s="218"/>
      <c r="T543" s="88" t="s">
        <v>3088</v>
      </c>
      <c r="U543" s="88">
        <f>IF(RIGHT(T543,1)="K",(VLOOKUP(T543,ma_miengiam!$A$3:$B$80,2,0)*100)/2,VLOOKUP(T543,ma_miengiam!$A$3:$B$80,2,0)*100)</f>
        <v>0</v>
      </c>
      <c r="V543" s="88"/>
      <c r="W543" s="220">
        <f>IF(AND(T543="NTS",V543&gt;0),(Q543-(Q543*V543)/12)*VLOOKUP(T543,ma_miengiam!$A$3:$B$80,2,0)+(Q543-(Q543*(12-V543))/12),IF(AND(RIGHT(T543,1)="K",V543&gt;0),(VLOOKUP(T543,ma_miengiam!$A$3:$B$80,2,0)/2)*(Q543*V543)/12,IF(RIGHT(T543,1)="K",(VLOOKUP(T543,ma_miengiam!$A$3:$B$80,2,0)*Q543)/2,IF(V543&gt;0,VLOOKUP(T543,ma_miengiam!$A$3:$B$80,2,0)*Q543*V543/12,VLOOKUP(T543,ma_miengiam!$A$3:$B$80,2,0)*Q543))))</f>
        <v>0</v>
      </c>
      <c r="X543" s="220">
        <f>IF(T543="NTS",VLOOKUP(T543,ma_miengiam!$A$3:$B$80,2,0)*R543*V543,IF(AND(T543="NTS",V543=0),0,IF(AND(LEFT(T543,1)="K",V543=0),VLOOKUP(T543,ma_miengiam!$A$3:$B$80,2,0)*R543,IF(LEFT(T543,1)="K",(VLOOKUP(T543,ma_miengiam!$A$3:$B$80,2,0)*R543/12)*V543,IF(AND(LEFT(T543,1)="S",V543&gt;0),(R543/12)*V543,IF(AND(LEFT(T543,1)="S",V543=0),R543,IF(T543="DH",VLOOKUP(T543,ma_miengiam!$A$3:$B$80,2,0)*R543,0)))))))</f>
        <v>0</v>
      </c>
      <c r="Y543" s="220">
        <f t="shared" si="1745"/>
        <v>270</v>
      </c>
      <c r="Z543" s="220">
        <f t="shared" si="1762"/>
        <v>120</v>
      </c>
      <c r="AA543" s="220">
        <f t="shared" ref="AA543:AB546" si="1777">Q543</f>
        <v>270</v>
      </c>
      <c r="AB543" s="220">
        <f t="shared" si="1777"/>
        <v>120</v>
      </c>
      <c r="AC543" s="220">
        <f t="shared" si="1776"/>
        <v>0</v>
      </c>
      <c r="AD543" s="220">
        <f t="shared" si="1776"/>
        <v>0</v>
      </c>
      <c r="AE543" s="220">
        <f t="shared" si="1776"/>
        <v>270</v>
      </c>
      <c r="AF543" s="220">
        <f t="shared" si="1776"/>
        <v>120</v>
      </c>
      <c r="AG543" s="220">
        <f t="shared" si="1766"/>
        <v>75</v>
      </c>
      <c r="AH543" s="220">
        <f t="shared" si="1767"/>
        <v>0</v>
      </c>
      <c r="AI543" s="220">
        <f t="shared" si="1768"/>
        <v>75</v>
      </c>
      <c r="AJ543" s="220">
        <f>IF(AG543-Z543&gt;0,0,AG543-Z543)</f>
        <v>-45</v>
      </c>
      <c r="AK543" s="216">
        <f t="shared" si="1639"/>
        <v>315</v>
      </c>
      <c r="AL543" s="220">
        <f t="shared" si="1640"/>
        <v>204.2</v>
      </c>
      <c r="AM543" s="220">
        <f t="shared" si="1641"/>
        <v>0</v>
      </c>
      <c r="AN543" s="221">
        <f t="shared" si="1642"/>
        <v>204.2</v>
      </c>
      <c r="AO543" s="220">
        <f t="shared" si="1643"/>
        <v>0</v>
      </c>
      <c r="AP543" s="220">
        <f t="shared" si="1644"/>
        <v>0</v>
      </c>
      <c r="AQ543" s="220">
        <f t="shared" si="1645"/>
        <v>0</v>
      </c>
      <c r="AR543" s="220">
        <f t="shared" si="1646"/>
        <v>0</v>
      </c>
      <c r="AS543" s="220">
        <f t="shared" si="1647"/>
        <v>0</v>
      </c>
      <c r="AT543" s="216">
        <f t="shared" si="1648"/>
        <v>204.2</v>
      </c>
      <c r="AU543" s="222">
        <f t="shared" si="1770"/>
        <v>-110.80000000000001</v>
      </c>
      <c r="AV543" s="220"/>
      <c r="AW543" s="220">
        <f t="shared" si="1688"/>
        <v>-110.80000000000001</v>
      </c>
      <c r="AX543" s="216">
        <f t="shared" si="1636"/>
        <v>-110.80000000000001</v>
      </c>
      <c r="AY543" s="220">
        <f t="shared" si="1698"/>
        <v>0</v>
      </c>
      <c r="AZ543" s="220">
        <f t="shared" si="1699"/>
        <v>0</v>
      </c>
      <c r="BA543" s="220">
        <f t="shared" si="1700"/>
        <v>0</v>
      </c>
      <c r="BB543" s="220">
        <f t="shared" si="1701"/>
        <v>0</v>
      </c>
      <c r="BC543" s="220">
        <f t="shared" si="1702"/>
        <v>0</v>
      </c>
      <c r="BD543" s="216">
        <f t="shared" ref="BD543:BD600" si="1778">SUM(AY543:BC543)</f>
        <v>0</v>
      </c>
      <c r="BE543" s="220">
        <f t="shared" si="1689"/>
        <v>0</v>
      </c>
      <c r="BF543" s="220">
        <f t="shared" si="1690"/>
        <v>0</v>
      </c>
      <c r="BG543" s="220">
        <f t="shared" si="1691"/>
        <v>0</v>
      </c>
      <c r="BH543" s="220">
        <f t="shared" si="1692"/>
        <v>0</v>
      </c>
      <c r="BI543" s="220">
        <f t="shared" si="1693"/>
        <v>0</v>
      </c>
      <c r="BJ543" s="220" t="s">
        <v>395</v>
      </c>
      <c r="BK543" s="220"/>
      <c r="BL543" s="223">
        <f t="shared" si="1609"/>
        <v>0</v>
      </c>
      <c r="BM543" s="220">
        <v>3.66</v>
      </c>
      <c r="BN543" s="220"/>
      <c r="BO543" s="220">
        <f t="shared" si="1764"/>
        <v>3.66</v>
      </c>
      <c r="BP543" s="220">
        <f>IF(AND(BL543&gt;0,BL543&lt;tiet!$D$1),BL543,IF(BL543&lt;=0,0,IF(BL543&gt;tiet!$C$1,tiet!$C$1)))</f>
        <v>0</v>
      </c>
      <c r="BQ543" s="87">
        <f t="shared" si="1729"/>
        <v>65000</v>
      </c>
      <c r="BR543" s="224">
        <f t="shared" si="1730"/>
        <v>0</v>
      </c>
      <c r="BS543" s="220">
        <f t="shared" si="1686"/>
        <v>0</v>
      </c>
      <c r="BT543" s="224">
        <f>VLOOKUP(N543,ma_dinhmuc!$A$1:$J$31,10,0)</f>
        <v>51000</v>
      </c>
      <c r="BU543" s="224">
        <f>ROUND(IF(BS543&gt;0,VLOOKUP(N543,ma_dinhmuc!$A$1:$J$31,10,0)*BS543,0),0)</f>
        <v>0</v>
      </c>
      <c r="BV543" s="224">
        <f t="shared" si="1731"/>
        <v>0</v>
      </c>
      <c r="BW543" s="224"/>
      <c r="BX543" s="224">
        <v>0</v>
      </c>
      <c r="BY543" s="224"/>
      <c r="BZ543" s="224"/>
      <c r="CA543" s="224"/>
      <c r="CB543" s="224"/>
      <c r="CC543" s="225">
        <f t="shared" si="1595"/>
        <v>0</v>
      </c>
      <c r="CD543" s="224">
        <f t="shared" si="1596"/>
        <v>0</v>
      </c>
      <c r="CE543" s="224"/>
      <c r="CF543" s="226"/>
      <c r="CG543" s="87"/>
      <c r="CH543" s="87">
        <f t="shared" si="1772"/>
        <v>49</v>
      </c>
      <c r="CI543" s="227" t="str">
        <f t="shared" si="1746"/>
        <v>Hoàng Thị Thanh</v>
      </c>
      <c r="CJ543" s="227" t="str">
        <f t="shared" si="1747"/>
        <v>Giang</v>
      </c>
      <c r="CK543" s="87">
        <f t="shared" si="1748"/>
        <v>10</v>
      </c>
      <c r="CL543" s="227" t="str">
        <f t="shared" si="1749"/>
        <v>Toán - Tin ứng dụng</v>
      </c>
      <c r="CM543" s="87" t="str">
        <f t="shared" si="1694"/>
        <v>CS2</v>
      </c>
      <c r="CN543" s="87">
        <f t="shared" si="1774"/>
        <v>270</v>
      </c>
      <c r="CO543" s="87">
        <f t="shared" si="1774"/>
        <v>120</v>
      </c>
      <c r="CP543" s="229">
        <f t="shared" si="1703"/>
        <v>0</v>
      </c>
      <c r="CQ543" s="229">
        <f t="shared" si="1704"/>
        <v>29</v>
      </c>
      <c r="CR543" s="229">
        <f t="shared" si="1705"/>
        <v>11.7</v>
      </c>
      <c r="CS543" s="229">
        <f t="shared" si="1706"/>
        <v>0</v>
      </c>
      <c r="CT543" s="229">
        <f t="shared" si="1707"/>
        <v>0</v>
      </c>
      <c r="CU543" s="229">
        <f t="shared" si="1708"/>
        <v>163.5</v>
      </c>
      <c r="CV543" s="229">
        <f t="shared" si="1709"/>
        <v>0</v>
      </c>
      <c r="CW543" s="229">
        <f t="shared" si="1710"/>
        <v>0</v>
      </c>
      <c r="CX543" s="229">
        <f t="shared" si="1711"/>
        <v>0</v>
      </c>
      <c r="CY543" s="229">
        <f t="shared" si="1712"/>
        <v>0</v>
      </c>
      <c r="CZ543" s="229">
        <f t="shared" si="1713"/>
        <v>0</v>
      </c>
      <c r="DA543" s="229">
        <f t="shared" si="1714"/>
        <v>0</v>
      </c>
      <c r="DB543" s="228">
        <f t="shared" si="1650"/>
        <v>204.2</v>
      </c>
      <c r="DC543" s="229"/>
      <c r="DD543" s="229"/>
      <c r="DE543" s="229"/>
      <c r="DF543" s="229"/>
      <c r="DG543" s="229"/>
      <c r="DH543" s="229"/>
      <c r="DI543" s="229"/>
      <c r="DJ543" s="229"/>
      <c r="DK543" s="229"/>
      <c r="DL543" s="229"/>
      <c r="DM543" s="229"/>
      <c r="DN543" s="229"/>
      <c r="DO543" s="228">
        <f t="shared" si="1651"/>
        <v>0</v>
      </c>
      <c r="DP543" s="228">
        <f t="shared" si="1652"/>
        <v>204.2</v>
      </c>
      <c r="DQ543" s="229">
        <f t="shared" si="1715"/>
        <v>0</v>
      </c>
      <c r="DR543" s="229">
        <f t="shared" si="1716"/>
        <v>0</v>
      </c>
      <c r="DS543" s="229">
        <f t="shared" si="1717"/>
        <v>0</v>
      </c>
      <c r="DT543" s="229">
        <f t="shared" si="1718"/>
        <v>0</v>
      </c>
      <c r="DU543" s="229">
        <f t="shared" si="1719"/>
        <v>0</v>
      </c>
      <c r="DV543" s="229">
        <f t="shared" si="1720"/>
        <v>0</v>
      </c>
      <c r="DW543" s="229">
        <f t="shared" si="1721"/>
        <v>0</v>
      </c>
      <c r="DX543" s="228">
        <f t="shared" si="1653"/>
        <v>0</v>
      </c>
      <c r="DY543" s="229"/>
      <c r="DZ543" s="229"/>
      <c r="EA543" s="229"/>
      <c r="EB543" s="229"/>
      <c r="EC543" s="229"/>
      <c r="ED543" s="229"/>
      <c r="EE543" s="229"/>
      <c r="EF543" s="228">
        <f t="shared" si="1696"/>
        <v>0</v>
      </c>
      <c r="EG543" s="228">
        <f t="shared" si="1654"/>
        <v>0</v>
      </c>
      <c r="EH543" s="229">
        <f t="shared" si="1697"/>
        <v>75</v>
      </c>
      <c r="EI543" s="229">
        <v>0</v>
      </c>
      <c r="EJ543" s="228">
        <f t="shared" si="1757"/>
        <v>75</v>
      </c>
      <c r="EK543" s="229"/>
      <c r="EL543" s="229"/>
      <c r="EM543" s="228">
        <f t="shared" si="1775"/>
        <v>0</v>
      </c>
      <c r="EN543" s="229">
        <f t="shared" si="1765"/>
        <v>75</v>
      </c>
      <c r="EO543" s="229">
        <f t="shared" si="1610"/>
        <v>0</v>
      </c>
      <c r="EP543" s="228">
        <f t="shared" si="1750"/>
        <v>75</v>
      </c>
      <c r="EQ543" s="173">
        <f t="shared" si="1687"/>
        <v>0</v>
      </c>
      <c r="ER543" s="189">
        <v>0</v>
      </c>
      <c r="ES543" s="189">
        <v>29</v>
      </c>
      <c r="ET543" s="189">
        <v>11.7</v>
      </c>
      <c r="EU543" s="189">
        <v>0</v>
      </c>
      <c r="EV543" s="189">
        <v>0</v>
      </c>
      <c r="EW543" s="189">
        <v>163.5</v>
      </c>
      <c r="EX543" s="189">
        <v>0</v>
      </c>
      <c r="EY543" s="189">
        <v>0</v>
      </c>
      <c r="EZ543" s="189">
        <v>0</v>
      </c>
      <c r="FA543" s="189">
        <v>0</v>
      </c>
      <c r="FB543" s="189">
        <v>0</v>
      </c>
      <c r="FC543" s="189">
        <v>0</v>
      </c>
      <c r="FD543" s="189">
        <v>0</v>
      </c>
      <c r="FE543" s="189">
        <v>0</v>
      </c>
      <c r="FF543" s="189">
        <v>0</v>
      </c>
      <c r="FG543" s="189">
        <v>0</v>
      </c>
      <c r="FH543" s="189">
        <v>0</v>
      </c>
      <c r="FI543" s="189">
        <v>0</v>
      </c>
      <c r="FJ543" s="189">
        <v>0</v>
      </c>
      <c r="FK543" s="189">
        <v>204.2</v>
      </c>
      <c r="FL543" s="189">
        <v>158</v>
      </c>
      <c r="FN543" s="132">
        <v>75</v>
      </c>
    </row>
    <row r="544" spans="1:170" ht="30" customHeight="1">
      <c r="A544" s="88">
        <f>COUNTIF($H$12:H544,H544)</f>
        <v>50</v>
      </c>
      <c r="B544" s="88" t="s">
        <v>2572</v>
      </c>
      <c r="C544" s="88" t="s">
        <v>970</v>
      </c>
      <c r="D544" s="88"/>
      <c r="E544" s="88"/>
      <c r="F544" s="301" t="s">
        <v>2856</v>
      </c>
      <c r="G544" s="89" t="s">
        <v>1144</v>
      </c>
      <c r="H544" s="88">
        <v>10</v>
      </c>
      <c r="I544" s="88">
        <v>10</v>
      </c>
      <c r="J544" s="88">
        <v>10</v>
      </c>
      <c r="K544" s="90" t="s">
        <v>1660</v>
      </c>
      <c r="L544" s="90" t="s">
        <v>1660</v>
      </c>
      <c r="M544" s="214"/>
      <c r="N544" s="88" t="s">
        <v>1804</v>
      </c>
      <c r="O544" s="216">
        <f>BO544</f>
        <v>3.66</v>
      </c>
      <c r="P544" s="88" t="str">
        <f t="shared" si="1678"/>
        <v>B1_4</v>
      </c>
      <c r="Q544" s="88">
        <f t="shared" si="1751"/>
        <v>270</v>
      </c>
      <c r="R544" s="88">
        <f t="shared" si="1752"/>
        <v>120</v>
      </c>
      <c r="S544" s="230" t="s">
        <v>689</v>
      </c>
      <c r="T544" s="214" t="s">
        <v>3090</v>
      </c>
      <c r="U544" s="88">
        <f>IF(RIGHT(T544,1)="K",(VLOOKUP(T544,ma_miengiam!$A$3:$B$80,2,0)*100)/2,VLOOKUP(T544,ma_miengiam!$A$3:$B$80,2,0)*100)</f>
        <v>15</v>
      </c>
      <c r="V544" s="88"/>
      <c r="W544" s="220">
        <f>IF(AND(T544="NTS",V544&gt;0),(Q544-(Q544*V544)/12)*VLOOKUP(T544,ma_miengiam!$A$3:$B$80,2,0)+(Q544-(Q544*(12-V544))/12),IF(AND(RIGHT(T544,1)="K",V544&gt;0),(VLOOKUP(T544,ma_miengiam!$A$3:$B$80,2,0)/2)*(Q544*V544)/12,IF(RIGHT(T544,1)="K",(VLOOKUP(T544,ma_miengiam!$A$3:$B$80,2,0)*Q544)/2,IF(V544&gt;0,VLOOKUP(T544,ma_miengiam!$A$3:$B$80,2,0)*Q544*V544/12,VLOOKUP(T544,ma_miengiam!$A$3:$B$80,2,0)*Q544))))</f>
        <v>40.5</v>
      </c>
      <c r="X544" s="220">
        <f>IF(T544="NTS",VLOOKUP(T544,ma_miengiam!$A$3:$B$80,2,0)*R544*V544,IF(AND(T544="NTS",V544=0),0,IF(AND(LEFT(T544,1)="K",V544=0),VLOOKUP(T544,ma_miengiam!$A$3:$B$80,2,0)*R544,IF(LEFT(T544,1)="K",(VLOOKUP(T544,ma_miengiam!$A$3:$B$80,2,0)*R544/12)*V544,IF(AND(LEFT(T544,1)="S",V544&gt;0),(R544/12)*V544,IF(AND(LEFT(T544,1)="S",V544=0),R544,IF(T544="DH",VLOOKUP(T544,ma_miengiam!$A$3:$B$80,2,0)*R544,0)))))))</f>
        <v>0</v>
      </c>
      <c r="Y544" s="220">
        <f>IF(AND(T544="DH",V544&gt;0),(S544*V544/12),IF(AND(T544&lt;&gt;"NTS",V544&gt;0),(Q544*V544/12)-W544,IF(AND(T544="NTS",V544&gt;0),Q544-W544,Q544-W544)))</f>
        <v>229.5</v>
      </c>
      <c r="Z544" s="220">
        <f>IF(AND(T544="SĐH",V544&gt;0),(R544/12)*V544-X544,IF(AND(T544="DH",V544&gt;0),(R544*V544/12),IF(AND(T544&lt;&gt;"NTS",V544&gt;0),(R544*V544/12)-X544,IF(AND(T544="NTS",V544&gt;0),R544-X544,R544-X544))))</f>
        <v>120</v>
      </c>
      <c r="AA544" s="220">
        <f>Q544</f>
        <v>270</v>
      </c>
      <c r="AB544" s="220">
        <f>R544</f>
        <v>120</v>
      </c>
      <c r="AC544" s="220">
        <f t="shared" ref="AC544:AF545" si="1779">W544</f>
        <v>40.5</v>
      </c>
      <c r="AD544" s="220">
        <f t="shared" si="1779"/>
        <v>0</v>
      </c>
      <c r="AE544" s="220">
        <f t="shared" si="1779"/>
        <v>229.5</v>
      </c>
      <c r="AF544" s="220">
        <f t="shared" si="1779"/>
        <v>120</v>
      </c>
      <c r="AG544" s="220">
        <f t="shared" si="1766"/>
        <v>240.15</v>
      </c>
      <c r="AH544" s="220">
        <f t="shared" si="1767"/>
        <v>0.15000000000000568</v>
      </c>
      <c r="AI544" s="220">
        <f t="shared" si="1768"/>
        <v>240</v>
      </c>
      <c r="AJ544" s="220">
        <f t="shared" ref="AJ544:AJ582" si="1780">IF(AG544-Z544&gt;0,0,AG544-Z544)</f>
        <v>0</v>
      </c>
      <c r="AK544" s="216">
        <f t="shared" si="1639"/>
        <v>229.5</v>
      </c>
      <c r="AL544" s="220">
        <f>SUM(CP544:CX544)+SUM(DC544:DK544)</f>
        <v>357.5</v>
      </c>
      <c r="AM544" s="220">
        <f>SUM(DQ544:DU544)+SUM(DY544:EC544)</f>
        <v>0</v>
      </c>
      <c r="AN544" s="221">
        <f>AM544+AL544</f>
        <v>357.5</v>
      </c>
      <c r="AO544" s="220">
        <f>CY544+DL544</f>
        <v>0</v>
      </c>
      <c r="AP544" s="220">
        <f>CZ544+DM544</f>
        <v>0</v>
      </c>
      <c r="AQ544" s="220">
        <f>DA544+DN544</f>
        <v>20</v>
      </c>
      <c r="AR544" s="220">
        <f>DV544+ED544</f>
        <v>0</v>
      </c>
      <c r="AS544" s="220">
        <f>DW544+EE544</f>
        <v>0</v>
      </c>
      <c r="AT544" s="216">
        <f>AN544+SUM(AO544:AS544)</f>
        <v>377.5</v>
      </c>
      <c r="AU544" s="222">
        <f t="shared" si="1770"/>
        <v>128</v>
      </c>
      <c r="AV544" s="220"/>
      <c r="AW544" s="220">
        <f>IF(AU544&gt;0,AU544,AV544+AU544)</f>
        <v>128</v>
      </c>
      <c r="AX544" s="216">
        <f t="shared" si="1636"/>
        <v>0</v>
      </c>
      <c r="AY544" s="220">
        <f>IF(AN544&gt;=AK544,AO544,IF(AN544+AO544-AK544&gt;=0,AN544+AO544-AK544,0))</f>
        <v>0</v>
      </c>
      <c r="AZ544" s="220">
        <f>IF(OR(AN544&gt;=AK544,AN544+AO544&gt;=AK544),AP544,IF(AN544+AO544+AP544&gt;AK544,AN544+AO544+AP544-AK544,0))</f>
        <v>0</v>
      </c>
      <c r="BA544" s="220">
        <f>IF(OR(AN544&gt;=AK544,AN544+AO544&gt;=AK544,AN544+AO544+AP544&gt;=AK544),AQ544,IF(AN544+AO544+AP544+AQ544&gt;=AK544,AN544+AO544+AP544+AQ544-AK544,0))</f>
        <v>20</v>
      </c>
      <c r="BB544" s="220">
        <f>IF(OR(AN544&gt;=AK544,AN544+AO544&gt;=AK544,AN544+AO544+AP544&gt;=AK544,AN544+AO544+AP544+AQ544&gt;=AK544),AR544,IF(AN544+AO544+AP544+AQ544+AR544&gt;=AK544,AN544+AO544+AP544+AQ544+AR544-AK544,0))</f>
        <v>0</v>
      </c>
      <c r="BC544" s="220">
        <f>IF(OR(AN544&gt;=AK544,AN544+AO544&gt;=AK544,AN544+AO544+AP544&gt;=AK544,AN544+AO544+AP544+AQ544&gt;=AK544,AN544+AO544+AP544+AQ544+AR544&gt;=AK544),AS544,IF(AN544+AO544+AP544+AQ544+AR544+AS544&gt;=AK544,AN544+AO544+AP544+AQ544+AR544+AS544-AK544,0))</f>
        <v>0</v>
      </c>
      <c r="BD544" s="216">
        <f t="shared" si="1778"/>
        <v>20</v>
      </c>
      <c r="BE544" s="220">
        <f>AY544-AO544</f>
        <v>0</v>
      </c>
      <c r="BF544" s="220">
        <f>AZ544-AP544</f>
        <v>0</v>
      </c>
      <c r="BG544" s="220">
        <f>BA544-AQ544</f>
        <v>0</v>
      </c>
      <c r="BH544" s="220">
        <f>BB544-AR544</f>
        <v>0</v>
      </c>
      <c r="BI544" s="220">
        <f>BC544-AS544</f>
        <v>0</v>
      </c>
      <c r="BJ544" s="220" t="s">
        <v>395</v>
      </c>
      <c r="BK544" s="220"/>
      <c r="BL544" s="223">
        <f t="shared" si="1609"/>
        <v>128</v>
      </c>
      <c r="BM544" s="220">
        <v>3.66</v>
      </c>
      <c r="BN544" s="220"/>
      <c r="BO544" s="220">
        <f>ROUND(BM544+(BM544*BN544),2)</f>
        <v>3.66</v>
      </c>
      <c r="BP544" s="220">
        <f>IF(AND(BL544&gt;0,BL544&lt;tiet!$D$1),BL544,IF(BL544&lt;=0,0,IF(BL544&gt;tiet!$C$1,tiet!$C$1)))</f>
        <v>128</v>
      </c>
      <c r="BQ544" s="87">
        <f t="shared" si="1729"/>
        <v>65000</v>
      </c>
      <c r="BR544" s="224">
        <f t="shared" si="1730"/>
        <v>8320000</v>
      </c>
      <c r="BS544" s="220">
        <f t="shared" si="1686"/>
        <v>0</v>
      </c>
      <c r="BT544" s="224">
        <f>VLOOKUP(N544,ma_dinhmuc!$A$1:$J$31,10,0)</f>
        <v>51000</v>
      </c>
      <c r="BU544" s="224">
        <f>ROUND(IF(BS544&gt;0,VLOOKUP(N544,ma_dinhmuc!$A$1:$J$31,10,0)*BS544,0),0)</f>
        <v>0</v>
      </c>
      <c r="BV544" s="224">
        <f t="shared" si="1731"/>
        <v>8320000</v>
      </c>
      <c r="BW544" s="224"/>
      <c r="BX544" s="224">
        <v>0</v>
      </c>
      <c r="BY544" s="224"/>
      <c r="BZ544" s="224"/>
      <c r="CA544" s="224"/>
      <c r="CB544" s="224"/>
      <c r="CC544" s="225">
        <f>ROUND(IF(BV544+BW544&gt;BX544+BY544+BZ544+CA544+CB544,(BW544+BV544)-(BX544+BY544+BZ544+CA544+CB544+CB544),0),0)</f>
        <v>8320000</v>
      </c>
      <c r="CD544" s="224">
        <f>ROUND(IF(BV544+BW544&lt;BX544+BY544+BZ544+CA544-CB544,(BX544+BY544+BZ544+CA544-CB544)-(BW544+BV544),0),0)</f>
        <v>0</v>
      </c>
      <c r="CE544" s="224"/>
      <c r="CF544" s="226"/>
      <c r="CG544" s="87"/>
      <c r="CH544" s="87">
        <f t="shared" si="1772"/>
        <v>50</v>
      </c>
      <c r="CI544" s="227" t="str">
        <f>F544</f>
        <v>Nguyễn Xuân</v>
      </c>
      <c r="CJ544" s="227" t="str">
        <f>G544</f>
        <v>Thảo</v>
      </c>
      <c r="CK544" s="87">
        <f>H544</f>
        <v>10</v>
      </c>
      <c r="CL544" s="227" t="str">
        <f>L544</f>
        <v>Toán - Tin ứng dụng</v>
      </c>
      <c r="CM544" s="87" t="str">
        <f>N544</f>
        <v>CS2</v>
      </c>
      <c r="CN544" s="87">
        <f t="shared" si="1774"/>
        <v>270</v>
      </c>
      <c r="CO544" s="87">
        <f t="shared" si="1774"/>
        <v>120</v>
      </c>
      <c r="CP544" s="229">
        <f t="shared" si="1703"/>
        <v>0</v>
      </c>
      <c r="CQ544" s="229">
        <f t="shared" si="1704"/>
        <v>36.299999999999997</v>
      </c>
      <c r="CR544" s="229">
        <f t="shared" si="1705"/>
        <v>14.7</v>
      </c>
      <c r="CS544" s="229">
        <f t="shared" si="1706"/>
        <v>10.8</v>
      </c>
      <c r="CT544" s="229">
        <f t="shared" si="1707"/>
        <v>0</v>
      </c>
      <c r="CU544" s="229">
        <f t="shared" si="1708"/>
        <v>295.7</v>
      </c>
      <c r="CV544" s="229">
        <f t="shared" si="1709"/>
        <v>0</v>
      </c>
      <c r="CW544" s="229">
        <f t="shared" si="1710"/>
        <v>0</v>
      </c>
      <c r="CX544" s="229">
        <f t="shared" si="1711"/>
        <v>0</v>
      </c>
      <c r="CY544" s="229">
        <f t="shared" si="1712"/>
        <v>0</v>
      </c>
      <c r="CZ544" s="229">
        <f t="shared" si="1713"/>
        <v>0</v>
      </c>
      <c r="DA544" s="229">
        <f t="shared" si="1714"/>
        <v>20</v>
      </c>
      <c r="DB544" s="228">
        <f>SUM(CP544:DA544)</f>
        <v>377.5</v>
      </c>
      <c r="DC544" s="229"/>
      <c r="DD544" s="229"/>
      <c r="DE544" s="229"/>
      <c r="DF544" s="229"/>
      <c r="DG544" s="229"/>
      <c r="DH544" s="229"/>
      <c r="DI544" s="229"/>
      <c r="DJ544" s="229"/>
      <c r="DK544" s="229"/>
      <c r="DL544" s="229"/>
      <c r="DM544" s="229"/>
      <c r="DN544" s="229"/>
      <c r="DO544" s="228">
        <f>SUM(DC544:DN544)</f>
        <v>0</v>
      </c>
      <c r="DP544" s="228">
        <f>DO544+DB544</f>
        <v>377.5</v>
      </c>
      <c r="DQ544" s="229">
        <f t="shared" si="1715"/>
        <v>0</v>
      </c>
      <c r="DR544" s="229">
        <f t="shared" si="1716"/>
        <v>0</v>
      </c>
      <c r="DS544" s="229">
        <f t="shared" si="1717"/>
        <v>0</v>
      </c>
      <c r="DT544" s="229">
        <f t="shared" si="1718"/>
        <v>0</v>
      </c>
      <c r="DU544" s="229">
        <f t="shared" si="1719"/>
        <v>0</v>
      </c>
      <c r="DV544" s="229">
        <f t="shared" si="1720"/>
        <v>0</v>
      </c>
      <c r="DW544" s="229">
        <f t="shared" si="1721"/>
        <v>0</v>
      </c>
      <c r="DX544" s="228">
        <f>SUM(DQ544:DW544)</f>
        <v>0</v>
      </c>
      <c r="DY544" s="229"/>
      <c r="DZ544" s="229"/>
      <c r="EA544" s="229"/>
      <c r="EB544" s="229"/>
      <c r="EC544" s="229"/>
      <c r="ED544" s="229"/>
      <c r="EE544" s="229"/>
      <c r="EF544" s="228">
        <f t="shared" si="1696"/>
        <v>0</v>
      </c>
      <c r="EG544" s="228">
        <f>EF544+DX544</f>
        <v>0</v>
      </c>
      <c r="EH544" s="229">
        <f t="shared" si="1697"/>
        <v>240</v>
      </c>
      <c r="EI544" s="229">
        <v>0.15000000000000568</v>
      </c>
      <c r="EJ544" s="228">
        <f t="shared" si="1757"/>
        <v>240.15</v>
      </c>
      <c r="EK544" s="229"/>
      <c r="EL544" s="229"/>
      <c r="EM544" s="228">
        <f t="shared" si="1775"/>
        <v>0</v>
      </c>
      <c r="EN544" s="229">
        <f>EK544+EH544+EL544</f>
        <v>240</v>
      </c>
      <c r="EO544" s="229">
        <f>EI544</f>
        <v>0.15000000000000568</v>
      </c>
      <c r="EP544" s="228">
        <f>EM544+EJ544</f>
        <v>240.15</v>
      </c>
      <c r="EQ544" s="173">
        <f t="shared" si="1687"/>
        <v>120</v>
      </c>
      <c r="ER544" s="189">
        <v>0</v>
      </c>
      <c r="ES544" s="189">
        <v>36.299999999999997</v>
      </c>
      <c r="ET544" s="189">
        <v>14.7</v>
      </c>
      <c r="EU544" s="189">
        <v>10.8</v>
      </c>
      <c r="EV544" s="189">
        <v>0</v>
      </c>
      <c r="EW544" s="189">
        <v>295.7</v>
      </c>
      <c r="EX544" s="189">
        <v>0</v>
      </c>
      <c r="EY544" s="189">
        <v>0</v>
      </c>
      <c r="EZ544" s="189">
        <v>0</v>
      </c>
      <c r="FA544" s="189">
        <v>0</v>
      </c>
      <c r="FB544" s="189">
        <v>0</v>
      </c>
      <c r="FC544" s="189">
        <v>20</v>
      </c>
      <c r="FD544" s="189">
        <v>0</v>
      </c>
      <c r="FE544" s="189">
        <v>0</v>
      </c>
      <c r="FF544" s="189">
        <v>0</v>
      </c>
      <c r="FG544" s="189">
        <v>0</v>
      </c>
      <c r="FH544" s="189">
        <v>0</v>
      </c>
      <c r="FI544" s="189">
        <v>0</v>
      </c>
      <c r="FJ544" s="189">
        <v>0</v>
      </c>
      <c r="FK544" s="189">
        <v>377.5</v>
      </c>
      <c r="FL544" s="189">
        <v>312.8</v>
      </c>
      <c r="FN544" s="132">
        <v>240</v>
      </c>
    </row>
    <row r="545" spans="1:170" ht="30" customHeight="1">
      <c r="A545" s="88">
        <f>COUNTIF($H$12:H545,H545)</f>
        <v>51</v>
      </c>
      <c r="B545" s="88" t="s">
        <v>2573</v>
      </c>
      <c r="C545" s="88" t="s">
        <v>971</v>
      </c>
      <c r="D545" s="88"/>
      <c r="E545" s="88"/>
      <c r="F545" s="301" t="s">
        <v>1139</v>
      </c>
      <c r="G545" s="303" t="s">
        <v>1773</v>
      </c>
      <c r="H545" s="88">
        <v>10</v>
      </c>
      <c r="I545" s="88">
        <v>10</v>
      </c>
      <c r="J545" s="88">
        <v>10</v>
      </c>
      <c r="K545" s="90" t="s">
        <v>1660</v>
      </c>
      <c r="L545" s="90" t="s">
        <v>1660</v>
      </c>
      <c r="M545" s="214"/>
      <c r="N545" s="88" t="s">
        <v>1804</v>
      </c>
      <c r="O545" s="216">
        <f t="shared" si="1760"/>
        <v>3</v>
      </c>
      <c r="P545" s="88" t="str">
        <f t="shared" si="1678"/>
        <v>B1_3</v>
      </c>
      <c r="Q545" s="88">
        <f t="shared" si="1751"/>
        <v>270</v>
      </c>
      <c r="R545" s="88">
        <f t="shared" si="1752"/>
        <v>100</v>
      </c>
      <c r="S545" s="233"/>
      <c r="T545" s="88" t="s">
        <v>3088</v>
      </c>
      <c r="U545" s="88">
        <f>IF(RIGHT(T545,1)="K",(VLOOKUP(T545,ma_miengiam!$A$3:$B$80,2,0)*100)/2,VLOOKUP(T545,ma_miengiam!$A$3:$B$80,2,0)*100)</f>
        <v>0</v>
      </c>
      <c r="V545" s="88"/>
      <c r="W545" s="220">
        <f>IF(AND(T545="NTS",V545&gt;0),(Q545-(Q545*V545)/12)*VLOOKUP(T545,ma_miengiam!$A$3:$B$80,2,0)+(Q545-(Q545*(12-V545))/12),IF(AND(RIGHT(T545,1)="K",V545&gt;0),(VLOOKUP(T545,ma_miengiam!$A$3:$B$80,2,0)/2)*(Q545*V545)/12,IF(RIGHT(T545,1)="K",(VLOOKUP(T545,ma_miengiam!$A$3:$B$80,2,0)*Q545)/2,IF(V545&gt;0,VLOOKUP(T545,ma_miengiam!$A$3:$B$80,2,0)*Q545*V545/12,VLOOKUP(T545,ma_miengiam!$A$3:$B$80,2,0)*Q545))))</f>
        <v>0</v>
      </c>
      <c r="X545" s="220">
        <f>IF(T545="NTS",VLOOKUP(T545,ma_miengiam!$A$3:$B$80,2,0)*R545*V545,IF(AND(T545="NTS",V545=0),0,IF(AND(LEFT(T545,1)="K",V545=0),VLOOKUP(T545,ma_miengiam!$A$3:$B$80,2,0)*R545,IF(LEFT(T545,1)="K",(VLOOKUP(T545,ma_miengiam!$A$3:$B$80,2,0)*R545/12)*V545,IF(AND(LEFT(T545,1)="S",V545&gt;0),(R545/12)*V545,IF(AND(LEFT(T545,1)="S",V545=0),R545,IF(T545="DH",VLOOKUP(T545,ma_miengiam!$A$3:$B$80,2,0)*R545,0)))))))</f>
        <v>0</v>
      </c>
      <c r="Y545" s="220">
        <f t="shared" si="1745"/>
        <v>270</v>
      </c>
      <c r="Z545" s="220">
        <f t="shared" si="1762"/>
        <v>100</v>
      </c>
      <c r="AA545" s="220">
        <f t="shared" si="1777"/>
        <v>270</v>
      </c>
      <c r="AB545" s="220">
        <f t="shared" si="1777"/>
        <v>100</v>
      </c>
      <c r="AC545" s="220">
        <f t="shared" si="1779"/>
        <v>0</v>
      </c>
      <c r="AD545" s="220">
        <f t="shared" si="1779"/>
        <v>0</v>
      </c>
      <c r="AE545" s="220">
        <f t="shared" si="1779"/>
        <v>270</v>
      </c>
      <c r="AF545" s="220">
        <f t="shared" si="1779"/>
        <v>100</v>
      </c>
      <c r="AG545" s="220">
        <f t="shared" si="1766"/>
        <v>75</v>
      </c>
      <c r="AH545" s="220">
        <f t="shared" si="1767"/>
        <v>0</v>
      </c>
      <c r="AI545" s="220">
        <f t="shared" si="1768"/>
        <v>75</v>
      </c>
      <c r="AJ545" s="220">
        <f t="shared" si="1780"/>
        <v>-25</v>
      </c>
      <c r="AK545" s="216">
        <f t="shared" si="1639"/>
        <v>295</v>
      </c>
      <c r="AL545" s="220">
        <f t="shared" si="1640"/>
        <v>431.29999999999995</v>
      </c>
      <c r="AM545" s="220">
        <f t="shared" si="1641"/>
        <v>0</v>
      </c>
      <c r="AN545" s="221">
        <f t="shared" si="1642"/>
        <v>431.29999999999995</v>
      </c>
      <c r="AO545" s="220">
        <f t="shared" si="1643"/>
        <v>0</v>
      </c>
      <c r="AP545" s="220">
        <f t="shared" si="1644"/>
        <v>0</v>
      </c>
      <c r="AQ545" s="220">
        <f t="shared" si="1645"/>
        <v>0</v>
      </c>
      <c r="AR545" s="220">
        <f t="shared" si="1646"/>
        <v>0</v>
      </c>
      <c r="AS545" s="220">
        <f t="shared" si="1647"/>
        <v>0</v>
      </c>
      <c r="AT545" s="216">
        <f t="shared" si="1648"/>
        <v>431.29999999999995</v>
      </c>
      <c r="AU545" s="222">
        <f t="shared" si="1770"/>
        <v>136.29999999999995</v>
      </c>
      <c r="AV545" s="220"/>
      <c r="AW545" s="220">
        <f t="shared" si="1688"/>
        <v>136.29999999999995</v>
      </c>
      <c r="AX545" s="216">
        <f t="shared" si="1636"/>
        <v>0</v>
      </c>
      <c r="AY545" s="220">
        <f t="shared" si="1698"/>
        <v>0</v>
      </c>
      <c r="AZ545" s="220">
        <f t="shared" si="1699"/>
        <v>0</v>
      </c>
      <c r="BA545" s="220">
        <f t="shared" si="1700"/>
        <v>0</v>
      </c>
      <c r="BB545" s="220">
        <f t="shared" si="1701"/>
        <v>0</v>
      </c>
      <c r="BC545" s="220">
        <f t="shared" si="1702"/>
        <v>0</v>
      </c>
      <c r="BD545" s="216">
        <f t="shared" si="1778"/>
        <v>0</v>
      </c>
      <c r="BE545" s="220">
        <f t="shared" si="1689"/>
        <v>0</v>
      </c>
      <c r="BF545" s="220">
        <f t="shared" si="1690"/>
        <v>0</v>
      </c>
      <c r="BG545" s="220">
        <f t="shared" si="1691"/>
        <v>0</v>
      </c>
      <c r="BH545" s="220">
        <f t="shared" si="1692"/>
        <v>0</v>
      </c>
      <c r="BI545" s="220">
        <f t="shared" si="1693"/>
        <v>0</v>
      </c>
      <c r="BJ545" s="220" t="s">
        <v>395</v>
      </c>
      <c r="BK545" s="220"/>
      <c r="BL545" s="223">
        <f t="shared" si="1609"/>
        <v>136.29999999999995</v>
      </c>
      <c r="BM545" s="220">
        <v>3</v>
      </c>
      <c r="BN545" s="220"/>
      <c r="BO545" s="220">
        <f t="shared" si="1764"/>
        <v>3</v>
      </c>
      <c r="BP545" s="220">
        <f>IF(AND(BL545&gt;0,BL545&lt;tiet!$D$1),BL545,IF(BL545&lt;=0,0,IF(BL545&gt;tiet!$C$1,tiet!$C$1)))</f>
        <v>136.29999999999995</v>
      </c>
      <c r="BQ545" s="87">
        <f t="shared" si="1729"/>
        <v>60000</v>
      </c>
      <c r="BR545" s="224">
        <f t="shared" si="1730"/>
        <v>8178000</v>
      </c>
      <c r="BS545" s="220">
        <f t="shared" si="1686"/>
        <v>0</v>
      </c>
      <c r="BT545" s="224">
        <f>VLOOKUP(N545,ma_dinhmuc!$A$1:$J$31,10,0)</f>
        <v>51000</v>
      </c>
      <c r="BU545" s="224">
        <f>ROUND(IF(BS545&gt;0,VLOOKUP(N545,ma_dinhmuc!$A$1:$J$31,10,0)*BS545,0),0)</f>
        <v>0</v>
      </c>
      <c r="BV545" s="224">
        <f t="shared" si="1731"/>
        <v>8178000</v>
      </c>
      <c r="BW545" s="224"/>
      <c r="BX545" s="224">
        <v>0</v>
      </c>
      <c r="BY545" s="224"/>
      <c r="BZ545" s="224"/>
      <c r="CA545" s="224"/>
      <c r="CB545" s="224"/>
      <c r="CC545" s="225">
        <f t="shared" ref="CC545:CC574" si="1781">ROUND(IF(BV545+BW545&gt;BX545+BY545+BZ545+CA545+CB545,(BW545+BV545)-(BX545+BY545+BZ545+CA545+CB545+CB545),0),0)</f>
        <v>8178000</v>
      </c>
      <c r="CD545" s="224">
        <f t="shared" ref="CD545:CD574" si="1782">ROUND(IF(BV545+BW545&lt;BX545+BY545+BZ545+CA545-CB545,(BX545+BY545+BZ545+CA545-CB545)-(BW545+BV545),0),0)</f>
        <v>0</v>
      </c>
      <c r="CE545" s="224"/>
      <c r="CF545" s="226"/>
      <c r="CG545" s="87"/>
      <c r="CH545" s="87">
        <f t="shared" si="1772"/>
        <v>51</v>
      </c>
      <c r="CI545" s="227" t="str">
        <f t="shared" si="1746"/>
        <v>Nguyễn Thị</v>
      </c>
      <c r="CJ545" s="227" t="str">
        <f t="shared" si="1747"/>
        <v>Lan</v>
      </c>
      <c r="CK545" s="87">
        <f t="shared" si="1748"/>
        <v>10</v>
      </c>
      <c r="CL545" s="227" t="str">
        <f t="shared" si="1749"/>
        <v>Toán - Tin ứng dụng</v>
      </c>
      <c r="CM545" s="87" t="str">
        <f t="shared" si="1694"/>
        <v>CS2</v>
      </c>
      <c r="CN545" s="87">
        <f t="shared" si="1774"/>
        <v>270</v>
      </c>
      <c r="CO545" s="87">
        <f t="shared" si="1774"/>
        <v>100</v>
      </c>
      <c r="CP545" s="229">
        <f t="shared" si="1703"/>
        <v>0</v>
      </c>
      <c r="CQ545" s="229">
        <f t="shared" si="1704"/>
        <v>59.8</v>
      </c>
      <c r="CR545" s="229">
        <f t="shared" si="1705"/>
        <v>24.1</v>
      </c>
      <c r="CS545" s="229">
        <f t="shared" si="1706"/>
        <v>0</v>
      </c>
      <c r="CT545" s="229">
        <f t="shared" si="1707"/>
        <v>0</v>
      </c>
      <c r="CU545" s="229">
        <f t="shared" si="1708"/>
        <v>347.4</v>
      </c>
      <c r="CV545" s="229">
        <f t="shared" si="1709"/>
        <v>0</v>
      </c>
      <c r="CW545" s="229">
        <f t="shared" si="1710"/>
        <v>0</v>
      </c>
      <c r="CX545" s="229">
        <f t="shared" si="1711"/>
        <v>0</v>
      </c>
      <c r="CY545" s="229">
        <f t="shared" si="1712"/>
        <v>0</v>
      </c>
      <c r="CZ545" s="229">
        <f t="shared" si="1713"/>
        <v>0</v>
      </c>
      <c r="DA545" s="229">
        <f t="shared" si="1714"/>
        <v>0</v>
      </c>
      <c r="DB545" s="228">
        <f t="shared" si="1650"/>
        <v>431.29999999999995</v>
      </c>
      <c r="DC545" s="229"/>
      <c r="DD545" s="229"/>
      <c r="DE545" s="229"/>
      <c r="DF545" s="229"/>
      <c r="DG545" s="229"/>
      <c r="DH545" s="229"/>
      <c r="DI545" s="229"/>
      <c r="DJ545" s="229"/>
      <c r="DK545" s="229"/>
      <c r="DL545" s="229"/>
      <c r="DM545" s="229"/>
      <c r="DN545" s="229"/>
      <c r="DO545" s="228">
        <f t="shared" si="1651"/>
        <v>0</v>
      </c>
      <c r="DP545" s="228">
        <f t="shared" si="1652"/>
        <v>431.29999999999995</v>
      </c>
      <c r="DQ545" s="229">
        <f t="shared" si="1715"/>
        <v>0</v>
      </c>
      <c r="DR545" s="229">
        <f t="shared" si="1716"/>
        <v>0</v>
      </c>
      <c r="DS545" s="229">
        <f t="shared" si="1717"/>
        <v>0</v>
      </c>
      <c r="DT545" s="229">
        <f t="shared" si="1718"/>
        <v>0</v>
      </c>
      <c r="DU545" s="229">
        <f t="shared" si="1719"/>
        <v>0</v>
      </c>
      <c r="DV545" s="229">
        <f t="shared" si="1720"/>
        <v>0</v>
      </c>
      <c r="DW545" s="229">
        <f t="shared" si="1721"/>
        <v>0</v>
      </c>
      <c r="DX545" s="228">
        <f t="shared" si="1653"/>
        <v>0</v>
      </c>
      <c r="DY545" s="229"/>
      <c r="DZ545" s="229"/>
      <c r="EA545" s="229"/>
      <c r="EB545" s="229"/>
      <c r="EC545" s="229"/>
      <c r="ED545" s="229"/>
      <c r="EE545" s="229"/>
      <c r="EF545" s="228">
        <f t="shared" si="1696"/>
        <v>0</v>
      </c>
      <c r="EG545" s="228">
        <f t="shared" si="1654"/>
        <v>0</v>
      </c>
      <c r="EH545" s="229">
        <f t="shared" si="1697"/>
        <v>75</v>
      </c>
      <c r="EI545" s="229">
        <v>0</v>
      </c>
      <c r="EJ545" s="228">
        <f t="shared" si="1757"/>
        <v>75</v>
      </c>
      <c r="EK545" s="229"/>
      <c r="EL545" s="229"/>
      <c r="EM545" s="228">
        <f t="shared" si="1775"/>
        <v>0</v>
      </c>
      <c r="EN545" s="229">
        <f t="shared" si="1765"/>
        <v>75</v>
      </c>
      <c r="EO545" s="229">
        <f t="shared" si="1610"/>
        <v>0</v>
      </c>
      <c r="EP545" s="228">
        <f t="shared" si="1750"/>
        <v>75</v>
      </c>
      <c r="EQ545" s="173">
        <f t="shared" si="1687"/>
        <v>0</v>
      </c>
      <c r="ER545" s="189">
        <v>0</v>
      </c>
      <c r="ES545" s="189">
        <v>59.8</v>
      </c>
      <c r="ET545" s="189">
        <v>24.1</v>
      </c>
      <c r="EU545" s="189">
        <v>0</v>
      </c>
      <c r="EV545" s="189">
        <v>0</v>
      </c>
      <c r="EW545" s="189">
        <v>347.4</v>
      </c>
      <c r="EX545" s="189">
        <v>0</v>
      </c>
      <c r="EY545" s="189">
        <v>0</v>
      </c>
      <c r="EZ545" s="189">
        <v>0</v>
      </c>
      <c r="FA545" s="189">
        <v>0</v>
      </c>
      <c r="FB545" s="189">
        <v>0</v>
      </c>
      <c r="FC545" s="189">
        <v>0</v>
      </c>
      <c r="FD545" s="189">
        <v>0</v>
      </c>
      <c r="FE545" s="189">
        <v>0</v>
      </c>
      <c r="FF545" s="189">
        <v>0</v>
      </c>
      <c r="FG545" s="189">
        <v>0</v>
      </c>
      <c r="FH545" s="189">
        <v>0</v>
      </c>
      <c r="FI545" s="189">
        <v>0</v>
      </c>
      <c r="FJ545" s="189">
        <v>0</v>
      </c>
      <c r="FK545" s="189">
        <v>431.3</v>
      </c>
      <c r="FL545" s="189">
        <v>282</v>
      </c>
      <c r="FN545" s="132">
        <v>75</v>
      </c>
    </row>
    <row r="546" spans="1:170" ht="30" customHeight="1">
      <c r="A546" s="88">
        <f>COUNTIF($H$12:H546,H546)</f>
        <v>52</v>
      </c>
      <c r="B546" s="88" t="s">
        <v>2574</v>
      </c>
      <c r="C546" s="88" t="s">
        <v>972</v>
      </c>
      <c r="D546" s="88"/>
      <c r="E546" s="88"/>
      <c r="F546" s="301" t="s">
        <v>2976</v>
      </c>
      <c r="G546" s="89" t="s">
        <v>178</v>
      </c>
      <c r="H546" s="88">
        <v>10</v>
      </c>
      <c r="I546" s="88">
        <v>10</v>
      </c>
      <c r="J546" s="88">
        <v>10</v>
      </c>
      <c r="K546" s="90" t="s">
        <v>1660</v>
      </c>
      <c r="L546" s="90" t="s">
        <v>1660</v>
      </c>
      <c r="M546" s="214"/>
      <c r="N546" s="88" t="s">
        <v>1804</v>
      </c>
      <c r="O546" s="216">
        <f t="shared" si="1760"/>
        <v>3.99</v>
      </c>
      <c r="P546" s="88" t="str">
        <f t="shared" si="1678"/>
        <v>B1_4</v>
      </c>
      <c r="Q546" s="88">
        <f t="shared" si="1751"/>
        <v>270</v>
      </c>
      <c r="R546" s="88">
        <f t="shared" si="1752"/>
        <v>120</v>
      </c>
      <c r="S546" s="218"/>
      <c r="T546" s="88" t="s">
        <v>3088</v>
      </c>
      <c r="U546" s="88">
        <f>IF(RIGHT(T546,1)="K",(VLOOKUP(T546,ma_miengiam!$A$3:$B$80,2,0)*100)/2,VLOOKUP(T546,ma_miengiam!$A$3:$B$80,2,0)*100)</f>
        <v>0</v>
      </c>
      <c r="V546" s="88"/>
      <c r="W546" s="220">
        <f>IF(AND(T546="NTS",V546&gt;0),(Q546-(Q546*V546)/12)*VLOOKUP(T546,ma_miengiam!$A$3:$B$80,2,0)+(Q546-(Q546*(12-V546))/12),IF(AND(RIGHT(T546,1)="K",V546&gt;0),(VLOOKUP(T546,ma_miengiam!$A$3:$B$80,2,0)/2)*(Q546*V546)/12,IF(RIGHT(T546,1)="K",(VLOOKUP(T546,ma_miengiam!$A$3:$B$80,2,0)*Q546)/2,IF(V546&gt;0,VLOOKUP(T546,ma_miengiam!$A$3:$B$80,2,0)*Q546*V546/12,VLOOKUP(T546,ma_miengiam!$A$3:$B$80,2,0)*Q546))))</f>
        <v>0</v>
      </c>
      <c r="X546" s="220">
        <f>IF(T546="NTS",VLOOKUP(T546,ma_miengiam!$A$3:$B$80,2,0)*R546*V546,IF(AND(T546="NTS",V546=0),0,IF(AND(LEFT(T546,1)="K",V546=0),VLOOKUP(T546,ma_miengiam!$A$3:$B$80,2,0)*R546,IF(LEFT(T546,1)="K",(VLOOKUP(T546,ma_miengiam!$A$3:$B$80,2,0)*R546/12)*V546,IF(AND(LEFT(T546,1)="S",V546&gt;0),(R546/12)*V546,IF(AND(LEFT(T546,1)="S",V546=0),R546,IF(T546="DH",VLOOKUP(T546,ma_miengiam!$A$3:$B$80,2,0)*R546,0)))))))</f>
        <v>0</v>
      </c>
      <c r="Y546" s="220">
        <f t="shared" si="1745"/>
        <v>270</v>
      </c>
      <c r="Z546" s="220">
        <f t="shared" si="1762"/>
        <v>120</v>
      </c>
      <c r="AA546" s="220">
        <f t="shared" si="1777"/>
        <v>270</v>
      </c>
      <c r="AB546" s="220">
        <f t="shared" si="1777"/>
        <v>120</v>
      </c>
      <c r="AC546" s="220">
        <f t="shared" ref="AC546:AF547" si="1783">W546</f>
        <v>0</v>
      </c>
      <c r="AD546" s="220">
        <f t="shared" si="1783"/>
        <v>0</v>
      </c>
      <c r="AE546" s="220">
        <f t="shared" si="1783"/>
        <v>270</v>
      </c>
      <c r="AF546" s="220">
        <f t="shared" si="1783"/>
        <v>120</v>
      </c>
      <c r="AG546" s="220">
        <f t="shared" si="1766"/>
        <v>45.150000000000006</v>
      </c>
      <c r="AH546" s="220">
        <f t="shared" si="1767"/>
        <v>0.15000000000000568</v>
      </c>
      <c r="AI546" s="220">
        <f t="shared" si="1768"/>
        <v>45</v>
      </c>
      <c r="AJ546" s="220">
        <f t="shared" si="1780"/>
        <v>-74.849999999999994</v>
      </c>
      <c r="AK546" s="216">
        <f t="shared" si="1639"/>
        <v>344.85</v>
      </c>
      <c r="AL546" s="220">
        <f t="shared" si="1640"/>
        <v>282.3</v>
      </c>
      <c r="AM546" s="220">
        <f t="shared" si="1641"/>
        <v>0</v>
      </c>
      <c r="AN546" s="221">
        <f t="shared" si="1642"/>
        <v>282.3</v>
      </c>
      <c r="AO546" s="220">
        <f t="shared" si="1643"/>
        <v>0</v>
      </c>
      <c r="AP546" s="220">
        <f t="shared" si="1644"/>
        <v>0</v>
      </c>
      <c r="AQ546" s="220">
        <f t="shared" si="1645"/>
        <v>0</v>
      </c>
      <c r="AR546" s="220">
        <f t="shared" si="1646"/>
        <v>0</v>
      </c>
      <c r="AS546" s="220">
        <f t="shared" si="1647"/>
        <v>0</v>
      </c>
      <c r="AT546" s="216">
        <f t="shared" si="1648"/>
        <v>282.3</v>
      </c>
      <c r="AU546" s="222">
        <f t="shared" si="1770"/>
        <v>-62.550000000000011</v>
      </c>
      <c r="AV546" s="220"/>
      <c r="AW546" s="220">
        <f t="shared" si="1688"/>
        <v>-62.550000000000011</v>
      </c>
      <c r="AX546" s="216">
        <f t="shared" si="1636"/>
        <v>-62.550000000000011</v>
      </c>
      <c r="AY546" s="220">
        <f t="shared" si="1698"/>
        <v>0</v>
      </c>
      <c r="AZ546" s="220">
        <f t="shared" si="1699"/>
        <v>0</v>
      </c>
      <c r="BA546" s="220">
        <f t="shared" si="1700"/>
        <v>0</v>
      </c>
      <c r="BB546" s="220">
        <f t="shared" si="1701"/>
        <v>0</v>
      </c>
      <c r="BC546" s="220">
        <f t="shared" si="1702"/>
        <v>0</v>
      </c>
      <c r="BD546" s="216">
        <f t="shared" si="1778"/>
        <v>0</v>
      </c>
      <c r="BE546" s="220">
        <f t="shared" si="1689"/>
        <v>0</v>
      </c>
      <c r="BF546" s="220">
        <f t="shared" si="1690"/>
        <v>0</v>
      </c>
      <c r="BG546" s="220">
        <f t="shared" si="1691"/>
        <v>0</v>
      </c>
      <c r="BH546" s="220">
        <f t="shared" si="1692"/>
        <v>0</v>
      </c>
      <c r="BI546" s="220">
        <f t="shared" si="1693"/>
        <v>0</v>
      </c>
      <c r="BJ546" s="220" t="s">
        <v>395</v>
      </c>
      <c r="BK546" s="220"/>
      <c r="BL546" s="223">
        <f t="shared" ref="BL546:BL605" si="1784">IF(AW546&lt;BK546,0,IF(AND(BK546=0,AW546&gt;0),AW546,IF(AW546&lt;0,0,IF(BK546&gt;0,AW546-BK546,IF(BK546&lt;0,0,AW546)))))</f>
        <v>0</v>
      </c>
      <c r="BM546" s="220">
        <v>3.99</v>
      </c>
      <c r="BN546" s="220"/>
      <c r="BO546" s="220">
        <f t="shared" si="1764"/>
        <v>3.99</v>
      </c>
      <c r="BP546" s="220">
        <f>IF(AND(BL546&gt;0,BL546&lt;tiet!$D$1),BL546,IF(BL546&lt;=0,0,IF(BL546&gt;tiet!$C$1,tiet!$C$1)))</f>
        <v>0</v>
      </c>
      <c r="BQ546" s="87">
        <f t="shared" si="1729"/>
        <v>65000</v>
      </c>
      <c r="BR546" s="224">
        <f t="shared" si="1730"/>
        <v>0</v>
      </c>
      <c r="BS546" s="220">
        <f t="shared" si="1686"/>
        <v>0</v>
      </c>
      <c r="BT546" s="224">
        <f>VLOOKUP(N546,ma_dinhmuc!$A$1:$J$31,10,0)</f>
        <v>51000</v>
      </c>
      <c r="BU546" s="224">
        <f>ROUND(IF(BS546&gt;0,VLOOKUP(N546,ma_dinhmuc!$A$1:$J$31,10,0)*BS546,0),0)</f>
        <v>0</v>
      </c>
      <c r="BV546" s="224">
        <f t="shared" si="1731"/>
        <v>0</v>
      </c>
      <c r="BW546" s="224"/>
      <c r="BX546" s="224">
        <v>0</v>
      </c>
      <c r="BY546" s="224"/>
      <c r="BZ546" s="224"/>
      <c r="CA546" s="224"/>
      <c r="CB546" s="224"/>
      <c r="CC546" s="225">
        <f t="shared" si="1781"/>
        <v>0</v>
      </c>
      <c r="CD546" s="224">
        <f t="shared" si="1782"/>
        <v>0</v>
      </c>
      <c r="CE546" s="224"/>
      <c r="CF546" s="226"/>
      <c r="CG546" s="87"/>
      <c r="CH546" s="87">
        <f t="shared" si="1772"/>
        <v>52</v>
      </c>
      <c r="CI546" s="227" t="str">
        <f t="shared" si="1746"/>
        <v>Ngọc Minh</v>
      </c>
      <c r="CJ546" s="227" t="str">
        <f t="shared" si="1747"/>
        <v>Châu</v>
      </c>
      <c r="CK546" s="87">
        <f t="shared" si="1748"/>
        <v>10</v>
      </c>
      <c r="CL546" s="227" t="str">
        <f t="shared" si="1749"/>
        <v>Toán - Tin ứng dụng</v>
      </c>
      <c r="CM546" s="87" t="str">
        <f t="shared" si="1694"/>
        <v>CS2</v>
      </c>
      <c r="CN546" s="87">
        <f t="shared" si="1774"/>
        <v>270</v>
      </c>
      <c r="CO546" s="87">
        <f t="shared" si="1774"/>
        <v>120</v>
      </c>
      <c r="CP546" s="229">
        <f t="shared" si="1703"/>
        <v>0</v>
      </c>
      <c r="CQ546" s="229">
        <f t="shared" si="1704"/>
        <v>29.4</v>
      </c>
      <c r="CR546" s="229">
        <f t="shared" si="1705"/>
        <v>11.8</v>
      </c>
      <c r="CS546" s="229">
        <f t="shared" si="1706"/>
        <v>0</v>
      </c>
      <c r="CT546" s="229">
        <f t="shared" si="1707"/>
        <v>0</v>
      </c>
      <c r="CU546" s="229">
        <f t="shared" si="1708"/>
        <v>233.1</v>
      </c>
      <c r="CV546" s="229">
        <f t="shared" si="1709"/>
        <v>0</v>
      </c>
      <c r="CW546" s="229">
        <f t="shared" si="1710"/>
        <v>8</v>
      </c>
      <c r="CX546" s="229">
        <f t="shared" si="1711"/>
        <v>0</v>
      </c>
      <c r="CY546" s="229">
        <f t="shared" si="1712"/>
        <v>0</v>
      </c>
      <c r="CZ546" s="229">
        <f t="shared" si="1713"/>
        <v>0</v>
      </c>
      <c r="DA546" s="229">
        <f t="shared" si="1714"/>
        <v>0</v>
      </c>
      <c r="DB546" s="228">
        <f t="shared" si="1650"/>
        <v>282.3</v>
      </c>
      <c r="DC546" s="229"/>
      <c r="DD546" s="229"/>
      <c r="DE546" s="229"/>
      <c r="DF546" s="229"/>
      <c r="DG546" s="229"/>
      <c r="DH546" s="229"/>
      <c r="DI546" s="229"/>
      <c r="DJ546" s="229"/>
      <c r="DK546" s="229"/>
      <c r="DL546" s="229"/>
      <c r="DM546" s="229"/>
      <c r="DN546" s="229"/>
      <c r="DO546" s="228">
        <f t="shared" si="1651"/>
        <v>0</v>
      </c>
      <c r="DP546" s="228">
        <f t="shared" si="1652"/>
        <v>282.3</v>
      </c>
      <c r="DQ546" s="229">
        <f t="shared" si="1715"/>
        <v>0</v>
      </c>
      <c r="DR546" s="229">
        <f t="shared" si="1716"/>
        <v>0</v>
      </c>
      <c r="DS546" s="229">
        <f t="shared" si="1717"/>
        <v>0</v>
      </c>
      <c r="DT546" s="229">
        <f t="shared" si="1718"/>
        <v>0</v>
      </c>
      <c r="DU546" s="229">
        <f t="shared" si="1719"/>
        <v>0</v>
      </c>
      <c r="DV546" s="229">
        <f t="shared" si="1720"/>
        <v>0</v>
      </c>
      <c r="DW546" s="229">
        <f t="shared" si="1721"/>
        <v>0</v>
      </c>
      <c r="DX546" s="228">
        <f t="shared" si="1653"/>
        <v>0</v>
      </c>
      <c r="DY546" s="229"/>
      <c r="DZ546" s="229"/>
      <c r="EA546" s="229"/>
      <c r="EB546" s="229"/>
      <c r="EC546" s="229"/>
      <c r="ED546" s="229"/>
      <c r="EE546" s="229"/>
      <c r="EF546" s="228">
        <f t="shared" si="1696"/>
        <v>0</v>
      </c>
      <c r="EG546" s="228">
        <f t="shared" si="1654"/>
        <v>0</v>
      </c>
      <c r="EH546" s="229">
        <f t="shared" si="1697"/>
        <v>45</v>
      </c>
      <c r="EI546" s="229">
        <v>0.15000000000000568</v>
      </c>
      <c r="EJ546" s="228">
        <f t="shared" si="1757"/>
        <v>45.150000000000006</v>
      </c>
      <c r="EK546" s="229"/>
      <c r="EL546" s="229"/>
      <c r="EM546" s="228">
        <f t="shared" si="1775"/>
        <v>0</v>
      </c>
      <c r="EN546" s="229">
        <f t="shared" si="1765"/>
        <v>45</v>
      </c>
      <c r="EO546" s="229">
        <f t="shared" si="1610"/>
        <v>0.15000000000000568</v>
      </c>
      <c r="EP546" s="228">
        <f t="shared" si="1750"/>
        <v>45.150000000000006</v>
      </c>
      <c r="EQ546" s="173">
        <f t="shared" si="1687"/>
        <v>0</v>
      </c>
      <c r="ER546" s="189">
        <v>0</v>
      </c>
      <c r="ES546" s="189">
        <v>29.4</v>
      </c>
      <c r="ET546" s="189">
        <v>11.8</v>
      </c>
      <c r="EU546" s="189">
        <v>0</v>
      </c>
      <c r="EV546" s="189">
        <v>0</v>
      </c>
      <c r="EW546" s="189">
        <v>233.1</v>
      </c>
      <c r="EX546" s="189">
        <v>0</v>
      </c>
      <c r="EY546" s="189">
        <v>8</v>
      </c>
      <c r="EZ546" s="189">
        <v>0</v>
      </c>
      <c r="FA546" s="189">
        <v>0</v>
      </c>
      <c r="FB546" s="189">
        <v>0</v>
      </c>
      <c r="FC546" s="189">
        <v>0</v>
      </c>
      <c r="FD546" s="189">
        <v>0</v>
      </c>
      <c r="FE546" s="189">
        <v>0</v>
      </c>
      <c r="FF546" s="189">
        <v>0</v>
      </c>
      <c r="FG546" s="189">
        <v>0</v>
      </c>
      <c r="FH546" s="189">
        <v>0</v>
      </c>
      <c r="FI546" s="189">
        <v>0</v>
      </c>
      <c r="FJ546" s="189">
        <v>0</v>
      </c>
      <c r="FK546" s="189">
        <v>282.3</v>
      </c>
      <c r="FL546" s="189">
        <v>235</v>
      </c>
      <c r="FN546" s="132">
        <v>45</v>
      </c>
    </row>
    <row r="547" spans="1:170" ht="30" customHeight="1">
      <c r="A547" s="88">
        <f>COUNTIF($H$12:H547,H547)</f>
        <v>53</v>
      </c>
      <c r="B547" s="88" t="s">
        <v>2575</v>
      </c>
      <c r="C547" s="88" t="s">
        <v>973</v>
      </c>
      <c r="D547" s="88"/>
      <c r="E547" s="88"/>
      <c r="F547" s="301" t="s">
        <v>2977</v>
      </c>
      <c r="G547" s="89" t="s">
        <v>1600</v>
      </c>
      <c r="H547" s="88">
        <v>10</v>
      </c>
      <c r="I547" s="88">
        <v>10</v>
      </c>
      <c r="J547" s="88">
        <v>10</v>
      </c>
      <c r="K547" s="90" t="s">
        <v>1660</v>
      </c>
      <c r="L547" s="90" t="s">
        <v>1660</v>
      </c>
      <c r="M547" s="214"/>
      <c r="N547" s="88" t="s">
        <v>1804</v>
      </c>
      <c r="O547" s="216">
        <f t="shared" si="1760"/>
        <v>3.33</v>
      </c>
      <c r="P547" s="88" t="str">
        <f t="shared" si="1678"/>
        <v>B1_4</v>
      </c>
      <c r="Q547" s="88">
        <f t="shared" si="1751"/>
        <v>270</v>
      </c>
      <c r="R547" s="88">
        <f t="shared" si="1752"/>
        <v>120</v>
      </c>
      <c r="S547" s="218"/>
      <c r="T547" s="88" t="s">
        <v>3088</v>
      </c>
      <c r="U547" s="88">
        <f>IF(RIGHT(T547,1)="K",(VLOOKUP(T547,ma_miengiam!$A$3:$B$80,2,0)*100)/2,VLOOKUP(T547,ma_miengiam!$A$3:$B$80,2,0)*100)</f>
        <v>0</v>
      </c>
      <c r="V547" s="88"/>
      <c r="W547" s="220">
        <f>IF(AND(T547="NTS",V547&gt;0),(Q547-(Q547*V547)/12)*VLOOKUP(T547,ma_miengiam!$A$3:$B$80,2,0)+(Q547-(Q547*(12-V547))/12),IF(AND(RIGHT(T547,1)="K",V547&gt;0),(VLOOKUP(T547,ma_miengiam!$A$3:$B$80,2,0)/2)*(Q547*V547)/12,IF(RIGHT(T547,1)="K",(VLOOKUP(T547,ma_miengiam!$A$3:$B$80,2,0)*Q547)/2,IF(V547&gt;0,VLOOKUP(T547,ma_miengiam!$A$3:$B$80,2,0)*Q547*V547/12,VLOOKUP(T547,ma_miengiam!$A$3:$B$80,2,0)*Q547))))</f>
        <v>0</v>
      </c>
      <c r="X547" s="220">
        <f>IF(T547="NTS",VLOOKUP(T547,ma_miengiam!$A$3:$B$80,2,0)*R547*V547,IF(AND(T547="NTS",V547=0),0,IF(AND(LEFT(T547,1)="K",V547=0),VLOOKUP(T547,ma_miengiam!$A$3:$B$80,2,0)*R547,IF(LEFT(T547,1)="K",(VLOOKUP(T547,ma_miengiam!$A$3:$B$80,2,0)*R547/12)*V547,IF(AND(LEFT(T547,1)="S",V547&gt;0),(R547/12)*V547,IF(AND(LEFT(T547,1)="S",V547=0),R547,IF(T547="DH",VLOOKUP(T547,ma_miengiam!$A$3:$B$80,2,0)*R547,0)))))))</f>
        <v>0</v>
      </c>
      <c r="Y547" s="220">
        <f t="shared" si="1745"/>
        <v>270</v>
      </c>
      <c r="Z547" s="220">
        <f t="shared" si="1762"/>
        <v>120</v>
      </c>
      <c r="AA547" s="220">
        <f>Q547</f>
        <v>270</v>
      </c>
      <c r="AB547" s="220">
        <f>R547</f>
        <v>120</v>
      </c>
      <c r="AC547" s="220">
        <f t="shared" si="1783"/>
        <v>0</v>
      </c>
      <c r="AD547" s="220">
        <f t="shared" si="1783"/>
        <v>0</v>
      </c>
      <c r="AE547" s="220">
        <f t="shared" si="1783"/>
        <v>270</v>
      </c>
      <c r="AF547" s="220">
        <f t="shared" si="1783"/>
        <v>120</v>
      </c>
      <c r="AG547" s="220">
        <f t="shared" si="1766"/>
        <v>45</v>
      </c>
      <c r="AH547" s="220">
        <f t="shared" si="1767"/>
        <v>0</v>
      </c>
      <c r="AI547" s="220">
        <f t="shared" si="1768"/>
        <v>45</v>
      </c>
      <c r="AJ547" s="220">
        <f t="shared" si="1780"/>
        <v>-75</v>
      </c>
      <c r="AK547" s="216">
        <f t="shared" si="1639"/>
        <v>345</v>
      </c>
      <c r="AL547" s="220">
        <f t="shared" si="1640"/>
        <v>358</v>
      </c>
      <c r="AM547" s="220">
        <f t="shared" si="1641"/>
        <v>0</v>
      </c>
      <c r="AN547" s="221">
        <f t="shared" si="1642"/>
        <v>358</v>
      </c>
      <c r="AO547" s="220">
        <f t="shared" si="1643"/>
        <v>0</v>
      </c>
      <c r="AP547" s="220">
        <f t="shared" si="1644"/>
        <v>0</v>
      </c>
      <c r="AQ547" s="220">
        <f t="shared" si="1645"/>
        <v>0</v>
      </c>
      <c r="AR547" s="220">
        <f t="shared" si="1646"/>
        <v>0</v>
      </c>
      <c r="AS547" s="220">
        <f t="shared" si="1647"/>
        <v>0</v>
      </c>
      <c r="AT547" s="216">
        <f t="shared" si="1648"/>
        <v>358</v>
      </c>
      <c r="AU547" s="222">
        <f t="shared" si="1770"/>
        <v>13</v>
      </c>
      <c r="AV547" s="220"/>
      <c r="AW547" s="220">
        <f t="shared" si="1688"/>
        <v>13</v>
      </c>
      <c r="AX547" s="216">
        <f t="shared" si="1636"/>
        <v>0</v>
      </c>
      <c r="AY547" s="220">
        <f t="shared" si="1698"/>
        <v>0</v>
      </c>
      <c r="AZ547" s="220">
        <f t="shared" si="1699"/>
        <v>0</v>
      </c>
      <c r="BA547" s="220">
        <f t="shared" si="1700"/>
        <v>0</v>
      </c>
      <c r="BB547" s="220">
        <f t="shared" si="1701"/>
        <v>0</v>
      </c>
      <c r="BC547" s="220">
        <f t="shared" si="1702"/>
        <v>0</v>
      </c>
      <c r="BD547" s="216">
        <f t="shared" si="1778"/>
        <v>0</v>
      </c>
      <c r="BE547" s="220">
        <f t="shared" si="1689"/>
        <v>0</v>
      </c>
      <c r="BF547" s="220">
        <f t="shared" si="1690"/>
        <v>0</v>
      </c>
      <c r="BG547" s="220">
        <f t="shared" si="1691"/>
        <v>0</v>
      </c>
      <c r="BH547" s="220">
        <f t="shared" si="1692"/>
        <v>0</v>
      </c>
      <c r="BI547" s="220">
        <f t="shared" si="1693"/>
        <v>0</v>
      </c>
      <c r="BJ547" s="220" t="s">
        <v>395</v>
      </c>
      <c r="BK547" s="220"/>
      <c r="BL547" s="223">
        <f t="shared" si="1784"/>
        <v>13</v>
      </c>
      <c r="BM547" s="220">
        <v>3.33</v>
      </c>
      <c r="BN547" s="220"/>
      <c r="BO547" s="220">
        <f t="shared" si="1764"/>
        <v>3.33</v>
      </c>
      <c r="BP547" s="220">
        <f>IF(AND(BL547&gt;0,BL547&lt;tiet!$D$1),BL547,IF(BL547&lt;=0,0,IF(BL547&gt;tiet!$C$1,tiet!$C$1)))</f>
        <v>13</v>
      </c>
      <c r="BQ547" s="87">
        <f t="shared" si="1729"/>
        <v>65000</v>
      </c>
      <c r="BR547" s="224">
        <f t="shared" si="1730"/>
        <v>845000</v>
      </c>
      <c r="BS547" s="220">
        <f t="shared" si="1686"/>
        <v>0</v>
      </c>
      <c r="BT547" s="224">
        <f>VLOOKUP(N547,ma_dinhmuc!$A$1:$J$31,10,0)</f>
        <v>51000</v>
      </c>
      <c r="BU547" s="224">
        <f>ROUND(IF(BS547&gt;0,VLOOKUP(N547,ma_dinhmuc!$A$1:$J$31,10,0)*BS547,0),0)</f>
        <v>0</v>
      </c>
      <c r="BV547" s="224">
        <f t="shared" si="1731"/>
        <v>845000</v>
      </c>
      <c r="BW547" s="224"/>
      <c r="BX547" s="224">
        <v>0</v>
      </c>
      <c r="BY547" s="224"/>
      <c r="BZ547" s="224"/>
      <c r="CA547" s="224"/>
      <c r="CB547" s="224"/>
      <c r="CC547" s="225">
        <f t="shared" si="1781"/>
        <v>845000</v>
      </c>
      <c r="CD547" s="224">
        <f t="shared" si="1782"/>
        <v>0</v>
      </c>
      <c r="CE547" s="224"/>
      <c r="CF547" s="226"/>
      <c r="CG547" s="87"/>
      <c r="CH547" s="87">
        <f t="shared" si="1772"/>
        <v>53</v>
      </c>
      <c r="CI547" s="227" t="str">
        <f t="shared" si="1746"/>
        <v>Nguyễn Thị Thúy</v>
      </c>
      <c r="CJ547" s="227" t="str">
        <f t="shared" si="1747"/>
        <v>Hạnh</v>
      </c>
      <c r="CK547" s="87">
        <f t="shared" si="1748"/>
        <v>10</v>
      </c>
      <c r="CL547" s="227" t="str">
        <f t="shared" si="1749"/>
        <v>Toán - Tin ứng dụng</v>
      </c>
      <c r="CM547" s="87" t="str">
        <f t="shared" si="1694"/>
        <v>CS2</v>
      </c>
      <c r="CN547" s="87">
        <f t="shared" si="1774"/>
        <v>270</v>
      </c>
      <c r="CO547" s="87">
        <f t="shared" si="1774"/>
        <v>120</v>
      </c>
      <c r="CP547" s="229">
        <f t="shared" si="1703"/>
        <v>0</v>
      </c>
      <c r="CQ547" s="229">
        <f t="shared" si="1704"/>
        <v>41.2</v>
      </c>
      <c r="CR547" s="229">
        <f t="shared" si="1705"/>
        <v>16.600000000000001</v>
      </c>
      <c r="CS547" s="229">
        <f t="shared" si="1706"/>
        <v>0</v>
      </c>
      <c r="CT547" s="229">
        <f t="shared" si="1707"/>
        <v>0</v>
      </c>
      <c r="CU547" s="229">
        <f t="shared" si="1708"/>
        <v>300.2</v>
      </c>
      <c r="CV547" s="229">
        <f t="shared" si="1709"/>
        <v>0</v>
      </c>
      <c r="CW547" s="229">
        <f t="shared" si="1710"/>
        <v>0</v>
      </c>
      <c r="CX547" s="229">
        <f t="shared" si="1711"/>
        <v>0</v>
      </c>
      <c r="CY547" s="229">
        <f t="shared" si="1712"/>
        <v>0</v>
      </c>
      <c r="CZ547" s="229">
        <f t="shared" si="1713"/>
        <v>0</v>
      </c>
      <c r="DA547" s="229">
        <f t="shared" si="1714"/>
        <v>0</v>
      </c>
      <c r="DB547" s="228">
        <f t="shared" si="1650"/>
        <v>358</v>
      </c>
      <c r="DC547" s="229"/>
      <c r="DD547" s="229"/>
      <c r="DE547" s="229"/>
      <c r="DF547" s="229"/>
      <c r="DG547" s="229"/>
      <c r="DH547" s="229"/>
      <c r="DI547" s="229"/>
      <c r="DJ547" s="229"/>
      <c r="DK547" s="229"/>
      <c r="DL547" s="229"/>
      <c r="DM547" s="229"/>
      <c r="DN547" s="229"/>
      <c r="DO547" s="228">
        <f t="shared" si="1651"/>
        <v>0</v>
      </c>
      <c r="DP547" s="228">
        <f t="shared" si="1652"/>
        <v>358</v>
      </c>
      <c r="DQ547" s="229">
        <f t="shared" si="1715"/>
        <v>0</v>
      </c>
      <c r="DR547" s="229">
        <f t="shared" si="1716"/>
        <v>0</v>
      </c>
      <c r="DS547" s="229">
        <f t="shared" si="1717"/>
        <v>0</v>
      </c>
      <c r="DT547" s="229">
        <f t="shared" si="1718"/>
        <v>0</v>
      </c>
      <c r="DU547" s="229">
        <f t="shared" si="1719"/>
        <v>0</v>
      </c>
      <c r="DV547" s="229">
        <f t="shared" si="1720"/>
        <v>0</v>
      </c>
      <c r="DW547" s="229">
        <f t="shared" si="1721"/>
        <v>0</v>
      </c>
      <c r="DX547" s="228">
        <f t="shared" si="1653"/>
        <v>0</v>
      </c>
      <c r="DY547" s="229"/>
      <c r="DZ547" s="229"/>
      <c r="EA547" s="229"/>
      <c r="EB547" s="229"/>
      <c r="EC547" s="229"/>
      <c r="ED547" s="229"/>
      <c r="EE547" s="229"/>
      <c r="EF547" s="228">
        <f t="shared" si="1696"/>
        <v>0</v>
      </c>
      <c r="EG547" s="228">
        <f t="shared" si="1654"/>
        <v>0</v>
      </c>
      <c r="EH547" s="229">
        <f t="shared" si="1697"/>
        <v>45</v>
      </c>
      <c r="EI547" s="229">
        <v>0</v>
      </c>
      <c r="EJ547" s="228">
        <f t="shared" si="1757"/>
        <v>45</v>
      </c>
      <c r="EK547" s="229"/>
      <c r="EL547" s="229"/>
      <c r="EM547" s="228">
        <f t="shared" si="1775"/>
        <v>0</v>
      </c>
      <c r="EN547" s="229">
        <f t="shared" si="1765"/>
        <v>45</v>
      </c>
      <c r="EO547" s="229">
        <f t="shared" si="1610"/>
        <v>0</v>
      </c>
      <c r="EP547" s="228">
        <f t="shared" si="1750"/>
        <v>45</v>
      </c>
      <c r="EQ547" s="173">
        <f t="shared" si="1687"/>
        <v>0</v>
      </c>
      <c r="ER547" s="189">
        <v>0</v>
      </c>
      <c r="ES547" s="189">
        <v>41.2</v>
      </c>
      <c r="ET547" s="189">
        <v>16.600000000000001</v>
      </c>
      <c r="EU547" s="189">
        <v>0</v>
      </c>
      <c r="EV547" s="189">
        <v>0</v>
      </c>
      <c r="EW547" s="189">
        <v>300.2</v>
      </c>
      <c r="EX547" s="189">
        <v>0</v>
      </c>
      <c r="EY547" s="189">
        <v>0</v>
      </c>
      <c r="EZ547" s="189">
        <v>0</v>
      </c>
      <c r="FA547" s="189">
        <v>0</v>
      </c>
      <c r="FB547" s="189">
        <v>0</v>
      </c>
      <c r="FC547" s="189">
        <v>0</v>
      </c>
      <c r="FD547" s="189">
        <v>0</v>
      </c>
      <c r="FE547" s="189">
        <v>0</v>
      </c>
      <c r="FF547" s="189">
        <v>0</v>
      </c>
      <c r="FG547" s="189">
        <v>0</v>
      </c>
      <c r="FH547" s="189">
        <v>0</v>
      </c>
      <c r="FI547" s="189">
        <v>0</v>
      </c>
      <c r="FJ547" s="189">
        <v>0</v>
      </c>
      <c r="FK547" s="189">
        <v>358</v>
      </c>
      <c r="FL547" s="189">
        <v>282</v>
      </c>
      <c r="FN547" s="132">
        <v>45</v>
      </c>
    </row>
    <row r="548" spans="1:170" ht="30" customHeight="1">
      <c r="A548" s="88">
        <f>COUNTIF($H$12:H548,H548)</f>
        <v>1</v>
      </c>
      <c r="B548" s="88" t="s">
        <v>2576</v>
      </c>
      <c r="C548" s="88" t="s">
        <v>974</v>
      </c>
      <c r="D548" s="88"/>
      <c r="E548" s="88"/>
      <c r="F548" s="301" t="s">
        <v>1139</v>
      </c>
      <c r="G548" s="89" t="s">
        <v>2894</v>
      </c>
      <c r="H548" s="88">
        <v>11</v>
      </c>
      <c r="I548" s="88">
        <v>11</v>
      </c>
      <c r="J548" s="88">
        <v>11</v>
      </c>
      <c r="K548" s="90" t="s">
        <v>1661</v>
      </c>
      <c r="L548" s="90" t="s">
        <v>1661</v>
      </c>
      <c r="M548" s="214"/>
      <c r="N548" s="88" t="s">
        <v>1804</v>
      </c>
      <c r="O548" s="216">
        <f t="shared" si="1760"/>
        <v>3.33</v>
      </c>
      <c r="P548" s="88" t="str">
        <f t="shared" ref="P548:P607" si="1785">IF(BO548&lt;3.33,"B1_3",IF(AND(BO548&gt;=3.33,BO548&lt;4.65),"B1_4",IF(AND(BO548&gt;=4.65,BO548&lt;5.42),"B1_5",IF(AND(BO548&gt;=5.42,BO548&lt;6.44),"B1_6",IF(AND(BO548&gt;=6.44,BO548&lt;=6.92),"B1_7","B1_8")))))</f>
        <v>B1_4</v>
      </c>
      <c r="Q548" s="88">
        <f t="shared" si="1751"/>
        <v>270</v>
      </c>
      <c r="R548" s="88">
        <f t="shared" si="1752"/>
        <v>120</v>
      </c>
      <c r="S548" s="230" t="s">
        <v>689</v>
      </c>
      <c r="T548" s="88" t="s">
        <v>3090</v>
      </c>
      <c r="U548" s="88">
        <f>IF(RIGHT(T548,1)="K",(VLOOKUP(T548,ma_miengiam!$A$3:$B$80,2,0)*100)/2,VLOOKUP(T548,ma_miengiam!$A$3:$B$80,2,0)*100)</f>
        <v>15</v>
      </c>
      <c r="V548" s="88"/>
      <c r="W548" s="220">
        <f>IF(AND(T548="NTS",V548&gt;0),(Q548-(Q548*V548)/12)*VLOOKUP(T548,ma_miengiam!$A$3:$B$80,2,0)+(Q548-(Q548*(12-V548))/12),IF(AND(RIGHT(T548,1)="K",V548&gt;0),(VLOOKUP(T548,ma_miengiam!$A$3:$B$80,2,0)/2)*(Q548*V548)/12,IF(RIGHT(T548,1)="K",(VLOOKUP(T548,ma_miengiam!$A$3:$B$80,2,0)*Q548)/2,IF(V548&gt;0,VLOOKUP(T548,ma_miengiam!$A$3:$B$80,2,0)*Q548*V548/12,VLOOKUP(T548,ma_miengiam!$A$3:$B$80,2,0)*Q548))))</f>
        <v>40.5</v>
      </c>
      <c r="X548" s="220">
        <f>IF(T548="NTS",VLOOKUP(T548,ma_miengiam!$A$3:$B$80,2,0)*R548*V548,IF(AND(T548="NTS",V548=0),0,IF(AND(LEFT(T548,1)="K",V548=0),VLOOKUP(T548,ma_miengiam!$A$3:$B$80,2,0)*R548,IF(LEFT(T548,1)="K",(VLOOKUP(T548,ma_miengiam!$A$3:$B$80,2,0)*R548/12)*V548,IF(AND(LEFT(T548,1)="S",V548&gt;0),(R548/12)*V548,IF(AND(LEFT(T548,1)="S",V548=0),R548,IF(T548="DH",VLOOKUP(T548,ma_miengiam!$A$3:$B$80,2,0)*R548,0)))))))</f>
        <v>0</v>
      </c>
      <c r="Y548" s="220">
        <f t="shared" si="1745"/>
        <v>229.5</v>
      </c>
      <c r="Z548" s="220">
        <f>IF(AND(T548="SĐH",V548&gt;0),(R548/12)*V548-X548,IF(AND(T548="DH",V548&gt;0),(R548*V548/12),IF(AND(T548&lt;&gt;"NTS",V548&gt;0),(R548*V548/12)-X548,IF(AND(T548="NTS",V548&gt;0),R548-X548,R548-X548))))</f>
        <v>120</v>
      </c>
      <c r="AA548" s="220">
        <f t="shared" ref="AA548:AB550" si="1786">Q548</f>
        <v>270</v>
      </c>
      <c r="AB548" s="220">
        <f t="shared" si="1786"/>
        <v>120</v>
      </c>
      <c r="AC548" s="220">
        <f>W548</f>
        <v>40.5</v>
      </c>
      <c r="AD548" s="220">
        <f>X548</f>
        <v>0</v>
      </c>
      <c r="AE548" s="220">
        <f>Y548</f>
        <v>229.5</v>
      </c>
      <c r="AF548" s="220">
        <f>Z548</f>
        <v>120</v>
      </c>
      <c r="AG548" s="220">
        <f t="shared" si="1766"/>
        <v>181.67</v>
      </c>
      <c r="AH548" s="220">
        <f t="shared" si="1767"/>
        <v>131.66999999999999</v>
      </c>
      <c r="AI548" s="220">
        <f t="shared" si="1768"/>
        <v>50</v>
      </c>
      <c r="AJ548" s="220">
        <f t="shared" si="1780"/>
        <v>0</v>
      </c>
      <c r="AK548" s="216">
        <f t="shared" si="1639"/>
        <v>229.5</v>
      </c>
      <c r="AL548" s="220">
        <f t="shared" si="1640"/>
        <v>267.3</v>
      </c>
      <c r="AM548" s="220">
        <f t="shared" si="1641"/>
        <v>216</v>
      </c>
      <c r="AN548" s="221">
        <f t="shared" si="1642"/>
        <v>483.3</v>
      </c>
      <c r="AO548" s="220">
        <f t="shared" si="1643"/>
        <v>0</v>
      </c>
      <c r="AP548" s="220">
        <f t="shared" si="1644"/>
        <v>0</v>
      </c>
      <c r="AQ548" s="220">
        <f t="shared" si="1645"/>
        <v>60</v>
      </c>
      <c r="AR548" s="220">
        <f t="shared" si="1646"/>
        <v>268</v>
      </c>
      <c r="AS548" s="220">
        <f t="shared" si="1647"/>
        <v>10</v>
      </c>
      <c r="AT548" s="216">
        <f t="shared" si="1648"/>
        <v>821.3</v>
      </c>
      <c r="AU548" s="222">
        <f t="shared" si="1770"/>
        <v>253.8</v>
      </c>
      <c r="AV548" s="220"/>
      <c r="AW548" s="220">
        <f t="shared" si="1688"/>
        <v>253.8</v>
      </c>
      <c r="AX548" s="216">
        <f t="shared" si="1636"/>
        <v>0</v>
      </c>
      <c r="AY548" s="220">
        <f t="shared" si="1698"/>
        <v>0</v>
      </c>
      <c r="AZ548" s="220">
        <f t="shared" si="1699"/>
        <v>0</v>
      </c>
      <c r="BA548" s="220">
        <f t="shared" si="1700"/>
        <v>60</v>
      </c>
      <c r="BB548" s="220">
        <f t="shared" si="1701"/>
        <v>268</v>
      </c>
      <c r="BC548" s="220">
        <f t="shared" si="1702"/>
        <v>10</v>
      </c>
      <c r="BD548" s="216">
        <f t="shared" si="1778"/>
        <v>338</v>
      </c>
      <c r="BE548" s="220">
        <f t="shared" si="1689"/>
        <v>0</v>
      </c>
      <c r="BF548" s="220">
        <f t="shared" si="1690"/>
        <v>0</v>
      </c>
      <c r="BG548" s="220">
        <f t="shared" si="1691"/>
        <v>0</v>
      </c>
      <c r="BH548" s="220">
        <f t="shared" si="1692"/>
        <v>0</v>
      </c>
      <c r="BI548" s="220">
        <f t="shared" si="1693"/>
        <v>0</v>
      </c>
      <c r="BJ548" s="220" t="s">
        <v>396</v>
      </c>
      <c r="BK548" s="220"/>
      <c r="BL548" s="223">
        <f t="shared" si="1784"/>
        <v>253.8</v>
      </c>
      <c r="BM548" s="220">
        <v>3.33</v>
      </c>
      <c r="BN548" s="220"/>
      <c r="BO548" s="220">
        <f t="shared" ref="BO548:BO562" si="1787">ROUND(BM548+(BM548*BN548),2)</f>
        <v>3.33</v>
      </c>
      <c r="BP548" s="220">
        <f>IF(AND(BL548&gt;0,BL548&lt;tiet!$D$1),BL548,IF(BL548&lt;=0,0,IF(BL548&gt;tiet!$C$1,tiet!$C$1)))</f>
        <v>200</v>
      </c>
      <c r="BQ548" s="87">
        <f t="shared" si="1729"/>
        <v>65000</v>
      </c>
      <c r="BR548" s="224">
        <f t="shared" si="1730"/>
        <v>13000000</v>
      </c>
      <c r="BS548" s="220">
        <f t="shared" si="1686"/>
        <v>53.800000000000011</v>
      </c>
      <c r="BT548" s="224">
        <f>VLOOKUP(N548,ma_dinhmuc!$A$1:$J$31,10,0)</f>
        <v>51000</v>
      </c>
      <c r="BU548" s="224">
        <f>ROUND(IF(BS548&gt;0,VLOOKUP(N548,ma_dinhmuc!$A$1:$J$31,10,0)*BS548,0),0)</f>
        <v>2743800</v>
      </c>
      <c r="BV548" s="224">
        <f t="shared" si="1731"/>
        <v>15743800</v>
      </c>
      <c r="BW548" s="224"/>
      <c r="BX548" s="224">
        <v>0</v>
      </c>
      <c r="BY548" s="224"/>
      <c r="BZ548" s="224"/>
      <c r="CA548" s="224"/>
      <c r="CB548" s="224"/>
      <c r="CC548" s="225">
        <f t="shared" si="1781"/>
        <v>15743800</v>
      </c>
      <c r="CD548" s="224">
        <f t="shared" si="1782"/>
        <v>0</v>
      </c>
      <c r="CE548" s="224"/>
      <c r="CF548" s="226"/>
      <c r="CG548" s="87"/>
      <c r="CH548" s="87">
        <f t="shared" ref="CH548:CH559" si="1788">A548</f>
        <v>1</v>
      </c>
      <c r="CI548" s="227" t="str">
        <f>F548</f>
        <v>Nguyễn Thị</v>
      </c>
      <c r="CJ548" s="227" t="str">
        <f>G548</f>
        <v>Thuỷ</v>
      </c>
      <c r="CK548" s="87">
        <f>H548</f>
        <v>11</v>
      </c>
      <c r="CL548" s="227" t="str">
        <f t="shared" si="1749"/>
        <v xml:space="preserve">Kế toán tài chính                                 </v>
      </c>
      <c r="CM548" s="87" t="str">
        <f t="shared" si="1694"/>
        <v>CS2</v>
      </c>
      <c r="CN548" s="87">
        <f t="shared" ref="CN548:CO552" si="1789">Q548</f>
        <v>270</v>
      </c>
      <c r="CO548" s="87">
        <f t="shared" si="1789"/>
        <v>120</v>
      </c>
      <c r="CP548" s="229">
        <f t="shared" si="1703"/>
        <v>0</v>
      </c>
      <c r="CQ548" s="229">
        <f t="shared" si="1704"/>
        <v>39.799999999999997</v>
      </c>
      <c r="CR548" s="229">
        <f t="shared" si="1705"/>
        <v>0</v>
      </c>
      <c r="CS548" s="229">
        <f t="shared" si="1706"/>
        <v>0</v>
      </c>
      <c r="CT548" s="229">
        <f t="shared" si="1707"/>
        <v>0</v>
      </c>
      <c r="CU548" s="229">
        <f t="shared" si="1708"/>
        <v>227.5</v>
      </c>
      <c r="CV548" s="229">
        <f t="shared" si="1709"/>
        <v>0</v>
      </c>
      <c r="CW548" s="229">
        <f t="shared" si="1710"/>
        <v>0</v>
      </c>
      <c r="CX548" s="229">
        <f t="shared" si="1711"/>
        <v>0</v>
      </c>
      <c r="CY548" s="229">
        <f t="shared" si="1712"/>
        <v>0</v>
      </c>
      <c r="CZ548" s="229">
        <f t="shared" si="1713"/>
        <v>0</v>
      </c>
      <c r="DA548" s="229">
        <f t="shared" si="1714"/>
        <v>60</v>
      </c>
      <c r="DB548" s="228">
        <f t="shared" si="1650"/>
        <v>327.3</v>
      </c>
      <c r="DC548" s="229"/>
      <c r="DD548" s="229"/>
      <c r="DE548" s="229"/>
      <c r="DF548" s="229"/>
      <c r="DG548" s="229"/>
      <c r="DH548" s="229"/>
      <c r="DI548" s="229"/>
      <c r="DJ548" s="229"/>
      <c r="DK548" s="229"/>
      <c r="DL548" s="229"/>
      <c r="DM548" s="229"/>
      <c r="DN548" s="229"/>
      <c r="DO548" s="228">
        <f t="shared" si="1651"/>
        <v>0</v>
      </c>
      <c r="DP548" s="228">
        <f t="shared" si="1652"/>
        <v>327.3</v>
      </c>
      <c r="DQ548" s="229">
        <f t="shared" si="1715"/>
        <v>216</v>
      </c>
      <c r="DR548" s="229">
        <f t="shared" si="1716"/>
        <v>0</v>
      </c>
      <c r="DS548" s="229">
        <f t="shared" si="1717"/>
        <v>0</v>
      </c>
      <c r="DT548" s="229">
        <f t="shared" si="1718"/>
        <v>0</v>
      </c>
      <c r="DU548" s="229">
        <f t="shared" si="1719"/>
        <v>0</v>
      </c>
      <c r="DV548" s="229">
        <f t="shared" si="1720"/>
        <v>268</v>
      </c>
      <c r="DW548" s="229">
        <f t="shared" si="1721"/>
        <v>10</v>
      </c>
      <c r="DX548" s="228">
        <f t="shared" si="1653"/>
        <v>494</v>
      </c>
      <c r="DY548" s="229"/>
      <c r="DZ548" s="229"/>
      <c r="EA548" s="229"/>
      <c r="EB548" s="229"/>
      <c r="EC548" s="229"/>
      <c r="ED548" s="229"/>
      <c r="EE548" s="229"/>
      <c r="EF548" s="228">
        <f t="shared" si="1696"/>
        <v>0</v>
      </c>
      <c r="EG548" s="228">
        <f t="shared" si="1654"/>
        <v>494</v>
      </c>
      <c r="EH548" s="229">
        <f t="shared" si="1697"/>
        <v>50</v>
      </c>
      <c r="EI548" s="229">
        <v>131.66999999999999</v>
      </c>
      <c r="EJ548" s="228">
        <f t="shared" si="1757"/>
        <v>181.67</v>
      </c>
      <c r="EK548" s="229"/>
      <c r="EL548" s="229"/>
      <c r="EM548" s="228">
        <f t="shared" si="1775"/>
        <v>0</v>
      </c>
      <c r="EN548" s="229">
        <f t="shared" si="1765"/>
        <v>50</v>
      </c>
      <c r="EO548" s="229">
        <f t="shared" si="1610"/>
        <v>131.66999999999999</v>
      </c>
      <c r="EP548" s="228">
        <f t="shared" ref="EP548:EP558" si="1790">EM548+EJ548</f>
        <v>181.67</v>
      </c>
      <c r="EQ548" s="173">
        <f t="shared" si="1687"/>
        <v>0</v>
      </c>
      <c r="ER548" s="189">
        <v>0</v>
      </c>
      <c r="ES548" s="189">
        <v>39.799999999999997</v>
      </c>
      <c r="ET548" s="189">
        <v>0</v>
      </c>
      <c r="EU548" s="189">
        <v>0</v>
      </c>
      <c r="EV548" s="189">
        <v>0</v>
      </c>
      <c r="EW548" s="189">
        <v>227.5</v>
      </c>
      <c r="EX548" s="189">
        <v>0</v>
      </c>
      <c r="EY548" s="189">
        <v>0</v>
      </c>
      <c r="EZ548" s="189">
        <v>0</v>
      </c>
      <c r="FA548" s="189">
        <v>0</v>
      </c>
      <c r="FB548" s="189">
        <v>0</v>
      </c>
      <c r="FC548" s="189">
        <v>60</v>
      </c>
      <c r="FD548" s="189">
        <v>216</v>
      </c>
      <c r="FE548" s="189">
        <v>0</v>
      </c>
      <c r="FF548" s="189">
        <v>0</v>
      </c>
      <c r="FG548" s="189">
        <v>0</v>
      </c>
      <c r="FH548" s="189">
        <v>268</v>
      </c>
      <c r="FI548" s="189">
        <v>0</v>
      </c>
      <c r="FJ548" s="189">
        <v>10</v>
      </c>
      <c r="FK548" s="189">
        <v>821.3</v>
      </c>
      <c r="FL548" s="189">
        <v>688</v>
      </c>
      <c r="FN548" s="132">
        <v>50</v>
      </c>
    </row>
    <row r="549" spans="1:170" ht="30" customHeight="1">
      <c r="A549" s="88">
        <f>COUNTIF($H$12:H549,H549)</f>
        <v>2</v>
      </c>
      <c r="B549" s="88" t="s">
        <v>2577</v>
      </c>
      <c r="C549" s="88" t="s">
        <v>975</v>
      </c>
      <c r="D549" s="88"/>
      <c r="E549" s="88"/>
      <c r="F549" s="301" t="s">
        <v>2978</v>
      </c>
      <c r="G549" s="89" t="s">
        <v>2898</v>
      </c>
      <c r="H549" s="88">
        <v>11</v>
      </c>
      <c r="I549" s="88">
        <v>11</v>
      </c>
      <c r="J549" s="88">
        <v>11</v>
      </c>
      <c r="K549" s="90" t="s">
        <v>1661</v>
      </c>
      <c r="L549" s="90" t="s">
        <v>1661</v>
      </c>
      <c r="M549" s="214"/>
      <c r="N549" s="88" t="s">
        <v>1804</v>
      </c>
      <c r="O549" s="216">
        <f t="shared" si="1760"/>
        <v>3.99</v>
      </c>
      <c r="P549" s="88" t="str">
        <f t="shared" si="1785"/>
        <v>B1_4</v>
      </c>
      <c r="Q549" s="88">
        <f t="shared" si="1751"/>
        <v>270</v>
      </c>
      <c r="R549" s="88">
        <f t="shared" si="1752"/>
        <v>120</v>
      </c>
      <c r="S549" s="218" t="s">
        <v>676</v>
      </c>
      <c r="T549" s="219" t="s">
        <v>3089</v>
      </c>
      <c r="U549" s="88">
        <f>IF(RIGHT(T549,1)="K",(VLOOKUP(T549,ma_miengiam!$A$3:$B$80,2,0)*100)/2,VLOOKUP(T549,ma_miengiam!$A$3:$B$80,2,0)*100)</f>
        <v>10</v>
      </c>
      <c r="V549" s="88"/>
      <c r="W549" s="220">
        <f>IF(AND(T549="NTS",V549&gt;0),(Q549-(Q549*V549)/12)*VLOOKUP(T549,ma_miengiam!$A$3:$B$80,2,0)+(Q549-(Q549*(12-V549))/12),IF(AND(RIGHT(T549,1)="K",V549&gt;0),(VLOOKUP(T549,ma_miengiam!$A$3:$B$80,2,0)/2)*(Q549*V549)/12,IF(RIGHT(T549,1)="K",(VLOOKUP(T549,ma_miengiam!$A$3:$B$80,2,0)*Q549)/2,IF(V549&gt;0,VLOOKUP(T549,ma_miengiam!$A$3:$B$80,2,0)*Q549*V549/12,VLOOKUP(T549,ma_miengiam!$A$3:$B$80,2,0)*Q549))))</f>
        <v>27</v>
      </c>
      <c r="X549" s="220">
        <f>IF(T549="NTS",VLOOKUP(T549,ma_miengiam!$A$3:$B$80,2,0)*R549*V549,IF(AND(T549="NTS",V549=0),0,IF(AND(LEFT(T549,1)="K",V549=0),VLOOKUP(T549,ma_miengiam!$A$3:$B$80,2,0)*R549,IF(LEFT(T549,1)="K",(VLOOKUP(T549,ma_miengiam!$A$3:$B$80,2,0)*R549/12)*V549,IF(AND(LEFT(T549,1)="S",V549&gt;0),(R549/12)*V549,IF(AND(LEFT(T549,1)="S",V549=0),R549,IF(T549="DH",VLOOKUP(T549,ma_miengiam!$A$3:$B$80,2,0)*R549,0)))))))</f>
        <v>0</v>
      </c>
      <c r="Y549" s="220">
        <f t="shared" si="1745"/>
        <v>243</v>
      </c>
      <c r="Z549" s="220">
        <f t="shared" si="1762"/>
        <v>120</v>
      </c>
      <c r="AA549" s="220">
        <f t="shared" si="1786"/>
        <v>270</v>
      </c>
      <c r="AB549" s="220">
        <f t="shared" si="1786"/>
        <v>120</v>
      </c>
      <c r="AC549" s="220">
        <f t="shared" ref="AC549:AF550" si="1791">W549</f>
        <v>27</v>
      </c>
      <c r="AD549" s="220">
        <f t="shared" si="1791"/>
        <v>0</v>
      </c>
      <c r="AE549" s="220">
        <f t="shared" si="1791"/>
        <v>243</v>
      </c>
      <c r="AF549" s="220">
        <f t="shared" si="1791"/>
        <v>120</v>
      </c>
      <c r="AG549" s="220">
        <f t="shared" si="1766"/>
        <v>254.31</v>
      </c>
      <c r="AH549" s="220">
        <f t="shared" si="1767"/>
        <v>62.48</v>
      </c>
      <c r="AI549" s="220">
        <f t="shared" si="1768"/>
        <v>191.83</v>
      </c>
      <c r="AJ549" s="220">
        <f t="shared" si="1780"/>
        <v>0</v>
      </c>
      <c r="AK549" s="216">
        <f t="shared" si="1639"/>
        <v>243</v>
      </c>
      <c r="AL549" s="220">
        <f t="shared" si="1640"/>
        <v>361.4</v>
      </c>
      <c r="AM549" s="220">
        <f t="shared" si="1641"/>
        <v>114.9</v>
      </c>
      <c r="AN549" s="221">
        <f t="shared" si="1642"/>
        <v>476.29999999999995</v>
      </c>
      <c r="AO549" s="220">
        <f t="shared" si="1643"/>
        <v>0</v>
      </c>
      <c r="AP549" s="220">
        <f t="shared" si="1644"/>
        <v>0</v>
      </c>
      <c r="AQ549" s="220">
        <f t="shared" si="1645"/>
        <v>60</v>
      </c>
      <c r="AR549" s="220">
        <f t="shared" si="1646"/>
        <v>80</v>
      </c>
      <c r="AS549" s="220">
        <f t="shared" si="1647"/>
        <v>0</v>
      </c>
      <c r="AT549" s="216">
        <f t="shared" si="1648"/>
        <v>616.29999999999995</v>
      </c>
      <c r="AU549" s="222">
        <f t="shared" ref="AU549:AU596" si="1792">AN549-AK549</f>
        <v>233.29999999999995</v>
      </c>
      <c r="AV549" s="220"/>
      <c r="AW549" s="220">
        <f t="shared" si="1688"/>
        <v>233.29999999999995</v>
      </c>
      <c r="AX549" s="216">
        <f t="shared" si="1636"/>
        <v>0</v>
      </c>
      <c r="AY549" s="220">
        <f t="shared" si="1698"/>
        <v>0</v>
      </c>
      <c r="AZ549" s="220">
        <f t="shared" si="1699"/>
        <v>0</v>
      </c>
      <c r="BA549" s="220">
        <f t="shared" si="1700"/>
        <v>60</v>
      </c>
      <c r="BB549" s="220">
        <f t="shared" si="1701"/>
        <v>80</v>
      </c>
      <c r="BC549" s="220">
        <f t="shared" si="1702"/>
        <v>0</v>
      </c>
      <c r="BD549" s="216">
        <f t="shared" si="1778"/>
        <v>140</v>
      </c>
      <c r="BE549" s="220">
        <f t="shared" si="1689"/>
        <v>0</v>
      </c>
      <c r="BF549" s="220">
        <f t="shared" si="1690"/>
        <v>0</v>
      </c>
      <c r="BG549" s="220">
        <f t="shared" si="1691"/>
        <v>0</v>
      </c>
      <c r="BH549" s="220">
        <f t="shared" si="1692"/>
        <v>0</v>
      </c>
      <c r="BI549" s="220">
        <f t="shared" si="1693"/>
        <v>0</v>
      </c>
      <c r="BJ549" s="220" t="s">
        <v>396</v>
      </c>
      <c r="BK549" s="220"/>
      <c r="BL549" s="223">
        <f t="shared" si="1784"/>
        <v>233.29999999999995</v>
      </c>
      <c r="BM549" s="220">
        <v>3.99</v>
      </c>
      <c r="BN549" s="220"/>
      <c r="BO549" s="220">
        <f t="shared" si="1787"/>
        <v>3.99</v>
      </c>
      <c r="BP549" s="220">
        <f>IF(AND(BL549&gt;0,BL549&lt;tiet!$D$1),BL549,IF(BL549&lt;=0,0,IF(BL549&gt;tiet!$C$1,tiet!$C$1)))</f>
        <v>200</v>
      </c>
      <c r="BQ549" s="87">
        <f t="shared" si="1729"/>
        <v>65000</v>
      </c>
      <c r="BR549" s="224">
        <f t="shared" si="1730"/>
        <v>13000000</v>
      </c>
      <c r="BS549" s="220">
        <f t="shared" si="1686"/>
        <v>33.299999999999955</v>
      </c>
      <c r="BT549" s="224">
        <f>VLOOKUP(N549,ma_dinhmuc!$A$1:$J$31,10,0)</f>
        <v>51000</v>
      </c>
      <c r="BU549" s="224">
        <f>ROUND(IF(BS549&gt;0,VLOOKUP(N549,ma_dinhmuc!$A$1:$J$31,10,0)*BS549,0),0)</f>
        <v>1698300</v>
      </c>
      <c r="BV549" s="224">
        <f t="shared" si="1731"/>
        <v>14698300</v>
      </c>
      <c r="BW549" s="224"/>
      <c r="BX549" s="224">
        <v>0</v>
      </c>
      <c r="BY549" s="224"/>
      <c r="BZ549" s="224"/>
      <c r="CA549" s="224"/>
      <c r="CB549" s="224"/>
      <c r="CC549" s="225">
        <f t="shared" si="1781"/>
        <v>14698300</v>
      </c>
      <c r="CD549" s="224">
        <f t="shared" si="1782"/>
        <v>0</v>
      </c>
      <c r="CE549" s="224"/>
      <c r="CF549" s="226"/>
      <c r="CG549" s="87"/>
      <c r="CH549" s="87">
        <f t="shared" si="1788"/>
        <v>2</v>
      </c>
      <c r="CI549" s="227" t="str">
        <f t="shared" si="1746"/>
        <v>Phí Thị Diễm</v>
      </c>
      <c r="CJ549" s="227" t="str">
        <f t="shared" si="1747"/>
        <v>Hồng</v>
      </c>
      <c r="CK549" s="87">
        <f t="shared" si="1748"/>
        <v>11</v>
      </c>
      <c r="CL549" s="227" t="str">
        <f t="shared" si="1749"/>
        <v xml:space="preserve">Kế toán tài chính                                 </v>
      </c>
      <c r="CM549" s="87" t="str">
        <f t="shared" si="1694"/>
        <v>CS2</v>
      </c>
      <c r="CN549" s="87">
        <f t="shared" si="1789"/>
        <v>270</v>
      </c>
      <c r="CO549" s="87">
        <f t="shared" si="1789"/>
        <v>120</v>
      </c>
      <c r="CP549" s="229">
        <f t="shared" si="1703"/>
        <v>0</v>
      </c>
      <c r="CQ549" s="229">
        <f t="shared" si="1704"/>
        <v>18.7</v>
      </c>
      <c r="CR549" s="229">
        <f t="shared" si="1705"/>
        <v>12.7</v>
      </c>
      <c r="CS549" s="229">
        <f t="shared" si="1706"/>
        <v>0</v>
      </c>
      <c r="CT549" s="229">
        <f t="shared" si="1707"/>
        <v>0</v>
      </c>
      <c r="CU549" s="229">
        <f t="shared" si="1708"/>
        <v>330</v>
      </c>
      <c r="CV549" s="229">
        <f t="shared" si="1709"/>
        <v>0</v>
      </c>
      <c r="CW549" s="229">
        <f t="shared" si="1710"/>
        <v>0</v>
      </c>
      <c r="CX549" s="229">
        <f t="shared" si="1711"/>
        <v>0</v>
      </c>
      <c r="CY549" s="229">
        <f t="shared" si="1712"/>
        <v>0</v>
      </c>
      <c r="CZ549" s="229">
        <f t="shared" si="1713"/>
        <v>0</v>
      </c>
      <c r="DA549" s="229">
        <f t="shared" si="1714"/>
        <v>60</v>
      </c>
      <c r="DB549" s="228">
        <f t="shared" si="1650"/>
        <v>421.4</v>
      </c>
      <c r="DC549" s="229"/>
      <c r="DD549" s="229"/>
      <c r="DE549" s="229"/>
      <c r="DF549" s="229"/>
      <c r="DG549" s="229"/>
      <c r="DH549" s="229"/>
      <c r="DI549" s="229"/>
      <c r="DJ549" s="229"/>
      <c r="DK549" s="229"/>
      <c r="DL549" s="229"/>
      <c r="DM549" s="229"/>
      <c r="DN549" s="229"/>
      <c r="DO549" s="228">
        <f t="shared" si="1651"/>
        <v>0</v>
      </c>
      <c r="DP549" s="228">
        <f t="shared" si="1652"/>
        <v>421.4</v>
      </c>
      <c r="DQ549" s="229">
        <f t="shared" si="1715"/>
        <v>108</v>
      </c>
      <c r="DR549" s="229">
        <f t="shared" si="1716"/>
        <v>4.9000000000000004</v>
      </c>
      <c r="DS549" s="229">
        <f t="shared" si="1717"/>
        <v>0</v>
      </c>
      <c r="DT549" s="229">
        <f t="shared" si="1718"/>
        <v>2</v>
      </c>
      <c r="DU549" s="229">
        <f t="shared" si="1719"/>
        <v>0</v>
      </c>
      <c r="DV549" s="229">
        <f t="shared" si="1720"/>
        <v>80</v>
      </c>
      <c r="DW549" s="229">
        <f t="shared" si="1721"/>
        <v>0</v>
      </c>
      <c r="DX549" s="228">
        <f t="shared" si="1653"/>
        <v>194.9</v>
      </c>
      <c r="DY549" s="229"/>
      <c r="DZ549" s="229"/>
      <c r="EA549" s="229"/>
      <c r="EB549" s="229"/>
      <c r="EC549" s="229"/>
      <c r="ED549" s="229"/>
      <c r="EE549" s="229"/>
      <c r="EF549" s="228">
        <f t="shared" si="1696"/>
        <v>0</v>
      </c>
      <c r="EG549" s="228">
        <f t="shared" si="1654"/>
        <v>194.9</v>
      </c>
      <c r="EH549" s="229">
        <f t="shared" si="1697"/>
        <v>191.83</v>
      </c>
      <c r="EI549" s="229">
        <v>62.48</v>
      </c>
      <c r="EJ549" s="228">
        <f t="shared" si="1757"/>
        <v>254.31</v>
      </c>
      <c r="EK549" s="229"/>
      <c r="EL549" s="229"/>
      <c r="EM549" s="228">
        <f t="shared" si="1775"/>
        <v>0</v>
      </c>
      <c r="EN549" s="229">
        <f t="shared" si="1765"/>
        <v>191.83</v>
      </c>
      <c r="EO549" s="229">
        <f t="shared" ref="EO549:EO596" si="1793">EI549</f>
        <v>62.48</v>
      </c>
      <c r="EP549" s="228">
        <f t="shared" si="1790"/>
        <v>254.31</v>
      </c>
      <c r="EQ549" s="173">
        <f t="shared" si="1687"/>
        <v>71.830000000000013</v>
      </c>
      <c r="ER549" s="189">
        <v>0</v>
      </c>
      <c r="ES549" s="189">
        <v>18.7</v>
      </c>
      <c r="ET549" s="189">
        <v>12.7</v>
      </c>
      <c r="EU549" s="189">
        <v>0</v>
      </c>
      <c r="EV549" s="189">
        <v>0</v>
      </c>
      <c r="EW549" s="189">
        <v>330</v>
      </c>
      <c r="EX549" s="189">
        <v>0</v>
      </c>
      <c r="EY549" s="189">
        <v>0</v>
      </c>
      <c r="EZ549" s="189">
        <v>0</v>
      </c>
      <c r="FA549" s="189">
        <v>0</v>
      </c>
      <c r="FB549" s="189">
        <v>0</v>
      </c>
      <c r="FC549" s="189">
        <v>60</v>
      </c>
      <c r="FD549" s="189">
        <v>108</v>
      </c>
      <c r="FE549" s="189">
        <v>4.9000000000000004</v>
      </c>
      <c r="FF549" s="189">
        <v>0</v>
      </c>
      <c r="FG549" s="189">
        <v>2</v>
      </c>
      <c r="FH549" s="189">
        <v>80</v>
      </c>
      <c r="FI549" s="189">
        <v>0</v>
      </c>
      <c r="FJ549" s="189">
        <v>0</v>
      </c>
      <c r="FK549" s="189">
        <v>616.29999999999995</v>
      </c>
      <c r="FL549" s="189">
        <v>456</v>
      </c>
      <c r="FN549" s="132">
        <v>191.83</v>
      </c>
    </row>
    <row r="550" spans="1:170" ht="30" customHeight="1">
      <c r="A550" s="88">
        <f>COUNTIF($H$12:H550,H550)</f>
        <v>3</v>
      </c>
      <c r="B550" s="88" t="s">
        <v>2578</v>
      </c>
      <c r="C550" s="88" t="s">
        <v>976</v>
      </c>
      <c r="D550" s="88"/>
      <c r="E550" s="88"/>
      <c r="F550" s="301" t="s">
        <v>2640</v>
      </c>
      <c r="G550" s="89" t="s">
        <v>917</v>
      </c>
      <c r="H550" s="88">
        <v>11</v>
      </c>
      <c r="I550" s="88">
        <v>11</v>
      </c>
      <c r="J550" s="88">
        <v>11</v>
      </c>
      <c r="K550" s="90" t="s">
        <v>1661</v>
      </c>
      <c r="L550" s="90" t="s">
        <v>1661</v>
      </c>
      <c r="M550" s="214"/>
      <c r="N550" s="88" t="s">
        <v>1804</v>
      </c>
      <c r="O550" s="216">
        <f t="shared" si="1760"/>
        <v>3.33</v>
      </c>
      <c r="P550" s="88" t="str">
        <f t="shared" si="1785"/>
        <v>B1_4</v>
      </c>
      <c r="Q550" s="88">
        <f t="shared" si="1751"/>
        <v>270</v>
      </c>
      <c r="R550" s="88">
        <f t="shared" si="1752"/>
        <v>120</v>
      </c>
      <c r="S550" s="233" t="s">
        <v>1720</v>
      </c>
      <c r="T550" s="88" t="s">
        <v>3091</v>
      </c>
      <c r="U550" s="88">
        <f>IF(RIGHT(T550,1)="K",(VLOOKUP(T550,ma_miengiam!$A$3:$B$80,2,0)*100)/2,VLOOKUP(T550,ma_miengiam!$A$3:$B$80,2,0)*100)</f>
        <v>20</v>
      </c>
      <c r="V550" s="88"/>
      <c r="W550" s="220">
        <f>IF(AND(T550="NTS",V550&gt;0),(Q550-(Q550*V550)/12)*VLOOKUP(T550,ma_miengiam!$A$3:$B$80,2,0)+(Q550-(Q550*(12-V550))/12),IF(AND(RIGHT(T550,1)="K",V550&gt;0),(VLOOKUP(T550,ma_miengiam!$A$3:$B$80,2,0)/2)*(Q550*V550)/12,IF(RIGHT(T550,1)="K",(VLOOKUP(T550,ma_miengiam!$A$3:$B$80,2,0)*Q550)/2,IF(V550&gt;0,VLOOKUP(T550,ma_miengiam!$A$3:$B$80,2,0)*Q550*V550/12,VLOOKUP(T550,ma_miengiam!$A$3:$B$80,2,0)*Q550))))</f>
        <v>54</v>
      </c>
      <c r="X550" s="220">
        <f>IF(T550="NTS",VLOOKUP(T550,ma_miengiam!$A$3:$B$80,2,0)*R550*V550,IF(AND(T550="NTS",V550=0),0,IF(AND(LEFT(T550,1)="K",V550=0),VLOOKUP(T550,ma_miengiam!$A$3:$B$80,2,0)*R550,IF(LEFT(T550,1)="K",(VLOOKUP(T550,ma_miengiam!$A$3:$B$80,2,0)*R550/12)*V550,IF(AND(LEFT(T550,1)="S",V550&gt;0),(R550/12)*V550,IF(AND(LEFT(T550,1)="S",V550=0),R550,IF(T550="DH",VLOOKUP(T550,ma_miengiam!$A$3:$B$80,2,0)*R550,0)))))))</f>
        <v>0</v>
      </c>
      <c r="Y550" s="220">
        <f t="shared" si="1745"/>
        <v>216</v>
      </c>
      <c r="Z550" s="220">
        <f t="shared" si="1762"/>
        <v>120</v>
      </c>
      <c r="AA550" s="220">
        <f t="shared" si="1786"/>
        <v>270</v>
      </c>
      <c r="AB550" s="220">
        <f t="shared" si="1786"/>
        <v>120</v>
      </c>
      <c r="AC550" s="220">
        <f t="shared" si="1791"/>
        <v>54</v>
      </c>
      <c r="AD550" s="220">
        <f t="shared" si="1791"/>
        <v>0</v>
      </c>
      <c r="AE550" s="220">
        <f t="shared" si="1791"/>
        <v>216</v>
      </c>
      <c r="AF550" s="220">
        <f t="shared" si="1791"/>
        <v>120</v>
      </c>
      <c r="AG550" s="220">
        <f t="shared" si="1766"/>
        <v>45.83</v>
      </c>
      <c r="AH550" s="220">
        <f t="shared" si="1767"/>
        <v>20.83</v>
      </c>
      <c r="AI550" s="220">
        <f t="shared" si="1768"/>
        <v>25</v>
      </c>
      <c r="AJ550" s="220">
        <f t="shared" si="1780"/>
        <v>-74.17</v>
      </c>
      <c r="AK550" s="216">
        <f t="shared" si="1639"/>
        <v>290.17</v>
      </c>
      <c r="AL550" s="220">
        <f t="shared" si="1640"/>
        <v>488.79999999999995</v>
      </c>
      <c r="AM550" s="220">
        <f t="shared" si="1641"/>
        <v>0</v>
      </c>
      <c r="AN550" s="221">
        <f t="shared" si="1642"/>
        <v>488.79999999999995</v>
      </c>
      <c r="AO550" s="220">
        <f t="shared" si="1643"/>
        <v>0</v>
      </c>
      <c r="AP550" s="220">
        <f t="shared" si="1644"/>
        <v>0</v>
      </c>
      <c r="AQ550" s="220">
        <f t="shared" si="1645"/>
        <v>40</v>
      </c>
      <c r="AR550" s="220">
        <f t="shared" si="1646"/>
        <v>0</v>
      </c>
      <c r="AS550" s="220">
        <f t="shared" si="1647"/>
        <v>0</v>
      </c>
      <c r="AT550" s="216">
        <f t="shared" si="1648"/>
        <v>528.79999999999995</v>
      </c>
      <c r="AU550" s="222">
        <f t="shared" si="1792"/>
        <v>198.62999999999994</v>
      </c>
      <c r="AV550" s="220"/>
      <c r="AW550" s="220">
        <f t="shared" si="1688"/>
        <v>198.62999999999994</v>
      </c>
      <c r="AX550" s="216">
        <f t="shared" si="1636"/>
        <v>0</v>
      </c>
      <c r="AY550" s="220">
        <f t="shared" si="1698"/>
        <v>0</v>
      </c>
      <c r="AZ550" s="220">
        <f t="shared" si="1699"/>
        <v>0</v>
      </c>
      <c r="BA550" s="220">
        <f t="shared" si="1700"/>
        <v>40</v>
      </c>
      <c r="BB550" s="220">
        <f t="shared" si="1701"/>
        <v>0</v>
      </c>
      <c r="BC550" s="220">
        <f t="shared" si="1702"/>
        <v>0</v>
      </c>
      <c r="BD550" s="216">
        <f t="shared" si="1778"/>
        <v>40</v>
      </c>
      <c r="BE550" s="220">
        <f t="shared" si="1689"/>
        <v>0</v>
      </c>
      <c r="BF550" s="220">
        <f t="shared" si="1690"/>
        <v>0</v>
      </c>
      <c r="BG550" s="220">
        <f t="shared" si="1691"/>
        <v>0</v>
      </c>
      <c r="BH550" s="220">
        <f t="shared" si="1692"/>
        <v>0</v>
      </c>
      <c r="BI550" s="220">
        <f t="shared" si="1693"/>
        <v>0</v>
      </c>
      <c r="BJ550" s="220" t="s">
        <v>396</v>
      </c>
      <c r="BK550" s="220"/>
      <c r="BL550" s="223">
        <f t="shared" si="1784"/>
        <v>198.62999999999994</v>
      </c>
      <c r="BM550" s="220">
        <v>3.33</v>
      </c>
      <c r="BN550" s="220"/>
      <c r="BO550" s="220">
        <f t="shared" si="1787"/>
        <v>3.33</v>
      </c>
      <c r="BP550" s="220">
        <f>IF(AND(BL550&gt;0,BL550&lt;tiet!$D$1),BL550,IF(BL550&lt;=0,0,IF(BL550&gt;tiet!$C$1,tiet!$C$1)))</f>
        <v>198.62999999999994</v>
      </c>
      <c r="BQ550" s="87">
        <f t="shared" si="1729"/>
        <v>65000</v>
      </c>
      <c r="BR550" s="224">
        <f t="shared" si="1730"/>
        <v>12910950</v>
      </c>
      <c r="BS550" s="220">
        <f t="shared" si="1686"/>
        <v>0</v>
      </c>
      <c r="BT550" s="224">
        <f>VLOOKUP(N550,ma_dinhmuc!$A$1:$J$31,10,0)</f>
        <v>51000</v>
      </c>
      <c r="BU550" s="224">
        <f>ROUND(IF(BS550&gt;0,VLOOKUP(N550,ma_dinhmuc!$A$1:$J$31,10,0)*BS550,0),0)</f>
        <v>0</v>
      </c>
      <c r="BV550" s="224">
        <f t="shared" si="1731"/>
        <v>12910950</v>
      </c>
      <c r="BW550" s="224"/>
      <c r="BX550" s="224">
        <v>0</v>
      </c>
      <c r="BY550" s="224"/>
      <c r="BZ550" s="224"/>
      <c r="CA550" s="224"/>
      <c r="CB550" s="224"/>
      <c r="CC550" s="225">
        <f t="shared" si="1781"/>
        <v>12910950</v>
      </c>
      <c r="CD550" s="224">
        <f t="shared" si="1782"/>
        <v>0</v>
      </c>
      <c r="CE550" s="224"/>
      <c r="CF550" s="226"/>
      <c r="CG550" s="87"/>
      <c r="CH550" s="87">
        <f t="shared" si="1788"/>
        <v>3</v>
      </c>
      <c r="CI550" s="227" t="str">
        <f t="shared" si="1746"/>
        <v>Trần Nguyễn Thị</v>
      </c>
      <c r="CJ550" s="227" t="str">
        <f t="shared" si="1747"/>
        <v>Yến</v>
      </c>
      <c r="CK550" s="87">
        <f t="shared" si="1748"/>
        <v>11</v>
      </c>
      <c r="CL550" s="227" t="str">
        <f t="shared" si="1749"/>
        <v xml:space="preserve">Kế toán tài chính                                 </v>
      </c>
      <c r="CM550" s="87" t="str">
        <f t="shared" si="1694"/>
        <v>CS2</v>
      </c>
      <c r="CN550" s="87">
        <f t="shared" si="1789"/>
        <v>270</v>
      </c>
      <c r="CO550" s="87">
        <f t="shared" si="1789"/>
        <v>120</v>
      </c>
      <c r="CP550" s="229">
        <f t="shared" si="1703"/>
        <v>0</v>
      </c>
      <c r="CQ550" s="229">
        <f t="shared" si="1704"/>
        <v>65.5</v>
      </c>
      <c r="CR550" s="229">
        <f t="shared" si="1705"/>
        <v>26.2</v>
      </c>
      <c r="CS550" s="229">
        <f t="shared" si="1706"/>
        <v>76.7</v>
      </c>
      <c r="CT550" s="229">
        <f t="shared" si="1707"/>
        <v>0</v>
      </c>
      <c r="CU550" s="229">
        <f t="shared" si="1708"/>
        <v>320.39999999999998</v>
      </c>
      <c r="CV550" s="229">
        <f t="shared" si="1709"/>
        <v>0</v>
      </c>
      <c r="CW550" s="229">
        <f t="shared" si="1710"/>
        <v>0</v>
      </c>
      <c r="CX550" s="229">
        <f t="shared" si="1711"/>
        <v>0</v>
      </c>
      <c r="CY550" s="229">
        <f t="shared" si="1712"/>
        <v>0</v>
      </c>
      <c r="CZ550" s="229">
        <f t="shared" si="1713"/>
        <v>0</v>
      </c>
      <c r="DA550" s="229">
        <f t="shared" si="1714"/>
        <v>40</v>
      </c>
      <c r="DB550" s="228">
        <f t="shared" si="1650"/>
        <v>528.79999999999995</v>
      </c>
      <c r="DC550" s="229"/>
      <c r="DD550" s="229"/>
      <c r="DE550" s="229"/>
      <c r="DF550" s="229"/>
      <c r="DG550" s="229"/>
      <c r="DH550" s="229"/>
      <c r="DI550" s="229"/>
      <c r="DJ550" s="229"/>
      <c r="DK550" s="229"/>
      <c r="DL550" s="229"/>
      <c r="DM550" s="229"/>
      <c r="DN550" s="229"/>
      <c r="DO550" s="228">
        <f t="shared" si="1651"/>
        <v>0</v>
      </c>
      <c r="DP550" s="228">
        <f t="shared" si="1652"/>
        <v>528.79999999999995</v>
      </c>
      <c r="DQ550" s="229">
        <f t="shared" si="1715"/>
        <v>0</v>
      </c>
      <c r="DR550" s="229">
        <f t="shared" si="1716"/>
        <v>0</v>
      </c>
      <c r="DS550" s="229">
        <f t="shared" si="1717"/>
        <v>0</v>
      </c>
      <c r="DT550" s="229">
        <f t="shared" si="1718"/>
        <v>0</v>
      </c>
      <c r="DU550" s="229">
        <f t="shared" si="1719"/>
        <v>0</v>
      </c>
      <c r="DV550" s="229">
        <f t="shared" si="1720"/>
        <v>0</v>
      </c>
      <c r="DW550" s="229">
        <f t="shared" si="1721"/>
        <v>0</v>
      </c>
      <c r="DX550" s="228">
        <f t="shared" si="1653"/>
        <v>0</v>
      </c>
      <c r="DY550" s="229"/>
      <c r="DZ550" s="229"/>
      <c r="EA550" s="229"/>
      <c r="EB550" s="229"/>
      <c r="EC550" s="229"/>
      <c r="ED550" s="229"/>
      <c r="EE550" s="229"/>
      <c r="EF550" s="228">
        <f t="shared" si="1696"/>
        <v>0</v>
      </c>
      <c r="EG550" s="228">
        <f t="shared" si="1654"/>
        <v>0</v>
      </c>
      <c r="EH550" s="229">
        <f t="shared" si="1697"/>
        <v>25</v>
      </c>
      <c r="EI550" s="229">
        <v>20.83</v>
      </c>
      <c r="EJ550" s="228">
        <f t="shared" si="1757"/>
        <v>45.83</v>
      </c>
      <c r="EK550" s="229"/>
      <c r="EL550" s="229"/>
      <c r="EM550" s="228">
        <f t="shared" si="1775"/>
        <v>0</v>
      </c>
      <c r="EN550" s="229">
        <f t="shared" si="1765"/>
        <v>25</v>
      </c>
      <c r="EO550" s="229">
        <f t="shared" si="1793"/>
        <v>20.83</v>
      </c>
      <c r="EP550" s="228">
        <f t="shared" si="1790"/>
        <v>45.83</v>
      </c>
      <c r="EQ550" s="173">
        <f t="shared" si="1687"/>
        <v>0</v>
      </c>
      <c r="ER550" s="189">
        <v>0</v>
      </c>
      <c r="ES550" s="189">
        <v>65.5</v>
      </c>
      <c r="ET550" s="189">
        <v>26.2</v>
      </c>
      <c r="EU550" s="189">
        <v>76.7</v>
      </c>
      <c r="EV550" s="189">
        <v>0</v>
      </c>
      <c r="EW550" s="189">
        <v>320.39999999999998</v>
      </c>
      <c r="EX550" s="189">
        <v>0</v>
      </c>
      <c r="EY550" s="189">
        <v>0</v>
      </c>
      <c r="EZ550" s="189">
        <v>0</v>
      </c>
      <c r="FA550" s="189">
        <v>0</v>
      </c>
      <c r="FB550" s="189">
        <v>0</v>
      </c>
      <c r="FC550" s="189">
        <v>40</v>
      </c>
      <c r="FD550" s="189">
        <v>0</v>
      </c>
      <c r="FE550" s="189">
        <v>0</v>
      </c>
      <c r="FF550" s="189">
        <v>0</v>
      </c>
      <c r="FG550" s="189">
        <v>0</v>
      </c>
      <c r="FH550" s="189">
        <v>0</v>
      </c>
      <c r="FI550" s="189">
        <v>0</v>
      </c>
      <c r="FJ550" s="189">
        <v>0</v>
      </c>
      <c r="FK550" s="189">
        <v>528.79999999999995</v>
      </c>
      <c r="FL550" s="189">
        <v>383.7</v>
      </c>
      <c r="FN550" s="132">
        <v>25</v>
      </c>
    </row>
    <row r="551" spans="1:170" ht="30" customHeight="1">
      <c r="A551" s="88">
        <f>COUNTIF($H$12:H551,H551)</f>
        <v>4</v>
      </c>
      <c r="B551" s="88" t="s">
        <v>2579</v>
      </c>
      <c r="C551" s="88" t="s">
        <v>977</v>
      </c>
      <c r="D551" s="88"/>
      <c r="E551" s="88"/>
      <c r="F551" s="301" t="s">
        <v>3077</v>
      </c>
      <c r="G551" s="89" t="s">
        <v>178</v>
      </c>
      <c r="H551" s="88">
        <v>11</v>
      </c>
      <c r="I551" s="88">
        <v>11</v>
      </c>
      <c r="J551" s="88">
        <v>11</v>
      </c>
      <c r="K551" s="90" t="s">
        <v>1661</v>
      </c>
      <c r="L551" s="90" t="s">
        <v>1661</v>
      </c>
      <c r="M551" s="214"/>
      <c r="N551" s="88" t="s">
        <v>606</v>
      </c>
      <c r="O551" s="216">
        <f t="shared" si="1760"/>
        <v>4.74</v>
      </c>
      <c r="P551" s="88" t="str">
        <f t="shared" si="1785"/>
        <v>B1_5</v>
      </c>
      <c r="Q551" s="88">
        <f t="shared" si="1751"/>
        <v>270</v>
      </c>
      <c r="R551" s="88">
        <f t="shared" si="1752"/>
        <v>150</v>
      </c>
      <c r="S551" s="230" t="s">
        <v>2031</v>
      </c>
      <c r="T551" s="88" t="s">
        <v>3091</v>
      </c>
      <c r="U551" s="88">
        <f>IF(RIGHT(T551,1)="K",(VLOOKUP(T551,ma_miengiam!$A$3:$B$80,2,0)*100)/2,VLOOKUP(T551,ma_miengiam!$A$3:$B$80,2,0)*100)</f>
        <v>20</v>
      </c>
      <c r="V551" s="88"/>
      <c r="W551" s="220">
        <f>IF(AND(T551="NTS",V551&gt;0),(Q551-(Q551*V551)/12)*VLOOKUP(T551,ma_miengiam!$A$3:$B$80,2,0)+(Q551-(Q551*(12-V551))/12),IF(AND(RIGHT(T551,1)="K",V551&gt;0),(VLOOKUP(T551,ma_miengiam!$A$3:$B$80,2,0)/2)*(Q551*V551)/12,IF(RIGHT(T551,1)="K",(VLOOKUP(T551,ma_miengiam!$A$3:$B$80,2,0)*Q551)/2,IF(V551&gt;0,VLOOKUP(T551,ma_miengiam!$A$3:$B$80,2,0)*Q551*V551/12,VLOOKUP(T551,ma_miengiam!$A$3:$B$80,2,0)*Q551))))</f>
        <v>54</v>
      </c>
      <c r="X551" s="220">
        <f>IF(T551="NTS",VLOOKUP(T551,ma_miengiam!$A$3:$B$80,2,0)*R551*V551,IF(AND(T551="NTS",V551=0),0,IF(AND(LEFT(T551,1)="K",V551=0),VLOOKUP(T551,ma_miengiam!$A$3:$B$80,2,0)*R551,IF(LEFT(T551,1)="K",(VLOOKUP(T551,ma_miengiam!$A$3:$B$80,2,0)*R551/12)*V551,IF(AND(LEFT(T551,1)="S",V551&gt;0),(R551/12)*V551,IF(AND(LEFT(T551,1)="S",V551=0),R551,IF(T551="DH",VLOOKUP(T551,ma_miengiam!$A$3:$B$80,2,0)*R551,0)))))))</f>
        <v>0</v>
      </c>
      <c r="Y551" s="220">
        <f t="shared" si="1745"/>
        <v>216</v>
      </c>
      <c r="Z551" s="220">
        <f>IF(AND(T551="SĐH",V551&gt;0),(R551/12)*V551-X551,IF(AND(T551="DH",V551&gt;0),(R551*V551/12),IF(AND(T551&lt;&gt;"NTS",V551&gt;0),(R551*V551/12)-X551,IF(AND(T551="NTS",V551&gt;0),R551-X551,R551-X551))))</f>
        <v>150</v>
      </c>
      <c r="AA551" s="220">
        <f t="shared" ref="AA551:AB554" si="1794">Q551</f>
        <v>270</v>
      </c>
      <c r="AB551" s="220">
        <f t="shared" si="1794"/>
        <v>150</v>
      </c>
      <c r="AC551" s="220">
        <f t="shared" ref="AC551:AF552" si="1795">W551</f>
        <v>54</v>
      </c>
      <c r="AD551" s="220">
        <f t="shared" si="1795"/>
        <v>0</v>
      </c>
      <c r="AE551" s="220">
        <f t="shared" si="1795"/>
        <v>216</v>
      </c>
      <c r="AF551" s="220">
        <f t="shared" si="1795"/>
        <v>150</v>
      </c>
      <c r="AG551" s="220">
        <f t="shared" ref="AG551:AG557" si="1796">AH551+AI551</f>
        <v>256.29000000000002</v>
      </c>
      <c r="AH551" s="220">
        <f t="shared" ref="AH551:AH557" si="1797">EO551</f>
        <v>202.96</v>
      </c>
      <c r="AI551" s="220">
        <f t="shared" ref="AI551:AI557" si="1798">EN551</f>
        <v>53.33</v>
      </c>
      <c r="AJ551" s="220">
        <f t="shared" si="1780"/>
        <v>0</v>
      </c>
      <c r="AK551" s="216">
        <f t="shared" si="1639"/>
        <v>216</v>
      </c>
      <c r="AL551" s="220">
        <f t="shared" si="1640"/>
        <v>142.19999999999999</v>
      </c>
      <c r="AM551" s="220">
        <f t="shared" si="1641"/>
        <v>227.9</v>
      </c>
      <c r="AN551" s="221">
        <f t="shared" si="1642"/>
        <v>370.1</v>
      </c>
      <c r="AO551" s="220">
        <f t="shared" si="1643"/>
        <v>0</v>
      </c>
      <c r="AP551" s="220">
        <f t="shared" si="1644"/>
        <v>0</v>
      </c>
      <c r="AQ551" s="220">
        <f t="shared" si="1645"/>
        <v>80</v>
      </c>
      <c r="AR551" s="220">
        <f t="shared" si="1646"/>
        <v>320</v>
      </c>
      <c r="AS551" s="220">
        <f t="shared" si="1647"/>
        <v>0</v>
      </c>
      <c r="AT551" s="216">
        <f t="shared" si="1648"/>
        <v>770.1</v>
      </c>
      <c r="AU551" s="222">
        <f t="shared" si="1792"/>
        <v>154.10000000000002</v>
      </c>
      <c r="AV551" s="220"/>
      <c r="AW551" s="220">
        <f t="shared" si="1688"/>
        <v>154.10000000000002</v>
      </c>
      <c r="AX551" s="216">
        <f t="shared" si="1636"/>
        <v>0</v>
      </c>
      <c r="AY551" s="220">
        <f t="shared" si="1698"/>
        <v>0</v>
      </c>
      <c r="AZ551" s="220">
        <f t="shared" si="1699"/>
        <v>0</v>
      </c>
      <c r="BA551" s="220">
        <f t="shared" si="1700"/>
        <v>80</v>
      </c>
      <c r="BB551" s="220">
        <f t="shared" si="1701"/>
        <v>320</v>
      </c>
      <c r="BC551" s="220">
        <f t="shared" si="1702"/>
        <v>0</v>
      </c>
      <c r="BD551" s="216">
        <f t="shared" si="1778"/>
        <v>400</v>
      </c>
      <c r="BE551" s="220">
        <f t="shared" si="1689"/>
        <v>0</v>
      </c>
      <c r="BF551" s="220">
        <f t="shared" si="1690"/>
        <v>0</v>
      </c>
      <c r="BG551" s="220">
        <f t="shared" si="1691"/>
        <v>0</v>
      </c>
      <c r="BH551" s="220">
        <f t="shared" si="1692"/>
        <v>0</v>
      </c>
      <c r="BI551" s="220">
        <f t="shared" si="1693"/>
        <v>0</v>
      </c>
      <c r="BJ551" s="220" t="s">
        <v>396</v>
      </c>
      <c r="BK551" s="220"/>
      <c r="BL551" s="223">
        <f t="shared" si="1784"/>
        <v>154.10000000000002</v>
      </c>
      <c r="BM551" s="220">
        <v>4.74</v>
      </c>
      <c r="BN551" s="220"/>
      <c r="BO551" s="220">
        <f t="shared" si="1787"/>
        <v>4.74</v>
      </c>
      <c r="BP551" s="220">
        <f>IF(AND(BL551&gt;0,BL551&lt;tiet!$D$1),BL551,IF(BL551&lt;=0,0,IF(BL551&gt;tiet!$C$1,tiet!$C$1)))</f>
        <v>154.10000000000002</v>
      </c>
      <c r="BQ551" s="87">
        <f t="shared" ref="BQ551:BQ574" si="1799">VLOOKUP(P551,ma_dinhmuc_moi,4,0)</f>
        <v>70000</v>
      </c>
      <c r="BR551" s="224">
        <f t="shared" ref="BR551:BR574" si="1800">ROUND(BQ551*BP551,0)</f>
        <v>10787000</v>
      </c>
      <c r="BS551" s="220">
        <f t="shared" si="1686"/>
        <v>0</v>
      </c>
      <c r="BT551" s="224">
        <f>VLOOKUP(N551,ma_dinhmuc!$A$1:$J$31,10,0)</f>
        <v>55000</v>
      </c>
      <c r="BU551" s="224">
        <f>ROUND(IF(BS551&gt;0,VLOOKUP(N551,ma_dinhmuc!$A$1:$J$31,10,0)*BS551,0),0)</f>
        <v>0</v>
      </c>
      <c r="BV551" s="224">
        <f t="shared" ref="BV551:BV574" si="1801">ROUND(BU551+BR551,0)</f>
        <v>10787000</v>
      </c>
      <c r="BW551" s="224"/>
      <c r="BX551" s="224">
        <v>0</v>
      </c>
      <c r="BY551" s="224"/>
      <c r="BZ551" s="224"/>
      <c r="CA551" s="224"/>
      <c r="CB551" s="224"/>
      <c r="CC551" s="225">
        <f t="shared" si="1781"/>
        <v>10787000</v>
      </c>
      <c r="CD551" s="224">
        <f t="shared" si="1782"/>
        <v>0</v>
      </c>
      <c r="CE551" s="224"/>
      <c r="CF551" s="226"/>
      <c r="CG551" s="87"/>
      <c r="CH551" s="87">
        <f t="shared" si="1788"/>
        <v>4</v>
      </c>
      <c r="CI551" s="227" t="str">
        <f>F551</f>
        <v>Lê Thị Minh</v>
      </c>
      <c r="CJ551" s="227" t="str">
        <f>G551</f>
        <v>Châu</v>
      </c>
      <c r="CK551" s="87">
        <f>H551</f>
        <v>11</v>
      </c>
      <c r="CL551" s="227" t="str">
        <f t="shared" si="1749"/>
        <v xml:space="preserve">Kế toán tài chính                                 </v>
      </c>
      <c r="CM551" s="87" t="str">
        <f t="shared" si="1694"/>
        <v>CS3</v>
      </c>
      <c r="CN551" s="87">
        <f t="shared" si="1789"/>
        <v>270</v>
      </c>
      <c r="CO551" s="87">
        <f t="shared" si="1789"/>
        <v>150</v>
      </c>
      <c r="CP551" s="229">
        <f t="shared" si="1703"/>
        <v>0</v>
      </c>
      <c r="CQ551" s="229">
        <f t="shared" si="1704"/>
        <v>0</v>
      </c>
      <c r="CR551" s="229">
        <f t="shared" si="1705"/>
        <v>7.2</v>
      </c>
      <c r="CS551" s="229">
        <f t="shared" si="1706"/>
        <v>0</v>
      </c>
      <c r="CT551" s="229">
        <f t="shared" si="1707"/>
        <v>0</v>
      </c>
      <c r="CU551" s="229">
        <f t="shared" si="1708"/>
        <v>135</v>
      </c>
      <c r="CV551" s="229">
        <f t="shared" si="1709"/>
        <v>0</v>
      </c>
      <c r="CW551" s="229">
        <f t="shared" si="1710"/>
        <v>0</v>
      </c>
      <c r="CX551" s="229">
        <f t="shared" si="1711"/>
        <v>0</v>
      </c>
      <c r="CY551" s="229">
        <f t="shared" si="1712"/>
        <v>0</v>
      </c>
      <c r="CZ551" s="229">
        <f t="shared" si="1713"/>
        <v>0</v>
      </c>
      <c r="DA551" s="229">
        <f t="shared" si="1714"/>
        <v>80</v>
      </c>
      <c r="DB551" s="228">
        <f t="shared" si="1650"/>
        <v>222.2</v>
      </c>
      <c r="DC551" s="229"/>
      <c r="DD551" s="229"/>
      <c r="DE551" s="229"/>
      <c r="DF551" s="229"/>
      <c r="DG551" s="229"/>
      <c r="DH551" s="229"/>
      <c r="DI551" s="229"/>
      <c r="DJ551" s="229"/>
      <c r="DK551" s="229"/>
      <c r="DL551" s="229"/>
      <c r="DM551" s="229"/>
      <c r="DN551" s="229"/>
      <c r="DO551" s="228">
        <f t="shared" si="1651"/>
        <v>0</v>
      </c>
      <c r="DP551" s="228">
        <f t="shared" si="1652"/>
        <v>222.2</v>
      </c>
      <c r="DQ551" s="229">
        <f t="shared" si="1715"/>
        <v>216</v>
      </c>
      <c r="DR551" s="229">
        <f t="shared" si="1716"/>
        <v>8.4</v>
      </c>
      <c r="DS551" s="229">
        <f t="shared" si="1717"/>
        <v>0</v>
      </c>
      <c r="DT551" s="229">
        <f t="shared" si="1718"/>
        <v>3.5</v>
      </c>
      <c r="DU551" s="229">
        <f t="shared" si="1719"/>
        <v>0</v>
      </c>
      <c r="DV551" s="229">
        <f t="shared" si="1720"/>
        <v>320</v>
      </c>
      <c r="DW551" s="229">
        <f t="shared" si="1721"/>
        <v>0</v>
      </c>
      <c r="DX551" s="228">
        <f t="shared" si="1653"/>
        <v>547.9</v>
      </c>
      <c r="DY551" s="229"/>
      <c r="DZ551" s="229"/>
      <c r="EA551" s="229"/>
      <c r="EB551" s="229"/>
      <c r="EC551" s="229"/>
      <c r="ED551" s="229"/>
      <c r="EE551" s="229"/>
      <c r="EF551" s="228">
        <f t="shared" si="1696"/>
        <v>0</v>
      </c>
      <c r="EG551" s="228">
        <f t="shared" si="1654"/>
        <v>547.9</v>
      </c>
      <c r="EH551" s="229">
        <f t="shared" si="1697"/>
        <v>53.33</v>
      </c>
      <c r="EI551" s="229">
        <v>202.96</v>
      </c>
      <c r="EJ551" s="228">
        <f t="shared" si="1757"/>
        <v>256.29000000000002</v>
      </c>
      <c r="EK551" s="229"/>
      <c r="EL551" s="229"/>
      <c r="EM551" s="228">
        <f t="shared" si="1775"/>
        <v>0</v>
      </c>
      <c r="EN551" s="229">
        <f t="shared" si="1765"/>
        <v>53.33</v>
      </c>
      <c r="EO551" s="229">
        <f t="shared" si="1793"/>
        <v>202.96</v>
      </c>
      <c r="EP551" s="228">
        <f t="shared" si="1790"/>
        <v>256.29000000000002</v>
      </c>
      <c r="EQ551" s="173">
        <f t="shared" si="1687"/>
        <v>0</v>
      </c>
      <c r="ER551" s="189">
        <v>0</v>
      </c>
      <c r="ES551" s="189">
        <v>0</v>
      </c>
      <c r="ET551" s="189">
        <v>7.2</v>
      </c>
      <c r="EU551" s="189">
        <v>0</v>
      </c>
      <c r="EV551" s="189">
        <v>0</v>
      </c>
      <c r="EW551" s="189">
        <v>135</v>
      </c>
      <c r="EX551" s="189">
        <v>0</v>
      </c>
      <c r="EY551" s="189">
        <v>0</v>
      </c>
      <c r="EZ551" s="189">
        <v>0</v>
      </c>
      <c r="FA551" s="189">
        <v>0</v>
      </c>
      <c r="FB551" s="189">
        <v>0</v>
      </c>
      <c r="FC551" s="189">
        <v>80</v>
      </c>
      <c r="FD551" s="189">
        <v>216</v>
      </c>
      <c r="FE551" s="189">
        <v>8.4</v>
      </c>
      <c r="FF551" s="189">
        <v>0</v>
      </c>
      <c r="FG551" s="189">
        <v>3.5</v>
      </c>
      <c r="FH551" s="189">
        <v>320</v>
      </c>
      <c r="FI551" s="189">
        <v>0</v>
      </c>
      <c r="FJ551" s="189">
        <v>0</v>
      </c>
      <c r="FK551" s="189">
        <v>770.1</v>
      </c>
      <c r="FL551" s="189">
        <v>666</v>
      </c>
      <c r="FN551" s="132">
        <v>53.33</v>
      </c>
    </row>
    <row r="552" spans="1:170" ht="30" customHeight="1">
      <c r="A552" s="88">
        <f>COUNTIF($H$12:H552,H552)</f>
        <v>5</v>
      </c>
      <c r="B552" s="88" t="s">
        <v>2580</v>
      </c>
      <c r="C552" s="88" t="s">
        <v>978</v>
      </c>
      <c r="D552" s="88"/>
      <c r="E552" s="88"/>
      <c r="F552" s="301" t="s">
        <v>2401</v>
      </c>
      <c r="G552" s="89" t="s">
        <v>2833</v>
      </c>
      <c r="H552" s="88">
        <v>11</v>
      </c>
      <c r="I552" s="88">
        <v>11</v>
      </c>
      <c r="J552" s="88">
        <v>11</v>
      </c>
      <c r="K552" s="90" t="s">
        <v>1661</v>
      </c>
      <c r="L552" s="90" t="s">
        <v>1661</v>
      </c>
      <c r="M552" s="214"/>
      <c r="N552" s="88" t="s">
        <v>1804</v>
      </c>
      <c r="O552" s="216">
        <f t="shared" si="1760"/>
        <v>3.33</v>
      </c>
      <c r="P552" s="88" t="str">
        <f t="shared" si="1785"/>
        <v>B1_4</v>
      </c>
      <c r="Q552" s="88">
        <f t="shared" si="1751"/>
        <v>270</v>
      </c>
      <c r="R552" s="88">
        <f t="shared" si="1752"/>
        <v>120</v>
      </c>
      <c r="S552" s="218" t="s">
        <v>2061</v>
      </c>
      <c r="T552" s="88" t="s">
        <v>1326</v>
      </c>
      <c r="U552" s="88">
        <f>IF(RIGHT(T552,1)="K",(VLOOKUP(T552,ma_miengiam!$A$3:$B$80,2,0)*100)/2,VLOOKUP(T552,ma_miengiam!$A$3:$B$80,2,0)*100)</f>
        <v>65</v>
      </c>
      <c r="V552" s="88"/>
      <c r="W552" s="220">
        <f>IF(AND(T552="NTS",V552&gt;0),(Q552-(Q552*V552)/12)*VLOOKUP(T552,ma_miengiam!$A$3:$B$80,2,0)+(Q552-(Q552*(12-V552))/12),IF(AND(RIGHT(T552,1)="K",V552&gt;0),(VLOOKUP(T552,ma_miengiam!$A$3:$B$80,2,0)/2)*(Q552*V552)/12,IF(RIGHT(T552,1)="K",(VLOOKUP(T552,ma_miengiam!$A$3:$B$80,2,0)*Q552)/2,IF(V552&gt;0,VLOOKUP(T552,ma_miengiam!$A$3:$B$80,2,0)*Q552*V552/12,VLOOKUP(T552,ma_miengiam!$A$3:$B$80,2,0)*Q552))))</f>
        <v>175.5</v>
      </c>
      <c r="X552" s="220">
        <f>IF(T552="NTS",VLOOKUP(T552,ma_miengiam!$A$3:$B$80,2,0)*R552*V552,IF(AND(T552="NTS",V552=0),0,IF(AND(LEFT(T552,1)="K",V552=0),VLOOKUP(T552,ma_miengiam!$A$3:$B$80,2,0)*R552,IF(LEFT(T552,1)="K",(VLOOKUP(T552,ma_miengiam!$A$3:$B$80,2,0)*R552/12)*V552,IF(AND(LEFT(T552,1)="S",V552&gt;0),(R552/12)*V552,IF(AND(LEFT(T552,1)="S",V552=0),R552,IF(T552="DH",VLOOKUP(T552,ma_miengiam!$A$3:$B$80,2,0)*R552,0)))))))</f>
        <v>120</v>
      </c>
      <c r="Y552" s="220">
        <f t="shared" si="1745"/>
        <v>94.5</v>
      </c>
      <c r="Z552" s="220">
        <f t="shared" si="1762"/>
        <v>0</v>
      </c>
      <c r="AA552" s="220">
        <f t="shared" si="1794"/>
        <v>270</v>
      </c>
      <c r="AB552" s="220">
        <f t="shared" si="1794"/>
        <v>120</v>
      </c>
      <c r="AC552" s="220">
        <f t="shared" si="1795"/>
        <v>175.5</v>
      </c>
      <c r="AD552" s="220">
        <f t="shared" si="1795"/>
        <v>120</v>
      </c>
      <c r="AE552" s="220">
        <f t="shared" si="1795"/>
        <v>94.5</v>
      </c>
      <c r="AF552" s="220">
        <f t="shared" si="1795"/>
        <v>0</v>
      </c>
      <c r="AG552" s="220">
        <f t="shared" si="1796"/>
        <v>166</v>
      </c>
      <c r="AH552" s="220">
        <f t="shared" si="1797"/>
        <v>140</v>
      </c>
      <c r="AI552" s="220">
        <f t="shared" si="1798"/>
        <v>26</v>
      </c>
      <c r="AJ552" s="220">
        <f t="shared" si="1780"/>
        <v>0</v>
      </c>
      <c r="AK552" s="216">
        <f t="shared" si="1639"/>
        <v>94.5</v>
      </c>
      <c r="AL552" s="220">
        <f t="shared" si="1640"/>
        <v>496.79999999999995</v>
      </c>
      <c r="AM552" s="220">
        <f t="shared" si="1641"/>
        <v>0</v>
      </c>
      <c r="AN552" s="221">
        <f t="shared" si="1642"/>
        <v>496.79999999999995</v>
      </c>
      <c r="AO552" s="220">
        <f t="shared" si="1643"/>
        <v>0</v>
      </c>
      <c r="AP552" s="220">
        <f t="shared" si="1644"/>
        <v>0</v>
      </c>
      <c r="AQ552" s="220">
        <f t="shared" si="1645"/>
        <v>40</v>
      </c>
      <c r="AR552" s="220">
        <f t="shared" si="1646"/>
        <v>0</v>
      </c>
      <c r="AS552" s="220">
        <f t="shared" si="1647"/>
        <v>0</v>
      </c>
      <c r="AT552" s="216">
        <f t="shared" si="1648"/>
        <v>536.79999999999995</v>
      </c>
      <c r="AU552" s="222">
        <f t="shared" si="1792"/>
        <v>402.29999999999995</v>
      </c>
      <c r="AV552" s="220"/>
      <c r="AW552" s="220">
        <f t="shared" si="1688"/>
        <v>402.29999999999995</v>
      </c>
      <c r="AX552" s="216">
        <f t="shared" si="1636"/>
        <v>0</v>
      </c>
      <c r="AY552" s="220">
        <f t="shared" si="1698"/>
        <v>0</v>
      </c>
      <c r="AZ552" s="220">
        <f t="shared" si="1699"/>
        <v>0</v>
      </c>
      <c r="BA552" s="220">
        <f t="shared" si="1700"/>
        <v>40</v>
      </c>
      <c r="BB552" s="220">
        <f t="shared" si="1701"/>
        <v>0</v>
      </c>
      <c r="BC552" s="220">
        <f t="shared" si="1702"/>
        <v>0</v>
      </c>
      <c r="BD552" s="216">
        <f t="shared" si="1778"/>
        <v>40</v>
      </c>
      <c r="BE552" s="220">
        <f t="shared" si="1689"/>
        <v>0</v>
      </c>
      <c r="BF552" s="220">
        <f t="shared" si="1690"/>
        <v>0</v>
      </c>
      <c r="BG552" s="220">
        <f t="shared" si="1691"/>
        <v>0</v>
      </c>
      <c r="BH552" s="220">
        <f t="shared" si="1692"/>
        <v>0</v>
      </c>
      <c r="BI552" s="220">
        <f t="shared" si="1693"/>
        <v>0</v>
      </c>
      <c r="BJ552" s="220" t="s">
        <v>396</v>
      </c>
      <c r="BK552" s="220"/>
      <c r="BL552" s="223">
        <f t="shared" si="1784"/>
        <v>402.29999999999995</v>
      </c>
      <c r="BM552" s="220">
        <v>3.33</v>
      </c>
      <c r="BN552" s="220"/>
      <c r="BO552" s="220">
        <f t="shared" si="1787"/>
        <v>3.33</v>
      </c>
      <c r="BP552" s="220">
        <f>IF(AND(BL552&gt;0,BL552&lt;tiet!$D$1),BL552,IF(BL552&lt;=0,0,IF(BL552&gt;tiet!$C$1,tiet!$C$1)))</f>
        <v>200</v>
      </c>
      <c r="BQ552" s="87">
        <f t="shared" si="1799"/>
        <v>65000</v>
      </c>
      <c r="BR552" s="224">
        <f t="shared" si="1800"/>
        <v>13000000</v>
      </c>
      <c r="BS552" s="220">
        <f t="shared" si="1686"/>
        <v>202.29999999999995</v>
      </c>
      <c r="BT552" s="224">
        <f>VLOOKUP(N552,ma_dinhmuc!$A$1:$J$31,10,0)</f>
        <v>51000</v>
      </c>
      <c r="BU552" s="224">
        <f>ROUND(IF(BS552&gt;0,VLOOKUP(N552,ma_dinhmuc!$A$1:$J$31,10,0)*BS552,0),0)</f>
        <v>10317300</v>
      </c>
      <c r="BV552" s="224">
        <f t="shared" si="1801"/>
        <v>23317300</v>
      </c>
      <c r="BW552" s="224"/>
      <c r="BX552" s="224">
        <v>0</v>
      </c>
      <c r="BY552" s="224"/>
      <c r="BZ552" s="224"/>
      <c r="CA552" s="224"/>
      <c r="CB552" s="224"/>
      <c r="CC552" s="225">
        <f t="shared" si="1781"/>
        <v>23317300</v>
      </c>
      <c r="CD552" s="224">
        <f t="shared" si="1782"/>
        <v>0</v>
      </c>
      <c r="CE552" s="224"/>
      <c r="CF552" s="226"/>
      <c r="CG552" s="87"/>
      <c r="CH552" s="87">
        <f t="shared" si="1788"/>
        <v>5</v>
      </c>
      <c r="CI552" s="227" t="str">
        <f t="shared" si="1746"/>
        <v>Nguyễn Đăng</v>
      </c>
      <c r="CJ552" s="227" t="str">
        <f t="shared" si="1747"/>
        <v>Học</v>
      </c>
      <c r="CK552" s="87">
        <f t="shared" si="1748"/>
        <v>11</v>
      </c>
      <c r="CL552" s="227" t="str">
        <f t="shared" si="1749"/>
        <v xml:space="preserve">Kế toán tài chính                                 </v>
      </c>
      <c r="CM552" s="87" t="str">
        <f t="shared" si="1694"/>
        <v>CS2</v>
      </c>
      <c r="CN552" s="87">
        <f t="shared" si="1789"/>
        <v>270</v>
      </c>
      <c r="CO552" s="87">
        <f t="shared" si="1789"/>
        <v>120</v>
      </c>
      <c r="CP552" s="229">
        <f t="shared" si="1703"/>
        <v>0</v>
      </c>
      <c r="CQ552" s="229">
        <f t="shared" si="1704"/>
        <v>57.3</v>
      </c>
      <c r="CR552" s="229">
        <f t="shared" si="1705"/>
        <v>22.1</v>
      </c>
      <c r="CS552" s="229">
        <f t="shared" si="1706"/>
        <v>37.5</v>
      </c>
      <c r="CT552" s="229">
        <f t="shared" si="1707"/>
        <v>0</v>
      </c>
      <c r="CU552" s="229">
        <f t="shared" si="1708"/>
        <v>334.9</v>
      </c>
      <c r="CV552" s="229">
        <f t="shared" si="1709"/>
        <v>0</v>
      </c>
      <c r="CW552" s="229">
        <f t="shared" si="1710"/>
        <v>45</v>
      </c>
      <c r="CX552" s="229">
        <f t="shared" si="1711"/>
        <v>0</v>
      </c>
      <c r="CY552" s="229">
        <f t="shared" si="1712"/>
        <v>0</v>
      </c>
      <c r="CZ552" s="229">
        <f t="shared" si="1713"/>
        <v>0</v>
      </c>
      <c r="DA552" s="229">
        <f t="shared" si="1714"/>
        <v>40</v>
      </c>
      <c r="DB552" s="228">
        <f t="shared" si="1650"/>
        <v>536.79999999999995</v>
      </c>
      <c r="DC552" s="229"/>
      <c r="DD552" s="229"/>
      <c r="DE552" s="229"/>
      <c r="DF552" s="229"/>
      <c r="DG552" s="229"/>
      <c r="DH552" s="229"/>
      <c r="DI552" s="229"/>
      <c r="DJ552" s="229"/>
      <c r="DK552" s="229"/>
      <c r="DL552" s="229"/>
      <c r="DM552" s="229"/>
      <c r="DN552" s="229"/>
      <c r="DO552" s="228">
        <f t="shared" si="1651"/>
        <v>0</v>
      </c>
      <c r="DP552" s="228">
        <f t="shared" si="1652"/>
        <v>536.79999999999995</v>
      </c>
      <c r="DQ552" s="229">
        <f t="shared" si="1715"/>
        <v>0</v>
      </c>
      <c r="DR552" s="229">
        <f t="shared" si="1716"/>
        <v>0</v>
      </c>
      <c r="DS552" s="229">
        <f t="shared" si="1717"/>
        <v>0</v>
      </c>
      <c r="DT552" s="229">
        <f t="shared" si="1718"/>
        <v>0</v>
      </c>
      <c r="DU552" s="229">
        <f t="shared" si="1719"/>
        <v>0</v>
      </c>
      <c r="DV552" s="229">
        <f t="shared" si="1720"/>
        <v>0</v>
      </c>
      <c r="DW552" s="229">
        <f t="shared" si="1721"/>
        <v>0</v>
      </c>
      <c r="DX552" s="228">
        <f t="shared" si="1653"/>
        <v>0</v>
      </c>
      <c r="DY552" s="229"/>
      <c r="DZ552" s="229"/>
      <c r="EA552" s="229"/>
      <c r="EB552" s="229"/>
      <c r="EC552" s="229"/>
      <c r="ED552" s="229"/>
      <c r="EE552" s="229"/>
      <c r="EF552" s="228">
        <f t="shared" si="1696"/>
        <v>0</v>
      </c>
      <c r="EG552" s="228">
        <f t="shared" si="1654"/>
        <v>0</v>
      </c>
      <c r="EH552" s="229">
        <f t="shared" si="1697"/>
        <v>26</v>
      </c>
      <c r="EI552" s="229">
        <v>140</v>
      </c>
      <c r="EJ552" s="228">
        <f t="shared" si="1757"/>
        <v>166</v>
      </c>
      <c r="EK552" s="229"/>
      <c r="EL552" s="229"/>
      <c r="EM552" s="228">
        <f t="shared" si="1775"/>
        <v>0</v>
      </c>
      <c r="EN552" s="229">
        <f t="shared" si="1765"/>
        <v>26</v>
      </c>
      <c r="EO552" s="229">
        <f t="shared" si="1793"/>
        <v>140</v>
      </c>
      <c r="EP552" s="228">
        <f t="shared" si="1790"/>
        <v>166</v>
      </c>
      <c r="EQ552" s="173">
        <f t="shared" si="1687"/>
        <v>26</v>
      </c>
      <c r="ER552" s="189">
        <v>0</v>
      </c>
      <c r="ES552" s="189">
        <v>57.3</v>
      </c>
      <c r="ET552" s="189">
        <v>22.1</v>
      </c>
      <c r="EU552" s="189">
        <v>37.5</v>
      </c>
      <c r="EV552" s="189">
        <v>0</v>
      </c>
      <c r="EW552" s="189">
        <v>334.9</v>
      </c>
      <c r="EX552" s="189">
        <v>0</v>
      </c>
      <c r="EY552" s="189">
        <v>45</v>
      </c>
      <c r="EZ552" s="189">
        <v>0</v>
      </c>
      <c r="FA552" s="189">
        <v>0</v>
      </c>
      <c r="FB552" s="189">
        <v>0</v>
      </c>
      <c r="FC552" s="189">
        <v>40</v>
      </c>
      <c r="FD552" s="189">
        <v>0</v>
      </c>
      <c r="FE552" s="189">
        <v>0</v>
      </c>
      <c r="FF552" s="189">
        <v>0</v>
      </c>
      <c r="FG552" s="189">
        <v>0</v>
      </c>
      <c r="FH552" s="189">
        <v>0</v>
      </c>
      <c r="FI552" s="189">
        <v>0</v>
      </c>
      <c r="FJ552" s="189">
        <v>0</v>
      </c>
      <c r="FK552" s="189">
        <v>536.79999999999995</v>
      </c>
      <c r="FL552" s="189">
        <v>405.5</v>
      </c>
      <c r="FN552" s="132">
        <v>26</v>
      </c>
    </row>
    <row r="553" spans="1:170" ht="45">
      <c r="A553" s="88">
        <f>COUNTIF($H$12:H553,H553)</f>
        <v>6</v>
      </c>
      <c r="B553" s="88" t="s">
        <v>2581</v>
      </c>
      <c r="C553" s="88" t="s">
        <v>979</v>
      </c>
      <c r="D553" s="88"/>
      <c r="E553" s="88"/>
      <c r="F553" s="301" t="s">
        <v>25</v>
      </c>
      <c r="G553" s="89" t="s">
        <v>30</v>
      </c>
      <c r="H553" s="88">
        <v>11</v>
      </c>
      <c r="I553" s="88">
        <v>11</v>
      </c>
      <c r="J553" s="88">
        <v>11</v>
      </c>
      <c r="K553" s="90" t="s">
        <v>1661</v>
      </c>
      <c r="L553" s="90" t="s">
        <v>1661</v>
      </c>
      <c r="M553" s="214"/>
      <c r="N553" s="88" t="s">
        <v>606</v>
      </c>
      <c r="O553" s="216">
        <f>BO553</f>
        <v>4.4000000000000004</v>
      </c>
      <c r="P553" s="88" t="str">
        <f t="shared" si="1785"/>
        <v>B1_4</v>
      </c>
      <c r="Q553" s="88">
        <f t="shared" si="1751"/>
        <v>270</v>
      </c>
      <c r="R553" s="88">
        <f t="shared" si="1752"/>
        <v>120</v>
      </c>
      <c r="S553" s="231" t="s">
        <v>683</v>
      </c>
      <c r="T553" s="88" t="s">
        <v>3092</v>
      </c>
      <c r="U553" s="88">
        <f>IF(RIGHT(T553,1)="K",(VLOOKUP(T553,ma_miengiam!$A$3:$B$80,2,0)*100)/2,VLOOKUP(T553,ma_miengiam!$A$3:$B$80,2,0)*100)</f>
        <v>25</v>
      </c>
      <c r="V553" s="88"/>
      <c r="W553" s="220">
        <f>IF(AND(T553="NTS",V553&gt;0),(Q553-(Q553*V553)/12)*VLOOKUP(T553,ma_miengiam!$A$3:$B$80,2,0)+(Q553-(Q553*(12-V553))/12),IF(AND(RIGHT(T553,1)="K",V553&gt;0),(VLOOKUP(T553,ma_miengiam!$A$3:$B$80,2,0)/2)*(Q553*V553)/12,IF(RIGHT(T553,1)="K",(VLOOKUP(T553,ma_miengiam!$A$3:$B$80,2,0)*Q553)/2,IF(V553&gt;0,VLOOKUP(T553,ma_miengiam!$A$3:$B$80,2,0)*Q553*V553/12,VLOOKUP(T553,ma_miengiam!$A$3:$B$80,2,0)*Q553))))</f>
        <v>67.5</v>
      </c>
      <c r="X553" s="220">
        <f>IF(T553="NTS",VLOOKUP(T553,ma_miengiam!$A$3:$B$80,2,0)*R553*V553,IF(AND(T553="NTS",V553=0),0,IF(AND(LEFT(T553,1)="K",V553=0),VLOOKUP(T553,ma_miengiam!$A$3:$B$80,2,0)*R553,IF(LEFT(T553,1)="K",(VLOOKUP(T553,ma_miengiam!$A$3:$B$80,2,0)*R553/12)*V553,IF(AND(LEFT(T553,1)="S",V553&gt;0),(R553/12)*V553,IF(AND(LEFT(T553,1)="S",V553=0),R553,IF(T553="DH",VLOOKUP(T553,ma_miengiam!$A$3:$B$80,2,0)*R553,0)))))))</f>
        <v>0</v>
      </c>
      <c r="Y553" s="220">
        <f>IF(AND(T553="DH",V553&gt;0),(S553*V553/12),IF(AND(T553&lt;&gt;"NTS",V553&gt;0),(Q553*V553/12)-W553,IF(AND(T553="NTS",V553&gt;0),Q553-W553,Q553-W553)))</f>
        <v>202.5</v>
      </c>
      <c r="Z553" s="220">
        <f>IF(AND(T553="SĐH",V553&gt;0),(R553/12)*V553-X553,IF(AND(T553="DH",V553&gt;0),(R553*V553/12),IF(AND(T553&lt;&gt;"NTS",V553&gt;0),(R553*V553/12)-X553,IF(AND(T553="NTS",V553&gt;0),R553-X553,R553-X553))))</f>
        <v>120</v>
      </c>
      <c r="AA553" s="220">
        <f t="shared" si="1794"/>
        <v>270</v>
      </c>
      <c r="AB553" s="220">
        <f t="shared" si="1794"/>
        <v>120</v>
      </c>
      <c r="AC553" s="220">
        <f>W553</f>
        <v>67.5</v>
      </c>
      <c r="AD553" s="220">
        <f>X553</f>
        <v>0</v>
      </c>
      <c r="AE553" s="220">
        <f>Y553</f>
        <v>202.5</v>
      </c>
      <c r="AF553" s="220">
        <f>Z553</f>
        <v>120</v>
      </c>
      <c r="AG553" s="220">
        <f>AH553+AI553</f>
        <v>205.81</v>
      </c>
      <c r="AH553" s="220">
        <f>EO553</f>
        <v>62.48</v>
      </c>
      <c r="AI553" s="220">
        <f>EN553</f>
        <v>143.33000000000001</v>
      </c>
      <c r="AJ553" s="220">
        <f t="shared" si="1780"/>
        <v>0</v>
      </c>
      <c r="AK553" s="216">
        <f t="shared" si="1639"/>
        <v>202.5</v>
      </c>
      <c r="AL553" s="220">
        <f t="shared" si="1640"/>
        <v>128.19999999999999</v>
      </c>
      <c r="AM553" s="220">
        <f t="shared" si="1641"/>
        <v>12</v>
      </c>
      <c r="AN553" s="221">
        <f t="shared" si="1642"/>
        <v>140.19999999999999</v>
      </c>
      <c r="AO553" s="220">
        <f t="shared" si="1643"/>
        <v>0</v>
      </c>
      <c r="AP553" s="220">
        <f t="shared" si="1644"/>
        <v>0</v>
      </c>
      <c r="AQ553" s="220">
        <f t="shared" si="1645"/>
        <v>20</v>
      </c>
      <c r="AR553" s="220">
        <f t="shared" si="1646"/>
        <v>12</v>
      </c>
      <c r="AS553" s="220">
        <f t="shared" si="1647"/>
        <v>0</v>
      </c>
      <c r="AT553" s="216">
        <f t="shared" si="1648"/>
        <v>172.2</v>
      </c>
      <c r="AU553" s="222">
        <f>AN553-AK553</f>
        <v>-62.300000000000011</v>
      </c>
      <c r="AV553" s="220"/>
      <c r="AW553" s="220">
        <f>IF(AU553&gt;0,AU553,AV553+AU553)</f>
        <v>-62.300000000000011</v>
      </c>
      <c r="AX553" s="216">
        <f t="shared" si="1636"/>
        <v>-62.300000000000011</v>
      </c>
      <c r="AY553" s="220">
        <f>IF(AN553&gt;=AK553,AO553,IF(AN553+AO553-AK553&gt;=0,AN553+AO553-AK553,0))</f>
        <v>0</v>
      </c>
      <c r="AZ553" s="220">
        <f>IF(OR(AN553&gt;=AK553,AN553+AO553&gt;=AK553),AP553,IF(AN553+AO553+AP553&gt;AK553,AN553+AO553+AP553-AK553,0))</f>
        <v>0</v>
      </c>
      <c r="BA553" s="220">
        <f>IF(OR(AN553&gt;=AK553,AN553+AO553&gt;=AK553,AN553+AO553+AP553&gt;=AK553),AQ553,IF(AN553+AO553+AP553+AQ553&gt;=AK553,AN553+AO553+AP553+AQ553-AK553,0))</f>
        <v>0</v>
      </c>
      <c r="BB553" s="220">
        <f>IF(OR(AN553&gt;=AK553,AN553+AO553&gt;=AK553,AN553+AO553+AP553&gt;=AK553,AN553+AO553+AP553+AQ553&gt;=AK553),AR553,IF(AN553+AO553+AP553+AQ553+AR553&gt;=AK553,AN553+AO553+AP553+AQ553+AR553-AK553,0))</f>
        <v>0</v>
      </c>
      <c r="BC553" s="220">
        <f>IF(OR(AN553&gt;=AK553,AN553+AO553&gt;=AK553,AN553+AO553+AP553&gt;=AK553,AN553+AO553+AP553+AQ553&gt;=AK553,AN553+AO553+AP553+AQ553+AR553&gt;=AK553),AS553,IF(AN553+AO553+AP553+AQ553+AR553+AS553&gt;=AK553,AN553+AO553+AP553+AQ553+AR553+AS553-AK553,0))</f>
        <v>0</v>
      </c>
      <c r="BD553" s="216">
        <f t="shared" si="1778"/>
        <v>0</v>
      </c>
      <c r="BE553" s="220">
        <f>AY553-AO553</f>
        <v>0</v>
      </c>
      <c r="BF553" s="220">
        <f>AZ553-AP553</f>
        <v>0</v>
      </c>
      <c r="BG553" s="220">
        <f>BA553-AQ553</f>
        <v>-20</v>
      </c>
      <c r="BH553" s="220">
        <f>BB553-AR553</f>
        <v>-12</v>
      </c>
      <c r="BI553" s="220">
        <f>BC553-AS553</f>
        <v>0</v>
      </c>
      <c r="BJ553" s="220" t="s">
        <v>396</v>
      </c>
      <c r="BK553" s="220"/>
      <c r="BL553" s="223">
        <f t="shared" si="1784"/>
        <v>0</v>
      </c>
      <c r="BM553" s="220">
        <v>4.4000000000000004</v>
      </c>
      <c r="BN553" s="220"/>
      <c r="BO553" s="220">
        <f>ROUND(BM553+(BM553*BN553),2)</f>
        <v>4.4000000000000004</v>
      </c>
      <c r="BP553" s="220">
        <f>IF(AND(BL553&gt;0,BL553&lt;tiet!$D$1),BL553,IF(BL553&lt;=0,0,IF(BL553&gt;tiet!$C$1,tiet!$C$1)))</f>
        <v>0</v>
      </c>
      <c r="BQ553" s="87">
        <f t="shared" si="1799"/>
        <v>65000</v>
      </c>
      <c r="BR553" s="224">
        <f t="shared" si="1800"/>
        <v>0</v>
      </c>
      <c r="BS553" s="220">
        <f t="shared" si="1686"/>
        <v>0</v>
      </c>
      <c r="BT553" s="224">
        <f>VLOOKUP(N553,ma_dinhmuc!$A$1:$J$31,10,0)</f>
        <v>55000</v>
      </c>
      <c r="BU553" s="224">
        <f>ROUND(IF(BS553&gt;0,VLOOKUP(N553,ma_dinhmuc!$A$1:$J$31,10,0)*BS553,0),0)</f>
        <v>0</v>
      </c>
      <c r="BV553" s="224">
        <f t="shared" si="1801"/>
        <v>0</v>
      </c>
      <c r="BW553" s="224"/>
      <c r="BX553" s="224">
        <v>0</v>
      </c>
      <c r="BY553" s="224"/>
      <c r="BZ553" s="224"/>
      <c r="CA553" s="224"/>
      <c r="CB553" s="224"/>
      <c r="CC553" s="225">
        <f t="shared" si="1781"/>
        <v>0</v>
      </c>
      <c r="CD553" s="224">
        <f t="shared" si="1782"/>
        <v>0</v>
      </c>
      <c r="CE553" s="224"/>
      <c r="CF553" s="226"/>
      <c r="CG553" s="87"/>
      <c r="CH553" s="87">
        <f>A553</f>
        <v>6</v>
      </c>
      <c r="CI553" s="227" t="str">
        <f t="shared" ref="CI553:CI559" si="1802">F553</f>
        <v>Vũ Ngọc</v>
      </c>
      <c r="CJ553" s="227" t="str">
        <f t="shared" ref="CJ553:CJ559" si="1803">G553</f>
        <v>Huyên</v>
      </c>
      <c r="CK553" s="87">
        <f t="shared" ref="CK553:CK559" si="1804">H553</f>
        <v>11</v>
      </c>
      <c r="CL553" s="227" t="str">
        <f t="shared" ref="CL553:CL565" si="1805">L553</f>
        <v xml:space="preserve">Kế toán tài chính                                 </v>
      </c>
      <c r="CM553" s="87" t="str">
        <f>N553</f>
        <v>CS3</v>
      </c>
      <c r="CN553" s="87">
        <f>Q553</f>
        <v>270</v>
      </c>
      <c r="CO553" s="87">
        <f>R553</f>
        <v>120</v>
      </c>
      <c r="CP553" s="229">
        <f t="shared" si="1703"/>
        <v>0</v>
      </c>
      <c r="CQ553" s="229">
        <f t="shared" si="1704"/>
        <v>15.8</v>
      </c>
      <c r="CR553" s="229">
        <f t="shared" si="1705"/>
        <v>22.4</v>
      </c>
      <c r="CS553" s="229">
        <f t="shared" si="1706"/>
        <v>0</v>
      </c>
      <c r="CT553" s="229">
        <f t="shared" si="1707"/>
        <v>0</v>
      </c>
      <c r="CU553" s="229">
        <f t="shared" si="1708"/>
        <v>90</v>
      </c>
      <c r="CV553" s="229">
        <f t="shared" si="1709"/>
        <v>0</v>
      </c>
      <c r="CW553" s="229">
        <f t="shared" si="1710"/>
        <v>0</v>
      </c>
      <c r="CX553" s="229">
        <f t="shared" si="1711"/>
        <v>0</v>
      </c>
      <c r="CY553" s="229">
        <f t="shared" si="1712"/>
        <v>0</v>
      </c>
      <c r="CZ553" s="229">
        <f t="shared" si="1713"/>
        <v>0</v>
      </c>
      <c r="DA553" s="229">
        <f t="shared" si="1714"/>
        <v>20</v>
      </c>
      <c r="DB553" s="228">
        <f t="shared" si="1650"/>
        <v>148.19999999999999</v>
      </c>
      <c r="DC553" s="229"/>
      <c r="DD553" s="229"/>
      <c r="DE553" s="229"/>
      <c r="DF553" s="229"/>
      <c r="DG553" s="229"/>
      <c r="DH553" s="229"/>
      <c r="DI553" s="229"/>
      <c r="DJ553" s="229"/>
      <c r="DK553" s="229"/>
      <c r="DL553" s="229"/>
      <c r="DM553" s="229"/>
      <c r="DN553" s="229"/>
      <c r="DO553" s="228">
        <f t="shared" si="1651"/>
        <v>0</v>
      </c>
      <c r="DP553" s="228">
        <f t="shared" si="1652"/>
        <v>148.19999999999999</v>
      </c>
      <c r="DQ553" s="229">
        <f t="shared" si="1715"/>
        <v>0</v>
      </c>
      <c r="DR553" s="229">
        <f t="shared" si="1716"/>
        <v>8.5</v>
      </c>
      <c r="DS553" s="229">
        <f t="shared" si="1717"/>
        <v>0</v>
      </c>
      <c r="DT553" s="229">
        <f t="shared" si="1718"/>
        <v>3.5</v>
      </c>
      <c r="DU553" s="229">
        <f t="shared" si="1719"/>
        <v>0</v>
      </c>
      <c r="DV553" s="229">
        <f t="shared" si="1720"/>
        <v>12</v>
      </c>
      <c r="DW553" s="229">
        <f t="shared" si="1721"/>
        <v>0</v>
      </c>
      <c r="DX553" s="228">
        <f t="shared" si="1653"/>
        <v>24</v>
      </c>
      <c r="DY553" s="229"/>
      <c r="DZ553" s="229"/>
      <c r="EA553" s="229"/>
      <c r="EB553" s="229"/>
      <c r="EC553" s="229"/>
      <c r="ED553" s="229"/>
      <c r="EE553" s="229"/>
      <c r="EF553" s="228">
        <f t="shared" si="1696"/>
        <v>0</v>
      </c>
      <c r="EG553" s="228">
        <f t="shared" si="1654"/>
        <v>24</v>
      </c>
      <c r="EH553" s="229">
        <f t="shared" si="1697"/>
        <v>143.33000000000001</v>
      </c>
      <c r="EI553" s="229">
        <v>62.48</v>
      </c>
      <c r="EJ553" s="228">
        <f t="shared" si="1757"/>
        <v>205.81</v>
      </c>
      <c r="EK553" s="229"/>
      <c r="EL553" s="229"/>
      <c r="EM553" s="228">
        <f t="shared" si="1775"/>
        <v>0</v>
      </c>
      <c r="EN553" s="229">
        <f>EK553+EH553+EL553</f>
        <v>143.33000000000001</v>
      </c>
      <c r="EO553" s="229">
        <f>EI553</f>
        <v>62.48</v>
      </c>
      <c r="EP553" s="228">
        <f t="shared" si="1790"/>
        <v>205.81</v>
      </c>
      <c r="EQ553" s="173">
        <f t="shared" si="1687"/>
        <v>23.330000000000013</v>
      </c>
      <c r="ER553" s="189">
        <v>0</v>
      </c>
      <c r="ES553" s="189">
        <v>15.8</v>
      </c>
      <c r="ET553" s="189">
        <v>22.4</v>
      </c>
      <c r="EU553" s="189">
        <v>0</v>
      </c>
      <c r="EV553" s="189">
        <v>0</v>
      </c>
      <c r="EW553" s="189">
        <v>90</v>
      </c>
      <c r="EX553" s="189">
        <v>0</v>
      </c>
      <c r="EY553" s="189">
        <v>0</v>
      </c>
      <c r="EZ553" s="189">
        <v>0</v>
      </c>
      <c r="FA553" s="189">
        <v>0</v>
      </c>
      <c r="FB553" s="189">
        <v>0</v>
      </c>
      <c r="FC553" s="189">
        <v>20</v>
      </c>
      <c r="FD553" s="189">
        <v>0</v>
      </c>
      <c r="FE553" s="189">
        <v>8.5</v>
      </c>
      <c r="FF553" s="189">
        <v>0</v>
      </c>
      <c r="FG553" s="189">
        <v>3.5</v>
      </c>
      <c r="FH553" s="189">
        <v>12</v>
      </c>
      <c r="FI553" s="189">
        <v>0</v>
      </c>
      <c r="FJ553" s="189">
        <v>0</v>
      </c>
      <c r="FK553" s="189">
        <v>172.2</v>
      </c>
      <c r="FL553" s="189">
        <v>139</v>
      </c>
      <c r="FN553" s="132">
        <v>143.33000000000001</v>
      </c>
    </row>
    <row r="554" spans="1:170" ht="28.5" customHeight="1">
      <c r="A554" s="88">
        <f>COUNTIF($H$12:H554,H554)</f>
        <v>7</v>
      </c>
      <c r="B554" s="88" t="s">
        <v>2582</v>
      </c>
      <c r="C554" s="88" t="s">
        <v>980</v>
      </c>
      <c r="D554" s="88"/>
      <c r="E554" s="88"/>
      <c r="F554" s="301" t="s">
        <v>1923</v>
      </c>
      <c r="G554" s="303" t="s">
        <v>1648</v>
      </c>
      <c r="H554" s="88">
        <v>11</v>
      </c>
      <c r="I554" s="88">
        <v>11</v>
      </c>
      <c r="J554" s="88">
        <v>11</v>
      </c>
      <c r="K554" s="90" t="s">
        <v>1661</v>
      </c>
      <c r="L554" s="90" t="s">
        <v>1661</v>
      </c>
      <c r="M554" s="214"/>
      <c r="N554" s="88" t="s">
        <v>1804</v>
      </c>
      <c r="O554" s="216">
        <f t="shared" ref="O554:O559" si="1806">BO554</f>
        <v>3</v>
      </c>
      <c r="P554" s="88" t="str">
        <f t="shared" si="1785"/>
        <v>B1_3</v>
      </c>
      <c r="Q554" s="88">
        <f t="shared" si="1751"/>
        <v>270</v>
      </c>
      <c r="R554" s="88">
        <f t="shared" si="1752"/>
        <v>100</v>
      </c>
      <c r="S554" s="233" t="s">
        <v>2041</v>
      </c>
      <c r="T554" s="88" t="s">
        <v>3091</v>
      </c>
      <c r="U554" s="88">
        <f>IF(RIGHT(T554,1)="K",(VLOOKUP(T554,ma_miengiam!$A$3:$B$80,2,0)*100)/2,VLOOKUP(T554,ma_miengiam!$A$3:$B$80,2,0)*100)</f>
        <v>20</v>
      </c>
      <c r="V554" s="88"/>
      <c r="W554" s="220">
        <f>IF(AND(T554="NTS",V554&gt;0),(Q554-(Q554*V554)/12)*VLOOKUP(T554,ma_miengiam!$A$3:$B$80,2,0)+(Q554-(Q554*(12-V554))/12),IF(AND(RIGHT(T554,1)="K",V554&gt;0),(VLOOKUP(T554,ma_miengiam!$A$3:$B$80,2,0)/2)*(Q554*V554)/12,IF(RIGHT(T554,1)="K",(VLOOKUP(T554,ma_miengiam!$A$3:$B$80,2,0)*Q554)/2,IF(V554&gt;0,VLOOKUP(T554,ma_miengiam!$A$3:$B$80,2,0)*Q554*V554/12,VLOOKUP(T554,ma_miengiam!$A$3:$B$80,2,0)*Q554))))</f>
        <v>54</v>
      </c>
      <c r="X554" s="220">
        <f>IF(T554="NTS",VLOOKUP(T554,ma_miengiam!$A$3:$B$80,2,0)*R554*V554,IF(AND(T554="NTS",V554=0),0,IF(AND(LEFT(T554,1)="K",V554=0),VLOOKUP(T554,ma_miengiam!$A$3:$B$80,2,0)*R554,IF(LEFT(T554,1)="K",(VLOOKUP(T554,ma_miengiam!$A$3:$B$80,2,0)*R554/12)*V554,IF(AND(LEFT(T554,1)="S",V554&gt;0),(R554/12)*V554,IF(AND(LEFT(T554,1)="S",V554=0),R554,IF(T554="DH",VLOOKUP(T554,ma_miengiam!$A$3:$B$80,2,0)*R554,0)))))))</f>
        <v>0</v>
      </c>
      <c r="Y554" s="220">
        <f t="shared" si="1745"/>
        <v>216</v>
      </c>
      <c r="Z554" s="220">
        <f t="shared" si="1762"/>
        <v>100</v>
      </c>
      <c r="AA554" s="220">
        <f t="shared" si="1794"/>
        <v>270</v>
      </c>
      <c r="AB554" s="220">
        <f t="shared" si="1794"/>
        <v>100</v>
      </c>
      <c r="AC554" s="220">
        <f t="shared" ref="AC554:AF558" si="1807">W554</f>
        <v>54</v>
      </c>
      <c r="AD554" s="220">
        <f t="shared" si="1807"/>
        <v>0</v>
      </c>
      <c r="AE554" s="220">
        <f t="shared" si="1807"/>
        <v>216</v>
      </c>
      <c r="AF554" s="220">
        <f t="shared" si="1807"/>
        <v>100</v>
      </c>
      <c r="AG554" s="220">
        <f t="shared" si="1796"/>
        <v>25</v>
      </c>
      <c r="AH554" s="220">
        <f t="shared" si="1797"/>
        <v>0</v>
      </c>
      <c r="AI554" s="220">
        <f t="shared" si="1798"/>
        <v>25</v>
      </c>
      <c r="AJ554" s="220">
        <f t="shared" si="1780"/>
        <v>-75</v>
      </c>
      <c r="AK554" s="216">
        <f t="shared" si="1639"/>
        <v>291</v>
      </c>
      <c r="AL554" s="220">
        <f t="shared" si="1640"/>
        <v>496.7</v>
      </c>
      <c r="AM554" s="220">
        <f t="shared" si="1641"/>
        <v>0</v>
      </c>
      <c r="AN554" s="221">
        <f t="shared" si="1642"/>
        <v>496.7</v>
      </c>
      <c r="AO554" s="220">
        <f t="shared" si="1643"/>
        <v>0</v>
      </c>
      <c r="AP554" s="220">
        <f t="shared" si="1644"/>
        <v>0</v>
      </c>
      <c r="AQ554" s="220">
        <f t="shared" si="1645"/>
        <v>40</v>
      </c>
      <c r="AR554" s="220">
        <f t="shared" si="1646"/>
        <v>0</v>
      </c>
      <c r="AS554" s="220">
        <f t="shared" si="1647"/>
        <v>0</v>
      </c>
      <c r="AT554" s="216">
        <f t="shared" si="1648"/>
        <v>536.70000000000005</v>
      </c>
      <c r="AU554" s="222">
        <f t="shared" si="1792"/>
        <v>205.7</v>
      </c>
      <c r="AV554" s="220"/>
      <c r="AW554" s="220">
        <f t="shared" si="1688"/>
        <v>205.7</v>
      </c>
      <c r="AX554" s="216">
        <f t="shared" si="1636"/>
        <v>0</v>
      </c>
      <c r="AY554" s="220">
        <f t="shared" si="1698"/>
        <v>0</v>
      </c>
      <c r="AZ554" s="220">
        <f t="shared" si="1699"/>
        <v>0</v>
      </c>
      <c r="BA554" s="220">
        <f t="shared" si="1700"/>
        <v>40</v>
      </c>
      <c r="BB554" s="220">
        <f t="shared" si="1701"/>
        <v>0</v>
      </c>
      <c r="BC554" s="220">
        <f t="shared" si="1702"/>
        <v>0</v>
      </c>
      <c r="BD554" s="216">
        <f t="shared" si="1778"/>
        <v>40</v>
      </c>
      <c r="BE554" s="220">
        <f t="shared" si="1689"/>
        <v>0</v>
      </c>
      <c r="BF554" s="220">
        <f t="shared" si="1690"/>
        <v>0</v>
      </c>
      <c r="BG554" s="220">
        <f t="shared" si="1691"/>
        <v>0</v>
      </c>
      <c r="BH554" s="220">
        <f t="shared" si="1692"/>
        <v>0</v>
      </c>
      <c r="BI554" s="220">
        <f t="shared" si="1693"/>
        <v>0</v>
      </c>
      <c r="BJ554" s="220" t="s">
        <v>396</v>
      </c>
      <c r="BK554" s="220"/>
      <c r="BL554" s="223">
        <f t="shared" si="1784"/>
        <v>205.7</v>
      </c>
      <c r="BM554" s="220">
        <v>3</v>
      </c>
      <c r="BN554" s="220"/>
      <c r="BO554" s="220">
        <f t="shared" si="1787"/>
        <v>3</v>
      </c>
      <c r="BP554" s="220">
        <f>IF(AND(BL554&gt;0,BL554&lt;tiet!$D$1),BL554,IF(BL554&lt;=0,0,IF(BL554&gt;tiet!$C$1,tiet!$C$1)))</f>
        <v>200</v>
      </c>
      <c r="BQ554" s="87">
        <f t="shared" si="1799"/>
        <v>60000</v>
      </c>
      <c r="BR554" s="224">
        <f t="shared" si="1800"/>
        <v>12000000</v>
      </c>
      <c r="BS554" s="220">
        <f t="shared" si="1686"/>
        <v>5.6999999999999886</v>
      </c>
      <c r="BT554" s="224">
        <f>VLOOKUP(N554,ma_dinhmuc!$A$1:$J$31,10,0)</f>
        <v>51000</v>
      </c>
      <c r="BU554" s="224">
        <f>ROUND(IF(BS554&gt;0,VLOOKUP(N554,ma_dinhmuc!$A$1:$J$31,10,0)*BS554,0),0)</f>
        <v>290700</v>
      </c>
      <c r="BV554" s="224">
        <f t="shared" si="1801"/>
        <v>12290700</v>
      </c>
      <c r="BW554" s="224"/>
      <c r="BX554" s="224">
        <v>0</v>
      </c>
      <c r="BY554" s="224"/>
      <c r="BZ554" s="224"/>
      <c r="CA554" s="224"/>
      <c r="CB554" s="224"/>
      <c r="CC554" s="225">
        <f t="shared" si="1781"/>
        <v>12290700</v>
      </c>
      <c r="CD554" s="224">
        <f t="shared" si="1782"/>
        <v>0</v>
      </c>
      <c r="CE554" s="224"/>
      <c r="CF554" s="226"/>
      <c r="CG554" s="87"/>
      <c r="CH554" s="87">
        <f t="shared" si="1788"/>
        <v>7</v>
      </c>
      <c r="CI554" s="227" t="str">
        <f t="shared" si="1802"/>
        <v xml:space="preserve">Phan Lê </v>
      </c>
      <c r="CJ554" s="227" t="str">
        <f t="shared" si="1803"/>
        <v>Trang</v>
      </c>
      <c r="CK554" s="87">
        <f t="shared" si="1804"/>
        <v>11</v>
      </c>
      <c r="CL554" s="227" t="str">
        <f t="shared" si="1805"/>
        <v xml:space="preserve">Kế toán tài chính                                 </v>
      </c>
      <c r="CM554" s="87" t="str">
        <f t="shared" si="1694"/>
        <v>CS2</v>
      </c>
      <c r="CN554" s="87">
        <f t="shared" ref="CN554:CO559" si="1808">Q554</f>
        <v>270</v>
      </c>
      <c r="CO554" s="87">
        <f t="shared" si="1808"/>
        <v>100</v>
      </c>
      <c r="CP554" s="229">
        <f t="shared" si="1703"/>
        <v>0</v>
      </c>
      <c r="CQ554" s="229">
        <f t="shared" si="1704"/>
        <v>68</v>
      </c>
      <c r="CR554" s="229">
        <f t="shared" si="1705"/>
        <v>17.2</v>
      </c>
      <c r="CS554" s="229">
        <f t="shared" si="1706"/>
        <v>117.1</v>
      </c>
      <c r="CT554" s="229">
        <f t="shared" si="1707"/>
        <v>0</v>
      </c>
      <c r="CU554" s="229">
        <f t="shared" si="1708"/>
        <v>294.39999999999998</v>
      </c>
      <c r="CV554" s="229">
        <f t="shared" si="1709"/>
        <v>0</v>
      </c>
      <c r="CW554" s="229">
        <f t="shared" si="1710"/>
        <v>0</v>
      </c>
      <c r="CX554" s="229">
        <f t="shared" si="1711"/>
        <v>0</v>
      </c>
      <c r="CY554" s="229">
        <f t="shared" si="1712"/>
        <v>0</v>
      </c>
      <c r="CZ554" s="229">
        <f t="shared" si="1713"/>
        <v>0</v>
      </c>
      <c r="DA554" s="229">
        <f t="shared" si="1714"/>
        <v>40</v>
      </c>
      <c r="DB554" s="228">
        <f t="shared" si="1650"/>
        <v>536.70000000000005</v>
      </c>
      <c r="DC554" s="229"/>
      <c r="DD554" s="229"/>
      <c r="DE554" s="229"/>
      <c r="DF554" s="229"/>
      <c r="DG554" s="229"/>
      <c r="DH554" s="229"/>
      <c r="DI554" s="229"/>
      <c r="DJ554" s="229"/>
      <c r="DK554" s="229"/>
      <c r="DL554" s="229"/>
      <c r="DM554" s="229"/>
      <c r="DN554" s="229"/>
      <c r="DO554" s="228">
        <f t="shared" si="1651"/>
        <v>0</v>
      </c>
      <c r="DP554" s="228">
        <f t="shared" si="1652"/>
        <v>536.70000000000005</v>
      </c>
      <c r="DQ554" s="229">
        <f t="shared" si="1715"/>
        <v>0</v>
      </c>
      <c r="DR554" s="229">
        <f t="shared" si="1716"/>
        <v>0</v>
      </c>
      <c r="DS554" s="229">
        <f t="shared" si="1717"/>
        <v>0</v>
      </c>
      <c r="DT554" s="229">
        <f t="shared" si="1718"/>
        <v>0</v>
      </c>
      <c r="DU554" s="229">
        <f t="shared" si="1719"/>
        <v>0</v>
      </c>
      <c r="DV554" s="229">
        <f t="shared" si="1720"/>
        <v>0</v>
      </c>
      <c r="DW554" s="229">
        <f t="shared" si="1721"/>
        <v>0</v>
      </c>
      <c r="DX554" s="228">
        <f t="shared" si="1653"/>
        <v>0</v>
      </c>
      <c r="DY554" s="229"/>
      <c r="DZ554" s="229"/>
      <c r="EA554" s="229"/>
      <c r="EB554" s="229"/>
      <c r="EC554" s="229"/>
      <c r="ED554" s="229"/>
      <c r="EE554" s="229"/>
      <c r="EF554" s="228">
        <f t="shared" si="1696"/>
        <v>0</v>
      </c>
      <c r="EG554" s="228">
        <f t="shared" si="1654"/>
        <v>0</v>
      </c>
      <c r="EH554" s="229">
        <f t="shared" si="1697"/>
        <v>25</v>
      </c>
      <c r="EI554" s="229">
        <v>0</v>
      </c>
      <c r="EJ554" s="228">
        <f t="shared" ref="EJ554:EJ559" si="1809">SUM(EH554:EI554)</f>
        <v>25</v>
      </c>
      <c r="EK554" s="229"/>
      <c r="EL554" s="229"/>
      <c r="EM554" s="228">
        <f t="shared" si="1775"/>
        <v>0</v>
      </c>
      <c r="EN554" s="229">
        <f t="shared" si="1765"/>
        <v>25</v>
      </c>
      <c r="EO554" s="229">
        <f t="shared" si="1793"/>
        <v>0</v>
      </c>
      <c r="EP554" s="228">
        <f t="shared" si="1790"/>
        <v>25</v>
      </c>
      <c r="EQ554" s="173">
        <f t="shared" si="1687"/>
        <v>0</v>
      </c>
      <c r="ER554" s="189">
        <v>0</v>
      </c>
      <c r="ES554" s="189">
        <v>68</v>
      </c>
      <c r="ET554" s="189">
        <v>17.2</v>
      </c>
      <c r="EU554" s="189">
        <v>117.1</v>
      </c>
      <c r="EV554" s="189">
        <v>0</v>
      </c>
      <c r="EW554" s="189">
        <v>294.39999999999998</v>
      </c>
      <c r="EX554" s="189">
        <v>0</v>
      </c>
      <c r="EY554" s="189">
        <v>0</v>
      </c>
      <c r="EZ554" s="189">
        <v>0</v>
      </c>
      <c r="FA554" s="189">
        <v>0</v>
      </c>
      <c r="FB554" s="189">
        <v>0</v>
      </c>
      <c r="FC554" s="189">
        <v>40</v>
      </c>
      <c r="FD554" s="189">
        <v>0</v>
      </c>
      <c r="FE554" s="189">
        <v>0</v>
      </c>
      <c r="FF554" s="189">
        <v>0</v>
      </c>
      <c r="FG554" s="189">
        <v>0</v>
      </c>
      <c r="FH554" s="189">
        <v>0</v>
      </c>
      <c r="FI554" s="189">
        <v>0</v>
      </c>
      <c r="FJ554" s="189">
        <v>0</v>
      </c>
      <c r="FK554" s="189">
        <v>536.70000000000005</v>
      </c>
      <c r="FL554" s="189">
        <v>445.1</v>
      </c>
      <c r="FN554" s="132">
        <v>25</v>
      </c>
    </row>
    <row r="555" spans="1:170" ht="30" customHeight="1">
      <c r="A555" s="88">
        <f>COUNTIF($H$12:H559,H555)</f>
        <v>12</v>
      </c>
      <c r="B555" s="88" t="s">
        <v>2585</v>
      </c>
      <c r="C555" s="88" t="s">
        <v>1643</v>
      </c>
      <c r="D555" s="88"/>
      <c r="E555" s="88"/>
      <c r="F555" s="301" t="s">
        <v>1924</v>
      </c>
      <c r="G555" s="303" t="s">
        <v>2086</v>
      </c>
      <c r="H555" s="88">
        <v>11</v>
      </c>
      <c r="I555" s="88">
        <v>11</v>
      </c>
      <c r="J555" s="88">
        <v>11</v>
      </c>
      <c r="K555" s="90" t="s">
        <v>1661</v>
      </c>
      <c r="L555" s="90" t="s">
        <v>1661</v>
      </c>
      <c r="M555" s="214"/>
      <c r="N555" s="88" t="s">
        <v>1804</v>
      </c>
      <c r="O555" s="216">
        <f>BO555</f>
        <v>3</v>
      </c>
      <c r="P555" s="88" t="str">
        <f t="shared" si="1785"/>
        <v>B1_3</v>
      </c>
      <c r="Q555" s="88">
        <f t="shared" si="1751"/>
        <v>270</v>
      </c>
      <c r="R555" s="88">
        <f t="shared" si="1752"/>
        <v>100</v>
      </c>
      <c r="S555" s="218" t="s">
        <v>2006</v>
      </c>
      <c r="T555" s="88" t="s">
        <v>3095</v>
      </c>
      <c r="U555" s="88">
        <f>IF(RIGHT(T555,1)="K",(VLOOKUP(T555,ma_miengiam!$A$3:$B$80,2,0)*100)/2,VLOOKUP(T555,ma_miengiam!$A$3:$B$80,2,0)*100)</f>
        <v>40</v>
      </c>
      <c r="V555" s="88"/>
      <c r="W555" s="220">
        <f>IF(AND(T555="NTS",V555&gt;0),(Q555-(Q555*V555)/12)*VLOOKUP(T555,ma_miengiam!$A$3:$B$80,2,0)+(Q555-(Q555*(12-V555))/12),IF(AND(RIGHT(T555,1)="K",V555&gt;0),(VLOOKUP(T555,ma_miengiam!$A$3:$B$80,2,0)/2)*(Q555*V555)/12,IF(RIGHT(T555,1)="K",(VLOOKUP(T555,ma_miengiam!$A$3:$B$80,2,0)*Q555)/2,IF(V555&gt;0,VLOOKUP(T555,ma_miengiam!$A$3:$B$80,2,0)*Q555*V555/12,VLOOKUP(T555,ma_miengiam!$A$3:$B$80,2,0)*Q555))))</f>
        <v>108</v>
      </c>
      <c r="X555" s="220">
        <f>IF(T555="NTS",VLOOKUP(T555,ma_miengiam!$A$3:$B$80,2,0)*R555*V555,IF(AND(T555="NTS",V555=0),0,IF(AND(LEFT(T555,1)="K",V555=0),VLOOKUP(T555,ma_miengiam!$A$3:$B$80,2,0)*R555,IF(LEFT(T555,1)="K",(VLOOKUP(T555,ma_miengiam!$A$3:$B$80,2,0)*R555/12)*V555,IF(AND(LEFT(T555,1)="S",V555&gt;0),(R555/12)*V555,IF(AND(LEFT(T555,1)="S",V555=0),R555,IF(T555="DH",VLOOKUP(T555,ma_miengiam!$A$3:$B$80,2,0)*R555,0)))))))</f>
        <v>0</v>
      </c>
      <c r="Y555" s="220">
        <f>IF(AND(T555="DH",V555&gt;0),(S555*V555/12),IF(AND(T555&lt;&gt;"NTS",V555&gt;0),(Q555*V555/12)-W555,IF(AND(T555="NTS",V555&gt;0),Q555-W555,Q555-W555)))</f>
        <v>162</v>
      </c>
      <c r="Z555" s="220">
        <f>IF(AND(T555="SĐH",V555&gt;0),(R555/12)*V555-X555,IF(AND(T555="DH",V555&gt;0),(R555*V555/12),IF(AND(T555&lt;&gt;"NTS",V555&gt;0),(R555*V555/12)-X555,IF(AND(T555="NTS",V555&gt;0),R555-X555,R555-X555))))</f>
        <v>100</v>
      </c>
      <c r="AA555" s="220">
        <f t="shared" ref="AA555:AB559" si="1810">Q555</f>
        <v>270</v>
      </c>
      <c r="AB555" s="220">
        <f t="shared" si="1810"/>
        <v>100</v>
      </c>
      <c r="AC555" s="220">
        <f>W555</f>
        <v>108</v>
      </c>
      <c r="AD555" s="220">
        <f>X555</f>
        <v>0</v>
      </c>
      <c r="AE555" s="220">
        <f>Y555</f>
        <v>162</v>
      </c>
      <c r="AF555" s="220">
        <f>Z555</f>
        <v>100</v>
      </c>
      <c r="AG555" s="220">
        <f>AH555+AI555</f>
        <v>95</v>
      </c>
      <c r="AH555" s="220">
        <f>EO555</f>
        <v>65</v>
      </c>
      <c r="AI555" s="220">
        <f>EN555</f>
        <v>30</v>
      </c>
      <c r="AJ555" s="220">
        <f>IF(AG555-Z555&gt;0,0,AG555-Z555)</f>
        <v>-5</v>
      </c>
      <c r="AK555" s="216">
        <f t="shared" si="1639"/>
        <v>167</v>
      </c>
      <c r="AL555" s="220">
        <f>SUM(CP555:CX555)+SUM(DC555:DK555)</f>
        <v>378.70000000000005</v>
      </c>
      <c r="AM555" s="220">
        <f>SUM(DQ555:DU555)+SUM(DY555:EC555)</f>
        <v>0</v>
      </c>
      <c r="AN555" s="221">
        <f>AM555+AL555</f>
        <v>378.70000000000005</v>
      </c>
      <c r="AO555" s="220">
        <f>CY555+DL555</f>
        <v>0</v>
      </c>
      <c r="AP555" s="220">
        <f>CZ555+DM555</f>
        <v>0</v>
      </c>
      <c r="AQ555" s="220">
        <f>DA555+DN555</f>
        <v>40</v>
      </c>
      <c r="AR555" s="220">
        <f>DV555+ED555</f>
        <v>0</v>
      </c>
      <c r="AS555" s="220">
        <f>DW555+EE555</f>
        <v>0</v>
      </c>
      <c r="AT555" s="216">
        <f>AN555+SUM(AO555:AS555)</f>
        <v>418.70000000000005</v>
      </c>
      <c r="AU555" s="220">
        <f>AN555-AK555</f>
        <v>211.70000000000005</v>
      </c>
      <c r="AV555" s="220"/>
      <c r="AW555" s="220">
        <f>IF(AU555&gt;0,AU555,AV555+AU555)</f>
        <v>211.70000000000005</v>
      </c>
      <c r="AX555" s="216">
        <f t="shared" ref="AX555:AX613" si="1811">IF(AN555&gt;AK555,0,IF(AW555&lt;0,AN555-AK555+AV555,IF(AW555&gt;=0,0)))</f>
        <v>0</v>
      </c>
      <c r="AY555" s="220">
        <f>IF(AN555&gt;=AK555,AO555,IF(AN555+AO555-AK555&gt;=0,AN555+AO555-AK555,0))</f>
        <v>0</v>
      </c>
      <c r="AZ555" s="220">
        <f>IF(OR(AN555&gt;=AK555,AN555+AO555&gt;=AK555),AP555,IF(AN555+AO555+AP555&gt;AK555,AN555+AO555+AP555-AK555,0))</f>
        <v>0</v>
      </c>
      <c r="BA555" s="220">
        <f>IF(OR(AN555&gt;=AK555,AN555+AO555&gt;=AK555,AN555+AO555+AP555&gt;=AK555),AQ555,IF(AN555+AO555+AP555+AQ555&gt;=AK555,AN555+AO555+AP555+AQ555-AK555,0))</f>
        <v>40</v>
      </c>
      <c r="BB555" s="220">
        <f>IF(OR(AN555&gt;=AK555,AN555+AO555&gt;=AK555,AN555+AO555+AP555&gt;=AK555,AN555+AO555+AP555+AQ555&gt;=AK555),AR555,IF(AN555+AO555+AP555+AQ555+AR555&gt;=AK555,AN555+AO555+AP555+AQ555+AR555-AK555,0))</f>
        <v>0</v>
      </c>
      <c r="BC555" s="220">
        <f>IF(OR(AN555&gt;=AK555,AN555+AO555&gt;=AK555,AN555+AO555+AP555&gt;=AK555,AN555+AO555+AP555+AQ555&gt;=AK555,AN555+AO555+AP555+AQ555+AR555&gt;=AK555),AS555,IF(AN555+AO555+AP555+AQ555+AR555+AS555&gt;=AK555,AN555+AO555+AP555+AQ555+AR555+AS555-AK555,0))</f>
        <v>0</v>
      </c>
      <c r="BD555" s="216">
        <f t="shared" si="1778"/>
        <v>40</v>
      </c>
      <c r="BE555" s="220">
        <f>AY555-AO555</f>
        <v>0</v>
      </c>
      <c r="BF555" s="220">
        <f>AZ555-AP555</f>
        <v>0</v>
      </c>
      <c r="BG555" s="220">
        <f>BA555-AQ555</f>
        <v>0</v>
      </c>
      <c r="BH555" s="220">
        <f>BB555-AR555</f>
        <v>0</v>
      </c>
      <c r="BI555" s="220">
        <f>BC555-AS555</f>
        <v>0</v>
      </c>
      <c r="BJ555" s="220" t="s">
        <v>396</v>
      </c>
      <c r="BK555" s="220"/>
      <c r="BL555" s="223">
        <f t="shared" si="1784"/>
        <v>211.70000000000005</v>
      </c>
      <c r="BM555" s="220">
        <v>3</v>
      </c>
      <c r="BN555" s="220"/>
      <c r="BO555" s="220">
        <f>ROUND(BM555+(BM555*BN555),2)</f>
        <v>3</v>
      </c>
      <c r="BP555" s="220">
        <f>IF(AND(BL555&gt;0,BL555&lt;tiet!$D$1),BL555,IF(BL555&lt;=0,0,IF(BL555&gt;tiet!$C$1,tiet!$C$1)))</f>
        <v>200</v>
      </c>
      <c r="BQ555" s="87">
        <f t="shared" si="1799"/>
        <v>60000</v>
      </c>
      <c r="BR555" s="224">
        <f t="shared" si="1800"/>
        <v>12000000</v>
      </c>
      <c r="BS555" s="220">
        <f t="shared" si="1686"/>
        <v>11.700000000000045</v>
      </c>
      <c r="BT555" s="224">
        <f>VLOOKUP(N555,ma_dinhmuc!$A$1:$J$31,10,0)</f>
        <v>51000</v>
      </c>
      <c r="BU555" s="224">
        <f>ROUND(IF(BS555&gt;0,VLOOKUP(N555,ma_dinhmuc!$A$1:$J$31,10,0)*BS555,0),0)</f>
        <v>596700</v>
      </c>
      <c r="BV555" s="224">
        <f t="shared" si="1801"/>
        <v>12596700</v>
      </c>
      <c r="BW555" s="224"/>
      <c r="BX555" s="224">
        <v>0</v>
      </c>
      <c r="BY555" s="224"/>
      <c r="BZ555" s="224"/>
      <c r="CA555" s="224"/>
      <c r="CB555" s="224"/>
      <c r="CC555" s="225">
        <f>ROUND(IF(BV555+BW555&gt;BX555+BY555+BZ555+CA555+CB555,(BW555+BV555)-(BX555+BY555+BZ555+CA555+CB555+CB555),0),0)</f>
        <v>12596700</v>
      </c>
      <c r="CD555" s="224">
        <f>ROUND(IF(BV555+BW555&lt;BX555+BY555+BZ555+CA555-CB555,(BX555+BY555+BZ555+CA555-CB555)-(BW555+BV555),0),0)</f>
        <v>0</v>
      </c>
      <c r="CE555" s="224"/>
      <c r="CF555" s="226"/>
      <c r="CG555" s="87"/>
      <c r="CH555" s="87">
        <f>A555</f>
        <v>12</v>
      </c>
      <c r="CI555" s="227" t="str">
        <f t="shared" si="1802"/>
        <v>Hoàng Thị Mai</v>
      </c>
      <c r="CJ555" s="227" t="str">
        <f t="shared" si="1803"/>
        <v>Anh</v>
      </c>
      <c r="CK555" s="87">
        <f t="shared" si="1804"/>
        <v>11</v>
      </c>
      <c r="CL555" s="227" t="str">
        <f t="shared" si="1805"/>
        <v xml:space="preserve">Kế toán tài chính                                 </v>
      </c>
      <c r="CM555" s="87" t="str">
        <f>N555</f>
        <v>CS2</v>
      </c>
      <c r="CN555" s="87">
        <f>Q555</f>
        <v>270</v>
      </c>
      <c r="CO555" s="87">
        <f>R555</f>
        <v>100</v>
      </c>
      <c r="CP555" s="229">
        <f t="shared" si="1703"/>
        <v>0</v>
      </c>
      <c r="CQ555" s="229">
        <f t="shared" si="1704"/>
        <v>53.7</v>
      </c>
      <c r="CR555" s="229">
        <f t="shared" si="1705"/>
        <v>17.899999999999999</v>
      </c>
      <c r="CS555" s="229">
        <f t="shared" si="1706"/>
        <v>0</v>
      </c>
      <c r="CT555" s="229">
        <f t="shared" si="1707"/>
        <v>0</v>
      </c>
      <c r="CU555" s="229">
        <f t="shared" si="1708"/>
        <v>262.10000000000002</v>
      </c>
      <c r="CV555" s="229">
        <f t="shared" si="1709"/>
        <v>0</v>
      </c>
      <c r="CW555" s="229">
        <f t="shared" si="1710"/>
        <v>45</v>
      </c>
      <c r="CX555" s="229">
        <f t="shared" si="1711"/>
        <v>0</v>
      </c>
      <c r="CY555" s="229">
        <f t="shared" si="1712"/>
        <v>0</v>
      </c>
      <c r="CZ555" s="229">
        <f t="shared" si="1713"/>
        <v>0</v>
      </c>
      <c r="DA555" s="229">
        <f t="shared" si="1714"/>
        <v>40</v>
      </c>
      <c r="DB555" s="228">
        <f>SUM(CP555:DA555)</f>
        <v>418.70000000000005</v>
      </c>
      <c r="DC555" s="229"/>
      <c r="DD555" s="229"/>
      <c r="DE555" s="229"/>
      <c r="DF555" s="229"/>
      <c r="DG555" s="229"/>
      <c r="DH555" s="229"/>
      <c r="DI555" s="229"/>
      <c r="DJ555" s="229"/>
      <c r="DK555" s="229"/>
      <c r="DL555" s="229"/>
      <c r="DM555" s="229"/>
      <c r="DN555" s="229"/>
      <c r="DO555" s="228">
        <f>SUM(DC555:DN555)</f>
        <v>0</v>
      </c>
      <c r="DP555" s="228">
        <f>DO555+DB555</f>
        <v>418.70000000000005</v>
      </c>
      <c r="DQ555" s="229">
        <f t="shared" si="1715"/>
        <v>0</v>
      </c>
      <c r="DR555" s="229">
        <f t="shared" si="1716"/>
        <v>0</v>
      </c>
      <c r="DS555" s="229">
        <f t="shared" si="1717"/>
        <v>0</v>
      </c>
      <c r="DT555" s="229">
        <f t="shared" si="1718"/>
        <v>0</v>
      </c>
      <c r="DU555" s="229">
        <f t="shared" si="1719"/>
        <v>0</v>
      </c>
      <c r="DV555" s="229">
        <f t="shared" si="1720"/>
        <v>0</v>
      </c>
      <c r="DW555" s="229">
        <f t="shared" si="1721"/>
        <v>0</v>
      </c>
      <c r="DX555" s="228">
        <f>SUM(DQ555:DW555)</f>
        <v>0</v>
      </c>
      <c r="DY555" s="229"/>
      <c r="DZ555" s="229"/>
      <c r="EA555" s="229"/>
      <c r="EB555" s="229"/>
      <c r="EC555" s="229"/>
      <c r="ED555" s="229"/>
      <c r="EE555" s="229"/>
      <c r="EF555" s="228">
        <f t="shared" si="1696"/>
        <v>0</v>
      </c>
      <c r="EG555" s="228">
        <f>EF555+DX555</f>
        <v>0</v>
      </c>
      <c r="EH555" s="229">
        <f t="shared" si="1697"/>
        <v>30</v>
      </c>
      <c r="EI555" s="229">
        <v>65</v>
      </c>
      <c r="EJ555" s="228">
        <f>SUM(EH555:EI555)</f>
        <v>95</v>
      </c>
      <c r="EK555" s="229"/>
      <c r="EL555" s="229"/>
      <c r="EM555" s="228">
        <f t="shared" si="1775"/>
        <v>0</v>
      </c>
      <c r="EN555" s="229">
        <f>EK555+EH555+EL555</f>
        <v>30</v>
      </c>
      <c r="EO555" s="229">
        <f>EI555</f>
        <v>65</v>
      </c>
      <c r="EP555" s="228">
        <f>EM555+EJ555</f>
        <v>95</v>
      </c>
      <c r="EQ555" s="173">
        <f t="shared" si="1687"/>
        <v>0</v>
      </c>
      <c r="ER555" s="189">
        <v>0</v>
      </c>
      <c r="ES555" s="189">
        <v>53.7</v>
      </c>
      <c r="ET555" s="189">
        <v>17.899999999999999</v>
      </c>
      <c r="EU555" s="189">
        <v>0</v>
      </c>
      <c r="EV555" s="189">
        <v>0</v>
      </c>
      <c r="EW555" s="189">
        <v>262.10000000000002</v>
      </c>
      <c r="EX555" s="189">
        <v>0</v>
      </c>
      <c r="EY555" s="189">
        <v>45</v>
      </c>
      <c r="EZ555" s="189">
        <v>0</v>
      </c>
      <c r="FA555" s="189">
        <v>0</v>
      </c>
      <c r="FB555" s="189">
        <v>0</v>
      </c>
      <c r="FC555" s="189">
        <v>40</v>
      </c>
      <c r="FD555" s="189">
        <v>0</v>
      </c>
      <c r="FE555" s="189">
        <v>0</v>
      </c>
      <c r="FF555" s="189">
        <v>0</v>
      </c>
      <c r="FG555" s="189">
        <v>0</v>
      </c>
      <c r="FH555" s="189">
        <v>0</v>
      </c>
      <c r="FI555" s="189">
        <v>0</v>
      </c>
      <c r="FJ555" s="189">
        <v>0</v>
      </c>
      <c r="FK555" s="189">
        <v>418.7</v>
      </c>
      <c r="FL555" s="189">
        <v>322</v>
      </c>
      <c r="FN555" s="132">
        <v>30</v>
      </c>
    </row>
    <row r="556" spans="1:170" ht="30" customHeight="1">
      <c r="A556" s="88">
        <f>COUNTIF($H$12:H556,H556)</f>
        <v>9</v>
      </c>
      <c r="B556" s="88" t="s">
        <v>2583</v>
      </c>
      <c r="C556" s="88" t="s">
        <v>1644</v>
      </c>
      <c r="D556" s="88"/>
      <c r="E556" s="88"/>
      <c r="F556" s="301" t="s">
        <v>3029</v>
      </c>
      <c r="G556" s="89" t="s">
        <v>3034</v>
      </c>
      <c r="H556" s="88">
        <v>11</v>
      </c>
      <c r="I556" s="88">
        <v>11</v>
      </c>
      <c r="J556" s="88">
        <v>11</v>
      </c>
      <c r="K556" s="90" t="s">
        <v>1661</v>
      </c>
      <c r="L556" s="90" t="s">
        <v>1661</v>
      </c>
      <c r="M556" s="214"/>
      <c r="N556" s="88" t="s">
        <v>1804</v>
      </c>
      <c r="O556" s="216">
        <f t="shared" si="1806"/>
        <v>3.33</v>
      </c>
      <c r="P556" s="88" t="str">
        <f t="shared" si="1785"/>
        <v>B1_4</v>
      </c>
      <c r="Q556" s="88">
        <f t="shared" si="1751"/>
        <v>270</v>
      </c>
      <c r="R556" s="88">
        <f t="shared" si="1752"/>
        <v>120</v>
      </c>
      <c r="S556" s="230" t="s">
        <v>2461</v>
      </c>
      <c r="T556" s="88" t="s">
        <v>2961</v>
      </c>
      <c r="U556" s="88">
        <f>IF(RIGHT(T556,1)="K",(VLOOKUP(T556,ma_miengiam!$A$3:$B$80,2,0)*100)/2,VLOOKUP(T556,ma_miengiam!$A$3:$B$80,2,0)*100)</f>
        <v>100</v>
      </c>
      <c r="V556" s="88"/>
      <c r="W556" s="220">
        <f>IF(AND(T556="NTS",V556&gt;0),(Q556-(Q556*V556)/12)*VLOOKUP(T556,ma_miengiam!$A$3:$B$80,2,0)+(Q556-(Q556*(12-V556))/12),IF(AND(RIGHT(T556,1)="K",V556&gt;0),(VLOOKUP(T556,ma_miengiam!$A$3:$B$80,2,0)/2)*(Q556*V556)/12,IF(RIGHT(T556,1)="K",(VLOOKUP(T556,ma_miengiam!$A$3:$B$80,2,0)*Q556)/2,IF(V556&gt;0,VLOOKUP(T556,ma_miengiam!$A$3:$B$80,2,0)*Q556*V556/12,VLOOKUP(T556,ma_miengiam!$A$3:$B$80,2,0)*Q556))))</f>
        <v>270</v>
      </c>
      <c r="X556" s="220">
        <f>IF(T556="NTS",VLOOKUP(T556,ma_miengiam!$A$3:$B$80,2,0)*R556*V556,IF(AND(T556="NTS",V556=0),0,IF(AND(LEFT(T556,1)="K",V556=0),VLOOKUP(T556,ma_miengiam!$A$3:$B$80,2,0)*R556,IF(LEFT(T556,1)="K",(VLOOKUP(T556,ma_miengiam!$A$3:$B$80,2,0)*R556/12)*V556,IF(AND(LEFT(T556,1)="S",V556&gt;0),(R556/12)*V556,IF(AND(LEFT(T556,1)="S",V556=0),R556,IF(T556="DH",VLOOKUP(T556,ma_miengiam!$A$3:$B$80,2,0)*R556,0)))))))</f>
        <v>120</v>
      </c>
      <c r="Y556" s="220">
        <f t="shared" si="1745"/>
        <v>0</v>
      </c>
      <c r="Z556" s="220">
        <f>IF(AND(T556="SĐH",V556&gt;0),(R556/12)*V556-X556,IF(AND(T556="DH",V556&gt;0),(R556*V556/12),IF(AND(T556&lt;&gt;"NTS",V556&gt;0),(R556*V556/12)-X556,IF(AND(T556="NTS",V556&gt;0),R556-X556,R556-X556))))</f>
        <v>0</v>
      </c>
      <c r="AA556" s="220">
        <f t="shared" si="1810"/>
        <v>270</v>
      </c>
      <c r="AB556" s="220">
        <f t="shared" si="1810"/>
        <v>120</v>
      </c>
      <c r="AC556" s="220">
        <f t="shared" si="1807"/>
        <v>270</v>
      </c>
      <c r="AD556" s="220">
        <f t="shared" si="1807"/>
        <v>120</v>
      </c>
      <c r="AE556" s="220">
        <f t="shared" si="1807"/>
        <v>0</v>
      </c>
      <c r="AF556" s="220">
        <f t="shared" si="1807"/>
        <v>0</v>
      </c>
      <c r="AG556" s="220">
        <f t="shared" si="1796"/>
        <v>66</v>
      </c>
      <c r="AH556" s="220">
        <f t="shared" si="1797"/>
        <v>0</v>
      </c>
      <c r="AI556" s="220">
        <f t="shared" si="1798"/>
        <v>66</v>
      </c>
      <c r="AJ556" s="220">
        <f t="shared" si="1780"/>
        <v>0</v>
      </c>
      <c r="AK556" s="216">
        <f t="shared" si="1639"/>
        <v>0</v>
      </c>
      <c r="AL556" s="220">
        <f t="shared" si="1640"/>
        <v>0</v>
      </c>
      <c r="AM556" s="220">
        <f t="shared" si="1641"/>
        <v>0</v>
      </c>
      <c r="AN556" s="221">
        <f t="shared" si="1642"/>
        <v>0</v>
      </c>
      <c r="AO556" s="220">
        <f t="shared" si="1643"/>
        <v>0</v>
      </c>
      <c r="AP556" s="220">
        <f t="shared" si="1644"/>
        <v>0</v>
      </c>
      <c r="AQ556" s="220">
        <f t="shared" si="1645"/>
        <v>0</v>
      </c>
      <c r="AR556" s="220">
        <f t="shared" si="1646"/>
        <v>0</v>
      </c>
      <c r="AS556" s="220">
        <f t="shared" si="1647"/>
        <v>0</v>
      </c>
      <c r="AT556" s="216">
        <f t="shared" si="1648"/>
        <v>0</v>
      </c>
      <c r="AU556" s="222">
        <f>AN556-AK556</f>
        <v>0</v>
      </c>
      <c r="AV556" s="220"/>
      <c r="AW556" s="220">
        <f t="shared" si="1688"/>
        <v>0</v>
      </c>
      <c r="AX556" s="216">
        <f t="shared" si="1811"/>
        <v>0</v>
      </c>
      <c r="AY556" s="220">
        <f t="shared" si="1698"/>
        <v>0</v>
      </c>
      <c r="AZ556" s="220">
        <f t="shared" si="1699"/>
        <v>0</v>
      </c>
      <c r="BA556" s="220">
        <f t="shared" si="1700"/>
        <v>0</v>
      </c>
      <c r="BB556" s="220">
        <f t="shared" si="1701"/>
        <v>0</v>
      </c>
      <c r="BC556" s="220">
        <f t="shared" si="1702"/>
        <v>0</v>
      </c>
      <c r="BD556" s="216">
        <f t="shared" si="1778"/>
        <v>0</v>
      </c>
      <c r="BE556" s="220">
        <f t="shared" si="1689"/>
        <v>0</v>
      </c>
      <c r="BF556" s="220">
        <f t="shared" si="1690"/>
        <v>0</v>
      </c>
      <c r="BG556" s="220">
        <f t="shared" si="1691"/>
        <v>0</v>
      </c>
      <c r="BH556" s="220">
        <f t="shared" si="1692"/>
        <v>0</v>
      </c>
      <c r="BI556" s="220">
        <f t="shared" si="1693"/>
        <v>0</v>
      </c>
      <c r="BJ556" s="220" t="s">
        <v>396</v>
      </c>
      <c r="BK556" s="220"/>
      <c r="BL556" s="223">
        <f t="shared" si="1784"/>
        <v>0</v>
      </c>
      <c r="BM556" s="220">
        <v>3.33</v>
      </c>
      <c r="BN556" s="220"/>
      <c r="BO556" s="220">
        <f t="shared" si="1787"/>
        <v>3.33</v>
      </c>
      <c r="BP556" s="220">
        <f>IF(AND(BL556&gt;0,BL556&lt;tiet!$D$1),BL556,IF(BL556&lt;=0,0,IF(BL556&gt;tiet!$C$1,tiet!$C$1)))</f>
        <v>0</v>
      </c>
      <c r="BQ556" s="87">
        <f t="shared" si="1799"/>
        <v>65000</v>
      </c>
      <c r="BR556" s="224">
        <f t="shared" si="1800"/>
        <v>0</v>
      </c>
      <c r="BS556" s="220">
        <f t="shared" si="1686"/>
        <v>0</v>
      </c>
      <c r="BT556" s="224">
        <f>VLOOKUP(N556,ma_dinhmuc!$A$1:$J$31,10,0)</f>
        <v>51000</v>
      </c>
      <c r="BU556" s="224">
        <f>ROUND(IF(BS556&gt;0,VLOOKUP(N556,ma_dinhmuc!$A$1:$J$31,10,0)*BS556,0),0)</f>
        <v>0</v>
      </c>
      <c r="BV556" s="224">
        <f t="shared" si="1801"/>
        <v>0</v>
      </c>
      <c r="BW556" s="224"/>
      <c r="BX556" s="224">
        <v>0</v>
      </c>
      <c r="BY556" s="224"/>
      <c r="BZ556" s="224"/>
      <c r="CA556" s="224"/>
      <c r="CB556" s="224"/>
      <c r="CC556" s="225">
        <f t="shared" si="1781"/>
        <v>0</v>
      </c>
      <c r="CD556" s="224">
        <f t="shared" si="1782"/>
        <v>0</v>
      </c>
      <c r="CE556" s="224"/>
      <c r="CF556" s="226"/>
      <c r="CG556" s="87"/>
      <c r="CH556" s="87">
        <f t="shared" si="1788"/>
        <v>9</v>
      </c>
      <c r="CI556" s="227" t="str">
        <f t="shared" si="1802"/>
        <v>Trần Minh</v>
      </c>
      <c r="CJ556" s="227" t="str">
        <f t="shared" si="1803"/>
        <v>Huệ</v>
      </c>
      <c r="CK556" s="87">
        <f t="shared" si="1804"/>
        <v>11</v>
      </c>
      <c r="CL556" s="227" t="str">
        <f t="shared" si="1805"/>
        <v xml:space="preserve">Kế toán tài chính                                 </v>
      </c>
      <c r="CM556" s="87" t="str">
        <f t="shared" si="1694"/>
        <v>CS2</v>
      </c>
      <c r="CN556" s="87">
        <f t="shared" si="1808"/>
        <v>270</v>
      </c>
      <c r="CO556" s="87">
        <f t="shared" si="1808"/>
        <v>120</v>
      </c>
      <c r="CP556" s="229">
        <f t="shared" si="1703"/>
        <v>0</v>
      </c>
      <c r="CQ556" s="229">
        <f t="shared" si="1704"/>
        <v>0</v>
      </c>
      <c r="CR556" s="229">
        <f t="shared" si="1705"/>
        <v>0</v>
      </c>
      <c r="CS556" s="229">
        <f t="shared" si="1706"/>
        <v>0</v>
      </c>
      <c r="CT556" s="229">
        <f t="shared" si="1707"/>
        <v>0</v>
      </c>
      <c r="CU556" s="229">
        <f t="shared" si="1708"/>
        <v>0</v>
      </c>
      <c r="CV556" s="229">
        <f t="shared" si="1709"/>
        <v>0</v>
      </c>
      <c r="CW556" s="229">
        <f t="shared" si="1710"/>
        <v>0</v>
      </c>
      <c r="CX556" s="229">
        <f t="shared" si="1711"/>
        <v>0</v>
      </c>
      <c r="CY556" s="229">
        <f t="shared" si="1712"/>
        <v>0</v>
      </c>
      <c r="CZ556" s="229">
        <f t="shared" si="1713"/>
        <v>0</v>
      </c>
      <c r="DA556" s="229">
        <f t="shared" si="1714"/>
        <v>0</v>
      </c>
      <c r="DB556" s="228">
        <f t="shared" si="1650"/>
        <v>0</v>
      </c>
      <c r="DC556" s="229"/>
      <c r="DD556" s="229"/>
      <c r="DE556" s="229"/>
      <c r="DF556" s="229"/>
      <c r="DG556" s="229"/>
      <c r="DH556" s="229"/>
      <c r="DI556" s="229"/>
      <c r="DJ556" s="229"/>
      <c r="DK556" s="229"/>
      <c r="DL556" s="229"/>
      <c r="DM556" s="229"/>
      <c r="DN556" s="229"/>
      <c r="DO556" s="228">
        <f t="shared" si="1651"/>
        <v>0</v>
      </c>
      <c r="DP556" s="228">
        <f t="shared" si="1652"/>
        <v>0</v>
      </c>
      <c r="DQ556" s="229">
        <f t="shared" si="1715"/>
        <v>0</v>
      </c>
      <c r="DR556" s="229">
        <f t="shared" si="1716"/>
        <v>0</v>
      </c>
      <c r="DS556" s="229">
        <f t="shared" si="1717"/>
        <v>0</v>
      </c>
      <c r="DT556" s="229">
        <f t="shared" si="1718"/>
        <v>0</v>
      </c>
      <c r="DU556" s="229">
        <f t="shared" si="1719"/>
        <v>0</v>
      </c>
      <c r="DV556" s="229">
        <f t="shared" si="1720"/>
        <v>0</v>
      </c>
      <c r="DW556" s="229">
        <f t="shared" si="1721"/>
        <v>0</v>
      </c>
      <c r="DX556" s="228">
        <f t="shared" si="1653"/>
        <v>0</v>
      </c>
      <c r="DY556" s="229"/>
      <c r="DZ556" s="229"/>
      <c r="EA556" s="229"/>
      <c r="EB556" s="229"/>
      <c r="EC556" s="229"/>
      <c r="ED556" s="229"/>
      <c r="EE556" s="229"/>
      <c r="EF556" s="228">
        <f t="shared" si="1696"/>
        <v>0</v>
      </c>
      <c r="EG556" s="228">
        <f t="shared" si="1654"/>
        <v>0</v>
      </c>
      <c r="EH556" s="229">
        <f t="shared" si="1697"/>
        <v>66</v>
      </c>
      <c r="EI556" s="229">
        <v>0</v>
      </c>
      <c r="EJ556" s="228">
        <f t="shared" si="1809"/>
        <v>66</v>
      </c>
      <c r="EK556" s="229"/>
      <c r="EL556" s="229"/>
      <c r="EM556" s="228">
        <f t="shared" si="1775"/>
        <v>0</v>
      </c>
      <c r="EN556" s="229">
        <f t="shared" si="1765"/>
        <v>66</v>
      </c>
      <c r="EO556" s="229">
        <f>EI556</f>
        <v>0</v>
      </c>
      <c r="EP556" s="228">
        <f t="shared" si="1790"/>
        <v>66</v>
      </c>
      <c r="EQ556" s="173">
        <f t="shared" si="1687"/>
        <v>66</v>
      </c>
      <c r="ER556" s="189">
        <v>0</v>
      </c>
      <c r="ES556" s="189">
        <v>0</v>
      </c>
      <c r="ET556" s="189">
        <v>0</v>
      </c>
      <c r="EU556" s="189">
        <v>0</v>
      </c>
      <c r="EV556" s="189">
        <v>0</v>
      </c>
      <c r="EW556" s="189">
        <v>0</v>
      </c>
      <c r="EX556" s="189">
        <v>0</v>
      </c>
      <c r="EY556" s="189">
        <v>0</v>
      </c>
      <c r="EZ556" s="189">
        <v>0</v>
      </c>
      <c r="FA556" s="189">
        <v>0</v>
      </c>
      <c r="FB556" s="189">
        <v>0</v>
      </c>
      <c r="FC556" s="189">
        <v>0</v>
      </c>
      <c r="FD556" s="189">
        <v>0</v>
      </c>
      <c r="FE556" s="189">
        <v>0</v>
      </c>
      <c r="FF556" s="189">
        <v>0</v>
      </c>
      <c r="FG556" s="189">
        <v>0</v>
      </c>
      <c r="FH556" s="189">
        <v>0</v>
      </c>
      <c r="FI556" s="189">
        <v>0</v>
      </c>
      <c r="FJ556" s="189">
        <v>0</v>
      </c>
      <c r="FK556" s="189">
        <v>0</v>
      </c>
      <c r="FL556" s="189">
        <v>0</v>
      </c>
      <c r="FN556" s="132">
        <v>66</v>
      </c>
    </row>
    <row r="557" spans="1:170" ht="30" customHeight="1">
      <c r="A557" s="88">
        <f>COUNTIF($H$12:H557,H557)</f>
        <v>10</v>
      </c>
      <c r="B557" s="88" t="s">
        <v>2584</v>
      </c>
      <c r="C557" s="88" t="s">
        <v>1645</v>
      </c>
      <c r="D557" s="88"/>
      <c r="E557" s="88"/>
      <c r="F557" s="301" t="s">
        <v>2857</v>
      </c>
      <c r="G557" s="89" t="s">
        <v>1277</v>
      </c>
      <c r="H557" s="88">
        <v>11</v>
      </c>
      <c r="I557" s="88">
        <v>11</v>
      </c>
      <c r="J557" s="88">
        <v>11</v>
      </c>
      <c r="K557" s="90" t="s">
        <v>1661</v>
      </c>
      <c r="L557" s="90" t="s">
        <v>1661</v>
      </c>
      <c r="M557" s="214"/>
      <c r="N557" s="88" t="s">
        <v>1804</v>
      </c>
      <c r="O557" s="216">
        <f t="shared" si="1806"/>
        <v>3</v>
      </c>
      <c r="P557" s="88" t="str">
        <f t="shared" si="1785"/>
        <v>B1_3</v>
      </c>
      <c r="Q557" s="88">
        <f t="shared" si="1751"/>
        <v>270</v>
      </c>
      <c r="R557" s="88">
        <f t="shared" si="1752"/>
        <v>100</v>
      </c>
      <c r="S557" s="230" t="s">
        <v>2461</v>
      </c>
      <c r="T557" s="88" t="s">
        <v>2961</v>
      </c>
      <c r="U557" s="88">
        <f>IF(RIGHT(T557,1)="K",(VLOOKUP(T557,ma_miengiam!$A$3:$B$80,2,0)*100)/2,VLOOKUP(T557,ma_miengiam!$A$3:$B$80,2,0)*100)</f>
        <v>100</v>
      </c>
      <c r="V557" s="88"/>
      <c r="W557" s="220">
        <f>IF(AND(T557="NTS",V557&gt;0),(Q557-(Q557*V557)/12)*VLOOKUP(T557,ma_miengiam!$A$3:$B$80,2,0)+(Q557-(Q557*(12-V557))/12),IF(AND(RIGHT(T557,1)="K",V557&gt;0),(VLOOKUP(T557,ma_miengiam!$A$3:$B$80,2,0)/2)*(Q557*V557)/12,IF(RIGHT(T557,1)="K",(VLOOKUP(T557,ma_miengiam!$A$3:$B$80,2,0)*Q557)/2,IF(V557&gt;0,VLOOKUP(T557,ma_miengiam!$A$3:$B$80,2,0)*Q557*V557/12,VLOOKUP(T557,ma_miengiam!$A$3:$B$80,2,0)*Q557))))</f>
        <v>270</v>
      </c>
      <c r="X557" s="220">
        <f>IF(T557="NTS",VLOOKUP(T557,ma_miengiam!$A$3:$B$80,2,0)*R557*V557,IF(AND(T557="NTS",V557=0),0,IF(AND(LEFT(T557,1)="K",V557=0),VLOOKUP(T557,ma_miengiam!$A$3:$B$80,2,0)*R557,IF(LEFT(T557,1)="K",(VLOOKUP(T557,ma_miengiam!$A$3:$B$80,2,0)*R557/12)*V557,IF(AND(LEFT(T557,1)="S",V557&gt;0),(R557/12)*V557,IF(AND(LEFT(T557,1)="S",V557=0),R557,IF(T557="DH",VLOOKUP(T557,ma_miengiam!$A$3:$B$80,2,0)*R557,0)))))))</f>
        <v>100</v>
      </c>
      <c r="Y557" s="220">
        <f t="shared" si="1745"/>
        <v>0</v>
      </c>
      <c r="Z557" s="220">
        <f>IF(AND(T557="SĐH",V557&gt;0),(R557/12)*V557-X557,IF(AND(T557="DH",V557&gt;0),(R557*V557/12),IF(AND(T557&lt;&gt;"NTS",V557&gt;0),(R557*V557/12)-X557,IF(AND(T557="NTS",V557&gt;0),R557-X557,R557-X557))))</f>
        <v>0</v>
      </c>
      <c r="AA557" s="220">
        <f t="shared" si="1810"/>
        <v>270</v>
      </c>
      <c r="AB557" s="220">
        <f t="shared" si="1810"/>
        <v>100</v>
      </c>
      <c r="AC557" s="220">
        <f t="shared" si="1807"/>
        <v>270</v>
      </c>
      <c r="AD557" s="220">
        <f t="shared" si="1807"/>
        <v>100</v>
      </c>
      <c r="AE557" s="220">
        <f t="shared" si="1807"/>
        <v>0</v>
      </c>
      <c r="AF557" s="220">
        <f t="shared" si="1807"/>
        <v>0</v>
      </c>
      <c r="AG557" s="220">
        <f t="shared" si="1796"/>
        <v>106</v>
      </c>
      <c r="AH557" s="220">
        <f t="shared" si="1797"/>
        <v>100</v>
      </c>
      <c r="AI557" s="220">
        <f t="shared" si="1798"/>
        <v>6</v>
      </c>
      <c r="AJ557" s="220">
        <f t="shared" si="1780"/>
        <v>0</v>
      </c>
      <c r="AK557" s="216">
        <f t="shared" ref="AK557:AK616" si="1812">IF(AJ557&gt;=0,Y557,Y557-AJ557)</f>
        <v>0</v>
      </c>
      <c r="AL557" s="220">
        <f t="shared" si="1640"/>
        <v>0</v>
      </c>
      <c r="AM557" s="220">
        <f t="shared" si="1641"/>
        <v>0</v>
      </c>
      <c r="AN557" s="221">
        <f t="shared" si="1642"/>
        <v>0</v>
      </c>
      <c r="AO557" s="220">
        <f t="shared" si="1643"/>
        <v>0</v>
      </c>
      <c r="AP557" s="220">
        <f t="shared" si="1644"/>
        <v>0</v>
      </c>
      <c r="AQ557" s="220">
        <f t="shared" si="1645"/>
        <v>0</v>
      </c>
      <c r="AR557" s="220">
        <f t="shared" si="1646"/>
        <v>0</v>
      </c>
      <c r="AS557" s="220">
        <f t="shared" si="1647"/>
        <v>0</v>
      </c>
      <c r="AT557" s="216">
        <f t="shared" si="1648"/>
        <v>0</v>
      </c>
      <c r="AU557" s="222">
        <f>AN557-AK557</f>
        <v>0</v>
      </c>
      <c r="AV557" s="220"/>
      <c r="AW557" s="220">
        <f t="shared" si="1688"/>
        <v>0</v>
      </c>
      <c r="AX557" s="216">
        <f t="shared" si="1811"/>
        <v>0</v>
      </c>
      <c r="AY557" s="220">
        <f t="shared" si="1698"/>
        <v>0</v>
      </c>
      <c r="AZ557" s="220">
        <f t="shared" si="1699"/>
        <v>0</v>
      </c>
      <c r="BA557" s="220">
        <f t="shared" si="1700"/>
        <v>0</v>
      </c>
      <c r="BB557" s="220">
        <f t="shared" si="1701"/>
        <v>0</v>
      </c>
      <c r="BC557" s="220">
        <f t="shared" si="1702"/>
        <v>0</v>
      </c>
      <c r="BD557" s="216">
        <f t="shared" si="1778"/>
        <v>0</v>
      </c>
      <c r="BE557" s="220">
        <f t="shared" si="1689"/>
        <v>0</v>
      </c>
      <c r="BF557" s="220">
        <f t="shared" si="1690"/>
        <v>0</v>
      </c>
      <c r="BG557" s="220">
        <f t="shared" si="1691"/>
        <v>0</v>
      </c>
      <c r="BH557" s="220">
        <f t="shared" si="1692"/>
        <v>0</v>
      </c>
      <c r="BI557" s="220">
        <f t="shared" si="1693"/>
        <v>0</v>
      </c>
      <c r="BJ557" s="220" t="s">
        <v>396</v>
      </c>
      <c r="BK557" s="220"/>
      <c r="BL557" s="223">
        <f t="shared" si="1784"/>
        <v>0</v>
      </c>
      <c r="BM557" s="220">
        <v>3</v>
      </c>
      <c r="BN557" s="220"/>
      <c r="BO557" s="220">
        <f t="shared" si="1787"/>
        <v>3</v>
      </c>
      <c r="BP557" s="220">
        <f>IF(AND(BL557&gt;0,BL557&lt;tiet!$D$1),BL557,IF(BL557&lt;=0,0,IF(BL557&gt;tiet!$C$1,tiet!$C$1)))</f>
        <v>0</v>
      </c>
      <c r="BQ557" s="87">
        <f t="shared" si="1799"/>
        <v>60000</v>
      </c>
      <c r="BR557" s="224">
        <f t="shared" si="1800"/>
        <v>0</v>
      </c>
      <c r="BS557" s="220">
        <f t="shared" si="1686"/>
        <v>0</v>
      </c>
      <c r="BT557" s="224">
        <f>VLOOKUP(N557,ma_dinhmuc!$A$1:$J$31,10,0)</f>
        <v>51000</v>
      </c>
      <c r="BU557" s="224">
        <f>ROUND(IF(BS557&gt;0,VLOOKUP(N557,ma_dinhmuc!$A$1:$J$31,10,0)*BS557,0),0)</f>
        <v>0</v>
      </c>
      <c r="BV557" s="224">
        <f t="shared" si="1801"/>
        <v>0</v>
      </c>
      <c r="BW557" s="224"/>
      <c r="BX557" s="224">
        <v>0</v>
      </c>
      <c r="BY557" s="224"/>
      <c r="BZ557" s="224"/>
      <c r="CA557" s="224"/>
      <c r="CB557" s="224"/>
      <c r="CC557" s="225">
        <f t="shared" si="1781"/>
        <v>0</v>
      </c>
      <c r="CD557" s="224">
        <f t="shared" si="1782"/>
        <v>0</v>
      </c>
      <c r="CE557" s="224"/>
      <c r="CF557" s="226"/>
      <c r="CG557" s="87"/>
      <c r="CH557" s="87">
        <f t="shared" si="1788"/>
        <v>10</v>
      </c>
      <c r="CI557" s="227" t="str">
        <f t="shared" si="1802"/>
        <v>Trần Thị</v>
      </c>
      <c r="CJ557" s="227" t="str">
        <f t="shared" si="1803"/>
        <v>Thương</v>
      </c>
      <c r="CK557" s="87">
        <f t="shared" si="1804"/>
        <v>11</v>
      </c>
      <c r="CL557" s="227" t="str">
        <f t="shared" si="1805"/>
        <v xml:space="preserve">Kế toán tài chính                                 </v>
      </c>
      <c r="CM557" s="87" t="str">
        <f t="shared" si="1694"/>
        <v>CS2</v>
      </c>
      <c r="CN557" s="87">
        <f t="shared" si="1808"/>
        <v>270</v>
      </c>
      <c r="CO557" s="87">
        <f t="shared" si="1808"/>
        <v>100</v>
      </c>
      <c r="CP557" s="229">
        <f t="shared" si="1703"/>
        <v>0</v>
      </c>
      <c r="CQ557" s="229">
        <f t="shared" si="1704"/>
        <v>0</v>
      </c>
      <c r="CR557" s="229">
        <f t="shared" si="1705"/>
        <v>0</v>
      </c>
      <c r="CS557" s="229">
        <f t="shared" si="1706"/>
        <v>0</v>
      </c>
      <c r="CT557" s="229">
        <f t="shared" si="1707"/>
        <v>0</v>
      </c>
      <c r="CU557" s="229">
        <f t="shared" si="1708"/>
        <v>0</v>
      </c>
      <c r="CV557" s="229">
        <f t="shared" si="1709"/>
        <v>0</v>
      </c>
      <c r="CW557" s="229">
        <f t="shared" si="1710"/>
        <v>0</v>
      </c>
      <c r="CX557" s="229">
        <f t="shared" si="1711"/>
        <v>0</v>
      </c>
      <c r="CY557" s="229">
        <f t="shared" si="1712"/>
        <v>0</v>
      </c>
      <c r="CZ557" s="229">
        <f t="shared" si="1713"/>
        <v>0</v>
      </c>
      <c r="DA557" s="229">
        <f t="shared" si="1714"/>
        <v>0</v>
      </c>
      <c r="DB557" s="228">
        <f t="shared" si="1650"/>
        <v>0</v>
      </c>
      <c r="DC557" s="229"/>
      <c r="DD557" s="229"/>
      <c r="DE557" s="229"/>
      <c r="DF557" s="229"/>
      <c r="DG557" s="229"/>
      <c r="DH557" s="229"/>
      <c r="DI557" s="229"/>
      <c r="DJ557" s="229"/>
      <c r="DK557" s="229"/>
      <c r="DL557" s="229"/>
      <c r="DM557" s="229"/>
      <c r="DN557" s="229"/>
      <c r="DO557" s="228">
        <f t="shared" si="1651"/>
        <v>0</v>
      </c>
      <c r="DP557" s="228">
        <f t="shared" si="1652"/>
        <v>0</v>
      </c>
      <c r="DQ557" s="229">
        <f t="shared" si="1715"/>
        <v>0</v>
      </c>
      <c r="DR557" s="229">
        <f t="shared" si="1716"/>
        <v>0</v>
      </c>
      <c r="DS557" s="229">
        <f t="shared" si="1717"/>
        <v>0</v>
      </c>
      <c r="DT557" s="229">
        <f t="shared" si="1718"/>
        <v>0</v>
      </c>
      <c r="DU557" s="229">
        <f t="shared" si="1719"/>
        <v>0</v>
      </c>
      <c r="DV557" s="229">
        <f t="shared" si="1720"/>
        <v>0</v>
      </c>
      <c r="DW557" s="229">
        <f t="shared" si="1721"/>
        <v>0</v>
      </c>
      <c r="DX557" s="228">
        <f t="shared" si="1653"/>
        <v>0</v>
      </c>
      <c r="DY557" s="229"/>
      <c r="DZ557" s="229"/>
      <c r="EA557" s="229"/>
      <c r="EB557" s="229"/>
      <c r="EC557" s="229"/>
      <c r="ED557" s="229"/>
      <c r="EE557" s="229"/>
      <c r="EF557" s="228">
        <f t="shared" si="1696"/>
        <v>0</v>
      </c>
      <c r="EG557" s="228">
        <f t="shared" si="1654"/>
        <v>0</v>
      </c>
      <c r="EH557" s="229">
        <f t="shared" si="1697"/>
        <v>6</v>
      </c>
      <c r="EI557" s="229">
        <v>100</v>
      </c>
      <c r="EJ557" s="228">
        <f t="shared" si="1809"/>
        <v>106</v>
      </c>
      <c r="EK557" s="229"/>
      <c r="EL557" s="229"/>
      <c r="EM557" s="228">
        <f t="shared" si="1775"/>
        <v>0</v>
      </c>
      <c r="EN557" s="229">
        <f t="shared" si="1765"/>
        <v>6</v>
      </c>
      <c r="EO557" s="229">
        <f>EI557</f>
        <v>100</v>
      </c>
      <c r="EP557" s="228">
        <f t="shared" si="1790"/>
        <v>106</v>
      </c>
      <c r="EQ557" s="173">
        <f t="shared" si="1687"/>
        <v>6</v>
      </c>
      <c r="ER557" s="189">
        <v>0</v>
      </c>
      <c r="ES557" s="189">
        <v>0</v>
      </c>
      <c r="ET557" s="189">
        <v>0</v>
      </c>
      <c r="EU557" s="189">
        <v>0</v>
      </c>
      <c r="EV557" s="189">
        <v>0</v>
      </c>
      <c r="EW557" s="189">
        <v>0</v>
      </c>
      <c r="EX557" s="189">
        <v>0</v>
      </c>
      <c r="EY557" s="189">
        <v>0</v>
      </c>
      <c r="EZ557" s="189">
        <v>0</v>
      </c>
      <c r="FA557" s="189">
        <v>0</v>
      </c>
      <c r="FB557" s="189">
        <v>0</v>
      </c>
      <c r="FC557" s="189">
        <v>0</v>
      </c>
      <c r="FD557" s="189">
        <v>0</v>
      </c>
      <c r="FE557" s="189">
        <v>0</v>
      </c>
      <c r="FF557" s="189">
        <v>0</v>
      </c>
      <c r="FG557" s="189">
        <v>0</v>
      </c>
      <c r="FH557" s="189">
        <v>0</v>
      </c>
      <c r="FI557" s="189">
        <v>0</v>
      </c>
      <c r="FJ557" s="189">
        <v>0</v>
      </c>
      <c r="FK557" s="189">
        <v>0</v>
      </c>
      <c r="FL557" s="189">
        <v>0</v>
      </c>
      <c r="FN557" s="132">
        <v>6</v>
      </c>
    </row>
    <row r="558" spans="1:170" ht="30" customHeight="1">
      <c r="A558" s="88">
        <f>COUNTIF($H$12:H558,H558)</f>
        <v>11</v>
      </c>
      <c r="B558" s="88" t="s">
        <v>462</v>
      </c>
      <c r="C558" s="88" t="s">
        <v>1646</v>
      </c>
      <c r="D558" s="88"/>
      <c r="E558" s="88"/>
      <c r="F558" s="301" t="s">
        <v>2463</v>
      </c>
      <c r="G558" s="89" t="s">
        <v>13</v>
      </c>
      <c r="H558" s="88">
        <v>11</v>
      </c>
      <c r="I558" s="88">
        <v>11</v>
      </c>
      <c r="J558" s="88">
        <v>11</v>
      </c>
      <c r="K558" s="90" t="s">
        <v>1661</v>
      </c>
      <c r="L558" s="90" t="s">
        <v>1661</v>
      </c>
      <c r="M558" s="214"/>
      <c r="N558" s="88" t="s">
        <v>1804</v>
      </c>
      <c r="O558" s="216">
        <f t="shared" si="1806"/>
        <v>2.67</v>
      </c>
      <c r="P558" s="88" t="str">
        <f t="shared" si="1785"/>
        <v>B1_3</v>
      </c>
      <c r="Q558" s="88">
        <f t="shared" si="1751"/>
        <v>270</v>
      </c>
      <c r="R558" s="88">
        <f t="shared" si="1752"/>
        <v>100</v>
      </c>
      <c r="S558" s="218" t="s">
        <v>1926</v>
      </c>
      <c r="T558" s="88" t="s">
        <v>2961</v>
      </c>
      <c r="U558" s="88">
        <f>IF(RIGHT(T558,1)="K",(VLOOKUP(T558,ma_miengiam!$A$3:$B$80,2,0)*100)/2,VLOOKUP(T558,ma_miengiam!$A$3:$B$80,2,0)*100)</f>
        <v>100</v>
      </c>
      <c r="V558" s="88"/>
      <c r="W558" s="220">
        <f>IF(AND(T558="NTS",V558&gt;0),(Q558-(Q558*V558)/12)*VLOOKUP(T558,ma_miengiam!$A$3:$B$80,2,0)+(Q558-(Q558*(12-V558))/12),IF(AND(RIGHT(T558,1)="K",V558&gt;0),(VLOOKUP(T558,ma_miengiam!$A$3:$B$80,2,0)/2)*(Q558*V558)/12,IF(RIGHT(T558,1)="K",(VLOOKUP(T558,ma_miengiam!$A$3:$B$80,2,0)*Q558)/2,IF(V558&gt;0,VLOOKUP(T558,ma_miengiam!$A$3:$B$80,2,0)*Q558*V558/12,VLOOKUP(T558,ma_miengiam!$A$3:$B$80,2,0)*Q558))))</f>
        <v>270</v>
      </c>
      <c r="X558" s="220">
        <f>IF(T558="NTS",VLOOKUP(T558,ma_miengiam!$A$3:$B$80,2,0)*R558*V558,IF(AND(T558="NTS",V558=0),0,IF(AND(LEFT(T558,1)="K",V558=0),VLOOKUP(T558,ma_miengiam!$A$3:$B$80,2,0)*R558,IF(LEFT(T558,1)="K",(VLOOKUP(T558,ma_miengiam!$A$3:$B$80,2,0)*R558/12)*V558,IF(AND(LEFT(T558,1)="S",V558&gt;0),(R558/12)*V558,IF(AND(LEFT(T558,1)="S",V558=0),R558,IF(T558="DH",VLOOKUP(T558,ma_miengiam!$A$3:$B$80,2,0)*R558,0)))))))</f>
        <v>100</v>
      </c>
      <c r="Y558" s="220">
        <f t="shared" si="1745"/>
        <v>0</v>
      </c>
      <c r="Z558" s="220">
        <f>IF(AND(T558="SĐH",V558&gt;0),(R558/12)*V558-X558,IF(AND(T558="DH",V558&gt;0),(R558*V558/12),IF(AND(T558&lt;&gt;"NTS",V558&gt;0),(R558*V558/12)-X558,IF(AND(T558="NTS",V558&gt;0),R558-X558,R558-X558))))</f>
        <v>0</v>
      </c>
      <c r="AA558" s="220">
        <f t="shared" si="1810"/>
        <v>270</v>
      </c>
      <c r="AB558" s="220">
        <f t="shared" si="1810"/>
        <v>100</v>
      </c>
      <c r="AC558" s="220">
        <f t="shared" si="1807"/>
        <v>270</v>
      </c>
      <c r="AD558" s="220">
        <f t="shared" si="1807"/>
        <v>100</v>
      </c>
      <c r="AE558" s="220">
        <f t="shared" si="1807"/>
        <v>0</v>
      </c>
      <c r="AF558" s="220">
        <f t="shared" si="1807"/>
        <v>0</v>
      </c>
      <c r="AG558" s="220">
        <f>AH558+AI558</f>
        <v>0</v>
      </c>
      <c r="AH558" s="220">
        <f>EO558</f>
        <v>0</v>
      </c>
      <c r="AI558" s="220">
        <f>EN558</f>
        <v>0</v>
      </c>
      <c r="AJ558" s="220">
        <f t="shared" si="1780"/>
        <v>0</v>
      </c>
      <c r="AK558" s="216">
        <f t="shared" si="1812"/>
        <v>0</v>
      </c>
      <c r="AL558" s="220">
        <f t="shared" si="1640"/>
        <v>0</v>
      </c>
      <c r="AM558" s="220">
        <f t="shared" si="1641"/>
        <v>0</v>
      </c>
      <c r="AN558" s="221">
        <f t="shared" si="1642"/>
        <v>0</v>
      </c>
      <c r="AO558" s="220">
        <f t="shared" si="1643"/>
        <v>0</v>
      </c>
      <c r="AP558" s="220">
        <f t="shared" si="1644"/>
        <v>0</v>
      </c>
      <c r="AQ558" s="220">
        <f t="shared" si="1645"/>
        <v>0</v>
      </c>
      <c r="AR558" s="220">
        <f t="shared" si="1646"/>
        <v>0</v>
      </c>
      <c r="AS558" s="220">
        <f t="shared" si="1647"/>
        <v>0</v>
      </c>
      <c r="AT558" s="216">
        <f t="shared" si="1648"/>
        <v>0</v>
      </c>
      <c r="AU558" s="222">
        <f>AN558-AK558</f>
        <v>0</v>
      </c>
      <c r="AV558" s="220"/>
      <c r="AW558" s="220">
        <f t="shared" si="1688"/>
        <v>0</v>
      </c>
      <c r="AX558" s="216">
        <f t="shared" si="1811"/>
        <v>0</v>
      </c>
      <c r="AY558" s="220">
        <f t="shared" si="1698"/>
        <v>0</v>
      </c>
      <c r="AZ558" s="220">
        <f t="shared" si="1699"/>
        <v>0</v>
      </c>
      <c r="BA558" s="220">
        <f t="shared" si="1700"/>
        <v>0</v>
      </c>
      <c r="BB558" s="220">
        <f t="shared" si="1701"/>
        <v>0</v>
      </c>
      <c r="BC558" s="220">
        <f t="shared" si="1702"/>
        <v>0</v>
      </c>
      <c r="BD558" s="216">
        <f t="shared" si="1778"/>
        <v>0</v>
      </c>
      <c r="BE558" s="220">
        <f t="shared" si="1689"/>
        <v>0</v>
      </c>
      <c r="BF558" s="220">
        <f t="shared" si="1690"/>
        <v>0</v>
      </c>
      <c r="BG558" s="220">
        <f t="shared" si="1691"/>
        <v>0</v>
      </c>
      <c r="BH558" s="220">
        <f t="shared" si="1692"/>
        <v>0</v>
      </c>
      <c r="BI558" s="220">
        <f t="shared" si="1693"/>
        <v>0</v>
      </c>
      <c r="BJ558" s="220" t="s">
        <v>396</v>
      </c>
      <c r="BK558" s="220"/>
      <c r="BL558" s="223">
        <f t="shared" si="1784"/>
        <v>0</v>
      </c>
      <c r="BM558" s="220">
        <v>2.67</v>
      </c>
      <c r="BN558" s="220"/>
      <c r="BO558" s="220">
        <f t="shared" si="1787"/>
        <v>2.67</v>
      </c>
      <c r="BP558" s="220">
        <f>IF(AND(BL558&gt;0,BL558&lt;tiet!$D$1),BL558,IF(BL558&lt;=0,0,IF(BL558&gt;tiet!$C$1,tiet!$C$1)))</f>
        <v>0</v>
      </c>
      <c r="BQ558" s="87">
        <f t="shared" si="1799"/>
        <v>60000</v>
      </c>
      <c r="BR558" s="224">
        <f t="shared" si="1800"/>
        <v>0</v>
      </c>
      <c r="BS558" s="220">
        <f t="shared" si="1686"/>
        <v>0</v>
      </c>
      <c r="BT558" s="224">
        <f>VLOOKUP(N558,ma_dinhmuc!$A$1:$J$31,10,0)</f>
        <v>51000</v>
      </c>
      <c r="BU558" s="224">
        <f>ROUND(IF(BS558&gt;0,VLOOKUP(N558,ma_dinhmuc!$A$1:$J$31,10,0)*BS558,0),0)</f>
        <v>0</v>
      </c>
      <c r="BV558" s="224">
        <f t="shared" si="1801"/>
        <v>0</v>
      </c>
      <c r="BW558" s="224"/>
      <c r="BX558" s="224">
        <v>0</v>
      </c>
      <c r="BY558" s="224"/>
      <c r="BZ558" s="224"/>
      <c r="CA558" s="224"/>
      <c r="CB558" s="224"/>
      <c r="CC558" s="225">
        <f t="shared" si="1781"/>
        <v>0</v>
      </c>
      <c r="CD558" s="224">
        <f t="shared" si="1782"/>
        <v>0</v>
      </c>
      <c r="CE558" s="224"/>
      <c r="CF558" s="226"/>
      <c r="CG558" s="87"/>
      <c r="CH558" s="87">
        <f t="shared" si="1788"/>
        <v>11</v>
      </c>
      <c r="CI558" s="227" t="str">
        <f t="shared" si="1802"/>
        <v>Trần Thị Hải</v>
      </c>
      <c r="CJ558" s="227" t="str">
        <f t="shared" si="1803"/>
        <v>Phương</v>
      </c>
      <c r="CK558" s="87">
        <f t="shared" si="1804"/>
        <v>11</v>
      </c>
      <c r="CL558" s="227" t="str">
        <f t="shared" si="1805"/>
        <v xml:space="preserve">Kế toán tài chính                                 </v>
      </c>
      <c r="CM558" s="87" t="str">
        <f t="shared" si="1694"/>
        <v>CS2</v>
      </c>
      <c r="CN558" s="87">
        <f t="shared" si="1808"/>
        <v>270</v>
      </c>
      <c r="CO558" s="87">
        <f t="shared" si="1808"/>
        <v>100</v>
      </c>
      <c r="CP558" s="229">
        <f t="shared" si="1703"/>
        <v>0</v>
      </c>
      <c r="CQ558" s="229">
        <f t="shared" si="1704"/>
        <v>0</v>
      </c>
      <c r="CR558" s="229">
        <f t="shared" si="1705"/>
        <v>0</v>
      </c>
      <c r="CS558" s="229">
        <f t="shared" si="1706"/>
        <v>0</v>
      </c>
      <c r="CT558" s="229">
        <f t="shared" si="1707"/>
        <v>0</v>
      </c>
      <c r="CU558" s="229">
        <f t="shared" si="1708"/>
        <v>0</v>
      </c>
      <c r="CV558" s="229">
        <f t="shared" si="1709"/>
        <v>0</v>
      </c>
      <c r="CW558" s="229">
        <f t="shared" si="1710"/>
        <v>0</v>
      </c>
      <c r="CX558" s="229">
        <f t="shared" si="1711"/>
        <v>0</v>
      </c>
      <c r="CY558" s="229">
        <f t="shared" si="1712"/>
        <v>0</v>
      </c>
      <c r="CZ558" s="229">
        <f t="shared" si="1713"/>
        <v>0</v>
      </c>
      <c r="DA558" s="229">
        <f t="shared" si="1714"/>
        <v>0</v>
      </c>
      <c r="DB558" s="228">
        <f t="shared" si="1650"/>
        <v>0</v>
      </c>
      <c r="DC558" s="229"/>
      <c r="DD558" s="229"/>
      <c r="DE558" s="229"/>
      <c r="DF558" s="229"/>
      <c r="DG558" s="229"/>
      <c r="DH558" s="229"/>
      <c r="DI558" s="229"/>
      <c r="DJ558" s="229"/>
      <c r="DK558" s="229"/>
      <c r="DL558" s="229"/>
      <c r="DM558" s="229"/>
      <c r="DN558" s="229"/>
      <c r="DO558" s="228">
        <f t="shared" si="1651"/>
        <v>0</v>
      </c>
      <c r="DP558" s="228">
        <f t="shared" si="1652"/>
        <v>0</v>
      </c>
      <c r="DQ558" s="229">
        <f t="shared" si="1715"/>
        <v>0</v>
      </c>
      <c r="DR558" s="229">
        <f t="shared" si="1716"/>
        <v>0</v>
      </c>
      <c r="DS558" s="229">
        <f t="shared" si="1717"/>
        <v>0</v>
      </c>
      <c r="DT558" s="229">
        <f t="shared" si="1718"/>
        <v>0</v>
      </c>
      <c r="DU558" s="229">
        <f t="shared" si="1719"/>
        <v>0</v>
      </c>
      <c r="DV558" s="229">
        <f t="shared" si="1720"/>
        <v>0</v>
      </c>
      <c r="DW558" s="229">
        <f t="shared" si="1721"/>
        <v>0</v>
      </c>
      <c r="DX558" s="228">
        <f t="shared" si="1653"/>
        <v>0</v>
      </c>
      <c r="DY558" s="229"/>
      <c r="DZ558" s="229"/>
      <c r="EA558" s="229"/>
      <c r="EB558" s="229"/>
      <c r="EC558" s="229"/>
      <c r="ED558" s="229"/>
      <c r="EE558" s="229"/>
      <c r="EF558" s="228">
        <f t="shared" si="1696"/>
        <v>0</v>
      </c>
      <c r="EG558" s="228">
        <f t="shared" si="1654"/>
        <v>0</v>
      </c>
      <c r="EH558" s="229">
        <f t="shared" si="1697"/>
        <v>0</v>
      </c>
      <c r="EI558" s="229">
        <v>0</v>
      </c>
      <c r="EJ558" s="228">
        <f t="shared" si="1809"/>
        <v>0</v>
      </c>
      <c r="EK558" s="229"/>
      <c r="EL558" s="229"/>
      <c r="EM558" s="228">
        <f t="shared" si="1775"/>
        <v>0</v>
      </c>
      <c r="EN558" s="229">
        <f t="shared" si="1765"/>
        <v>0</v>
      </c>
      <c r="EO558" s="229">
        <f>EI558</f>
        <v>0</v>
      </c>
      <c r="EP558" s="228">
        <f t="shared" si="1790"/>
        <v>0</v>
      </c>
      <c r="EQ558" s="173">
        <f t="shared" si="1687"/>
        <v>0</v>
      </c>
      <c r="ER558" s="189">
        <v>0</v>
      </c>
      <c r="ES558" s="189">
        <v>0</v>
      </c>
      <c r="ET558" s="189">
        <v>0</v>
      </c>
      <c r="EU558" s="189">
        <v>0</v>
      </c>
      <c r="EV558" s="189">
        <v>0</v>
      </c>
      <c r="EW558" s="189">
        <v>0</v>
      </c>
      <c r="EX558" s="189">
        <v>0</v>
      </c>
      <c r="EY558" s="189">
        <v>0</v>
      </c>
      <c r="EZ558" s="189">
        <v>0</v>
      </c>
      <c r="FA558" s="189">
        <v>0</v>
      </c>
      <c r="FB558" s="189">
        <v>0</v>
      </c>
      <c r="FC558" s="189">
        <v>0</v>
      </c>
      <c r="FD558" s="189">
        <v>0</v>
      </c>
      <c r="FE558" s="189">
        <v>0</v>
      </c>
      <c r="FF558" s="189">
        <v>0</v>
      </c>
      <c r="FG558" s="189">
        <v>0</v>
      </c>
      <c r="FH558" s="189">
        <v>0</v>
      </c>
      <c r="FI558" s="189">
        <v>0</v>
      </c>
      <c r="FJ558" s="189">
        <v>0</v>
      </c>
      <c r="FK558" s="189">
        <v>0</v>
      </c>
      <c r="FL558" s="189">
        <v>0</v>
      </c>
      <c r="FN558" s="132">
        <v>0</v>
      </c>
    </row>
    <row r="559" spans="1:170" ht="30" customHeight="1">
      <c r="A559" s="88">
        <f>COUNTIF($H$12:H559,H559)</f>
        <v>12</v>
      </c>
      <c r="B559" s="88" t="s">
        <v>463</v>
      </c>
      <c r="C559" s="88" t="s">
        <v>1647</v>
      </c>
      <c r="D559" s="88"/>
      <c r="E559" s="88"/>
      <c r="F559" s="301" t="s">
        <v>1199</v>
      </c>
      <c r="G559" s="89" t="s">
        <v>2852</v>
      </c>
      <c r="H559" s="88">
        <v>11</v>
      </c>
      <c r="I559" s="88">
        <v>11</v>
      </c>
      <c r="J559" s="88">
        <v>11</v>
      </c>
      <c r="K559" s="90" t="s">
        <v>1661</v>
      </c>
      <c r="L559" s="90" t="s">
        <v>1661</v>
      </c>
      <c r="M559" s="214"/>
      <c r="N559" s="88" t="s">
        <v>1804</v>
      </c>
      <c r="O559" s="216">
        <f t="shared" si="1806"/>
        <v>3.33</v>
      </c>
      <c r="P559" s="88" t="str">
        <f t="shared" si="1785"/>
        <v>B1_4</v>
      </c>
      <c r="Q559" s="88">
        <f t="shared" si="1751"/>
        <v>270</v>
      </c>
      <c r="R559" s="88">
        <f t="shared" si="1752"/>
        <v>120</v>
      </c>
      <c r="S559" s="231" t="s">
        <v>923</v>
      </c>
      <c r="T559" s="214" t="s">
        <v>3091</v>
      </c>
      <c r="U559" s="88">
        <f>IF(RIGHT(T559,1)="K",(VLOOKUP(T559,ma_miengiam!$A$3:$B$80,2,0)*100)/2,VLOOKUP(T559,ma_miengiam!$A$3:$B$80,2,0)*100)</f>
        <v>20</v>
      </c>
      <c r="V559" s="88"/>
      <c r="W559" s="220">
        <f>IF(AND(T559="NTS",V559&gt;0),(Q559-(Q559*V559)/12)*VLOOKUP(T559,ma_miengiam!$A$3:$B$80,2,0)+(Q559-(Q559*(12-V559))/12),IF(AND(RIGHT(T559,1)="K",V559&gt;0),(VLOOKUP(T559,ma_miengiam!$A$3:$B$80,2,0)/2)*(Q559*V559)/12,IF(RIGHT(T559,1)="K",(VLOOKUP(T559,ma_miengiam!$A$3:$B$80,2,0)*Q559)/2,IF(V559&gt;0,VLOOKUP(T559,ma_miengiam!$A$3:$B$80,2,0)*Q559*V559/12,VLOOKUP(T559,ma_miengiam!$A$3:$B$80,2,0)*Q559))))</f>
        <v>54</v>
      </c>
      <c r="X559" s="220">
        <f>IF(T559="NTS",VLOOKUP(T559,ma_miengiam!$A$3:$B$80,2,0)*R559*V559,IF(AND(T559="NTS",V559=0),0,IF(AND(LEFT(T559,1)="K",V559=0),VLOOKUP(T559,ma_miengiam!$A$3:$B$80,2,0)*R559,IF(LEFT(T559,1)="K",(VLOOKUP(T559,ma_miengiam!$A$3:$B$80,2,0)*R559/12)*V559,IF(AND(LEFT(T559,1)="S",V559&gt;0),(R559/12)*V559,IF(AND(LEFT(T559,1)="S",V559=0),R559,IF(T559="DH",VLOOKUP(T559,ma_miengiam!$A$3:$B$80,2,0)*R559,0)))))))</f>
        <v>0</v>
      </c>
      <c r="Y559" s="220">
        <f t="shared" si="1745"/>
        <v>216</v>
      </c>
      <c r="Z559" s="220">
        <f t="shared" si="1762"/>
        <v>120</v>
      </c>
      <c r="AA559" s="220">
        <f t="shared" si="1810"/>
        <v>270</v>
      </c>
      <c r="AB559" s="220">
        <f t="shared" si="1810"/>
        <v>120</v>
      </c>
      <c r="AC559" s="220">
        <f>W559</f>
        <v>54</v>
      </c>
      <c r="AD559" s="220">
        <f>X559</f>
        <v>0</v>
      </c>
      <c r="AE559" s="220">
        <f>Y559</f>
        <v>216</v>
      </c>
      <c r="AF559" s="220">
        <f>Z559</f>
        <v>120</v>
      </c>
      <c r="AG559" s="220">
        <f>AH559+AI559</f>
        <v>25</v>
      </c>
      <c r="AH559" s="220">
        <f>EO559</f>
        <v>0</v>
      </c>
      <c r="AI559" s="220">
        <f>EN559</f>
        <v>25</v>
      </c>
      <c r="AJ559" s="220">
        <f t="shared" si="1780"/>
        <v>-95</v>
      </c>
      <c r="AK559" s="216">
        <f t="shared" si="1812"/>
        <v>311</v>
      </c>
      <c r="AL559" s="220">
        <f t="shared" si="1640"/>
        <v>340.5</v>
      </c>
      <c r="AM559" s="220">
        <f t="shared" si="1641"/>
        <v>0</v>
      </c>
      <c r="AN559" s="221">
        <f t="shared" si="1642"/>
        <v>340.5</v>
      </c>
      <c r="AO559" s="220">
        <f t="shared" si="1643"/>
        <v>0</v>
      </c>
      <c r="AP559" s="220">
        <f t="shared" si="1644"/>
        <v>0</v>
      </c>
      <c r="AQ559" s="220">
        <f t="shared" si="1645"/>
        <v>60</v>
      </c>
      <c r="AR559" s="220">
        <f t="shared" si="1646"/>
        <v>0</v>
      </c>
      <c r="AS559" s="220">
        <f t="shared" si="1647"/>
        <v>0</v>
      </c>
      <c r="AT559" s="216">
        <f t="shared" si="1648"/>
        <v>400.5</v>
      </c>
      <c r="AU559" s="222">
        <f t="shared" si="1792"/>
        <v>29.5</v>
      </c>
      <c r="AV559" s="220"/>
      <c r="AW559" s="220">
        <f t="shared" si="1688"/>
        <v>29.5</v>
      </c>
      <c r="AX559" s="216">
        <f t="shared" si="1811"/>
        <v>0</v>
      </c>
      <c r="AY559" s="220">
        <f t="shared" si="1698"/>
        <v>0</v>
      </c>
      <c r="AZ559" s="220">
        <f t="shared" si="1699"/>
        <v>0</v>
      </c>
      <c r="BA559" s="220">
        <f t="shared" si="1700"/>
        <v>60</v>
      </c>
      <c r="BB559" s="220">
        <f t="shared" si="1701"/>
        <v>0</v>
      </c>
      <c r="BC559" s="220">
        <f t="shared" si="1702"/>
        <v>0</v>
      </c>
      <c r="BD559" s="216">
        <f t="shared" si="1778"/>
        <v>60</v>
      </c>
      <c r="BE559" s="220">
        <f t="shared" si="1689"/>
        <v>0</v>
      </c>
      <c r="BF559" s="220">
        <f t="shared" si="1690"/>
        <v>0</v>
      </c>
      <c r="BG559" s="220">
        <f t="shared" si="1691"/>
        <v>0</v>
      </c>
      <c r="BH559" s="220">
        <f t="shared" si="1692"/>
        <v>0</v>
      </c>
      <c r="BI559" s="220">
        <f t="shared" si="1693"/>
        <v>0</v>
      </c>
      <c r="BJ559" s="220" t="s">
        <v>396</v>
      </c>
      <c r="BK559" s="220"/>
      <c r="BL559" s="223">
        <f t="shared" si="1784"/>
        <v>29.5</v>
      </c>
      <c r="BM559" s="220">
        <v>3.33</v>
      </c>
      <c r="BN559" s="220"/>
      <c r="BO559" s="220">
        <f t="shared" si="1787"/>
        <v>3.33</v>
      </c>
      <c r="BP559" s="220">
        <f>IF(AND(BL559&gt;0,BL559&lt;tiet!$D$1),BL559,IF(BL559&lt;=0,0,IF(BL559&gt;tiet!$C$1,tiet!$C$1)))</f>
        <v>29.5</v>
      </c>
      <c r="BQ559" s="87">
        <f t="shared" si="1799"/>
        <v>65000</v>
      </c>
      <c r="BR559" s="224">
        <f t="shared" si="1800"/>
        <v>1917500</v>
      </c>
      <c r="BS559" s="220">
        <f t="shared" si="1686"/>
        <v>0</v>
      </c>
      <c r="BT559" s="224">
        <f>VLOOKUP(N559,ma_dinhmuc!$A$1:$J$31,10,0)</f>
        <v>51000</v>
      </c>
      <c r="BU559" s="224">
        <f>ROUND(IF(BS559&gt;0,VLOOKUP(N559,ma_dinhmuc!$A$1:$J$31,10,0)*BS559,0),0)</f>
        <v>0</v>
      </c>
      <c r="BV559" s="224">
        <f t="shared" si="1801"/>
        <v>1917500</v>
      </c>
      <c r="BW559" s="224"/>
      <c r="BX559" s="224">
        <v>0</v>
      </c>
      <c r="BY559" s="224"/>
      <c r="BZ559" s="224"/>
      <c r="CA559" s="224"/>
      <c r="CB559" s="224"/>
      <c r="CC559" s="225">
        <f t="shared" si="1781"/>
        <v>1917500</v>
      </c>
      <c r="CD559" s="224">
        <f t="shared" si="1782"/>
        <v>0</v>
      </c>
      <c r="CE559" s="224"/>
      <c r="CF559" s="226"/>
      <c r="CG559" s="87"/>
      <c r="CH559" s="87">
        <f t="shared" si="1788"/>
        <v>12</v>
      </c>
      <c r="CI559" s="227" t="str">
        <f t="shared" si="1802"/>
        <v>Nguyễn Thị Hải</v>
      </c>
      <c r="CJ559" s="227" t="str">
        <f t="shared" si="1803"/>
        <v>Bình</v>
      </c>
      <c r="CK559" s="87">
        <f t="shared" si="1804"/>
        <v>11</v>
      </c>
      <c r="CL559" s="227" t="str">
        <f t="shared" si="1805"/>
        <v xml:space="preserve">Kế toán tài chính                                 </v>
      </c>
      <c r="CM559" s="87" t="str">
        <f t="shared" si="1694"/>
        <v>CS2</v>
      </c>
      <c r="CN559" s="87">
        <f t="shared" si="1808"/>
        <v>270</v>
      </c>
      <c r="CO559" s="87">
        <f t="shared" si="1808"/>
        <v>120</v>
      </c>
      <c r="CP559" s="229">
        <f t="shared" si="1703"/>
        <v>0</v>
      </c>
      <c r="CQ559" s="229">
        <f t="shared" si="1704"/>
        <v>41.2</v>
      </c>
      <c r="CR559" s="229">
        <f t="shared" si="1705"/>
        <v>16.5</v>
      </c>
      <c r="CS559" s="229">
        <f t="shared" si="1706"/>
        <v>77</v>
      </c>
      <c r="CT559" s="229">
        <f t="shared" si="1707"/>
        <v>0</v>
      </c>
      <c r="CU559" s="229">
        <f t="shared" si="1708"/>
        <v>205.8</v>
      </c>
      <c r="CV559" s="229">
        <f t="shared" si="1709"/>
        <v>0</v>
      </c>
      <c r="CW559" s="229">
        <f t="shared" si="1710"/>
        <v>0</v>
      </c>
      <c r="CX559" s="229">
        <f t="shared" si="1711"/>
        <v>0</v>
      </c>
      <c r="CY559" s="229">
        <f t="shared" si="1712"/>
        <v>0</v>
      </c>
      <c r="CZ559" s="229">
        <f t="shared" si="1713"/>
        <v>0</v>
      </c>
      <c r="DA559" s="229">
        <f t="shared" si="1714"/>
        <v>60</v>
      </c>
      <c r="DB559" s="228">
        <f t="shared" si="1650"/>
        <v>400.5</v>
      </c>
      <c r="DC559" s="229"/>
      <c r="DD559" s="229"/>
      <c r="DE559" s="229"/>
      <c r="DF559" s="229"/>
      <c r="DG559" s="229"/>
      <c r="DH559" s="229"/>
      <c r="DI559" s="229"/>
      <c r="DJ559" s="229"/>
      <c r="DK559" s="229"/>
      <c r="DL559" s="229"/>
      <c r="DM559" s="229"/>
      <c r="DN559" s="229"/>
      <c r="DO559" s="228">
        <f t="shared" si="1651"/>
        <v>0</v>
      </c>
      <c r="DP559" s="228">
        <f t="shared" si="1652"/>
        <v>400.5</v>
      </c>
      <c r="DQ559" s="229">
        <f t="shared" si="1715"/>
        <v>0</v>
      </c>
      <c r="DR559" s="229">
        <f t="shared" si="1716"/>
        <v>0</v>
      </c>
      <c r="DS559" s="229">
        <f t="shared" si="1717"/>
        <v>0</v>
      </c>
      <c r="DT559" s="229">
        <f t="shared" si="1718"/>
        <v>0</v>
      </c>
      <c r="DU559" s="229">
        <f t="shared" si="1719"/>
        <v>0</v>
      </c>
      <c r="DV559" s="229">
        <f t="shared" si="1720"/>
        <v>0</v>
      </c>
      <c r="DW559" s="229">
        <f t="shared" si="1721"/>
        <v>0</v>
      </c>
      <c r="DX559" s="228">
        <f t="shared" si="1653"/>
        <v>0</v>
      </c>
      <c r="DY559" s="229"/>
      <c r="DZ559" s="229"/>
      <c r="EA559" s="229"/>
      <c r="EB559" s="229"/>
      <c r="EC559" s="229"/>
      <c r="ED559" s="229"/>
      <c r="EE559" s="229"/>
      <c r="EF559" s="228">
        <f t="shared" si="1696"/>
        <v>0</v>
      </c>
      <c r="EG559" s="228">
        <f t="shared" si="1654"/>
        <v>0</v>
      </c>
      <c r="EH559" s="229">
        <f t="shared" si="1697"/>
        <v>25</v>
      </c>
      <c r="EI559" s="229">
        <v>0</v>
      </c>
      <c r="EJ559" s="228">
        <f t="shared" si="1809"/>
        <v>25</v>
      </c>
      <c r="EK559" s="229"/>
      <c r="EL559" s="229"/>
      <c r="EM559" s="228">
        <f t="shared" ref="EM559:EM568" si="1813">SUM(EK559:EL559)</f>
        <v>0</v>
      </c>
      <c r="EN559" s="229">
        <f t="shared" si="1765"/>
        <v>25</v>
      </c>
      <c r="EO559" s="229">
        <f t="shared" si="1793"/>
        <v>0</v>
      </c>
      <c r="EP559" s="228">
        <f t="shared" ref="EP559:EP568" si="1814">EM559+EJ559</f>
        <v>25</v>
      </c>
      <c r="EQ559" s="173">
        <f t="shared" si="1687"/>
        <v>0</v>
      </c>
      <c r="ER559" s="189">
        <v>0</v>
      </c>
      <c r="ES559" s="189">
        <v>41.2</v>
      </c>
      <c r="ET559" s="189">
        <v>16.5</v>
      </c>
      <c r="EU559" s="189">
        <v>77</v>
      </c>
      <c r="EV559" s="189">
        <v>0</v>
      </c>
      <c r="EW559" s="189">
        <v>205.8</v>
      </c>
      <c r="EX559" s="189">
        <v>0</v>
      </c>
      <c r="EY559" s="189">
        <v>0</v>
      </c>
      <c r="EZ559" s="189">
        <v>0</v>
      </c>
      <c r="FA559" s="189">
        <v>0</v>
      </c>
      <c r="FB559" s="189">
        <v>0</v>
      </c>
      <c r="FC559" s="189">
        <v>60</v>
      </c>
      <c r="FD559" s="189">
        <v>0</v>
      </c>
      <c r="FE559" s="189">
        <v>0</v>
      </c>
      <c r="FF559" s="189">
        <v>0</v>
      </c>
      <c r="FG559" s="189">
        <v>0</v>
      </c>
      <c r="FH559" s="189">
        <v>0</v>
      </c>
      <c r="FI559" s="189">
        <v>0</v>
      </c>
      <c r="FJ559" s="189">
        <v>0</v>
      </c>
      <c r="FK559" s="189">
        <v>400.5</v>
      </c>
      <c r="FL559" s="189">
        <v>327</v>
      </c>
      <c r="FN559" s="132">
        <v>25</v>
      </c>
    </row>
    <row r="560" spans="1:170" ht="30" customHeight="1">
      <c r="A560" s="88">
        <f>COUNTIF($H$12:H560,H560)</f>
        <v>13</v>
      </c>
      <c r="B560" s="88" t="s">
        <v>464</v>
      </c>
      <c r="C560" s="88" t="s">
        <v>221</v>
      </c>
      <c r="D560" s="88"/>
      <c r="E560" s="88"/>
      <c r="F560" s="301" t="s">
        <v>1862</v>
      </c>
      <c r="G560" s="303" t="s">
        <v>1114</v>
      </c>
      <c r="H560" s="88">
        <v>11</v>
      </c>
      <c r="I560" s="88">
        <v>11</v>
      </c>
      <c r="J560" s="88">
        <v>11</v>
      </c>
      <c r="K560" s="90" t="s">
        <v>1662</v>
      </c>
      <c r="L560" s="90" t="s">
        <v>1662</v>
      </c>
      <c r="M560" s="214"/>
      <c r="N560" s="88" t="s">
        <v>605</v>
      </c>
      <c r="O560" s="216">
        <f t="shared" ref="O560:O567" si="1815">BO560</f>
        <v>6.2</v>
      </c>
      <c r="P560" s="88" t="str">
        <f t="shared" si="1785"/>
        <v>B1_6</v>
      </c>
      <c r="Q560" s="88">
        <f t="shared" si="1751"/>
        <v>270</v>
      </c>
      <c r="R560" s="88">
        <f t="shared" si="1752"/>
        <v>170</v>
      </c>
      <c r="S560" s="230" t="s">
        <v>812</v>
      </c>
      <c r="T560" s="214" t="s">
        <v>1753</v>
      </c>
      <c r="U560" s="88">
        <f>IF(RIGHT(T560,1)="K",(VLOOKUP(T560,ma_miengiam!$A$3:$B$80,2,0)*100)/2,VLOOKUP(T560,ma_miengiam!$A$3:$B$80,2,0)*100)</f>
        <v>70</v>
      </c>
      <c r="V560" s="88"/>
      <c r="W560" s="220">
        <f>IF(AND(T560="NTS",V560&gt;0),(Q560-(Q560*V560)/12)*VLOOKUP(T560,ma_miengiam!$A$3:$B$80,2,0)+(Q560-(Q560*(12-V560))/12),IF(AND(RIGHT(T560,1)="K",V560&gt;0),(VLOOKUP(T560,ma_miengiam!$A$3:$B$80,2,0)/2)*(Q560*V560)/12,IF(RIGHT(T560,1)="K",(VLOOKUP(T560,ma_miengiam!$A$3:$B$80,2,0)*Q560)/2,IF(V560&gt;0,VLOOKUP(T560,ma_miengiam!$A$3:$B$80,2,0)*Q560*V560/12,VLOOKUP(T560,ma_miengiam!$A$3:$B$80,2,0)*Q560))))</f>
        <v>189</v>
      </c>
      <c r="X560" s="220">
        <f>IF(T560="NTS",VLOOKUP(T560,ma_miengiam!$A$3:$B$80,2,0)*R560*V560,IF(AND(T560="NTS",V560=0),0,IF(AND(LEFT(T560,1)="K",V560=0),VLOOKUP(T560,ma_miengiam!$A$3:$B$80,2,0)*R560,IF(LEFT(T560,1)="K",(VLOOKUP(T560,ma_miengiam!$A$3:$B$80,2,0)*R560/12)*V560,IF(AND(LEFT(T560,1)="S",V560&gt;0),(R560/12)*V560,IF(AND(LEFT(T560,1)="S",V560=0),R560,IF(T560="DH",VLOOKUP(T560,ma_miengiam!$A$3:$B$80,2,0)*R560,0)))))))</f>
        <v>118.99999999999999</v>
      </c>
      <c r="Y560" s="220">
        <f t="shared" si="1745"/>
        <v>81</v>
      </c>
      <c r="Z560" s="220">
        <f t="shared" ref="Z560:Z568" si="1816">IF(AND(T560="SĐH",V560&gt;0),(R560/12)*V560-X560,IF(AND(T560="DH",V560&gt;0),(R560*V560/12),IF(AND(T560&lt;&gt;"NTS",V560&gt;0),(R560*V560/12)-X560,IF(AND(T560="NTS",V560&gt;0),R560-X560,R560-X560))))</f>
        <v>51.000000000000014</v>
      </c>
      <c r="AA560" s="220">
        <f t="shared" ref="AA560:AB562" si="1817">Q560</f>
        <v>270</v>
      </c>
      <c r="AB560" s="220">
        <f t="shared" si="1817"/>
        <v>170</v>
      </c>
      <c r="AC560" s="220">
        <f t="shared" ref="AC560:AF561" si="1818">W560</f>
        <v>189</v>
      </c>
      <c r="AD560" s="220">
        <f t="shared" si="1818"/>
        <v>118.99999999999999</v>
      </c>
      <c r="AE560" s="220">
        <f t="shared" si="1818"/>
        <v>81</v>
      </c>
      <c r="AF560" s="220">
        <f t="shared" si="1818"/>
        <v>51.000000000000014</v>
      </c>
      <c r="AG560" s="220">
        <f>AH560+AI560</f>
        <v>84</v>
      </c>
      <c r="AH560" s="220">
        <f>EO560</f>
        <v>24</v>
      </c>
      <c r="AI560" s="220">
        <f>EN560</f>
        <v>60</v>
      </c>
      <c r="AJ560" s="220">
        <f t="shared" si="1780"/>
        <v>0</v>
      </c>
      <c r="AK560" s="216">
        <f t="shared" si="1812"/>
        <v>81</v>
      </c>
      <c r="AL560" s="220">
        <f t="shared" ref="AL560:AL614" si="1819">SUM(CP560:CX560)+SUM(DC560:DK560)</f>
        <v>260.8</v>
      </c>
      <c r="AM560" s="220">
        <f t="shared" ref="AM560:AM614" si="1820">SUM(DQ560:DU560)+SUM(DY560:EC560)</f>
        <v>168.8</v>
      </c>
      <c r="AN560" s="221">
        <f t="shared" ref="AN560:AN614" si="1821">AM560+AL560</f>
        <v>429.6</v>
      </c>
      <c r="AO560" s="220">
        <f t="shared" ref="AO560:AO614" si="1822">CY560+DL560</f>
        <v>0</v>
      </c>
      <c r="AP560" s="220">
        <f t="shared" ref="AP560:AP614" si="1823">CZ560+DM560</f>
        <v>0</v>
      </c>
      <c r="AQ560" s="220">
        <f t="shared" ref="AQ560:AQ614" si="1824">DA560+DN560</f>
        <v>40</v>
      </c>
      <c r="AR560" s="220">
        <f t="shared" ref="AR560:AR614" si="1825">DV560+ED560</f>
        <v>280</v>
      </c>
      <c r="AS560" s="220">
        <f t="shared" ref="AS560:AS614" si="1826">DW560+EE560</f>
        <v>10</v>
      </c>
      <c r="AT560" s="216">
        <f t="shared" ref="AT560:AT614" si="1827">AN560+SUM(AO560:AS560)</f>
        <v>759.6</v>
      </c>
      <c r="AU560" s="222">
        <f t="shared" si="1792"/>
        <v>348.6</v>
      </c>
      <c r="AV560" s="220"/>
      <c r="AW560" s="220">
        <f t="shared" si="1688"/>
        <v>348.6</v>
      </c>
      <c r="AX560" s="216">
        <f t="shared" si="1811"/>
        <v>0</v>
      </c>
      <c r="AY560" s="220">
        <f t="shared" si="1698"/>
        <v>0</v>
      </c>
      <c r="AZ560" s="220">
        <f t="shared" si="1699"/>
        <v>0</v>
      </c>
      <c r="BA560" s="220">
        <f t="shared" si="1700"/>
        <v>40</v>
      </c>
      <c r="BB560" s="220">
        <f t="shared" si="1701"/>
        <v>280</v>
      </c>
      <c r="BC560" s="220">
        <f t="shared" si="1702"/>
        <v>10</v>
      </c>
      <c r="BD560" s="216">
        <f t="shared" si="1778"/>
        <v>330</v>
      </c>
      <c r="BE560" s="220">
        <f t="shared" si="1689"/>
        <v>0</v>
      </c>
      <c r="BF560" s="220">
        <f t="shared" si="1690"/>
        <v>0</v>
      </c>
      <c r="BG560" s="220">
        <f t="shared" si="1691"/>
        <v>0</v>
      </c>
      <c r="BH560" s="220">
        <f t="shared" si="1692"/>
        <v>0</v>
      </c>
      <c r="BI560" s="220">
        <f t="shared" si="1693"/>
        <v>0</v>
      </c>
      <c r="BJ560" s="220" t="s">
        <v>397</v>
      </c>
      <c r="BK560" s="220"/>
      <c r="BL560" s="223">
        <f t="shared" si="1784"/>
        <v>348.6</v>
      </c>
      <c r="BM560" s="220">
        <v>6.2</v>
      </c>
      <c r="BN560" s="220"/>
      <c r="BO560" s="220">
        <f t="shared" si="1787"/>
        <v>6.2</v>
      </c>
      <c r="BP560" s="220">
        <f>IF(AND(BL560&gt;0,BL560&lt;tiet!$D$1),BL560,IF(BL560&lt;=0,0,IF(BL560&gt;tiet!$C$1,tiet!$C$1)))</f>
        <v>200</v>
      </c>
      <c r="BQ560" s="87">
        <f t="shared" si="1799"/>
        <v>75000</v>
      </c>
      <c r="BR560" s="224">
        <f t="shared" si="1800"/>
        <v>15000000</v>
      </c>
      <c r="BS560" s="220">
        <f t="shared" si="1686"/>
        <v>148.60000000000002</v>
      </c>
      <c r="BT560" s="224">
        <f>VLOOKUP(N560,ma_dinhmuc!$A$1:$J$31,10,0)</f>
        <v>65000</v>
      </c>
      <c r="BU560" s="224">
        <f>ROUND(IF(BS560&gt;0,VLOOKUP(N560,ma_dinhmuc!$A$1:$J$31,10,0)*BS560,0),0)</f>
        <v>9659000</v>
      </c>
      <c r="BV560" s="224">
        <f t="shared" si="1801"/>
        <v>24659000</v>
      </c>
      <c r="BW560" s="224"/>
      <c r="BX560" s="224">
        <v>0</v>
      </c>
      <c r="BY560" s="224"/>
      <c r="BZ560" s="224"/>
      <c r="CA560" s="224"/>
      <c r="CB560" s="224"/>
      <c r="CC560" s="225">
        <f t="shared" si="1781"/>
        <v>24659000</v>
      </c>
      <c r="CD560" s="224">
        <f t="shared" si="1782"/>
        <v>0</v>
      </c>
      <c r="CE560" s="224"/>
      <c r="CF560" s="226"/>
      <c r="CG560" s="87"/>
      <c r="CH560" s="87">
        <f t="shared" ref="CH560:CH567" si="1828">A560</f>
        <v>13</v>
      </c>
      <c r="CI560" s="227" t="str">
        <f t="shared" ref="CI560:CI565" si="1829">F560</f>
        <v>Trần Quang</v>
      </c>
      <c r="CJ560" s="227" t="str">
        <f t="shared" ref="CJ560:CJ565" si="1830">G560</f>
        <v>Trung</v>
      </c>
      <c r="CK560" s="87">
        <f t="shared" ref="CK560:CK565" si="1831">H560</f>
        <v>11</v>
      </c>
      <c r="CL560" s="227" t="str">
        <f t="shared" si="1805"/>
        <v xml:space="preserve">KTQT và Kiểm toán                     </v>
      </c>
      <c r="CM560" s="87" t="str">
        <f t="shared" si="1694"/>
        <v>CS4</v>
      </c>
      <c r="CN560" s="87">
        <f t="shared" ref="CN560:CN567" si="1832">Q560</f>
        <v>270</v>
      </c>
      <c r="CO560" s="87">
        <f t="shared" ref="CO560:CO567" si="1833">R560</f>
        <v>170</v>
      </c>
      <c r="CP560" s="229">
        <f t="shared" si="1703"/>
        <v>0</v>
      </c>
      <c r="CQ560" s="229">
        <f t="shared" si="1704"/>
        <v>37</v>
      </c>
      <c r="CR560" s="229">
        <f t="shared" si="1705"/>
        <v>14.9</v>
      </c>
      <c r="CS560" s="229">
        <f t="shared" si="1706"/>
        <v>0</v>
      </c>
      <c r="CT560" s="229">
        <f t="shared" si="1707"/>
        <v>0</v>
      </c>
      <c r="CU560" s="229">
        <f t="shared" si="1708"/>
        <v>208.9</v>
      </c>
      <c r="CV560" s="229">
        <f t="shared" si="1709"/>
        <v>0</v>
      </c>
      <c r="CW560" s="229">
        <f t="shared" si="1710"/>
        <v>0</v>
      </c>
      <c r="CX560" s="229">
        <f t="shared" si="1711"/>
        <v>0</v>
      </c>
      <c r="CY560" s="229">
        <f t="shared" si="1712"/>
        <v>0</v>
      </c>
      <c r="CZ560" s="229">
        <f t="shared" si="1713"/>
        <v>0</v>
      </c>
      <c r="DA560" s="229">
        <f t="shared" si="1714"/>
        <v>40</v>
      </c>
      <c r="DB560" s="228">
        <f t="shared" ref="DB560:DB614" si="1834">SUM(CP560:DA560)</f>
        <v>300.8</v>
      </c>
      <c r="DC560" s="229"/>
      <c r="DD560" s="229"/>
      <c r="DE560" s="229"/>
      <c r="DF560" s="229"/>
      <c r="DG560" s="229"/>
      <c r="DH560" s="229"/>
      <c r="DI560" s="229"/>
      <c r="DJ560" s="229"/>
      <c r="DK560" s="229"/>
      <c r="DL560" s="229"/>
      <c r="DM560" s="229"/>
      <c r="DN560" s="229"/>
      <c r="DO560" s="228">
        <f t="shared" ref="DO560:DO614" si="1835">SUM(DC560:DN560)</f>
        <v>0</v>
      </c>
      <c r="DP560" s="228">
        <f t="shared" ref="DP560:DP614" si="1836">DO560+DB560</f>
        <v>300.8</v>
      </c>
      <c r="DQ560" s="229">
        <f t="shared" si="1715"/>
        <v>162</v>
      </c>
      <c r="DR560" s="229">
        <f t="shared" si="1716"/>
        <v>4.8</v>
      </c>
      <c r="DS560" s="229">
        <f t="shared" si="1717"/>
        <v>0</v>
      </c>
      <c r="DT560" s="229">
        <f t="shared" si="1718"/>
        <v>2</v>
      </c>
      <c r="DU560" s="229">
        <f t="shared" si="1719"/>
        <v>0</v>
      </c>
      <c r="DV560" s="229">
        <f t="shared" si="1720"/>
        <v>280</v>
      </c>
      <c r="DW560" s="229">
        <f t="shared" si="1721"/>
        <v>10</v>
      </c>
      <c r="DX560" s="228">
        <f t="shared" ref="DX560:DX614" si="1837">SUM(DQ560:DW560)</f>
        <v>458.8</v>
      </c>
      <c r="DY560" s="229"/>
      <c r="DZ560" s="229"/>
      <c r="EA560" s="229"/>
      <c r="EB560" s="229"/>
      <c r="EC560" s="229"/>
      <c r="ED560" s="229"/>
      <c r="EE560" s="229"/>
      <c r="EF560" s="228">
        <f t="shared" si="1696"/>
        <v>0</v>
      </c>
      <c r="EG560" s="228">
        <f t="shared" ref="EG560:EG614" si="1838">EF560+DX560</f>
        <v>458.8</v>
      </c>
      <c r="EH560" s="229">
        <f t="shared" si="1697"/>
        <v>60</v>
      </c>
      <c r="EI560" s="229">
        <v>24</v>
      </c>
      <c r="EJ560" s="228">
        <f>SUM(EH560:EI560)</f>
        <v>84</v>
      </c>
      <c r="EK560" s="229"/>
      <c r="EL560" s="229"/>
      <c r="EM560" s="228">
        <f t="shared" si="1813"/>
        <v>0</v>
      </c>
      <c r="EN560" s="229">
        <f t="shared" si="1765"/>
        <v>60</v>
      </c>
      <c r="EO560" s="229">
        <f t="shared" si="1793"/>
        <v>24</v>
      </c>
      <c r="EP560" s="228">
        <f t="shared" si="1814"/>
        <v>84</v>
      </c>
      <c r="EQ560" s="173">
        <f t="shared" si="1687"/>
        <v>8.9999999999999858</v>
      </c>
      <c r="ER560" s="189">
        <v>0</v>
      </c>
      <c r="ES560" s="189">
        <v>37</v>
      </c>
      <c r="ET560" s="189">
        <v>14.9</v>
      </c>
      <c r="EU560" s="189">
        <v>0</v>
      </c>
      <c r="EV560" s="189">
        <v>0</v>
      </c>
      <c r="EW560" s="189">
        <v>208.9</v>
      </c>
      <c r="EX560" s="189">
        <v>0</v>
      </c>
      <c r="EY560" s="189">
        <v>0</v>
      </c>
      <c r="EZ560" s="189">
        <v>0</v>
      </c>
      <c r="FA560" s="189">
        <v>0</v>
      </c>
      <c r="FB560" s="189">
        <v>0</v>
      </c>
      <c r="FC560" s="189">
        <v>40</v>
      </c>
      <c r="FD560" s="189">
        <v>162</v>
      </c>
      <c r="FE560" s="189">
        <v>4.8</v>
      </c>
      <c r="FF560" s="189">
        <v>0</v>
      </c>
      <c r="FG560" s="189">
        <v>2</v>
      </c>
      <c r="FH560" s="189">
        <v>280</v>
      </c>
      <c r="FI560" s="189">
        <v>0</v>
      </c>
      <c r="FJ560" s="189">
        <v>10</v>
      </c>
      <c r="FK560" s="189">
        <v>759.6</v>
      </c>
      <c r="FL560" s="189">
        <v>614</v>
      </c>
      <c r="FN560" s="132">
        <v>60</v>
      </c>
    </row>
    <row r="561" spans="1:170" ht="30" customHeight="1">
      <c r="A561" s="88">
        <f>COUNTIF($H$12:H561,H561)</f>
        <v>14</v>
      </c>
      <c r="B561" s="88" t="s">
        <v>465</v>
      </c>
      <c r="C561" s="88" t="s">
        <v>222</v>
      </c>
      <c r="D561" s="88"/>
      <c r="E561" s="88"/>
      <c r="F561" s="301" t="s">
        <v>1863</v>
      </c>
      <c r="G561" s="89" t="s">
        <v>1864</v>
      </c>
      <c r="H561" s="88">
        <v>11</v>
      </c>
      <c r="I561" s="88">
        <v>11</v>
      </c>
      <c r="J561" s="88">
        <v>11</v>
      </c>
      <c r="K561" s="90" t="s">
        <v>1662</v>
      </c>
      <c r="L561" s="90" t="s">
        <v>1662</v>
      </c>
      <c r="M561" s="214"/>
      <c r="N561" s="88" t="s">
        <v>605</v>
      </c>
      <c r="O561" s="216">
        <f t="shared" si="1815"/>
        <v>6.2</v>
      </c>
      <c r="P561" s="88" t="str">
        <f t="shared" si="1785"/>
        <v>B1_6</v>
      </c>
      <c r="Q561" s="88">
        <f t="shared" si="1751"/>
        <v>270</v>
      </c>
      <c r="R561" s="88">
        <f t="shared" si="1752"/>
        <v>170</v>
      </c>
      <c r="S561" s="231" t="s">
        <v>365</v>
      </c>
      <c r="T561" s="88" t="s">
        <v>3092</v>
      </c>
      <c r="U561" s="88">
        <f>IF(RIGHT(T561,1)="K",(VLOOKUP(T561,ma_miengiam!$A$3:$B$80,2,0)*100)/2,VLOOKUP(T561,ma_miengiam!$A$3:$B$80,2,0)*100)</f>
        <v>25</v>
      </c>
      <c r="V561" s="88"/>
      <c r="W561" s="220">
        <f>IF(AND(T561="NTS",V561&gt;0),(Q561-(Q561*V561)/12)*VLOOKUP(T561,ma_miengiam!$A$3:$B$80,2,0)+(Q561-(Q561*(12-V561))/12),IF(AND(RIGHT(T561,1)="K",V561&gt;0),(VLOOKUP(T561,ma_miengiam!$A$3:$B$80,2,0)/2)*(Q561*V561)/12,IF(RIGHT(T561,1)="K",(VLOOKUP(T561,ma_miengiam!$A$3:$B$80,2,0)*Q561)/2,IF(V561&gt;0,VLOOKUP(T561,ma_miengiam!$A$3:$B$80,2,0)*Q561*V561/12,VLOOKUP(T561,ma_miengiam!$A$3:$B$80,2,0)*Q561))))</f>
        <v>67.5</v>
      </c>
      <c r="X561" s="220">
        <f>IF(T561="NTS",VLOOKUP(T561,ma_miengiam!$A$3:$B$80,2,0)*R561*V561,IF(AND(T561="NTS",V561=0),0,IF(AND(LEFT(T561,1)="K",V561=0),VLOOKUP(T561,ma_miengiam!$A$3:$B$80,2,0)*R561,IF(LEFT(T561,1)="K",(VLOOKUP(T561,ma_miengiam!$A$3:$B$80,2,0)*R561/12)*V561,IF(AND(LEFT(T561,1)="S",V561&gt;0),(R561/12)*V561,IF(AND(LEFT(T561,1)="S",V561=0),R561,IF(T561="DH",VLOOKUP(T561,ma_miengiam!$A$3:$B$80,2,0)*R561,0)))))))</f>
        <v>0</v>
      </c>
      <c r="Y561" s="220">
        <f t="shared" si="1745"/>
        <v>202.5</v>
      </c>
      <c r="Z561" s="220">
        <f t="shared" si="1816"/>
        <v>170</v>
      </c>
      <c r="AA561" s="220">
        <f t="shared" si="1817"/>
        <v>270</v>
      </c>
      <c r="AB561" s="220">
        <f t="shared" si="1817"/>
        <v>170</v>
      </c>
      <c r="AC561" s="220">
        <f t="shared" si="1818"/>
        <v>67.5</v>
      </c>
      <c r="AD561" s="220">
        <f t="shared" si="1818"/>
        <v>0</v>
      </c>
      <c r="AE561" s="220">
        <f t="shared" si="1818"/>
        <v>202.5</v>
      </c>
      <c r="AF561" s="220">
        <f t="shared" si="1818"/>
        <v>170</v>
      </c>
      <c r="AG561" s="220">
        <f>AH561+AI561</f>
        <v>413.51</v>
      </c>
      <c r="AH561" s="220">
        <f>EO561</f>
        <v>88.51</v>
      </c>
      <c r="AI561" s="220">
        <f>EN561</f>
        <v>325</v>
      </c>
      <c r="AJ561" s="220">
        <f t="shared" si="1780"/>
        <v>0</v>
      </c>
      <c r="AK561" s="216">
        <f t="shared" si="1812"/>
        <v>202.5</v>
      </c>
      <c r="AL561" s="220">
        <f t="shared" si="1819"/>
        <v>397.1</v>
      </c>
      <c r="AM561" s="220">
        <f t="shared" si="1820"/>
        <v>341.7</v>
      </c>
      <c r="AN561" s="221">
        <f t="shared" si="1821"/>
        <v>738.8</v>
      </c>
      <c r="AO561" s="220">
        <f t="shared" si="1822"/>
        <v>0</v>
      </c>
      <c r="AP561" s="220">
        <f t="shared" si="1823"/>
        <v>0</v>
      </c>
      <c r="AQ561" s="220">
        <f t="shared" si="1824"/>
        <v>40</v>
      </c>
      <c r="AR561" s="220">
        <f t="shared" si="1825"/>
        <v>560</v>
      </c>
      <c r="AS561" s="220">
        <f t="shared" si="1826"/>
        <v>40</v>
      </c>
      <c r="AT561" s="216">
        <f t="shared" si="1827"/>
        <v>1378.8</v>
      </c>
      <c r="AU561" s="222">
        <f t="shared" si="1792"/>
        <v>536.29999999999995</v>
      </c>
      <c r="AV561" s="220"/>
      <c r="AW561" s="220">
        <f t="shared" si="1688"/>
        <v>536.29999999999995</v>
      </c>
      <c r="AX561" s="216">
        <f t="shared" si="1811"/>
        <v>0</v>
      </c>
      <c r="AY561" s="220">
        <f t="shared" si="1698"/>
        <v>0</v>
      </c>
      <c r="AZ561" s="220">
        <f t="shared" si="1699"/>
        <v>0</v>
      </c>
      <c r="BA561" s="220">
        <f t="shared" si="1700"/>
        <v>40</v>
      </c>
      <c r="BB561" s="220">
        <f t="shared" si="1701"/>
        <v>560</v>
      </c>
      <c r="BC561" s="220">
        <f t="shared" si="1702"/>
        <v>40</v>
      </c>
      <c r="BD561" s="216">
        <f t="shared" si="1778"/>
        <v>640</v>
      </c>
      <c r="BE561" s="220">
        <f t="shared" si="1689"/>
        <v>0</v>
      </c>
      <c r="BF561" s="220">
        <f t="shared" si="1690"/>
        <v>0</v>
      </c>
      <c r="BG561" s="220">
        <f t="shared" si="1691"/>
        <v>0</v>
      </c>
      <c r="BH561" s="220">
        <f t="shared" si="1692"/>
        <v>0</v>
      </c>
      <c r="BI561" s="220">
        <f t="shared" si="1693"/>
        <v>0</v>
      </c>
      <c r="BJ561" s="220" t="s">
        <v>397</v>
      </c>
      <c r="BK561" s="220"/>
      <c r="BL561" s="223">
        <f t="shared" si="1784"/>
        <v>536.29999999999995</v>
      </c>
      <c r="BM561" s="220">
        <v>6.2</v>
      </c>
      <c r="BN561" s="220"/>
      <c r="BO561" s="220">
        <f t="shared" si="1787"/>
        <v>6.2</v>
      </c>
      <c r="BP561" s="220">
        <f>IF(AND(BL561&gt;0,BL561&lt;tiet!$D$1),BL561,IF(BL561&lt;=0,0,IF(BL561&gt;tiet!$C$1,tiet!$C$1)))</f>
        <v>200</v>
      </c>
      <c r="BQ561" s="87">
        <f t="shared" si="1799"/>
        <v>75000</v>
      </c>
      <c r="BR561" s="224">
        <f t="shared" si="1800"/>
        <v>15000000</v>
      </c>
      <c r="BS561" s="220">
        <f t="shared" si="1686"/>
        <v>336.29999999999995</v>
      </c>
      <c r="BT561" s="224">
        <f>VLOOKUP(N561,ma_dinhmuc!$A$1:$J$31,10,0)</f>
        <v>65000</v>
      </c>
      <c r="BU561" s="224">
        <f>ROUND(IF(BS561&gt;0,VLOOKUP(N561,ma_dinhmuc!$A$1:$J$31,10,0)*BS561,0),0)</f>
        <v>21859500</v>
      </c>
      <c r="BV561" s="224">
        <f t="shared" si="1801"/>
        <v>36859500</v>
      </c>
      <c r="BW561" s="224"/>
      <c r="BX561" s="224">
        <v>0</v>
      </c>
      <c r="BY561" s="224"/>
      <c r="BZ561" s="224"/>
      <c r="CA561" s="224"/>
      <c r="CB561" s="224"/>
      <c r="CC561" s="225">
        <f t="shared" si="1781"/>
        <v>36859500</v>
      </c>
      <c r="CD561" s="224">
        <f t="shared" si="1782"/>
        <v>0</v>
      </c>
      <c r="CE561" s="224"/>
      <c r="CF561" s="226"/>
      <c r="CG561" s="87"/>
      <c r="CH561" s="87">
        <f t="shared" si="1828"/>
        <v>14</v>
      </c>
      <c r="CI561" s="227" t="str">
        <f t="shared" si="1829"/>
        <v>Đỗ Quang</v>
      </c>
      <c r="CJ561" s="227" t="str">
        <f t="shared" si="1830"/>
        <v>Giám</v>
      </c>
      <c r="CK561" s="87">
        <f t="shared" si="1831"/>
        <v>11</v>
      </c>
      <c r="CL561" s="227" t="str">
        <f t="shared" si="1805"/>
        <v xml:space="preserve">KTQT và Kiểm toán                     </v>
      </c>
      <c r="CM561" s="87" t="str">
        <f t="shared" si="1694"/>
        <v>CS4</v>
      </c>
      <c r="CN561" s="87">
        <f t="shared" si="1832"/>
        <v>270</v>
      </c>
      <c r="CO561" s="87">
        <f t="shared" si="1833"/>
        <v>170</v>
      </c>
      <c r="CP561" s="229">
        <f t="shared" si="1703"/>
        <v>0</v>
      </c>
      <c r="CQ561" s="229">
        <f t="shared" si="1704"/>
        <v>45.3</v>
      </c>
      <c r="CR561" s="229">
        <f t="shared" si="1705"/>
        <v>18.2</v>
      </c>
      <c r="CS561" s="229">
        <f t="shared" si="1706"/>
        <v>0</v>
      </c>
      <c r="CT561" s="229">
        <f t="shared" si="1707"/>
        <v>0</v>
      </c>
      <c r="CU561" s="229">
        <f t="shared" si="1708"/>
        <v>333.6</v>
      </c>
      <c r="CV561" s="229">
        <f t="shared" si="1709"/>
        <v>0</v>
      </c>
      <c r="CW561" s="229">
        <f t="shared" si="1710"/>
        <v>0</v>
      </c>
      <c r="CX561" s="229">
        <f t="shared" si="1711"/>
        <v>0</v>
      </c>
      <c r="CY561" s="229">
        <f t="shared" si="1712"/>
        <v>0</v>
      </c>
      <c r="CZ561" s="229">
        <f t="shared" si="1713"/>
        <v>0</v>
      </c>
      <c r="DA561" s="229">
        <f t="shared" si="1714"/>
        <v>40</v>
      </c>
      <c r="DB561" s="228">
        <f t="shared" si="1834"/>
        <v>437.1</v>
      </c>
      <c r="DC561" s="229"/>
      <c r="DD561" s="229"/>
      <c r="DE561" s="229"/>
      <c r="DF561" s="229"/>
      <c r="DG561" s="229"/>
      <c r="DH561" s="229"/>
      <c r="DI561" s="229"/>
      <c r="DJ561" s="229"/>
      <c r="DK561" s="229"/>
      <c r="DL561" s="229"/>
      <c r="DM561" s="229"/>
      <c r="DN561" s="229"/>
      <c r="DO561" s="228">
        <f t="shared" si="1835"/>
        <v>0</v>
      </c>
      <c r="DP561" s="228">
        <f t="shared" si="1836"/>
        <v>437.1</v>
      </c>
      <c r="DQ561" s="229">
        <f t="shared" si="1715"/>
        <v>324</v>
      </c>
      <c r="DR561" s="229">
        <f t="shared" si="1716"/>
        <v>12.5</v>
      </c>
      <c r="DS561" s="229">
        <f t="shared" si="1717"/>
        <v>0</v>
      </c>
      <c r="DT561" s="229">
        <f t="shared" si="1718"/>
        <v>5.2</v>
      </c>
      <c r="DU561" s="229">
        <f t="shared" si="1719"/>
        <v>0</v>
      </c>
      <c r="DV561" s="229">
        <f t="shared" si="1720"/>
        <v>560</v>
      </c>
      <c r="DW561" s="229">
        <f t="shared" si="1721"/>
        <v>40</v>
      </c>
      <c r="DX561" s="228">
        <f t="shared" si="1837"/>
        <v>941.7</v>
      </c>
      <c r="DY561" s="229"/>
      <c r="DZ561" s="229"/>
      <c r="EA561" s="229"/>
      <c r="EB561" s="229"/>
      <c r="EC561" s="229"/>
      <c r="ED561" s="229"/>
      <c r="EE561" s="229"/>
      <c r="EF561" s="228">
        <f t="shared" si="1696"/>
        <v>0</v>
      </c>
      <c r="EG561" s="228">
        <f t="shared" si="1838"/>
        <v>941.7</v>
      </c>
      <c r="EH561" s="229">
        <f t="shared" si="1697"/>
        <v>325</v>
      </c>
      <c r="EI561" s="229">
        <v>88.51</v>
      </c>
      <c r="EJ561" s="228">
        <f>SUM(EH561:EI561)</f>
        <v>413.51</v>
      </c>
      <c r="EK561" s="229"/>
      <c r="EL561" s="229"/>
      <c r="EM561" s="228">
        <f t="shared" si="1813"/>
        <v>0</v>
      </c>
      <c r="EN561" s="229">
        <f t="shared" si="1765"/>
        <v>325</v>
      </c>
      <c r="EO561" s="229">
        <f t="shared" si="1793"/>
        <v>88.51</v>
      </c>
      <c r="EP561" s="228">
        <f t="shared" si="1814"/>
        <v>413.51</v>
      </c>
      <c r="EQ561" s="173">
        <f t="shared" si="1687"/>
        <v>155</v>
      </c>
      <c r="ER561" s="189">
        <v>0</v>
      </c>
      <c r="ES561" s="189">
        <v>45.3</v>
      </c>
      <c r="ET561" s="189">
        <v>18.2</v>
      </c>
      <c r="EU561" s="189">
        <v>0</v>
      </c>
      <c r="EV561" s="189">
        <v>0</v>
      </c>
      <c r="EW561" s="189">
        <v>333.6</v>
      </c>
      <c r="EX561" s="189">
        <v>0</v>
      </c>
      <c r="EY561" s="189">
        <v>0</v>
      </c>
      <c r="EZ561" s="189">
        <v>0</v>
      </c>
      <c r="FA561" s="189">
        <v>0</v>
      </c>
      <c r="FB561" s="189">
        <v>0</v>
      </c>
      <c r="FC561" s="189">
        <v>40</v>
      </c>
      <c r="FD561" s="189">
        <v>324</v>
      </c>
      <c r="FE561" s="189">
        <v>12.5</v>
      </c>
      <c r="FF561" s="189">
        <v>0</v>
      </c>
      <c r="FG561" s="189">
        <v>5.2</v>
      </c>
      <c r="FH561" s="189">
        <v>560</v>
      </c>
      <c r="FI561" s="189">
        <v>0</v>
      </c>
      <c r="FJ561" s="189">
        <v>40</v>
      </c>
      <c r="FK561" s="189">
        <v>1378.8</v>
      </c>
      <c r="FL561" s="189">
        <v>1114</v>
      </c>
      <c r="FN561" s="132">
        <v>325</v>
      </c>
    </row>
    <row r="562" spans="1:170" ht="30" customHeight="1">
      <c r="A562" s="88">
        <f>COUNTIF($H$12:H562,H562)</f>
        <v>15</v>
      </c>
      <c r="B562" s="88" t="s">
        <v>466</v>
      </c>
      <c r="C562" s="88" t="s">
        <v>223</v>
      </c>
      <c r="D562" s="88"/>
      <c r="E562" s="88"/>
      <c r="F562" s="301" t="s">
        <v>1865</v>
      </c>
      <c r="G562" s="303" t="s">
        <v>1115</v>
      </c>
      <c r="H562" s="88">
        <v>11</v>
      </c>
      <c r="I562" s="88">
        <v>11</v>
      </c>
      <c r="J562" s="88">
        <v>11</v>
      </c>
      <c r="K562" s="90" t="s">
        <v>1662</v>
      </c>
      <c r="L562" s="90" t="s">
        <v>1662</v>
      </c>
      <c r="M562" s="214"/>
      <c r="N562" s="88" t="s">
        <v>1804</v>
      </c>
      <c r="O562" s="216">
        <f t="shared" si="1815"/>
        <v>3</v>
      </c>
      <c r="P562" s="88" t="str">
        <f t="shared" si="1785"/>
        <v>B1_3</v>
      </c>
      <c r="Q562" s="88">
        <f t="shared" si="1751"/>
        <v>270</v>
      </c>
      <c r="R562" s="88">
        <f t="shared" si="1752"/>
        <v>100</v>
      </c>
      <c r="S562" s="218" t="s">
        <v>2646</v>
      </c>
      <c r="T562" s="88" t="s">
        <v>3091</v>
      </c>
      <c r="U562" s="88">
        <f>IF(RIGHT(T562,1)="K",(VLOOKUP(T562,ma_miengiam!$A$3:$B$80,2,0)*100)/2,VLOOKUP(T562,ma_miengiam!$A$3:$B$80,2,0)*100)</f>
        <v>20</v>
      </c>
      <c r="V562" s="88">
        <v>6</v>
      </c>
      <c r="W562" s="220">
        <f>IF(AND(T562="NTS",V562&gt;0),(Q562-(Q562*V562)/12)*VLOOKUP(T562,ma_miengiam!$A$3:$B$80,2,0)+(Q562-(Q562*(12-V562))/12),IF(AND(RIGHT(T562,1)="K",V562&gt;0),(VLOOKUP(T562,ma_miengiam!$A$3:$B$80,2,0)/2)*(Q562*V562)/12,IF(RIGHT(T562,1)="K",(VLOOKUP(T562,ma_miengiam!$A$3:$B$80,2,0)*Q562)/2,IF(V562&gt;0,VLOOKUP(T562,ma_miengiam!$A$3:$B$80,2,0)*Q562*V562/12,VLOOKUP(T562,ma_miengiam!$A$3:$B$80,2,0)*Q562))))</f>
        <v>27</v>
      </c>
      <c r="X562" s="220">
        <f>IF(T562="NTS",VLOOKUP(T562,ma_miengiam!$A$3:$B$80,2,0)*R562*V562,IF(AND(T562="NTS",V562=0),0,IF(AND(LEFT(T562,1)="K",V562=0),VLOOKUP(T562,ma_miengiam!$A$3:$B$80,2,0)*R562,IF(LEFT(T562,1)="K",(VLOOKUP(T562,ma_miengiam!$A$3:$B$80,2,0)*R562/12)*V562,IF(AND(LEFT(T562,1)="S",V562&gt;0),(R562/12)*V562,IF(AND(LEFT(T562,1)="S",V562=0),R562,IF(T562="DH",VLOOKUP(T562,ma_miengiam!$A$3:$B$80,2,0)*R562,0)))))))</f>
        <v>0</v>
      </c>
      <c r="Y562" s="220">
        <f t="shared" si="1745"/>
        <v>108</v>
      </c>
      <c r="Z562" s="220">
        <f t="shared" si="1816"/>
        <v>50</v>
      </c>
      <c r="AA562" s="220">
        <f t="shared" si="1817"/>
        <v>270</v>
      </c>
      <c r="AB562" s="220">
        <f t="shared" si="1817"/>
        <v>100</v>
      </c>
      <c r="AC562" s="220">
        <f t="shared" ref="AC562:AF563" si="1839">W562</f>
        <v>27</v>
      </c>
      <c r="AD562" s="220">
        <f t="shared" si="1839"/>
        <v>0</v>
      </c>
      <c r="AE562" s="220">
        <f t="shared" si="1839"/>
        <v>108</v>
      </c>
      <c r="AF562" s="220">
        <f t="shared" si="1839"/>
        <v>50</v>
      </c>
      <c r="AG562" s="220">
        <f t="shared" ref="AG562:AG568" si="1840">AH562+AI562</f>
        <v>38.33</v>
      </c>
      <c r="AH562" s="220">
        <f t="shared" ref="AH562:AH568" si="1841">EO562</f>
        <v>0</v>
      </c>
      <c r="AI562" s="220">
        <f t="shared" ref="AI562:AI568" si="1842">EN562</f>
        <v>38.33</v>
      </c>
      <c r="AJ562" s="220">
        <f t="shared" si="1780"/>
        <v>-11.670000000000002</v>
      </c>
      <c r="AK562" s="216">
        <f t="shared" si="1812"/>
        <v>119.67</v>
      </c>
      <c r="AL562" s="220">
        <f t="shared" si="1819"/>
        <v>0</v>
      </c>
      <c r="AM562" s="220">
        <f t="shared" si="1820"/>
        <v>0</v>
      </c>
      <c r="AN562" s="221">
        <f t="shared" si="1821"/>
        <v>0</v>
      </c>
      <c r="AO562" s="220">
        <f t="shared" si="1822"/>
        <v>0</v>
      </c>
      <c r="AP562" s="220">
        <f t="shared" si="1823"/>
        <v>0</v>
      </c>
      <c r="AQ562" s="220">
        <f t="shared" si="1824"/>
        <v>40</v>
      </c>
      <c r="AR562" s="220">
        <f t="shared" si="1825"/>
        <v>0</v>
      </c>
      <c r="AS562" s="220">
        <f t="shared" si="1826"/>
        <v>0</v>
      </c>
      <c r="AT562" s="216">
        <f t="shared" si="1827"/>
        <v>40</v>
      </c>
      <c r="AU562" s="222">
        <f t="shared" si="1792"/>
        <v>-119.67</v>
      </c>
      <c r="AV562" s="220"/>
      <c r="AW562" s="220">
        <f t="shared" si="1688"/>
        <v>-119.67</v>
      </c>
      <c r="AX562" s="216">
        <f t="shared" si="1811"/>
        <v>-119.67</v>
      </c>
      <c r="AY562" s="220">
        <f t="shared" si="1698"/>
        <v>0</v>
      </c>
      <c r="AZ562" s="220">
        <f t="shared" si="1699"/>
        <v>0</v>
      </c>
      <c r="BA562" s="220">
        <f t="shared" si="1700"/>
        <v>0</v>
      </c>
      <c r="BB562" s="220">
        <f t="shared" si="1701"/>
        <v>0</v>
      </c>
      <c r="BC562" s="220">
        <f t="shared" si="1702"/>
        <v>0</v>
      </c>
      <c r="BD562" s="216">
        <f t="shared" si="1778"/>
        <v>0</v>
      </c>
      <c r="BE562" s="220">
        <f t="shared" si="1689"/>
        <v>0</v>
      </c>
      <c r="BF562" s="220">
        <f t="shared" si="1690"/>
        <v>0</v>
      </c>
      <c r="BG562" s="220">
        <f t="shared" si="1691"/>
        <v>-40</v>
      </c>
      <c r="BH562" s="220">
        <f t="shared" si="1692"/>
        <v>0</v>
      </c>
      <c r="BI562" s="220">
        <f t="shared" si="1693"/>
        <v>0</v>
      </c>
      <c r="BJ562" s="220" t="s">
        <v>397</v>
      </c>
      <c r="BK562" s="220"/>
      <c r="BL562" s="223">
        <f t="shared" si="1784"/>
        <v>0</v>
      </c>
      <c r="BM562" s="220">
        <v>3</v>
      </c>
      <c r="BN562" s="220"/>
      <c r="BO562" s="220">
        <f t="shared" si="1787"/>
        <v>3</v>
      </c>
      <c r="BP562" s="220">
        <f>IF(AND(BL562&gt;0,BL562&lt;tiet!$D$1),BL562,IF(BL562&lt;=0,0,IF(BL562&gt;tiet!$C$1,tiet!$C$1)))</f>
        <v>0</v>
      </c>
      <c r="BQ562" s="87">
        <f t="shared" si="1799"/>
        <v>60000</v>
      </c>
      <c r="BR562" s="224">
        <f t="shared" si="1800"/>
        <v>0</v>
      </c>
      <c r="BS562" s="220">
        <f t="shared" si="1686"/>
        <v>0</v>
      </c>
      <c r="BT562" s="224">
        <f>VLOOKUP(N562,ma_dinhmuc!$A$1:$J$31,10,0)</f>
        <v>51000</v>
      </c>
      <c r="BU562" s="224">
        <f>ROUND(IF(BS562&gt;0,VLOOKUP(N562,ma_dinhmuc!$A$1:$J$31,10,0)*BS562,0),0)</f>
        <v>0</v>
      </c>
      <c r="BV562" s="224">
        <f t="shared" si="1801"/>
        <v>0</v>
      </c>
      <c r="BW562" s="224"/>
      <c r="BX562" s="224">
        <v>0</v>
      </c>
      <c r="BY562" s="224"/>
      <c r="BZ562" s="224"/>
      <c r="CA562" s="224"/>
      <c r="CB562" s="224"/>
      <c r="CC562" s="225">
        <f t="shared" si="1781"/>
        <v>0</v>
      </c>
      <c r="CD562" s="224">
        <f t="shared" si="1782"/>
        <v>0</v>
      </c>
      <c r="CE562" s="224"/>
      <c r="CF562" s="226"/>
      <c r="CG562" s="87"/>
      <c r="CH562" s="87">
        <f t="shared" si="1828"/>
        <v>15</v>
      </c>
      <c r="CI562" s="227" t="str">
        <f t="shared" si="1829"/>
        <v>Bùi Thị Mai</v>
      </c>
      <c r="CJ562" s="227" t="str">
        <f t="shared" si="1830"/>
        <v>Linh</v>
      </c>
      <c r="CK562" s="87">
        <f t="shared" si="1831"/>
        <v>11</v>
      </c>
      <c r="CL562" s="227" t="str">
        <f t="shared" si="1805"/>
        <v xml:space="preserve">KTQT và Kiểm toán                     </v>
      </c>
      <c r="CM562" s="87" t="str">
        <f t="shared" si="1694"/>
        <v>CS2</v>
      </c>
      <c r="CN562" s="87">
        <f t="shared" si="1832"/>
        <v>270</v>
      </c>
      <c r="CO562" s="87">
        <f t="shared" si="1833"/>
        <v>100</v>
      </c>
      <c r="CP562" s="229">
        <f t="shared" si="1703"/>
        <v>0</v>
      </c>
      <c r="CQ562" s="229">
        <f t="shared" si="1704"/>
        <v>0</v>
      </c>
      <c r="CR562" s="229">
        <f t="shared" si="1705"/>
        <v>0</v>
      </c>
      <c r="CS562" s="229">
        <f t="shared" si="1706"/>
        <v>0</v>
      </c>
      <c r="CT562" s="229">
        <f t="shared" si="1707"/>
        <v>0</v>
      </c>
      <c r="CU562" s="229">
        <f t="shared" si="1708"/>
        <v>0</v>
      </c>
      <c r="CV562" s="229">
        <f t="shared" si="1709"/>
        <v>0</v>
      </c>
      <c r="CW562" s="229">
        <f t="shared" si="1710"/>
        <v>0</v>
      </c>
      <c r="CX562" s="229">
        <f t="shared" si="1711"/>
        <v>0</v>
      </c>
      <c r="CY562" s="229">
        <f t="shared" si="1712"/>
        <v>0</v>
      </c>
      <c r="CZ562" s="229">
        <f t="shared" si="1713"/>
        <v>0</v>
      </c>
      <c r="DA562" s="229">
        <f t="shared" si="1714"/>
        <v>40</v>
      </c>
      <c r="DB562" s="228">
        <f t="shared" si="1834"/>
        <v>40</v>
      </c>
      <c r="DC562" s="229"/>
      <c r="DD562" s="229"/>
      <c r="DE562" s="229"/>
      <c r="DF562" s="229"/>
      <c r="DG562" s="229"/>
      <c r="DH562" s="229"/>
      <c r="DI562" s="229"/>
      <c r="DJ562" s="229"/>
      <c r="DK562" s="229"/>
      <c r="DL562" s="229"/>
      <c r="DM562" s="229"/>
      <c r="DN562" s="229"/>
      <c r="DO562" s="228">
        <f t="shared" si="1835"/>
        <v>0</v>
      </c>
      <c r="DP562" s="228">
        <f t="shared" si="1836"/>
        <v>40</v>
      </c>
      <c r="DQ562" s="229">
        <f t="shared" si="1715"/>
        <v>0</v>
      </c>
      <c r="DR562" s="229">
        <f t="shared" si="1716"/>
        <v>0</v>
      </c>
      <c r="DS562" s="229">
        <f t="shared" si="1717"/>
        <v>0</v>
      </c>
      <c r="DT562" s="229">
        <f t="shared" si="1718"/>
        <v>0</v>
      </c>
      <c r="DU562" s="229">
        <f t="shared" si="1719"/>
        <v>0</v>
      </c>
      <c r="DV562" s="229">
        <f t="shared" si="1720"/>
        <v>0</v>
      </c>
      <c r="DW562" s="229">
        <f t="shared" si="1721"/>
        <v>0</v>
      </c>
      <c r="DX562" s="228">
        <f t="shared" si="1837"/>
        <v>0</v>
      </c>
      <c r="DY562" s="229"/>
      <c r="DZ562" s="229"/>
      <c r="EA562" s="229"/>
      <c r="EB562" s="229"/>
      <c r="EC562" s="229"/>
      <c r="ED562" s="229"/>
      <c r="EE562" s="229"/>
      <c r="EF562" s="228">
        <f t="shared" si="1696"/>
        <v>0</v>
      </c>
      <c r="EG562" s="228">
        <f t="shared" si="1838"/>
        <v>0</v>
      </c>
      <c r="EH562" s="229">
        <f t="shared" si="1697"/>
        <v>38.33</v>
      </c>
      <c r="EI562" s="229">
        <v>0</v>
      </c>
      <c r="EJ562" s="228">
        <f>SUM(EH562:EI562)</f>
        <v>38.33</v>
      </c>
      <c r="EK562" s="229"/>
      <c r="EL562" s="229"/>
      <c r="EM562" s="228">
        <f t="shared" si="1813"/>
        <v>0</v>
      </c>
      <c r="EN562" s="229">
        <f t="shared" si="1765"/>
        <v>38.33</v>
      </c>
      <c r="EO562" s="229">
        <f t="shared" si="1793"/>
        <v>0</v>
      </c>
      <c r="EP562" s="228">
        <f t="shared" si="1814"/>
        <v>38.33</v>
      </c>
      <c r="EQ562" s="173">
        <f t="shared" si="1687"/>
        <v>0</v>
      </c>
      <c r="ER562" s="189">
        <v>0</v>
      </c>
      <c r="ES562" s="189">
        <v>0</v>
      </c>
      <c r="ET562" s="189">
        <v>0</v>
      </c>
      <c r="EU562" s="189">
        <v>0</v>
      </c>
      <c r="EV562" s="189">
        <v>0</v>
      </c>
      <c r="EW562" s="189">
        <v>0</v>
      </c>
      <c r="EX562" s="189">
        <v>0</v>
      </c>
      <c r="EY562" s="189">
        <v>0</v>
      </c>
      <c r="EZ562" s="189">
        <v>0</v>
      </c>
      <c r="FA562" s="189">
        <v>0</v>
      </c>
      <c r="FB562" s="189">
        <v>0</v>
      </c>
      <c r="FC562" s="189">
        <v>40</v>
      </c>
      <c r="FD562" s="189">
        <v>0</v>
      </c>
      <c r="FE562" s="189">
        <v>0</v>
      </c>
      <c r="FF562" s="189">
        <v>0</v>
      </c>
      <c r="FG562" s="189">
        <v>0</v>
      </c>
      <c r="FH562" s="189">
        <v>0</v>
      </c>
      <c r="FI562" s="189">
        <v>0</v>
      </c>
      <c r="FJ562" s="189">
        <v>0</v>
      </c>
      <c r="FK562" s="189">
        <v>40</v>
      </c>
      <c r="FL562" s="189">
        <v>40</v>
      </c>
      <c r="FN562" s="132">
        <v>38.33</v>
      </c>
    </row>
    <row r="563" spans="1:170" ht="30" customHeight="1">
      <c r="A563" s="88">
        <f>COUNTIF($H$12:H563,H563)</f>
        <v>16</v>
      </c>
      <c r="B563" s="88" t="s">
        <v>467</v>
      </c>
      <c r="C563" s="88" t="s">
        <v>224</v>
      </c>
      <c r="D563" s="88"/>
      <c r="E563" s="88"/>
      <c r="F563" s="301" t="s">
        <v>1866</v>
      </c>
      <c r="G563" s="303" t="s">
        <v>2087</v>
      </c>
      <c r="H563" s="88">
        <v>11</v>
      </c>
      <c r="I563" s="88">
        <v>11</v>
      </c>
      <c r="J563" s="88">
        <v>11</v>
      </c>
      <c r="K563" s="90" t="s">
        <v>1662</v>
      </c>
      <c r="L563" s="90" t="s">
        <v>1662</v>
      </c>
      <c r="M563" s="214"/>
      <c r="N563" s="88" t="s">
        <v>1804</v>
      </c>
      <c r="O563" s="216">
        <f>BO563</f>
        <v>3</v>
      </c>
      <c r="P563" s="88" t="str">
        <f t="shared" si="1785"/>
        <v>B1_3</v>
      </c>
      <c r="Q563" s="88">
        <f t="shared" si="1751"/>
        <v>270</v>
      </c>
      <c r="R563" s="88">
        <f t="shared" si="1752"/>
        <v>100</v>
      </c>
      <c r="S563" s="218"/>
      <c r="T563" s="88" t="s">
        <v>3088</v>
      </c>
      <c r="U563" s="88">
        <f>IF(RIGHT(T563,1)="K",(VLOOKUP(T563,ma_miengiam!$A$3:$B$80,2,0)*100)/2,VLOOKUP(T563,ma_miengiam!$A$3:$B$80,2,0)*100)</f>
        <v>0</v>
      </c>
      <c r="V563" s="88"/>
      <c r="W563" s="220">
        <f>IF(AND(T563="NTS",V563&gt;0),(Q563-(Q563*V563)/12)*VLOOKUP(T563,ma_miengiam!$A$3:$B$80,2,0)+(Q563-(Q563*(12-V563))/12),IF(AND(RIGHT(T563,1)="K",V563&gt;0),(VLOOKUP(T563,ma_miengiam!$A$3:$B$80,2,0)/2)*(Q563*V563)/12,IF(RIGHT(T563,1)="K",(VLOOKUP(T563,ma_miengiam!$A$3:$B$80,2,0)*Q563)/2,IF(V563&gt;0,VLOOKUP(T563,ma_miengiam!$A$3:$B$80,2,0)*Q563*V563/12,VLOOKUP(T563,ma_miengiam!$A$3:$B$80,2,0)*Q563))))</f>
        <v>0</v>
      </c>
      <c r="X563" s="220">
        <f>IF(T563="NTS",VLOOKUP(T563,ma_miengiam!$A$3:$B$80,2,0)*R563*V563,IF(AND(T563="NTS",V563=0),0,IF(AND(LEFT(T563,1)="K",V563=0),VLOOKUP(T563,ma_miengiam!$A$3:$B$80,2,0)*R563,IF(LEFT(T563,1)="K",(VLOOKUP(T563,ma_miengiam!$A$3:$B$80,2,0)*R563/12)*V563,IF(AND(LEFT(T563,1)="S",V563&gt;0),(R563/12)*V563,IF(AND(LEFT(T563,1)="S",V563=0),R563,IF(T563="DH",VLOOKUP(T563,ma_miengiam!$A$3:$B$80,2,0)*R563,0)))))))</f>
        <v>0</v>
      </c>
      <c r="Y563" s="220">
        <f>IF(AND(T563="DH",V563&gt;0),(S563*V563/12),IF(AND(T563&lt;&gt;"NTS",V563&gt;0),(Q563*V563/12)-W563,IF(AND(T563="NTS",V563&gt;0),Q563-W563,Q563-W563)))</f>
        <v>270</v>
      </c>
      <c r="Z563" s="220">
        <f>IF(AND(T563="SĐH",V563&gt;0),(R563/12)*V563-X563,IF(AND(T563="DH",V563&gt;0),(R563*V563/12),IF(AND(T563&lt;&gt;"NTS",V563&gt;0),(R563*V563/12)-X563,IF(AND(T563="NTS",V563&gt;0),R563-X563,R563-X563))))</f>
        <v>100</v>
      </c>
      <c r="AA563" s="220">
        <f>Q563</f>
        <v>270</v>
      </c>
      <c r="AB563" s="220">
        <f>R563</f>
        <v>100</v>
      </c>
      <c r="AC563" s="220">
        <f t="shared" si="1839"/>
        <v>0</v>
      </c>
      <c r="AD563" s="220">
        <f t="shared" si="1839"/>
        <v>0</v>
      </c>
      <c r="AE563" s="220">
        <f t="shared" si="1839"/>
        <v>270</v>
      </c>
      <c r="AF563" s="220">
        <f t="shared" si="1839"/>
        <v>100</v>
      </c>
      <c r="AG563" s="220">
        <f>AH563+AI563</f>
        <v>148.5</v>
      </c>
      <c r="AH563" s="220">
        <f>EO563</f>
        <v>66</v>
      </c>
      <c r="AI563" s="220">
        <f>EN563</f>
        <v>82.5</v>
      </c>
      <c r="AJ563" s="220">
        <f>IF(AG563-Z563&gt;0,0,AG563-Z563)</f>
        <v>0</v>
      </c>
      <c r="AK563" s="216">
        <f t="shared" si="1812"/>
        <v>270</v>
      </c>
      <c r="AL563" s="220">
        <f>SUM(CP563:CX563)+SUM(DC563:DK563)</f>
        <v>360.5</v>
      </c>
      <c r="AM563" s="220">
        <f>SUM(DQ563:DU563)+SUM(DY563:EC563)</f>
        <v>0</v>
      </c>
      <c r="AN563" s="221">
        <f>AM563+AL563</f>
        <v>360.5</v>
      </c>
      <c r="AO563" s="220">
        <f>CY563+DL563</f>
        <v>0</v>
      </c>
      <c r="AP563" s="220">
        <f>CZ563+DM563</f>
        <v>0</v>
      </c>
      <c r="AQ563" s="220">
        <f>DA563+DN563</f>
        <v>60</v>
      </c>
      <c r="AR563" s="220">
        <f>DV563+ED563</f>
        <v>0</v>
      </c>
      <c r="AS563" s="220">
        <f>DW563+EE563</f>
        <v>0</v>
      </c>
      <c r="AT563" s="216">
        <f>AN563+SUM(AO563:AS563)</f>
        <v>420.5</v>
      </c>
      <c r="AU563" s="222">
        <f>AN563-AK563</f>
        <v>90.5</v>
      </c>
      <c r="AV563" s="220"/>
      <c r="AW563" s="220">
        <f>IF(AU563&gt;0,AU563,AV563+AU563)</f>
        <v>90.5</v>
      </c>
      <c r="AX563" s="216">
        <f t="shared" si="1811"/>
        <v>0</v>
      </c>
      <c r="AY563" s="220">
        <f>IF(AN563&gt;=AK563,AO563,IF(AN563+AO563-AK563&gt;=0,AN563+AO563-AK563,0))</f>
        <v>0</v>
      </c>
      <c r="AZ563" s="220">
        <f>IF(OR(AN563&gt;=AK563,AN563+AO563&gt;=AK563),AP563,IF(AN563+AO563+AP563&gt;AK563,AN563+AO563+AP563-AK563,0))</f>
        <v>0</v>
      </c>
      <c r="BA563" s="220">
        <f>IF(OR(AN563&gt;=AK563,AN563+AO563&gt;=AK563,AN563+AO563+AP563&gt;=AK563),AQ563,IF(AN563+AO563+AP563+AQ563&gt;=AK563,AN563+AO563+AP563+AQ563-AK563,0))</f>
        <v>60</v>
      </c>
      <c r="BB563" s="220">
        <f>IF(OR(AN563&gt;=AK563,AN563+AO563&gt;=AK563,AN563+AO563+AP563&gt;=AK563,AN563+AO563+AP563+AQ563&gt;=AK563),AR563,IF(AN563+AO563+AP563+AQ563+AR563&gt;=AK563,AN563+AO563+AP563+AQ563+AR563-AK563,0))</f>
        <v>0</v>
      </c>
      <c r="BC563" s="220">
        <f>IF(OR(AN563&gt;=AK563,AN563+AO563&gt;=AK563,AN563+AO563+AP563&gt;=AK563,AN563+AO563+AP563+AQ563&gt;=AK563,AN563+AO563+AP563+AQ563+AR563&gt;=AK563),AS563,IF(AN563+AO563+AP563+AQ563+AR563+AS563&gt;=AK563,AN563+AO563+AP563+AQ563+AR563+AS563-AK563,0))</f>
        <v>0</v>
      </c>
      <c r="BD563" s="216">
        <f t="shared" si="1778"/>
        <v>60</v>
      </c>
      <c r="BE563" s="220">
        <f>AY563-AO563</f>
        <v>0</v>
      </c>
      <c r="BF563" s="220">
        <f>AZ563-AP563</f>
        <v>0</v>
      </c>
      <c r="BG563" s="220">
        <f>BA563-AQ563</f>
        <v>0</v>
      </c>
      <c r="BH563" s="220">
        <f>BB563-AR563</f>
        <v>0</v>
      </c>
      <c r="BI563" s="220">
        <f>BC563-AS563</f>
        <v>0</v>
      </c>
      <c r="BJ563" s="220" t="s">
        <v>397</v>
      </c>
      <c r="BK563" s="220"/>
      <c r="BL563" s="223">
        <f t="shared" si="1784"/>
        <v>90.5</v>
      </c>
      <c r="BM563" s="220">
        <v>3</v>
      </c>
      <c r="BN563" s="220"/>
      <c r="BO563" s="220">
        <f>ROUND(BM563+(BM563*BN563),2)</f>
        <v>3</v>
      </c>
      <c r="BP563" s="220">
        <f>IF(AND(BL563&gt;0,BL563&lt;tiet!$D$1),BL563,IF(BL563&lt;=0,0,IF(BL563&gt;tiet!$C$1,tiet!$C$1)))</f>
        <v>90.5</v>
      </c>
      <c r="BQ563" s="87">
        <f t="shared" si="1799"/>
        <v>60000</v>
      </c>
      <c r="BR563" s="224">
        <f t="shared" si="1800"/>
        <v>5430000</v>
      </c>
      <c r="BS563" s="220">
        <f t="shared" si="1686"/>
        <v>0</v>
      </c>
      <c r="BT563" s="224">
        <f>VLOOKUP(N563,ma_dinhmuc!$A$1:$J$31,10,0)</f>
        <v>51000</v>
      </c>
      <c r="BU563" s="224">
        <f>ROUND(IF(BS563&gt;0,VLOOKUP(N563,ma_dinhmuc!$A$1:$J$31,10,0)*BS563,0),0)</f>
        <v>0</v>
      </c>
      <c r="BV563" s="224">
        <f t="shared" si="1801"/>
        <v>5430000</v>
      </c>
      <c r="BW563" s="224"/>
      <c r="BX563" s="224">
        <v>0</v>
      </c>
      <c r="BY563" s="224"/>
      <c r="BZ563" s="224"/>
      <c r="CA563" s="224"/>
      <c r="CB563" s="224"/>
      <c r="CC563" s="225">
        <f>ROUND(IF(BV563+BW563&gt;BX563+BY563+BZ563+CA563+CB563,(BW563+BV563)-(BX563+BY563+BZ563+CA563+CB563+CB563),0),0)</f>
        <v>5430000</v>
      </c>
      <c r="CD563" s="224">
        <f>ROUND(IF(BV563+BW563&lt;BX563+BY563+BZ563+CA563-CB563,(BX563+BY563+BZ563+CA563-CB563)-(BW563+BV563),0),0)</f>
        <v>0</v>
      </c>
      <c r="CE563" s="224"/>
      <c r="CF563" s="226"/>
      <c r="CG563" s="87"/>
      <c r="CH563" s="87">
        <f>A563</f>
        <v>16</v>
      </c>
      <c r="CI563" s="227" t="str">
        <f>F563</f>
        <v>Nguyễn Thị Thùy</v>
      </c>
      <c r="CJ563" s="227" t="str">
        <f>G563</f>
        <v>Dung</v>
      </c>
      <c r="CK563" s="87">
        <f>H563</f>
        <v>11</v>
      </c>
      <c r="CL563" s="227" t="str">
        <f t="shared" si="1805"/>
        <v xml:space="preserve">KTQT và Kiểm toán                     </v>
      </c>
      <c r="CM563" s="87" t="str">
        <f>N563</f>
        <v>CS2</v>
      </c>
      <c r="CN563" s="87">
        <f>Q563</f>
        <v>270</v>
      </c>
      <c r="CO563" s="87">
        <f>R563</f>
        <v>100</v>
      </c>
      <c r="CP563" s="229">
        <f t="shared" si="1703"/>
        <v>0</v>
      </c>
      <c r="CQ563" s="229">
        <f t="shared" si="1704"/>
        <v>40.700000000000003</v>
      </c>
      <c r="CR563" s="229">
        <f t="shared" si="1705"/>
        <v>16.399999999999999</v>
      </c>
      <c r="CS563" s="229">
        <f t="shared" si="1706"/>
        <v>0</v>
      </c>
      <c r="CT563" s="229">
        <f t="shared" si="1707"/>
        <v>0</v>
      </c>
      <c r="CU563" s="229">
        <f t="shared" si="1708"/>
        <v>303.39999999999998</v>
      </c>
      <c r="CV563" s="229">
        <f t="shared" si="1709"/>
        <v>0</v>
      </c>
      <c r="CW563" s="229">
        <f t="shared" si="1710"/>
        <v>0</v>
      </c>
      <c r="CX563" s="229">
        <f t="shared" si="1711"/>
        <v>0</v>
      </c>
      <c r="CY563" s="229">
        <f t="shared" si="1712"/>
        <v>0</v>
      </c>
      <c r="CZ563" s="229">
        <f t="shared" si="1713"/>
        <v>0</v>
      </c>
      <c r="DA563" s="229">
        <f t="shared" si="1714"/>
        <v>60</v>
      </c>
      <c r="DB563" s="228">
        <f>SUM(CP563:DA563)</f>
        <v>420.5</v>
      </c>
      <c r="DC563" s="229"/>
      <c r="DD563" s="229"/>
      <c r="DE563" s="229"/>
      <c r="DF563" s="229"/>
      <c r="DG563" s="229"/>
      <c r="DH563" s="229"/>
      <c r="DI563" s="229"/>
      <c r="DJ563" s="229"/>
      <c r="DK563" s="229"/>
      <c r="DL563" s="229"/>
      <c r="DM563" s="229"/>
      <c r="DN563" s="229"/>
      <c r="DO563" s="228">
        <f>SUM(DC563:DN563)</f>
        <v>0</v>
      </c>
      <c r="DP563" s="228">
        <f>DO563+DB563</f>
        <v>420.5</v>
      </c>
      <c r="DQ563" s="229">
        <f t="shared" si="1715"/>
        <v>0</v>
      </c>
      <c r="DR563" s="229">
        <f t="shared" si="1716"/>
        <v>0</v>
      </c>
      <c r="DS563" s="229">
        <f t="shared" si="1717"/>
        <v>0</v>
      </c>
      <c r="DT563" s="229">
        <f t="shared" si="1718"/>
        <v>0</v>
      </c>
      <c r="DU563" s="229">
        <f t="shared" si="1719"/>
        <v>0</v>
      </c>
      <c r="DV563" s="229">
        <f t="shared" si="1720"/>
        <v>0</v>
      </c>
      <c r="DW563" s="229">
        <f t="shared" si="1721"/>
        <v>0</v>
      </c>
      <c r="DX563" s="228">
        <f>SUM(DQ563:DW563)</f>
        <v>0</v>
      </c>
      <c r="DY563" s="229"/>
      <c r="DZ563" s="229"/>
      <c r="EA563" s="229"/>
      <c r="EB563" s="229"/>
      <c r="EC563" s="229"/>
      <c r="ED563" s="229"/>
      <c r="EE563" s="229"/>
      <c r="EF563" s="228">
        <f t="shared" si="1696"/>
        <v>0</v>
      </c>
      <c r="EG563" s="228">
        <f>EF563+DX563</f>
        <v>0</v>
      </c>
      <c r="EH563" s="229">
        <f t="shared" si="1697"/>
        <v>82.5</v>
      </c>
      <c r="EI563" s="229">
        <v>66</v>
      </c>
      <c r="EJ563" s="228">
        <f>SUM(EH563:EI563)</f>
        <v>148.5</v>
      </c>
      <c r="EK563" s="229"/>
      <c r="EL563" s="229"/>
      <c r="EM563" s="228">
        <f>SUM(EK563:EL563)</f>
        <v>0</v>
      </c>
      <c r="EN563" s="229">
        <f>EK563+EH563+EL563</f>
        <v>82.5</v>
      </c>
      <c r="EO563" s="229">
        <f>EI563</f>
        <v>66</v>
      </c>
      <c r="EP563" s="228">
        <f>EM563+EJ563</f>
        <v>148.5</v>
      </c>
      <c r="EQ563" s="173">
        <f t="shared" si="1687"/>
        <v>0</v>
      </c>
      <c r="ER563" s="189">
        <v>0</v>
      </c>
      <c r="ES563" s="189">
        <v>40.700000000000003</v>
      </c>
      <c r="ET563" s="189">
        <v>16.399999999999999</v>
      </c>
      <c r="EU563" s="189">
        <v>0</v>
      </c>
      <c r="EV563" s="189">
        <v>0</v>
      </c>
      <c r="EW563" s="189">
        <v>303.39999999999998</v>
      </c>
      <c r="EX563" s="189">
        <v>0</v>
      </c>
      <c r="EY563" s="189">
        <v>0</v>
      </c>
      <c r="EZ563" s="189">
        <v>0</v>
      </c>
      <c r="FA563" s="189">
        <v>0</v>
      </c>
      <c r="FB563" s="189">
        <v>0</v>
      </c>
      <c r="FC563" s="189">
        <v>60</v>
      </c>
      <c r="FD563" s="189">
        <v>0</v>
      </c>
      <c r="FE563" s="189">
        <v>0</v>
      </c>
      <c r="FF563" s="189">
        <v>0</v>
      </c>
      <c r="FG563" s="189">
        <v>0</v>
      </c>
      <c r="FH563" s="189">
        <v>0</v>
      </c>
      <c r="FI563" s="189">
        <v>0</v>
      </c>
      <c r="FJ563" s="189">
        <v>0</v>
      </c>
      <c r="FK563" s="189">
        <v>420.5</v>
      </c>
      <c r="FL563" s="189">
        <v>342</v>
      </c>
      <c r="FN563" s="132">
        <v>82.5</v>
      </c>
    </row>
    <row r="564" spans="1:170" ht="30" customHeight="1">
      <c r="A564" s="88">
        <f>COUNTIF($H$12:H564,H564)</f>
        <v>17</v>
      </c>
      <c r="B564" s="88" t="s">
        <v>468</v>
      </c>
      <c r="C564" s="88" t="s">
        <v>225</v>
      </c>
      <c r="D564" s="88"/>
      <c r="E564" s="88"/>
      <c r="F564" s="301" t="s">
        <v>1867</v>
      </c>
      <c r="G564" s="89" t="s">
        <v>1144</v>
      </c>
      <c r="H564" s="88">
        <v>11</v>
      </c>
      <c r="I564" s="88">
        <v>11</v>
      </c>
      <c r="J564" s="88">
        <v>11</v>
      </c>
      <c r="K564" s="90" t="s">
        <v>1662</v>
      </c>
      <c r="L564" s="90" t="s">
        <v>1662</v>
      </c>
      <c r="M564" s="214"/>
      <c r="N564" s="88" t="s">
        <v>1804</v>
      </c>
      <c r="O564" s="216">
        <f t="shared" si="1815"/>
        <v>3.33</v>
      </c>
      <c r="P564" s="88" t="str">
        <f t="shared" si="1785"/>
        <v>B1_4</v>
      </c>
      <c r="Q564" s="88">
        <f t="shared" si="1751"/>
        <v>270</v>
      </c>
      <c r="R564" s="88">
        <f t="shared" si="1752"/>
        <v>120</v>
      </c>
      <c r="S564" s="218" t="s">
        <v>1517</v>
      </c>
      <c r="T564" s="88" t="s">
        <v>1326</v>
      </c>
      <c r="U564" s="88">
        <f>IF(RIGHT(T564,1)="K",(VLOOKUP(T564,ma_miengiam!$A$3:$B$80,2,0)*100)/2,VLOOKUP(T564,ma_miengiam!$A$3:$B$80,2,0)*100)</f>
        <v>65</v>
      </c>
      <c r="V564" s="88"/>
      <c r="W564" s="220">
        <f>IF(AND(T564="NTS",V564&gt;0),(Q564-(Q564*V564)/12)*VLOOKUP(T564,ma_miengiam!$A$3:$B$80,2,0)+(Q564-(Q564*(12-V564))/12),IF(AND(RIGHT(T564,1)="K",V564&gt;0),(VLOOKUP(T564,ma_miengiam!$A$3:$B$80,2,0)/2)*(Q564*V564)/12,IF(RIGHT(T564,1)="K",(VLOOKUP(T564,ma_miengiam!$A$3:$B$80,2,0)*Q564)/2,IF(V564&gt;0,VLOOKUP(T564,ma_miengiam!$A$3:$B$80,2,0)*Q564*V564/12,VLOOKUP(T564,ma_miengiam!$A$3:$B$80,2,0)*Q564))))</f>
        <v>175.5</v>
      </c>
      <c r="X564" s="220">
        <f>IF(T564="NTS",VLOOKUP(T564,ma_miengiam!$A$3:$B$80,2,0)*R564*V564,IF(AND(T564="NTS",V564=0),0,IF(AND(LEFT(T564,1)="K",V564=0),VLOOKUP(T564,ma_miengiam!$A$3:$B$80,2,0)*R564,IF(LEFT(T564,1)="K",(VLOOKUP(T564,ma_miengiam!$A$3:$B$80,2,0)*R564/12)*V564,IF(AND(LEFT(T564,1)="S",V564&gt;0),(R564/12)*V564,IF(AND(LEFT(T564,1)="S",V564=0),R564,IF(T564="DH",VLOOKUP(T564,ma_miengiam!$A$3:$B$80,2,0)*R564,0)))))))</f>
        <v>120</v>
      </c>
      <c r="Y564" s="220">
        <f t="shared" si="1745"/>
        <v>94.5</v>
      </c>
      <c r="Z564" s="220">
        <f t="shared" si="1816"/>
        <v>0</v>
      </c>
      <c r="AA564" s="220">
        <f t="shared" ref="AA564:AB567" si="1843">Q564</f>
        <v>270</v>
      </c>
      <c r="AB564" s="220">
        <f t="shared" si="1843"/>
        <v>120</v>
      </c>
      <c r="AC564" s="220">
        <f t="shared" ref="AC564:AF567" si="1844">W564</f>
        <v>175.5</v>
      </c>
      <c r="AD564" s="220">
        <f t="shared" si="1844"/>
        <v>120</v>
      </c>
      <c r="AE564" s="220">
        <f t="shared" si="1844"/>
        <v>94.5</v>
      </c>
      <c r="AF564" s="220">
        <f t="shared" si="1844"/>
        <v>0</v>
      </c>
      <c r="AG564" s="220">
        <f t="shared" si="1840"/>
        <v>363.54999999999995</v>
      </c>
      <c r="AH564" s="220">
        <f t="shared" si="1841"/>
        <v>182.48</v>
      </c>
      <c r="AI564" s="220">
        <f t="shared" si="1842"/>
        <v>181.07</v>
      </c>
      <c r="AJ564" s="220">
        <f t="shared" si="1780"/>
        <v>0</v>
      </c>
      <c r="AK564" s="216">
        <f t="shared" si="1812"/>
        <v>94.5</v>
      </c>
      <c r="AL564" s="220">
        <f t="shared" si="1819"/>
        <v>278.3</v>
      </c>
      <c r="AM564" s="220">
        <f t="shared" si="1820"/>
        <v>0</v>
      </c>
      <c r="AN564" s="221">
        <f t="shared" si="1821"/>
        <v>278.3</v>
      </c>
      <c r="AO564" s="220">
        <f t="shared" si="1822"/>
        <v>0</v>
      </c>
      <c r="AP564" s="220">
        <f t="shared" si="1823"/>
        <v>0</v>
      </c>
      <c r="AQ564" s="220">
        <f t="shared" si="1824"/>
        <v>40</v>
      </c>
      <c r="AR564" s="220">
        <f t="shared" si="1825"/>
        <v>0</v>
      </c>
      <c r="AS564" s="220">
        <f t="shared" si="1826"/>
        <v>0</v>
      </c>
      <c r="AT564" s="216">
        <f t="shared" si="1827"/>
        <v>318.3</v>
      </c>
      <c r="AU564" s="222">
        <f t="shared" si="1792"/>
        <v>183.8</v>
      </c>
      <c r="AV564" s="220"/>
      <c r="AW564" s="220">
        <f t="shared" si="1688"/>
        <v>183.8</v>
      </c>
      <c r="AX564" s="216">
        <f t="shared" si="1811"/>
        <v>0</v>
      </c>
      <c r="AY564" s="220">
        <f t="shared" si="1698"/>
        <v>0</v>
      </c>
      <c r="AZ564" s="220">
        <f t="shared" si="1699"/>
        <v>0</v>
      </c>
      <c r="BA564" s="220">
        <f t="shared" si="1700"/>
        <v>40</v>
      </c>
      <c r="BB564" s="220">
        <f t="shared" si="1701"/>
        <v>0</v>
      </c>
      <c r="BC564" s="220">
        <f t="shared" si="1702"/>
        <v>0</v>
      </c>
      <c r="BD564" s="216">
        <f t="shared" si="1778"/>
        <v>40</v>
      </c>
      <c r="BE564" s="220">
        <f t="shared" si="1689"/>
        <v>0</v>
      </c>
      <c r="BF564" s="220">
        <f t="shared" si="1690"/>
        <v>0</v>
      </c>
      <c r="BG564" s="220">
        <f t="shared" si="1691"/>
        <v>0</v>
      </c>
      <c r="BH564" s="220">
        <f t="shared" si="1692"/>
        <v>0</v>
      </c>
      <c r="BI564" s="220">
        <f t="shared" si="1693"/>
        <v>0</v>
      </c>
      <c r="BJ564" s="220" t="s">
        <v>2558</v>
      </c>
      <c r="BK564" s="220"/>
      <c r="BL564" s="223">
        <f t="shared" si="1784"/>
        <v>183.8</v>
      </c>
      <c r="BM564" s="220">
        <v>3.33</v>
      </c>
      <c r="BN564" s="220"/>
      <c r="BO564" s="220">
        <f t="shared" ref="BO564:BO572" si="1845">ROUND(BM564+(BM564*BN564),2)</f>
        <v>3.33</v>
      </c>
      <c r="BP564" s="220">
        <f>IF(AND(BL564&gt;0,BL564&lt;tiet!$D$1),BL564,IF(BL564&lt;=0,0,IF(BL564&gt;tiet!$C$1,tiet!$C$1)))</f>
        <v>183.8</v>
      </c>
      <c r="BQ564" s="87">
        <f t="shared" si="1799"/>
        <v>65000</v>
      </c>
      <c r="BR564" s="224">
        <f t="shared" si="1800"/>
        <v>11947000</v>
      </c>
      <c r="BS564" s="220">
        <f t="shared" si="1686"/>
        <v>0</v>
      </c>
      <c r="BT564" s="224">
        <f>VLOOKUP(N564,ma_dinhmuc!$A$1:$J$31,10,0)</f>
        <v>51000</v>
      </c>
      <c r="BU564" s="224">
        <f>ROUND(IF(BS564&gt;0,VLOOKUP(N564,ma_dinhmuc!$A$1:$J$31,10,0)*BS564,0),0)</f>
        <v>0</v>
      </c>
      <c r="BV564" s="224">
        <f t="shared" si="1801"/>
        <v>11947000</v>
      </c>
      <c r="BW564" s="224"/>
      <c r="BX564" s="224">
        <v>0</v>
      </c>
      <c r="BY564" s="224"/>
      <c r="BZ564" s="224"/>
      <c r="CA564" s="224"/>
      <c r="CB564" s="224"/>
      <c r="CC564" s="225">
        <f t="shared" si="1781"/>
        <v>11947000</v>
      </c>
      <c r="CD564" s="224">
        <f t="shared" si="1782"/>
        <v>0</v>
      </c>
      <c r="CE564" s="224"/>
      <c r="CF564" s="226"/>
      <c r="CG564" s="87"/>
      <c r="CH564" s="87">
        <f t="shared" si="1828"/>
        <v>17</v>
      </c>
      <c r="CI564" s="227" t="str">
        <f t="shared" si="1829"/>
        <v>Lại Phương</v>
      </c>
      <c r="CJ564" s="227" t="str">
        <f t="shared" si="1830"/>
        <v>Thảo</v>
      </c>
      <c r="CK564" s="87">
        <f t="shared" si="1831"/>
        <v>11</v>
      </c>
      <c r="CL564" s="227" t="str">
        <f t="shared" si="1805"/>
        <v xml:space="preserve">KTQT và Kiểm toán                     </v>
      </c>
      <c r="CM564" s="87" t="str">
        <f t="shared" si="1694"/>
        <v>CS2</v>
      </c>
      <c r="CN564" s="87">
        <f t="shared" si="1832"/>
        <v>270</v>
      </c>
      <c r="CO564" s="87">
        <f t="shared" si="1833"/>
        <v>120</v>
      </c>
      <c r="CP564" s="229">
        <f t="shared" si="1703"/>
        <v>0</v>
      </c>
      <c r="CQ564" s="229">
        <f t="shared" si="1704"/>
        <v>27</v>
      </c>
      <c r="CR564" s="229">
        <f t="shared" si="1705"/>
        <v>10.9</v>
      </c>
      <c r="CS564" s="229">
        <f t="shared" si="1706"/>
        <v>93.4</v>
      </c>
      <c r="CT564" s="229">
        <f t="shared" si="1707"/>
        <v>0</v>
      </c>
      <c r="CU564" s="229">
        <f t="shared" si="1708"/>
        <v>147</v>
      </c>
      <c r="CV564" s="229">
        <f t="shared" si="1709"/>
        <v>0</v>
      </c>
      <c r="CW564" s="229">
        <f t="shared" si="1710"/>
        <v>0</v>
      </c>
      <c r="CX564" s="229">
        <f t="shared" si="1711"/>
        <v>0</v>
      </c>
      <c r="CY564" s="229">
        <f t="shared" si="1712"/>
        <v>0</v>
      </c>
      <c r="CZ564" s="229">
        <f t="shared" si="1713"/>
        <v>0</v>
      </c>
      <c r="DA564" s="229">
        <f t="shared" si="1714"/>
        <v>40</v>
      </c>
      <c r="DB564" s="228">
        <f t="shared" si="1834"/>
        <v>318.3</v>
      </c>
      <c r="DC564" s="229"/>
      <c r="DD564" s="229"/>
      <c r="DE564" s="229"/>
      <c r="DF564" s="229"/>
      <c r="DG564" s="229"/>
      <c r="DH564" s="229"/>
      <c r="DI564" s="229"/>
      <c r="DJ564" s="229"/>
      <c r="DK564" s="229"/>
      <c r="DL564" s="229"/>
      <c r="DM564" s="229"/>
      <c r="DN564" s="229"/>
      <c r="DO564" s="228">
        <f t="shared" si="1835"/>
        <v>0</v>
      </c>
      <c r="DP564" s="228">
        <f t="shared" si="1836"/>
        <v>318.3</v>
      </c>
      <c r="DQ564" s="229">
        <f t="shared" si="1715"/>
        <v>0</v>
      </c>
      <c r="DR564" s="229">
        <f t="shared" si="1716"/>
        <v>0</v>
      </c>
      <c r="DS564" s="229">
        <f t="shared" si="1717"/>
        <v>0</v>
      </c>
      <c r="DT564" s="229">
        <f t="shared" si="1718"/>
        <v>0</v>
      </c>
      <c r="DU564" s="229">
        <f t="shared" si="1719"/>
        <v>0</v>
      </c>
      <c r="DV564" s="229">
        <f t="shared" si="1720"/>
        <v>0</v>
      </c>
      <c r="DW564" s="229">
        <f t="shared" si="1721"/>
        <v>0</v>
      </c>
      <c r="DX564" s="228">
        <f t="shared" si="1837"/>
        <v>0</v>
      </c>
      <c r="DY564" s="229"/>
      <c r="DZ564" s="229"/>
      <c r="EA564" s="229"/>
      <c r="EB564" s="229"/>
      <c r="EC564" s="229"/>
      <c r="ED564" s="229"/>
      <c r="EE564" s="229"/>
      <c r="EF564" s="228">
        <f t="shared" si="1696"/>
        <v>0</v>
      </c>
      <c r="EG564" s="228">
        <f t="shared" si="1838"/>
        <v>0</v>
      </c>
      <c r="EH564" s="229">
        <f t="shared" si="1697"/>
        <v>181.07</v>
      </c>
      <c r="EI564" s="229">
        <v>182.48</v>
      </c>
      <c r="EJ564" s="228">
        <f>SUM(EH564:EI564)</f>
        <v>363.54999999999995</v>
      </c>
      <c r="EK564" s="229"/>
      <c r="EL564" s="229"/>
      <c r="EM564" s="228">
        <f t="shared" si="1813"/>
        <v>0</v>
      </c>
      <c r="EN564" s="229">
        <f t="shared" si="1765"/>
        <v>181.07</v>
      </c>
      <c r="EO564" s="229">
        <f t="shared" si="1793"/>
        <v>182.48</v>
      </c>
      <c r="EP564" s="228">
        <f t="shared" si="1814"/>
        <v>363.54999999999995</v>
      </c>
      <c r="EQ564" s="173">
        <f t="shared" si="1687"/>
        <v>181.07</v>
      </c>
      <c r="ER564" s="189">
        <v>0</v>
      </c>
      <c r="ES564" s="189">
        <v>27</v>
      </c>
      <c r="ET564" s="189">
        <v>10.9</v>
      </c>
      <c r="EU564" s="189">
        <v>93.4</v>
      </c>
      <c r="EV564" s="189">
        <v>0</v>
      </c>
      <c r="EW564" s="189">
        <v>147</v>
      </c>
      <c r="EX564" s="189">
        <v>0</v>
      </c>
      <c r="EY564" s="189">
        <v>0</v>
      </c>
      <c r="EZ564" s="189">
        <v>0</v>
      </c>
      <c r="FA564" s="189">
        <v>0</v>
      </c>
      <c r="FB564" s="189">
        <v>0</v>
      </c>
      <c r="FC564" s="189">
        <v>40</v>
      </c>
      <c r="FD564" s="189">
        <v>0</v>
      </c>
      <c r="FE564" s="189">
        <v>0</v>
      </c>
      <c r="FF564" s="189">
        <v>0</v>
      </c>
      <c r="FG564" s="189">
        <v>0</v>
      </c>
      <c r="FH564" s="189">
        <v>0</v>
      </c>
      <c r="FI564" s="189">
        <v>0</v>
      </c>
      <c r="FJ564" s="189">
        <v>0</v>
      </c>
      <c r="FK564" s="189">
        <v>318.3</v>
      </c>
      <c r="FL564" s="189">
        <v>259.39999999999998</v>
      </c>
      <c r="FN564" s="132">
        <v>181.07</v>
      </c>
    </row>
    <row r="565" spans="1:170" ht="34.5" customHeight="1">
      <c r="A565" s="88">
        <f>COUNTIF($H$12:H565,H565)</f>
        <v>18</v>
      </c>
      <c r="B565" s="88" t="s">
        <v>469</v>
      </c>
      <c r="C565" s="88" t="s">
        <v>226</v>
      </c>
      <c r="D565" s="88"/>
      <c r="E565" s="88"/>
      <c r="F565" s="301" t="s">
        <v>724</v>
      </c>
      <c r="G565" s="89" t="s">
        <v>24</v>
      </c>
      <c r="H565" s="88">
        <v>11</v>
      </c>
      <c r="I565" s="88">
        <v>11</v>
      </c>
      <c r="J565" s="88">
        <v>11</v>
      </c>
      <c r="K565" s="90" t="s">
        <v>1662</v>
      </c>
      <c r="L565" s="90" t="s">
        <v>1662</v>
      </c>
      <c r="M565" s="214"/>
      <c r="N565" s="88" t="s">
        <v>1804</v>
      </c>
      <c r="O565" s="216">
        <f t="shared" si="1815"/>
        <v>3.33</v>
      </c>
      <c r="P565" s="88" t="str">
        <f t="shared" si="1785"/>
        <v>B1_4</v>
      </c>
      <c r="Q565" s="88">
        <f t="shared" si="1751"/>
        <v>270</v>
      </c>
      <c r="R565" s="88">
        <f t="shared" si="1752"/>
        <v>120</v>
      </c>
      <c r="S565" s="230"/>
      <c r="T565" s="88" t="s">
        <v>3088</v>
      </c>
      <c r="U565" s="88">
        <f>IF(RIGHT(T565,1)="K",(VLOOKUP(T565,ma_miengiam!$A$3:$B$80,2,0)*100)/2,VLOOKUP(T565,ma_miengiam!$A$3:$B$80,2,0)*100)</f>
        <v>0</v>
      </c>
      <c r="V565" s="88"/>
      <c r="W565" s="220">
        <f>IF(AND(T565="NTS",V565&gt;0),(Q565-(Q565*V565)/12)*VLOOKUP(T565,ma_miengiam!$A$3:$B$80,2,0)+(Q565-(Q565*(12-V565))/12),IF(AND(RIGHT(T565,1)="K",V565&gt;0),(VLOOKUP(T565,ma_miengiam!$A$3:$B$80,2,0)/2)*(Q565*V565)/12,IF(RIGHT(T565,1)="K",(VLOOKUP(T565,ma_miengiam!$A$3:$B$80,2,0)*Q565)/2,IF(V565&gt;0,VLOOKUP(T565,ma_miengiam!$A$3:$B$80,2,0)*Q565*V565/12,VLOOKUP(T565,ma_miengiam!$A$3:$B$80,2,0)*Q565))))</f>
        <v>0</v>
      </c>
      <c r="X565" s="220">
        <f>IF(T565="NTS",VLOOKUP(T565,ma_miengiam!$A$3:$B$80,2,0)*R565*V565,IF(AND(T565="NTS",V565=0),0,IF(AND(LEFT(T565,1)="K",V565=0),VLOOKUP(T565,ma_miengiam!$A$3:$B$80,2,0)*R565,IF(LEFT(T565,1)="K",(VLOOKUP(T565,ma_miengiam!$A$3:$B$80,2,0)*R565/12)*V565,IF(AND(LEFT(T565,1)="S",V565&gt;0),(R565/12)*V565,IF(AND(LEFT(T565,1)="S",V565=0),R565,IF(T565="DH",VLOOKUP(T565,ma_miengiam!$A$3:$B$80,2,0)*R565,0)))))))</f>
        <v>0</v>
      </c>
      <c r="Y565" s="220">
        <f t="shared" si="1745"/>
        <v>270</v>
      </c>
      <c r="Z565" s="220">
        <f t="shared" si="1816"/>
        <v>120</v>
      </c>
      <c r="AA565" s="220">
        <f t="shared" si="1843"/>
        <v>270</v>
      </c>
      <c r="AB565" s="220">
        <f t="shared" si="1843"/>
        <v>120</v>
      </c>
      <c r="AC565" s="220">
        <f t="shared" si="1844"/>
        <v>0</v>
      </c>
      <c r="AD565" s="220">
        <f t="shared" si="1844"/>
        <v>0</v>
      </c>
      <c r="AE565" s="220">
        <f t="shared" si="1844"/>
        <v>270</v>
      </c>
      <c r="AF565" s="220">
        <f t="shared" si="1844"/>
        <v>120</v>
      </c>
      <c r="AG565" s="220">
        <f t="shared" si="1840"/>
        <v>297.48</v>
      </c>
      <c r="AH565" s="220">
        <f t="shared" si="1841"/>
        <v>52.07</v>
      </c>
      <c r="AI565" s="220">
        <f t="shared" si="1842"/>
        <v>245.41</v>
      </c>
      <c r="AJ565" s="220">
        <f t="shared" si="1780"/>
        <v>0</v>
      </c>
      <c r="AK565" s="216">
        <f t="shared" si="1812"/>
        <v>270</v>
      </c>
      <c r="AL565" s="220">
        <f t="shared" si="1819"/>
        <v>291.7</v>
      </c>
      <c r="AM565" s="220">
        <f t="shared" si="1820"/>
        <v>0</v>
      </c>
      <c r="AN565" s="221">
        <f t="shared" si="1821"/>
        <v>291.7</v>
      </c>
      <c r="AO565" s="220">
        <f t="shared" si="1822"/>
        <v>0</v>
      </c>
      <c r="AP565" s="220">
        <f t="shared" si="1823"/>
        <v>0</v>
      </c>
      <c r="AQ565" s="220">
        <f t="shared" si="1824"/>
        <v>60</v>
      </c>
      <c r="AR565" s="220">
        <f t="shared" si="1825"/>
        <v>0</v>
      </c>
      <c r="AS565" s="220">
        <f t="shared" si="1826"/>
        <v>0</v>
      </c>
      <c r="AT565" s="216">
        <f t="shared" si="1827"/>
        <v>351.7</v>
      </c>
      <c r="AU565" s="222">
        <f t="shared" si="1792"/>
        <v>21.699999999999989</v>
      </c>
      <c r="AV565" s="220"/>
      <c r="AW565" s="220">
        <f t="shared" si="1688"/>
        <v>21.699999999999989</v>
      </c>
      <c r="AX565" s="216">
        <f t="shared" si="1811"/>
        <v>0</v>
      </c>
      <c r="AY565" s="220">
        <f t="shared" si="1698"/>
        <v>0</v>
      </c>
      <c r="AZ565" s="220">
        <f t="shared" si="1699"/>
        <v>0</v>
      </c>
      <c r="BA565" s="220">
        <f t="shared" si="1700"/>
        <v>60</v>
      </c>
      <c r="BB565" s="220">
        <f t="shared" si="1701"/>
        <v>0</v>
      </c>
      <c r="BC565" s="220">
        <f t="shared" si="1702"/>
        <v>0</v>
      </c>
      <c r="BD565" s="216">
        <f t="shared" si="1778"/>
        <v>60</v>
      </c>
      <c r="BE565" s="220">
        <f t="shared" si="1689"/>
        <v>0</v>
      </c>
      <c r="BF565" s="220">
        <f t="shared" si="1690"/>
        <v>0</v>
      </c>
      <c r="BG565" s="220">
        <f t="shared" si="1691"/>
        <v>0</v>
      </c>
      <c r="BH565" s="220">
        <f t="shared" si="1692"/>
        <v>0</v>
      </c>
      <c r="BI565" s="220">
        <f t="shared" si="1693"/>
        <v>0</v>
      </c>
      <c r="BJ565" s="220" t="s">
        <v>2558</v>
      </c>
      <c r="BK565" s="220"/>
      <c r="BL565" s="223">
        <f t="shared" si="1784"/>
        <v>21.699999999999989</v>
      </c>
      <c r="BM565" s="220">
        <v>3.33</v>
      </c>
      <c r="BN565" s="220"/>
      <c r="BO565" s="220">
        <f t="shared" si="1845"/>
        <v>3.33</v>
      </c>
      <c r="BP565" s="220">
        <f>IF(AND(BL565&gt;0,BL565&lt;tiet!$D$1),BL565,IF(BL565&lt;=0,0,IF(BL565&gt;tiet!$C$1,tiet!$C$1)))</f>
        <v>21.699999999999989</v>
      </c>
      <c r="BQ565" s="87">
        <f t="shared" si="1799"/>
        <v>65000</v>
      </c>
      <c r="BR565" s="224">
        <f t="shared" si="1800"/>
        <v>1410500</v>
      </c>
      <c r="BS565" s="220">
        <f t="shared" si="1686"/>
        <v>0</v>
      </c>
      <c r="BT565" s="224">
        <f>VLOOKUP(N565,ma_dinhmuc!$A$1:$J$31,10,0)</f>
        <v>51000</v>
      </c>
      <c r="BU565" s="224">
        <f>ROUND(IF(BS565&gt;0,VLOOKUP(N565,ma_dinhmuc!$A$1:$J$31,10,0)*BS565,0),0)</f>
        <v>0</v>
      </c>
      <c r="BV565" s="224">
        <f t="shared" si="1801"/>
        <v>1410500</v>
      </c>
      <c r="BW565" s="224"/>
      <c r="BX565" s="224">
        <v>0</v>
      </c>
      <c r="BY565" s="224"/>
      <c r="BZ565" s="224"/>
      <c r="CA565" s="224"/>
      <c r="CB565" s="224"/>
      <c r="CC565" s="225">
        <f t="shared" si="1781"/>
        <v>1410500</v>
      </c>
      <c r="CD565" s="224">
        <f t="shared" si="1782"/>
        <v>0</v>
      </c>
      <c r="CE565" s="224"/>
      <c r="CF565" s="226"/>
      <c r="CG565" s="87"/>
      <c r="CH565" s="87">
        <f t="shared" si="1828"/>
        <v>18</v>
      </c>
      <c r="CI565" s="227" t="str">
        <f t="shared" si="1829"/>
        <v>Vũ Thị</v>
      </c>
      <c r="CJ565" s="227" t="str">
        <f t="shared" si="1830"/>
        <v>Hải</v>
      </c>
      <c r="CK565" s="87">
        <f t="shared" si="1831"/>
        <v>11</v>
      </c>
      <c r="CL565" s="227" t="str">
        <f t="shared" si="1805"/>
        <v xml:space="preserve">KTQT và Kiểm toán                     </v>
      </c>
      <c r="CM565" s="87" t="str">
        <f t="shared" si="1694"/>
        <v>CS2</v>
      </c>
      <c r="CN565" s="87">
        <f t="shared" si="1832"/>
        <v>270</v>
      </c>
      <c r="CO565" s="87">
        <f t="shared" si="1833"/>
        <v>120</v>
      </c>
      <c r="CP565" s="229">
        <f t="shared" si="1703"/>
        <v>0</v>
      </c>
      <c r="CQ565" s="229">
        <f t="shared" si="1704"/>
        <v>0</v>
      </c>
      <c r="CR565" s="229">
        <f t="shared" si="1705"/>
        <v>11.9</v>
      </c>
      <c r="CS565" s="229">
        <f t="shared" si="1706"/>
        <v>0</v>
      </c>
      <c r="CT565" s="229">
        <f t="shared" si="1707"/>
        <v>0</v>
      </c>
      <c r="CU565" s="229">
        <f t="shared" si="1708"/>
        <v>279.8</v>
      </c>
      <c r="CV565" s="229">
        <f t="shared" si="1709"/>
        <v>0</v>
      </c>
      <c r="CW565" s="229">
        <f t="shared" si="1710"/>
        <v>0</v>
      </c>
      <c r="CX565" s="229">
        <f t="shared" si="1711"/>
        <v>0</v>
      </c>
      <c r="CY565" s="229">
        <f t="shared" si="1712"/>
        <v>0</v>
      </c>
      <c r="CZ565" s="229">
        <f t="shared" si="1713"/>
        <v>0</v>
      </c>
      <c r="DA565" s="229">
        <f t="shared" si="1714"/>
        <v>60</v>
      </c>
      <c r="DB565" s="228">
        <f t="shared" si="1834"/>
        <v>351.7</v>
      </c>
      <c r="DC565" s="229"/>
      <c r="DD565" s="229"/>
      <c r="DE565" s="229"/>
      <c r="DF565" s="229"/>
      <c r="DG565" s="229"/>
      <c r="DH565" s="229"/>
      <c r="DI565" s="229"/>
      <c r="DJ565" s="229"/>
      <c r="DK565" s="229"/>
      <c r="DL565" s="229"/>
      <c r="DM565" s="229"/>
      <c r="DN565" s="229"/>
      <c r="DO565" s="228">
        <f t="shared" si="1835"/>
        <v>0</v>
      </c>
      <c r="DP565" s="228">
        <f t="shared" si="1836"/>
        <v>351.7</v>
      </c>
      <c r="DQ565" s="229">
        <f t="shared" si="1715"/>
        <v>0</v>
      </c>
      <c r="DR565" s="229">
        <f t="shared" si="1716"/>
        <v>0</v>
      </c>
      <c r="DS565" s="229">
        <f t="shared" si="1717"/>
        <v>0</v>
      </c>
      <c r="DT565" s="229">
        <f t="shared" si="1718"/>
        <v>0</v>
      </c>
      <c r="DU565" s="229">
        <f t="shared" si="1719"/>
        <v>0</v>
      </c>
      <c r="DV565" s="229">
        <f t="shared" si="1720"/>
        <v>0</v>
      </c>
      <c r="DW565" s="229">
        <f t="shared" si="1721"/>
        <v>0</v>
      </c>
      <c r="DX565" s="228">
        <f t="shared" si="1837"/>
        <v>0</v>
      </c>
      <c r="DY565" s="229"/>
      <c r="DZ565" s="229"/>
      <c r="EA565" s="229"/>
      <c r="EB565" s="229"/>
      <c r="EC565" s="229"/>
      <c r="ED565" s="229"/>
      <c r="EE565" s="229"/>
      <c r="EF565" s="228">
        <f t="shared" si="1696"/>
        <v>0</v>
      </c>
      <c r="EG565" s="228">
        <f t="shared" si="1838"/>
        <v>0</v>
      </c>
      <c r="EH565" s="229">
        <f t="shared" si="1697"/>
        <v>245.41</v>
      </c>
      <c r="EI565" s="229">
        <v>52.07</v>
      </c>
      <c r="EJ565" s="228">
        <f t="shared" ref="EJ565:EJ573" si="1846">SUM(EH565:EI565)</f>
        <v>297.48</v>
      </c>
      <c r="EK565" s="229"/>
      <c r="EL565" s="229"/>
      <c r="EM565" s="228">
        <f t="shared" si="1813"/>
        <v>0</v>
      </c>
      <c r="EN565" s="229">
        <f t="shared" si="1765"/>
        <v>245.41</v>
      </c>
      <c r="EO565" s="229">
        <f t="shared" si="1793"/>
        <v>52.07</v>
      </c>
      <c r="EP565" s="228">
        <f t="shared" si="1814"/>
        <v>297.48</v>
      </c>
      <c r="EQ565" s="173">
        <f t="shared" si="1687"/>
        <v>125.41</v>
      </c>
      <c r="ER565" s="189">
        <v>0</v>
      </c>
      <c r="ES565" s="189">
        <v>0</v>
      </c>
      <c r="ET565" s="189">
        <v>11.9</v>
      </c>
      <c r="EU565" s="189">
        <v>0</v>
      </c>
      <c r="EV565" s="189">
        <v>0</v>
      </c>
      <c r="EW565" s="189">
        <v>279.8</v>
      </c>
      <c r="EX565" s="189">
        <v>0</v>
      </c>
      <c r="EY565" s="189">
        <v>0</v>
      </c>
      <c r="EZ565" s="189">
        <v>0</v>
      </c>
      <c r="FA565" s="189">
        <v>0</v>
      </c>
      <c r="FB565" s="189">
        <v>0</v>
      </c>
      <c r="FC565" s="189">
        <v>60</v>
      </c>
      <c r="FD565" s="189">
        <v>0</v>
      </c>
      <c r="FE565" s="189">
        <v>0</v>
      </c>
      <c r="FF565" s="189">
        <v>0</v>
      </c>
      <c r="FG565" s="189">
        <v>0</v>
      </c>
      <c r="FH565" s="189">
        <v>0</v>
      </c>
      <c r="FI565" s="189">
        <v>0</v>
      </c>
      <c r="FJ565" s="189">
        <v>0</v>
      </c>
      <c r="FK565" s="189">
        <v>351.7</v>
      </c>
      <c r="FL565" s="189">
        <v>289</v>
      </c>
      <c r="FN565" s="132">
        <v>245.41</v>
      </c>
    </row>
    <row r="566" spans="1:170" ht="32.25" customHeight="1">
      <c r="A566" s="88">
        <f>COUNTIF($H$12:H567,H566)</f>
        <v>20</v>
      </c>
      <c r="B566" s="88" t="s">
        <v>471</v>
      </c>
      <c r="C566" s="88" t="s">
        <v>227</v>
      </c>
      <c r="D566" s="88"/>
      <c r="E566" s="88"/>
      <c r="F566" s="301" t="s">
        <v>1868</v>
      </c>
      <c r="G566" s="89" t="s">
        <v>35</v>
      </c>
      <c r="H566" s="88">
        <v>11</v>
      </c>
      <c r="I566" s="88">
        <v>11</v>
      </c>
      <c r="J566" s="88">
        <v>11</v>
      </c>
      <c r="K566" s="90" t="s">
        <v>1662</v>
      </c>
      <c r="L566" s="90" t="s">
        <v>1662</v>
      </c>
      <c r="M566" s="214"/>
      <c r="N566" s="88" t="s">
        <v>606</v>
      </c>
      <c r="O566" s="216">
        <f>BO566</f>
        <v>4.4000000000000004</v>
      </c>
      <c r="P566" s="88" t="str">
        <f t="shared" si="1785"/>
        <v>B1_4</v>
      </c>
      <c r="Q566" s="88">
        <f t="shared" si="1751"/>
        <v>270</v>
      </c>
      <c r="R566" s="88">
        <f t="shared" si="1752"/>
        <v>120</v>
      </c>
      <c r="S566" s="230" t="s">
        <v>689</v>
      </c>
      <c r="T566" s="88" t="s">
        <v>3090</v>
      </c>
      <c r="U566" s="88">
        <f>IF(RIGHT(T566,1)="K",(VLOOKUP(T566,ma_miengiam!$A$3:$B$80,2,0)*100)/2,VLOOKUP(T566,ma_miengiam!$A$3:$B$80,2,0)*100)</f>
        <v>15</v>
      </c>
      <c r="V566" s="88"/>
      <c r="W566" s="220">
        <f>IF(AND(T566="NTS",V566&gt;0),(Q566-(Q566*V566)/12)*VLOOKUP(T566,ma_miengiam!$A$3:$B$80,2,0)+(Q566-(Q566*(12-V566))/12),IF(AND(RIGHT(T566,1)="K",V566&gt;0),(VLOOKUP(T566,ma_miengiam!$A$3:$B$80,2,0)/2)*(Q566*V566)/12,IF(RIGHT(T566,1)="K",(VLOOKUP(T566,ma_miengiam!$A$3:$B$80,2,0)*Q566)/2,IF(V566&gt;0,VLOOKUP(T566,ma_miengiam!$A$3:$B$80,2,0)*Q566*V566/12,VLOOKUP(T566,ma_miengiam!$A$3:$B$80,2,0)*Q566))))</f>
        <v>40.5</v>
      </c>
      <c r="X566" s="220">
        <f>IF(T566="NTS",VLOOKUP(T566,ma_miengiam!$A$3:$B$80,2,0)*R566*V566,IF(AND(T566="NTS",V566=0),0,IF(AND(LEFT(T566,1)="K",V566=0),VLOOKUP(T566,ma_miengiam!$A$3:$B$80,2,0)*R566,IF(LEFT(T566,1)="K",(VLOOKUP(T566,ma_miengiam!$A$3:$B$80,2,0)*R566/12)*V566,IF(AND(LEFT(T566,1)="S",V566&gt;0),(R566/12)*V566,IF(AND(LEFT(T566,1)="S",V566=0),R566,IF(T566="DH",VLOOKUP(T566,ma_miengiam!$A$3:$B$80,2,0)*R566,0)))))))</f>
        <v>0</v>
      </c>
      <c r="Y566" s="220">
        <f t="shared" si="1745"/>
        <v>229.5</v>
      </c>
      <c r="Z566" s="220">
        <f>IF(AND(T566="SĐH",V566&gt;0),(R566/12)*V566-X566,IF(AND(T566="DH",V566&gt;0),(R566*V566/12),IF(AND(T566&lt;&gt;"NTS",V566&gt;0),(R566*V566/12)-X566,IF(AND(T566="NTS",V566&gt;0),R566-X566,R566-X566))))</f>
        <v>120</v>
      </c>
      <c r="AA566" s="220">
        <f t="shared" si="1843"/>
        <v>270</v>
      </c>
      <c r="AB566" s="220">
        <f t="shared" si="1843"/>
        <v>120</v>
      </c>
      <c r="AC566" s="220">
        <f t="shared" si="1844"/>
        <v>40.5</v>
      </c>
      <c r="AD566" s="220">
        <f t="shared" si="1844"/>
        <v>0</v>
      </c>
      <c r="AE566" s="220">
        <f t="shared" si="1844"/>
        <v>229.5</v>
      </c>
      <c r="AF566" s="220">
        <f t="shared" si="1844"/>
        <v>120</v>
      </c>
      <c r="AG566" s="220">
        <f>AH566+AI566</f>
        <v>190.16000000000003</v>
      </c>
      <c r="AH566" s="220">
        <f>EO566</f>
        <v>46.83</v>
      </c>
      <c r="AI566" s="220">
        <f>EN566</f>
        <v>143.33000000000001</v>
      </c>
      <c r="AJ566" s="220">
        <f t="shared" si="1780"/>
        <v>0</v>
      </c>
      <c r="AK566" s="216">
        <f t="shared" si="1812"/>
        <v>229.5</v>
      </c>
      <c r="AL566" s="220">
        <f t="shared" si="1819"/>
        <v>405.9</v>
      </c>
      <c r="AM566" s="220">
        <f t="shared" si="1820"/>
        <v>58.1</v>
      </c>
      <c r="AN566" s="221">
        <f t="shared" si="1821"/>
        <v>464</v>
      </c>
      <c r="AO566" s="220">
        <f t="shared" si="1822"/>
        <v>0</v>
      </c>
      <c r="AP566" s="220">
        <f t="shared" si="1823"/>
        <v>0</v>
      </c>
      <c r="AQ566" s="220">
        <f t="shared" si="1824"/>
        <v>40</v>
      </c>
      <c r="AR566" s="220">
        <f t="shared" si="1825"/>
        <v>0</v>
      </c>
      <c r="AS566" s="220">
        <f t="shared" si="1826"/>
        <v>0</v>
      </c>
      <c r="AT566" s="216">
        <f t="shared" si="1827"/>
        <v>504</v>
      </c>
      <c r="AU566" s="220">
        <f>AN566-AK566</f>
        <v>234.5</v>
      </c>
      <c r="AV566" s="220"/>
      <c r="AW566" s="220">
        <f>IF(AU566&gt;0,AU566,AV566+AU566)</f>
        <v>234.5</v>
      </c>
      <c r="AX566" s="216">
        <f t="shared" si="1811"/>
        <v>0</v>
      </c>
      <c r="AY566" s="220">
        <f>IF(AN566&gt;=AK566,AO566,IF(AN566+AO566-AK566&gt;=0,AN566+AO566-AK566,0))</f>
        <v>0</v>
      </c>
      <c r="AZ566" s="220">
        <f>IF(OR(AN566&gt;=AK566,AN566+AO566&gt;=AK566),AP566,IF(AN566+AO566+AP566&gt;AK566,AN566+AO566+AP566-AK566,0))</f>
        <v>0</v>
      </c>
      <c r="BA566" s="220">
        <f>IF(OR(AN566&gt;=AK566,AN566+AO566&gt;=AK566,AN566+AO566+AP566&gt;=AK566),AQ566,IF(AN566+AO566+AP566+AQ566&gt;=AK566,AN566+AO566+AP566+AQ566-AK566,0))</f>
        <v>40</v>
      </c>
      <c r="BB566" s="220">
        <f>IF(OR(AN566&gt;=AK566,AN566+AO566&gt;=AK566,AN566+AO566+AP566&gt;=AK566,AN566+AO566+AP566+AQ566&gt;=AK566),AR566,IF(AN566+AO566+AP566+AQ566+AR566&gt;=AK566,AN566+AO566+AP566+AQ566+AR566-AK566,0))</f>
        <v>0</v>
      </c>
      <c r="BC566" s="220">
        <f>IF(OR(AN566&gt;=AK566,AN566+AO566&gt;=AK566,AN566+AO566+AP566&gt;=AK566,AN566+AO566+AP566+AQ566&gt;=AK566,AN566+AO566+AP566+AQ566+AR566&gt;=AK566),AS566,IF(AN566+AO566+AP566+AQ566+AR566+AS566&gt;=AK566,AN566+AO566+AP566+AQ566+AR566+AS566-AK566,0))</f>
        <v>0</v>
      </c>
      <c r="BD566" s="216">
        <f t="shared" si="1778"/>
        <v>40</v>
      </c>
      <c r="BE566" s="220">
        <f>AY566-AO566</f>
        <v>0</v>
      </c>
      <c r="BF566" s="220">
        <f>AZ566-AP566</f>
        <v>0</v>
      </c>
      <c r="BG566" s="220">
        <f>BA566-AQ566</f>
        <v>0</v>
      </c>
      <c r="BH566" s="220">
        <f>BB566-AR566</f>
        <v>0</v>
      </c>
      <c r="BI566" s="220">
        <f>BC566-AS566</f>
        <v>0</v>
      </c>
      <c r="BJ566" s="220" t="s">
        <v>2558</v>
      </c>
      <c r="BK566" s="220"/>
      <c r="BL566" s="223">
        <f t="shared" si="1784"/>
        <v>234.5</v>
      </c>
      <c r="BM566" s="220">
        <v>4.4000000000000004</v>
      </c>
      <c r="BN566" s="220"/>
      <c r="BO566" s="220">
        <f>ROUND(BM566+(BM566*BN566),2)</f>
        <v>4.4000000000000004</v>
      </c>
      <c r="BP566" s="220">
        <f>IF(AND(BL566&gt;0,BL566&lt;tiet!$D$1),BL566,IF(BL566&lt;=0,0,IF(BL566&gt;tiet!$C$1,tiet!$C$1)))</f>
        <v>200</v>
      </c>
      <c r="BQ566" s="87">
        <f t="shared" si="1799"/>
        <v>65000</v>
      </c>
      <c r="BR566" s="224">
        <f t="shared" si="1800"/>
        <v>13000000</v>
      </c>
      <c r="BS566" s="220">
        <f t="shared" si="1686"/>
        <v>34.5</v>
      </c>
      <c r="BT566" s="224">
        <f>VLOOKUP(N566,ma_dinhmuc!$A$1:$J$31,10,0)</f>
        <v>55000</v>
      </c>
      <c r="BU566" s="224">
        <f>ROUND(IF(BS566&gt;0,VLOOKUP(N566,ma_dinhmuc!$A$1:$J$31,10,0)*BS566,0),0)</f>
        <v>1897500</v>
      </c>
      <c r="BV566" s="224">
        <f t="shared" si="1801"/>
        <v>14897500</v>
      </c>
      <c r="BW566" s="224"/>
      <c r="BX566" s="224">
        <v>0</v>
      </c>
      <c r="BY566" s="224"/>
      <c r="BZ566" s="224"/>
      <c r="CA566" s="224"/>
      <c r="CB566" s="224"/>
      <c r="CC566" s="225">
        <f t="shared" si="1781"/>
        <v>14897500</v>
      </c>
      <c r="CD566" s="224">
        <f t="shared" si="1782"/>
        <v>0</v>
      </c>
      <c r="CE566" s="224"/>
      <c r="CF566" s="226"/>
      <c r="CG566" s="87"/>
      <c r="CH566" s="87">
        <f>A566</f>
        <v>20</v>
      </c>
      <c r="CI566" s="227" t="str">
        <f t="shared" ref="CI566:CI594" si="1847">F566</f>
        <v>Ngô Thị Thu</v>
      </c>
      <c r="CJ566" s="227" t="str">
        <f t="shared" ref="CJ566:CJ594" si="1848">G566</f>
        <v>Hằng</v>
      </c>
      <c r="CK566" s="87">
        <f t="shared" ref="CK566:CK585" si="1849">H566</f>
        <v>11</v>
      </c>
      <c r="CL566" s="227" t="str">
        <f t="shared" ref="CL566:CL572" si="1850">L566</f>
        <v xml:space="preserve">KTQT và Kiểm toán                     </v>
      </c>
      <c r="CM566" s="87" t="str">
        <f>N566</f>
        <v>CS3</v>
      </c>
      <c r="CN566" s="87">
        <f>Q566</f>
        <v>270</v>
      </c>
      <c r="CO566" s="87">
        <f>R566</f>
        <v>120</v>
      </c>
      <c r="CP566" s="229">
        <f t="shared" si="1703"/>
        <v>0</v>
      </c>
      <c r="CQ566" s="229">
        <f t="shared" si="1704"/>
        <v>81</v>
      </c>
      <c r="CR566" s="229">
        <f t="shared" si="1705"/>
        <v>20.6</v>
      </c>
      <c r="CS566" s="229">
        <f t="shared" si="1706"/>
        <v>101.8</v>
      </c>
      <c r="CT566" s="229">
        <f t="shared" si="1707"/>
        <v>0</v>
      </c>
      <c r="CU566" s="229">
        <f t="shared" si="1708"/>
        <v>202.5</v>
      </c>
      <c r="CV566" s="229">
        <f t="shared" si="1709"/>
        <v>0</v>
      </c>
      <c r="CW566" s="229">
        <f t="shared" si="1710"/>
        <v>0</v>
      </c>
      <c r="CX566" s="229">
        <f t="shared" si="1711"/>
        <v>0</v>
      </c>
      <c r="CY566" s="229">
        <f t="shared" si="1712"/>
        <v>0</v>
      </c>
      <c r="CZ566" s="229">
        <f t="shared" si="1713"/>
        <v>0</v>
      </c>
      <c r="DA566" s="229">
        <f t="shared" si="1714"/>
        <v>40</v>
      </c>
      <c r="DB566" s="228">
        <f t="shared" si="1834"/>
        <v>445.9</v>
      </c>
      <c r="DC566" s="229"/>
      <c r="DD566" s="229"/>
      <c r="DE566" s="229"/>
      <c r="DF566" s="229"/>
      <c r="DG566" s="229"/>
      <c r="DH566" s="229"/>
      <c r="DI566" s="229"/>
      <c r="DJ566" s="229"/>
      <c r="DK566" s="229"/>
      <c r="DL566" s="229"/>
      <c r="DM566" s="229"/>
      <c r="DN566" s="229"/>
      <c r="DO566" s="228">
        <f t="shared" si="1835"/>
        <v>0</v>
      </c>
      <c r="DP566" s="228">
        <f t="shared" si="1836"/>
        <v>445.9</v>
      </c>
      <c r="DQ566" s="229">
        <f t="shared" si="1715"/>
        <v>54</v>
      </c>
      <c r="DR566" s="229">
        <f t="shared" si="1716"/>
        <v>2.9</v>
      </c>
      <c r="DS566" s="229">
        <f t="shared" si="1717"/>
        <v>0</v>
      </c>
      <c r="DT566" s="229">
        <f t="shared" si="1718"/>
        <v>1.2</v>
      </c>
      <c r="DU566" s="229">
        <f t="shared" si="1719"/>
        <v>0</v>
      </c>
      <c r="DV566" s="229">
        <f t="shared" si="1720"/>
        <v>0</v>
      </c>
      <c r="DW566" s="229">
        <f t="shared" si="1721"/>
        <v>0</v>
      </c>
      <c r="DX566" s="228">
        <f t="shared" si="1837"/>
        <v>58.1</v>
      </c>
      <c r="DY566" s="229"/>
      <c r="DZ566" s="229"/>
      <c r="EA566" s="229"/>
      <c r="EB566" s="229"/>
      <c r="EC566" s="229"/>
      <c r="ED566" s="229"/>
      <c r="EE566" s="229"/>
      <c r="EF566" s="228">
        <f t="shared" si="1696"/>
        <v>0</v>
      </c>
      <c r="EG566" s="228">
        <f t="shared" si="1838"/>
        <v>58.1</v>
      </c>
      <c r="EH566" s="229">
        <f t="shared" si="1697"/>
        <v>143.33000000000001</v>
      </c>
      <c r="EI566" s="229">
        <v>46.83</v>
      </c>
      <c r="EJ566" s="228">
        <f t="shared" si="1846"/>
        <v>190.16000000000003</v>
      </c>
      <c r="EK566" s="229"/>
      <c r="EL566" s="229"/>
      <c r="EM566" s="228">
        <f>SUM(EK566:EL566)</f>
        <v>0</v>
      </c>
      <c r="EN566" s="229">
        <f>EK566+EH566+EL566</f>
        <v>143.33000000000001</v>
      </c>
      <c r="EO566" s="229">
        <f>EI566</f>
        <v>46.83</v>
      </c>
      <c r="EP566" s="228">
        <f>EM566+EJ566</f>
        <v>190.16000000000003</v>
      </c>
      <c r="EQ566" s="173">
        <f t="shared" si="1687"/>
        <v>23.330000000000013</v>
      </c>
      <c r="ER566" s="189">
        <v>0</v>
      </c>
      <c r="ES566" s="189">
        <v>81</v>
      </c>
      <c r="ET566" s="189">
        <v>20.6</v>
      </c>
      <c r="EU566" s="189">
        <v>101.8</v>
      </c>
      <c r="EV566" s="189">
        <v>0</v>
      </c>
      <c r="EW566" s="189">
        <v>202.5</v>
      </c>
      <c r="EX566" s="189">
        <v>0</v>
      </c>
      <c r="EY566" s="189">
        <v>0</v>
      </c>
      <c r="EZ566" s="189">
        <v>0</v>
      </c>
      <c r="FA566" s="189">
        <v>0</v>
      </c>
      <c r="FB566" s="189">
        <v>0</v>
      </c>
      <c r="FC566" s="189">
        <v>40</v>
      </c>
      <c r="FD566" s="189">
        <v>54</v>
      </c>
      <c r="FE566" s="189">
        <v>2.9</v>
      </c>
      <c r="FF566" s="189">
        <v>0</v>
      </c>
      <c r="FG566" s="189">
        <v>1.2</v>
      </c>
      <c r="FH566" s="189">
        <v>0</v>
      </c>
      <c r="FI566" s="189">
        <v>0</v>
      </c>
      <c r="FJ566" s="189">
        <v>0</v>
      </c>
      <c r="FK566" s="189">
        <v>504</v>
      </c>
      <c r="FL566" s="189">
        <v>369.8</v>
      </c>
      <c r="FN566" s="132">
        <v>143.33000000000001</v>
      </c>
    </row>
    <row r="567" spans="1:170" ht="30" customHeight="1">
      <c r="A567" s="88">
        <f>COUNTIF($H$12:H567,H567)</f>
        <v>20</v>
      </c>
      <c r="B567" s="88" t="s">
        <v>470</v>
      </c>
      <c r="C567" s="88" t="s">
        <v>228</v>
      </c>
      <c r="D567" s="88"/>
      <c r="E567" s="88"/>
      <c r="F567" s="301" t="s">
        <v>915</v>
      </c>
      <c r="G567" s="89" t="s">
        <v>14</v>
      </c>
      <c r="H567" s="88">
        <v>11</v>
      </c>
      <c r="I567" s="88">
        <v>11</v>
      </c>
      <c r="J567" s="88">
        <v>11</v>
      </c>
      <c r="K567" s="90" t="s">
        <v>1662</v>
      </c>
      <c r="L567" s="90" t="s">
        <v>1662</v>
      </c>
      <c r="M567" s="214"/>
      <c r="N567" s="88" t="s">
        <v>1804</v>
      </c>
      <c r="O567" s="216">
        <f t="shared" si="1815"/>
        <v>3.33</v>
      </c>
      <c r="P567" s="88" t="str">
        <f t="shared" si="1785"/>
        <v>B1_4</v>
      </c>
      <c r="Q567" s="88">
        <f t="shared" si="1751"/>
        <v>270</v>
      </c>
      <c r="R567" s="88">
        <f t="shared" si="1752"/>
        <v>120</v>
      </c>
      <c r="S567" s="231" t="s">
        <v>1564</v>
      </c>
      <c r="T567" s="88" t="s">
        <v>2961</v>
      </c>
      <c r="U567" s="88">
        <f>IF(RIGHT(T567,1)="K",(VLOOKUP(T567,ma_miengiam!$A$3:$B$80,2,0)*100)/2,VLOOKUP(T567,ma_miengiam!$A$3:$B$80,2,0)*100)</f>
        <v>100</v>
      </c>
      <c r="V567" s="88"/>
      <c r="W567" s="220">
        <f>IF(AND(T567="NTS",V567&gt;0),(Q567-(Q567*V567)/12)*VLOOKUP(T567,ma_miengiam!$A$3:$B$80,2,0)+(Q567-(Q567*(12-V567))/12),IF(AND(RIGHT(T567,1)="K",V567&gt;0),(VLOOKUP(T567,ma_miengiam!$A$3:$B$80,2,0)/2)*(Q567*V567)/12,IF(RIGHT(T567,1)="K",(VLOOKUP(T567,ma_miengiam!$A$3:$B$80,2,0)*Q567)/2,IF(V567&gt;0,VLOOKUP(T567,ma_miengiam!$A$3:$B$80,2,0)*Q567*V567/12,VLOOKUP(T567,ma_miengiam!$A$3:$B$80,2,0)*Q567))))</f>
        <v>270</v>
      </c>
      <c r="X567" s="220">
        <f>IF(T567="NTS",VLOOKUP(T567,ma_miengiam!$A$3:$B$80,2,0)*R567*V567,IF(AND(T567="NTS",V567=0),0,IF(AND(LEFT(T567,1)="K",V567=0),VLOOKUP(T567,ma_miengiam!$A$3:$B$80,2,0)*R567,IF(LEFT(T567,1)="K",(VLOOKUP(T567,ma_miengiam!$A$3:$B$80,2,0)*R567/12)*V567,IF(AND(LEFT(T567,1)="S",V567&gt;0),(R567/12)*V567,IF(AND(LEFT(T567,1)="S",V567=0),R567,IF(T567="DH",VLOOKUP(T567,ma_miengiam!$A$3:$B$80,2,0)*R567,0)))))))</f>
        <v>120</v>
      </c>
      <c r="Y567" s="220">
        <f t="shared" si="1745"/>
        <v>0</v>
      </c>
      <c r="Z567" s="220">
        <f t="shared" si="1816"/>
        <v>0</v>
      </c>
      <c r="AA567" s="220">
        <f t="shared" si="1843"/>
        <v>270</v>
      </c>
      <c r="AB567" s="220">
        <f t="shared" si="1843"/>
        <v>120</v>
      </c>
      <c r="AC567" s="220">
        <f t="shared" si="1844"/>
        <v>270</v>
      </c>
      <c r="AD567" s="220">
        <f t="shared" si="1844"/>
        <v>120</v>
      </c>
      <c r="AE567" s="220">
        <f t="shared" si="1844"/>
        <v>0</v>
      </c>
      <c r="AF567" s="220">
        <f t="shared" si="1844"/>
        <v>0</v>
      </c>
      <c r="AG567" s="220">
        <f t="shared" si="1840"/>
        <v>0</v>
      </c>
      <c r="AH567" s="220">
        <f t="shared" si="1841"/>
        <v>0</v>
      </c>
      <c r="AI567" s="220">
        <f t="shared" si="1842"/>
        <v>0</v>
      </c>
      <c r="AJ567" s="220">
        <f t="shared" si="1780"/>
        <v>0</v>
      </c>
      <c r="AK567" s="216">
        <f t="shared" si="1812"/>
        <v>0</v>
      </c>
      <c r="AL567" s="220">
        <f t="shared" si="1819"/>
        <v>0</v>
      </c>
      <c r="AM567" s="220">
        <f t="shared" si="1820"/>
        <v>0</v>
      </c>
      <c r="AN567" s="221">
        <f t="shared" si="1821"/>
        <v>0</v>
      </c>
      <c r="AO567" s="220">
        <f t="shared" si="1822"/>
        <v>0</v>
      </c>
      <c r="AP567" s="220">
        <f t="shared" si="1823"/>
        <v>0</v>
      </c>
      <c r="AQ567" s="220">
        <f t="shared" si="1824"/>
        <v>0</v>
      </c>
      <c r="AR567" s="220">
        <f t="shared" si="1825"/>
        <v>0</v>
      </c>
      <c r="AS567" s="220">
        <f t="shared" si="1826"/>
        <v>0</v>
      </c>
      <c r="AT567" s="216">
        <f t="shared" si="1827"/>
        <v>0</v>
      </c>
      <c r="AU567" s="222">
        <f t="shared" si="1792"/>
        <v>0</v>
      </c>
      <c r="AV567" s="220"/>
      <c r="AW567" s="220">
        <f t="shared" si="1688"/>
        <v>0</v>
      </c>
      <c r="AX567" s="216">
        <f t="shared" si="1811"/>
        <v>0</v>
      </c>
      <c r="AY567" s="220">
        <f t="shared" si="1698"/>
        <v>0</v>
      </c>
      <c r="AZ567" s="220">
        <f t="shared" si="1699"/>
        <v>0</v>
      </c>
      <c r="BA567" s="220">
        <f t="shared" si="1700"/>
        <v>0</v>
      </c>
      <c r="BB567" s="220">
        <f t="shared" si="1701"/>
        <v>0</v>
      </c>
      <c r="BC567" s="220">
        <f t="shared" si="1702"/>
        <v>0</v>
      </c>
      <c r="BD567" s="216">
        <f t="shared" si="1778"/>
        <v>0</v>
      </c>
      <c r="BE567" s="220">
        <f t="shared" si="1689"/>
        <v>0</v>
      </c>
      <c r="BF567" s="220">
        <f t="shared" si="1690"/>
        <v>0</v>
      </c>
      <c r="BG567" s="220">
        <f t="shared" si="1691"/>
        <v>0</v>
      </c>
      <c r="BH567" s="220">
        <f t="shared" si="1692"/>
        <v>0</v>
      </c>
      <c r="BI567" s="220">
        <f t="shared" si="1693"/>
        <v>0</v>
      </c>
      <c r="BJ567" s="220" t="s">
        <v>2558</v>
      </c>
      <c r="BK567" s="220"/>
      <c r="BL567" s="223">
        <f t="shared" si="1784"/>
        <v>0</v>
      </c>
      <c r="BM567" s="220">
        <v>3.33</v>
      </c>
      <c r="BN567" s="220"/>
      <c r="BO567" s="220">
        <f t="shared" si="1845"/>
        <v>3.33</v>
      </c>
      <c r="BP567" s="220">
        <f>IF(AND(BL567&gt;0,BL567&lt;tiet!$D$1),BL567,IF(BL567&lt;=0,0,IF(BL567&gt;tiet!$C$1,tiet!$C$1)))</f>
        <v>0</v>
      </c>
      <c r="BQ567" s="87">
        <f t="shared" si="1799"/>
        <v>65000</v>
      </c>
      <c r="BR567" s="224">
        <f t="shared" si="1800"/>
        <v>0</v>
      </c>
      <c r="BS567" s="220">
        <f t="shared" si="1686"/>
        <v>0</v>
      </c>
      <c r="BT567" s="224">
        <f>VLOOKUP(N567,ma_dinhmuc!$A$1:$J$31,10,0)</f>
        <v>51000</v>
      </c>
      <c r="BU567" s="224">
        <f>ROUND(IF(BS567&gt;0,VLOOKUP(N567,ma_dinhmuc!$A$1:$J$31,10,0)*BS567,0),0)</f>
        <v>0</v>
      </c>
      <c r="BV567" s="224">
        <f t="shared" si="1801"/>
        <v>0</v>
      </c>
      <c r="BW567" s="224"/>
      <c r="BX567" s="224">
        <v>0</v>
      </c>
      <c r="BY567" s="224"/>
      <c r="BZ567" s="224"/>
      <c r="CA567" s="224"/>
      <c r="CB567" s="224"/>
      <c r="CC567" s="225">
        <f t="shared" si="1781"/>
        <v>0</v>
      </c>
      <c r="CD567" s="224">
        <f t="shared" si="1782"/>
        <v>0</v>
      </c>
      <c r="CE567" s="224"/>
      <c r="CF567" s="226"/>
      <c r="CG567" s="87"/>
      <c r="CH567" s="87">
        <f t="shared" si="1828"/>
        <v>20</v>
      </c>
      <c r="CI567" s="227" t="str">
        <f t="shared" si="1847"/>
        <v>Lê Thị Kim</v>
      </c>
      <c r="CJ567" s="227" t="str">
        <f t="shared" si="1848"/>
        <v>Sơn</v>
      </c>
      <c r="CK567" s="87">
        <f t="shared" si="1849"/>
        <v>11</v>
      </c>
      <c r="CL567" s="227" t="str">
        <f t="shared" si="1850"/>
        <v xml:space="preserve">KTQT và Kiểm toán                     </v>
      </c>
      <c r="CM567" s="87" t="str">
        <f t="shared" si="1694"/>
        <v>CS2</v>
      </c>
      <c r="CN567" s="87">
        <f t="shared" si="1832"/>
        <v>270</v>
      </c>
      <c r="CO567" s="87">
        <f t="shared" si="1833"/>
        <v>120</v>
      </c>
      <c r="CP567" s="229">
        <f t="shared" si="1703"/>
        <v>0</v>
      </c>
      <c r="CQ567" s="229">
        <f t="shared" si="1704"/>
        <v>0</v>
      </c>
      <c r="CR567" s="229">
        <f t="shared" si="1705"/>
        <v>0</v>
      </c>
      <c r="CS567" s="229">
        <f t="shared" si="1706"/>
        <v>0</v>
      </c>
      <c r="CT567" s="229">
        <f t="shared" si="1707"/>
        <v>0</v>
      </c>
      <c r="CU567" s="229">
        <f t="shared" si="1708"/>
        <v>0</v>
      </c>
      <c r="CV567" s="229">
        <f t="shared" si="1709"/>
        <v>0</v>
      </c>
      <c r="CW567" s="229">
        <f t="shared" si="1710"/>
        <v>0</v>
      </c>
      <c r="CX567" s="229">
        <f t="shared" si="1711"/>
        <v>0</v>
      </c>
      <c r="CY567" s="229">
        <f t="shared" si="1712"/>
        <v>0</v>
      </c>
      <c r="CZ567" s="229">
        <f t="shared" si="1713"/>
        <v>0</v>
      </c>
      <c r="DA567" s="229">
        <f t="shared" si="1714"/>
        <v>0</v>
      </c>
      <c r="DB567" s="228">
        <f t="shared" si="1834"/>
        <v>0</v>
      </c>
      <c r="DC567" s="229"/>
      <c r="DD567" s="229"/>
      <c r="DE567" s="229"/>
      <c r="DF567" s="229"/>
      <c r="DG567" s="229"/>
      <c r="DH567" s="229"/>
      <c r="DI567" s="229"/>
      <c r="DJ567" s="229"/>
      <c r="DK567" s="229"/>
      <c r="DL567" s="229"/>
      <c r="DM567" s="229"/>
      <c r="DN567" s="229"/>
      <c r="DO567" s="228">
        <f t="shared" si="1835"/>
        <v>0</v>
      </c>
      <c r="DP567" s="228">
        <f t="shared" si="1836"/>
        <v>0</v>
      </c>
      <c r="DQ567" s="229">
        <f t="shared" si="1715"/>
        <v>0</v>
      </c>
      <c r="DR567" s="229">
        <f t="shared" si="1716"/>
        <v>0</v>
      </c>
      <c r="DS567" s="229">
        <f t="shared" si="1717"/>
        <v>0</v>
      </c>
      <c r="DT567" s="229">
        <f t="shared" si="1718"/>
        <v>0</v>
      </c>
      <c r="DU567" s="229">
        <f t="shared" si="1719"/>
        <v>0</v>
      </c>
      <c r="DV567" s="229">
        <f t="shared" si="1720"/>
        <v>0</v>
      </c>
      <c r="DW567" s="229">
        <f t="shared" si="1721"/>
        <v>0</v>
      </c>
      <c r="DX567" s="228">
        <f t="shared" si="1837"/>
        <v>0</v>
      </c>
      <c r="DY567" s="229"/>
      <c r="DZ567" s="229"/>
      <c r="EA567" s="229"/>
      <c r="EB567" s="229"/>
      <c r="EC567" s="229"/>
      <c r="ED567" s="229"/>
      <c r="EE567" s="229"/>
      <c r="EF567" s="228">
        <f t="shared" si="1696"/>
        <v>0</v>
      </c>
      <c r="EG567" s="228">
        <f t="shared" si="1838"/>
        <v>0</v>
      </c>
      <c r="EH567" s="229">
        <f t="shared" si="1697"/>
        <v>0</v>
      </c>
      <c r="EI567" s="229">
        <v>0</v>
      </c>
      <c r="EJ567" s="228">
        <f t="shared" si="1846"/>
        <v>0</v>
      </c>
      <c r="EK567" s="229"/>
      <c r="EL567" s="229"/>
      <c r="EM567" s="228">
        <f t="shared" si="1813"/>
        <v>0</v>
      </c>
      <c r="EN567" s="229">
        <f t="shared" si="1765"/>
        <v>0</v>
      </c>
      <c r="EO567" s="229">
        <f t="shared" si="1793"/>
        <v>0</v>
      </c>
      <c r="EP567" s="228">
        <f t="shared" si="1814"/>
        <v>0</v>
      </c>
      <c r="EQ567" s="173">
        <f t="shared" si="1687"/>
        <v>0</v>
      </c>
      <c r="ER567" s="189">
        <v>0</v>
      </c>
      <c r="ES567" s="189">
        <v>0</v>
      </c>
      <c r="ET567" s="189">
        <v>0</v>
      </c>
      <c r="EU567" s="189">
        <v>0</v>
      </c>
      <c r="EV567" s="189">
        <v>0</v>
      </c>
      <c r="EW567" s="189">
        <v>0</v>
      </c>
      <c r="EX567" s="189">
        <v>0</v>
      </c>
      <c r="EY567" s="189">
        <v>0</v>
      </c>
      <c r="EZ567" s="189">
        <v>0</v>
      </c>
      <c r="FA567" s="189">
        <v>0</v>
      </c>
      <c r="FB567" s="189">
        <v>0</v>
      </c>
      <c r="FC567" s="189">
        <v>0</v>
      </c>
      <c r="FD567" s="189">
        <v>0</v>
      </c>
      <c r="FE567" s="189">
        <v>0</v>
      </c>
      <c r="FF567" s="189">
        <v>0</v>
      </c>
      <c r="FG567" s="189">
        <v>0</v>
      </c>
      <c r="FH567" s="189">
        <v>0</v>
      </c>
      <c r="FI567" s="189">
        <v>0</v>
      </c>
      <c r="FJ567" s="189">
        <v>0</v>
      </c>
      <c r="FK567" s="189">
        <v>0</v>
      </c>
      <c r="FL567" s="189">
        <v>0</v>
      </c>
      <c r="FN567" s="132">
        <v>0</v>
      </c>
    </row>
    <row r="568" spans="1:170" ht="30">
      <c r="A568" s="88">
        <f>COUNTIF($H$12:H568,H568)</f>
        <v>21</v>
      </c>
      <c r="B568" s="88" t="s">
        <v>472</v>
      </c>
      <c r="C568" s="88" t="s">
        <v>229</v>
      </c>
      <c r="D568" s="88"/>
      <c r="E568" s="88"/>
      <c r="F568" s="301" t="s">
        <v>1869</v>
      </c>
      <c r="G568" s="89" t="s">
        <v>17</v>
      </c>
      <c r="H568" s="88">
        <v>11</v>
      </c>
      <c r="I568" s="88">
        <v>11</v>
      </c>
      <c r="J568" s="88">
        <v>11</v>
      </c>
      <c r="K568" s="90" t="s">
        <v>1662</v>
      </c>
      <c r="L568" s="90" t="s">
        <v>1662</v>
      </c>
      <c r="M568" s="214"/>
      <c r="N568" s="88" t="s">
        <v>1804</v>
      </c>
      <c r="O568" s="216">
        <f>BO568</f>
        <v>3</v>
      </c>
      <c r="P568" s="88" t="str">
        <f t="shared" si="1785"/>
        <v>B1_3</v>
      </c>
      <c r="Q568" s="88">
        <f t="shared" si="1751"/>
        <v>270</v>
      </c>
      <c r="R568" s="88">
        <f t="shared" si="1752"/>
        <v>100</v>
      </c>
      <c r="S568" s="218" t="s">
        <v>2393</v>
      </c>
      <c r="T568" s="88" t="s">
        <v>1326</v>
      </c>
      <c r="U568" s="88">
        <f>IF(RIGHT(T568,1)="K",(VLOOKUP(T568,ma_miengiam!$A$3:$B$80,2,0)*100)/2,VLOOKUP(T568,ma_miengiam!$A$3:$B$80,2,0)*100)</f>
        <v>65</v>
      </c>
      <c r="V568" s="88"/>
      <c r="W568" s="220">
        <f>IF(AND(T568="NTS",V568&gt;0),(Q568-(Q568*V568)/12)*VLOOKUP(T568,ma_miengiam!$A$3:$B$80,2,0)+(Q568-(Q568*(12-V568))/12),IF(AND(RIGHT(T568,1)="K",V568&gt;0),(VLOOKUP(T568,ma_miengiam!$A$3:$B$80,2,0)/2)*(Q568*V568)/12,IF(RIGHT(T568,1)="K",(VLOOKUP(T568,ma_miengiam!$A$3:$B$80,2,0)*Q568)/2,IF(V568&gt;0,VLOOKUP(T568,ma_miengiam!$A$3:$B$80,2,0)*Q568*V568/12,VLOOKUP(T568,ma_miengiam!$A$3:$B$80,2,0)*Q568))))</f>
        <v>175.5</v>
      </c>
      <c r="X568" s="220">
        <f>IF(T568="NTS",VLOOKUP(T568,ma_miengiam!$A$3:$B$80,2,0)*R568*V568,IF(AND(T568="NTS",V568=0),0,IF(AND(LEFT(T568,1)="K",V568=0),VLOOKUP(T568,ma_miengiam!$A$3:$B$80,2,0)*R568,IF(LEFT(T568,1)="K",(VLOOKUP(T568,ma_miengiam!$A$3:$B$80,2,0)*R568/12)*V568,IF(AND(LEFT(T568,1)="S",V568&gt;0),(R568/12)*V568,IF(AND(LEFT(T568,1)="S",V568=0),R568,IF(T568="DH",VLOOKUP(T568,ma_miengiam!$A$3:$B$80,2,0)*R568,0)))))))</f>
        <v>100</v>
      </c>
      <c r="Y568" s="220">
        <f t="shared" si="1745"/>
        <v>94.5</v>
      </c>
      <c r="Z568" s="220">
        <f t="shared" si="1816"/>
        <v>0</v>
      </c>
      <c r="AA568" s="220">
        <f t="shared" ref="AA568:AA575" si="1851">Q568</f>
        <v>270</v>
      </c>
      <c r="AB568" s="220">
        <f t="shared" ref="AB568:AB575" si="1852">R568</f>
        <v>100</v>
      </c>
      <c r="AC568" s="220">
        <f t="shared" ref="AC568:AF569" si="1853">W568</f>
        <v>175.5</v>
      </c>
      <c r="AD568" s="220">
        <f t="shared" si="1853"/>
        <v>100</v>
      </c>
      <c r="AE568" s="220">
        <f t="shared" si="1853"/>
        <v>94.5</v>
      </c>
      <c r="AF568" s="220">
        <f t="shared" si="1853"/>
        <v>0</v>
      </c>
      <c r="AG568" s="220">
        <f t="shared" si="1840"/>
        <v>152.49</v>
      </c>
      <c r="AH568" s="220">
        <f t="shared" si="1841"/>
        <v>110.83</v>
      </c>
      <c r="AI568" s="220">
        <f t="shared" si="1842"/>
        <v>41.66</v>
      </c>
      <c r="AJ568" s="220">
        <f t="shared" si="1780"/>
        <v>0</v>
      </c>
      <c r="AK568" s="216">
        <f t="shared" si="1812"/>
        <v>94.5</v>
      </c>
      <c r="AL568" s="220">
        <f t="shared" si="1819"/>
        <v>267.3</v>
      </c>
      <c r="AM568" s="220">
        <f t="shared" si="1820"/>
        <v>0</v>
      </c>
      <c r="AN568" s="221">
        <f t="shared" si="1821"/>
        <v>267.3</v>
      </c>
      <c r="AO568" s="220">
        <f t="shared" si="1822"/>
        <v>0</v>
      </c>
      <c r="AP568" s="220">
        <f t="shared" si="1823"/>
        <v>0</v>
      </c>
      <c r="AQ568" s="220">
        <f t="shared" si="1824"/>
        <v>40</v>
      </c>
      <c r="AR568" s="220">
        <f t="shared" si="1825"/>
        <v>0</v>
      </c>
      <c r="AS568" s="220">
        <f t="shared" si="1826"/>
        <v>0</v>
      </c>
      <c r="AT568" s="216">
        <f t="shared" si="1827"/>
        <v>307.3</v>
      </c>
      <c r="AU568" s="220">
        <f t="shared" si="1792"/>
        <v>172.8</v>
      </c>
      <c r="AV568" s="220"/>
      <c r="AW568" s="220">
        <f t="shared" si="1688"/>
        <v>172.8</v>
      </c>
      <c r="AX568" s="216">
        <f t="shared" si="1811"/>
        <v>0</v>
      </c>
      <c r="AY568" s="220">
        <f t="shared" si="1698"/>
        <v>0</v>
      </c>
      <c r="AZ568" s="220">
        <f t="shared" si="1699"/>
        <v>0</v>
      </c>
      <c r="BA568" s="220">
        <f t="shared" si="1700"/>
        <v>40</v>
      </c>
      <c r="BB568" s="220">
        <f t="shared" si="1701"/>
        <v>0</v>
      </c>
      <c r="BC568" s="220">
        <f t="shared" si="1702"/>
        <v>0</v>
      </c>
      <c r="BD568" s="216">
        <f t="shared" si="1778"/>
        <v>40</v>
      </c>
      <c r="BE568" s="220">
        <f t="shared" si="1689"/>
        <v>0</v>
      </c>
      <c r="BF568" s="220">
        <f t="shared" si="1690"/>
        <v>0</v>
      </c>
      <c r="BG568" s="220">
        <f t="shared" si="1691"/>
        <v>0</v>
      </c>
      <c r="BH568" s="220">
        <f t="shared" si="1692"/>
        <v>0</v>
      </c>
      <c r="BI568" s="220">
        <f t="shared" si="1693"/>
        <v>0</v>
      </c>
      <c r="BJ568" s="220" t="s">
        <v>2558</v>
      </c>
      <c r="BK568" s="220"/>
      <c r="BL568" s="223">
        <f t="shared" si="1784"/>
        <v>172.8</v>
      </c>
      <c r="BM568" s="220">
        <v>3</v>
      </c>
      <c r="BN568" s="220"/>
      <c r="BO568" s="220">
        <f>ROUND(BM568+(BM568*BN568),2)</f>
        <v>3</v>
      </c>
      <c r="BP568" s="220">
        <f>IF(AND(BL568&gt;0,BL568&lt;tiet!$D$1),BL568,IF(BL568&lt;=0,0,IF(BL568&gt;tiet!$C$1,tiet!$C$1)))</f>
        <v>172.8</v>
      </c>
      <c r="BQ568" s="87">
        <f t="shared" si="1799"/>
        <v>60000</v>
      </c>
      <c r="BR568" s="224">
        <f t="shared" si="1800"/>
        <v>10368000</v>
      </c>
      <c r="BS568" s="220">
        <f t="shared" si="1686"/>
        <v>0</v>
      </c>
      <c r="BT568" s="224">
        <f>VLOOKUP(N568,ma_dinhmuc!$A$1:$J$31,10,0)</f>
        <v>51000</v>
      </c>
      <c r="BU568" s="224">
        <f>ROUND(IF(BS568&gt;0,VLOOKUP(N568,ma_dinhmuc!$A$1:$J$31,10,0)*BS568,0),0)</f>
        <v>0</v>
      </c>
      <c r="BV568" s="224">
        <f t="shared" si="1801"/>
        <v>10368000</v>
      </c>
      <c r="BW568" s="224"/>
      <c r="BX568" s="224">
        <v>0</v>
      </c>
      <c r="BY568" s="224"/>
      <c r="BZ568" s="224"/>
      <c r="CA568" s="224"/>
      <c r="CB568" s="224"/>
      <c r="CC568" s="225">
        <f t="shared" si="1781"/>
        <v>10368000</v>
      </c>
      <c r="CD568" s="224">
        <f t="shared" si="1782"/>
        <v>0</v>
      </c>
      <c r="CE568" s="224"/>
      <c r="CF568" s="226"/>
      <c r="CG568" s="87"/>
      <c r="CH568" s="87">
        <f t="shared" ref="CH568:CH594" si="1854">A568</f>
        <v>21</v>
      </c>
      <c r="CI568" s="227" t="str">
        <f t="shared" si="1847"/>
        <v>Lê Thanh</v>
      </c>
      <c r="CJ568" s="227" t="str">
        <f t="shared" si="1848"/>
        <v>Hà</v>
      </c>
      <c r="CK568" s="87">
        <f t="shared" si="1849"/>
        <v>11</v>
      </c>
      <c r="CL568" s="227" t="str">
        <f t="shared" si="1850"/>
        <v xml:space="preserve">KTQT và Kiểm toán                     </v>
      </c>
      <c r="CM568" s="87" t="str">
        <f t="shared" si="1694"/>
        <v>CS2</v>
      </c>
      <c r="CN568" s="87">
        <f t="shared" ref="CN568:CO571" si="1855">Q568</f>
        <v>270</v>
      </c>
      <c r="CO568" s="87">
        <f t="shared" si="1855"/>
        <v>100</v>
      </c>
      <c r="CP568" s="229">
        <f t="shared" si="1703"/>
        <v>0</v>
      </c>
      <c r="CQ568" s="229">
        <f t="shared" si="1704"/>
        <v>34.6</v>
      </c>
      <c r="CR568" s="229">
        <f t="shared" si="1705"/>
        <v>13.9</v>
      </c>
      <c r="CS568" s="229">
        <f t="shared" si="1706"/>
        <v>0</v>
      </c>
      <c r="CT568" s="229">
        <f t="shared" si="1707"/>
        <v>0</v>
      </c>
      <c r="CU568" s="229">
        <f t="shared" si="1708"/>
        <v>218.8</v>
      </c>
      <c r="CV568" s="229">
        <f t="shared" si="1709"/>
        <v>0</v>
      </c>
      <c r="CW568" s="229">
        <f t="shared" si="1710"/>
        <v>0</v>
      </c>
      <c r="CX568" s="229">
        <f t="shared" si="1711"/>
        <v>0</v>
      </c>
      <c r="CY568" s="229">
        <f t="shared" si="1712"/>
        <v>0</v>
      </c>
      <c r="CZ568" s="229">
        <f t="shared" si="1713"/>
        <v>0</v>
      </c>
      <c r="DA568" s="229">
        <f t="shared" si="1714"/>
        <v>40</v>
      </c>
      <c r="DB568" s="228">
        <f t="shared" si="1834"/>
        <v>307.3</v>
      </c>
      <c r="DC568" s="229"/>
      <c r="DD568" s="229"/>
      <c r="DE568" s="229"/>
      <c r="DF568" s="229"/>
      <c r="DG568" s="229"/>
      <c r="DH568" s="229"/>
      <c r="DI568" s="229"/>
      <c r="DJ568" s="229"/>
      <c r="DK568" s="229"/>
      <c r="DL568" s="229"/>
      <c r="DM568" s="229"/>
      <c r="DN568" s="229"/>
      <c r="DO568" s="228">
        <f t="shared" si="1835"/>
        <v>0</v>
      </c>
      <c r="DP568" s="228">
        <f t="shared" si="1836"/>
        <v>307.3</v>
      </c>
      <c r="DQ568" s="229">
        <f t="shared" si="1715"/>
        <v>0</v>
      </c>
      <c r="DR568" s="229">
        <f t="shared" si="1716"/>
        <v>0</v>
      </c>
      <c r="DS568" s="229">
        <f t="shared" si="1717"/>
        <v>0</v>
      </c>
      <c r="DT568" s="229">
        <f t="shared" si="1718"/>
        <v>0</v>
      </c>
      <c r="DU568" s="229">
        <f t="shared" si="1719"/>
        <v>0</v>
      </c>
      <c r="DV568" s="229">
        <f t="shared" si="1720"/>
        <v>0</v>
      </c>
      <c r="DW568" s="229">
        <f t="shared" si="1721"/>
        <v>0</v>
      </c>
      <c r="DX568" s="228">
        <f t="shared" si="1837"/>
        <v>0</v>
      </c>
      <c r="DY568" s="229"/>
      <c r="DZ568" s="229"/>
      <c r="EA568" s="229"/>
      <c r="EB568" s="229"/>
      <c r="EC568" s="229"/>
      <c r="ED568" s="229"/>
      <c r="EE568" s="229"/>
      <c r="EF568" s="228">
        <f t="shared" si="1696"/>
        <v>0</v>
      </c>
      <c r="EG568" s="228">
        <f t="shared" si="1838"/>
        <v>0</v>
      </c>
      <c r="EH568" s="229">
        <f t="shared" si="1697"/>
        <v>41.66</v>
      </c>
      <c r="EI568" s="229">
        <v>110.83</v>
      </c>
      <c r="EJ568" s="228">
        <f t="shared" si="1846"/>
        <v>152.49</v>
      </c>
      <c r="EK568" s="229"/>
      <c r="EL568" s="229"/>
      <c r="EM568" s="228">
        <f t="shared" si="1813"/>
        <v>0</v>
      </c>
      <c r="EN568" s="229">
        <f t="shared" si="1765"/>
        <v>41.66</v>
      </c>
      <c r="EO568" s="229">
        <f t="shared" si="1793"/>
        <v>110.83</v>
      </c>
      <c r="EP568" s="228">
        <f t="shared" si="1814"/>
        <v>152.49</v>
      </c>
      <c r="EQ568" s="173">
        <f t="shared" si="1687"/>
        <v>41.66</v>
      </c>
      <c r="ER568" s="189">
        <v>0</v>
      </c>
      <c r="ES568" s="189">
        <v>34.6</v>
      </c>
      <c r="ET568" s="189">
        <v>13.9</v>
      </c>
      <c r="EU568" s="189">
        <v>0</v>
      </c>
      <c r="EV568" s="189">
        <v>0</v>
      </c>
      <c r="EW568" s="189">
        <v>218.8</v>
      </c>
      <c r="EX568" s="189">
        <v>0</v>
      </c>
      <c r="EY568" s="189">
        <v>0</v>
      </c>
      <c r="EZ568" s="189">
        <v>0</v>
      </c>
      <c r="FA568" s="189">
        <v>0</v>
      </c>
      <c r="FB568" s="189">
        <v>0</v>
      </c>
      <c r="FC568" s="189">
        <v>40</v>
      </c>
      <c r="FD568" s="189">
        <v>0</v>
      </c>
      <c r="FE568" s="189">
        <v>0</v>
      </c>
      <c r="FF568" s="189">
        <v>0</v>
      </c>
      <c r="FG568" s="189">
        <v>0</v>
      </c>
      <c r="FH568" s="189">
        <v>0</v>
      </c>
      <c r="FI568" s="189">
        <v>0</v>
      </c>
      <c r="FJ568" s="189">
        <v>0</v>
      </c>
      <c r="FK568" s="189">
        <v>307.3</v>
      </c>
      <c r="FL568" s="189">
        <v>245</v>
      </c>
      <c r="FN568" s="132">
        <v>41.66</v>
      </c>
    </row>
    <row r="569" spans="1:170" ht="25.5" customHeight="1">
      <c r="A569" s="88">
        <f>COUNTIF($H$12:H569,H569)</f>
        <v>22</v>
      </c>
      <c r="B569" s="88" t="s">
        <v>473</v>
      </c>
      <c r="C569" s="88" t="s">
        <v>230</v>
      </c>
      <c r="D569" s="88"/>
      <c r="E569" s="88"/>
      <c r="F569" s="301" t="s">
        <v>2881</v>
      </c>
      <c r="G569" s="89" t="s">
        <v>663</v>
      </c>
      <c r="H569" s="88">
        <v>11</v>
      </c>
      <c r="I569" s="88">
        <v>11</v>
      </c>
      <c r="J569" s="88">
        <v>11</v>
      </c>
      <c r="K569" s="90" t="s">
        <v>1663</v>
      </c>
      <c r="L569" s="90" t="s">
        <v>1663</v>
      </c>
      <c r="M569" s="214"/>
      <c r="N569" s="88" t="s">
        <v>605</v>
      </c>
      <c r="O569" s="216">
        <f>BO569</f>
        <v>7.28</v>
      </c>
      <c r="P569" s="88" t="str">
        <f t="shared" si="1785"/>
        <v>B1_8</v>
      </c>
      <c r="Q569" s="88">
        <f t="shared" si="1751"/>
        <v>270</v>
      </c>
      <c r="R569" s="88">
        <f t="shared" si="1752"/>
        <v>280</v>
      </c>
      <c r="S569" s="231"/>
      <c r="T569" s="88" t="s">
        <v>3088</v>
      </c>
      <c r="U569" s="88">
        <f>IF(RIGHT(T569,1)="K",(VLOOKUP(T569,ma_miengiam!$A$3:$B$80,2,0)*100)/2,VLOOKUP(T569,ma_miengiam!$A$3:$B$80,2,0)*100)</f>
        <v>0</v>
      </c>
      <c r="V569" s="88"/>
      <c r="W569" s="220">
        <f>IF(AND(T569="NTS",V569&gt;0),(Q569-(Q569*V569)/12)*VLOOKUP(T569,ma_miengiam!$A$3:$B$80,2,0)+(Q569-(Q569*(12-V569))/12),IF(AND(RIGHT(T569,1)="K",V569&gt;0),(VLOOKUP(T569,ma_miengiam!$A$3:$B$80,2,0)/2)*(Q569*V569)/12,IF(RIGHT(T569,1)="K",(VLOOKUP(T569,ma_miengiam!$A$3:$B$80,2,0)*Q569)/2,IF(V569&gt;0,VLOOKUP(T569,ma_miengiam!$A$3:$B$80,2,0)*Q569*V569/12,VLOOKUP(T569,ma_miengiam!$A$3:$B$80,2,0)*Q569))))</f>
        <v>0</v>
      </c>
      <c r="X569" s="220">
        <f>IF(T569="NTS",VLOOKUP(T569,ma_miengiam!$A$3:$B$80,2,0)*R569*V569,IF(AND(T569="NTS",V569=0),0,IF(AND(LEFT(T569,1)="K",V569=0),VLOOKUP(T569,ma_miengiam!$A$3:$B$80,2,0)*R569,IF(LEFT(T569,1)="K",(VLOOKUP(T569,ma_miengiam!$A$3:$B$80,2,0)*R569/12)*V569,IF(AND(LEFT(T569,1)="S",V569&gt;0),(R569/12)*V569,IF(AND(LEFT(T569,1)="S",V569=0),R569,IF(T569="DH",VLOOKUP(T569,ma_miengiam!$A$3:$B$80,2,0)*R569,0)))))))</f>
        <v>0</v>
      </c>
      <c r="Y569" s="220">
        <f t="shared" si="1745"/>
        <v>270</v>
      </c>
      <c r="Z569" s="220">
        <f>IF(AND(T569="SĐH",V569&gt;0),(R569/12)*V569-X569,IF(AND(T569="DH",V569&gt;0),(R569*V569/12),IF(AND(T569&lt;&gt;"NTS",V569&gt;0),(R569*V569/12)-X569,IF(AND(T569="NTS",V569&gt;0),R569-X569,R569-X569))))</f>
        <v>280</v>
      </c>
      <c r="AA569" s="220">
        <f t="shared" si="1851"/>
        <v>270</v>
      </c>
      <c r="AB569" s="220">
        <f t="shared" si="1852"/>
        <v>280</v>
      </c>
      <c r="AC569" s="220">
        <f t="shared" si="1853"/>
        <v>0</v>
      </c>
      <c r="AD569" s="220">
        <f t="shared" si="1853"/>
        <v>0</v>
      </c>
      <c r="AE569" s="220">
        <f t="shared" si="1853"/>
        <v>270</v>
      </c>
      <c r="AF569" s="220">
        <f t="shared" si="1853"/>
        <v>280</v>
      </c>
      <c r="AG569" s="220">
        <f>AH569+AI569</f>
        <v>303.28999999999996</v>
      </c>
      <c r="AH569" s="220">
        <f>EO569</f>
        <v>145.79</v>
      </c>
      <c r="AI569" s="220">
        <f>EN569</f>
        <v>157.5</v>
      </c>
      <c r="AJ569" s="220">
        <f t="shared" si="1780"/>
        <v>0</v>
      </c>
      <c r="AK569" s="216">
        <f t="shared" si="1812"/>
        <v>270</v>
      </c>
      <c r="AL569" s="220">
        <f t="shared" si="1819"/>
        <v>0</v>
      </c>
      <c r="AM569" s="220">
        <f t="shared" si="1820"/>
        <v>226.2</v>
      </c>
      <c r="AN569" s="221">
        <f t="shared" si="1821"/>
        <v>226.2</v>
      </c>
      <c r="AO569" s="220">
        <f t="shared" si="1822"/>
        <v>0</v>
      </c>
      <c r="AP569" s="220">
        <f t="shared" si="1823"/>
        <v>0</v>
      </c>
      <c r="AQ569" s="220">
        <f t="shared" si="1824"/>
        <v>0</v>
      </c>
      <c r="AR569" s="220">
        <f t="shared" si="1825"/>
        <v>360</v>
      </c>
      <c r="AS569" s="220">
        <f t="shared" si="1826"/>
        <v>20</v>
      </c>
      <c r="AT569" s="216">
        <f t="shared" si="1827"/>
        <v>606.20000000000005</v>
      </c>
      <c r="AU569" s="222">
        <f t="shared" si="1792"/>
        <v>-43.800000000000011</v>
      </c>
      <c r="AV569" s="220"/>
      <c r="AW569" s="220">
        <f t="shared" ref="AW569:AW614" si="1856">IF(AU569&gt;0,AU569,AV569+AU569)</f>
        <v>-43.800000000000011</v>
      </c>
      <c r="AX569" s="216">
        <f t="shared" si="1811"/>
        <v>-43.800000000000011</v>
      </c>
      <c r="AY569" s="220">
        <f t="shared" si="1698"/>
        <v>0</v>
      </c>
      <c r="AZ569" s="220">
        <f t="shared" si="1699"/>
        <v>0</v>
      </c>
      <c r="BA569" s="220">
        <f t="shared" si="1700"/>
        <v>0</v>
      </c>
      <c r="BB569" s="220">
        <f t="shared" si="1701"/>
        <v>316.20000000000005</v>
      </c>
      <c r="BC569" s="220">
        <f t="shared" si="1702"/>
        <v>20</v>
      </c>
      <c r="BD569" s="216">
        <f t="shared" si="1778"/>
        <v>336.20000000000005</v>
      </c>
      <c r="BE569" s="220">
        <f t="shared" ref="BE569:BE614" si="1857">AY569-AO569</f>
        <v>0</v>
      </c>
      <c r="BF569" s="220">
        <f t="shared" ref="BF569:BF614" si="1858">AZ569-AP569</f>
        <v>0</v>
      </c>
      <c r="BG569" s="220">
        <f t="shared" ref="BG569:BG614" si="1859">BA569-AQ569</f>
        <v>0</v>
      </c>
      <c r="BH569" s="220">
        <f t="shared" ref="BH569:BH614" si="1860">BB569-AR569</f>
        <v>-43.799999999999955</v>
      </c>
      <c r="BI569" s="220">
        <f t="shared" ref="BI569:BI614" si="1861">BC569-AS569</f>
        <v>0</v>
      </c>
      <c r="BJ569" s="220" t="s">
        <v>3159</v>
      </c>
      <c r="BK569" s="220"/>
      <c r="BL569" s="223">
        <f t="shared" si="1784"/>
        <v>0</v>
      </c>
      <c r="BM569" s="220">
        <v>7.28</v>
      </c>
      <c r="BN569" s="220"/>
      <c r="BO569" s="220">
        <f>ROUND(BM569+(BM569*BN569),2)</f>
        <v>7.28</v>
      </c>
      <c r="BP569" s="220">
        <f>IF(AND(BL569&gt;0,BL569&lt;tiet!$D$1),BL569,IF(BL569&lt;=0,0,IF(BL569&gt;tiet!$C$1,tiet!$C$1)))</f>
        <v>0</v>
      </c>
      <c r="BQ569" s="87">
        <f t="shared" si="1799"/>
        <v>85000</v>
      </c>
      <c r="BR569" s="224">
        <f t="shared" si="1800"/>
        <v>0</v>
      </c>
      <c r="BS569" s="220">
        <f t="shared" si="1686"/>
        <v>0</v>
      </c>
      <c r="BT569" s="224">
        <f>VLOOKUP(N569,ma_dinhmuc!$A$1:$J$31,10,0)</f>
        <v>65000</v>
      </c>
      <c r="BU569" s="224">
        <f>ROUND(IF(BS569&gt;0,VLOOKUP(N569,ma_dinhmuc!$A$1:$J$31,10,0)*BS569,0),0)</f>
        <v>0</v>
      </c>
      <c r="BV569" s="224">
        <f t="shared" si="1801"/>
        <v>0</v>
      </c>
      <c r="BW569" s="224"/>
      <c r="BX569" s="224">
        <v>0</v>
      </c>
      <c r="BY569" s="224"/>
      <c r="BZ569" s="224"/>
      <c r="CA569" s="224"/>
      <c r="CB569" s="224"/>
      <c r="CC569" s="225">
        <f t="shared" si="1781"/>
        <v>0</v>
      </c>
      <c r="CD569" s="224">
        <f t="shared" si="1782"/>
        <v>0</v>
      </c>
      <c r="CE569" s="224"/>
      <c r="CF569" s="226"/>
      <c r="CG569" s="87"/>
      <c r="CH569" s="87">
        <f t="shared" si="1854"/>
        <v>22</v>
      </c>
      <c r="CI569" s="227" t="str">
        <f t="shared" si="1847"/>
        <v>Lê Hữu</v>
      </c>
      <c r="CJ569" s="227" t="str">
        <f t="shared" si="1848"/>
        <v>Ảnh</v>
      </c>
      <c r="CK569" s="87">
        <f t="shared" si="1849"/>
        <v>11</v>
      </c>
      <c r="CL569" s="227" t="str">
        <f t="shared" si="1850"/>
        <v>Tài chính</v>
      </c>
      <c r="CM569" s="87" t="str">
        <f t="shared" ref="CM569:CM614" si="1862">N569</f>
        <v>CS4</v>
      </c>
      <c r="CN569" s="87">
        <f t="shared" si="1855"/>
        <v>270</v>
      </c>
      <c r="CO569" s="87">
        <f t="shared" si="1855"/>
        <v>280</v>
      </c>
      <c r="CP569" s="229">
        <f t="shared" si="1703"/>
        <v>0</v>
      </c>
      <c r="CQ569" s="229">
        <f t="shared" si="1704"/>
        <v>0</v>
      </c>
      <c r="CR569" s="229">
        <f t="shared" si="1705"/>
        <v>0</v>
      </c>
      <c r="CS569" s="229">
        <f t="shared" si="1706"/>
        <v>0</v>
      </c>
      <c r="CT569" s="229">
        <f t="shared" si="1707"/>
        <v>0</v>
      </c>
      <c r="CU569" s="229">
        <f t="shared" si="1708"/>
        <v>0</v>
      </c>
      <c r="CV569" s="229">
        <f t="shared" si="1709"/>
        <v>0</v>
      </c>
      <c r="CW569" s="229">
        <f t="shared" si="1710"/>
        <v>0</v>
      </c>
      <c r="CX569" s="229">
        <f t="shared" si="1711"/>
        <v>0</v>
      </c>
      <c r="CY569" s="229">
        <f t="shared" si="1712"/>
        <v>0</v>
      </c>
      <c r="CZ569" s="229">
        <f t="shared" si="1713"/>
        <v>0</v>
      </c>
      <c r="DA569" s="229">
        <f t="shared" si="1714"/>
        <v>0</v>
      </c>
      <c r="DB569" s="228">
        <f t="shared" si="1834"/>
        <v>0</v>
      </c>
      <c r="DC569" s="229"/>
      <c r="DD569" s="229"/>
      <c r="DE569" s="229"/>
      <c r="DF569" s="229"/>
      <c r="DG569" s="229"/>
      <c r="DH569" s="229"/>
      <c r="DI569" s="229"/>
      <c r="DJ569" s="229"/>
      <c r="DK569" s="229"/>
      <c r="DL569" s="229"/>
      <c r="DM569" s="229"/>
      <c r="DN569" s="229"/>
      <c r="DO569" s="228">
        <f t="shared" si="1835"/>
        <v>0</v>
      </c>
      <c r="DP569" s="228">
        <f t="shared" si="1836"/>
        <v>0</v>
      </c>
      <c r="DQ569" s="229">
        <f t="shared" si="1715"/>
        <v>216</v>
      </c>
      <c r="DR569" s="229">
        <f t="shared" si="1716"/>
        <v>7.2</v>
      </c>
      <c r="DS569" s="229">
        <f t="shared" si="1717"/>
        <v>0</v>
      </c>
      <c r="DT569" s="229">
        <f t="shared" si="1718"/>
        <v>3</v>
      </c>
      <c r="DU569" s="229">
        <f t="shared" si="1719"/>
        <v>0</v>
      </c>
      <c r="DV569" s="229">
        <f t="shared" si="1720"/>
        <v>360</v>
      </c>
      <c r="DW569" s="229">
        <f t="shared" si="1721"/>
        <v>20</v>
      </c>
      <c r="DX569" s="228">
        <f t="shared" si="1837"/>
        <v>606.20000000000005</v>
      </c>
      <c r="DY569" s="229"/>
      <c r="DZ569" s="229"/>
      <c r="EA569" s="229"/>
      <c r="EB569" s="229"/>
      <c r="EC569" s="229"/>
      <c r="ED569" s="229"/>
      <c r="EE569" s="229"/>
      <c r="EF569" s="228">
        <f t="shared" si="1696"/>
        <v>0</v>
      </c>
      <c r="EG569" s="228">
        <f t="shared" si="1838"/>
        <v>606.20000000000005</v>
      </c>
      <c r="EH569" s="229">
        <f t="shared" si="1697"/>
        <v>157.5</v>
      </c>
      <c r="EI569" s="229">
        <v>145.79</v>
      </c>
      <c r="EJ569" s="228">
        <f t="shared" si="1846"/>
        <v>303.28999999999996</v>
      </c>
      <c r="EK569" s="229"/>
      <c r="EL569" s="229"/>
      <c r="EM569" s="228">
        <f t="shared" ref="EM569:EM574" si="1863">SUM(EK569:EL569)</f>
        <v>0</v>
      </c>
      <c r="EN569" s="229">
        <f t="shared" si="1765"/>
        <v>157.5</v>
      </c>
      <c r="EO569" s="229">
        <f t="shared" si="1793"/>
        <v>145.79</v>
      </c>
      <c r="EP569" s="228">
        <f t="shared" ref="EP569:EP574" si="1864">EM569+EJ569</f>
        <v>303.28999999999996</v>
      </c>
      <c r="EQ569" s="173">
        <f t="shared" si="1687"/>
        <v>0</v>
      </c>
      <c r="ER569" s="189">
        <v>0</v>
      </c>
      <c r="ES569" s="189">
        <v>0</v>
      </c>
      <c r="ET569" s="189">
        <v>0</v>
      </c>
      <c r="EU569" s="189">
        <v>0</v>
      </c>
      <c r="EV569" s="189">
        <v>0</v>
      </c>
      <c r="EW569" s="189">
        <v>0</v>
      </c>
      <c r="EX569" s="189">
        <v>0</v>
      </c>
      <c r="EY569" s="189">
        <v>0</v>
      </c>
      <c r="EZ569" s="189">
        <v>0</v>
      </c>
      <c r="FA569" s="189">
        <v>0</v>
      </c>
      <c r="FB569" s="189">
        <v>0</v>
      </c>
      <c r="FC569" s="189">
        <v>0</v>
      </c>
      <c r="FD569" s="189">
        <v>216</v>
      </c>
      <c r="FE569" s="189">
        <v>7.2</v>
      </c>
      <c r="FF569" s="189">
        <v>0</v>
      </c>
      <c r="FG569" s="189">
        <v>3</v>
      </c>
      <c r="FH569" s="189">
        <v>360</v>
      </c>
      <c r="FI569" s="189">
        <v>0</v>
      </c>
      <c r="FJ569" s="189">
        <v>20</v>
      </c>
      <c r="FK569" s="189">
        <v>606.20000000000005</v>
      </c>
      <c r="FL569" s="189">
        <v>508</v>
      </c>
      <c r="FN569" s="132">
        <v>157.5</v>
      </c>
    </row>
    <row r="570" spans="1:170" ht="30">
      <c r="A570" s="88">
        <f>COUNTIF($H$12:H570,H570)</f>
        <v>23</v>
      </c>
      <c r="B570" s="88" t="s">
        <v>474</v>
      </c>
      <c r="C570" s="88" t="s">
        <v>231</v>
      </c>
      <c r="D570" s="88"/>
      <c r="E570" s="88"/>
      <c r="F570" s="301" t="s">
        <v>2213</v>
      </c>
      <c r="G570" s="89" t="s">
        <v>2902</v>
      </c>
      <c r="H570" s="88">
        <v>11</v>
      </c>
      <c r="I570" s="88">
        <v>11</v>
      </c>
      <c r="J570" s="88">
        <v>11</v>
      </c>
      <c r="K570" s="90" t="s">
        <v>1663</v>
      </c>
      <c r="L570" s="90" t="s">
        <v>1663</v>
      </c>
      <c r="M570" s="214"/>
      <c r="N570" s="88" t="s">
        <v>1804</v>
      </c>
      <c r="O570" s="216">
        <f t="shared" ref="O570:O585" si="1865">BO570</f>
        <v>3.66</v>
      </c>
      <c r="P570" s="88" t="str">
        <f t="shared" si="1785"/>
        <v>B1_4</v>
      </c>
      <c r="Q570" s="88">
        <f t="shared" si="1751"/>
        <v>270</v>
      </c>
      <c r="R570" s="88">
        <f t="shared" si="1752"/>
        <v>120</v>
      </c>
      <c r="S570" s="218" t="s">
        <v>2394</v>
      </c>
      <c r="T570" s="88" t="s">
        <v>1326</v>
      </c>
      <c r="U570" s="88">
        <f>IF(RIGHT(T570,1)="K",(VLOOKUP(T570,ma_miengiam!$A$3:$B$80,2,0)*100)/2,VLOOKUP(T570,ma_miengiam!$A$3:$B$80,2,0)*100)</f>
        <v>65</v>
      </c>
      <c r="V570" s="88"/>
      <c r="W570" s="220">
        <f>IF(AND(T570="NTS",V570&gt;0),(Q570-(Q570*V570)/12)*VLOOKUP(T570,ma_miengiam!$A$3:$B$80,2,0)+(Q570-(Q570*(12-V570))/12),IF(AND(RIGHT(T570,1)="K",V570&gt;0),(VLOOKUP(T570,ma_miengiam!$A$3:$B$80,2,0)/2)*(Q570*V570)/12,IF(RIGHT(T570,1)="K",(VLOOKUP(T570,ma_miengiam!$A$3:$B$80,2,0)*Q570)/2,IF(V570&gt;0,VLOOKUP(T570,ma_miengiam!$A$3:$B$80,2,0)*Q570*V570/12,VLOOKUP(T570,ma_miengiam!$A$3:$B$80,2,0)*Q570))))</f>
        <v>175.5</v>
      </c>
      <c r="X570" s="220">
        <f>IF(T570="NTS",VLOOKUP(T570,ma_miengiam!$A$3:$B$80,2,0)*R570*V570,IF(AND(T570="NTS",V570=0),0,IF(AND(LEFT(T570,1)="K",V570=0),VLOOKUP(T570,ma_miengiam!$A$3:$B$80,2,0)*R570,IF(LEFT(T570,1)="K",(VLOOKUP(T570,ma_miengiam!$A$3:$B$80,2,0)*R570/12)*V570,IF(AND(LEFT(T570,1)="S",V570&gt;0),(R570/12)*V570,IF(AND(LEFT(T570,1)="S",V570=0),R570,IF(T570="DH",VLOOKUP(T570,ma_miengiam!$A$3:$B$80,2,0)*R570,0)))))))</f>
        <v>120</v>
      </c>
      <c r="Y570" s="220">
        <f t="shared" si="1745"/>
        <v>94.5</v>
      </c>
      <c r="Z570" s="220">
        <f>IF(AND(T570="SĐH",V570&gt;0),(R570/12)*V570-X570,IF(AND(T570="DH",V570&gt;0),(R570*V570/12),IF(AND(T570&lt;&gt;"NTS",V570&gt;0),(R570*V570/12)-X570,IF(AND(T570="NTS",V570&gt;0),R570-X570,R570-X570))))</f>
        <v>0</v>
      </c>
      <c r="AA570" s="220">
        <f t="shared" si="1851"/>
        <v>270</v>
      </c>
      <c r="AB570" s="220">
        <f t="shared" si="1852"/>
        <v>120</v>
      </c>
      <c r="AC570" s="220">
        <f>W570</f>
        <v>175.5</v>
      </c>
      <c r="AD570" s="220">
        <f>X570</f>
        <v>120</v>
      </c>
      <c r="AE570" s="220">
        <f>Y570</f>
        <v>94.5</v>
      </c>
      <c r="AF570" s="220">
        <f>Z570</f>
        <v>0</v>
      </c>
      <c r="AG570" s="220">
        <f>AH570+AI570</f>
        <v>258.33</v>
      </c>
      <c r="AH570" s="220">
        <f>EO570</f>
        <v>175</v>
      </c>
      <c r="AI570" s="220">
        <f>EN570</f>
        <v>83.33</v>
      </c>
      <c r="AJ570" s="220">
        <f t="shared" si="1780"/>
        <v>0</v>
      </c>
      <c r="AK570" s="216">
        <f t="shared" si="1812"/>
        <v>94.5</v>
      </c>
      <c r="AL570" s="220">
        <f t="shared" si="1819"/>
        <v>302.3</v>
      </c>
      <c r="AM570" s="220">
        <f t="shared" si="1820"/>
        <v>0</v>
      </c>
      <c r="AN570" s="221">
        <f t="shared" si="1821"/>
        <v>302.3</v>
      </c>
      <c r="AO570" s="220">
        <f t="shared" si="1822"/>
        <v>0</v>
      </c>
      <c r="AP570" s="220">
        <f t="shared" si="1823"/>
        <v>0</v>
      </c>
      <c r="AQ570" s="220">
        <f t="shared" si="1824"/>
        <v>40</v>
      </c>
      <c r="AR570" s="220">
        <f t="shared" si="1825"/>
        <v>0</v>
      </c>
      <c r="AS570" s="220">
        <f t="shared" si="1826"/>
        <v>0</v>
      </c>
      <c r="AT570" s="216">
        <f t="shared" si="1827"/>
        <v>342.3</v>
      </c>
      <c r="AU570" s="222">
        <f t="shared" si="1792"/>
        <v>207.8</v>
      </c>
      <c r="AV570" s="220"/>
      <c r="AW570" s="220">
        <f t="shared" si="1856"/>
        <v>207.8</v>
      </c>
      <c r="AX570" s="216">
        <f t="shared" si="1811"/>
        <v>0</v>
      </c>
      <c r="AY570" s="220">
        <f t="shared" ref="AY570:AY614" si="1866">IF(AN570&gt;=AK570,AO570,IF(AN570+AO570-AK570&gt;=0,AN570+AO570-AK570,0))</f>
        <v>0</v>
      </c>
      <c r="AZ570" s="220">
        <f t="shared" ref="AZ570:AZ614" si="1867">IF(OR(AN570&gt;=AK570,AN570+AO570&gt;=AK570),AP570,IF(AN570+AO570+AP570&gt;AK570,AN570+AO570+AP570-AK570,0))</f>
        <v>0</v>
      </c>
      <c r="BA570" s="220">
        <f t="shared" ref="BA570:BA614" si="1868">IF(OR(AN570&gt;=AK570,AN570+AO570&gt;=AK570,AN570+AO570+AP570&gt;=AK570),AQ570,IF(AN570+AO570+AP570+AQ570&gt;=AK570,AN570+AO570+AP570+AQ570-AK570,0))</f>
        <v>40</v>
      </c>
      <c r="BB570" s="220">
        <f t="shared" ref="BB570:BB614" si="1869">IF(OR(AN570&gt;=AK570,AN570+AO570&gt;=AK570,AN570+AO570+AP570&gt;=AK570,AN570+AO570+AP570+AQ570&gt;=AK570),AR570,IF(AN570+AO570+AP570+AQ570+AR570&gt;=AK570,AN570+AO570+AP570+AQ570+AR570-AK570,0))</f>
        <v>0</v>
      </c>
      <c r="BC570" s="220">
        <f t="shared" ref="BC570:BC614" si="1870">IF(OR(AN570&gt;=AK570,AN570+AO570&gt;=AK570,AN570+AO570+AP570&gt;=AK570,AN570+AO570+AP570+AQ570&gt;=AK570,AN570+AO570+AP570+AQ570+AR570&gt;=AK570),AS570,IF(AN570+AO570+AP570+AQ570+AR570+AS570&gt;=AK570,AN570+AO570+AP570+AQ570+AR570+AS570-AK570,0))</f>
        <v>0</v>
      </c>
      <c r="BD570" s="216">
        <f t="shared" si="1778"/>
        <v>40</v>
      </c>
      <c r="BE570" s="220">
        <f t="shared" si="1857"/>
        <v>0</v>
      </c>
      <c r="BF570" s="220">
        <f t="shared" si="1858"/>
        <v>0</v>
      </c>
      <c r="BG570" s="220">
        <f t="shared" si="1859"/>
        <v>0</v>
      </c>
      <c r="BH570" s="220">
        <f t="shared" si="1860"/>
        <v>0</v>
      </c>
      <c r="BI570" s="220">
        <f t="shared" si="1861"/>
        <v>0</v>
      </c>
      <c r="BJ570" s="220" t="s">
        <v>3159</v>
      </c>
      <c r="BK570" s="220"/>
      <c r="BL570" s="223">
        <f t="shared" si="1784"/>
        <v>207.8</v>
      </c>
      <c r="BM570" s="220">
        <v>3.66</v>
      </c>
      <c r="BN570" s="220"/>
      <c r="BO570" s="220">
        <f>ROUND(BM570+(BM570*BN570),2)</f>
        <v>3.66</v>
      </c>
      <c r="BP570" s="220">
        <f>IF(AND(BL570&gt;0,BL570&lt;tiet!$D$1),BL570,IF(BL570&lt;=0,0,IF(BL570&gt;tiet!$C$1,tiet!$C$1)))</f>
        <v>200</v>
      </c>
      <c r="BQ570" s="87">
        <f t="shared" si="1799"/>
        <v>65000</v>
      </c>
      <c r="BR570" s="224">
        <f t="shared" si="1800"/>
        <v>13000000</v>
      </c>
      <c r="BS570" s="220">
        <f t="shared" si="1686"/>
        <v>7.8000000000000114</v>
      </c>
      <c r="BT570" s="224">
        <f>VLOOKUP(N570,ma_dinhmuc!$A$1:$J$31,10,0)</f>
        <v>51000</v>
      </c>
      <c r="BU570" s="224">
        <f>ROUND(IF(BS570&gt;0,VLOOKUP(N570,ma_dinhmuc!$A$1:$J$31,10,0)*BS570,0),0)</f>
        <v>397800</v>
      </c>
      <c r="BV570" s="224">
        <f t="shared" si="1801"/>
        <v>13397800</v>
      </c>
      <c r="BW570" s="224"/>
      <c r="BX570" s="224">
        <v>0</v>
      </c>
      <c r="BY570" s="224"/>
      <c r="BZ570" s="224"/>
      <c r="CA570" s="224"/>
      <c r="CB570" s="224"/>
      <c r="CC570" s="225">
        <f t="shared" si="1781"/>
        <v>13397800</v>
      </c>
      <c r="CD570" s="224">
        <f t="shared" si="1782"/>
        <v>0</v>
      </c>
      <c r="CE570" s="224"/>
      <c r="CF570" s="226"/>
      <c r="CG570" s="87"/>
      <c r="CH570" s="87">
        <f t="shared" si="1854"/>
        <v>23</v>
      </c>
      <c r="CI570" s="227" t="str">
        <f t="shared" si="1847"/>
        <v>Lê Thị Thanh</v>
      </c>
      <c r="CJ570" s="227" t="str">
        <f t="shared" si="1848"/>
        <v>Hảo</v>
      </c>
      <c r="CK570" s="87">
        <f t="shared" si="1849"/>
        <v>11</v>
      </c>
      <c r="CL570" s="227" t="str">
        <f t="shared" si="1850"/>
        <v>Tài chính</v>
      </c>
      <c r="CM570" s="87" t="str">
        <f t="shared" si="1862"/>
        <v>CS2</v>
      </c>
      <c r="CN570" s="87">
        <f t="shared" si="1855"/>
        <v>270</v>
      </c>
      <c r="CO570" s="87">
        <f t="shared" si="1855"/>
        <v>120</v>
      </c>
      <c r="CP570" s="229">
        <f t="shared" si="1703"/>
        <v>0</v>
      </c>
      <c r="CQ570" s="229">
        <f t="shared" si="1704"/>
        <v>28.4</v>
      </c>
      <c r="CR570" s="229">
        <f t="shared" si="1705"/>
        <v>11.4</v>
      </c>
      <c r="CS570" s="229">
        <f t="shared" si="1706"/>
        <v>37.5</v>
      </c>
      <c r="CT570" s="229">
        <f t="shared" si="1707"/>
        <v>0</v>
      </c>
      <c r="CU570" s="229">
        <f t="shared" si="1708"/>
        <v>225</v>
      </c>
      <c r="CV570" s="229">
        <f t="shared" si="1709"/>
        <v>0</v>
      </c>
      <c r="CW570" s="229">
        <f t="shared" si="1710"/>
        <v>0</v>
      </c>
      <c r="CX570" s="229">
        <f t="shared" si="1711"/>
        <v>0</v>
      </c>
      <c r="CY570" s="229">
        <f t="shared" si="1712"/>
        <v>0</v>
      </c>
      <c r="CZ570" s="229">
        <f t="shared" si="1713"/>
        <v>0</v>
      </c>
      <c r="DA570" s="229">
        <f t="shared" si="1714"/>
        <v>40</v>
      </c>
      <c r="DB570" s="228">
        <f t="shared" si="1834"/>
        <v>342.3</v>
      </c>
      <c r="DC570" s="229"/>
      <c r="DD570" s="229"/>
      <c r="DE570" s="229"/>
      <c r="DF570" s="229"/>
      <c r="DG570" s="229"/>
      <c r="DH570" s="229"/>
      <c r="DI570" s="229"/>
      <c r="DJ570" s="229"/>
      <c r="DK570" s="229"/>
      <c r="DL570" s="229"/>
      <c r="DM570" s="229"/>
      <c r="DN570" s="229"/>
      <c r="DO570" s="228">
        <f t="shared" si="1835"/>
        <v>0</v>
      </c>
      <c r="DP570" s="228">
        <f t="shared" si="1836"/>
        <v>342.3</v>
      </c>
      <c r="DQ570" s="229">
        <f t="shared" si="1715"/>
        <v>0</v>
      </c>
      <c r="DR570" s="229">
        <f t="shared" si="1716"/>
        <v>0</v>
      </c>
      <c r="DS570" s="229">
        <f t="shared" si="1717"/>
        <v>0</v>
      </c>
      <c r="DT570" s="229">
        <f t="shared" si="1718"/>
        <v>0</v>
      </c>
      <c r="DU570" s="229">
        <f t="shared" si="1719"/>
        <v>0</v>
      </c>
      <c r="DV570" s="229">
        <f t="shared" si="1720"/>
        <v>0</v>
      </c>
      <c r="DW570" s="229">
        <f t="shared" si="1721"/>
        <v>0</v>
      </c>
      <c r="DX570" s="228">
        <f t="shared" si="1837"/>
        <v>0</v>
      </c>
      <c r="DY570" s="229"/>
      <c r="DZ570" s="229"/>
      <c r="EA570" s="229"/>
      <c r="EB570" s="229"/>
      <c r="EC570" s="229"/>
      <c r="ED570" s="229"/>
      <c r="EE570" s="229"/>
      <c r="EF570" s="228">
        <f t="shared" si="1696"/>
        <v>0</v>
      </c>
      <c r="EG570" s="228">
        <f t="shared" si="1838"/>
        <v>0</v>
      </c>
      <c r="EH570" s="229">
        <f t="shared" si="1697"/>
        <v>83.33</v>
      </c>
      <c r="EI570" s="229">
        <v>175</v>
      </c>
      <c r="EJ570" s="228">
        <f t="shared" si="1846"/>
        <v>258.33</v>
      </c>
      <c r="EK570" s="229"/>
      <c r="EL570" s="229"/>
      <c r="EM570" s="228">
        <f>SUM(EK570:EL570)</f>
        <v>0</v>
      </c>
      <c r="EN570" s="229">
        <f t="shared" si="1765"/>
        <v>83.33</v>
      </c>
      <c r="EO570" s="229">
        <f t="shared" si="1793"/>
        <v>175</v>
      </c>
      <c r="EP570" s="228">
        <f>EM570+EJ570</f>
        <v>258.33</v>
      </c>
      <c r="EQ570" s="173">
        <f t="shared" si="1687"/>
        <v>83.33</v>
      </c>
      <c r="ER570" s="189">
        <v>0</v>
      </c>
      <c r="ES570" s="189">
        <v>28.4</v>
      </c>
      <c r="ET570" s="189">
        <v>11.4</v>
      </c>
      <c r="EU570" s="189">
        <v>37.5</v>
      </c>
      <c r="EV570" s="189">
        <v>0</v>
      </c>
      <c r="EW570" s="189">
        <v>225</v>
      </c>
      <c r="EX570" s="189">
        <v>0</v>
      </c>
      <c r="EY570" s="189">
        <v>0</v>
      </c>
      <c r="EZ570" s="189">
        <v>0</v>
      </c>
      <c r="FA570" s="189">
        <v>0</v>
      </c>
      <c r="FB570" s="189">
        <v>0</v>
      </c>
      <c r="FC570" s="189">
        <v>40</v>
      </c>
      <c r="FD570" s="189">
        <v>0</v>
      </c>
      <c r="FE570" s="189">
        <v>0</v>
      </c>
      <c r="FF570" s="189">
        <v>0</v>
      </c>
      <c r="FG570" s="189">
        <v>0</v>
      </c>
      <c r="FH570" s="189">
        <v>0</v>
      </c>
      <c r="FI570" s="189">
        <v>0</v>
      </c>
      <c r="FJ570" s="189">
        <v>0</v>
      </c>
      <c r="FK570" s="189">
        <v>342.3</v>
      </c>
      <c r="FL570" s="189">
        <v>312.5</v>
      </c>
      <c r="FN570" s="132">
        <v>83.33</v>
      </c>
    </row>
    <row r="571" spans="1:170" ht="30">
      <c r="A571" s="88">
        <f>COUNTIF($H$12:H571,H571)</f>
        <v>24</v>
      </c>
      <c r="B571" s="88" t="s">
        <v>475</v>
      </c>
      <c r="C571" s="88" t="s">
        <v>232</v>
      </c>
      <c r="D571" s="88"/>
      <c r="E571" s="88"/>
      <c r="F571" s="301" t="s">
        <v>1139</v>
      </c>
      <c r="G571" s="89" t="s">
        <v>963</v>
      </c>
      <c r="H571" s="88">
        <v>11</v>
      </c>
      <c r="I571" s="88">
        <v>11</v>
      </c>
      <c r="J571" s="88">
        <v>11</v>
      </c>
      <c r="K571" s="90" t="s">
        <v>1663</v>
      </c>
      <c r="L571" s="90" t="s">
        <v>1663</v>
      </c>
      <c r="M571" s="214"/>
      <c r="N571" s="88" t="s">
        <v>1804</v>
      </c>
      <c r="O571" s="216">
        <f t="shared" si="1865"/>
        <v>3.33</v>
      </c>
      <c r="P571" s="88" t="str">
        <f t="shared" si="1785"/>
        <v>B1_4</v>
      </c>
      <c r="Q571" s="88">
        <f t="shared" si="1751"/>
        <v>270</v>
      </c>
      <c r="R571" s="88">
        <f t="shared" si="1752"/>
        <v>120</v>
      </c>
      <c r="S571" s="233" t="s">
        <v>366</v>
      </c>
      <c r="T571" s="88" t="s">
        <v>3094</v>
      </c>
      <c r="U571" s="88">
        <f>IF(RIGHT(T571,1)="K",(VLOOKUP(T571,ma_miengiam!$A$3:$B$80,2,0)*100)/2,VLOOKUP(T571,ma_miengiam!$A$3:$B$80,2,0)*100)</f>
        <v>35</v>
      </c>
      <c r="V571" s="88"/>
      <c r="W571" s="220">
        <f>IF(AND(T571="NTS",V571&gt;0),(Q571-(Q571*V571)/12)*VLOOKUP(T571,ma_miengiam!$A$3:$B$80,2,0)+(Q571-(Q571*(12-V571))/12),IF(AND(RIGHT(T571,1)="K",V571&gt;0),(VLOOKUP(T571,ma_miengiam!$A$3:$B$80,2,0)/2)*(Q571*V571)/12,IF(RIGHT(T571,1)="K",(VLOOKUP(T571,ma_miengiam!$A$3:$B$80,2,0)*Q571)/2,IF(V571&gt;0,VLOOKUP(T571,ma_miengiam!$A$3:$B$80,2,0)*Q571*V571/12,VLOOKUP(T571,ma_miengiam!$A$3:$B$80,2,0)*Q571))))</f>
        <v>94.5</v>
      </c>
      <c r="X571" s="220">
        <f>IF(T571="NTS",VLOOKUP(T571,ma_miengiam!$A$3:$B$80,2,0)*R571*V571,IF(AND(T571="NTS",V571=0),0,IF(AND(LEFT(T571,1)="K",V571=0),VLOOKUP(T571,ma_miengiam!$A$3:$B$80,2,0)*R571,IF(LEFT(T571,1)="K",(VLOOKUP(T571,ma_miengiam!$A$3:$B$80,2,0)*R571/12)*V571,IF(AND(LEFT(T571,1)="S",V571&gt;0),(R571/12)*V571,IF(AND(LEFT(T571,1)="S",V571=0),R571,IF(T571="DH",VLOOKUP(T571,ma_miengiam!$A$3:$B$80,2,0)*R571,0)))))))</f>
        <v>0</v>
      </c>
      <c r="Y571" s="220">
        <f t="shared" si="1745"/>
        <v>175.5</v>
      </c>
      <c r="Z571" s="220">
        <f>IF(AND(T571="SĐH",V571&gt;0),(R571/12)*V571-X571,IF(AND(T571="DH",V571&gt;0),(R571*V571/12),IF(AND(T571&lt;&gt;"NTS",V571&gt;0),(R571*V571/12)-X571,IF(AND(T571="NTS",V571&gt;0),R571-X571,R571-X571))))</f>
        <v>120</v>
      </c>
      <c r="AA571" s="220">
        <f t="shared" si="1851"/>
        <v>270</v>
      </c>
      <c r="AB571" s="220">
        <f t="shared" si="1852"/>
        <v>120</v>
      </c>
      <c r="AC571" s="220">
        <f t="shared" ref="AC571:AF572" si="1871">W571</f>
        <v>94.5</v>
      </c>
      <c r="AD571" s="220">
        <f t="shared" si="1871"/>
        <v>0</v>
      </c>
      <c r="AE571" s="220">
        <f t="shared" si="1871"/>
        <v>175.5</v>
      </c>
      <c r="AF571" s="220">
        <f t="shared" si="1871"/>
        <v>120</v>
      </c>
      <c r="AG571" s="220">
        <f>AH571+AI571</f>
        <v>215</v>
      </c>
      <c r="AH571" s="220">
        <f>EO571</f>
        <v>95</v>
      </c>
      <c r="AI571" s="220">
        <f>EN571</f>
        <v>120</v>
      </c>
      <c r="AJ571" s="220">
        <f t="shared" si="1780"/>
        <v>0</v>
      </c>
      <c r="AK571" s="216">
        <f t="shared" si="1812"/>
        <v>175.5</v>
      </c>
      <c r="AL571" s="220">
        <f t="shared" si="1819"/>
        <v>567.5</v>
      </c>
      <c r="AM571" s="220">
        <f t="shared" si="1820"/>
        <v>0</v>
      </c>
      <c r="AN571" s="221">
        <f t="shared" si="1821"/>
        <v>567.5</v>
      </c>
      <c r="AO571" s="220">
        <f t="shared" si="1822"/>
        <v>0</v>
      </c>
      <c r="AP571" s="220">
        <f t="shared" si="1823"/>
        <v>0</v>
      </c>
      <c r="AQ571" s="220">
        <f t="shared" si="1824"/>
        <v>40</v>
      </c>
      <c r="AR571" s="220">
        <f t="shared" si="1825"/>
        <v>0</v>
      </c>
      <c r="AS571" s="220">
        <f t="shared" si="1826"/>
        <v>0</v>
      </c>
      <c r="AT571" s="216">
        <f t="shared" si="1827"/>
        <v>607.5</v>
      </c>
      <c r="AU571" s="222">
        <f t="shared" si="1792"/>
        <v>392</v>
      </c>
      <c r="AV571" s="220"/>
      <c r="AW571" s="220">
        <f t="shared" si="1856"/>
        <v>392</v>
      </c>
      <c r="AX571" s="216">
        <f t="shared" si="1811"/>
        <v>0</v>
      </c>
      <c r="AY571" s="220">
        <f t="shared" si="1866"/>
        <v>0</v>
      </c>
      <c r="AZ571" s="220">
        <f t="shared" si="1867"/>
        <v>0</v>
      </c>
      <c r="BA571" s="220">
        <f t="shared" si="1868"/>
        <v>40</v>
      </c>
      <c r="BB571" s="220">
        <f t="shared" si="1869"/>
        <v>0</v>
      </c>
      <c r="BC571" s="220">
        <f t="shared" si="1870"/>
        <v>0</v>
      </c>
      <c r="BD571" s="216">
        <f t="shared" si="1778"/>
        <v>40</v>
      </c>
      <c r="BE571" s="220">
        <f t="shared" si="1857"/>
        <v>0</v>
      </c>
      <c r="BF571" s="220">
        <f t="shared" si="1858"/>
        <v>0</v>
      </c>
      <c r="BG571" s="220">
        <f t="shared" si="1859"/>
        <v>0</v>
      </c>
      <c r="BH571" s="220">
        <f t="shared" si="1860"/>
        <v>0</v>
      </c>
      <c r="BI571" s="220">
        <f t="shared" si="1861"/>
        <v>0</v>
      </c>
      <c r="BJ571" s="220" t="s">
        <v>3159</v>
      </c>
      <c r="BK571" s="220"/>
      <c r="BL571" s="223">
        <f t="shared" si="1784"/>
        <v>392</v>
      </c>
      <c r="BM571" s="220">
        <v>3.33</v>
      </c>
      <c r="BN571" s="220"/>
      <c r="BO571" s="220">
        <f>ROUND(BM571+(BM571*BN571),2)</f>
        <v>3.33</v>
      </c>
      <c r="BP571" s="220">
        <f>IF(AND(BL571&gt;0,BL571&lt;tiet!$D$1),BL571,IF(BL571&lt;=0,0,IF(BL571&gt;tiet!$C$1,tiet!$C$1)))</f>
        <v>200</v>
      </c>
      <c r="BQ571" s="87">
        <f t="shared" si="1799"/>
        <v>65000</v>
      </c>
      <c r="BR571" s="224">
        <f t="shared" si="1800"/>
        <v>13000000</v>
      </c>
      <c r="BS571" s="220">
        <f t="shared" si="1686"/>
        <v>192</v>
      </c>
      <c r="BT571" s="224">
        <f>VLOOKUP(N571,ma_dinhmuc!$A$1:$J$31,10,0)</f>
        <v>51000</v>
      </c>
      <c r="BU571" s="224">
        <f>ROUND(IF(BS571&gt;0,VLOOKUP(N571,ma_dinhmuc!$A$1:$J$31,10,0)*BS571,0),0)</f>
        <v>9792000</v>
      </c>
      <c r="BV571" s="224">
        <f t="shared" si="1801"/>
        <v>22792000</v>
      </c>
      <c r="BW571" s="224"/>
      <c r="BX571" s="224">
        <v>0</v>
      </c>
      <c r="BY571" s="224"/>
      <c r="BZ571" s="224"/>
      <c r="CA571" s="224"/>
      <c r="CB571" s="224"/>
      <c r="CC571" s="225">
        <f t="shared" si="1781"/>
        <v>22792000</v>
      </c>
      <c r="CD571" s="224">
        <f t="shared" si="1782"/>
        <v>0</v>
      </c>
      <c r="CE571" s="224"/>
      <c r="CF571" s="226"/>
      <c r="CG571" s="87"/>
      <c r="CH571" s="87">
        <f t="shared" si="1854"/>
        <v>24</v>
      </c>
      <c r="CI571" s="227" t="str">
        <f t="shared" si="1847"/>
        <v>Nguyễn Thị</v>
      </c>
      <c r="CJ571" s="227" t="str">
        <f t="shared" si="1848"/>
        <v>Hương</v>
      </c>
      <c r="CK571" s="87">
        <f t="shared" si="1849"/>
        <v>11</v>
      </c>
      <c r="CL571" s="227" t="str">
        <f t="shared" si="1850"/>
        <v>Tài chính</v>
      </c>
      <c r="CM571" s="87" t="str">
        <f t="shared" si="1862"/>
        <v>CS2</v>
      </c>
      <c r="CN571" s="87">
        <f t="shared" si="1855"/>
        <v>270</v>
      </c>
      <c r="CO571" s="87">
        <f t="shared" si="1855"/>
        <v>120</v>
      </c>
      <c r="CP571" s="229">
        <f t="shared" si="1703"/>
        <v>0</v>
      </c>
      <c r="CQ571" s="229">
        <f t="shared" si="1704"/>
        <v>60.1</v>
      </c>
      <c r="CR571" s="229">
        <f t="shared" si="1705"/>
        <v>24.2</v>
      </c>
      <c r="CS571" s="229">
        <f t="shared" si="1706"/>
        <v>81</v>
      </c>
      <c r="CT571" s="229">
        <f t="shared" si="1707"/>
        <v>0</v>
      </c>
      <c r="CU571" s="229">
        <f t="shared" si="1708"/>
        <v>402.2</v>
      </c>
      <c r="CV571" s="229">
        <f t="shared" si="1709"/>
        <v>0</v>
      </c>
      <c r="CW571" s="229">
        <f t="shared" si="1710"/>
        <v>0</v>
      </c>
      <c r="CX571" s="229">
        <f t="shared" si="1711"/>
        <v>0</v>
      </c>
      <c r="CY571" s="229">
        <f t="shared" si="1712"/>
        <v>0</v>
      </c>
      <c r="CZ571" s="229">
        <f t="shared" si="1713"/>
        <v>0</v>
      </c>
      <c r="DA571" s="229">
        <f t="shared" si="1714"/>
        <v>40</v>
      </c>
      <c r="DB571" s="228">
        <f t="shared" si="1834"/>
        <v>607.5</v>
      </c>
      <c r="DC571" s="229"/>
      <c r="DD571" s="229"/>
      <c r="DE571" s="229"/>
      <c r="DF571" s="229"/>
      <c r="DG571" s="229"/>
      <c r="DH571" s="229"/>
      <c r="DI571" s="229"/>
      <c r="DJ571" s="229"/>
      <c r="DK571" s="229"/>
      <c r="DL571" s="229"/>
      <c r="DM571" s="229"/>
      <c r="DN571" s="229"/>
      <c r="DO571" s="228">
        <f t="shared" si="1835"/>
        <v>0</v>
      </c>
      <c r="DP571" s="228">
        <f t="shared" si="1836"/>
        <v>607.5</v>
      </c>
      <c r="DQ571" s="229">
        <f t="shared" si="1715"/>
        <v>0</v>
      </c>
      <c r="DR571" s="229">
        <f t="shared" si="1716"/>
        <v>0</v>
      </c>
      <c r="DS571" s="229">
        <f t="shared" si="1717"/>
        <v>0</v>
      </c>
      <c r="DT571" s="229">
        <f t="shared" si="1718"/>
        <v>0</v>
      </c>
      <c r="DU571" s="229">
        <f t="shared" si="1719"/>
        <v>0</v>
      </c>
      <c r="DV571" s="229">
        <f t="shared" si="1720"/>
        <v>0</v>
      </c>
      <c r="DW571" s="229">
        <f t="shared" si="1721"/>
        <v>0</v>
      </c>
      <c r="DX571" s="228">
        <f t="shared" si="1837"/>
        <v>0</v>
      </c>
      <c r="DY571" s="229"/>
      <c r="DZ571" s="229"/>
      <c r="EA571" s="229"/>
      <c r="EB571" s="229"/>
      <c r="EC571" s="229"/>
      <c r="ED571" s="229"/>
      <c r="EE571" s="229"/>
      <c r="EF571" s="228">
        <f t="shared" si="1696"/>
        <v>0</v>
      </c>
      <c r="EG571" s="228">
        <f t="shared" si="1838"/>
        <v>0</v>
      </c>
      <c r="EH571" s="229">
        <f t="shared" si="1697"/>
        <v>120</v>
      </c>
      <c r="EI571" s="229">
        <v>95</v>
      </c>
      <c r="EJ571" s="228">
        <f t="shared" si="1846"/>
        <v>215</v>
      </c>
      <c r="EK571" s="229"/>
      <c r="EL571" s="229"/>
      <c r="EM571" s="228">
        <f>SUM(EK571:EL571)</f>
        <v>0</v>
      </c>
      <c r="EN571" s="229">
        <f t="shared" si="1765"/>
        <v>120</v>
      </c>
      <c r="EO571" s="229">
        <f t="shared" si="1793"/>
        <v>95</v>
      </c>
      <c r="EP571" s="228">
        <f>EM571+EJ571</f>
        <v>215</v>
      </c>
      <c r="EQ571" s="173">
        <f t="shared" si="1687"/>
        <v>0</v>
      </c>
      <c r="ER571" s="189">
        <v>0</v>
      </c>
      <c r="ES571" s="189">
        <v>60.1</v>
      </c>
      <c r="ET571" s="189">
        <v>24.2</v>
      </c>
      <c r="EU571" s="189">
        <v>81</v>
      </c>
      <c r="EV571" s="189">
        <v>0</v>
      </c>
      <c r="EW571" s="189">
        <v>402.2</v>
      </c>
      <c r="EX571" s="189">
        <v>0</v>
      </c>
      <c r="EY571" s="189">
        <v>0</v>
      </c>
      <c r="EZ571" s="189">
        <v>0</v>
      </c>
      <c r="FA571" s="189">
        <v>0</v>
      </c>
      <c r="FB571" s="189">
        <v>0</v>
      </c>
      <c r="FC571" s="189">
        <v>40</v>
      </c>
      <c r="FD571" s="189">
        <v>0</v>
      </c>
      <c r="FE571" s="189">
        <v>0</v>
      </c>
      <c r="FF571" s="189">
        <v>0</v>
      </c>
      <c r="FG571" s="189">
        <v>0</v>
      </c>
      <c r="FH571" s="189">
        <v>0</v>
      </c>
      <c r="FI571" s="189">
        <v>0</v>
      </c>
      <c r="FJ571" s="189">
        <v>0</v>
      </c>
      <c r="FK571" s="189">
        <v>607.5</v>
      </c>
      <c r="FL571" s="189">
        <v>467</v>
      </c>
      <c r="FN571" s="132">
        <v>120</v>
      </c>
    </row>
    <row r="572" spans="1:170" ht="30" customHeight="1">
      <c r="A572" s="88">
        <f>COUNTIF($H$12:H572,H572)</f>
        <v>25</v>
      </c>
      <c r="B572" s="88" t="s">
        <v>477</v>
      </c>
      <c r="C572" s="88" t="s">
        <v>233</v>
      </c>
      <c r="D572" s="88"/>
      <c r="E572" s="88"/>
      <c r="F572" s="301" t="s">
        <v>1873</v>
      </c>
      <c r="G572" s="303" t="s">
        <v>2086</v>
      </c>
      <c r="H572" s="88">
        <v>11</v>
      </c>
      <c r="I572" s="88">
        <v>11</v>
      </c>
      <c r="J572" s="88">
        <v>11</v>
      </c>
      <c r="K572" s="90" t="s">
        <v>1663</v>
      </c>
      <c r="L572" s="90" t="s">
        <v>1663</v>
      </c>
      <c r="M572" s="214"/>
      <c r="N572" s="88" t="s">
        <v>1804</v>
      </c>
      <c r="O572" s="216">
        <f t="shared" si="1865"/>
        <v>3</v>
      </c>
      <c r="P572" s="88" t="str">
        <f t="shared" si="1785"/>
        <v>B1_3</v>
      </c>
      <c r="Q572" s="88">
        <f t="shared" si="1751"/>
        <v>270</v>
      </c>
      <c r="R572" s="88">
        <f t="shared" si="1752"/>
        <v>100</v>
      </c>
      <c r="S572" s="218"/>
      <c r="T572" s="88" t="s">
        <v>3088</v>
      </c>
      <c r="U572" s="88">
        <f>IF(RIGHT(T572,1)="K",(VLOOKUP(T572,ma_miengiam!$A$3:$B$80,2,0)*100)/2,VLOOKUP(T572,ma_miengiam!$A$3:$B$80,2,0)*100)</f>
        <v>0</v>
      </c>
      <c r="V572" s="88"/>
      <c r="W572" s="220">
        <f>IF(AND(T572="NTS",V572&gt;0),(Q572-(Q572*V572)/12)*VLOOKUP(T572,ma_miengiam!$A$3:$B$80,2,0)+(Q572-(Q572*(12-V572))/12),IF(AND(RIGHT(T572,1)="K",V572&gt;0),(VLOOKUP(T572,ma_miengiam!$A$3:$B$80,2,0)/2)*(Q572*V572)/12,IF(RIGHT(T572,1)="K",(VLOOKUP(T572,ma_miengiam!$A$3:$B$80,2,0)*Q572)/2,IF(V572&gt;0,VLOOKUP(T572,ma_miengiam!$A$3:$B$80,2,0)*Q572*V572/12,VLOOKUP(T572,ma_miengiam!$A$3:$B$80,2,0)*Q572))))</f>
        <v>0</v>
      </c>
      <c r="X572" s="220">
        <f>IF(T572="NTS",VLOOKUP(T572,ma_miengiam!$A$3:$B$80,2,0)*R572*V572,IF(AND(T572="NTS",V572=0),0,IF(AND(LEFT(T572,1)="K",V572=0),VLOOKUP(T572,ma_miengiam!$A$3:$B$80,2,0)*R572,IF(LEFT(T572,1)="K",(VLOOKUP(T572,ma_miengiam!$A$3:$B$80,2,0)*R572/12)*V572,IF(AND(LEFT(T572,1)="S",V572&gt;0),(R572/12)*V572,IF(AND(LEFT(T572,1)="S",V572=0),R572,IF(T572="DH",VLOOKUP(T572,ma_miengiam!$A$3:$B$80,2,0)*R572,0)))))))</f>
        <v>0</v>
      </c>
      <c r="Y572" s="220">
        <f t="shared" si="1745"/>
        <v>270</v>
      </c>
      <c r="Z572" s="220">
        <f>IF(AND(T572="SĐH",V572&gt;0),(R572/12)*V572-X572,IF(AND(T572="DH",V572&gt;0),(R572*V572/12),IF(AND(T572&lt;&gt;"NTS",V572&gt;0),(R572*V572/12)-X572,IF(AND(T572="NTS",V572&gt;0),R572-X572,R572-X572))))</f>
        <v>100</v>
      </c>
      <c r="AA572" s="220">
        <f t="shared" si="1851"/>
        <v>270</v>
      </c>
      <c r="AB572" s="220">
        <f t="shared" si="1852"/>
        <v>100</v>
      </c>
      <c r="AC572" s="220">
        <f t="shared" si="1871"/>
        <v>0</v>
      </c>
      <c r="AD572" s="220">
        <f t="shared" si="1871"/>
        <v>0</v>
      </c>
      <c r="AE572" s="220">
        <f t="shared" si="1871"/>
        <v>270</v>
      </c>
      <c r="AF572" s="220">
        <f t="shared" si="1871"/>
        <v>100</v>
      </c>
      <c r="AG572" s="220">
        <f>AH572+AI572</f>
        <v>285.41999999999996</v>
      </c>
      <c r="AH572" s="220">
        <f>EO572</f>
        <v>195.42</v>
      </c>
      <c r="AI572" s="220">
        <f>EN572</f>
        <v>90</v>
      </c>
      <c r="AJ572" s="220">
        <f t="shared" si="1780"/>
        <v>0</v>
      </c>
      <c r="AK572" s="216">
        <f t="shared" si="1812"/>
        <v>270</v>
      </c>
      <c r="AL572" s="220">
        <f t="shared" si="1819"/>
        <v>446.79999999999995</v>
      </c>
      <c r="AM572" s="220">
        <f t="shared" si="1820"/>
        <v>0</v>
      </c>
      <c r="AN572" s="221">
        <f t="shared" si="1821"/>
        <v>446.79999999999995</v>
      </c>
      <c r="AO572" s="220">
        <f t="shared" si="1822"/>
        <v>0</v>
      </c>
      <c r="AP572" s="220">
        <f t="shared" si="1823"/>
        <v>0</v>
      </c>
      <c r="AQ572" s="220">
        <f t="shared" si="1824"/>
        <v>60</v>
      </c>
      <c r="AR572" s="220">
        <f t="shared" si="1825"/>
        <v>0</v>
      </c>
      <c r="AS572" s="220">
        <f t="shared" si="1826"/>
        <v>0</v>
      </c>
      <c r="AT572" s="216">
        <f t="shared" si="1827"/>
        <v>506.79999999999995</v>
      </c>
      <c r="AU572" s="222">
        <f t="shared" si="1792"/>
        <v>176.79999999999995</v>
      </c>
      <c r="AV572" s="220"/>
      <c r="AW572" s="220">
        <f t="shared" si="1856"/>
        <v>176.79999999999995</v>
      </c>
      <c r="AX572" s="216">
        <f t="shared" si="1811"/>
        <v>0</v>
      </c>
      <c r="AY572" s="220">
        <f t="shared" si="1866"/>
        <v>0</v>
      </c>
      <c r="AZ572" s="220">
        <f t="shared" si="1867"/>
        <v>0</v>
      </c>
      <c r="BA572" s="220">
        <f t="shared" si="1868"/>
        <v>60</v>
      </c>
      <c r="BB572" s="220">
        <f t="shared" si="1869"/>
        <v>0</v>
      </c>
      <c r="BC572" s="220">
        <f t="shared" si="1870"/>
        <v>0</v>
      </c>
      <c r="BD572" s="216">
        <f t="shared" si="1778"/>
        <v>60</v>
      </c>
      <c r="BE572" s="220">
        <f t="shared" si="1857"/>
        <v>0</v>
      </c>
      <c r="BF572" s="220">
        <f t="shared" si="1858"/>
        <v>0</v>
      </c>
      <c r="BG572" s="220">
        <f t="shared" si="1859"/>
        <v>0</v>
      </c>
      <c r="BH572" s="220">
        <f t="shared" si="1860"/>
        <v>0</v>
      </c>
      <c r="BI572" s="220">
        <f t="shared" si="1861"/>
        <v>0</v>
      </c>
      <c r="BJ572" s="220" t="s">
        <v>3159</v>
      </c>
      <c r="BK572" s="220"/>
      <c r="BL572" s="223">
        <f t="shared" si="1784"/>
        <v>176.79999999999995</v>
      </c>
      <c r="BM572" s="220">
        <v>3</v>
      </c>
      <c r="BN572" s="220"/>
      <c r="BO572" s="220">
        <f t="shared" si="1845"/>
        <v>3</v>
      </c>
      <c r="BP572" s="220">
        <f>IF(AND(BL572&gt;0,BL572&lt;tiet!$D$1),BL572,IF(BL572&lt;=0,0,IF(BL572&gt;tiet!$C$1,tiet!$C$1)))</f>
        <v>176.79999999999995</v>
      </c>
      <c r="BQ572" s="87">
        <f t="shared" si="1799"/>
        <v>60000</v>
      </c>
      <c r="BR572" s="224">
        <f t="shared" si="1800"/>
        <v>10608000</v>
      </c>
      <c r="BS572" s="220">
        <f t="shared" si="1686"/>
        <v>0</v>
      </c>
      <c r="BT572" s="224">
        <f>VLOOKUP(N572,ma_dinhmuc!$A$1:$J$31,10,0)</f>
        <v>51000</v>
      </c>
      <c r="BU572" s="224">
        <f>ROUND(IF(BS572&gt;0,VLOOKUP(N572,ma_dinhmuc!$A$1:$J$31,10,0)*BS572,0),0)</f>
        <v>0</v>
      </c>
      <c r="BV572" s="224">
        <f t="shared" si="1801"/>
        <v>10608000</v>
      </c>
      <c r="BW572" s="224"/>
      <c r="BX572" s="224">
        <v>0</v>
      </c>
      <c r="BY572" s="224"/>
      <c r="BZ572" s="224"/>
      <c r="CA572" s="224"/>
      <c r="CB572" s="224"/>
      <c r="CC572" s="225">
        <f t="shared" si="1781"/>
        <v>10608000</v>
      </c>
      <c r="CD572" s="224">
        <f t="shared" si="1782"/>
        <v>0</v>
      </c>
      <c r="CE572" s="224"/>
      <c r="CF572" s="226"/>
      <c r="CG572" s="87"/>
      <c r="CH572" s="87">
        <f t="shared" si="1854"/>
        <v>25</v>
      </c>
      <c r="CI572" s="227" t="str">
        <f t="shared" si="1847"/>
        <v>Đào Thị Hoàng</v>
      </c>
      <c r="CJ572" s="227" t="str">
        <f t="shared" si="1848"/>
        <v>Anh</v>
      </c>
      <c r="CK572" s="87">
        <f t="shared" si="1849"/>
        <v>11</v>
      </c>
      <c r="CL572" s="227" t="str">
        <f t="shared" si="1850"/>
        <v>Tài chính</v>
      </c>
      <c r="CM572" s="87" t="str">
        <f t="shared" si="1862"/>
        <v>CS2</v>
      </c>
      <c r="CN572" s="87">
        <f t="shared" ref="CN572:CO575" si="1872">Q572</f>
        <v>270</v>
      </c>
      <c r="CO572" s="87">
        <f t="shared" si="1872"/>
        <v>100</v>
      </c>
      <c r="CP572" s="229">
        <f t="shared" si="1703"/>
        <v>0</v>
      </c>
      <c r="CQ572" s="229">
        <f t="shared" si="1704"/>
        <v>49.1</v>
      </c>
      <c r="CR572" s="229">
        <f t="shared" si="1705"/>
        <v>19.7</v>
      </c>
      <c r="CS572" s="229">
        <f t="shared" si="1706"/>
        <v>95.8</v>
      </c>
      <c r="CT572" s="229">
        <f t="shared" si="1707"/>
        <v>0</v>
      </c>
      <c r="CU572" s="229">
        <f t="shared" si="1708"/>
        <v>282.2</v>
      </c>
      <c r="CV572" s="229">
        <f t="shared" si="1709"/>
        <v>0</v>
      </c>
      <c r="CW572" s="229">
        <f t="shared" si="1710"/>
        <v>0</v>
      </c>
      <c r="CX572" s="229">
        <f t="shared" si="1711"/>
        <v>0</v>
      </c>
      <c r="CY572" s="229">
        <f t="shared" si="1712"/>
        <v>0</v>
      </c>
      <c r="CZ572" s="229">
        <f t="shared" si="1713"/>
        <v>0</v>
      </c>
      <c r="DA572" s="229">
        <f t="shared" si="1714"/>
        <v>60</v>
      </c>
      <c r="DB572" s="228">
        <f t="shared" si="1834"/>
        <v>506.79999999999995</v>
      </c>
      <c r="DC572" s="229"/>
      <c r="DD572" s="229"/>
      <c r="DE572" s="229"/>
      <c r="DF572" s="229"/>
      <c r="DG572" s="229"/>
      <c r="DH572" s="229"/>
      <c r="DI572" s="229"/>
      <c r="DJ572" s="229"/>
      <c r="DK572" s="229"/>
      <c r="DL572" s="229"/>
      <c r="DM572" s="229"/>
      <c r="DN572" s="229"/>
      <c r="DO572" s="228">
        <f t="shared" si="1835"/>
        <v>0</v>
      </c>
      <c r="DP572" s="228">
        <f t="shared" si="1836"/>
        <v>506.79999999999995</v>
      </c>
      <c r="DQ572" s="229">
        <f t="shared" si="1715"/>
        <v>0</v>
      </c>
      <c r="DR572" s="229">
        <f t="shared" si="1716"/>
        <v>0</v>
      </c>
      <c r="DS572" s="229">
        <f t="shared" si="1717"/>
        <v>0</v>
      </c>
      <c r="DT572" s="229">
        <f t="shared" si="1718"/>
        <v>0</v>
      </c>
      <c r="DU572" s="229">
        <f t="shared" si="1719"/>
        <v>0</v>
      </c>
      <c r="DV572" s="229">
        <f t="shared" si="1720"/>
        <v>0</v>
      </c>
      <c r="DW572" s="229">
        <f t="shared" si="1721"/>
        <v>0</v>
      </c>
      <c r="DX572" s="228">
        <f t="shared" si="1837"/>
        <v>0</v>
      </c>
      <c r="DY572" s="229"/>
      <c r="DZ572" s="229"/>
      <c r="EA572" s="229"/>
      <c r="EB572" s="229"/>
      <c r="EC572" s="229"/>
      <c r="ED572" s="229"/>
      <c r="EE572" s="229"/>
      <c r="EF572" s="228">
        <f t="shared" si="1696"/>
        <v>0</v>
      </c>
      <c r="EG572" s="228">
        <f t="shared" si="1838"/>
        <v>0</v>
      </c>
      <c r="EH572" s="229">
        <f t="shared" si="1697"/>
        <v>90</v>
      </c>
      <c r="EI572" s="229">
        <v>195.42</v>
      </c>
      <c r="EJ572" s="228">
        <f t="shared" si="1846"/>
        <v>285.41999999999996</v>
      </c>
      <c r="EK572" s="229"/>
      <c r="EL572" s="229"/>
      <c r="EM572" s="228">
        <f t="shared" si="1863"/>
        <v>0</v>
      </c>
      <c r="EN572" s="229">
        <f t="shared" si="1765"/>
        <v>90</v>
      </c>
      <c r="EO572" s="229">
        <f t="shared" si="1793"/>
        <v>195.42</v>
      </c>
      <c r="EP572" s="228">
        <f t="shared" si="1864"/>
        <v>285.41999999999996</v>
      </c>
      <c r="EQ572" s="173">
        <f t="shared" si="1687"/>
        <v>0</v>
      </c>
      <c r="ER572" s="189">
        <v>0</v>
      </c>
      <c r="ES572" s="189">
        <v>49.1</v>
      </c>
      <c r="ET572" s="189">
        <v>19.7</v>
      </c>
      <c r="EU572" s="189">
        <v>95.8</v>
      </c>
      <c r="EV572" s="189">
        <v>0</v>
      </c>
      <c r="EW572" s="189">
        <v>282.2</v>
      </c>
      <c r="EX572" s="189">
        <v>0</v>
      </c>
      <c r="EY572" s="189">
        <v>0</v>
      </c>
      <c r="EZ572" s="189">
        <v>0</v>
      </c>
      <c r="FA572" s="189">
        <v>0</v>
      </c>
      <c r="FB572" s="189">
        <v>0</v>
      </c>
      <c r="FC572" s="189">
        <v>60</v>
      </c>
      <c r="FD572" s="189">
        <v>0</v>
      </c>
      <c r="FE572" s="189">
        <v>0</v>
      </c>
      <c r="FF572" s="189">
        <v>0</v>
      </c>
      <c r="FG572" s="189">
        <v>0</v>
      </c>
      <c r="FH572" s="189">
        <v>0</v>
      </c>
      <c r="FI572" s="189">
        <v>0</v>
      </c>
      <c r="FJ572" s="189">
        <v>0</v>
      </c>
      <c r="FK572" s="189">
        <v>506.8</v>
      </c>
      <c r="FL572" s="189">
        <v>392.8</v>
      </c>
      <c r="FN572" s="132">
        <v>90</v>
      </c>
    </row>
    <row r="573" spans="1:170" ht="30" customHeight="1">
      <c r="A573" s="88">
        <f>COUNTIF($H$12:H573,H573)</f>
        <v>26</v>
      </c>
      <c r="B573" s="88" t="s">
        <v>478</v>
      </c>
      <c r="C573" s="88" t="s">
        <v>234</v>
      </c>
      <c r="D573" s="88"/>
      <c r="E573" s="88"/>
      <c r="F573" s="301" t="s">
        <v>1874</v>
      </c>
      <c r="G573" s="89" t="s">
        <v>917</v>
      </c>
      <c r="H573" s="88">
        <v>11</v>
      </c>
      <c r="I573" s="88">
        <v>11</v>
      </c>
      <c r="J573" s="88">
        <v>11</v>
      </c>
      <c r="K573" s="90" t="s">
        <v>1663</v>
      </c>
      <c r="L573" s="90" t="s">
        <v>1663</v>
      </c>
      <c r="M573" s="214"/>
      <c r="N573" s="88" t="s">
        <v>1804</v>
      </c>
      <c r="O573" s="216">
        <f>BO573</f>
        <v>3</v>
      </c>
      <c r="P573" s="88" t="str">
        <f t="shared" si="1785"/>
        <v>B1_3</v>
      </c>
      <c r="Q573" s="88">
        <f t="shared" si="1751"/>
        <v>270</v>
      </c>
      <c r="R573" s="88">
        <f t="shared" si="1752"/>
        <v>100</v>
      </c>
      <c r="S573" s="218" t="s">
        <v>2647</v>
      </c>
      <c r="T573" s="88" t="s">
        <v>3091</v>
      </c>
      <c r="U573" s="88">
        <f>IF(RIGHT(T573,1)="K",(VLOOKUP(T573,ma_miengiam!$A$3:$B$80,2,0)*100)/2,VLOOKUP(T573,ma_miengiam!$A$3:$B$80,2,0)*100)</f>
        <v>20</v>
      </c>
      <c r="V573" s="88">
        <v>6</v>
      </c>
      <c r="W573" s="220">
        <f>IF(AND(T573="NTS",V573&gt;0),(Q573-(Q573*V573)/12)*VLOOKUP(T573,ma_miengiam!$A$3:$B$80,2,0)+(Q573-(Q573*(12-V573))/12),IF(AND(RIGHT(T573,1)="K",V573&gt;0),(VLOOKUP(T573,ma_miengiam!$A$3:$B$80,2,0)/2)*(Q573*V573)/12,IF(RIGHT(T573,1)="K",(VLOOKUP(T573,ma_miengiam!$A$3:$B$80,2,0)*Q573)/2,IF(V573&gt;0,VLOOKUP(T573,ma_miengiam!$A$3:$B$80,2,0)*Q573*V573/12,VLOOKUP(T573,ma_miengiam!$A$3:$B$80,2,0)*Q573))))</f>
        <v>27</v>
      </c>
      <c r="X573" s="220">
        <f>IF(T573="NTS",VLOOKUP(T573,ma_miengiam!$A$3:$B$80,2,0)*R573*V573,IF(AND(T573="NTS",V573=0),0,IF(AND(LEFT(T573,1)="K",V573=0),VLOOKUP(T573,ma_miengiam!$A$3:$B$80,2,0)*R573,IF(LEFT(T573,1)="K",(VLOOKUP(T573,ma_miengiam!$A$3:$B$80,2,0)*R573/12)*V573,IF(AND(LEFT(T573,1)="S",V573&gt;0),(R573/12)*V573,IF(AND(LEFT(T573,1)="S",V573=0),R573,IF(T573="DH",VLOOKUP(T573,ma_miengiam!$A$3:$B$80,2,0)*R573,0)))))))</f>
        <v>0</v>
      </c>
      <c r="Y573" s="220">
        <f>IF(AND(T573="DH",V573&gt;0),(S573*V573/12),IF(AND(T573&lt;&gt;"NTS",V573&gt;0),(Q573*V573/12)-W573,IF(AND(T573="NTS",V573&gt;0),Q573-W573,Q573-W573)))</f>
        <v>108</v>
      </c>
      <c r="Z573" s="220">
        <f>IF(AND(T573="SĐH",V573&gt;0),(R573/12)*V573-X573,IF(AND(T573="DH",V573&gt;0),(R573*V573/12),IF(AND(T573&lt;&gt;"NTS",V573&gt;0),(R573*V573/12)-X573,IF(AND(T573="NTS",V573&gt;0),R573-X573,R573-X573))))</f>
        <v>50</v>
      </c>
      <c r="AA573" s="220">
        <f>Q573</f>
        <v>270</v>
      </c>
      <c r="AB573" s="220">
        <f>R573</f>
        <v>100</v>
      </c>
      <c r="AC573" s="220">
        <f t="shared" ref="AC573:AF575" si="1873">W573</f>
        <v>27</v>
      </c>
      <c r="AD573" s="220">
        <f t="shared" si="1873"/>
        <v>0</v>
      </c>
      <c r="AE573" s="220">
        <f t="shared" si="1873"/>
        <v>108</v>
      </c>
      <c r="AF573" s="220">
        <f t="shared" si="1873"/>
        <v>50</v>
      </c>
      <c r="AG573" s="220">
        <f>AH573+AI573</f>
        <v>135.42000000000002</v>
      </c>
      <c r="AH573" s="220">
        <f>EO573</f>
        <v>55.42</v>
      </c>
      <c r="AI573" s="220">
        <f>EN573</f>
        <v>80</v>
      </c>
      <c r="AJ573" s="220">
        <f t="shared" si="1780"/>
        <v>0</v>
      </c>
      <c r="AK573" s="216">
        <f t="shared" si="1812"/>
        <v>108</v>
      </c>
      <c r="AL573" s="220">
        <f t="shared" si="1819"/>
        <v>127.5</v>
      </c>
      <c r="AM573" s="220">
        <f t="shared" si="1820"/>
        <v>0</v>
      </c>
      <c r="AN573" s="221">
        <f t="shared" si="1821"/>
        <v>127.5</v>
      </c>
      <c r="AO573" s="220">
        <f t="shared" si="1822"/>
        <v>0</v>
      </c>
      <c r="AP573" s="220">
        <f t="shared" si="1823"/>
        <v>0</v>
      </c>
      <c r="AQ573" s="220">
        <f t="shared" si="1824"/>
        <v>60</v>
      </c>
      <c r="AR573" s="220">
        <f t="shared" si="1825"/>
        <v>0</v>
      </c>
      <c r="AS573" s="220">
        <f t="shared" si="1826"/>
        <v>0</v>
      </c>
      <c r="AT573" s="216">
        <f t="shared" si="1827"/>
        <v>187.5</v>
      </c>
      <c r="AU573" s="222">
        <f>AN573-AK573</f>
        <v>19.5</v>
      </c>
      <c r="AV573" s="220"/>
      <c r="AW573" s="220">
        <f>IF(AU573&gt;0,AU573,AV573+AU573)</f>
        <v>19.5</v>
      </c>
      <c r="AX573" s="216">
        <f t="shared" si="1811"/>
        <v>0</v>
      </c>
      <c r="AY573" s="220">
        <f>IF(AN573&gt;=AK573,AO573,IF(AN573+AO573-AK573&gt;=0,AN573+AO573-AK573,0))</f>
        <v>0</v>
      </c>
      <c r="AZ573" s="220">
        <f>IF(OR(AN573&gt;=AK573,AN573+AO573&gt;=AK573),AP573,IF(AN573+AO573+AP573&gt;AK573,AN573+AO573+AP573-AK573,0))</f>
        <v>0</v>
      </c>
      <c r="BA573" s="220">
        <f>IF(OR(AN573&gt;=AK573,AN573+AO573&gt;=AK573,AN573+AO573+AP573&gt;=AK573),AQ573,IF(AN573+AO573+AP573+AQ573&gt;=AK573,AN573+AO573+AP573+AQ573-AK573,0))</f>
        <v>60</v>
      </c>
      <c r="BB573" s="220">
        <f>IF(OR(AN573&gt;=AK573,AN573+AO573&gt;=AK573,AN573+AO573+AP573&gt;=AK573,AN573+AO573+AP573+AQ573&gt;=AK573),AR573,IF(AN573+AO573+AP573+AQ573+AR573&gt;=AK573,AN573+AO573+AP573+AQ573+AR573-AK573,0))</f>
        <v>0</v>
      </c>
      <c r="BC573" s="220">
        <f>IF(OR(AN573&gt;=AK573,AN573+AO573&gt;=AK573,AN573+AO573+AP573&gt;=AK573,AN573+AO573+AP573+AQ573&gt;=AK573,AN573+AO573+AP573+AQ573+AR573&gt;=AK573),AS573,IF(AN573+AO573+AP573+AQ573+AR573+AS573&gt;=AK573,AN573+AO573+AP573+AQ573+AR573+AS573-AK573,0))</f>
        <v>0</v>
      </c>
      <c r="BD573" s="216">
        <f t="shared" si="1778"/>
        <v>60</v>
      </c>
      <c r="BE573" s="220">
        <f>AY573-AO573</f>
        <v>0</v>
      </c>
      <c r="BF573" s="220">
        <f>AZ573-AP573</f>
        <v>0</v>
      </c>
      <c r="BG573" s="220">
        <f>BA573-AQ573</f>
        <v>0</v>
      </c>
      <c r="BH573" s="220">
        <f>BB573-AR573</f>
        <v>0</v>
      </c>
      <c r="BI573" s="220">
        <f>BC573-AS573</f>
        <v>0</v>
      </c>
      <c r="BJ573" s="220" t="s">
        <v>3159</v>
      </c>
      <c r="BK573" s="220"/>
      <c r="BL573" s="223">
        <f t="shared" si="1784"/>
        <v>19.5</v>
      </c>
      <c r="BM573" s="220">
        <v>3</v>
      </c>
      <c r="BN573" s="220"/>
      <c r="BO573" s="220">
        <f>ROUND(BM573+(BM573*BN573),2)</f>
        <v>3</v>
      </c>
      <c r="BP573" s="220">
        <f>IF(AND(BL573&gt;0,BL573&lt;tiet!$D$1),BL573,IF(BL573&lt;=0,0,IF(BL573&gt;tiet!$C$1,tiet!$C$1)))</f>
        <v>19.5</v>
      </c>
      <c r="BQ573" s="87">
        <f t="shared" si="1799"/>
        <v>60000</v>
      </c>
      <c r="BR573" s="224">
        <f t="shared" si="1800"/>
        <v>1170000</v>
      </c>
      <c r="BS573" s="220">
        <f t="shared" si="1686"/>
        <v>0</v>
      </c>
      <c r="BT573" s="224">
        <f>VLOOKUP(N573,ma_dinhmuc!$A$1:$J$31,10,0)</f>
        <v>51000</v>
      </c>
      <c r="BU573" s="224">
        <f>ROUND(IF(BS573&gt;0,VLOOKUP(N573,ma_dinhmuc!$A$1:$J$31,10,0)*BS573,0),0)</f>
        <v>0</v>
      </c>
      <c r="BV573" s="224">
        <f t="shared" si="1801"/>
        <v>1170000</v>
      </c>
      <c r="BW573" s="224"/>
      <c r="BX573" s="224">
        <v>0</v>
      </c>
      <c r="BY573" s="224"/>
      <c r="BZ573" s="224"/>
      <c r="CA573" s="224"/>
      <c r="CB573" s="224"/>
      <c r="CC573" s="225">
        <f t="shared" si="1781"/>
        <v>1170000</v>
      </c>
      <c r="CD573" s="224">
        <f t="shared" si="1782"/>
        <v>0</v>
      </c>
      <c r="CE573" s="224"/>
      <c r="CF573" s="226"/>
      <c r="CG573" s="87"/>
      <c r="CH573" s="87">
        <f>A573</f>
        <v>26</v>
      </c>
      <c r="CI573" s="227" t="str">
        <f t="shared" si="1847"/>
        <v>Đặng Thị Hải</v>
      </c>
      <c r="CJ573" s="227" t="str">
        <f t="shared" si="1848"/>
        <v>Yến</v>
      </c>
      <c r="CK573" s="87">
        <f t="shared" si="1849"/>
        <v>11</v>
      </c>
      <c r="CL573" s="227" t="str">
        <f>L573</f>
        <v>Tài chính</v>
      </c>
      <c r="CM573" s="87" t="str">
        <f>N573</f>
        <v>CS2</v>
      </c>
      <c r="CN573" s="87">
        <f t="shared" si="1872"/>
        <v>270</v>
      </c>
      <c r="CO573" s="87">
        <f t="shared" si="1872"/>
        <v>100</v>
      </c>
      <c r="CP573" s="229">
        <f t="shared" si="1703"/>
        <v>0</v>
      </c>
      <c r="CQ573" s="229">
        <f t="shared" si="1704"/>
        <v>17.600000000000001</v>
      </c>
      <c r="CR573" s="229">
        <f t="shared" si="1705"/>
        <v>7</v>
      </c>
      <c r="CS573" s="229">
        <f t="shared" si="1706"/>
        <v>0</v>
      </c>
      <c r="CT573" s="229">
        <f t="shared" si="1707"/>
        <v>0</v>
      </c>
      <c r="CU573" s="229">
        <f t="shared" si="1708"/>
        <v>102.9</v>
      </c>
      <c r="CV573" s="229">
        <f t="shared" si="1709"/>
        <v>0</v>
      </c>
      <c r="CW573" s="229">
        <f t="shared" si="1710"/>
        <v>0</v>
      </c>
      <c r="CX573" s="229">
        <f t="shared" si="1711"/>
        <v>0</v>
      </c>
      <c r="CY573" s="229">
        <f t="shared" si="1712"/>
        <v>0</v>
      </c>
      <c r="CZ573" s="229">
        <f t="shared" si="1713"/>
        <v>0</v>
      </c>
      <c r="DA573" s="229">
        <f t="shared" si="1714"/>
        <v>60</v>
      </c>
      <c r="DB573" s="228">
        <f t="shared" si="1834"/>
        <v>187.5</v>
      </c>
      <c r="DC573" s="229"/>
      <c r="DD573" s="229"/>
      <c r="DE573" s="229"/>
      <c r="DF573" s="229"/>
      <c r="DG573" s="229"/>
      <c r="DH573" s="229"/>
      <c r="DI573" s="229"/>
      <c r="DJ573" s="229"/>
      <c r="DK573" s="229"/>
      <c r="DL573" s="229"/>
      <c r="DM573" s="229"/>
      <c r="DN573" s="229"/>
      <c r="DO573" s="228">
        <f t="shared" si="1835"/>
        <v>0</v>
      </c>
      <c r="DP573" s="228">
        <f t="shared" si="1836"/>
        <v>187.5</v>
      </c>
      <c r="DQ573" s="229">
        <f t="shared" si="1715"/>
        <v>0</v>
      </c>
      <c r="DR573" s="229">
        <f t="shared" si="1716"/>
        <v>0</v>
      </c>
      <c r="DS573" s="229">
        <f t="shared" si="1717"/>
        <v>0</v>
      </c>
      <c r="DT573" s="229">
        <f t="shared" si="1718"/>
        <v>0</v>
      </c>
      <c r="DU573" s="229">
        <f t="shared" si="1719"/>
        <v>0</v>
      </c>
      <c r="DV573" s="229">
        <f t="shared" si="1720"/>
        <v>0</v>
      </c>
      <c r="DW573" s="229">
        <f t="shared" si="1721"/>
        <v>0</v>
      </c>
      <c r="DX573" s="228">
        <f t="shared" si="1837"/>
        <v>0</v>
      </c>
      <c r="DY573" s="229"/>
      <c r="DZ573" s="229"/>
      <c r="EA573" s="229"/>
      <c r="EB573" s="229"/>
      <c r="EC573" s="229"/>
      <c r="ED573" s="229"/>
      <c r="EE573" s="229"/>
      <c r="EF573" s="228">
        <f t="shared" si="1696"/>
        <v>0</v>
      </c>
      <c r="EG573" s="228">
        <f t="shared" si="1838"/>
        <v>0</v>
      </c>
      <c r="EH573" s="229">
        <f t="shared" si="1697"/>
        <v>80</v>
      </c>
      <c r="EI573" s="229">
        <v>55.42</v>
      </c>
      <c r="EJ573" s="228">
        <f t="shared" si="1846"/>
        <v>135.42000000000002</v>
      </c>
      <c r="EK573" s="229"/>
      <c r="EL573" s="229"/>
      <c r="EM573" s="228">
        <f>SUM(EK573:EL573)</f>
        <v>0</v>
      </c>
      <c r="EN573" s="229">
        <f>EK573+EH573+EL573</f>
        <v>80</v>
      </c>
      <c r="EO573" s="229">
        <f>EI573</f>
        <v>55.42</v>
      </c>
      <c r="EP573" s="228">
        <f>EM573+EJ573</f>
        <v>135.42000000000002</v>
      </c>
      <c r="EQ573" s="173">
        <f t="shared" si="1687"/>
        <v>30</v>
      </c>
      <c r="ER573" s="189">
        <v>0</v>
      </c>
      <c r="ES573" s="189">
        <v>17.600000000000001</v>
      </c>
      <c r="ET573" s="189">
        <v>7</v>
      </c>
      <c r="EU573" s="189">
        <v>0</v>
      </c>
      <c r="EV573" s="189">
        <v>0</v>
      </c>
      <c r="EW573" s="189">
        <v>102.9</v>
      </c>
      <c r="EX573" s="189">
        <v>0</v>
      </c>
      <c r="EY573" s="189">
        <v>0</v>
      </c>
      <c r="EZ573" s="189">
        <v>0</v>
      </c>
      <c r="FA573" s="189">
        <v>0</v>
      </c>
      <c r="FB573" s="189">
        <v>0</v>
      </c>
      <c r="FC573" s="189">
        <v>60</v>
      </c>
      <c r="FD573" s="189">
        <v>0</v>
      </c>
      <c r="FE573" s="189">
        <v>0</v>
      </c>
      <c r="FF573" s="189">
        <v>0</v>
      </c>
      <c r="FG573" s="189">
        <v>0</v>
      </c>
      <c r="FH573" s="189">
        <v>0</v>
      </c>
      <c r="FI573" s="189">
        <v>0</v>
      </c>
      <c r="FJ573" s="189">
        <v>0</v>
      </c>
      <c r="FK573" s="189">
        <v>187.5</v>
      </c>
      <c r="FL573" s="189">
        <v>154</v>
      </c>
      <c r="FN573" s="132">
        <v>80</v>
      </c>
    </row>
    <row r="574" spans="1:170" ht="27" customHeight="1">
      <c r="A574" s="88">
        <f>COUNTIF($H$12:H574,H574)</f>
        <v>27</v>
      </c>
      <c r="B574" s="88" t="s">
        <v>479</v>
      </c>
      <c r="C574" s="88" t="s">
        <v>235</v>
      </c>
      <c r="D574" s="88"/>
      <c r="E574" s="88"/>
      <c r="F574" s="301" t="s">
        <v>1875</v>
      </c>
      <c r="G574" s="303" t="s">
        <v>1651</v>
      </c>
      <c r="H574" s="88">
        <v>11</v>
      </c>
      <c r="I574" s="88">
        <v>11</v>
      </c>
      <c r="J574" s="88">
        <v>11</v>
      </c>
      <c r="K574" s="90" t="s">
        <v>1663</v>
      </c>
      <c r="L574" s="90" t="s">
        <v>1663</v>
      </c>
      <c r="M574" s="214"/>
      <c r="N574" s="88" t="s">
        <v>1804</v>
      </c>
      <c r="O574" s="216">
        <f t="shared" si="1865"/>
        <v>3</v>
      </c>
      <c r="P574" s="88" t="str">
        <f t="shared" si="1785"/>
        <v>B1_3</v>
      </c>
      <c r="Q574" s="88">
        <f t="shared" si="1751"/>
        <v>270</v>
      </c>
      <c r="R574" s="88">
        <f t="shared" si="1752"/>
        <v>100</v>
      </c>
      <c r="S574" s="218"/>
      <c r="T574" s="88" t="s">
        <v>3088</v>
      </c>
      <c r="U574" s="88">
        <f>IF(RIGHT(T574,1)="K",(VLOOKUP(T574,ma_miengiam!$A$3:$B$80,2,0)*100)/2,VLOOKUP(T574,ma_miengiam!$A$3:$B$80,2,0)*100)</f>
        <v>0</v>
      </c>
      <c r="V574" s="88"/>
      <c r="W574" s="220">
        <f>IF(AND(T574="NTS",V574&gt;0),(Q574-(Q574*V574)/12)*VLOOKUP(T574,ma_miengiam!$A$3:$B$80,2,0)+(Q574-(Q574*(12-V574))/12),IF(AND(RIGHT(T574,1)="K",V574&gt;0),(VLOOKUP(T574,ma_miengiam!$A$3:$B$80,2,0)/2)*(Q574*V574)/12,IF(RIGHT(T574,1)="K",(VLOOKUP(T574,ma_miengiam!$A$3:$B$80,2,0)*Q574)/2,IF(V574&gt;0,VLOOKUP(T574,ma_miengiam!$A$3:$B$80,2,0)*Q574*V574/12,VLOOKUP(T574,ma_miengiam!$A$3:$B$80,2,0)*Q574))))</f>
        <v>0</v>
      </c>
      <c r="X574" s="220">
        <f>IF(T574="NTS",VLOOKUP(T574,ma_miengiam!$A$3:$B$80,2,0)*R574*V574,IF(AND(T574="NTS",V574=0),0,IF(AND(LEFT(T574,1)="K",V574=0),VLOOKUP(T574,ma_miengiam!$A$3:$B$80,2,0)*R574,IF(LEFT(T574,1)="K",(VLOOKUP(T574,ma_miengiam!$A$3:$B$80,2,0)*R574/12)*V574,IF(AND(LEFT(T574,1)="S",V574&gt;0),(R574/12)*V574,IF(AND(LEFT(T574,1)="S",V574=0),R574,IF(T574="DH",VLOOKUP(T574,ma_miengiam!$A$3:$B$80,2,0)*R574,0)))))))</f>
        <v>0</v>
      </c>
      <c r="Y574" s="220">
        <f t="shared" si="1745"/>
        <v>270</v>
      </c>
      <c r="Z574" s="220">
        <f t="shared" ref="Z574:Z580" si="1874">IF(AND(T574="SĐH",V574&gt;0),(R574/12)*V574-X574,IF(AND(T574="DH",V574&gt;0),(R574*V574/12),IF(AND(T574&lt;&gt;"NTS",V574&gt;0),(R574*V574/12)-X574,IF(AND(T574="NTS",V574&gt;0),R574-X574,R574-X574))))</f>
        <v>100</v>
      </c>
      <c r="AA574" s="220">
        <f t="shared" si="1851"/>
        <v>270</v>
      </c>
      <c r="AB574" s="220">
        <f t="shared" si="1852"/>
        <v>100</v>
      </c>
      <c r="AC574" s="220">
        <f t="shared" si="1873"/>
        <v>0</v>
      </c>
      <c r="AD574" s="220">
        <f t="shared" si="1873"/>
        <v>0</v>
      </c>
      <c r="AE574" s="220">
        <f t="shared" si="1873"/>
        <v>270</v>
      </c>
      <c r="AF574" s="220">
        <f t="shared" si="1873"/>
        <v>100</v>
      </c>
      <c r="AG574" s="220">
        <f t="shared" ref="AG574:AG580" si="1875">AH574+AI574</f>
        <v>216.67</v>
      </c>
      <c r="AH574" s="220">
        <f t="shared" ref="AH574:AH580" si="1876">EO574</f>
        <v>156.66999999999999</v>
      </c>
      <c r="AI574" s="220">
        <f t="shared" ref="AI574:AI580" si="1877">EN574</f>
        <v>60</v>
      </c>
      <c r="AJ574" s="220">
        <f t="shared" si="1780"/>
        <v>0</v>
      </c>
      <c r="AK574" s="216">
        <f t="shared" si="1812"/>
        <v>270</v>
      </c>
      <c r="AL574" s="220">
        <f t="shared" si="1819"/>
        <v>464.90000000000003</v>
      </c>
      <c r="AM574" s="220">
        <f t="shared" si="1820"/>
        <v>0</v>
      </c>
      <c r="AN574" s="221">
        <f t="shared" si="1821"/>
        <v>464.90000000000003</v>
      </c>
      <c r="AO574" s="220">
        <f t="shared" si="1822"/>
        <v>0</v>
      </c>
      <c r="AP574" s="220">
        <f t="shared" si="1823"/>
        <v>0</v>
      </c>
      <c r="AQ574" s="220">
        <f t="shared" si="1824"/>
        <v>80</v>
      </c>
      <c r="AR574" s="220">
        <f t="shared" si="1825"/>
        <v>0</v>
      </c>
      <c r="AS574" s="220">
        <f t="shared" si="1826"/>
        <v>0</v>
      </c>
      <c r="AT574" s="216">
        <f t="shared" si="1827"/>
        <v>544.90000000000009</v>
      </c>
      <c r="AU574" s="222">
        <f t="shared" si="1792"/>
        <v>194.90000000000003</v>
      </c>
      <c r="AV574" s="220"/>
      <c r="AW574" s="220">
        <f t="shared" si="1856"/>
        <v>194.90000000000003</v>
      </c>
      <c r="AX574" s="216">
        <f t="shared" si="1811"/>
        <v>0</v>
      </c>
      <c r="AY574" s="220">
        <f t="shared" si="1866"/>
        <v>0</v>
      </c>
      <c r="AZ574" s="220">
        <f t="shared" si="1867"/>
        <v>0</v>
      </c>
      <c r="BA574" s="220">
        <f t="shared" si="1868"/>
        <v>80</v>
      </c>
      <c r="BB574" s="220">
        <f t="shared" si="1869"/>
        <v>0</v>
      </c>
      <c r="BC574" s="220">
        <f t="shared" si="1870"/>
        <v>0</v>
      </c>
      <c r="BD574" s="216">
        <f t="shared" si="1778"/>
        <v>80</v>
      </c>
      <c r="BE574" s="220">
        <f t="shared" si="1857"/>
        <v>0</v>
      </c>
      <c r="BF574" s="220">
        <f t="shared" si="1858"/>
        <v>0</v>
      </c>
      <c r="BG574" s="220">
        <f t="shared" si="1859"/>
        <v>0</v>
      </c>
      <c r="BH574" s="220">
        <f t="shared" si="1860"/>
        <v>0</v>
      </c>
      <c r="BI574" s="220">
        <f t="shared" si="1861"/>
        <v>0</v>
      </c>
      <c r="BJ574" s="220" t="s">
        <v>3159</v>
      </c>
      <c r="BK574" s="220"/>
      <c r="BL574" s="223">
        <f t="shared" si="1784"/>
        <v>194.90000000000003</v>
      </c>
      <c r="BM574" s="220">
        <v>3</v>
      </c>
      <c r="BN574" s="220"/>
      <c r="BO574" s="220">
        <f t="shared" ref="BO574:BO580" si="1878">ROUND(BM574+(BM574*BN574),2)</f>
        <v>3</v>
      </c>
      <c r="BP574" s="220">
        <f>IF(AND(BL574&gt;0,BL574&lt;tiet!$D$1),BL574,IF(BL574&lt;=0,0,IF(BL574&gt;tiet!$C$1,tiet!$C$1)))</f>
        <v>194.90000000000003</v>
      </c>
      <c r="BQ574" s="87">
        <f t="shared" si="1799"/>
        <v>60000</v>
      </c>
      <c r="BR574" s="224">
        <f t="shared" si="1800"/>
        <v>11694000</v>
      </c>
      <c r="BS574" s="220">
        <f t="shared" si="1686"/>
        <v>0</v>
      </c>
      <c r="BT574" s="224">
        <f>VLOOKUP(N574,ma_dinhmuc!$A$1:$J$31,10,0)</f>
        <v>51000</v>
      </c>
      <c r="BU574" s="224">
        <f>ROUND(IF(BS574&gt;0,VLOOKUP(N574,ma_dinhmuc!$A$1:$J$31,10,0)*BS574,0),0)</f>
        <v>0</v>
      </c>
      <c r="BV574" s="224">
        <f t="shared" si="1801"/>
        <v>11694000</v>
      </c>
      <c r="BW574" s="224"/>
      <c r="BX574" s="224">
        <v>0</v>
      </c>
      <c r="BY574" s="224"/>
      <c r="BZ574" s="224"/>
      <c r="CA574" s="224"/>
      <c r="CB574" s="224"/>
      <c r="CC574" s="225">
        <f t="shared" si="1781"/>
        <v>11694000</v>
      </c>
      <c r="CD574" s="224">
        <f t="shared" si="1782"/>
        <v>0</v>
      </c>
      <c r="CE574" s="224"/>
      <c r="CF574" s="226"/>
      <c r="CG574" s="87"/>
      <c r="CH574" s="87">
        <f t="shared" si="1854"/>
        <v>27</v>
      </c>
      <c r="CI574" s="227" t="str">
        <f t="shared" si="1847"/>
        <v>Bùi Thị Hồng</v>
      </c>
      <c r="CJ574" s="227" t="str">
        <f t="shared" si="1848"/>
        <v>Nhung</v>
      </c>
      <c r="CK574" s="87">
        <f t="shared" si="1849"/>
        <v>11</v>
      </c>
      <c r="CL574" s="227" t="str">
        <f t="shared" ref="CL574:CL585" si="1879">L574</f>
        <v>Tài chính</v>
      </c>
      <c r="CM574" s="87" t="str">
        <f t="shared" si="1862"/>
        <v>CS2</v>
      </c>
      <c r="CN574" s="87">
        <f t="shared" si="1872"/>
        <v>270</v>
      </c>
      <c r="CO574" s="87">
        <f t="shared" si="1872"/>
        <v>100</v>
      </c>
      <c r="CP574" s="229">
        <f t="shared" si="1703"/>
        <v>0</v>
      </c>
      <c r="CQ574" s="229">
        <f t="shared" si="1704"/>
        <v>56.2</v>
      </c>
      <c r="CR574" s="229">
        <f t="shared" si="1705"/>
        <v>22.6</v>
      </c>
      <c r="CS574" s="229">
        <f t="shared" si="1706"/>
        <v>0</v>
      </c>
      <c r="CT574" s="229">
        <f t="shared" si="1707"/>
        <v>0</v>
      </c>
      <c r="CU574" s="229">
        <f t="shared" si="1708"/>
        <v>386.1</v>
      </c>
      <c r="CV574" s="229">
        <f t="shared" si="1709"/>
        <v>0</v>
      </c>
      <c r="CW574" s="229">
        <f t="shared" si="1710"/>
        <v>0</v>
      </c>
      <c r="CX574" s="229">
        <f t="shared" si="1711"/>
        <v>0</v>
      </c>
      <c r="CY574" s="229">
        <f t="shared" si="1712"/>
        <v>0</v>
      </c>
      <c r="CZ574" s="229">
        <f t="shared" si="1713"/>
        <v>0</v>
      </c>
      <c r="DA574" s="229">
        <f t="shared" si="1714"/>
        <v>80</v>
      </c>
      <c r="DB574" s="228">
        <f t="shared" si="1834"/>
        <v>544.90000000000009</v>
      </c>
      <c r="DC574" s="229"/>
      <c r="DD574" s="229"/>
      <c r="DE574" s="229"/>
      <c r="DF574" s="229"/>
      <c r="DG574" s="229"/>
      <c r="DH574" s="229"/>
      <c r="DI574" s="229"/>
      <c r="DJ574" s="229"/>
      <c r="DK574" s="229"/>
      <c r="DL574" s="229"/>
      <c r="DM574" s="229"/>
      <c r="DN574" s="229"/>
      <c r="DO574" s="228">
        <f t="shared" si="1835"/>
        <v>0</v>
      </c>
      <c r="DP574" s="228">
        <f t="shared" si="1836"/>
        <v>544.90000000000009</v>
      </c>
      <c r="DQ574" s="229">
        <f t="shared" si="1715"/>
        <v>0</v>
      </c>
      <c r="DR574" s="229">
        <f t="shared" si="1716"/>
        <v>0</v>
      </c>
      <c r="DS574" s="229">
        <f t="shared" si="1717"/>
        <v>0</v>
      </c>
      <c r="DT574" s="229">
        <f t="shared" si="1718"/>
        <v>0</v>
      </c>
      <c r="DU574" s="229">
        <f t="shared" si="1719"/>
        <v>0</v>
      </c>
      <c r="DV574" s="229">
        <f t="shared" si="1720"/>
        <v>0</v>
      </c>
      <c r="DW574" s="229">
        <f t="shared" si="1721"/>
        <v>0</v>
      </c>
      <c r="DX574" s="228">
        <f t="shared" si="1837"/>
        <v>0</v>
      </c>
      <c r="DY574" s="229"/>
      <c r="DZ574" s="229"/>
      <c r="EA574" s="229"/>
      <c r="EB574" s="229"/>
      <c r="EC574" s="229"/>
      <c r="ED574" s="229"/>
      <c r="EE574" s="229"/>
      <c r="EF574" s="228">
        <f t="shared" si="1696"/>
        <v>0</v>
      </c>
      <c r="EG574" s="228">
        <f t="shared" si="1838"/>
        <v>0</v>
      </c>
      <c r="EH574" s="229">
        <f t="shared" si="1697"/>
        <v>60</v>
      </c>
      <c r="EI574" s="229">
        <v>156.66999999999999</v>
      </c>
      <c r="EJ574" s="228">
        <f t="shared" ref="EJ574:EJ580" si="1880">SUM(EH574:EI574)</f>
        <v>216.67</v>
      </c>
      <c r="EK574" s="229"/>
      <c r="EL574" s="229"/>
      <c r="EM574" s="228">
        <f t="shared" si="1863"/>
        <v>0</v>
      </c>
      <c r="EN574" s="229">
        <f t="shared" si="1765"/>
        <v>60</v>
      </c>
      <c r="EO574" s="229">
        <f t="shared" si="1793"/>
        <v>156.66999999999999</v>
      </c>
      <c r="EP574" s="228">
        <f t="shared" si="1864"/>
        <v>216.67</v>
      </c>
      <c r="EQ574" s="173">
        <f t="shared" si="1687"/>
        <v>0</v>
      </c>
      <c r="ER574" s="189">
        <v>0</v>
      </c>
      <c r="ES574" s="189">
        <v>56.2</v>
      </c>
      <c r="ET574" s="189">
        <v>22.6</v>
      </c>
      <c r="EU574" s="189">
        <v>0</v>
      </c>
      <c r="EV574" s="189">
        <v>0</v>
      </c>
      <c r="EW574" s="189">
        <v>386.1</v>
      </c>
      <c r="EX574" s="189">
        <v>0</v>
      </c>
      <c r="EY574" s="189">
        <v>0</v>
      </c>
      <c r="EZ574" s="189">
        <v>0</v>
      </c>
      <c r="FA574" s="189">
        <v>0</v>
      </c>
      <c r="FB574" s="189">
        <v>0</v>
      </c>
      <c r="FC574" s="189">
        <v>80</v>
      </c>
      <c r="FD574" s="189">
        <v>0</v>
      </c>
      <c r="FE574" s="189">
        <v>0</v>
      </c>
      <c r="FF574" s="189">
        <v>0</v>
      </c>
      <c r="FG574" s="189">
        <v>0</v>
      </c>
      <c r="FH574" s="189">
        <v>0</v>
      </c>
      <c r="FI574" s="189">
        <v>0</v>
      </c>
      <c r="FJ574" s="189">
        <v>0</v>
      </c>
      <c r="FK574" s="189">
        <v>544.9</v>
      </c>
      <c r="FL574" s="189">
        <v>394</v>
      </c>
      <c r="FN574" s="132">
        <v>60</v>
      </c>
    </row>
    <row r="575" spans="1:170" ht="30" customHeight="1">
      <c r="A575" s="88">
        <f>COUNTIF($H$12:H575,H575)</f>
        <v>28</v>
      </c>
      <c r="B575" s="88" t="s">
        <v>476</v>
      </c>
      <c r="C575" s="88" t="s">
        <v>236</v>
      </c>
      <c r="D575" s="88"/>
      <c r="E575" s="88"/>
      <c r="F575" s="301" t="s">
        <v>2364</v>
      </c>
      <c r="G575" s="303" t="s">
        <v>1113</v>
      </c>
      <c r="H575" s="88">
        <v>11</v>
      </c>
      <c r="I575" s="88">
        <v>11</v>
      </c>
      <c r="J575" s="88">
        <v>11</v>
      </c>
      <c r="K575" s="90" t="s">
        <v>1663</v>
      </c>
      <c r="L575" s="90" t="s">
        <v>1663</v>
      </c>
      <c r="M575" s="214"/>
      <c r="N575" s="88" t="s">
        <v>1804</v>
      </c>
      <c r="O575" s="216">
        <f>BO575</f>
        <v>3</v>
      </c>
      <c r="P575" s="88" t="str">
        <f t="shared" si="1785"/>
        <v>B1_3</v>
      </c>
      <c r="Q575" s="88">
        <f t="shared" si="1751"/>
        <v>270</v>
      </c>
      <c r="R575" s="88">
        <f t="shared" si="1752"/>
        <v>100</v>
      </c>
      <c r="S575" s="218" t="s">
        <v>2350</v>
      </c>
      <c r="T575" s="88" t="s">
        <v>2961</v>
      </c>
      <c r="U575" s="88">
        <f>IF(RIGHT(T575,1)="K",(VLOOKUP(T575,ma_miengiam!$A$3:$B$80,2,0)*100)/2,VLOOKUP(T575,ma_miengiam!$A$3:$B$80,2,0)*100)</f>
        <v>100</v>
      </c>
      <c r="V575" s="88"/>
      <c r="W575" s="220">
        <f>IF(AND(T575="NTS",V575&gt;0),(Q575-(Q575*V575)/12)*VLOOKUP(T575,ma_miengiam!$A$3:$B$80,2,0)+(Q575-(Q575*(12-V575))/12),IF(AND(RIGHT(T575,1)="K",V575&gt;0),(VLOOKUP(T575,ma_miengiam!$A$3:$B$80,2,0)/2)*(Q575*V575)/12,IF(RIGHT(T575,1)="K",(VLOOKUP(T575,ma_miengiam!$A$3:$B$80,2,0)*Q575)/2,IF(V575&gt;0,VLOOKUP(T575,ma_miengiam!$A$3:$B$80,2,0)*Q575*V575/12,VLOOKUP(T575,ma_miengiam!$A$3:$B$80,2,0)*Q575))))</f>
        <v>270</v>
      </c>
      <c r="X575" s="220">
        <f>IF(T575="NTS",VLOOKUP(T575,ma_miengiam!$A$3:$B$80,2,0)*R575*V575,IF(AND(T575="NTS",V575=0),0,IF(AND(LEFT(T575,1)="K",V575=0),VLOOKUP(T575,ma_miengiam!$A$3:$B$80,2,0)*R575,IF(LEFT(T575,1)="K",(VLOOKUP(T575,ma_miengiam!$A$3:$B$80,2,0)*R575/12)*V575,IF(AND(LEFT(T575,1)="S",V575&gt;0),(R575/12)*V575,IF(AND(LEFT(T575,1)="S",V575=0),R575,IF(T575="DH",VLOOKUP(T575,ma_miengiam!$A$3:$B$80,2,0)*R575,0)))))))</f>
        <v>100</v>
      </c>
      <c r="Y575" s="220">
        <f t="shared" si="1745"/>
        <v>0</v>
      </c>
      <c r="Z575" s="220">
        <f>IF(AND(T575="SĐH",V575&gt;0),(R575/12)*V575-X575,IF(AND(T575="DH",V575&gt;0),(R575*V575/12),IF(AND(T575&lt;&gt;"NTS",V575&gt;0),(R575*V575/12)-X575,IF(AND(T575="NTS",V575&gt;0),R575-X575,R575-X575))))</f>
        <v>0</v>
      </c>
      <c r="AA575" s="220">
        <f t="shared" si="1851"/>
        <v>270</v>
      </c>
      <c r="AB575" s="220">
        <f t="shared" si="1852"/>
        <v>100</v>
      </c>
      <c r="AC575" s="220">
        <f t="shared" si="1873"/>
        <v>270</v>
      </c>
      <c r="AD575" s="220">
        <f t="shared" si="1873"/>
        <v>100</v>
      </c>
      <c r="AE575" s="220">
        <f t="shared" si="1873"/>
        <v>0</v>
      </c>
      <c r="AF575" s="220">
        <f t="shared" si="1873"/>
        <v>0</v>
      </c>
      <c r="AG575" s="220">
        <f>AH575+AI575</f>
        <v>0</v>
      </c>
      <c r="AH575" s="220">
        <f>EO575</f>
        <v>0</v>
      </c>
      <c r="AI575" s="220">
        <f>EN575</f>
        <v>0</v>
      </c>
      <c r="AJ575" s="220">
        <f t="shared" si="1780"/>
        <v>0</v>
      </c>
      <c r="AK575" s="216">
        <f t="shared" si="1812"/>
        <v>0</v>
      </c>
      <c r="AL575" s="220">
        <f t="shared" si="1819"/>
        <v>0</v>
      </c>
      <c r="AM575" s="220">
        <f t="shared" si="1820"/>
        <v>0</v>
      </c>
      <c r="AN575" s="221">
        <f t="shared" si="1821"/>
        <v>0</v>
      </c>
      <c r="AO575" s="220">
        <f t="shared" si="1822"/>
        <v>0</v>
      </c>
      <c r="AP575" s="220">
        <f t="shared" si="1823"/>
        <v>0</v>
      </c>
      <c r="AQ575" s="220">
        <f t="shared" si="1824"/>
        <v>0</v>
      </c>
      <c r="AR575" s="220">
        <f t="shared" si="1825"/>
        <v>0</v>
      </c>
      <c r="AS575" s="220">
        <f t="shared" si="1826"/>
        <v>0</v>
      </c>
      <c r="AT575" s="216">
        <f t="shared" si="1827"/>
        <v>0</v>
      </c>
      <c r="AU575" s="220">
        <f>AN575-AK575</f>
        <v>0</v>
      </c>
      <c r="AV575" s="220"/>
      <c r="AW575" s="220">
        <f>IF(AU575&gt;0,AU575,AV575+AU575)</f>
        <v>0</v>
      </c>
      <c r="AX575" s="216">
        <f t="shared" si="1811"/>
        <v>0</v>
      </c>
      <c r="AY575" s="220">
        <f>IF(AN575&gt;=AK575,AO575,IF(AN575+AO575-AK575&gt;=0,AN575+AO575-AK575,0))</f>
        <v>0</v>
      </c>
      <c r="AZ575" s="220">
        <f>IF(OR(AN575&gt;=AK575,AN575+AO575&gt;=AK575),AP575,IF(AN575+AO575+AP575&gt;AK575,AN575+AO575+AP575-AK575,0))</f>
        <v>0</v>
      </c>
      <c r="BA575" s="220">
        <f>IF(OR(AN575&gt;=AK575,AN575+AO575&gt;=AK575,AN575+AO575+AP575&gt;=AK575),AQ575,IF(AN575+AO575+AP575+AQ575&gt;=AK575,AN575+AO575+AP575+AQ575-AK575,0))</f>
        <v>0</v>
      </c>
      <c r="BB575" s="220">
        <f>IF(OR(AN575&gt;=AK575,AN575+AO575&gt;=AK575,AN575+AO575+AP575&gt;=AK575,AN575+AO575+AP575+AQ575&gt;=AK575),AR575,IF(AN575+AO575+AP575+AQ575+AR575&gt;=AK575,AN575+AO575+AP575+AQ575+AR575-AK575,0))</f>
        <v>0</v>
      </c>
      <c r="BC575" s="220">
        <f>IF(OR(AN575&gt;=AK575,AN575+AO575&gt;=AK575,AN575+AO575+AP575&gt;=AK575,AN575+AO575+AP575+AQ575&gt;=AK575,AN575+AO575+AP575+AQ575+AR575&gt;=AK575),AS575,IF(AN575+AO575+AP575+AQ575+AR575+AS575&gt;=AK575,AN575+AO575+AP575+AQ575+AR575+AS575-AK575,0))</f>
        <v>0</v>
      </c>
      <c r="BD575" s="216">
        <f t="shared" si="1778"/>
        <v>0</v>
      </c>
      <c r="BE575" s="220">
        <f>AY575-AO575</f>
        <v>0</v>
      </c>
      <c r="BF575" s="220">
        <f>AZ575-AP575</f>
        <v>0</v>
      </c>
      <c r="BG575" s="220">
        <f>BA575-AQ575</f>
        <v>0</v>
      </c>
      <c r="BH575" s="220">
        <f>BB575-AR575</f>
        <v>0</v>
      </c>
      <c r="BI575" s="220">
        <f>BC575-AS575</f>
        <v>0</v>
      </c>
      <c r="BJ575" s="220" t="s">
        <v>3159</v>
      </c>
      <c r="BK575" s="220"/>
      <c r="BL575" s="223">
        <f t="shared" si="1784"/>
        <v>0</v>
      </c>
      <c r="BM575" s="220">
        <v>3</v>
      </c>
      <c r="BN575" s="220"/>
      <c r="BO575" s="220">
        <f>ROUND(BM575+(BM575*BN575),2)</f>
        <v>3</v>
      </c>
      <c r="BP575" s="220">
        <f>IF(AND(BL575&gt;0,BL575&lt;tiet!$D$1),BL575,IF(BL575&lt;=0,0,IF(BL575&gt;tiet!$C$1,tiet!$C$1)))</f>
        <v>0</v>
      </c>
      <c r="BQ575" s="87">
        <f t="shared" ref="BQ575:BQ582" si="1881">VLOOKUP(P575,ma_dinhmuc_moi,4,0)</f>
        <v>60000</v>
      </c>
      <c r="BR575" s="224">
        <f t="shared" ref="BR575:BR582" si="1882">ROUND(BQ575*BP575,0)</f>
        <v>0</v>
      </c>
      <c r="BS575" s="220">
        <f t="shared" si="1686"/>
        <v>0</v>
      </c>
      <c r="BT575" s="224">
        <f>VLOOKUP(N575,ma_dinhmuc!$A$1:$J$31,10,0)</f>
        <v>51000</v>
      </c>
      <c r="BU575" s="224">
        <f>ROUND(IF(BS575&gt;0,VLOOKUP(N575,ma_dinhmuc!$A$1:$J$31,10,0)*BS575,0),0)</f>
        <v>0</v>
      </c>
      <c r="BV575" s="224">
        <f t="shared" ref="BV575:BV582" si="1883">ROUND(BU575+BR575,0)</f>
        <v>0</v>
      </c>
      <c r="BW575" s="224"/>
      <c r="BX575" s="224">
        <v>0</v>
      </c>
      <c r="BY575" s="224"/>
      <c r="BZ575" s="224"/>
      <c r="CA575" s="224"/>
      <c r="CB575" s="224"/>
      <c r="CC575" s="225">
        <f>ROUND(IF(BV575+BW575&gt;BX575+BY575+BZ575+CA575+CB575,(BW575+BV575)-(BX575+BY575+BZ575+CA575+CB575+CB575),0),0)</f>
        <v>0</v>
      </c>
      <c r="CD575" s="224">
        <f>ROUND(IF(BV575+BW575&lt;BX575+BY575+BZ575+CA575-CB575,(BX575+BY575+BZ575+CA575-CB575)-(BW575+BV575),0),0)</f>
        <v>0</v>
      </c>
      <c r="CE575" s="224"/>
      <c r="CF575" s="226"/>
      <c r="CG575" s="87"/>
      <c r="CH575" s="87">
        <f t="shared" si="1854"/>
        <v>28</v>
      </c>
      <c r="CI575" s="227" t="str">
        <f t="shared" si="1847"/>
        <v>Trần Trọng</v>
      </c>
      <c r="CJ575" s="227" t="str">
        <f t="shared" si="1848"/>
        <v>Nam</v>
      </c>
      <c r="CK575" s="87">
        <f t="shared" si="1849"/>
        <v>11</v>
      </c>
      <c r="CL575" s="227" t="str">
        <f>L575</f>
        <v>Tài chính</v>
      </c>
      <c r="CM575" s="87" t="str">
        <f>N575</f>
        <v>CS2</v>
      </c>
      <c r="CN575" s="87">
        <f t="shared" si="1872"/>
        <v>270</v>
      </c>
      <c r="CO575" s="87">
        <f t="shared" si="1872"/>
        <v>100</v>
      </c>
      <c r="CP575" s="229">
        <f t="shared" si="1703"/>
        <v>0</v>
      </c>
      <c r="CQ575" s="229">
        <f t="shared" si="1704"/>
        <v>0</v>
      </c>
      <c r="CR575" s="229">
        <f t="shared" si="1705"/>
        <v>0</v>
      </c>
      <c r="CS575" s="229">
        <f t="shared" si="1706"/>
        <v>0</v>
      </c>
      <c r="CT575" s="229">
        <f t="shared" si="1707"/>
        <v>0</v>
      </c>
      <c r="CU575" s="229">
        <f t="shared" si="1708"/>
        <v>0</v>
      </c>
      <c r="CV575" s="229">
        <f t="shared" si="1709"/>
        <v>0</v>
      </c>
      <c r="CW575" s="229">
        <f t="shared" si="1710"/>
        <v>0</v>
      </c>
      <c r="CX575" s="229">
        <f t="shared" si="1711"/>
        <v>0</v>
      </c>
      <c r="CY575" s="229">
        <f t="shared" si="1712"/>
        <v>0</v>
      </c>
      <c r="CZ575" s="229">
        <f t="shared" si="1713"/>
        <v>0</v>
      </c>
      <c r="DA575" s="229">
        <f t="shared" si="1714"/>
        <v>0</v>
      </c>
      <c r="DB575" s="228">
        <f t="shared" si="1834"/>
        <v>0</v>
      </c>
      <c r="DC575" s="229"/>
      <c r="DD575" s="229"/>
      <c r="DE575" s="229"/>
      <c r="DF575" s="229"/>
      <c r="DG575" s="229"/>
      <c r="DH575" s="229"/>
      <c r="DI575" s="229"/>
      <c r="DJ575" s="229"/>
      <c r="DK575" s="229"/>
      <c r="DL575" s="229"/>
      <c r="DM575" s="229"/>
      <c r="DN575" s="229"/>
      <c r="DO575" s="228">
        <f t="shared" si="1835"/>
        <v>0</v>
      </c>
      <c r="DP575" s="228">
        <f t="shared" si="1836"/>
        <v>0</v>
      </c>
      <c r="DQ575" s="229">
        <f t="shared" si="1715"/>
        <v>0</v>
      </c>
      <c r="DR575" s="229">
        <f t="shared" si="1716"/>
        <v>0</v>
      </c>
      <c r="DS575" s="229">
        <f t="shared" si="1717"/>
        <v>0</v>
      </c>
      <c r="DT575" s="229">
        <f t="shared" si="1718"/>
        <v>0</v>
      </c>
      <c r="DU575" s="229">
        <f t="shared" si="1719"/>
        <v>0</v>
      </c>
      <c r="DV575" s="229">
        <f t="shared" si="1720"/>
        <v>0</v>
      </c>
      <c r="DW575" s="229">
        <f t="shared" si="1721"/>
        <v>0</v>
      </c>
      <c r="DX575" s="228">
        <f t="shared" si="1837"/>
        <v>0</v>
      </c>
      <c r="DY575" s="229"/>
      <c r="DZ575" s="229"/>
      <c r="EA575" s="229"/>
      <c r="EB575" s="229"/>
      <c r="EC575" s="229"/>
      <c r="ED575" s="229"/>
      <c r="EE575" s="229"/>
      <c r="EF575" s="228">
        <f t="shared" si="1696"/>
        <v>0</v>
      </c>
      <c r="EG575" s="228">
        <f t="shared" si="1838"/>
        <v>0</v>
      </c>
      <c r="EH575" s="229">
        <f t="shared" si="1697"/>
        <v>0</v>
      </c>
      <c r="EI575" s="229">
        <v>0</v>
      </c>
      <c r="EJ575" s="228">
        <f>SUM(EH575:EI575)</f>
        <v>0</v>
      </c>
      <c r="EK575" s="229"/>
      <c r="EL575" s="229"/>
      <c r="EM575" s="228">
        <f>SUM(EK575:EL575)</f>
        <v>0</v>
      </c>
      <c r="EN575" s="229">
        <f>EK575+EH575+EL575</f>
        <v>0</v>
      </c>
      <c r="EO575" s="229">
        <f>EI575</f>
        <v>0</v>
      </c>
      <c r="EP575" s="228">
        <f>EM575+EJ575</f>
        <v>0</v>
      </c>
      <c r="EQ575" s="173">
        <f t="shared" si="1687"/>
        <v>0</v>
      </c>
      <c r="ER575" s="189">
        <v>0</v>
      </c>
      <c r="ES575" s="189">
        <v>0</v>
      </c>
      <c r="ET575" s="189">
        <v>0</v>
      </c>
      <c r="EU575" s="189">
        <v>0</v>
      </c>
      <c r="EV575" s="189">
        <v>0</v>
      </c>
      <c r="EW575" s="189">
        <v>0</v>
      </c>
      <c r="EX575" s="189">
        <v>0</v>
      </c>
      <c r="EY575" s="189">
        <v>0</v>
      </c>
      <c r="EZ575" s="189">
        <v>0</v>
      </c>
      <c r="FA575" s="189">
        <v>0</v>
      </c>
      <c r="FB575" s="189">
        <v>0</v>
      </c>
      <c r="FC575" s="189">
        <v>0</v>
      </c>
      <c r="FD575" s="189">
        <v>0</v>
      </c>
      <c r="FE575" s="189">
        <v>0</v>
      </c>
      <c r="FF575" s="189">
        <v>0</v>
      </c>
      <c r="FG575" s="189">
        <v>0</v>
      </c>
      <c r="FH575" s="189">
        <v>0</v>
      </c>
      <c r="FI575" s="189">
        <v>0</v>
      </c>
      <c r="FJ575" s="189">
        <v>0</v>
      </c>
      <c r="FK575" s="189">
        <v>0</v>
      </c>
      <c r="FL575" s="189">
        <v>0</v>
      </c>
      <c r="FN575" s="132">
        <v>0</v>
      </c>
    </row>
    <row r="576" spans="1:170" ht="30" customHeight="1">
      <c r="A576" s="88">
        <f>COUNTIF($H$12:H576,H576)</f>
        <v>29</v>
      </c>
      <c r="B576" s="88" t="s">
        <v>480</v>
      </c>
      <c r="C576" s="88" t="s">
        <v>237</v>
      </c>
      <c r="D576" s="88"/>
      <c r="E576" s="88"/>
      <c r="F576" s="301" t="s">
        <v>2327</v>
      </c>
      <c r="G576" s="303" t="s">
        <v>1115</v>
      </c>
      <c r="H576" s="88">
        <v>11</v>
      </c>
      <c r="I576" s="88">
        <v>11</v>
      </c>
      <c r="J576" s="88">
        <v>11</v>
      </c>
      <c r="K576" s="90" t="s">
        <v>1663</v>
      </c>
      <c r="L576" s="90" t="s">
        <v>1663</v>
      </c>
      <c r="M576" s="214"/>
      <c r="N576" s="88" t="s">
        <v>1804</v>
      </c>
      <c r="O576" s="216">
        <f t="shared" si="1865"/>
        <v>4.32</v>
      </c>
      <c r="P576" s="88" t="str">
        <f t="shared" si="1785"/>
        <v>B1_4</v>
      </c>
      <c r="Q576" s="88">
        <f t="shared" si="1751"/>
        <v>270</v>
      </c>
      <c r="R576" s="88">
        <f t="shared" si="1752"/>
        <v>120</v>
      </c>
      <c r="S576" s="218" t="s">
        <v>283</v>
      </c>
      <c r="T576" s="88" t="s">
        <v>2961</v>
      </c>
      <c r="U576" s="88">
        <f>IF(RIGHT(T576,1)="K",(VLOOKUP(T576,ma_miengiam!$A$3:$B$80,2,0)*100)/2,VLOOKUP(T576,ma_miengiam!$A$3:$B$80,2,0)*100)</f>
        <v>100</v>
      </c>
      <c r="V576" s="88"/>
      <c r="W576" s="220">
        <f>IF(AND(T576="NTS",V576&gt;0),(Q576-(Q576*V576)/12)*VLOOKUP(T576,ma_miengiam!$A$3:$B$80,2,0)+(Q576-(Q576*(12-V576))/12),IF(AND(RIGHT(T576,1)="K",V576&gt;0),(VLOOKUP(T576,ma_miengiam!$A$3:$B$80,2,0)/2)*(Q576*V576)/12,IF(RIGHT(T576,1)="K",(VLOOKUP(T576,ma_miengiam!$A$3:$B$80,2,0)*Q576)/2,IF(V576&gt;0,VLOOKUP(T576,ma_miengiam!$A$3:$B$80,2,0)*Q576*V576/12,VLOOKUP(T576,ma_miengiam!$A$3:$B$80,2,0)*Q576))))</f>
        <v>270</v>
      </c>
      <c r="X576" s="220">
        <f>IF(T576="NTS",VLOOKUP(T576,ma_miengiam!$A$3:$B$80,2,0)*R576*V576,IF(AND(T576="NTS",V576=0),0,IF(AND(LEFT(T576,1)="K",V576=0),VLOOKUP(T576,ma_miengiam!$A$3:$B$80,2,0)*R576,IF(LEFT(T576,1)="K",(VLOOKUP(T576,ma_miengiam!$A$3:$B$80,2,0)*R576/12)*V576,IF(AND(LEFT(T576,1)="S",V576&gt;0),(R576/12)*V576,IF(AND(LEFT(T576,1)="S",V576=0),R576,IF(T576="DH",VLOOKUP(T576,ma_miengiam!$A$3:$B$80,2,0)*R576,0)))))))</f>
        <v>120</v>
      </c>
      <c r="Y576" s="220">
        <f t="shared" si="1745"/>
        <v>0</v>
      </c>
      <c r="Z576" s="220">
        <f t="shared" si="1874"/>
        <v>0</v>
      </c>
      <c r="AA576" s="220">
        <f t="shared" ref="AA576:AB579" si="1884">Q576</f>
        <v>270</v>
      </c>
      <c r="AB576" s="220">
        <f t="shared" si="1884"/>
        <v>120</v>
      </c>
      <c r="AC576" s="220">
        <f t="shared" ref="AC576:AF579" si="1885">W576</f>
        <v>270</v>
      </c>
      <c r="AD576" s="220">
        <f t="shared" si="1885"/>
        <v>120</v>
      </c>
      <c r="AE576" s="220">
        <f t="shared" si="1885"/>
        <v>0</v>
      </c>
      <c r="AF576" s="220">
        <f t="shared" si="1885"/>
        <v>0</v>
      </c>
      <c r="AG576" s="220">
        <f t="shared" si="1875"/>
        <v>0</v>
      </c>
      <c r="AH576" s="220">
        <f t="shared" si="1876"/>
        <v>0</v>
      </c>
      <c r="AI576" s="220">
        <f t="shared" si="1877"/>
        <v>0</v>
      </c>
      <c r="AJ576" s="220">
        <f t="shared" si="1780"/>
        <v>0</v>
      </c>
      <c r="AK576" s="216">
        <f t="shared" si="1812"/>
        <v>0</v>
      </c>
      <c r="AL576" s="220">
        <f t="shared" si="1819"/>
        <v>0</v>
      </c>
      <c r="AM576" s="220">
        <f t="shared" si="1820"/>
        <v>0</v>
      </c>
      <c r="AN576" s="221">
        <f t="shared" si="1821"/>
        <v>0</v>
      </c>
      <c r="AO576" s="220">
        <f t="shared" si="1822"/>
        <v>0</v>
      </c>
      <c r="AP576" s="220">
        <f t="shared" si="1823"/>
        <v>0</v>
      </c>
      <c r="AQ576" s="220">
        <f t="shared" si="1824"/>
        <v>0</v>
      </c>
      <c r="AR576" s="220">
        <f t="shared" si="1825"/>
        <v>0</v>
      </c>
      <c r="AS576" s="220">
        <f t="shared" si="1826"/>
        <v>0</v>
      </c>
      <c r="AT576" s="216">
        <f t="shared" si="1827"/>
        <v>0</v>
      </c>
      <c r="AU576" s="222">
        <f>AN576-AK576</f>
        <v>0</v>
      </c>
      <c r="AV576" s="220"/>
      <c r="AW576" s="220">
        <f t="shared" si="1856"/>
        <v>0</v>
      </c>
      <c r="AX576" s="216">
        <f t="shared" si="1811"/>
        <v>0</v>
      </c>
      <c r="AY576" s="220">
        <f t="shared" si="1866"/>
        <v>0</v>
      </c>
      <c r="AZ576" s="220">
        <f t="shared" si="1867"/>
        <v>0</v>
      </c>
      <c r="BA576" s="220">
        <f t="shared" si="1868"/>
        <v>0</v>
      </c>
      <c r="BB576" s="220">
        <f t="shared" si="1869"/>
        <v>0</v>
      </c>
      <c r="BC576" s="220">
        <f t="shared" si="1870"/>
        <v>0</v>
      </c>
      <c r="BD576" s="216">
        <f t="shared" si="1778"/>
        <v>0</v>
      </c>
      <c r="BE576" s="220">
        <f t="shared" si="1857"/>
        <v>0</v>
      </c>
      <c r="BF576" s="220">
        <f t="shared" si="1858"/>
        <v>0</v>
      </c>
      <c r="BG576" s="220">
        <f t="shared" si="1859"/>
        <v>0</v>
      </c>
      <c r="BH576" s="220">
        <f t="shared" si="1860"/>
        <v>0</v>
      </c>
      <c r="BI576" s="220">
        <f t="shared" si="1861"/>
        <v>0</v>
      </c>
      <c r="BJ576" s="220" t="s">
        <v>3159</v>
      </c>
      <c r="BK576" s="220"/>
      <c r="BL576" s="223">
        <f t="shared" si="1784"/>
        <v>0</v>
      </c>
      <c r="BM576" s="220">
        <v>4.32</v>
      </c>
      <c r="BN576" s="220"/>
      <c r="BO576" s="220">
        <f t="shared" si="1878"/>
        <v>4.32</v>
      </c>
      <c r="BP576" s="220">
        <f>IF(AND(BL576&gt;0,BL576&lt;tiet!$D$1),BL576,IF(BL576&lt;=0,0,IF(BL576&gt;tiet!$C$1,tiet!$C$1)))</f>
        <v>0</v>
      </c>
      <c r="BQ576" s="87">
        <f t="shared" si="1881"/>
        <v>65000</v>
      </c>
      <c r="BR576" s="224">
        <f t="shared" si="1882"/>
        <v>0</v>
      </c>
      <c r="BS576" s="220">
        <f t="shared" si="1686"/>
        <v>0</v>
      </c>
      <c r="BT576" s="224">
        <f>VLOOKUP(N576,ma_dinhmuc!$A$1:$J$31,10,0)</f>
        <v>51000</v>
      </c>
      <c r="BU576" s="224">
        <f>ROUND(IF(BS576&gt;0,VLOOKUP(N576,ma_dinhmuc!$A$1:$J$31,10,0)*BS576,0),0)</f>
        <v>0</v>
      </c>
      <c r="BV576" s="224">
        <f t="shared" si="1883"/>
        <v>0</v>
      </c>
      <c r="BW576" s="224"/>
      <c r="BX576" s="224">
        <v>0</v>
      </c>
      <c r="BY576" s="224"/>
      <c r="BZ576" s="224"/>
      <c r="CA576" s="224"/>
      <c r="CB576" s="224"/>
      <c r="CC576" s="225">
        <f>ROUND(IF(BV576+BW576&gt;BX576+BY576+BZ576+CA576+CB576,(BW576+BV576)-(BX576+BY576+BZ576+CA576+CB576+CB576),0),0)</f>
        <v>0</v>
      </c>
      <c r="CD576" s="224">
        <f>ROUND(IF(BV576+BW576&lt;BX576+BY576+BZ576+CA576-CB576,(BX576+BY576+BZ576+CA576-CB576)-(BW576+BV576),0),0)</f>
        <v>0</v>
      </c>
      <c r="CE576" s="224"/>
      <c r="CF576" s="226"/>
      <c r="CG576" s="87"/>
      <c r="CH576" s="87">
        <f t="shared" si="1854"/>
        <v>29</v>
      </c>
      <c r="CI576" s="227" t="str">
        <f t="shared" si="1847"/>
        <v>Nguyễn Duy</v>
      </c>
      <c r="CJ576" s="227" t="str">
        <f t="shared" si="1848"/>
        <v>Linh</v>
      </c>
      <c r="CK576" s="87">
        <f t="shared" si="1849"/>
        <v>11</v>
      </c>
      <c r="CL576" s="227" t="str">
        <f>L576</f>
        <v>Tài chính</v>
      </c>
      <c r="CM576" s="87" t="str">
        <f t="shared" si="1862"/>
        <v>CS2</v>
      </c>
      <c r="CN576" s="87">
        <f t="shared" ref="CN576:CO579" si="1886">Q576</f>
        <v>270</v>
      </c>
      <c r="CO576" s="87">
        <f t="shared" si="1886"/>
        <v>120</v>
      </c>
      <c r="CP576" s="229">
        <f t="shared" si="1703"/>
        <v>0</v>
      </c>
      <c r="CQ576" s="229">
        <f t="shared" si="1704"/>
        <v>0</v>
      </c>
      <c r="CR576" s="229">
        <f t="shared" si="1705"/>
        <v>0</v>
      </c>
      <c r="CS576" s="229">
        <f t="shared" si="1706"/>
        <v>0</v>
      </c>
      <c r="CT576" s="229">
        <f t="shared" si="1707"/>
        <v>0</v>
      </c>
      <c r="CU576" s="229">
        <f t="shared" si="1708"/>
        <v>0</v>
      </c>
      <c r="CV576" s="229">
        <f t="shared" si="1709"/>
        <v>0</v>
      </c>
      <c r="CW576" s="229">
        <f t="shared" si="1710"/>
        <v>0</v>
      </c>
      <c r="CX576" s="229">
        <f t="shared" si="1711"/>
        <v>0</v>
      </c>
      <c r="CY576" s="229">
        <f t="shared" si="1712"/>
        <v>0</v>
      </c>
      <c r="CZ576" s="229">
        <f t="shared" si="1713"/>
        <v>0</v>
      </c>
      <c r="DA576" s="229">
        <f t="shared" si="1714"/>
        <v>0</v>
      </c>
      <c r="DB576" s="228">
        <f t="shared" si="1834"/>
        <v>0</v>
      </c>
      <c r="DC576" s="229"/>
      <c r="DD576" s="229"/>
      <c r="DE576" s="229"/>
      <c r="DF576" s="229"/>
      <c r="DG576" s="229"/>
      <c r="DH576" s="229"/>
      <c r="DI576" s="229"/>
      <c r="DJ576" s="229"/>
      <c r="DK576" s="229"/>
      <c r="DL576" s="229"/>
      <c r="DM576" s="229"/>
      <c r="DN576" s="229"/>
      <c r="DO576" s="228">
        <f t="shared" si="1835"/>
        <v>0</v>
      </c>
      <c r="DP576" s="228">
        <f t="shared" si="1836"/>
        <v>0</v>
      </c>
      <c r="DQ576" s="229">
        <f t="shared" si="1715"/>
        <v>0</v>
      </c>
      <c r="DR576" s="229">
        <f t="shared" si="1716"/>
        <v>0</v>
      </c>
      <c r="DS576" s="229">
        <f t="shared" si="1717"/>
        <v>0</v>
      </c>
      <c r="DT576" s="229">
        <f t="shared" si="1718"/>
        <v>0</v>
      </c>
      <c r="DU576" s="229">
        <f t="shared" si="1719"/>
        <v>0</v>
      </c>
      <c r="DV576" s="229">
        <f t="shared" si="1720"/>
        <v>0</v>
      </c>
      <c r="DW576" s="229">
        <f t="shared" si="1721"/>
        <v>0</v>
      </c>
      <c r="DX576" s="228">
        <f t="shared" si="1837"/>
        <v>0</v>
      </c>
      <c r="DY576" s="229"/>
      <c r="DZ576" s="229"/>
      <c r="EA576" s="229"/>
      <c r="EB576" s="229"/>
      <c r="EC576" s="229"/>
      <c r="ED576" s="229"/>
      <c r="EE576" s="229"/>
      <c r="EF576" s="228">
        <f t="shared" si="1696"/>
        <v>0</v>
      </c>
      <c r="EG576" s="228">
        <f t="shared" si="1838"/>
        <v>0</v>
      </c>
      <c r="EH576" s="229">
        <f t="shared" si="1697"/>
        <v>0</v>
      </c>
      <c r="EI576" s="229">
        <v>0</v>
      </c>
      <c r="EJ576" s="228">
        <f t="shared" si="1880"/>
        <v>0</v>
      </c>
      <c r="EK576" s="229"/>
      <c r="EL576" s="229"/>
      <c r="EM576" s="228">
        <f>SUM(EK576:EL576)</f>
        <v>0</v>
      </c>
      <c r="EN576" s="229">
        <f t="shared" si="1765"/>
        <v>0</v>
      </c>
      <c r="EO576" s="229">
        <f>EI576</f>
        <v>0</v>
      </c>
      <c r="EP576" s="228">
        <f>EM576+EJ576</f>
        <v>0</v>
      </c>
      <c r="EQ576" s="173">
        <f t="shared" si="1687"/>
        <v>0</v>
      </c>
      <c r="ER576" s="189">
        <v>0</v>
      </c>
      <c r="ES576" s="189">
        <v>0</v>
      </c>
      <c r="ET576" s="189">
        <v>0</v>
      </c>
      <c r="EU576" s="189">
        <v>0</v>
      </c>
      <c r="EV576" s="189">
        <v>0</v>
      </c>
      <c r="EW576" s="189">
        <v>0</v>
      </c>
      <c r="EX576" s="189">
        <v>0</v>
      </c>
      <c r="EY576" s="189">
        <v>0</v>
      </c>
      <c r="EZ576" s="189">
        <v>0</v>
      </c>
      <c r="FA576" s="189">
        <v>0</v>
      </c>
      <c r="FB576" s="189">
        <v>0</v>
      </c>
      <c r="FC576" s="189">
        <v>0</v>
      </c>
      <c r="FD576" s="189">
        <v>0</v>
      </c>
      <c r="FE576" s="189">
        <v>0</v>
      </c>
      <c r="FF576" s="189">
        <v>0</v>
      </c>
      <c r="FG576" s="189">
        <v>0</v>
      </c>
      <c r="FH576" s="189">
        <v>0</v>
      </c>
      <c r="FI576" s="189">
        <v>0</v>
      </c>
      <c r="FJ576" s="189">
        <v>0</v>
      </c>
      <c r="FK576" s="189">
        <v>0</v>
      </c>
      <c r="FL576" s="189">
        <v>0</v>
      </c>
      <c r="FN576" s="132">
        <v>0</v>
      </c>
    </row>
    <row r="577" spans="1:170" ht="30" customHeight="1">
      <c r="A577" s="88">
        <f>COUNTIF($H$12:H577,H577)</f>
        <v>30</v>
      </c>
      <c r="B577" s="88" t="s">
        <v>481</v>
      </c>
      <c r="C577" s="88" t="s">
        <v>238</v>
      </c>
      <c r="D577" s="88"/>
      <c r="E577" s="88"/>
      <c r="F577" s="301" t="s">
        <v>817</v>
      </c>
      <c r="G577" s="89" t="s">
        <v>520</v>
      </c>
      <c r="H577" s="88">
        <v>11</v>
      </c>
      <c r="I577" s="88">
        <v>11</v>
      </c>
      <c r="J577" s="88">
        <v>11</v>
      </c>
      <c r="K577" s="90" t="s">
        <v>1663</v>
      </c>
      <c r="L577" s="90" t="s">
        <v>1663</v>
      </c>
      <c r="M577" s="214"/>
      <c r="N577" s="88" t="s">
        <v>1804</v>
      </c>
      <c r="O577" s="216">
        <f t="shared" si="1865"/>
        <v>3.33</v>
      </c>
      <c r="P577" s="88" t="str">
        <f t="shared" si="1785"/>
        <v>B1_4</v>
      </c>
      <c r="Q577" s="88">
        <f t="shared" si="1751"/>
        <v>270</v>
      </c>
      <c r="R577" s="88">
        <f t="shared" si="1752"/>
        <v>120</v>
      </c>
      <c r="S577" s="233" t="s">
        <v>2988</v>
      </c>
      <c r="T577" s="88" t="s">
        <v>2961</v>
      </c>
      <c r="U577" s="88">
        <f>IF(RIGHT(T577,1)="K",(VLOOKUP(T577,ma_miengiam!$A$3:$B$80,2,0)*100)/2,VLOOKUP(T577,ma_miengiam!$A$3:$B$80,2,0)*100)</f>
        <v>100</v>
      </c>
      <c r="V577" s="88"/>
      <c r="W577" s="220">
        <f>IF(AND(T577="NTS",V577&gt;0),(Q577-(Q577*V577)/12)*VLOOKUP(T577,ma_miengiam!$A$3:$B$80,2,0)+(Q577-(Q577*(12-V577))/12),IF(AND(RIGHT(T577,1)="K",V577&gt;0),(VLOOKUP(T577,ma_miengiam!$A$3:$B$80,2,0)/2)*(Q577*V577)/12,IF(RIGHT(T577,1)="K",(VLOOKUP(T577,ma_miengiam!$A$3:$B$80,2,0)*Q577)/2,IF(V577&gt;0,VLOOKUP(T577,ma_miengiam!$A$3:$B$80,2,0)*Q577*V577/12,VLOOKUP(T577,ma_miengiam!$A$3:$B$80,2,0)*Q577))))</f>
        <v>270</v>
      </c>
      <c r="X577" s="220">
        <f>IF(T577="NTS",VLOOKUP(T577,ma_miengiam!$A$3:$B$80,2,0)*R577*V577,IF(AND(T577="NTS",V577=0),0,IF(AND(LEFT(T577,1)="K",V577=0),VLOOKUP(T577,ma_miengiam!$A$3:$B$80,2,0)*R577,IF(LEFT(T577,1)="K",(VLOOKUP(T577,ma_miengiam!$A$3:$B$80,2,0)*R577/12)*V577,IF(AND(LEFT(T577,1)="S",V577&gt;0),(R577/12)*V577,IF(AND(LEFT(T577,1)="S",V577=0),R577,IF(T577="DH",VLOOKUP(T577,ma_miengiam!$A$3:$B$80,2,0)*R577,0)))))))</f>
        <v>120</v>
      </c>
      <c r="Y577" s="220">
        <f t="shared" si="1745"/>
        <v>0</v>
      </c>
      <c r="Z577" s="220">
        <f t="shared" si="1874"/>
        <v>0</v>
      </c>
      <c r="AA577" s="220">
        <f t="shared" si="1884"/>
        <v>270</v>
      </c>
      <c r="AB577" s="220">
        <f t="shared" si="1884"/>
        <v>120</v>
      </c>
      <c r="AC577" s="220">
        <f t="shared" si="1885"/>
        <v>270</v>
      </c>
      <c r="AD577" s="220">
        <f t="shared" si="1885"/>
        <v>120</v>
      </c>
      <c r="AE577" s="220">
        <f t="shared" si="1885"/>
        <v>0</v>
      </c>
      <c r="AF577" s="220">
        <f t="shared" si="1885"/>
        <v>0</v>
      </c>
      <c r="AG577" s="220">
        <f t="shared" si="1875"/>
        <v>37.5</v>
      </c>
      <c r="AH577" s="220">
        <f t="shared" si="1876"/>
        <v>37.5</v>
      </c>
      <c r="AI577" s="220">
        <f t="shared" si="1877"/>
        <v>0</v>
      </c>
      <c r="AJ577" s="220">
        <f t="shared" si="1780"/>
        <v>0</v>
      </c>
      <c r="AK577" s="216">
        <f t="shared" si="1812"/>
        <v>0</v>
      </c>
      <c r="AL577" s="220">
        <f t="shared" si="1819"/>
        <v>0</v>
      </c>
      <c r="AM577" s="220">
        <f t="shared" si="1820"/>
        <v>0</v>
      </c>
      <c r="AN577" s="221">
        <f t="shared" si="1821"/>
        <v>0</v>
      </c>
      <c r="AO577" s="220">
        <f t="shared" si="1822"/>
        <v>0</v>
      </c>
      <c r="AP577" s="220">
        <f t="shared" si="1823"/>
        <v>0</v>
      </c>
      <c r="AQ577" s="220">
        <f t="shared" si="1824"/>
        <v>0</v>
      </c>
      <c r="AR577" s="220">
        <f t="shared" si="1825"/>
        <v>0</v>
      </c>
      <c r="AS577" s="220">
        <f t="shared" si="1826"/>
        <v>0</v>
      </c>
      <c r="AT577" s="216">
        <f t="shared" si="1827"/>
        <v>0</v>
      </c>
      <c r="AU577" s="222">
        <f>AN577-AK577</f>
        <v>0</v>
      </c>
      <c r="AV577" s="220"/>
      <c r="AW577" s="220">
        <f t="shared" si="1856"/>
        <v>0</v>
      </c>
      <c r="AX577" s="216">
        <f t="shared" si="1811"/>
        <v>0</v>
      </c>
      <c r="AY577" s="220">
        <f t="shared" si="1866"/>
        <v>0</v>
      </c>
      <c r="AZ577" s="220">
        <f t="shared" si="1867"/>
        <v>0</v>
      </c>
      <c r="BA577" s="220">
        <f t="shared" si="1868"/>
        <v>0</v>
      </c>
      <c r="BB577" s="220">
        <f t="shared" si="1869"/>
        <v>0</v>
      </c>
      <c r="BC577" s="220">
        <f t="shared" si="1870"/>
        <v>0</v>
      </c>
      <c r="BD577" s="216">
        <f t="shared" si="1778"/>
        <v>0</v>
      </c>
      <c r="BE577" s="220">
        <f t="shared" si="1857"/>
        <v>0</v>
      </c>
      <c r="BF577" s="220">
        <f t="shared" si="1858"/>
        <v>0</v>
      </c>
      <c r="BG577" s="220">
        <f t="shared" si="1859"/>
        <v>0</v>
      </c>
      <c r="BH577" s="220">
        <f t="shared" si="1860"/>
        <v>0</v>
      </c>
      <c r="BI577" s="220">
        <f t="shared" si="1861"/>
        <v>0</v>
      </c>
      <c r="BJ577" s="220" t="s">
        <v>3159</v>
      </c>
      <c r="BK577" s="220"/>
      <c r="BL577" s="223">
        <f t="shared" si="1784"/>
        <v>0</v>
      </c>
      <c r="BM577" s="220">
        <v>3.33</v>
      </c>
      <c r="BN577" s="220"/>
      <c r="BO577" s="220">
        <f t="shared" si="1878"/>
        <v>3.33</v>
      </c>
      <c r="BP577" s="220">
        <f>IF(AND(BL577&gt;0,BL577&lt;tiet!$D$1),BL577,IF(BL577&lt;=0,0,IF(BL577&gt;tiet!$C$1,tiet!$C$1)))</f>
        <v>0</v>
      </c>
      <c r="BQ577" s="87">
        <f t="shared" si="1881"/>
        <v>65000</v>
      </c>
      <c r="BR577" s="224">
        <f t="shared" si="1882"/>
        <v>0</v>
      </c>
      <c r="BS577" s="220">
        <f t="shared" si="1686"/>
        <v>0</v>
      </c>
      <c r="BT577" s="224">
        <f>VLOOKUP(N577,ma_dinhmuc!$A$1:$J$31,10,0)</f>
        <v>51000</v>
      </c>
      <c r="BU577" s="224">
        <f>ROUND(IF(BS577&gt;0,VLOOKUP(N577,ma_dinhmuc!$A$1:$J$31,10,0)*BS577,0),0)</f>
        <v>0</v>
      </c>
      <c r="BV577" s="224">
        <f t="shared" si="1883"/>
        <v>0</v>
      </c>
      <c r="BW577" s="224"/>
      <c r="BX577" s="224">
        <v>0</v>
      </c>
      <c r="BY577" s="224"/>
      <c r="BZ577" s="224"/>
      <c r="CA577" s="224"/>
      <c r="CB577" s="224"/>
      <c r="CC577" s="225">
        <f>ROUND(IF(BV577+BW577&gt;BX577+BY577+BZ577+CA577+CB577,(BW577+BV577)-(BX577+BY577+BZ577+CA577+CB577+CB577),0),0)</f>
        <v>0</v>
      </c>
      <c r="CD577" s="224">
        <f>ROUND(IF(BV577+BW577&lt;BX577+BY577+BZ577+CA577-CB577,(BX577+BY577+BZ577+CA577-CB577)-(BW577+BV577),0),0)</f>
        <v>0</v>
      </c>
      <c r="CE577" s="224"/>
      <c r="CF577" s="226"/>
      <c r="CG577" s="87"/>
      <c r="CH577" s="87">
        <f t="shared" si="1854"/>
        <v>30</v>
      </c>
      <c r="CI577" s="227" t="str">
        <f t="shared" si="1847"/>
        <v>Bùi Thị</v>
      </c>
      <c r="CJ577" s="227" t="str">
        <f t="shared" si="1848"/>
        <v>Lâm</v>
      </c>
      <c r="CK577" s="87">
        <f t="shared" si="1849"/>
        <v>11</v>
      </c>
      <c r="CL577" s="227" t="str">
        <f>L577</f>
        <v>Tài chính</v>
      </c>
      <c r="CM577" s="87" t="str">
        <f t="shared" si="1862"/>
        <v>CS2</v>
      </c>
      <c r="CN577" s="87">
        <f t="shared" si="1886"/>
        <v>270</v>
      </c>
      <c r="CO577" s="87">
        <f t="shared" si="1886"/>
        <v>120</v>
      </c>
      <c r="CP577" s="229">
        <f t="shared" si="1703"/>
        <v>0</v>
      </c>
      <c r="CQ577" s="229">
        <f t="shared" si="1704"/>
        <v>0</v>
      </c>
      <c r="CR577" s="229">
        <f t="shared" si="1705"/>
        <v>0</v>
      </c>
      <c r="CS577" s="229">
        <f t="shared" si="1706"/>
        <v>0</v>
      </c>
      <c r="CT577" s="229">
        <f t="shared" si="1707"/>
        <v>0</v>
      </c>
      <c r="CU577" s="229">
        <f t="shared" si="1708"/>
        <v>0</v>
      </c>
      <c r="CV577" s="229">
        <f t="shared" si="1709"/>
        <v>0</v>
      </c>
      <c r="CW577" s="229">
        <f t="shared" si="1710"/>
        <v>0</v>
      </c>
      <c r="CX577" s="229">
        <f t="shared" si="1711"/>
        <v>0</v>
      </c>
      <c r="CY577" s="229">
        <f t="shared" si="1712"/>
        <v>0</v>
      </c>
      <c r="CZ577" s="229">
        <f t="shared" si="1713"/>
        <v>0</v>
      </c>
      <c r="DA577" s="229">
        <f t="shared" si="1714"/>
        <v>0</v>
      </c>
      <c r="DB577" s="228">
        <f t="shared" si="1834"/>
        <v>0</v>
      </c>
      <c r="DC577" s="229"/>
      <c r="DD577" s="229"/>
      <c r="DE577" s="229"/>
      <c r="DF577" s="229"/>
      <c r="DG577" s="229"/>
      <c r="DH577" s="229"/>
      <c r="DI577" s="229"/>
      <c r="DJ577" s="229"/>
      <c r="DK577" s="229"/>
      <c r="DL577" s="229"/>
      <c r="DM577" s="229"/>
      <c r="DN577" s="229"/>
      <c r="DO577" s="228">
        <f t="shared" si="1835"/>
        <v>0</v>
      </c>
      <c r="DP577" s="228">
        <f t="shared" si="1836"/>
        <v>0</v>
      </c>
      <c r="DQ577" s="229">
        <f t="shared" si="1715"/>
        <v>0</v>
      </c>
      <c r="DR577" s="229">
        <f t="shared" si="1716"/>
        <v>0</v>
      </c>
      <c r="DS577" s="229">
        <f t="shared" si="1717"/>
        <v>0</v>
      </c>
      <c r="DT577" s="229">
        <f t="shared" si="1718"/>
        <v>0</v>
      </c>
      <c r="DU577" s="229">
        <f t="shared" si="1719"/>
        <v>0</v>
      </c>
      <c r="DV577" s="229">
        <f t="shared" si="1720"/>
        <v>0</v>
      </c>
      <c r="DW577" s="229">
        <f t="shared" si="1721"/>
        <v>0</v>
      </c>
      <c r="DX577" s="228">
        <f t="shared" si="1837"/>
        <v>0</v>
      </c>
      <c r="DY577" s="229"/>
      <c r="DZ577" s="229"/>
      <c r="EA577" s="229"/>
      <c r="EB577" s="229"/>
      <c r="EC577" s="229"/>
      <c r="ED577" s="229"/>
      <c r="EE577" s="229"/>
      <c r="EF577" s="228">
        <f t="shared" si="1696"/>
        <v>0</v>
      </c>
      <c r="EG577" s="228">
        <f t="shared" si="1838"/>
        <v>0</v>
      </c>
      <c r="EH577" s="229">
        <f t="shared" si="1697"/>
        <v>0</v>
      </c>
      <c r="EI577" s="229">
        <v>37.5</v>
      </c>
      <c r="EJ577" s="228">
        <f t="shared" si="1880"/>
        <v>37.5</v>
      </c>
      <c r="EK577" s="229"/>
      <c r="EL577" s="229"/>
      <c r="EM577" s="228">
        <f>SUM(EK577:EL577)</f>
        <v>0</v>
      </c>
      <c r="EN577" s="229">
        <f t="shared" si="1765"/>
        <v>0</v>
      </c>
      <c r="EO577" s="229">
        <f>EI577</f>
        <v>37.5</v>
      </c>
      <c r="EP577" s="228">
        <f>EM577+EJ577</f>
        <v>37.5</v>
      </c>
      <c r="EQ577" s="173">
        <f t="shared" si="1687"/>
        <v>0</v>
      </c>
      <c r="ER577" s="189">
        <v>0</v>
      </c>
      <c r="ES577" s="189">
        <v>0</v>
      </c>
      <c r="ET577" s="189">
        <v>0</v>
      </c>
      <c r="EU577" s="189">
        <v>0</v>
      </c>
      <c r="EV577" s="189">
        <v>0</v>
      </c>
      <c r="EW577" s="189">
        <v>0</v>
      </c>
      <c r="EX577" s="189">
        <v>0</v>
      </c>
      <c r="EY577" s="189">
        <v>0</v>
      </c>
      <c r="EZ577" s="189">
        <v>0</v>
      </c>
      <c r="FA577" s="189">
        <v>0</v>
      </c>
      <c r="FB577" s="189">
        <v>0</v>
      </c>
      <c r="FC577" s="189">
        <v>0</v>
      </c>
      <c r="FD577" s="189">
        <v>0</v>
      </c>
      <c r="FE577" s="189">
        <v>0</v>
      </c>
      <c r="FF577" s="189">
        <v>0</v>
      </c>
      <c r="FG577" s="189">
        <v>0</v>
      </c>
      <c r="FH577" s="189">
        <v>0</v>
      </c>
      <c r="FI577" s="189">
        <v>0</v>
      </c>
      <c r="FJ577" s="189">
        <v>0</v>
      </c>
      <c r="FK577" s="189">
        <v>0</v>
      </c>
      <c r="FL577" s="189">
        <v>0</v>
      </c>
      <c r="FN577" s="132">
        <v>0</v>
      </c>
    </row>
    <row r="578" spans="1:170" ht="30" customHeight="1">
      <c r="A578" s="88">
        <f>COUNTIF($H$12:H578,H578)</f>
        <v>31</v>
      </c>
      <c r="B578" s="88" t="s">
        <v>482</v>
      </c>
      <c r="C578" s="88" t="s">
        <v>239</v>
      </c>
      <c r="D578" s="88"/>
      <c r="E578" s="88"/>
      <c r="F578" s="301" t="s">
        <v>1871</v>
      </c>
      <c r="G578" s="89" t="s">
        <v>1872</v>
      </c>
      <c r="H578" s="88">
        <v>11</v>
      </c>
      <c r="I578" s="88">
        <v>11</v>
      </c>
      <c r="J578" s="88">
        <v>11</v>
      </c>
      <c r="K578" s="90" t="s">
        <v>1663</v>
      </c>
      <c r="L578" s="90" t="s">
        <v>1663</v>
      </c>
      <c r="M578" s="214"/>
      <c r="N578" s="88" t="s">
        <v>1804</v>
      </c>
      <c r="O578" s="216">
        <f t="shared" si="1865"/>
        <v>3.33</v>
      </c>
      <c r="P578" s="88" t="str">
        <f t="shared" si="1785"/>
        <v>B1_4</v>
      </c>
      <c r="Q578" s="88">
        <f t="shared" si="1751"/>
        <v>270</v>
      </c>
      <c r="R578" s="88">
        <f t="shared" si="1752"/>
        <v>120</v>
      </c>
      <c r="S578" s="218" t="s">
        <v>2461</v>
      </c>
      <c r="T578" s="88" t="s">
        <v>2961</v>
      </c>
      <c r="U578" s="88">
        <f>IF(RIGHT(T578,1)="K",(VLOOKUP(T578,ma_miengiam!$A$3:$B$80,2,0)*100)/2,VLOOKUP(T578,ma_miengiam!$A$3:$B$80,2,0)*100)</f>
        <v>100</v>
      </c>
      <c r="V578" s="88"/>
      <c r="W578" s="220">
        <f>IF(AND(T578="NTS",V578&gt;0),(Q578-(Q578*V578)/12)*VLOOKUP(T578,ma_miengiam!$A$3:$B$80,2,0)+(Q578-(Q578*(12-V578))/12),IF(AND(RIGHT(T578,1)="K",V578&gt;0),(VLOOKUP(T578,ma_miengiam!$A$3:$B$80,2,0)/2)*(Q578*V578)/12,IF(RIGHT(T578,1)="K",(VLOOKUP(T578,ma_miengiam!$A$3:$B$80,2,0)*Q578)/2,IF(V578&gt;0,VLOOKUP(T578,ma_miengiam!$A$3:$B$80,2,0)*Q578*V578/12,VLOOKUP(T578,ma_miengiam!$A$3:$B$80,2,0)*Q578))))</f>
        <v>270</v>
      </c>
      <c r="X578" s="220">
        <f>IF(T578="NTS",VLOOKUP(T578,ma_miengiam!$A$3:$B$80,2,0)*R578*V578,IF(AND(T578="NTS",V578=0),0,IF(AND(LEFT(T578,1)="K",V578=0),VLOOKUP(T578,ma_miengiam!$A$3:$B$80,2,0)*R578,IF(LEFT(T578,1)="K",(VLOOKUP(T578,ma_miengiam!$A$3:$B$80,2,0)*R578/12)*V578,IF(AND(LEFT(T578,1)="S",V578&gt;0),(R578/12)*V578,IF(AND(LEFT(T578,1)="S",V578=0),R578,IF(T578="DH",VLOOKUP(T578,ma_miengiam!$A$3:$B$80,2,0)*R578,0)))))))</f>
        <v>120</v>
      </c>
      <c r="Y578" s="220">
        <f t="shared" si="1745"/>
        <v>0</v>
      </c>
      <c r="Z578" s="220">
        <f t="shared" si="1874"/>
        <v>0</v>
      </c>
      <c r="AA578" s="220">
        <f t="shared" si="1884"/>
        <v>270</v>
      </c>
      <c r="AB578" s="220">
        <f t="shared" si="1884"/>
        <v>120</v>
      </c>
      <c r="AC578" s="220">
        <f t="shared" si="1885"/>
        <v>270</v>
      </c>
      <c r="AD578" s="220">
        <f t="shared" si="1885"/>
        <v>120</v>
      </c>
      <c r="AE578" s="220">
        <f t="shared" si="1885"/>
        <v>0</v>
      </c>
      <c r="AF578" s="220">
        <f t="shared" si="1885"/>
        <v>0</v>
      </c>
      <c r="AG578" s="220">
        <f t="shared" si="1875"/>
        <v>0</v>
      </c>
      <c r="AH578" s="220">
        <f t="shared" si="1876"/>
        <v>0</v>
      </c>
      <c r="AI578" s="220">
        <f t="shared" si="1877"/>
        <v>0</v>
      </c>
      <c r="AJ578" s="220">
        <f t="shared" si="1780"/>
        <v>0</v>
      </c>
      <c r="AK578" s="216">
        <f t="shared" si="1812"/>
        <v>0</v>
      </c>
      <c r="AL578" s="220">
        <f t="shared" si="1819"/>
        <v>0</v>
      </c>
      <c r="AM578" s="220">
        <f t="shared" si="1820"/>
        <v>0</v>
      </c>
      <c r="AN578" s="221">
        <f t="shared" si="1821"/>
        <v>0</v>
      </c>
      <c r="AO578" s="220">
        <f t="shared" si="1822"/>
        <v>0</v>
      </c>
      <c r="AP578" s="220">
        <f t="shared" si="1823"/>
        <v>0</v>
      </c>
      <c r="AQ578" s="220">
        <f t="shared" si="1824"/>
        <v>0</v>
      </c>
      <c r="AR578" s="220">
        <f t="shared" si="1825"/>
        <v>0</v>
      </c>
      <c r="AS578" s="220">
        <f t="shared" si="1826"/>
        <v>0</v>
      </c>
      <c r="AT578" s="216">
        <f t="shared" si="1827"/>
        <v>0</v>
      </c>
      <c r="AU578" s="222">
        <f>AN578-AK578</f>
        <v>0</v>
      </c>
      <c r="AV578" s="220"/>
      <c r="AW578" s="220">
        <f t="shared" si="1856"/>
        <v>0</v>
      </c>
      <c r="AX578" s="216">
        <f t="shared" si="1811"/>
        <v>0</v>
      </c>
      <c r="AY578" s="220">
        <f t="shared" si="1866"/>
        <v>0</v>
      </c>
      <c r="AZ578" s="220">
        <f t="shared" si="1867"/>
        <v>0</v>
      </c>
      <c r="BA578" s="220">
        <f t="shared" si="1868"/>
        <v>0</v>
      </c>
      <c r="BB578" s="220">
        <f t="shared" si="1869"/>
        <v>0</v>
      </c>
      <c r="BC578" s="220">
        <f t="shared" si="1870"/>
        <v>0</v>
      </c>
      <c r="BD578" s="216">
        <f t="shared" si="1778"/>
        <v>0</v>
      </c>
      <c r="BE578" s="220">
        <f t="shared" si="1857"/>
        <v>0</v>
      </c>
      <c r="BF578" s="220">
        <f t="shared" si="1858"/>
        <v>0</v>
      </c>
      <c r="BG578" s="220">
        <f t="shared" si="1859"/>
        <v>0</v>
      </c>
      <c r="BH578" s="220">
        <f t="shared" si="1860"/>
        <v>0</v>
      </c>
      <c r="BI578" s="220">
        <f t="shared" si="1861"/>
        <v>0</v>
      </c>
      <c r="BJ578" s="220" t="s">
        <v>3159</v>
      </c>
      <c r="BK578" s="220"/>
      <c r="BL578" s="223">
        <f t="shared" si="1784"/>
        <v>0</v>
      </c>
      <c r="BM578" s="220">
        <v>3.33</v>
      </c>
      <c r="BN578" s="220"/>
      <c r="BO578" s="220">
        <f t="shared" si="1878"/>
        <v>3.33</v>
      </c>
      <c r="BP578" s="220">
        <f>IF(AND(BL578&gt;0,BL578&lt;tiet!$D$1),BL578,IF(BL578&lt;=0,0,IF(BL578&gt;tiet!$C$1,tiet!$C$1)))</f>
        <v>0</v>
      </c>
      <c r="BQ578" s="87">
        <f t="shared" si="1881"/>
        <v>65000</v>
      </c>
      <c r="BR578" s="224">
        <f t="shared" si="1882"/>
        <v>0</v>
      </c>
      <c r="BS578" s="220">
        <f t="shared" si="1686"/>
        <v>0</v>
      </c>
      <c r="BT578" s="224">
        <f>VLOOKUP(N578,ma_dinhmuc!$A$1:$J$31,10,0)</f>
        <v>51000</v>
      </c>
      <c r="BU578" s="224">
        <f>ROUND(IF(BS578&gt;0,VLOOKUP(N578,ma_dinhmuc!$A$1:$J$31,10,0)*BS578,0),0)</f>
        <v>0</v>
      </c>
      <c r="BV578" s="224">
        <f t="shared" si="1883"/>
        <v>0</v>
      </c>
      <c r="BW578" s="224"/>
      <c r="BX578" s="224">
        <v>0</v>
      </c>
      <c r="BY578" s="224"/>
      <c r="BZ578" s="224"/>
      <c r="CA578" s="224"/>
      <c r="CB578" s="224"/>
      <c r="CC578" s="225">
        <f>ROUND(IF(BV578+BW578&gt;BX578+BY578+BZ578+CA578+CB578,(BW578+BV578)-(BX578+BY578+BZ578+CA578+CB578+CB578),0),0)</f>
        <v>0</v>
      </c>
      <c r="CD578" s="224">
        <f>ROUND(IF(BV578+BW578&lt;BX578+BY578+BZ578+CA578-CB578,(BX578+BY578+BZ578+CA578-CB578)-(BW578+BV578),0),0)</f>
        <v>0</v>
      </c>
      <c r="CE578" s="224"/>
      <c r="CF578" s="226"/>
      <c r="CG578" s="87"/>
      <c r="CH578" s="87">
        <f t="shared" si="1854"/>
        <v>31</v>
      </c>
      <c r="CI578" s="227" t="str">
        <f t="shared" si="1847"/>
        <v>Hoàng Sĩ</v>
      </c>
      <c r="CJ578" s="227" t="str">
        <f t="shared" si="1848"/>
        <v>Thính</v>
      </c>
      <c r="CK578" s="87">
        <f t="shared" si="1849"/>
        <v>11</v>
      </c>
      <c r="CL578" s="227" t="str">
        <f>L578</f>
        <v>Tài chính</v>
      </c>
      <c r="CM578" s="87" t="str">
        <f t="shared" si="1862"/>
        <v>CS2</v>
      </c>
      <c r="CN578" s="87">
        <f t="shared" si="1886"/>
        <v>270</v>
      </c>
      <c r="CO578" s="87">
        <f t="shared" si="1886"/>
        <v>120</v>
      </c>
      <c r="CP578" s="229">
        <f t="shared" si="1703"/>
        <v>0</v>
      </c>
      <c r="CQ578" s="229">
        <f t="shared" si="1704"/>
        <v>0</v>
      </c>
      <c r="CR578" s="229">
        <f t="shared" si="1705"/>
        <v>0</v>
      </c>
      <c r="CS578" s="229">
        <f t="shared" si="1706"/>
        <v>0</v>
      </c>
      <c r="CT578" s="229">
        <f t="shared" si="1707"/>
        <v>0</v>
      </c>
      <c r="CU578" s="229">
        <f t="shared" si="1708"/>
        <v>0</v>
      </c>
      <c r="CV578" s="229">
        <f t="shared" si="1709"/>
        <v>0</v>
      </c>
      <c r="CW578" s="229">
        <f t="shared" si="1710"/>
        <v>0</v>
      </c>
      <c r="CX578" s="229">
        <f t="shared" si="1711"/>
        <v>0</v>
      </c>
      <c r="CY578" s="229">
        <f t="shared" si="1712"/>
        <v>0</v>
      </c>
      <c r="CZ578" s="229">
        <f t="shared" si="1713"/>
        <v>0</v>
      </c>
      <c r="DA578" s="229">
        <f t="shared" si="1714"/>
        <v>0</v>
      </c>
      <c r="DB578" s="228">
        <f t="shared" si="1834"/>
        <v>0</v>
      </c>
      <c r="DC578" s="229"/>
      <c r="DD578" s="229"/>
      <c r="DE578" s="229"/>
      <c r="DF578" s="229"/>
      <c r="DG578" s="229"/>
      <c r="DH578" s="229"/>
      <c r="DI578" s="229"/>
      <c r="DJ578" s="229"/>
      <c r="DK578" s="229"/>
      <c r="DL578" s="229"/>
      <c r="DM578" s="229"/>
      <c r="DN578" s="229"/>
      <c r="DO578" s="228">
        <f t="shared" si="1835"/>
        <v>0</v>
      </c>
      <c r="DP578" s="228">
        <f t="shared" si="1836"/>
        <v>0</v>
      </c>
      <c r="DQ578" s="229">
        <f t="shared" si="1715"/>
        <v>0</v>
      </c>
      <c r="DR578" s="229">
        <f t="shared" si="1716"/>
        <v>0</v>
      </c>
      <c r="DS578" s="229">
        <f t="shared" si="1717"/>
        <v>0</v>
      </c>
      <c r="DT578" s="229">
        <f t="shared" si="1718"/>
        <v>0</v>
      </c>
      <c r="DU578" s="229">
        <f t="shared" si="1719"/>
        <v>0</v>
      </c>
      <c r="DV578" s="229">
        <f t="shared" si="1720"/>
        <v>0</v>
      </c>
      <c r="DW578" s="229">
        <f t="shared" si="1721"/>
        <v>0</v>
      </c>
      <c r="DX578" s="228">
        <f t="shared" si="1837"/>
        <v>0</v>
      </c>
      <c r="DY578" s="229"/>
      <c r="DZ578" s="229"/>
      <c r="EA578" s="229"/>
      <c r="EB578" s="229"/>
      <c r="EC578" s="229"/>
      <c r="ED578" s="229"/>
      <c r="EE578" s="229"/>
      <c r="EF578" s="228">
        <f t="shared" si="1696"/>
        <v>0</v>
      </c>
      <c r="EG578" s="228">
        <f t="shared" si="1838"/>
        <v>0</v>
      </c>
      <c r="EH578" s="229">
        <f t="shared" si="1697"/>
        <v>0</v>
      </c>
      <c r="EI578" s="229">
        <v>0</v>
      </c>
      <c r="EJ578" s="228">
        <f t="shared" si="1880"/>
        <v>0</v>
      </c>
      <c r="EK578" s="229"/>
      <c r="EL578" s="229"/>
      <c r="EM578" s="228">
        <f>SUM(EK578:EL578)</f>
        <v>0</v>
      </c>
      <c r="EN578" s="229">
        <f t="shared" si="1765"/>
        <v>0</v>
      </c>
      <c r="EO578" s="229">
        <f>EI578</f>
        <v>0</v>
      </c>
      <c r="EP578" s="228">
        <f>EM578+EJ578</f>
        <v>0</v>
      </c>
      <c r="EQ578" s="173">
        <f t="shared" si="1687"/>
        <v>0</v>
      </c>
      <c r="ER578" s="189">
        <v>0</v>
      </c>
      <c r="ES578" s="189">
        <v>0</v>
      </c>
      <c r="ET578" s="189">
        <v>0</v>
      </c>
      <c r="EU578" s="189">
        <v>0</v>
      </c>
      <c r="EV578" s="189">
        <v>0</v>
      </c>
      <c r="EW578" s="189">
        <v>0</v>
      </c>
      <c r="EX578" s="189">
        <v>0</v>
      </c>
      <c r="EY578" s="189">
        <v>0</v>
      </c>
      <c r="EZ578" s="189">
        <v>0</v>
      </c>
      <c r="FA578" s="189">
        <v>0</v>
      </c>
      <c r="FB578" s="189">
        <v>0</v>
      </c>
      <c r="FC578" s="189">
        <v>0</v>
      </c>
      <c r="FD578" s="189">
        <v>0</v>
      </c>
      <c r="FE578" s="189">
        <v>0</v>
      </c>
      <c r="FF578" s="189">
        <v>0</v>
      </c>
      <c r="FG578" s="189">
        <v>0</v>
      </c>
      <c r="FH578" s="189">
        <v>0</v>
      </c>
      <c r="FI578" s="189">
        <v>0</v>
      </c>
      <c r="FJ578" s="189">
        <v>0</v>
      </c>
      <c r="FK578" s="189">
        <v>0</v>
      </c>
      <c r="FL578" s="189">
        <v>0</v>
      </c>
      <c r="FN578" s="132">
        <v>0</v>
      </c>
    </row>
    <row r="579" spans="1:170" ht="30" customHeight="1">
      <c r="A579" s="88">
        <f>COUNTIF($H$12:H579,H579)</f>
        <v>32</v>
      </c>
      <c r="B579" s="88" t="s">
        <v>483</v>
      </c>
      <c r="C579" s="88" t="s">
        <v>240</v>
      </c>
      <c r="D579" s="88"/>
      <c r="E579" s="88"/>
      <c r="F579" s="301" t="s">
        <v>2401</v>
      </c>
      <c r="G579" s="89" t="s">
        <v>2809</v>
      </c>
      <c r="H579" s="88">
        <v>11</v>
      </c>
      <c r="I579" s="88">
        <v>11</v>
      </c>
      <c r="J579" s="88">
        <v>11</v>
      </c>
      <c r="K579" s="90" t="s">
        <v>1663</v>
      </c>
      <c r="L579" s="90" t="s">
        <v>1663</v>
      </c>
      <c r="M579" s="214"/>
      <c r="N579" s="88" t="s">
        <v>1804</v>
      </c>
      <c r="O579" s="216">
        <f t="shared" si="1865"/>
        <v>3.33</v>
      </c>
      <c r="P579" s="88" t="str">
        <f t="shared" si="1785"/>
        <v>B1_4</v>
      </c>
      <c r="Q579" s="88">
        <f t="shared" si="1751"/>
        <v>270</v>
      </c>
      <c r="R579" s="88">
        <f t="shared" si="1752"/>
        <v>120</v>
      </c>
      <c r="S579" s="218" t="s">
        <v>1721</v>
      </c>
      <c r="T579" s="88" t="s">
        <v>2961</v>
      </c>
      <c r="U579" s="88">
        <f>IF(RIGHT(T579,1)="K",(VLOOKUP(T579,ma_miengiam!$A$3:$B$80,2,0)*100)/2,VLOOKUP(T579,ma_miengiam!$A$3:$B$80,2,0)*100)</f>
        <v>100</v>
      </c>
      <c r="V579" s="88"/>
      <c r="W579" s="220">
        <f>IF(AND(T579="NTS",V579&gt;0),(Q579-(Q579*V579)/12)*VLOOKUP(T579,ma_miengiam!$A$3:$B$80,2,0)+(Q579-(Q579*(12-V579))/12),IF(AND(RIGHT(T579,1)="K",V579&gt;0),(VLOOKUP(T579,ma_miengiam!$A$3:$B$80,2,0)/2)*(Q579*V579)/12,IF(RIGHT(T579,1)="K",(VLOOKUP(T579,ma_miengiam!$A$3:$B$80,2,0)*Q579)/2,IF(V579&gt;0,VLOOKUP(T579,ma_miengiam!$A$3:$B$80,2,0)*Q579*V579/12,VLOOKUP(T579,ma_miengiam!$A$3:$B$80,2,0)*Q579))))</f>
        <v>270</v>
      </c>
      <c r="X579" s="220">
        <f>IF(T579="NTS",VLOOKUP(T579,ma_miengiam!$A$3:$B$80,2,0)*R579*V579,IF(AND(T579="NTS",V579=0),0,IF(AND(LEFT(T579,1)="K",V579=0),VLOOKUP(T579,ma_miengiam!$A$3:$B$80,2,0)*R579,IF(LEFT(T579,1)="K",(VLOOKUP(T579,ma_miengiam!$A$3:$B$80,2,0)*R579/12)*V579,IF(AND(LEFT(T579,1)="S",V579&gt;0),(R579/12)*V579,IF(AND(LEFT(T579,1)="S",V579=0),R579,IF(T579="DH",VLOOKUP(T579,ma_miengiam!$A$3:$B$80,2,0)*R579,0)))))))</f>
        <v>120</v>
      </c>
      <c r="Y579" s="220">
        <f t="shared" si="1745"/>
        <v>0</v>
      </c>
      <c r="Z579" s="220">
        <f t="shared" si="1874"/>
        <v>0</v>
      </c>
      <c r="AA579" s="220">
        <f t="shared" si="1884"/>
        <v>270</v>
      </c>
      <c r="AB579" s="220">
        <f t="shared" si="1884"/>
        <v>120</v>
      </c>
      <c r="AC579" s="220">
        <f t="shared" si="1885"/>
        <v>270</v>
      </c>
      <c r="AD579" s="220">
        <f t="shared" si="1885"/>
        <v>120</v>
      </c>
      <c r="AE579" s="220">
        <f t="shared" si="1885"/>
        <v>0</v>
      </c>
      <c r="AF579" s="220">
        <f t="shared" si="1885"/>
        <v>0</v>
      </c>
      <c r="AG579" s="220">
        <f t="shared" si="1875"/>
        <v>0</v>
      </c>
      <c r="AH579" s="220">
        <f t="shared" si="1876"/>
        <v>0</v>
      </c>
      <c r="AI579" s="220">
        <f t="shared" si="1877"/>
        <v>0</v>
      </c>
      <c r="AJ579" s="220">
        <f t="shared" si="1780"/>
        <v>0</v>
      </c>
      <c r="AK579" s="216">
        <f t="shared" si="1812"/>
        <v>0</v>
      </c>
      <c r="AL579" s="220">
        <f t="shared" si="1819"/>
        <v>0</v>
      </c>
      <c r="AM579" s="220">
        <f t="shared" si="1820"/>
        <v>0</v>
      </c>
      <c r="AN579" s="221">
        <f t="shared" si="1821"/>
        <v>0</v>
      </c>
      <c r="AO579" s="220">
        <f t="shared" si="1822"/>
        <v>0</v>
      </c>
      <c r="AP579" s="220">
        <f t="shared" si="1823"/>
        <v>0</v>
      </c>
      <c r="AQ579" s="220">
        <f t="shared" si="1824"/>
        <v>0</v>
      </c>
      <c r="AR579" s="220">
        <f t="shared" si="1825"/>
        <v>0</v>
      </c>
      <c r="AS579" s="220">
        <f t="shared" si="1826"/>
        <v>0</v>
      </c>
      <c r="AT579" s="216">
        <f t="shared" si="1827"/>
        <v>0</v>
      </c>
      <c r="AU579" s="222">
        <f>AN579-AK579</f>
        <v>0</v>
      </c>
      <c r="AV579" s="220"/>
      <c r="AW579" s="220">
        <f t="shared" si="1856"/>
        <v>0</v>
      </c>
      <c r="AX579" s="216">
        <f t="shared" si="1811"/>
        <v>0</v>
      </c>
      <c r="AY579" s="220">
        <f t="shared" si="1866"/>
        <v>0</v>
      </c>
      <c r="AZ579" s="220">
        <f t="shared" si="1867"/>
        <v>0</v>
      </c>
      <c r="BA579" s="220">
        <f t="shared" si="1868"/>
        <v>0</v>
      </c>
      <c r="BB579" s="220">
        <f t="shared" si="1869"/>
        <v>0</v>
      </c>
      <c r="BC579" s="220">
        <f t="shared" si="1870"/>
        <v>0</v>
      </c>
      <c r="BD579" s="216">
        <f t="shared" si="1778"/>
        <v>0</v>
      </c>
      <c r="BE579" s="220">
        <f t="shared" si="1857"/>
        <v>0</v>
      </c>
      <c r="BF579" s="220">
        <f t="shared" si="1858"/>
        <v>0</v>
      </c>
      <c r="BG579" s="220">
        <f t="shared" si="1859"/>
        <v>0</v>
      </c>
      <c r="BH579" s="220">
        <f t="shared" si="1860"/>
        <v>0</v>
      </c>
      <c r="BI579" s="220">
        <f t="shared" si="1861"/>
        <v>0</v>
      </c>
      <c r="BJ579" s="220" t="s">
        <v>3159</v>
      </c>
      <c r="BK579" s="220"/>
      <c r="BL579" s="223">
        <f t="shared" si="1784"/>
        <v>0</v>
      </c>
      <c r="BM579" s="220">
        <v>3.33</v>
      </c>
      <c r="BN579" s="220"/>
      <c r="BO579" s="220">
        <f t="shared" si="1878"/>
        <v>3.33</v>
      </c>
      <c r="BP579" s="220">
        <f>IF(AND(BL579&gt;0,BL579&lt;tiet!$D$1),BL579,IF(BL579&lt;=0,0,IF(BL579&gt;tiet!$C$1,tiet!$C$1)))</f>
        <v>0</v>
      </c>
      <c r="BQ579" s="87">
        <f t="shared" si="1881"/>
        <v>65000</v>
      </c>
      <c r="BR579" s="224">
        <f t="shared" si="1882"/>
        <v>0</v>
      </c>
      <c r="BS579" s="220">
        <f t="shared" si="1686"/>
        <v>0</v>
      </c>
      <c r="BT579" s="224">
        <f>VLOOKUP(N579,ma_dinhmuc!$A$1:$J$31,10,0)</f>
        <v>51000</v>
      </c>
      <c r="BU579" s="224">
        <f>ROUND(IF(BS579&gt;0,VLOOKUP(N579,ma_dinhmuc!$A$1:$J$31,10,0)*BS579,0),0)</f>
        <v>0</v>
      </c>
      <c r="BV579" s="224">
        <f t="shared" si="1883"/>
        <v>0</v>
      </c>
      <c r="BW579" s="224"/>
      <c r="BX579" s="224">
        <v>0</v>
      </c>
      <c r="BY579" s="224"/>
      <c r="BZ579" s="224"/>
      <c r="CA579" s="224"/>
      <c r="CB579" s="224"/>
      <c r="CC579" s="225">
        <f>ROUND(IF(BV579+BW579&gt;BX579+BY579+BZ579+CA579+CB579,(BW579+BV579)-(BX579+BY579+BZ579+CA579+CB579+CB579),0),0)</f>
        <v>0</v>
      </c>
      <c r="CD579" s="224">
        <f>ROUND(IF(BV579+BW579&lt;BX579+BY579+BZ579+CA579-CB579,(BX579+BY579+BZ579+CA579-CB579)-(BW579+BV579),0),0)</f>
        <v>0</v>
      </c>
      <c r="CE579" s="224"/>
      <c r="CF579" s="226"/>
      <c r="CG579" s="87"/>
      <c r="CH579" s="87">
        <f t="shared" si="1854"/>
        <v>32</v>
      </c>
      <c r="CI579" s="227" t="str">
        <f t="shared" si="1847"/>
        <v>Nguyễn Đăng</v>
      </c>
      <c r="CJ579" s="227" t="str">
        <f t="shared" si="1848"/>
        <v>Tùng</v>
      </c>
      <c r="CK579" s="87">
        <f t="shared" si="1849"/>
        <v>11</v>
      </c>
      <c r="CL579" s="227" t="str">
        <f>L579</f>
        <v>Tài chính</v>
      </c>
      <c r="CM579" s="87" t="str">
        <f t="shared" si="1862"/>
        <v>CS2</v>
      </c>
      <c r="CN579" s="87">
        <f t="shared" si="1886"/>
        <v>270</v>
      </c>
      <c r="CO579" s="87">
        <f t="shared" si="1886"/>
        <v>120</v>
      </c>
      <c r="CP579" s="229">
        <f t="shared" si="1703"/>
        <v>0</v>
      </c>
      <c r="CQ579" s="229">
        <f t="shared" si="1704"/>
        <v>0</v>
      </c>
      <c r="CR579" s="229">
        <f t="shared" si="1705"/>
        <v>0</v>
      </c>
      <c r="CS579" s="229">
        <f t="shared" si="1706"/>
        <v>0</v>
      </c>
      <c r="CT579" s="229">
        <f t="shared" si="1707"/>
        <v>0</v>
      </c>
      <c r="CU579" s="229">
        <f t="shared" si="1708"/>
        <v>0</v>
      </c>
      <c r="CV579" s="229">
        <f t="shared" si="1709"/>
        <v>0</v>
      </c>
      <c r="CW579" s="229">
        <f t="shared" si="1710"/>
        <v>0</v>
      </c>
      <c r="CX579" s="229">
        <f t="shared" si="1711"/>
        <v>0</v>
      </c>
      <c r="CY579" s="229">
        <f t="shared" si="1712"/>
        <v>0</v>
      </c>
      <c r="CZ579" s="229">
        <f t="shared" si="1713"/>
        <v>0</v>
      </c>
      <c r="DA579" s="229">
        <f t="shared" si="1714"/>
        <v>0</v>
      </c>
      <c r="DB579" s="228">
        <f t="shared" si="1834"/>
        <v>0</v>
      </c>
      <c r="DC579" s="229"/>
      <c r="DD579" s="229"/>
      <c r="DE579" s="229"/>
      <c r="DF579" s="229"/>
      <c r="DG579" s="229"/>
      <c r="DH579" s="229"/>
      <c r="DI579" s="229"/>
      <c r="DJ579" s="229"/>
      <c r="DK579" s="229"/>
      <c r="DL579" s="229"/>
      <c r="DM579" s="229"/>
      <c r="DN579" s="229"/>
      <c r="DO579" s="228">
        <f t="shared" si="1835"/>
        <v>0</v>
      </c>
      <c r="DP579" s="228">
        <f t="shared" si="1836"/>
        <v>0</v>
      </c>
      <c r="DQ579" s="229">
        <f t="shared" si="1715"/>
        <v>0</v>
      </c>
      <c r="DR579" s="229">
        <f t="shared" si="1716"/>
        <v>0</v>
      </c>
      <c r="DS579" s="229">
        <f t="shared" si="1717"/>
        <v>0</v>
      </c>
      <c r="DT579" s="229">
        <f t="shared" si="1718"/>
        <v>0</v>
      </c>
      <c r="DU579" s="229">
        <f t="shared" si="1719"/>
        <v>0</v>
      </c>
      <c r="DV579" s="229">
        <f t="shared" si="1720"/>
        <v>0</v>
      </c>
      <c r="DW579" s="229">
        <f t="shared" si="1721"/>
        <v>0</v>
      </c>
      <c r="DX579" s="228">
        <f t="shared" si="1837"/>
        <v>0</v>
      </c>
      <c r="DY579" s="229"/>
      <c r="DZ579" s="229"/>
      <c r="EA579" s="229"/>
      <c r="EB579" s="229"/>
      <c r="EC579" s="229"/>
      <c r="ED579" s="229"/>
      <c r="EE579" s="229"/>
      <c r="EF579" s="228">
        <f t="shared" si="1696"/>
        <v>0</v>
      </c>
      <c r="EG579" s="228">
        <f t="shared" si="1838"/>
        <v>0</v>
      </c>
      <c r="EH579" s="229">
        <f t="shared" si="1697"/>
        <v>0</v>
      </c>
      <c r="EI579" s="229">
        <v>0</v>
      </c>
      <c r="EJ579" s="228">
        <f t="shared" si="1880"/>
        <v>0</v>
      </c>
      <c r="EK579" s="229"/>
      <c r="EL579" s="229"/>
      <c r="EM579" s="228">
        <f>SUM(EK579:EL579)</f>
        <v>0</v>
      </c>
      <c r="EN579" s="229">
        <f t="shared" si="1765"/>
        <v>0</v>
      </c>
      <c r="EO579" s="229">
        <f>EI579</f>
        <v>0</v>
      </c>
      <c r="EP579" s="228">
        <f>EM579+EJ579</f>
        <v>0</v>
      </c>
      <c r="EQ579" s="173">
        <f t="shared" si="1687"/>
        <v>0</v>
      </c>
      <c r="ER579" s="189">
        <v>0</v>
      </c>
      <c r="ES579" s="189">
        <v>0</v>
      </c>
      <c r="ET579" s="189">
        <v>0</v>
      </c>
      <c r="EU579" s="189">
        <v>0</v>
      </c>
      <c r="EV579" s="189">
        <v>0</v>
      </c>
      <c r="EW579" s="189">
        <v>0</v>
      </c>
      <c r="EX579" s="189">
        <v>0</v>
      </c>
      <c r="EY579" s="189">
        <v>0</v>
      </c>
      <c r="EZ579" s="189">
        <v>0</v>
      </c>
      <c r="FA579" s="189">
        <v>0</v>
      </c>
      <c r="FB579" s="189">
        <v>0</v>
      </c>
      <c r="FC579" s="189">
        <v>0</v>
      </c>
      <c r="FD579" s="189">
        <v>0</v>
      </c>
      <c r="FE579" s="189">
        <v>0</v>
      </c>
      <c r="FF579" s="189">
        <v>0</v>
      </c>
      <c r="FG579" s="189">
        <v>0</v>
      </c>
      <c r="FH579" s="189">
        <v>0</v>
      </c>
      <c r="FI579" s="189">
        <v>0</v>
      </c>
      <c r="FJ579" s="189">
        <v>0</v>
      </c>
      <c r="FK579" s="189">
        <v>0</v>
      </c>
      <c r="FL579" s="189">
        <v>0</v>
      </c>
      <c r="FN579" s="132">
        <v>0</v>
      </c>
    </row>
    <row r="580" spans="1:170" ht="30" customHeight="1">
      <c r="A580" s="88">
        <f>COUNTIF($H$12:H580,H580)</f>
        <v>33</v>
      </c>
      <c r="B580" s="88" t="s">
        <v>2141</v>
      </c>
      <c r="C580" s="88" t="s">
        <v>241</v>
      </c>
      <c r="D580" s="88"/>
      <c r="E580" s="88"/>
      <c r="F580" s="301" t="s">
        <v>664</v>
      </c>
      <c r="G580" s="89" t="s">
        <v>19</v>
      </c>
      <c r="H580" s="88">
        <v>11</v>
      </c>
      <c r="I580" s="88">
        <v>11</v>
      </c>
      <c r="J580" s="88">
        <v>11</v>
      </c>
      <c r="K580" s="91" t="s">
        <v>1021</v>
      </c>
      <c r="L580" s="91" t="s">
        <v>1021</v>
      </c>
      <c r="M580" s="214"/>
      <c r="N580" s="88" t="s">
        <v>605</v>
      </c>
      <c r="O580" s="216">
        <f t="shared" si="1865"/>
        <v>6.92</v>
      </c>
      <c r="P580" s="88" t="str">
        <f t="shared" si="1785"/>
        <v>B1_7</v>
      </c>
      <c r="Q580" s="88">
        <f t="shared" si="1751"/>
        <v>270</v>
      </c>
      <c r="R580" s="88">
        <f t="shared" si="1752"/>
        <v>200</v>
      </c>
      <c r="S580" s="218" t="s">
        <v>682</v>
      </c>
      <c r="T580" s="88" t="s">
        <v>3093</v>
      </c>
      <c r="U580" s="88">
        <f>IF(RIGHT(T580,1)="K",(VLOOKUP(T580,ma_miengiam!$A$3:$B$80,2,0)*100)/2,VLOOKUP(T580,ma_miengiam!$A$3:$B$80,2,0)*100)</f>
        <v>30</v>
      </c>
      <c r="V580" s="88"/>
      <c r="W580" s="220">
        <f>IF(AND(T580="NTS",V580&gt;0),(Q580-(Q580*V580)/12)*VLOOKUP(T580,ma_miengiam!$A$3:$B$80,2,0)+(Q580-(Q580*(12-V580))/12),IF(AND(RIGHT(T580,1)="K",V580&gt;0),(VLOOKUP(T580,ma_miengiam!$A$3:$B$80,2,0)/2)*(Q580*V580)/12,IF(RIGHT(T580,1)="K",(VLOOKUP(T580,ma_miengiam!$A$3:$B$80,2,0)*Q580)/2,IF(V580&gt;0,VLOOKUP(T580,ma_miengiam!$A$3:$B$80,2,0)*Q580*V580/12,VLOOKUP(T580,ma_miengiam!$A$3:$B$80,2,0)*Q580))))</f>
        <v>81</v>
      </c>
      <c r="X580" s="220">
        <f>IF(T580="NTS",VLOOKUP(T580,ma_miengiam!$A$3:$B$80,2,0)*R580*V580,IF(AND(T580="NTS",V580=0),0,IF(AND(LEFT(T580,1)="K",V580=0),VLOOKUP(T580,ma_miengiam!$A$3:$B$80,2,0)*R580,IF(LEFT(T580,1)="K",(VLOOKUP(T580,ma_miengiam!$A$3:$B$80,2,0)*R580/12)*V580,IF(AND(LEFT(T580,1)="S",V580&gt;0),(R580/12)*V580,IF(AND(LEFT(T580,1)="S",V580=0),R580,IF(T580="DH",VLOOKUP(T580,ma_miengiam!$A$3:$B$80,2,0)*R580,0)))))))</f>
        <v>0</v>
      </c>
      <c r="Y580" s="220">
        <f t="shared" si="1745"/>
        <v>189</v>
      </c>
      <c r="Z580" s="220">
        <f t="shared" si="1874"/>
        <v>200</v>
      </c>
      <c r="AA580" s="220">
        <f t="shared" ref="AA580:AB583" si="1887">Q580</f>
        <v>270</v>
      </c>
      <c r="AB580" s="220">
        <f t="shared" si="1887"/>
        <v>200</v>
      </c>
      <c r="AC580" s="220">
        <f t="shared" ref="AC580:AF581" si="1888">W580</f>
        <v>81</v>
      </c>
      <c r="AD580" s="220">
        <f t="shared" si="1888"/>
        <v>0</v>
      </c>
      <c r="AE580" s="220">
        <f t="shared" si="1888"/>
        <v>189</v>
      </c>
      <c r="AF580" s="220">
        <f t="shared" si="1888"/>
        <v>200</v>
      </c>
      <c r="AG580" s="220">
        <f t="shared" si="1875"/>
        <v>366.27</v>
      </c>
      <c r="AH580" s="220">
        <f t="shared" si="1876"/>
        <v>104.13</v>
      </c>
      <c r="AI580" s="220">
        <f t="shared" si="1877"/>
        <v>262.14</v>
      </c>
      <c r="AJ580" s="220">
        <f t="shared" si="1780"/>
        <v>0</v>
      </c>
      <c r="AK580" s="216">
        <f t="shared" si="1812"/>
        <v>189</v>
      </c>
      <c r="AL580" s="220">
        <f t="shared" si="1819"/>
        <v>186</v>
      </c>
      <c r="AM580" s="220">
        <f t="shared" si="1820"/>
        <v>397.6</v>
      </c>
      <c r="AN580" s="221">
        <f t="shared" si="1821"/>
        <v>583.6</v>
      </c>
      <c r="AO580" s="220">
        <f t="shared" si="1822"/>
        <v>0</v>
      </c>
      <c r="AP580" s="220">
        <f t="shared" si="1823"/>
        <v>0</v>
      </c>
      <c r="AQ580" s="220">
        <f t="shared" si="1824"/>
        <v>40</v>
      </c>
      <c r="AR580" s="220">
        <f t="shared" si="1825"/>
        <v>560</v>
      </c>
      <c r="AS580" s="220">
        <f t="shared" si="1826"/>
        <v>90</v>
      </c>
      <c r="AT580" s="216">
        <f t="shared" si="1827"/>
        <v>1273.5999999999999</v>
      </c>
      <c r="AU580" s="222">
        <f t="shared" si="1792"/>
        <v>394.6</v>
      </c>
      <c r="AV580" s="220"/>
      <c r="AW580" s="220">
        <f t="shared" si="1856"/>
        <v>394.6</v>
      </c>
      <c r="AX580" s="216">
        <f t="shared" si="1811"/>
        <v>0</v>
      </c>
      <c r="AY580" s="220">
        <f t="shared" si="1866"/>
        <v>0</v>
      </c>
      <c r="AZ580" s="220">
        <f t="shared" si="1867"/>
        <v>0</v>
      </c>
      <c r="BA580" s="220">
        <f t="shared" si="1868"/>
        <v>40</v>
      </c>
      <c r="BB580" s="220">
        <f t="shared" si="1869"/>
        <v>560</v>
      </c>
      <c r="BC580" s="220">
        <f t="shared" si="1870"/>
        <v>90</v>
      </c>
      <c r="BD580" s="216">
        <f t="shared" si="1778"/>
        <v>690</v>
      </c>
      <c r="BE580" s="220">
        <f t="shared" si="1857"/>
        <v>0</v>
      </c>
      <c r="BF580" s="220">
        <f t="shared" si="1858"/>
        <v>0</v>
      </c>
      <c r="BG580" s="220">
        <f t="shared" si="1859"/>
        <v>0</v>
      </c>
      <c r="BH580" s="220">
        <f t="shared" si="1860"/>
        <v>0</v>
      </c>
      <c r="BI580" s="220">
        <f t="shared" si="1861"/>
        <v>0</v>
      </c>
      <c r="BJ580" s="220" t="s">
        <v>1918</v>
      </c>
      <c r="BK580" s="220"/>
      <c r="BL580" s="223">
        <f t="shared" si="1784"/>
        <v>394.6</v>
      </c>
      <c r="BM580" s="220">
        <v>6.92</v>
      </c>
      <c r="BN580" s="220"/>
      <c r="BO580" s="220">
        <f t="shared" si="1878"/>
        <v>6.92</v>
      </c>
      <c r="BP580" s="220">
        <f>IF(AND(BL580&gt;0,BL580&lt;tiet!$D$1),BL580,IF(BL580&lt;=0,0,IF(BL580&gt;tiet!$C$1,tiet!$C$1)))</f>
        <v>200</v>
      </c>
      <c r="BQ580" s="87">
        <f t="shared" si="1881"/>
        <v>80000</v>
      </c>
      <c r="BR580" s="224">
        <f t="shared" si="1882"/>
        <v>16000000</v>
      </c>
      <c r="BS580" s="220">
        <f t="shared" si="1686"/>
        <v>194.60000000000002</v>
      </c>
      <c r="BT580" s="224">
        <f>VLOOKUP(N580,ma_dinhmuc!$A$1:$J$31,10,0)</f>
        <v>65000</v>
      </c>
      <c r="BU580" s="224">
        <f>ROUND(IF(BS580&gt;0,VLOOKUP(N580,ma_dinhmuc!$A$1:$J$31,10,0)*BS580,0),0)</f>
        <v>12649000</v>
      </c>
      <c r="BV580" s="224">
        <f t="shared" si="1883"/>
        <v>28649000</v>
      </c>
      <c r="BW580" s="224"/>
      <c r="BX580" s="224">
        <v>0</v>
      </c>
      <c r="BY580" s="224"/>
      <c r="BZ580" s="224"/>
      <c r="CA580" s="224"/>
      <c r="CB580" s="224"/>
      <c r="CC580" s="225">
        <f t="shared" ref="CC580:CC585" si="1889">ROUND(IF(BV580+BW580&gt;BX580+BY580+BZ580+CA580+CB580,(BW580+BV580)-(BX580+BY580+BZ580+CA580+CB580+CB580),0),0)</f>
        <v>28649000</v>
      </c>
      <c r="CD580" s="224">
        <f t="shared" ref="CD580:CD585" si="1890">ROUND(IF(BV580+BW580&lt;BX580+BY580+BZ580+CA580-CB580,(BX580+BY580+BZ580+CA580-CB580)-(BW580+BV580),0),0)</f>
        <v>0</v>
      </c>
      <c r="CE580" s="224"/>
      <c r="CF580" s="226"/>
      <c r="CG580" s="87"/>
      <c r="CH580" s="87">
        <f t="shared" si="1854"/>
        <v>33</v>
      </c>
      <c r="CI580" s="227" t="str">
        <f t="shared" si="1847"/>
        <v>Trần Hữu</v>
      </c>
      <c r="CJ580" s="227" t="str">
        <f t="shared" si="1848"/>
        <v>Cường</v>
      </c>
      <c r="CK580" s="87">
        <f t="shared" si="1849"/>
        <v>11</v>
      </c>
      <c r="CL580" s="227" t="str">
        <f t="shared" si="1879"/>
        <v>Marketing</v>
      </c>
      <c r="CM580" s="87" t="str">
        <f t="shared" si="1862"/>
        <v>CS4</v>
      </c>
      <c r="CN580" s="87">
        <f t="shared" ref="CN580:CN594" si="1891">Q580</f>
        <v>270</v>
      </c>
      <c r="CO580" s="87">
        <f t="shared" ref="CO580:CO594" si="1892">R580</f>
        <v>200</v>
      </c>
      <c r="CP580" s="229">
        <f t="shared" si="1703"/>
        <v>0</v>
      </c>
      <c r="CQ580" s="229">
        <f t="shared" si="1704"/>
        <v>20.3</v>
      </c>
      <c r="CR580" s="229">
        <f t="shared" si="1705"/>
        <v>8.1999999999999993</v>
      </c>
      <c r="CS580" s="229">
        <f t="shared" si="1706"/>
        <v>37.5</v>
      </c>
      <c r="CT580" s="229">
        <f t="shared" si="1707"/>
        <v>0</v>
      </c>
      <c r="CU580" s="229">
        <f t="shared" si="1708"/>
        <v>120</v>
      </c>
      <c r="CV580" s="229">
        <f t="shared" si="1709"/>
        <v>0</v>
      </c>
      <c r="CW580" s="229">
        <f t="shared" si="1710"/>
        <v>0</v>
      </c>
      <c r="CX580" s="229">
        <f t="shared" si="1711"/>
        <v>0</v>
      </c>
      <c r="CY580" s="229">
        <f t="shared" si="1712"/>
        <v>0</v>
      </c>
      <c r="CZ580" s="229">
        <f t="shared" si="1713"/>
        <v>0</v>
      </c>
      <c r="DA580" s="229">
        <f t="shared" si="1714"/>
        <v>40</v>
      </c>
      <c r="DB580" s="228">
        <f t="shared" si="1834"/>
        <v>226</v>
      </c>
      <c r="DC580" s="229"/>
      <c r="DD580" s="229"/>
      <c r="DE580" s="229"/>
      <c r="DF580" s="229"/>
      <c r="DG580" s="229"/>
      <c r="DH580" s="229"/>
      <c r="DI580" s="229"/>
      <c r="DJ580" s="229"/>
      <c r="DK580" s="229"/>
      <c r="DL580" s="229"/>
      <c r="DM580" s="229"/>
      <c r="DN580" s="229"/>
      <c r="DO580" s="228">
        <f t="shared" si="1835"/>
        <v>0</v>
      </c>
      <c r="DP580" s="228">
        <f t="shared" si="1836"/>
        <v>226</v>
      </c>
      <c r="DQ580" s="229">
        <f t="shared" si="1715"/>
        <v>378</v>
      </c>
      <c r="DR580" s="229">
        <f t="shared" si="1716"/>
        <v>13.8</v>
      </c>
      <c r="DS580" s="229">
        <f t="shared" si="1717"/>
        <v>0</v>
      </c>
      <c r="DT580" s="229">
        <f t="shared" si="1718"/>
        <v>5.8</v>
      </c>
      <c r="DU580" s="229">
        <f t="shared" si="1719"/>
        <v>0</v>
      </c>
      <c r="DV580" s="229">
        <f t="shared" si="1720"/>
        <v>560</v>
      </c>
      <c r="DW580" s="229">
        <f t="shared" si="1721"/>
        <v>90</v>
      </c>
      <c r="DX580" s="228">
        <f t="shared" si="1837"/>
        <v>1047.5999999999999</v>
      </c>
      <c r="DY580" s="229"/>
      <c r="DZ580" s="229"/>
      <c r="EA580" s="229"/>
      <c r="EB580" s="229"/>
      <c r="EC580" s="229"/>
      <c r="ED580" s="229"/>
      <c r="EE580" s="229"/>
      <c r="EF580" s="228">
        <f t="shared" si="1696"/>
        <v>0</v>
      </c>
      <c r="EG580" s="228">
        <f t="shared" si="1838"/>
        <v>1047.5999999999999</v>
      </c>
      <c r="EH580" s="229">
        <f t="shared" si="1697"/>
        <v>262.14</v>
      </c>
      <c r="EI580" s="229">
        <v>104.13</v>
      </c>
      <c r="EJ580" s="228">
        <f t="shared" si="1880"/>
        <v>366.27</v>
      </c>
      <c r="EK580" s="229"/>
      <c r="EL580" s="229"/>
      <c r="EM580" s="228">
        <f t="shared" ref="EM580:EM585" si="1893">SUM(EK580:EL580)</f>
        <v>0</v>
      </c>
      <c r="EN580" s="229">
        <f t="shared" ref="EN580:EN629" si="1894">EK580+EH580+EL580</f>
        <v>262.14</v>
      </c>
      <c r="EO580" s="229">
        <f t="shared" si="1793"/>
        <v>104.13</v>
      </c>
      <c r="EP580" s="228">
        <f t="shared" ref="EP580:EP585" si="1895">EM580+EJ580</f>
        <v>366.27</v>
      </c>
      <c r="EQ580" s="173">
        <f t="shared" si="1687"/>
        <v>62.139999999999986</v>
      </c>
      <c r="ER580" s="189">
        <v>0</v>
      </c>
      <c r="ES580" s="189">
        <v>20.3</v>
      </c>
      <c r="ET580" s="189">
        <v>8.1999999999999993</v>
      </c>
      <c r="EU580" s="189">
        <v>37.5</v>
      </c>
      <c r="EV580" s="189">
        <v>0</v>
      </c>
      <c r="EW580" s="189">
        <v>120</v>
      </c>
      <c r="EX580" s="189">
        <v>0</v>
      </c>
      <c r="EY580" s="189">
        <v>0</v>
      </c>
      <c r="EZ580" s="189">
        <v>0</v>
      </c>
      <c r="FA580" s="189">
        <v>0</v>
      </c>
      <c r="FB580" s="189">
        <v>0</v>
      </c>
      <c r="FC580" s="189">
        <v>40</v>
      </c>
      <c r="FD580" s="189">
        <v>378</v>
      </c>
      <c r="FE580" s="189">
        <v>13.8</v>
      </c>
      <c r="FF580" s="189">
        <v>0</v>
      </c>
      <c r="FG580" s="189">
        <v>5.8</v>
      </c>
      <c r="FH580" s="189">
        <v>560</v>
      </c>
      <c r="FI580" s="189">
        <v>0</v>
      </c>
      <c r="FJ580" s="189">
        <v>90</v>
      </c>
      <c r="FK580" s="189">
        <v>1273.5999999999999</v>
      </c>
      <c r="FL580" s="189">
        <v>1079.5</v>
      </c>
      <c r="FN580" s="132">
        <v>262.14</v>
      </c>
    </row>
    <row r="581" spans="1:170" ht="30" customHeight="1">
      <c r="A581" s="88">
        <f>COUNTIF($H$12:H581,H581)</f>
        <v>34</v>
      </c>
      <c r="B581" s="88" t="s">
        <v>759</v>
      </c>
      <c r="C581" s="88" t="s">
        <v>242</v>
      </c>
      <c r="D581" s="88"/>
      <c r="E581" s="88"/>
      <c r="F581" s="301" t="s">
        <v>667</v>
      </c>
      <c r="G581" s="303" t="s">
        <v>3085</v>
      </c>
      <c r="H581" s="88">
        <v>11</v>
      </c>
      <c r="I581" s="88">
        <v>11</v>
      </c>
      <c r="J581" s="88">
        <v>11</v>
      </c>
      <c r="K581" s="91" t="s">
        <v>1021</v>
      </c>
      <c r="L581" s="91" t="s">
        <v>1021</v>
      </c>
      <c r="M581" s="214"/>
      <c r="N581" s="88" t="s">
        <v>1804</v>
      </c>
      <c r="O581" s="216">
        <f t="shared" si="1865"/>
        <v>3.66</v>
      </c>
      <c r="P581" s="88" t="str">
        <f t="shared" si="1785"/>
        <v>B1_4</v>
      </c>
      <c r="Q581" s="88">
        <f t="shared" si="1751"/>
        <v>270</v>
      </c>
      <c r="R581" s="88">
        <f t="shared" si="1752"/>
        <v>120</v>
      </c>
      <c r="S581" s="218"/>
      <c r="T581" s="88" t="s">
        <v>3088</v>
      </c>
      <c r="U581" s="88">
        <f>IF(RIGHT(T581,1)="K",(VLOOKUP(T581,ma_miengiam!$A$3:$B$80,2,0)*100)/2,VLOOKUP(T581,ma_miengiam!$A$3:$B$80,2,0)*100)</f>
        <v>0</v>
      </c>
      <c r="V581" s="88"/>
      <c r="W581" s="220">
        <f>IF(AND(T581="NTS",V581&gt;0),(Q581-(Q581*V581)/12)*VLOOKUP(T581,ma_miengiam!$A$3:$B$80,2,0)+(Q581-(Q581*(12-V581))/12),IF(AND(RIGHT(T581,1)="K",V581&gt;0),(VLOOKUP(T581,ma_miengiam!$A$3:$B$80,2,0)/2)*(Q581*V581)/12,IF(RIGHT(T581,1)="K",(VLOOKUP(T581,ma_miengiam!$A$3:$B$80,2,0)*Q581)/2,IF(V581&gt;0,VLOOKUP(T581,ma_miengiam!$A$3:$B$80,2,0)*Q581*V581/12,VLOOKUP(T581,ma_miengiam!$A$3:$B$80,2,0)*Q581))))</f>
        <v>0</v>
      </c>
      <c r="X581" s="220">
        <f>IF(T581="NTS",VLOOKUP(T581,ma_miengiam!$A$3:$B$80,2,0)*R581*V581,IF(AND(T581="NTS",V581=0),0,IF(AND(LEFT(T581,1)="K",V581=0),VLOOKUP(T581,ma_miengiam!$A$3:$B$80,2,0)*R581,IF(LEFT(T581,1)="K",(VLOOKUP(T581,ma_miengiam!$A$3:$B$80,2,0)*R581/12)*V581,IF(AND(LEFT(T581,1)="S",V581&gt;0),(R581/12)*V581,IF(AND(LEFT(T581,1)="S",V581=0),R581,IF(T581="DH",VLOOKUP(T581,ma_miengiam!$A$3:$B$80,2,0)*R581,0)))))))</f>
        <v>0</v>
      </c>
      <c r="Y581" s="220">
        <f t="shared" si="1745"/>
        <v>270</v>
      </c>
      <c r="Z581" s="220">
        <f>IF(AND(T581="SĐH",V581&gt;0),(R581/12)*V581-X581,IF(AND(T581="DH",V581&gt;0),(R581*V581/12),IF(AND(T581&lt;&gt;"NTS",V581&gt;0),(R581*V581/12)-X581,IF(AND(T581="NTS",V581&gt;0),R581-X581,R581-X581))))</f>
        <v>120</v>
      </c>
      <c r="AA581" s="220">
        <f t="shared" si="1887"/>
        <v>270</v>
      </c>
      <c r="AB581" s="220">
        <f t="shared" si="1887"/>
        <v>120</v>
      </c>
      <c r="AC581" s="220">
        <f t="shared" si="1888"/>
        <v>0</v>
      </c>
      <c r="AD581" s="220">
        <f t="shared" si="1888"/>
        <v>0</v>
      </c>
      <c r="AE581" s="220">
        <f t="shared" si="1888"/>
        <v>270</v>
      </c>
      <c r="AF581" s="220">
        <f t="shared" si="1888"/>
        <v>120</v>
      </c>
      <c r="AG581" s="220">
        <f t="shared" ref="AG581:AG595" si="1896">AH581+AI581</f>
        <v>137.47999999999999</v>
      </c>
      <c r="AH581" s="220">
        <f t="shared" ref="AH581:AH595" si="1897">EO581</f>
        <v>62.48</v>
      </c>
      <c r="AI581" s="220">
        <f t="shared" ref="AI581:AI595" si="1898">EN581</f>
        <v>75</v>
      </c>
      <c r="AJ581" s="220">
        <f t="shared" si="1780"/>
        <v>0</v>
      </c>
      <c r="AK581" s="216">
        <f t="shared" si="1812"/>
        <v>270</v>
      </c>
      <c r="AL581" s="220">
        <f t="shared" si="1819"/>
        <v>278.09999999999997</v>
      </c>
      <c r="AM581" s="220">
        <f t="shared" si="1820"/>
        <v>0</v>
      </c>
      <c r="AN581" s="221">
        <f t="shared" si="1821"/>
        <v>278.09999999999997</v>
      </c>
      <c r="AO581" s="220">
        <f t="shared" si="1822"/>
        <v>0</v>
      </c>
      <c r="AP581" s="220">
        <f t="shared" si="1823"/>
        <v>0</v>
      </c>
      <c r="AQ581" s="220">
        <f t="shared" si="1824"/>
        <v>60</v>
      </c>
      <c r="AR581" s="220">
        <f t="shared" si="1825"/>
        <v>0</v>
      </c>
      <c r="AS581" s="220">
        <f t="shared" si="1826"/>
        <v>0</v>
      </c>
      <c r="AT581" s="216">
        <f t="shared" si="1827"/>
        <v>338.09999999999997</v>
      </c>
      <c r="AU581" s="222">
        <f t="shared" si="1792"/>
        <v>8.0999999999999659</v>
      </c>
      <c r="AV581" s="220"/>
      <c r="AW581" s="220">
        <f t="shared" si="1856"/>
        <v>8.0999999999999659</v>
      </c>
      <c r="AX581" s="216">
        <f t="shared" si="1811"/>
        <v>0</v>
      </c>
      <c r="AY581" s="220">
        <f t="shared" si="1866"/>
        <v>0</v>
      </c>
      <c r="AZ581" s="220">
        <f t="shared" si="1867"/>
        <v>0</v>
      </c>
      <c r="BA581" s="220">
        <f t="shared" si="1868"/>
        <v>60</v>
      </c>
      <c r="BB581" s="220">
        <f t="shared" si="1869"/>
        <v>0</v>
      </c>
      <c r="BC581" s="220">
        <f t="shared" si="1870"/>
        <v>0</v>
      </c>
      <c r="BD581" s="216">
        <f t="shared" si="1778"/>
        <v>60</v>
      </c>
      <c r="BE581" s="220">
        <f t="shared" si="1857"/>
        <v>0</v>
      </c>
      <c r="BF581" s="220">
        <f t="shared" si="1858"/>
        <v>0</v>
      </c>
      <c r="BG581" s="220">
        <f t="shared" si="1859"/>
        <v>0</v>
      </c>
      <c r="BH581" s="220">
        <f t="shared" si="1860"/>
        <v>0</v>
      </c>
      <c r="BI581" s="220">
        <f t="shared" si="1861"/>
        <v>0</v>
      </c>
      <c r="BJ581" s="220" t="s">
        <v>1918</v>
      </c>
      <c r="BK581" s="220"/>
      <c r="BL581" s="223">
        <f t="shared" si="1784"/>
        <v>8.0999999999999659</v>
      </c>
      <c r="BM581" s="220">
        <v>3.66</v>
      </c>
      <c r="BN581" s="220"/>
      <c r="BO581" s="220">
        <f t="shared" ref="BO581:BO594" si="1899">ROUND(BM581+(BM581*BN581),2)</f>
        <v>3.66</v>
      </c>
      <c r="BP581" s="220">
        <f>IF(AND(BL581&gt;0,BL581&lt;tiet!$D$1),BL581,IF(BL581&lt;=0,0,IF(BL581&gt;tiet!$C$1,tiet!$C$1)))</f>
        <v>8.0999999999999659</v>
      </c>
      <c r="BQ581" s="87">
        <f t="shared" si="1881"/>
        <v>65000</v>
      </c>
      <c r="BR581" s="224">
        <f t="shared" si="1882"/>
        <v>526500</v>
      </c>
      <c r="BS581" s="220">
        <f t="shared" si="1686"/>
        <v>0</v>
      </c>
      <c r="BT581" s="224">
        <f>VLOOKUP(N581,ma_dinhmuc!$A$1:$J$31,10,0)</f>
        <v>51000</v>
      </c>
      <c r="BU581" s="224">
        <f>ROUND(IF(BS581&gt;0,VLOOKUP(N581,ma_dinhmuc!$A$1:$J$31,10,0)*BS581,0),0)</f>
        <v>0</v>
      </c>
      <c r="BV581" s="224">
        <f t="shared" si="1883"/>
        <v>526500</v>
      </c>
      <c r="BW581" s="224"/>
      <c r="BX581" s="224">
        <v>0</v>
      </c>
      <c r="BY581" s="224"/>
      <c r="BZ581" s="224"/>
      <c r="CA581" s="224"/>
      <c r="CB581" s="224"/>
      <c r="CC581" s="225">
        <f t="shared" si="1889"/>
        <v>526500</v>
      </c>
      <c r="CD581" s="224">
        <f t="shared" si="1890"/>
        <v>0</v>
      </c>
      <c r="CE581" s="224"/>
      <c r="CF581" s="226"/>
      <c r="CG581" s="87"/>
      <c r="CH581" s="87">
        <f t="shared" si="1854"/>
        <v>34</v>
      </c>
      <c r="CI581" s="227" t="str">
        <f t="shared" si="1847"/>
        <v>Đặng Thị Kim</v>
      </c>
      <c r="CJ581" s="227" t="str">
        <f t="shared" si="1848"/>
        <v>Hoa</v>
      </c>
      <c r="CK581" s="87">
        <f t="shared" si="1849"/>
        <v>11</v>
      </c>
      <c r="CL581" s="227" t="str">
        <f t="shared" si="1879"/>
        <v>Marketing</v>
      </c>
      <c r="CM581" s="87" t="str">
        <f t="shared" si="1862"/>
        <v>CS2</v>
      </c>
      <c r="CN581" s="87">
        <f t="shared" si="1891"/>
        <v>270</v>
      </c>
      <c r="CO581" s="87">
        <f t="shared" si="1892"/>
        <v>120</v>
      </c>
      <c r="CP581" s="229">
        <f t="shared" si="1703"/>
        <v>0</v>
      </c>
      <c r="CQ581" s="229">
        <f t="shared" si="1704"/>
        <v>41</v>
      </c>
      <c r="CR581" s="229">
        <f t="shared" si="1705"/>
        <v>16.399999999999999</v>
      </c>
      <c r="CS581" s="229">
        <f t="shared" si="1706"/>
        <v>0</v>
      </c>
      <c r="CT581" s="229">
        <f t="shared" si="1707"/>
        <v>0</v>
      </c>
      <c r="CU581" s="229">
        <f t="shared" si="1708"/>
        <v>220.7</v>
      </c>
      <c r="CV581" s="229">
        <f t="shared" si="1709"/>
        <v>0</v>
      </c>
      <c r="CW581" s="229">
        <f t="shared" si="1710"/>
        <v>0</v>
      </c>
      <c r="CX581" s="229">
        <f t="shared" si="1711"/>
        <v>0</v>
      </c>
      <c r="CY581" s="229">
        <f t="shared" si="1712"/>
        <v>0</v>
      </c>
      <c r="CZ581" s="229">
        <f t="shared" si="1713"/>
        <v>0</v>
      </c>
      <c r="DA581" s="229">
        <f t="shared" si="1714"/>
        <v>60</v>
      </c>
      <c r="DB581" s="228">
        <f t="shared" si="1834"/>
        <v>338.09999999999997</v>
      </c>
      <c r="DC581" s="229"/>
      <c r="DD581" s="229"/>
      <c r="DE581" s="229"/>
      <c r="DF581" s="229"/>
      <c r="DG581" s="229"/>
      <c r="DH581" s="229"/>
      <c r="DI581" s="229"/>
      <c r="DJ581" s="229"/>
      <c r="DK581" s="229"/>
      <c r="DL581" s="229"/>
      <c r="DM581" s="229"/>
      <c r="DN581" s="229"/>
      <c r="DO581" s="228">
        <f t="shared" si="1835"/>
        <v>0</v>
      </c>
      <c r="DP581" s="228">
        <f t="shared" si="1836"/>
        <v>338.09999999999997</v>
      </c>
      <c r="DQ581" s="229">
        <f t="shared" si="1715"/>
        <v>0</v>
      </c>
      <c r="DR581" s="229">
        <f t="shared" si="1716"/>
        <v>0</v>
      </c>
      <c r="DS581" s="229">
        <f t="shared" si="1717"/>
        <v>0</v>
      </c>
      <c r="DT581" s="229">
        <f t="shared" si="1718"/>
        <v>0</v>
      </c>
      <c r="DU581" s="229">
        <f t="shared" si="1719"/>
        <v>0</v>
      </c>
      <c r="DV581" s="229">
        <f t="shared" si="1720"/>
        <v>0</v>
      </c>
      <c r="DW581" s="229">
        <f t="shared" si="1721"/>
        <v>0</v>
      </c>
      <c r="DX581" s="228">
        <f t="shared" si="1837"/>
        <v>0</v>
      </c>
      <c r="DY581" s="229"/>
      <c r="DZ581" s="229"/>
      <c r="EA581" s="229"/>
      <c r="EB581" s="229"/>
      <c r="EC581" s="229"/>
      <c r="ED581" s="229"/>
      <c r="EE581" s="229"/>
      <c r="EF581" s="228">
        <f t="shared" si="1696"/>
        <v>0</v>
      </c>
      <c r="EG581" s="228">
        <f t="shared" si="1838"/>
        <v>0</v>
      </c>
      <c r="EH581" s="229">
        <f t="shared" si="1697"/>
        <v>75</v>
      </c>
      <c r="EI581" s="229">
        <v>62.48</v>
      </c>
      <c r="EJ581" s="228">
        <f t="shared" ref="EJ581:EJ618" si="1900">SUM(EH581:EI581)</f>
        <v>137.47999999999999</v>
      </c>
      <c r="EK581" s="229"/>
      <c r="EL581" s="229"/>
      <c r="EM581" s="228">
        <f>SUM(EK581:EL581)</f>
        <v>0</v>
      </c>
      <c r="EN581" s="229">
        <f t="shared" si="1894"/>
        <v>75</v>
      </c>
      <c r="EO581" s="229">
        <f t="shared" si="1793"/>
        <v>62.48</v>
      </c>
      <c r="EP581" s="228">
        <f>EM581+EJ581</f>
        <v>137.47999999999999</v>
      </c>
      <c r="EQ581" s="173">
        <f t="shared" si="1687"/>
        <v>0</v>
      </c>
      <c r="ER581" s="189">
        <v>0</v>
      </c>
      <c r="ES581" s="189">
        <v>41</v>
      </c>
      <c r="ET581" s="189">
        <v>16.399999999999999</v>
      </c>
      <c r="EU581" s="189">
        <v>0</v>
      </c>
      <c r="EV581" s="189">
        <v>0</v>
      </c>
      <c r="EW581" s="189">
        <v>220.7</v>
      </c>
      <c r="EX581" s="189">
        <v>0</v>
      </c>
      <c r="EY581" s="189">
        <v>0</v>
      </c>
      <c r="EZ581" s="189">
        <v>0</v>
      </c>
      <c r="FA581" s="189">
        <v>0</v>
      </c>
      <c r="FB581" s="189">
        <v>0</v>
      </c>
      <c r="FC581" s="189">
        <v>60</v>
      </c>
      <c r="FD581" s="189">
        <v>0</v>
      </c>
      <c r="FE581" s="189">
        <v>0</v>
      </c>
      <c r="FF581" s="189">
        <v>0</v>
      </c>
      <c r="FG581" s="189">
        <v>0</v>
      </c>
      <c r="FH581" s="189">
        <v>0</v>
      </c>
      <c r="FI581" s="189">
        <v>0</v>
      </c>
      <c r="FJ581" s="189">
        <v>0</v>
      </c>
      <c r="FK581" s="189">
        <v>338.1</v>
      </c>
      <c r="FL581" s="189">
        <v>235</v>
      </c>
      <c r="FN581" s="132">
        <v>75</v>
      </c>
    </row>
    <row r="582" spans="1:170" ht="24" customHeight="1">
      <c r="A582" s="88">
        <f>COUNTIF($H$12:H582,H582)</f>
        <v>35</v>
      </c>
      <c r="B582" s="88" t="s">
        <v>760</v>
      </c>
      <c r="C582" s="88" t="s">
        <v>243</v>
      </c>
      <c r="D582" s="88"/>
      <c r="E582" s="88"/>
      <c r="F582" s="301" t="s">
        <v>2895</v>
      </c>
      <c r="G582" s="89" t="s">
        <v>13</v>
      </c>
      <c r="H582" s="88">
        <v>11</v>
      </c>
      <c r="I582" s="88">
        <v>11</v>
      </c>
      <c r="J582" s="88">
        <v>11</v>
      </c>
      <c r="K582" s="91" t="s">
        <v>1021</v>
      </c>
      <c r="L582" s="91" t="s">
        <v>1021</v>
      </c>
      <c r="M582" s="214"/>
      <c r="N582" s="88" t="s">
        <v>1804</v>
      </c>
      <c r="O582" s="216">
        <f t="shared" si="1865"/>
        <v>3.33</v>
      </c>
      <c r="P582" s="88" t="str">
        <f t="shared" si="1785"/>
        <v>B1_4</v>
      </c>
      <c r="Q582" s="88">
        <f t="shared" si="1751"/>
        <v>270</v>
      </c>
      <c r="R582" s="88">
        <f t="shared" si="1752"/>
        <v>120</v>
      </c>
      <c r="S582" s="230" t="s">
        <v>689</v>
      </c>
      <c r="T582" s="88" t="s">
        <v>3090</v>
      </c>
      <c r="U582" s="88">
        <f>IF(RIGHT(T582,1)="K",(VLOOKUP(T582,ma_miengiam!$A$3:$B$80,2,0)*100)/2,VLOOKUP(T582,ma_miengiam!$A$3:$B$80,2,0)*100)</f>
        <v>15</v>
      </c>
      <c r="V582" s="88"/>
      <c r="W582" s="220">
        <f>IF(AND(T582="NTS",V582&gt;0),(Q582-(Q582*V582)/12)*VLOOKUP(T582,ma_miengiam!$A$3:$B$80,2,0)+(Q582-(Q582*(12-V582))/12),IF(AND(RIGHT(T582,1)="K",V582&gt;0),(VLOOKUP(T582,ma_miengiam!$A$3:$B$80,2,0)/2)*(Q582*V582)/12,IF(RIGHT(T582,1)="K",(VLOOKUP(T582,ma_miengiam!$A$3:$B$80,2,0)*Q582)/2,IF(V582&gt;0,VLOOKUP(T582,ma_miengiam!$A$3:$B$80,2,0)*Q582*V582/12,VLOOKUP(T582,ma_miengiam!$A$3:$B$80,2,0)*Q582))))</f>
        <v>40.5</v>
      </c>
      <c r="X582" s="220">
        <f>IF(T582="NTS",VLOOKUP(T582,ma_miengiam!$A$3:$B$80,2,0)*R582*V582,IF(AND(T582="NTS",V582=0),0,IF(AND(LEFT(T582,1)="K",V582=0),VLOOKUP(T582,ma_miengiam!$A$3:$B$80,2,0)*R582,IF(LEFT(T582,1)="K",(VLOOKUP(T582,ma_miengiam!$A$3:$B$80,2,0)*R582/12)*V582,IF(AND(LEFT(T582,1)="S",V582&gt;0),(R582/12)*V582,IF(AND(LEFT(T582,1)="S",V582=0),R582,IF(T582="DH",VLOOKUP(T582,ma_miengiam!$A$3:$B$80,2,0)*R582,0)))))))</f>
        <v>0</v>
      </c>
      <c r="Y582" s="220">
        <f t="shared" si="1745"/>
        <v>229.5</v>
      </c>
      <c r="Z582" s="220">
        <f>IF(AND(T582="SĐH",V582&gt;0),(R582/12)*V582-X582,IF(AND(T582="DH",V582&gt;0),(R582*V582/12),IF(AND(T582&lt;&gt;"NTS",V582&gt;0),(R582*V582/12)-X582,IF(AND(T582="NTS",V582&gt;0),R582-X582,R582-X582))))</f>
        <v>120</v>
      </c>
      <c r="AA582" s="220">
        <f t="shared" si="1887"/>
        <v>270</v>
      </c>
      <c r="AB582" s="220">
        <f t="shared" si="1887"/>
        <v>120</v>
      </c>
      <c r="AC582" s="220">
        <f t="shared" ref="AC582:AF583" si="1901">W582</f>
        <v>40.5</v>
      </c>
      <c r="AD582" s="220">
        <f t="shared" si="1901"/>
        <v>0</v>
      </c>
      <c r="AE582" s="220">
        <f t="shared" si="1901"/>
        <v>229.5</v>
      </c>
      <c r="AF582" s="220">
        <f t="shared" si="1901"/>
        <v>120</v>
      </c>
      <c r="AG582" s="220">
        <f t="shared" si="1896"/>
        <v>319.58000000000004</v>
      </c>
      <c r="AH582" s="220">
        <f t="shared" si="1897"/>
        <v>150.83000000000001</v>
      </c>
      <c r="AI582" s="220">
        <f t="shared" si="1898"/>
        <v>168.75</v>
      </c>
      <c r="AJ582" s="220">
        <f t="shared" si="1780"/>
        <v>0</v>
      </c>
      <c r="AK582" s="216">
        <f t="shared" si="1812"/>
        <v>229.5</v>
      </c>
      <c r="AL582" s="220">
        <f t="shared" si="1819"/>
        <v>440.9</v>
      </c>
      <c r="AM582" s="220">
        <f t="shared" si="1820"/>
        <v>223.70000000000002</v>
      </c>
      <c r="AN582" s="221">
        <f t="shared" si="1821"/>
        <v>664.6</v>
      </c>
      <c r="AO582" s="220">
        <f t="shared" si="1822"/>
        <v>0</v>
      </c>
      <c r="AP582" s="220">
        <f t="shared" si="1823"/>
        <v>0</v>
      </c>
      <c r="AQ582" s="220">
        <f t="shared" si="1824"/>
        <v>60</v>
      </c>
      <c r="AR582" s="220">
        <f t="shared" si="1825"/>
        <v>120</v>
      </c>
      <c r="AS582" s="220">
        <f t="shared" si="1826"/>
        <v>0</v>
      </c>
      <c r="AT582" s="216">
        <f t="shared" si="1827"/>
        <v>844.6</v>
      </c>
      <c r="AU582" s="222">
        <f t="shared" si="1792"/>
        <v>435.1</v>
      </c>
      <c r="AV582" s="220"/>
      <c r="AW582" s="220">
        <f t="shared" si="1856"/>
        <v>435.1</v>
      </c>
      <c r="AX582" s="216">
        <f t="shared" si="1811"/>
        <v>0</v>
      </c>
      <c r="AY582" s="220">
        <f t="shared" si="1866"/>
        <v>0</v>
      </c>
      <c r="AZ582" s="220">
        <f t="shared" si="1867"/>
        <v>0</v>
      </c>
      <c r="BA582" s="220">
        <f t="shared" si="1868"/>
        <v>60</v>
      </c>
      <c r="BB582" s="220">
        <f t="shared" si="1869"/>
        <v>120</v>
      </c>
      <c r="BC582" s="220">
        <f t="shared" si="1870"/>
        <v>0</v>
      </c>
      <c r="BD582" s="216">
        <f t="shared" si="1778"/>
        <v>180</v>
      </c>
      <c r="BE582" s="220">
        <f t="shared" si="1857"/>
        <v>0</v>
      </c>
      <c r="BF582" s="220">
        <f t="shared" si="1858"/>
        <v>0</v>
      </c>
      <c r="BG582" s="220">
        <f t="shared" si="1859"/>
        <v>0</v>
      </c>
      <c r="BH582" s="220">
        <f t="shared" si="1860"/>
        <v>0</v>
      </c>
      <c r="BI582" s="220">
        <f t="shared" si="1861"/>
        <v>0</v>
      </c>
      <c r="BJ582" s="220" t="s">
        <v>1918</v>
      </c>
      <c r="BK582" s="220"/>
      <c r="BL582" s="223">
        <f t="shared" si="1784"/>
        <v>435.1</v>
      </c>
      <c r="BM582" s="220">
        <v>3.33</v>
      </c>
      <c r="BN582" s="220"/>
      <c r="BO582" s="220">
        <f t="shared" si="1899"/>
        <v>3.33</v>
      </c>
      <c r="BP582" s="220">
        <f>IF(AND(BL582&gt;0,BL582&lt;tiet!$D$1),BL582,IF(BL582&lt;=0,0,IF(BL582&gt;tiet!$C$1,tiet!$C$1)))</f>
        <v>200</v>
      </c>
      <c r="BQ582" s="87">
        <f t="shared" si="1881"/>
        <v>65000</v>
      </c>
      <c r="BR582" s="224">
        <f t="shared" si="1882"/>
        <v>13000000</v>
      </c>
      <c r="BS582" s="220">
        <f t="shared" si="1686"/>
        <v>235.10000000000002</v>
      </c>
      <c r="BT582" s="224">
        <f>VLOOKUP(N582,ma_dinhmuc!$A$1:$J$31,10,0)</f>
        <v>51000</v>
      </c>
      <c r="BU582" s="224">
        <f>ROUND(IF(BS582&gt;0,VLOOKUP(N582,ma_dinhmuc!$A$1:$J$31,10,0)*BS582,0),0)</f>
        <v>11990100</v>
      </c>
      <c r="BV582" s="224">
        <f t="shared" si="1883"/>
        <v>24990100</v>
      </c>
      <c r="BW582" s="224"/>
      <c r="BX582" s="224">
        <v>0</v>
      </c>
      <c r="BY582" s="224"/>
      <c r="BZ582" s="224"/>
      <c r="CA582" s="224"/>
      <c r="CB582" s="224"/>
      <c r="CC582" s="225">
        <f t="shared" si="1889"/>
        <v>24990100</v>
      </c>
      <c r="CD582" s="224">
        <f t="shared" si="1890"/>
        <v>0</v>
      </c>
      <c r="CE582" s="224"/>
      <c r="CF582" s="226"/>
      <c r="CG582" s="87"/>
      <c r="CH582" s="87">
        <f t="shared" si="1854"/>
        <v>35</v>
      </c>
      <c r="CI582" s="227" t="str">
        <f t="shared" si="1847"/>
        <v>Nguyễn Văn</v>
      </c>
      <c r="CJ582" s="227" t="str">
        <f t="shared" si="1848"/>
        <v>Phương</v>
      </c>
      <c r="CK582" s="87">
        <f t="shared" si="1849"/>
        <v>11</v>
      </c>
      <c r="CL582" s="227" t="str">
        <f t="shared" si="1879"/>
        <v>Marketing</v>
      </c>
      <c r="CM582" s="87" t="str">
        <f t="shared" si="1862"/>
        <v>CS2</v>
      </c>
      <c r="CN582" s="87">
        <f t="shared" si="1891"/>
        <v>270</v>
      </c>
      <c r="CO582" s="87">
        <f t="shared" si="1892"/>
        <v>120</v>
      </c>
      <c r="CP582" s="229">
        <f t="shared" si="1703"/>
        <v>0</v>
      </c>
      <c r="CQ582" s="229">
        <f t="shared" si="1704"/>
        <v>51.2</v>
      </c>
      <c r="CR582" s="229">
        <f t="shared" si="1705"/>
        <v>20.7</v>
      </c>
      <c r="CS582" s="229">
        <f t="shared" si="1706"/>
        <v>92.3</v>
      </c>
      <c r="CT582" s="229">
        <f t="shared" si="1707"/>
        <v>0</v>
      </c>
      <c r="CU582" s="229">
        <f t="shared" si="1708"/>
        <v>276.7</v>
      </c>
      <c r="CV582" s="229">
        <f t="shared" si="1709"/>
        <v>0</v>
      </c>
      <c r="CW582" s="229">
        <f t="shared" si="1710"/>
        <v>0</v>
      </c>
      <c r="CX582" s="229">
        <f t="shared" si="1711"/>
        <v>0</v>
      </c>
      <c r="CY582" s="229">
        <f t="shared" si="1712"/>
        <v>0</v>
      </c>
      <c r="CZ582" s="229">
        <f t="shared" si="1713"/>
        <v>0</v>
      </c>
      <c r="DA582" s="229">
        <f t="shared" si="1714"/>
        <v>60</v>
      </c>
      <c r="DB582" s="228">
        <f t="shared" si="1834"/>
        <v>500.9</v>
      </c>
      <c r="DC582" s="229"/>
      <c r="DD582" s="229"/>
      <c r="DE582" s="229"/>
      <c r="DF582" s="229"/>
      <c r="DG582" s="229"/>
      <c r="DH582" s="229"/>
      <c r="DI582" s="229"/>
      <c r="DJ582" s="229"/>
      <c r="DK582" s="229"/>
      <c r="DL582" s="229"/>
      <c r="DM582" s="229"/>
      <c r="DN582" s="229"/>
      <c r="DO582" s="228">
        <f t="shared" si="1835"/>
        <v>0</v>
      </c>
      <c r="DP582" s="228">
        <f t="shared" si="1836"/>
        <v>500.9</v>
      </c>
      <c r="DQ582" s="229">
        <f t="shared" si="1715"/>
        <v>216</v>
      </c>
      <c r="DR582" s="229">
        <f t="shared" si="1716"/>
        <v>5.4</v>
      </c>
      <c r="DS582" s="229">
        <f t="shared" si="1717"/>
        <v>0</v>
      </c>
      <c r="DT582" s="229">
        <f t="shared" si="1718"/>
        <v>2.2999999999999998</v>
      </c>
      <c r="DU582" s="229">
        <f t="shared" si="1719"/>
        <v>0</v>
      </c>
      <c r="DV582" s="229">
        <f t="shared" si="1720"/>
        <v>120</v>
      </c>
      <c r="DW582" s="229">
        <f t="shared" si="1721"/>
        <v>0</v>
      </c>
      <c r="DX582" s="228">
        <f t="shared" si="1837"/>
        <v>343.70000000000005</v>
      </c>
      <c r="DY582" s="229"/>
      <c r="DZ582" s="229"/>
      <c r="EA582" s="229"/>
      <c r="EB582" s="229"/>
      <c r="EC582" s="229"/>
      <c r="ED582" s="229"/>
      <c r="EE582" s="229"/>
      <c r="EF582" s="228">
        <f t="shared" si="1696"/>
        <v>0</v>
      </c>
      <c r="EG582" s="228">
        <f t="shared" si="1838"/>
        <v>343.70000000000005</v>
      </c>
      <c r="EH582" s="229">
        <f t="shared" si="1697"/>
        <v>168.75</v>
      </c>
      <c r="EI582" s="229">
        <v>150.83000000000001</v>
      </c>
      <c r="EJ582" s="228">
        <f t="shared" si="1900"/>
        <v>319.58000000000004</v>
      </c>
      <c r="EK582" s="229"/>
      <c r="EL582" s="229"/>
      <c r="EM582" s="228">
        <f>SUM(EK582:EL582)</f>
        <v>0</v>
      </c>
      <c r="EN582" s="229">
        <f t="shared" si="1894"/>
        <v>168.75</v>
      </c>
      <c r="EO582" s="229">
        <f t="shared" si="1793"/>
        <v>150.83000000000001</v>
      </c>
      <c r="EP582" s="228">
        <f>EM582+EJ582</f>
        <v>319.58000000000004</v>
      </c>
      <c r="EQ582" s="173">
        <f t="shared" si="1687"/>
        <v>48.75</v>
      </c>
      <c r="ER582" s="189">
        <v>0</v>
      </c>
      <c r="ES582" s="189">
        <v>51.2</v>
      </c>
      <c r="ET582" s="189">
        <v>20.7</v>
      </c>
      <c r="EU582" s="189">
        <v>92.3</v>
      </c>
      <c r="EV582" s="189">
        <v>0</v>
      </c>
      <c r="EW582" s="189">
        <v>276.7</v>
      </c>
      <c r="EX582" s="189">
        <v>0</v>
      </c>
      <c r="EY582" s="189">
        <v>0</v>
      </c>
      <c r="EZ582" s="189">
        <v>0</v>
      </c>
      <c r="FA582" s="189">
        <v>0</v>
      </c>
      <c r="FB582" s="189">
        <v>0</v>
      </c>
      <c r="FC582" s="189">
        <v>60</v>
      </c>
      <c r="FD582" s="189">
        <v>216</v>
      </c>
      <c r="FE582" s="189">
        <v>5.4</v>
      </c>
      <c r="FF582" s="189">
        <v>0</v>
      </c>
      <c r="FG582" s="189">
        <v>2.2999999999999998</v>
      </c>
      <c r="FH582" s="189">
        <v>120</v>
      </c>
      <c r="FI582" s="189">
        <v>0</v>
      </c>
      <c r="FJ582" s="189">
        <v>0</v>
      </c>
      <c r="FK582" s="189">
        <v>844.6</v>
      </c>
      <c r="FL582" s="189">
        <v>622.29999999999995</v>
      </c>
      <c r="FN582" s="132">
        <v>168.75</v>
      </c>
    </row>
    <row r="583" spans="1:170" ht="27" customHeight="1">
      <c r="A583" s="88">
        <f>COUNTIF($H$12:H583,H583)</f>
        <v>36</v>
      </c>
      <c r="B583" s="88" t="s">
        <v>761</v>
      </c>
      <c r="C583" s="88" t="s">
        <v>244</v>
      </c>
      <c r="D583" s="88"/>
      <c r="E583" s="88"/>
      <c r="F583" s="301" t="s">
        <v>2199</v>
      </c>
      <c r="G583" s="89" t="s">
        <v>963</v>
      </c>
      <c r="H583" s="88">
        <v>11</v>
      </c>
      <c r="I583" s="88">
        <v>11</v>
      </c>
      <c r="J583" s="88">
        <v>11</v>
      </c>
      <c r="K583" s="91" t="s">
        <v>1021</v>
      </c>
      <c r="L583" s="91" t="s">
        <v>1021</v>
      </c>
      <c r="M583" s="214"/>
      <c r="N583" s="88" t="s">
        <v>1804</v>
      </c>
      <c r="O583" s="216">
        <f t="shared" si="1865"/>
        <v>4.32</v>
      </c>
      <c r="P583" s="88" t="str">
        <f t="shared" si="1785"/>
        <v>B1_4</v>
      </c>
      <c r="Q583" s="88">
        <f t="shared" si="1751"/>
        <v>270</v>
      </c>
      <c r="R583" s="88">
        <f t="shared" si="1752"/>
        <v>120</v>
      </c>
      <c r="S583" s="218" t="s">
        <v>1560</v>
      </c>
      <c r="T583" s="88" t="s">
        <v>3091</v>
      </c>
      <c r="U583" s="88">
        <f>IF(RIGHT(T583,1)="K",(VLOOKUP(T583,ma_miengiam!$A$3:$B$80,2,0)*100)/2,VLOOKUP(T583,ma_miengiam!$A$3:$B$80,2,0)*100)</f>
        <v>20</v>
      </c>
      <c r="V583" s="88"/>
      <c r="W583" s="220">
        <f>IF(AND(T583="NTS",V583&gt;0),(Q583-(Q583*V583)/12)*VLOOKUP(T583,ma_miengiam!$A$3:$B$80,2,0)+(Q583-(Q583*(12-V583))/12),IF(AND(RIGHT(T583,1)="K",V583&gt;0),(VLOOKUP(T583,ma_miengiam!$A$3:$B$80,2,0)/2)*(Q583*V583)/12,IF(RIGHT(T583,1)="K",(VLOOKUP(T583,ma_miengiam!$A$3:$B$80,2,0)*Q583)/2,IF(V583&gt;0,VLOOKUP(T583,ma_miengiam!$A$3:$B$80,2,0)*Q583*V583/12,VLOOKUP(T583,ma_miengiam!$A$3:$B$80,2,0)*Q583))))</f>
        <v>54</v>
      </c>
      <c r="X583" s="220">
        <f>IF(T583="NTS",VLOOKUP(T583,ma_miengiam!$A$3:$B$80,2,0)*R583*V583,IF(AND(T583="NTS",V583=0),0,IF(AND(LEFT(T583,1)="K",V583=0),VLOOKUP(T583,ma_miengiam!$A$3:$B$80,2,0)*R583,IF(LEFT(T583,1)="K",(VLOOKUP(T583,ma_miengiam!$A$3:$B$80,2,0)*R583/12)*V583,IF(AND(LEFT(T583,1)="S",V583&gt;0),(R583/12)*V583,IF(AND(LEFT(T583,1)="S",V583=0),R583,IF(T583="DH",VLOOKUP(T583,ma_miengiam!$A$3:$B$80,2,0)*R583,0)))))))</f>
        <v>0</v>
      </c>
      <c r="Y583" s="220">
        <f t="shared" si="1745"/>
        <v>216</v>
      </c>
      <c r="Z583" s="220">
        <f>IF(AND(T583="SĐH",V583&gt;0),(R583/12)*V583-X583,IF(AND(T583="DH",V583&gt;0),(R583*V583/12),IF(AND(T583&lt;&gt;"NTS",V583&gt;0),(R583*V583/12)-X583,IF(AND(T583="NTS",V583&gt;0),R583-X583,R583-X583))))</f>
        <v>120</v>
      </c>
      <c r="AA583" s="220">
        <f t="shared" si="1887"/>
        <v>270</v>
      </c>
      <c r="AB583" s="220">
        <f t="shared" si="1887"/>
        <v>120</v>
      </c>
      <c r="AC583" s="220">
        <f t="shared" si="1901"/>
        <v>54</v>
      </c>
      <c r="AD583" s="220">
        <f t="shared" si="1901"/>
        <v>0</v>
      </c>
      <c r="AE583" s="220">
        <f t="shared" si="1901"/>
        <v>216</v>
      </c>
      <c r="AF583" s="220">
        <f t="shared" si="1901"/>
        <v>120</v>
      </c>
      <c r="AG583" s="220">
        <f t="shared" si="1896"/>
        <v>207.5</v>
      </c>
      <c r="AH583" s="220">
        <f t="shared" si="1897"/>
        <v>77.14</v>
      </c>
      <c r="AI583" s="220">
        <f t="shared" si="1898"/>
        <v>130.36000000000001</v>
      </c>
      <c r="AJ583" s="220">
        <f t="shared" ref="AJ583:AJ639" si="1902">IF(AG583-Z583&gt;0,0,AG583-Z583)</f>
        <v>0</v>
      </c>
      <c r="AK583" s="216">
        <f t="shared" si="1812"/>
        <v>216</v>
      </c>
      <c r="AL583" s="220">
        <f t="shared" si="1819"/>
        <v>295</v>
      </c>
      <c r="AM583" s="220">
        <f t="shared" si="1820"/>
        <v>58.2</v>
      </c>
      <c r="AN583" s="221">
        <f t="shared" si="1821"/>
        <v>353.2</v>
      </c>
      <c r="AO583" s="220">
        <f t="shared" si="1822"/>
        <v>0</v>
      </c>
      <c r="AP583" s="220">
        <f t="shared" si="1823"/>
        <v>0</v>
      </c>
      <c r="AQ583" s="220">
        <f t="shared" si="1824"/>
        <v>60</v>
      </c>
      <c r="AR583" s="220">
        <f t="shared" si="1825"/>
        <v>40</v>
      </c>
      <c r="AS583" s="220">
        <f t="shared" si="1826"/>
        <v>0</v>
      </c>
      <c r="AT583" s="216">
        <f t="shared" si="1827"/>
        <v>453.2</v>
      </c>
      <c r="AU583" s="222">
        <f t="shared" si="1792"/>
        <v>137.19999999999999</v>
      </c>
      <c r="AV583" s="220"/>
      <c r="AW583" s="220">
        <f t="shared" si="1856"/>
        <v>137.19999999999999</v>
      </c>
      <c r="AX583" s="216">
        <f t="shared" si="1811"/>
        <v>0</v>
      </c>
      <c r="AY583" s="220">
        <f t="shared" si="1866"/>
        <v>0</v>
      </c>
      <c r="AZ583" s="220">
        <f t="shared" si="1867"/>
        <v>0</v>
      </c>
      <c r="BA583" s="220">
        <f t="shared" si="1868"/>
        <v>60</v>
      </c>
      <c r="BB583" s="220">
        <f t="shared" si="1869"/>
        <v>40</v>
      </c>
      <c r="BC583" s="220">
        <f t="shared" si="1870"/>
        <v>0</v>
      </c>
      <c r="BD583" s="216">
        <f t="shared" si="1778"/>
        <v>100</v>
      </c>
      <c r="BE583" s="220">
        <f t="shared" si="1857"/>
        <v>0</v>
      </c>
      <c r="BF583" s="220">
        <f t="shared" si="1858"/>
        <v>0</v>
      </c>
      <c r="BG583" s="220">
        <f t="shared" si="1859"/>
        <v>0</v>
      </c>
      <c r="BH583" s="220">
        <f t="shared" si="1860"/>
        <v>0</v>
      </c>
      <c r="BI583" s="220">
        <f t="shared" si="1861"/>
        <v>0</v>
      </c>
      <c r="BJ583" s="220" t="s">
        <v>1918</v>
      </c>
      <c r="BK583" s="220"/>
      <c r="BL583" s="223">
        <f t="shared" si="1784"/>
        <v>137.19999999999999</v>
      </c>
      <c r="BM583" s="220">
        <v>4.32</v>
      </c>
      <c r="BN583" s="220"/>
      <c r="BO583" s="220">
        <f t="shared" si="1899"/>
        <v>4.32</v>
      </c>
      <c r="BP583" s="220">
        <f>IF(AND(BL583&gt;0,BL583&lt;tiet!$D$1),BL583,IF(BL583&lt;=0,0,IF(BL583&gt;tiet!$C$1,tiet!$C$1)))</f>
        <v>137.19999999999999</v>
      </c>
      <c r="BQ583" s="87">
        <f t="shared" ref="BQ583:BQ639" si="1903">VLOOKUP(P583,ma_dinhmuc_moi,4,0)</f>
        <v>65000</v>
      </c>
      <c r="BR583" s="224">
        <f t="shared" ref="BR583:BR638" si="1904">ROUND(BQ583*BP583,0)</f>
        <v>8918000</v>
      </c>
      <c r="BS583" s="220">
        <f t="shared" si="1686"/>
        <v>0</v>
      </c>
      <c r="BT583" s="224">
        <f>VLOOKUP(N583,ma_dinhmuc!$A$1:$J$31,10,0)</f>
        <v>51000</v>
      </c>
      <c r="BU583" s="224">
        <f>ROUND(IF(BS583&gt;0,VLOOKUP(N583,ma_dinhmuc!$A$1:$J$31,10,0)*BS583,0),0)</f>
        <v>0</v>
      </c>
      <c r="BV583" s="224">
        <f t="shared" ref="BV583:BV638" si="1905">ROUND(BU583+BR583,0)</f>
        <v>8918000</v>
      </c>
      <c r="BW583" s="224"/>
      <c r="BX583" s="224">
        <v>0</v>
      </c>
      <c r="BY583" s="224"/>
      <c r="BZ583" s="224"/>
      <c r="CA583" s="224"/>
      <c r="CB583" s="224"/>
      <c r="CC583" s="225">
        <f t="shared" si="1889"/>
        <v>8918000</v>
      </c>
      <c r="CD583" s="224">
        <f t="shared" si="1890"/>
        <v>0</v>
      </c>
      <c r="CE583" s="224"/>
      <c r="CF583" s="226"/>
      <c r="CG583" s="87"/>
      <c r="CH583" s="87">
        <f t="shared" si="1854"/>
        <v>36</v>
      </c>
      <c r="CI583" s="227" t="str">
        <f t="shared" si="1847"/>
        <v>Trần Thị Thu</v>
      </c>
      <c r="CJ583" s="227" t="str">
        <f t="shared" si="1848"/>
        <v>Hương</v>
      </c>
      <c r="CK583" s="87">
        <f t="shared" si="1849"/>
        <v>11</v>
      </c>
      <c r="CL583" s="227" t="str">
        <f t="shared" si="1879"/>
        <v>Marketing</v>
      </c>
      <c r="CM583" s="87" t="str">
        <f t="shared" si="1862"/>
        <v>CS2</v>
      </c>
      <c r="CN583" s="87">
        <f t="shared" si="1891"/>
        <v>270</v>
      </c>
      <c r="CO583" s="87">
        <f t="shared" si="1892"/>
        <v>120</v>
      </c>
      <c r="CP583" s="229">
        <f t="shared" si="1703"/>
        <v>0</v>
      </c>
      <c r="CQ583" s="229">
        <f t="shared" si="1704"/>
        <v>22</v>
      </c>
      <c r="CR583" s="229">
        <f t="shared" si="1705"/>
        <v>8.8000000000000007</v>
      </c>
      <c r="CS583" s="229">
        <f t="shared" si="1706"/>
        <v>84.2</v>
      </c>
      <c r="CT583" s="229">
        <f t="shared" si="1707"/>
        <v>0</v>
      </c>
      <c r="CU583" s="229">
        <f t="shared" si="1708"/>
        <v>180</v>
      </c>
      <c r="CV583" s="229">
        <f t="shared" si="1709"/>
        <v>0</v>
      </c>
      <c r="CW583" s="229">
        <f t="shared" si="1710"/>
        <v>0</v>
      </c>
      <c r="CX583" s="229">
        <f t="shared" si="1711"/>
        <v>0</v>
      </c>
      <c r="CY583" s="229">
        <f t="shared" si="1712"/>
        <v>0</v>
      </c>
      <c r="CZ583" s="229">
        <f t="shared" si="1713"/>
        <v>0</v>
      </c>
      <c r="DA583" s="229">
        <f t="shared" si="1714"/>
        <v>60</v>
      </c>
      <c r="DB583" s="228">
        <f t="shared" si="1834"/>
        <v>355</v>
      </c>
      <c r="DC583" s="229"/>
      <c r="DD583" s="229"/>
      <c r="DE583" s="229"/>
      <c r="DF583" s="229"/>
      <c r="DG583" s="229"/>
      <c r="DH583" s="229"/>
      <c r="DI583" s="229"/>
      <c r="DJ583" s="229"/>
      <c r="DK583" s="229"/>
      <c r="DL583" s="229"/>
      <c r="DM583" s="229"/>
      <c r="DN583" s="229"/>
      <c r="DO583" s="228">
        <f t="shared" si="1835"/>
        <v>0</v>
      </c>
      <c r="DP583" s="228">
        <f t="shared" si="1836"/>
        <v>355</v>
      </c>
      <c r="DQ583" s="229">
        <f t="shared" si="1715"/>
        <v>54</v>
      </c>
      <c r="DR583" s="229">
        <f t="shared" si="1716"/>
        <v>3</v>
      </c>
      <c r="DS583" s="229">
        <f t="shared" si="1717"/>
        <v>0</v>
      </c>
      <c r="DT583" s="229">
        <f t="shared" si="1718"/>
        <v>1.2</v>
      </c>
      <c r="DU583" s="229">
        <f t="shared" si="1719"/>
        <v>0</v>
      </c>
      <c r="DV583" s="229">
        <f t="shared" si="1720"/>
        <v>40</v>
      </c>
      <c r="DW583" s="229">
        <f t="shared" si="1721"/>
        <v>0</v>
      </c>
      <c r="DX583" s="228">
        <f t="shared" si="1837"/>
        <v>98.2</v>
      </c>
      <c r="DY583" s="229"/>
      <c r="DZ583" s="229"/>
      <c r="EA583" s="229"/>
      <c r="EB583" s="229"/>
      <c r="EC583" s="229"/>
      <c r="ED583" s="229"/>
      <c r="EE583" s="229"/>
      <c r="EF583" s="228">
        <f t="shared" si="1696"/>
        <v>0</v>
      </c>
      <c r="EG583" s="228">
        <f t="shared" si="1838"/>
        <v>98.2</v>
      </c>
      <c r="EH583" s="229">
        <f t="shared" si="1697"/>
        <v>130.36000000000001</v>
      </c>
      <c r="EI583" s="229">
        <v>77.14</v>
      </c>
      <c r="EJ583" s="228">
        <f t="shared" si="1900"/>
        <v>207.5</v>
      </c>
      <c r="EK583" s="229"/>
      <c r="EL583" s="229"/>
      <c r="EM583" s="228">
        <f t="shared" si="1893"/>
        <v>0</v>
      </c>
      <c r="EN583" s="229">
        <f t="shared" si="1894"/>
        <v>130.36000000000001</v>
      </c>
      <c r="EO583" s="229">
        <f t="shared" si="1793"/>
        <v>77.14</v>
      </c>
      <c r="EP583" s="228">
        <f t="shared" si="1895"/>
        <v>207.5</v>
      </c>
      <c r="EQ583" s="173">
        <f t="shared" si="1687"/>
        <v>10.360000000000014</v>
      </c>
      <c r="ER583" s="189">
        <v>0</v>
      </c>
      <c r="ES583" s="189">
        <v>22</v>
      </c>
      <c r="ET583" s="189">
        <v>8.8000000000000007</v>
      </c>
      <c r="EU583" s="189">
        <v>84.2</v>
      </c>
      <c r="EV583" s="189">
        <v>0</v>
      </c>
      <c r="EW583" s="189">
        <v>180</v>
      </c>
      <c r="EX583" s="189">
        <v>0</v>
      </c>
      <c r="EY583" s="189">
        <v>0</v>
      </c>
      <c r="EZ583" s="189">
        <v>0</v>
      </c>
      <c r="FA583" s="189">
        <v>0</v>
      </c>
      <c r="FB583" s="189">
        <v>0</v>
      </c>
      <c r="FC583" s="189">
        <v>60</v>
      </c>
      <c r="FD583" s="189">
        <v>54</v>
      </c>
      <c r="FE583" s="189">
        <v>3</v>
      </c>
      <c r="FF583" s="189">
        <v>0</v>
      </c>
      <c r="FG583" s="189">
        <v>1.2</v>
      </c>
      <c r="FH583" s="189">
        <v>40</v>
      </c>
      <c r="FI583" s="189">
        <v>0</v>
      </c>
      <c r="FJ583" s="189">
        <v>0</v>
      </c>
      <c r="FK583" s="189">
        <v>453.2</v>
      </c>
      <c r="FL583" s="189">
        <v>376.2</v>
      </c>
      <c r="FN583" s="132">
        <v>130.36000000000001</v>
      </c>
    </row>
    <row r="584" spans="1:170" ht="30" customHeight="1">
      <c r="A584" s="88">
        <f>COUNTIF($H$12:H584,H584)</f>
        <v>37</v>
      </c>
      <c r="B584" s="88" t="s">
        <v>763</v>
      </c>
      <c r="C584" s="88" t="s">
        <v>245</v>
      </c>
      <c r="D584" s="88"/>
      <c r="E584" s="88"/>
      <c r="F584" s="301" t="s">
        <v>669</v>
      </c>
      <c r="G584" s="303" t="s">
        <v>1888</v>
      </c>
      <c r="H584" s="88">
        <v>11</v>
      </c>
      <c r="I584" s="88">
        <v>11</v>
      </c>
      <c r="J584" s="88">
        <v>11</v>
      </c>
      <c r="K584" s="91" t="s">
        <v>1021</v>
      </c>
      <c r="L584" s="91" t="s">
        <v>1021</v>
      </c>
      <c r="M584" s="214"/>
      <c r="N584" s="88" t="s">
        <v>606</v>
      </c>
      <c r="O584" s="216">
        <f t="shared" si="1865"/>
        <v>5.42</v>
      </c>
      <c r="P584" s="88" t="str">
        <f t="shared" si="1785"/>
        <v>B1_6</v>
      </c>
      <c r="Q584" s="88">
        <f t="shared" si="1751"/>
        <v>270</v>
      </c>
      <c r="R584" s="88">
        <f t="shared" si="1752"/>
        <v>170</v>
      </c>
      <c r="S584" s="230" t="s">
        <v>2031</v>
      </c>
      <c r="T584" s="88" t="s">
        <v>3091</v>
      </c>
      <c r="U584" s="88">
        <f>IF(RIGHT(T584,1)="K",(VLOOKUP(T584,ma_miengiam!$A$3:$B$80,2,0)*100)/2,VLOOKUP(T584,ma_miengiam!$A$3:$B$80,2,0)*100)</f>
        <v>20</v>
      </c>
      <c r="V584" s="88"/>
      <c r="W584" s="220">
        <f>IF(AND(T584="NTS",V584&gt;0),(Q584-(Q584*V584)/12)*VLOOKUP(T584,ma_miengiam!$A$3:$B$80,2,0)+(Q584-(Q584*(12-V584))/12),IF(AND(RIGHT(T584,1)="K",V584&gt;0),(VLOOKUP(T584,ma_miengiam!$A$3:$B$80,2,0)/2)*(Q584*V584)/12,IF(RIGHT(T584,1)="K",(VLOOKUP(T584,ma_miengiam!$A$3:$B$80,2,0)*Q584)/2,IF(V584&gt;0,VLOOKUP(T584,ma_miengiam!$A$3:$B$80,2,0)*Q584*V584/12,VLOOKUP(T584,ma_miengiam!$A$3:$B$80,2,0)*Q584))))</f>
        <v>54</v>
      </c>
      <c r="X584" s="220">
        <f>IF(T584="NTS",VLOOKUP(T584,ma_miengiam!$A$3:$B$80,2,0)*R584*V584,IF(AND(T584="NTS",V584=0),0,IF(AND(LEFT(T584,1)="K",V584=0),VLOOKUP(T584,ma_miengiam!$A$3:$B$80,2,0)*R584,IF(LEFT(T584,1)="K",(VLOOKUP(T584,ma_miengiam!$A$3:$B$80,2,0)*R584/12)*V584,IF(AND(LEFT(T584,1)="S",V584&gt;0),(R584/12)*V584,IF(AND(LEFT(T584,1)="S",V584=0),R584,IF(T584="DH",VLOOKUP(T584,ma_miengiam!$A$3:$B$80,2,0)*R584,0)))))))</f>
        <v>0</v>
      </c>
      <c r="Y584" s="220">
        <f t="shared" si="1745"/>
        <v>216</v>
      </c>
      <c r="Z584" s="220">
        <f>IF(AND(T584="SĐH",V584&gt;0),(R584/12)*V584-X584,IF(AND(T584="DH",V584&gt;0),(R584*V584/12),IF(AND(T584&lt;&gt;"NTS",V584&gt;0),(R584*V584/12)-X584,IF(AND(T584="NTS",V584&gt;0),R584-X584,R584-X584))))</f>
        <v>170</v>
      </c>
      <c r="AA584" s="220">
        <f>Q584</f>
        <v>270</v>
      </c>
      <c r="AB584" s="220">
        <f>R584</f>
        <v>170</v>
      </c>
      <c r="AC584" s="220">
        <f t="shared" ref="AC584:AF585" si="1906">W584</f>
        <v>54</v>
      </c>
      <c r="AD584" s="220">
        <f t="shared" si="1906"/>
        <v>0</v>
      </c>
      <c r="AE584" s="220">
        <f t="shared" si="1906"/>
        <v>216</v>
      </c>
      <c r="AF584" s="220">
        <f t="shared" si="1906"/>
        <v>170</v>
      </c>
      <c r="AG584" s="220">
        <f t="shared" si="1896"/>
        <v>78.099999999999994</v>
      </c>
      <c r="AH584" s="220">
        <f t="shared" si="1897"/>
        <v>78.099999999999994</v>
      </c>
      <c r="AI584" s="220">
        <f t="shared" si="1898"/>
        <v>0</v>
      </c>
      <c r="AJ584" s="220">
        <f t="shared" si="1902"/>
        <v>-91.9</v>
      </c>
      <c r="AK584" s="216">
        <f t="shared" si="1812"/>
        <v>307.89999999999998</v>
      </c>
      <c r="AL584" s="220">
        <f t="shared" si="1819"/>
        <v>238.7</v>
      </c>
      <c r="AM584" s="220">
        <f t="shared" si="1820"/>
        <v>111.9</v>
      </c>
      <c r="AN584" s="221">
        <f t="shared" si="1821"/>
        <v>350.6</v>
      </c>
      <c r="AO584" s="220">
        <f t="shared" si="1822"/>
        <v>0</v>
      </c>
      <c r="AP584" s="220">
        <f t="shared" si="1823"/>
        <v>0</v>
      </c>
      <c r="AQ584" s="220">
        <f t="shared" si="1824"/>
        <v>40</v>
      </c>
      <c r="AR584" s="220">
        <f t="shared" si="1825"/>
        <v>320</v>
      </c>
      <c r="AS584" s="220">
        <f t="shared" si="1826"/>
        <v>0</v>
      </c>
      <c r="AT584" s="216">
        <f t="shared" si="1827"/>
        <v>710.6</v>
      </c>
      <c r="AU584" s="222">
        <f t="shared" si="1792"/>
        <v>42.700000000000045</v>
      </c>
      <c r="AV584" s="220"/>
      <c r="AW584" s="220">
        <f t="shared" si="1856"/>
        <v>42.700000000000045</v>
      </c>
      <c r="AX584" s="216">
        <f t="shared" si="1811"/>
        <v>0</v>
      </c>
      <c r="AY584" s="220">
        <f t="shared" si="1866"/>
        <v>0</v>
      </c>
      <c r="AZ584" s="220">
        <f t="shared" si="1867"/>
        <v>0</v>
      </c>
      <c r="BA584" s="220">
        <f t="shared" si="1868"/>
        <v>40</v>
      </c>
      <c r="BB584" s="220">
        <f t="shared" si="1869"/>
        <v>320</v>
      </c>
      <c r="BC584" s="220">
        <f t="shared" si="1870"/>
        <v>0</v>
      </c>
      <c r="BD584" s="216">
        <f t="shared" si="1778"/>
        <v>360</v>
      </c>
      <c r="BE584" s="220">
        <f t="shared" si="1857"/>
        <v>0</v>
      </c>
      <c r="BF584" s="220">
        <f t="shared" si="1858"/>
        <v>0</v>
      </c>
      <c r="BG584" s="220">
        <f t="shared" si="1859"/>
        <v>0</v>
      </c>
      <c r="BH584" s="220">
        <f t="shared" si="1860"/>
        <v>0</v>
      </c>
      <c r="BI584" s="220">
        <f t="shared" si="1861"/>
        <v>0</v>
      </c>
      <c r="BJ584" s="220" t="s">
        <v>1918</v>
      </c>
      <c r="BK584" s="220"/>
      <c r="BL584" s="223">
        <f t="shared" si="1784"/>
        <v>42.700000000000045</v>
      </c>
      <c r="BM584" s="220">
        <v>5.42</v>
      </c>
      <c r="BN584" s="220"/>
      <c r="BO584" s="220">
        <f t="shared" si="1899"/>
        <v>5.42</v>
      </c>
      <c r="BP584" s="220">
        <f>IF(AND(BL584&gt;0,BL584&lt;tiet!$D$1),BL584,IF(BL584&lt;=0,0,IF(BL584&gt;tiet!$C$1,tiet!$C$1)))</f>
        <v>42.700000000000045</v>
      </c>
      <c r="BQ584" s="87">
        <f t="shared" si="1903"/>
        <v>75000</v>
      </c>
      <c r="BR584" s="224">
        <f t="shared" si="1904"/>
        <v>3202500</v>
      </c>
      <c r="BS584" s="220">
        <f t="shared" si="1686"/>
        <v>0</v>
      </c>
      <c r="BT584" s="224">
        <f>VLOOKUP(N584,ma_dinhmuc!$A$1:$J$31,10,0)</f>
        <v>55000</v>
      </c>
      <c r="BU584" s="224">
        <f>ROUND(IF(BS584&gt;0,VLOOKUP(N584,ma_dinhmuc!$A$1:$J$31,10,0)*BS584,0),0)</f>
        <v>0</v>
      </c>
      <c r="BV584" s="224">
        <f t="shared" si="1905"/>
        <v>3202500</v>
      </c>
      <c r="BW584" s="224"/>
      <c r="BX584" s="224">
        <v>0</v>
      </c>
      <c r="BY584" s="224"/>
      <c r="BZ584" s="224"/>
      <c r="CA584" s="224"/>
      <c r="CB584" s="224"/>
      <c r="CC584" s="225">
        <f t="shared" si="1889"/>
        <v>3202500</v>
      </c>
      <c r="CD584" s="224">
        <f t="shared" si="1890"/>
        <v>0</v>
      </c>
      <c r="CE584" s="224"/>
      <c r="CF584" s="226"/>
      <c r="CG584" s="87"/>
      <c r="CH584" s="87">
        <f t="shared" si="1854"/>
        <v>37</v>
      </c>
      <c r="CI584" s="227" t="str">
        <f t="shared" si="1847"/>
        <v>Chu Thị Kim</v>
      </c>
      <c r="CJ584" s="227" t="str">
        <f t="shared" si="1848"/>
        <v>Loan</v>
      </c>
      <c r="CK584" s="87">
        <f t="shared" si="1849"/>
        <v>11</v>
      </c>
      <c r="CL584" s="227" t="str">
        <f t="shared" si="1879"/>
        <v>Marketing</v>
      </c>
      <c r="CM584" s="87" t="str">
        <f t="shared" si="1862"/>
        <v>CS3</v>
      </c>
      <c r="CN584" s="87">
        <f t="shared" si="1891"/>
        <v>270</v>
      </c>
      <c r="CO584" s="87">
        <f t="shared" si="1892"/>
        <v>170</v>
      </c>
      <c r="CP584" s="229">
        <f t="shared" si="1703"/>
        <v>0</v>
      </c>
      <c r="CQ584" s="229">
        <f t="shared" si="1704"/>
        <v>33</v>
      </c>
      <c r="CR584" s="229">
        <f t="shared" si="1705"/>
        <v>13.3</v>
      </c>
      <c r="CS584" s="229">
        <f t="shared" si="1706"/>
        <v>0</v>
      </c>
      <c r="CT584" s="229">
        <f t="shared" si="1707"/>
        <v>0</v>
      </c>
      <c r="CU584" s="229">
        <f t="shared" si="1708"/>
        <v>192.4</v>
      </c>
      <c r="CV584" s="229">
        <f t="shared" si="1709"/>
        <v>0</v>
      </c>
      <c r="CW584" s="229">
        <f t="shared" si="1710"/>
        <v>0</v>
      </c>
      <c r="CX584" s="229">
        <f t="shared" si="1711"/>
        <v>0</v>
      </c>
      <c r="CY584" s="229">
        <f t="shared" si="1712"/>
        <v>0</v>
      </c>
      <c r="CZ584" s="229">
        <f t="shared" si="1713"/>
        <v>0</v>
      </c>
      <c r="DA584" s="229">
        <f t="shared" si="1714"/>
        <v>40</v>
      </c>
      <c r="DB584" s="228">
        <f t="shared" si="1834"/>
        <v>278.7</v>
      </c>
      <c r="DC584" s="229"/>
      <c r="DD584" s="229"/>
      <c r="DE584" s="229"/>
      <c r="DF584" s="229"/>
      <c r="DG584" s="229"/>
      <c r="DH584" s="229"/>
      <c r="DI584" s="229"/>
      <c r="DJ584" s="229"/>
      <c r="DK584" s="229"/>
      <c r="DL584" s="229"/>
      <c r="DM584" s="229"/>
      <c r="DN584" s="229"/>
      <c r="DO584" s="228">
        <f t="shared" si="1835"/>
        <v>0</v>
      </c>
      <c r="DP584" s="228">
        <f t="shared" si="1836"/>
        <v>278.7</v>
      </c>
      <c r="DQ584" s="229">
        <f t="shared" si="1715"/>
        <v>108</v>
      </c>
      <c r="DR584" s="229">
        <f t="shared" si="1716"/>
        <v>2.7</v>
      </c>
      <c r="DS584" s="229">
        <f t="shared" si="1717"/>
        <v>0</v>
      </c>
      <c r="DT584" s="229">
        <f t="shared" si="1718"/>
        <v>1.2</v>
      </c>
      <c r="DU584" s="229">
        <f t="shared" si="1719"/>
        <v>0</v>
      </c>
      <c r="DV584" s="229">
        <f t="shared" si="1720"/>
        <v>320</v>
      </c>
      <c r="DW584" s="229">
        <f t="shared" si="1721"/>
        <v>0</v>
      </c>
      <c r="DX584" s="228">
        <f t="shared" si="1837"/>
        <v>431.9</v>
      </c>
      <c r="DY584" s="229"/>
      <c r="DZ584" s="229"/>
      <c r="EA584" s="229"/>
      <c r="EB584" s="229"/>
      <c r="EC584" s="229"/>
      <c r="ED584" s="229"/>
      <c r="EE584" s="229"/>
      <c r="EF584" s="228">
        <f t="shared" si="1696"/>
        <v>0</v>
      </c>
      <c r="EG584" s="228">
        <f t="shared" si="1838"/>
        <v>431.9</v>
      </c>
      <c r="EH584" s="229">
        <f t="shared" si="1697"/>
        <v>0</v>
      </c>
      <c r="EI584" s="229">
        <v>78.099999999999994</v>
      </c>
      <c r="EJ584" s="228">
        <f t="shared" si="1900"/>
        <v>78.099999999999994</v>
      </c>
      <c r="EK584" s="229"/>
      <c r="EL584" s="229"/>
      <c r="EM584" s="228">
        <f t="shared" si="1893"/>
        <v>0</v>
      </c>
      <c r="EN584" s="229">
        <f t="shared" si="1894"/>
        <v>0</v>
      </c>
      <c r="EO584" s="229">
        <f t="shared" si="1793"/>
        <v>78.099999999999994</v>
      </c>
      <c r="EP584" s="228">
        <f t="shared" si="1895"/>
        <v>78.099999999999994</v>
      </c>
      <c r="EQ584" s="173">
        <f t="shared" si="1687"/>
        <v>0</v>
      </c>
      <c r="ER584" s="189">
        <v>0</v>
      </c>
      <c r="ES584" s="189">
        <v>33</v>
      </c>
      <c r="ET584" s="189">
        <v>13.3</v>
      </c>
      <c r="EU584" s="189">
        <v>0</v>
      </c>
      <c r="EV584" s="189">
        <v>0</v>
      </c>
      <c r="EW584" s="189">
        <v>192.4</v>
      </c>
      <c r="EX584" s="189">
        <v>0</v>
      </c>
      <c r="EY584" s="189">
        <v>0</v>
      </c>
      <c r="EZ584" s="189">
        <v>0</v>
      </c>
      <c r="FA584" s="189">
        <v>0</v>
      </c>
      <c r="FB584" s="189">
        <v>0</v>
      </c>
      <c r="FC584" s="189">
        <v>40</v>
      </c>
      <c r="FD584" s="189">
        <v>108</v>
      </c>
      <c r="FE584" s="189">
        <v>2.7</v>
      </c>
      <c r="FF584" s="189">
        <v>0</v>
      </c>
      <c r="FG584" s="189">
        <v>1.2</v>
      </c>
      <c r="FH584" s="189">
        <v>320</v>
      </c>
      <c r="FI584" s="189">
        <v>0</v>
      </c>
      <c r="FJ584" s="189">
        <v>0</v>
      </c>
      <c r="FK584" s="189">
        <v>710.6</v>
      </c>
      <c r="FL584" s="189">
        <v>567</v>
      </c>
      <c r="FN584" s="132">
        <v>0</v>
      </c>
    </row>
    <row r="585" spans="1:170" ht="30" customHeight="1">
      <c r="A585" s="88">
        <f>COUNTIF($H$12:H585,H585)</f>
        <v>38</v>
      </c>
      <c r="B585" s="88" t="s">
        <v>764</v>
      </c>
      <c r="C585" s="88" t="s">
        <v>246</v>
      </c>
      <c r="D585" s="88"/>
      <c r="E585" s="88"/>
      <c r="F585" s="301" t="s">
        <v>670</v>
      </c>
      <c r="G585" s="89" t="s">
        <v>1116</v>
      </c>
      <c r="H585" s="88">
        <v>11</v>
      </c>
      <c r="I585" s="88">
        <v>11</v>
      </c>
      <c r="J585" s="88">
        <v>11</v>
      </c>
      <c r="K585" s="91" t="s">
        <v>1021</v>
      </c>
      <c r="L585" s="91" t="s">
        <v>1021</v>
      </c>
      <c r="M585" s="214"/>
      <c r="N585" s="88" t="s">
        <v>1804</v>
      </c>
      <c r="O585" s="216">
        <f t="shared" si="1865"/>
        <v>3</v>
      </c>
      <c r="P585" s="88" t="str">
        <f t="shared" si="1785"/>
        <v>B1_3</v>
      </c>
      <c r="Q585" s="88">
        <f t="shared" si="1751"/>
        <v>270</v>
      </c>
      <c r="R585" s="88">
        <f t="shared" si="1752"/>
        <v>100</v>
      </c>
      <c r="S585" s="218" t="s">
        <v>426</v>
      </c>
      <c r="T585" s="88" t="s">
        <v>1326</v>
      </c>
      <c r="U585" s="88">
        <f>IF(RIGHT(T585,1)="K",(VLOOKUP(T585,ma_miengiam!$A$3:$B$80,2,0)*100)/2,VLOOKUP(T585,ma_miengiam!$A$3:$B$80,2,0)*100)</f>
        <v>65</v>
      </c>
      <c r="V585" s="88"/>
      <c r="W585" s="220">
        <f>IF(AND(T585="NTS",V585&gt;0),(Q585-(Q585*V585)/12)*VLOOKUP(T585,ma_miengiam!$A$3:$B$80,2,0)+(Q585-(Q585*(12-V585))/12),IF(AND(RIGHT(T585,1)="K",V585&gt;0),(VLOOKUP(T585,ma_miengiam!$A$3:$B$80,2,0)/2)*(Q585*V585)/12,IF(RIGHT(T585,1)="K",(VLOOKUP(T585,ma_miengiam!$A$3:$B$80,2,0)*Q585)/2,IF(V585&gt;0,VLOOKUP(T585,ma_miengiam!$A$3:$B$80,2,0)*Q585*V585/12,VLOOKUP(T585,ma_miengiam!$A$3:$B$80,2,0)*Q585))))</f>
        <v>175.5</v>
      </c>
      <c r="X585" s="220">
        <f>IF(T585="NTS",VLOOKUP(T585,ma_miengiam!$A$3:$B$80,2,0)*R585*V585,IF(AND(T585="NTS",V585=0),0,IF(AND(LEFT(T585,1)="K",V585=0),VLOOKUP(T585,ma_miengiam!$A$3:$B$80,2,0)*R585,IF(LEFT(T585,1)="K",(VLOOKUP(T585,ma_miengiam!$A$3:$B$80,2,0)*R585/12)*V585,IF(AND(LEFT(T585,1)="S",V585&gt;0),(R585/12)*V585,IF(AND(LEFT(T585,1)="S",V585=0),R585,IF(T585="DH",VLOOKUP(T585,ma_miengiam!$A$3:$B$80,2,0)*R585,0)))))))</f>
        <v>100</v>
      </c>
      <c r="Y585" s="220">
        <f t="shared" si="1745"/>
        <v>94.5</v>
      </c>
      <c r="Z585" s="220">
        <f>IF(AND(T585="SĐH",V585&gt;0),(R585/12)*V585-X585,IF(AND(T585="DH",V585&gt;0),(R585*V585/12),IF(AND(T585&lt;&gt;"NTS",V585&gt;0),(R585*V585/12)-X585,IF(AND(T585="NTS",V585&gt;0),R585-X585,R585-X585))))</f>
        <v>0</v>
      </c>
      <c r="AA585" s="220">
        <f>Q585</f>
        <v>270</v>
      </c>
      <c r="AB585" s="220">
        <f>R585</f>
        <v>100</v>
      </c>
      <c r="AC585" s="220">
        <f t="shared" si="1906"/>
        <v>175.5</v>
      </c>
      <c r="AD585" s="220">
        <f t="shared" si="1906"/>
        <v>100</v>
      </c>
      <c r="AE585" s="220">
        <f t="shared" si="1906"/>
        <v>94.5</v>
      </c>
      <c r="AF585" s="220">
        <f t="shared" si="1906"/>
        <v>0</v>
      </c>
      <c r="AG585" s="220">
        <f t="shared" si="1896"/>
        <v>208.33</v>
      </c>
      <c r="AH585" s="220">
        <f t="shared" si="1897"/>
        <v>208.33</v>
      </c>
      <c r="AI585" s="220">
        <f t="shared" si="1898"/>
        <v>0</v>
      </c>
      <c r="AJ585" s="220">
        <f t="shared" si="1902"/>
        <v>0</v>
      </c>
      <c r="AK585" s="216">
        <f t="shared" si="1812"/>
        <v>94.5</v>
      </c>
      <c r="AL585" s="220">
        <f t="shared" si="1819"/>
        <v>173.8</v>
      </c>
      <c r="AM585" s="220">
        <f t="shared" si="1820"/>
        <v>0</v>
      </c>
      <c r="AN585" s="221">
        <f t="shared" si="1821"/>
        <v>173.8</v>
      </c>
      <c r="AO585" s="220">
        <f t="shared" si="1822"/>
        <v>0</v>
      </c>
      <c r="AP585" s="220">
        <f t="shared" si="1823"/>
        <v>0</v>
      </c>
      <c r="AQ585" s="220">
        <f t="shared" si="1824"/>
        <v>40</v>
      </c>
      <c r="AR585" s="220">
        <f t="shared" si="1825"/>
        <v>0</v>
      </c>
      <c r="AS585" s="220">
        <f t="shared" si="1826"/>
        <v>0</v>
      </c>
      <c r="AT585" s="216">
        <f t="shared" si="1827"/>
        <v>213.8</v>
      </c>
      <c r="AU585" s="222">
        <f t="shared" si="1792"/>
        <v>79.300000000000011</v>
      </c>
      <c r="AV585" s="220"/>
      <c r="AW585" s="220">
        <f t="shared" si="1856"/>
        <v>79.300000000000011</v>
      </c>
      <c r="AX585" s="216">
        <f t="shared" si="1811"/>
        <v>0</v>
      </c>
      <c r="AY585" s="220">
        <f t="shared" si="1866"/>
        <v>0</v>
      </c>
      <c r="AZ585" s="220">
        <f t="shared" si="1867"/>
        <v>0</v>
      </c>
      <c r="BA585" s="220">
        <f t="shared" si="1868"/>
        <v>40</v>
      </c>
      <c r="BB585" s="220">
        <f t="shared" si="1869"/>
        <v>0</v>
      </c>
      <c r="BC585" s="220">
        <f t="shared" si="1870"/>
        <v>0</v>
      </c>
      <c r="BD585" s="216">
        <f t="shared" si="1778"/>
        <v>40</v>
      </c>
      <c r="BE585" s="220">
        <f t="shared" si="1857"/>
        <v>0</v>
      </c>
      <c r="BF585" s="220">
        <f t="shared" si="1858"/>
        <v>0</v>
      </c>
      <c r="BG585" s="220">
        <f t="shared" si="1859"/>
        <v>0</v>
      </c>
      <c r="BH585" s="220">
        <f t="shared" si="1860"/>
        <v>0</v>
      </c>
      <c r="BI585" s="220">
        <f t="shared" si="1861"/>
        <v>0</v>
      </c>
      <c r="BJ585" s="220" t="s">
        <v>1918</v>
      </c>
      <c r="BK585" s="220"/>
      <c r="BL585" s="223">
        <f t="shared" si="1784"/>
        <v>79.300000000000011</v>
      </c>
      <c r="BM585" s="220">
        <v>3</v>
      </c>
      <c r="BN585" s="220"/>
      <c r="BO585" s="220">
        <f t="shared" si="1899"/>
        <v>3</v>
      </c>
      <c r="BP585" s="220">
        <f>IF(AND(BL585&gt;0,BL585&lt;tiet!$D$1),BL585,IF(BL585&lt;=0,0,IF(BL585&gt;tiet!$C$1,tiet!$C$1)))</f>
        <v>79.300000000000011</v>
      </c>
      <c r="BQ585" s="87">
        <f t="shared" si="1903"/>
        <v>60000</v>
      </c>
      <c r="BR585" s="224">
        <f t="shared" si="1904"/>
        <v>4758000</v>
      </c>
      <c r="BS585" s="220">
        <f t="shared" si="1686"/>
        <v>0</v>
      </c>
      <c r="BT585" s="224">
        <f>VLOOKUP(N585,ma_dinhmuc!$A$1:$J$31,10,0)</f>
        <v>51000</v>
      </c>
      <c r="BU585" s="224">
        <f>ROUND(IF(BS585&gt;0,VLOOKUP(N585,ma_dinhmuc!$A$1:$J$31,10,0)*BS585,0),0)</f>
        <v>0</v>
      </c>
      <c r="BV585" s="224">
        <f t="shared" si="1905"/>
        <v>4758000</v>
      </c>
      <c r="BW585" s="224"/>
      <c r="BX585" s="224">
        <v>0</v>
      </c>
      <c r="BY585" s="224"/>
      <c r="BZ585" s="224"/>
      <c r="CA585" s="224"/>
      <c r="CB585" s="224"/>
      <c r="CC585" s="225">
        <f t="shared" si="1889"/>
        <v>4758000</v>
      </c>
      <c r="CD585" s="224">
        <f t="shared" si="1890"/>
        <v>0</v>
      </c>
      <c r="CE585" s="224"/>
      <c r="CF585" s="226"/>
      <c r="CG585" s="87"/>
      <c r="CH585" s="87">
        <f t="shared" si="1854"/>
        <v>38</v>
      </c>
      <c r="CI585" s="227" t="str">
        <f t="shared" si="1847"/>
        <v>Bùi Hồng</v>
      </c>
      <c r="CJ585" s="227" t="str">
        <f t="shared" si="1848"/>
        <v>Quý</v>
      </c>
      <c r="CK585" s="87">
        <f t="shared" si="1849"/>
        <v>11</v>
      </c>
      <c r="CL585" s="227" t="str">
        <f t="shared" si="1879"/>
        <v>Marketing</v>
      </c>
      <c r="CM585" s="87" t="str">
        <f t="shared" si="1862"/>
        <v>CS2</v>
      </c>
      <c r="CN585" s="87">
        <f t="shared" si="1891"/>
        <v>270</v>
      </c>
      <c r="CO585" s="87">
        <f t="shared" si="1892"/>
        <v>100</v>
      </c>
      <c r="CP585" s="229">
        <f t="shared" si="1703"/>
        <v>0</v>
      </c>
      <c r="CQ585" s="229">
        <f t="shared" si="1704"/>
        <v>12.9</v>
      </c>
      <c r="CR585" s="229">
        <f t="shared" si="1705"/>
        <v>5.2</v>
      </c>
      <c r="CS585" s="229">
        <f t="shared" si="1706"/>
        <v>95.7</v>
      </c>
      <c r="CT585" s="229">
        <f t="shared" si="1707"/>
        <v>0</v>
      </c>
      <c r="CU585" s="229">
        <f t="shared" si="1708"/>
        <v>60</v>
      </c>
      <c r="CV585" s="229">
        <f t="shared" si="1709"/>
        <v>0</v>
      </c>
      <c r="CW585" s="229">
        <f t="shared" si="1710"/>
        <v>0</v>
      </c>
      <c r="CX585" s="229">
        <f t="shared" si="1711"/>
        <v>0</v>
      </c>
      <c r="CY585" s="229">
        <f t="shared" si="1712"/>
        <v>0</v>
      </c>
      <c r="CZ585" s="229">
        <f t="shared" si="1713"/>
        <v>0</v>
      </c>
      <c r="DA585" s="229">
        <f t="shared" si="1714"/>
        <v>40</v>
      </c>
      <c r="DB585" s="228">
        <f t="shared" si="1834"/>
        <v>213.8</v>
      </c>
      <c r="DC585" s="229"/>
      <c r="DD585" s="229"/>
      <c r="DE585" s="229"/>
      <c r="DF585" s="229"/>
      <c r="DG585" s="229"/>
      <c r="DH585" s="229"/>
      <c r="DI585" s="229"/>
      <c r="DJ585" s="229"/>
      <c r="DK585" s="229"/>
      <c r="DL585" s="229"/>
      <c r="DM585" s="229"/>
      <c r="DN585" s="229"/>
      <c r="DO585" s="228">
        <f t="shared" si="1835"/>
        <v>0</v>
      </c>
      <c r="DP585" s="228">
        <f t="shared" si="1836"/>
        <v>213.8</v>
      </c>
      <c r="DQ585" s="229">
        <f t="shared" si="1715"/>
        <v>0</v>
      </c>
      <c r="DR585" s="229">
        <f t="shared" si="1716"/>
        <v>0</v>
      </c>
      <c r="DS585" s="229">
        <f t="shared" si="1717"/>
        <v>0</v>
      </c>
      <c r="DT585" s="229">
        <f t="shared" si="1718"/>
        <v>0</v>
      </c>
      <c r="DU585" s="229">
        <f t="shared" si="1719"/>
        <v>0</v>
      </c>
      <c r="DV585" s="229">
        <f t="shared" si="1720"/>
        <v>0</v>
      </c>
      <c r="DW585" s="229">
        <f t="shared" si="1721"/>
        <v>0</v>
      </c>
      <c r="DX585" s="228">
        <f t="shared" si="1837"/>
        <v>0</v>
      </c>
      <c r="DY585" s="229"/>
      <c r="DZ585" s="229"/>
      <c r="EA585" s="229"/>
      <c r="EB585" s="229"/>
      <c r="EC585" s="229"/>
      <c r="ED585" s="229"/>
      <c r="EE585" s="229"/>
      <c r="EF585" s="228">
        <f t="shared" si="1696"/>
        <v>0</v>
      </c>
      <c r="EG585" s="228">
        <f t="shared" si="1838"/>
        <v>0</v>
      </c>
      <c r="EH585" s="229">
        <f t="shared" si="1697"/>
        <v>0</v>
      </c>
      <c r="EI585" s="229">
        <v>208.33</v>
      </c>
      <c r="EJ585" s="228">
        <f t="shared" si="1900"/>
        <v>208.33</v>
      </c>
      <c r="EK585" s="229"/>
      <c r="EL585" s="229"/>
      <c r="EM585" s="228">
        <f t="shared" si="1893"/>
        <v>0</v>
      </c>
      <c r="EN585" s="229">
        <f t="shared" si="1894"/>
        <v>0</v>
      </c>
      <c r="EO585" s="229">
        <f t="shared" si="1793"/>
        <v>208.33</v>
      </c>
      <c r="EP585" s="228">
        <f t="shared" si="1895"/>
        <v>208.33</v>
      </c>
      <c r="EQ585" s="173">
        <f t="shared" si="1687"/>
        <v>0</v>
      </c>
      <c r="ER585" s="189">
        <v>0</v>
      </c>
      <c r="ES585" s="189">
        <v>12.9</v>
      </c>
      <c r="ET585" s="189">
        <v>5.2</v>
      </c>
      <c r="EU585" s="189">
        <v>95.7</v>
      </c>
      <c r="EV585" s="189">
        <v>0</v>
      </c>
      <c r="EW585" s="189">
        <v>60</v>
      </c>
      <c r="EX585" s="189">
        <v>0</v>
      </c>
      <c r="EY585" s="189">
        <v>0</v>
      </c>
      <c r="EZ585" s="189">
        <v>0</v>
      </c>
      <c r="FA585" s="189">
        <v>0</v>
      </c>
      <c r="FB585" s="189">
        <v>0</v>
      </c>
      <c r="FC585" s="189">
        <v>40</v>
      </c>
      <c r="FD585" s="189">
        <v>0</v>
      </c>
      <c r="FE585" s="189">
        <v>0</v>
      </c>
      <c r="FF585" s="189">
        <v>0</v>
      </c>
      <c r="FG585" s="189">
        <v>0</v>
      </c>
      <c r="FH585" s="189">
        <v>0</v>
      </c>
      <c r="FI585" s="189">
        <v>0</v>
      </c>
      <c r="FJ585" s="189">
        <v>0</v>
      </c>
      <c r="FK585" s="189">
        <v>213.8</v>
      </c>
      <c r="FL585" s="189">
        <v>199.7</v>
      </c>
      <c r="FN585" s="132">
        <v>0</v>
      </c>
    </row>
    <row r="586" spans="1:170" ht="32.25" customHeight="1">
      <c r="A586" s="88">
        <f>COUNTIF($H$12:H593,H586)</f>
        <v>46</v>
      </c>
      <c r="B586" s="88" t="s">
        <v>769</v>
      </c>
      <c r="C586" s="88" t="s">
        <v>249</v>
      </c>
      <c r="D586" s="88"/>
      <c r="E586" s="88"/>
      <c r="F586" s="301" t="s">
        <v>2190</v>
      </c>
      <c r="G586" s="89" t="s">
        <v>2464</v>
      </c>
      <c r="H586" s="88">
        <v>11</v>
      </c>
      <c r="I586" s="88">
        <v>11</v>
      </c>
      <c r="J586" s="88">
        <v>11</v>
      </c>
      <c r="K586" s="91" t="s">
        <v>1021</v>
      </c>
      <c r="L586" s="91" t="s">
        <v>1021</v>
      </c>
      <c r="M586" s="214"/>
      <c r="N586" s="88" t="s">
        <v>1804</v>
      </c>
      <c r="O586" s="216">
        <f t="shared" ref="O586:O592" si="1907">BO586</f>
        <v>2.67</v>
      </c>
      <c r="P586" s="88" t="str">
        <f t="shared" si="1785"/>
        <v>B1_3</v>
      </c>
      <c r="Q586" s="88">
        <f t="shared" si="1751"/>
        <v>270</v>
      </c>
      <c r="R586" s="88">
        <f t="shared" si="1752"/>
        <v>100</v>
      </c>
      <c r="S586" s="218" t="s">
        <v>2679</v>
      </c>
      <c r="T586" s="214" t="s">
        <v>1956</v>
      </c>
      <c r="U586" s="88">
        <f>IF(RIGHT(T586,1)="K",(VLOOKUP(T586,ma_miengiam!$A$3:$B$80,2,0)*100)/2,VLOOKUP(T586,ma_miengiam!$A$3:$B$80,2,0)*100)</f>
        <v>60</v>
      </c>
      <c r="V586" s="88"/>
      <c r="W586" s="220">
        <f>IF(AND(T586="NTS",V586&gt;0),(Q586-(Q586*V586)/12)*VLOOKUP(T586,ma_miengiam!$A$3:$B$80,2,0)+(Q586-(Q586*(12-V586))/12),IF(AND(RIGHT(T586,1)="K",V586&gt;0),(VLOOKUP(T586,ma_miengiam!$A$3:$B$80,2,0)/2)*(Q586*V586)/12,IF(RIGHT(T586,1)="K",(VLOOKUP(T586,ma_miengiam!$A$3:$B$80,2,0)*Q586)/2,IF(V586&gt;0,VLOOKUP(T586,ma_miengiam!$A$3:$B$80,2,0)*Q586*V586/12,VLOOKUP(T586,ma_miengiam!$A$3:$B$80,2,0)*Q586))))</f>
        <v>162</v>
      </c>
      <c r="X586" s="220">
        <f>IF(T586="NTS",VLOOKUP(T586,ma_miengiam!$A$3:$B$80,2,0)*R586*V586,IF(AND(T586="NTS",V586=0),0,IF(AND(LEFT(T586,1)="K",V586=0),VLOOKUP(T586,ma_miengiam!$A$3:$B$80,2,0)*R586,IF(LEFT(T586,1)="K",(VLOOKUP(T586,ma_miengiam!$A$3:$B$80,2,0)*R586/12)*V586,IF(AND(LEFT(T586,1)="S",V586&gt;0),(R586/12)*V586,IF(AND(LEFT(T586,1)="S",V586=0),R586,IF(T586="DH",VLOOKUP(T586,ma_miengiam!$A$3:$B$80,2,0)*R586,0)))))))</f>
        <v>60</v>
      </c>
      <c r="Y586" s="220">
        <f t="shared" si="1745"/>
        <v>108</v>
      </c>
      <c r="Z586" s="220">
        <f t="shared" ref="Z586:Z592" si="1908">IF(AND(T586="SĐH",V586&gt;0),(R586/12)*V586-X586,IF(AND(T586="DH",V586&gt;0),(R586*V586/12),IF(AND(T586&lt;&gt;"NTS",V586&gt;0),(R586*V586/12)-X586,IF(AND(T586="NTS",V586&gt;0),R586-X586,R586-X586))))</f>
        <v>40</v>
      </c>
      <c r="AA586" s="220">
        <f t="shared" ref="AA586:AA595" si="1909">Q586</f>
        <v>270</v>
      </c>
      <c r="AB586" s="220">
        <f t="shared" ref="AB586:AB595" si="1910">R586</f>
        <v>100</v>
      </c>
      <c r="AC586" s="220">
        <f t="shared" ref="AC586:AF593" si="1911">W586</f>
        <v>162</v>
      </c>
      <c r="AD586" s="220">
        <f t="shared" si="1911"/>
        <v>60</v>
      </c>
      <c r="AE586" s="220">
        <f t="shared" si="1911"/>
        <v>108</v>
      </c>
      <c r="AF586" s="220">
        <f t="shared" si="1911"/>
        <v>40</v>
      </c>
      <c r="AG586" s="220">
        <f t="shared" si="1896"/>
        <v>155</v>
      </c>
      <c r="AH586" s="220">
        <f t="shared" si="1897"/>
        <v>135</v>
      </c>
      <c r="AI586" s="220">
        <f t="shared" si="1898"/>
        <v>20</v>
      </c>
      <c r="AJ586" s="220">
        <f t="shared" ref="AJ586:AJ592" si="1912">IF(AG586-Z586&gt;0,0,AG586-Z586)</f>
        <v>0</v>
      </c>
      <c r="AK586" s="216">
        <f t="shared" si="1812"/>
        <v>108</v>
      </c>
      <c r="AL586" s="220">
        <f t="shared" si="1819"/>
        <v>363.9</v>
      </c>
      <c r="AM586" s="220">
        <f t="shared" si="1820"/>
        <v>0</v>
      </c>
      <c r="AN586" s="216">
        <f t="shared" si="1821"/>
        <v>363.9</v>
      </c>
      <c r="AO586" s="220">
        <f t="shared" si="1822"/>
        <v>0</v>
      </c>
      <c r="AP586" s="220">
        <f t="shared" si="1823"/>
        <v>0</v>
      </c>
      <c r="AQ586" s="220">
        <f t="shared" si="1824"/>
        <v>60</v>
      </c>
      <c r="AR586" s="220">
        <f t="shared" si="1825"/>
        <v>0</v>
      </c>
      <c r="AS586" s="220">
        <f t="shared" si="1826"/>
        <v>0</v>
      </c>
      <c r="AT586" s="216">
        <f t="shared" si="1827"/>
        <v>423.9</v>
      </c>
      <c r="AU586" s="220">
        <f t="shared" ref="AU586:AU592" si="1913">AN586-AK586</f>
        <v>255.89999999999998</v>
      </c>
      <c r="AV586" s="220"/>
      <c r="AW586" s="220">
        <f t="shared" ref="AW586:AW592" si="1914">IF(AU586&gt;0,AU586,AV586+AU586)</f>
        <v>255.89999999999998</v>
      </c>
      <c r="AX586" s="216">
        <f t="shared" si="1811"/>
        <v>0</v>
      </c>
      <c r="AY586" s="220">
        <f t="shared" ref="AY586:AY592" si="1915">IF(AN586&gt;=AK586,AO586,IF(AN586+AO586-AK586&gt;=0,AN586+AO586-AK586,0))</f>
        <v>0</v>
      </c>
      <c r="AZ586" s="220">
        <f t="shared" ref="AZ586:AZ592" si="1916">IF(OR(AN586&gt;=AK586,AN586+AO586&gt;=AK586),AP586,IF(AN586+AO586+AP586&gt;AK586,AN586+AO586+AP586-AK586,0))</f>
        <v>0</v>
      </c>
      <c r="BA586" s="220">
        <f t="shared" ref="BA586:BA592" si="1917">IF(OR(AN586&gt;=AK586,AN586+AO586&gt;=AK586,AN586+AO586+AP586&gt;=AK586),AQ586,IF(AN586+AO586+AP586+AQ586&gt;=AK586,AN586+AO586+AP586+AQ586-AK586,0))</f>
        <v>60</v>
      </c>
      <c r="BB586" s="220">
        <f t="shared" ref="BB586:BB592" si="1918">IF(OR(AN586&gt;=AK586,AN586+AO586&gt;=AK586,AN586+AO586+AP586&gt;=AK586,AN586+AO586+AP586+AQ586&gt;=AK586),AR586,IF(AN586+AO586+AP586+AQ586+AR586&gt;=AK586,AN586+AO586+AP586+AQ586+AR586-AK586,0))</f>
        <v>0</v>
      </c>
      <c r="BC586" s="220">
        <f t="shared" ref="BC586:BC592" si="1919">IF(OR(AN586&gt;=AK586,AN586+AO586&gt;=AK586,AN586+AO586+AP586&gt;=AK586,AN586+AO586+AP586+AQ586&gt;=AK586,AN586+AO586+AP586+AQ586+AR586&gt;=AK586),AS586,IF(AN586+AO586+AP586+AQ586+AR586+AS586&gt;=AK586,AN586+AO586+AP586+AQ586+AR586+AS586-AK586,0))</f>
        <v>0</v>
      </c>
      <c r="BD586" s="216">
        <f t="shared" si="1778"/>
        <v>60</v>
      </c>
      <c r="BE586" s="220">
        <f t="shared" ref="BE586:BI592" si="1920">AY586-AO586</f>
        <v>0</v>
      </c>
      <c r="BF586" s="220">
        <f t="shared" si="1920"/>
        <v>0</v>
      </c>
      <c r="BG586" s="220">
        <f t="shared" si="1920"/>
        <v>0</v>
      </c>
      <c r="BH586" s="220">
        <f t="shared" si="1920"/>
        <v>0</v>
      </c>
      <c r="BI586" s="220">
        <f t="shared" si="1920"/>
        <v>0</v>
      </c>
      <c r="BJ586" s="220" t="s">
        <v>1918</v>
      </c>
      <c r="BK586" s="220"/>
      <c r="BL586" s="223">
        <f t="shared" si="1784"/>
        <v>255.89999999999998</v>
      </c>
      <c r="BM586" s="220">
        <v>2.67</v>
      </c>
      <c r="BN586" s="220"/>
      <c r="BO586" s="220">
        <f t="shared" si="1899"/>
        <v>2.67</v>
      </c>
      <c r="BP586" s="220">
        <f>IF(AND(BL586&gt;0,BL586&lt;tiet!$D$1),BL586,IF(BL586&lt;=0,0,IF(BL586&gt;tiet!$C$1,tiet!$C$1)))</f>
        <v>200</v>
      </c>
      <c r="BQ586" s="87">
        <f t="shared" ref="BQ586:BQ592" si="1921">VLOOKUP(P586,ma_dinhmuc_moi,4,0)</f>
        <v>60000</v>
      </c>
      <c r="BR586" s="224">
        <f t="shared" ref="BR586:BR592" si="1922">ROUND(BQ586*BP586,0)</f>
        <v>12000000</v>
      </c>
      <c r="BS586" s="220">
        <f t="shared" si="1686"/>
        <v>55.899999999999977</v>
      </c>
      <c r="BT586" s="224">
        <f>VLOOKUP(N586,ma_dinhmuc!$A$1:$J$31,10,0)</f>
        <v>51000</v>
      </c>
      <c r="BU586" s="224">
        <f>ROUND(IF(BS586&gt;0,VLOOKUP(N586,ma_dinhmuc!$A$1:$J$31,10,0)*BS586,0),0)</f>
        <v>2850900</v>
      </c>
      <c r="BV586" s="224">
        <f t="shared" ref="BV586:BV592" si="1923">ROUND(BU586+BR586,0)</f>
        <v>14850900</v>
      </c>
      <c r="BW586" s="224"/>
      <c r="BX586" s="224">
        <v>0</v>
      </c>
      <c r="BY586" s="224"/>
      <c r="BZ586" s="224"/>
      <c r="CA586" s="224"/>
      <c r="CB586" s="224"/>
      <c r="CC586" s="225">
        <f t="shared" ref="CC586:CC592" si="1924">ROUND(IF(BV586+BW586&gt;BX586+BY586+BZ586+CA586+CB586,(BW586+BV586)-(BX586+BY586+BZ586+CA586+CB586+CB586),0),0)</f>
        <v>14850900</v>
      </c>
      <c r="CD586" s="224">
        <f t="shared" ref="CD586:CD592" si="1925">ROUND(IF(BV586+BW586&lt;BX586+BY586+BZ586+CA586-CB586,(BX586+BY586+BZ586+CA586-CB586)-(BW586+BV586),0),0)</f>
        <v>0</v>
      </c>
      <c r="CE586" s="224"/>
      <c r="CF586" s="226"/>
      <c r="CG586" s="87"/>
      <c r="CH586" s="87">
        <f t="shared" si="1854"/>
        <v>46</v>
      </c>
      <c r="CI586" s="227" t="str">
        <f t="shared" si="1847"/>
        <v>Nguyễn Trọng</v>
      </c>
      <c r="CJ586" s="227" t="str">
        <f t="shared" si="1848"/>
        <v>Tuynh</v>
      </c>
      <c r="CK586" s="87">
        <f t="shared" ref="CK586:CK594" si="1926">H586</f>
        <v>11</v>
      </c>
      <c r="CL586" s="227" t="str">
        <f t="shared" ref="CL586:CL594" si="1927">L586</f>
        <v>Marketing</v>
      </c>
      <c r="CM586" s="87" t="str">
        <f t="shared" ref="CM586:CM592" si="1928">N586</f>
        <v>CS2</v>
      </c>
      <c r="CN586" s="87">
        <f t="shared" si="1891"/>
        <v>270</v>
      </c>
      <c r="CO586" s="87">
        <f t="shared" si="1892"/>
        <v>100</v>
      </c>
      <c r="CP586" s="229">
        <f t="shared" si="1703"/>
        <v>0</v>
      </c>
      <c r="CQ586" s="229">
        <f t="shared" si="1704"/>
        <v>39.9</v>
      </c>
      <c r="CR586" s="229">
        <f t="shared" si="1705"/>
        <v>16.100000000000001</v>
      </c>
      <c r="CS586" s="229">
        <f t="shared" si="1706"/>
        <v>88.9</v>
      </c>
      <c r="CT586" s="229">
        <f t="shared" si="1707"/>
        <v>0</v>
      </c>
      <c r="CU586" s="229">
        <f t="shared" si="1708"/>
        <v>219</v>
      </c>
      <c r="CV586" s="229">
        <f t="shared" si="1709"/>
        <v>0</v>
      </c>
      <c r="CW586" s="229">
        <f t="shared" si="1710"/>
        <v>0</v>
      </c>
      <c r="CX586" s="229">
        <f t="shared" si="1711"/>
        <v>0</v>
      </c>
      <c r="CY586" s="229">
        <f t="shared" si="1712"/>
        <v>0</v>
      </c>
      <c r="CZ586" s="229">
        <f t="shared" si="1713"/>
        <v>0</v>
      </c>
      <c r="DA586" s="229">
        <f t="shared" si="1714"/>
        <v>60</v>
      </c>
      <c r="DB586" s="228">
        <f t="shared" si="1834"/>
        <v>423.9</v>
      </c>
      <c r="DC586" s="229"/>
      <c r="DD586" s="229"/>
      <c r="DE586" s="229"/>
      <c r="DF586" s="229"/>
      <c r="DG586" s="229"/>
      <c r="DH586" s="229"/>
      <c r="DI586" s="229"/>
      <c r="DJ586" s="229"/>
      <c r="DK586" s="229"/>
      <c r="DL586" s="229"/>
      <c r="DM586" s="229"/>
      <c r="DN586" s="229"/>
      <c r="DO586" s="228">
        <f t="shared" si="1835"/>
        <v>0</v>
      </c>
      <c r="DP586" s="228">
        <f t="shared" si="1836"/>
        <v>423.9</v>
      </c>
      <c r="DQ586" s="229">
        <f t="shared" si="1715"/>
        <v>0</v>
      </c>
      <c r="DR586" s="229">
        <f t="shared" si="1716"/>
        <v>0</v>
      </c>
      <c r="DS586" s="229">
        <f t="shared" si="1717"/>
        <v>0</v>
      </c>
      <c r="DT586" s="229">
        <f t="shared" si="1718"/>
        <v>0</v>
      </c>
      <c r="DU586" s="229">
        <f t="shared" si="1719"/>
        <v>0</v>
      </c>
      <c r="DV586" s="229">
        <f t="shared" si="1720"/>
        <v>0</v>
      </c>
      <c r="DW586" s="229">
        <f t="shared" si="1721"/>
        <v>0</v>
      </c>
      <c r="DX586" s="228">
        <f t="shared" si="1837"/>
        <v>0</v>
      </c>
      <c r="DY586" s="229"/>
      <c r="DZ586" s="229"/>
      <c r="EA586" s="229"/>
      <c r="EB586" s="229"/>
      <c r="EC586" s="229"/>
      <c r="ED586" s="229"/>
      <c r="EE586" s="229"/>
      <c r="EF586" s="228">
        <f t="shared" si="1696"/>
        <v>0</v>
      </c>
      <c r="EG586" s="228">
        <f t="shared" si="1838"/>
        <v>0</v>
      </c>
      <c r="EH586" s="229">
        <f t="shared" si="1697"/>
        <v>20</v>
      </c>
      <c r="EI586" s="229">
        <v>135</v>
      </c>
      <c r="EJ586" s="228">
        <f t="shared" si="1900"/>
        <v>155</v>
      </c>
      <c r="EK586" s="229"/>
      <c r="EL586" s="229"/>
      <c r="EM586" s="228">
        <f t="shared" ref="EM586:EM594" si="1929">SUM(EK586:EL586)</f>
        <v>0</v>
      </c>
      <c r="EN586" s="229">
        <f t="shared" ref="EN586:EN592" si="1930">EK586+EH586+EL586</f>
        <v>20</v>
      </c>
      <c r="EO586" s="229">
        <f t="shared" ref="EO586:EO592" si="1931">EI586</f>
        <v>135</v>
      </c>
      <c r="EP586" s="228">
        <f t="shared" ref="EP586:EP592" si="1932">EM586+EJ586</f>
        <v>155</v>
      </c>
      <c r="EQ586" s="173">
        <f t="shared" si="1687"/>
        <v>0</v>
      </c>
      <c r="ER586" s="189">
        <v>0</v>
      </c>
      <c r="ES586" s="189">
        <v>39.9</v>
      </c>
      <c r="ET586" s="189">
        <v>16.100000000000001</v>
      </c>
      <c r="EU586" s="189">
        <v>88.9</v>
      </c>
      <c r="EV586" s="189">
        <v>0</v>
      </c>
      <c r="EW586" s="189">
        <v>219</v>
      </c>
      <c r="EX586" s="189">
        <v>0</v>
      </c>
      <c r="EY586" s="189">
        <v>0</v>
      </c>
      <c r="EZ586" s="189">
        <v>0</v>
      </c>
      <c r="FA586" s="189">
        <v>0</v>
      </c>
      <c r="FB586" s="189">
        <v>0</v>
      </c>
      <c r="FC586" s="189">
        <v>60</v>
      </c>
      <c r="FD586" s="189">
        <v>0</v>
      </c>
      <c r="FE586" s="189">
        <v>0</v>
      </c>
      <c r="FF586" s="189">
        <v>0</v>
      </c>
      <c r="FG586" s="189">
        <v>0</v>
      </c>
      <c r="FH586" s="189">
        <v>0</v>
      </c>
      <c r="FI586" s="189">
        <v>0</v>
      </c>
      <c r="FJ586" s="189">
        <v>0</v>
      </c>
      <c r="FK586" s="189">
        <v>423.9</v>
      </c>
      <c r="FL586" s="189">
        <v>370.9</v>
      </c>
      <c r="FN586" s="132">
        <v>20</v>
      </c>
    </row>
    <row r="587" spans="1:170" ht="30" customHeight="1">
      <c r="A587" s="88">
        <f>COUNTIF($H$12:H592,H587)</f>
        <v>45</v>
      </c>
      <c r="B587" s="88" t="s">
        <v>766</v>
      </c>
      <c r="C587" s="88" t="s">
        <v>250</v>
      </c>
      <c r="D587" s="88"/>
      <c r="E587" s="88"/>
      <c r="F587" s="301" t="s">
        <v>672</v>
      </c>
      <c r="G587" s="303" t="s">
        <v>1177</v>
      </c>
      <c r="H587" s="88">
        <v>11</v>
      </c>
      <c r="I587" s="88">
        <v>11</v>
      </c>
      <c r="J587" s="88">
        <v>11</v>
      </c>
      <c r="K587" s="91" t="s">
        <v>1021</v>
      </c>
      <c r="L587" s="91" t="s">
        <v>1021</v>
      </c>
      <c r="M587" s="214"/>
      <c r="N587" s="88" t="s">
        <v>1804</v>
      </c>
      <c r="O587" s="216">
        <f t="shared" si="1907"/>
        <v>3</v>
      </c>
      <c r="P587" s="88" t="str">
        <f t="shared" si="1785"/>
        <v>B1_3</v>
      </c>
      <c r="Q587" s="88">
        <f t="shared" si="1751"/>
        <v>270</v>
      </c>
      <c r="R587" s="88">
        <f t="shared" si="1752"/>
        <v>100</v>
      </c>
      <c r="S587" s="238" t="s">
        <v>1911</v>
      </c>
      <c r="T587" s="88" t="s">
        <v>1326</v>
      </c>
      <c r="U587" s="88">
        <f>IF(RIGHT(T587,1)="K",(VLOOKUP(T587,ma_miengiam!$A$3:$B$80,2,0)*100)/2,VLOOKUP(T587,ma_miengiam!$A$3:$B$80,2,0)*100)</f>
        <v>65</v>
      </c>
      <c r="V587" s="88"/>
      <c r="W587" s="220">
        <f>IF(AND(T587="NTS",V587&gt;0),(Q587-(Q587*V587)/12)*VLOOKUP(T587,ma_miengiam!$A$3:$B$80,2,0)+(Q587-(Q587*(12-V587))/12),IF(AND(RIGHT(T587,1)="K",V587&gt;0),(VLOOKUP(T587,ma_miengiam!$A$3:$B$80,2,0)/2)*(Q587*V587)/12,IF(RIGHT(T587,1)="K",(VLOOKUP(T587,ma_miengiam!$A$3:$B$80,2,0)*Q587)/2,IF(V587&gt;0,VLOOKUP(T587,ma_miengiam!$A$3:$B$80,2,0)*Q587*V587/12,VLOOKUP(T587,ma_miengiam!$A$3:$B$80,2,0)*Q587))))</f>
        <v>175.5</v>
      </c>
      <c r="X587" s="220">
        <f>IF(T587="NTS",VLOOKUP(T587,ma_miengiam!$A$3:$B$80,2,0)*R587*V587,IF(AND(T587="NTS",V587=0),0,IF(AND(LEFT(T587,1)="K",V587=0),VLOOKUP(T587,ma_miengiam!$A$3:$B$80,2,0)*R587,IF(LEFT(T587,1)="K",(VLOOKUP(T587,ma_miengiam!$A$3:$B$80,2,0)*R587/12)*V587,IF(AND(LEFT(T587,1)="S",V587&gt;0),(R587/12)*V587,IF(AND(LEFT(T587,1)="S",V587=0),R587,IF(T587="DH",VLOOKUP(T587,ma_miengiam!$A$3:$B$80,2,0)*R587,0)))))))</f>
        <v>100</v>
      </c>
      <c r="Y587" s="220">
        <f t="shared" si="1745"/>
        <v>94.5</v>
      </c>
      <c r="Z587" s="220">
        <f t="shared" si="1908"/>
        <v>0</v>
      </c>
      <c r="AA587" s="220">
        <f t="shared" si="1909"/>
        <v>270</v>
      </c>
      <c r="AB587" s="220">
        <f t="shared" si="1910"/>
        <v>100</v>
      </c>
      <c r="AC587" s="220">
        <f t="shared" si="1911"/>
        <v>175.5</v>
      </c>
      <c r="AD587" s="220">
        <f t="shared" si="1911"/>
        <v>100</v>
      </c>
      <c r="AE587" s="220">
        <f t="shared" si="1911"/>
        <v>94.5</v>
      </c>
      <c r="AF587" s="220">
        <f t="shared" si="1911"/>
        <v>0</v>
      </c>
      <c r="AG587" s="220">
        <f t="shared" si="1896"/>
        <v>340</v>
      </c>
      <c r="AH587" s="220">
        <f t="shared" si="1897"/>
        <v>306.67</v>
      </c>
      <c r="AI587" s="220">
        <f t="shared" si="1898"/>
        <v>33.33</v>
      </c>
      <c r="AJ587" s="220">
        <f t="shared" si="1912"/>
        <v>0</v>
      </c>
      <c r="AK587" s="216">
        <f t="shared" si="1812"/>
        <v>94.5</v>
      </c>
      <c r="AL587" s="220">
        <f t="shared" si="1819"/>
        <v>452.3</v>
      </c>
      <c r="AM587" s="220">
        <f t="shared" si="1820"/>
        <v>0</v>
      </c>
      <c r="AN587" s="216">
        <f t="shared" si="1821"/>
        <v>452.3</v>
      </c>
      <c r="AO587" s="220">
        <f t="shared" si="1822"/>
        <v>0</v>
      </c>
      <c r="AP587" s="220">
        <f t="shared" si="1823"/>
        <v>0</v>
      </c>
      <c r="AQ587" s="220">
        <f t="shared" si="1824"/>
        <v>40</v>
      </c>
      <c r="AR587" s="220">
        <f t="shared" si="1825"/>
        <v>0</v>
      </c>
      <c r="AS587" s="220">
        <f t="shared" si="1826"/>
        <v>0</v>
      </c>
      <c r="AT587" s="216">
        <f t="shared" si="1827"/>
        <v>492.3</v>
      </c>
      <c r="AU587" s="220">
        <f t="shared" si="1913"/>
        <v>357.8</v>
      </c>
      <c r="AV587" s="220"/>
      <c r="AW587" s="220">
        <f t="shared" si="1914"/>
        <v>357.8</v>
      </c>
      <c r="AX587" s="216">
        <f t="shared" si="1811"/>
        <v>0</v>
      </c>
      <c r="AY587" s="220">
        <f t="shared" si="1915"/>
        <v>0</v>
      </c>
      <c r="AZ587" s="220">
        <f t="shared" si="1916"/>
        <v>0</v>
      </c>
      <c r="BA587" s="220">
        <f t="shared" si="1917"/>
        <v>40</v>
      </c>
      <c r="BB587" s="220">
        <f t="shared" si="1918"/>
        <v>0</v>
      </c>
      <c r="BC587" s="220">
        <f t="shared" si="1919"/>
        <v>0</v>
      </c>
      <c r="BD587" s="216">
        <f t="shared" si="1778"/>
        <v>40</v>
      </c>
      <c r="BE587" s="220">
        <f t="shared" si="1920"/>
        <v>0</v>
      </c>
      <c r="BF587" s="220">
        <f t="shared" si="1920"/>
        <v>0</v>
      </c>
      <c r="BG587" s="220">
        <f t="shared" si="1920"/>
        <v>0</v>
      </c>
      <c r="BH587" s="220">
        <f t="shared" si="1920"/>
        <v>0</v>
      </c>
      <c r="BI587" s="220">
        <f t="shared" si="1920"/>
        <v>0</v>
      </c>
      <c r="BJ587" s="220" t="s">
        <v>1918</v>
      </c>
      <c r="BK587" s="220"/>
      <c r="BL587" s="223">
        <f t="shared" si="1784"/>
        <v>357.8</v>
      </c>
      <c r="BM587" s="220">
        <v>3</v>
      </c>
      <c r="BN587" s="220"/>
      <c r="BO587" s="220">
        <f t="shared" si="1899"/>
        <v>3</v>
      </c>
      <c r="BP587" s="220">
        <f>IF(AND(BL587&gt;0,BL587&lt;tiet!$D$1),BL587,IF(BL587&lt;=0,0,IF(BL587&gt;tiet!$C$1,tiet!$C$1)))</f>
        <v>200</v>
      </c>
      <c r="BQ587" s="87">
        <f t="shared" si="1921"/>
        <v>60000</v>
      </c>
      <c r="BR587" s="224">
        <f t="shared" si="1922"/>
        <v>12000000</v>
      </c>
      <c r="BS587" s="220">
        <f t="shared" ref="BS587:BS650" si="1933">BL587-BP587</f>
        <v>157.80000000000001</v>
      </c>
      <c r="BT587" s="224">
        <f>VLOOKUP(N587,ma_dinhmuc!$A$1:$J$31,10,0)</f>
        <v>51000</v>
      </c>
      <c r="BU587" s="224">
        <f>ROUND(IF(BS587&gt;0,VLOOKUP(N587,ma_dinhmuc!$A$1:$J$31,10,0)*BS587,0),0)</f>
        <v>8047800</v>
      </c>
      <c r="BV587" s="224">
        <f t="shared" si="1923"/>
        <v>20047800</v>
      </c>
      <c r="BW587" s="224"/>
      <c r="BX587" s="224">
        <v>0</v>
      </c>
      <c r="BY587" s="224"/>
      <c r="BZ587" s="224"/>
      <c r="CA587" s="224"/>
      <c r="CB587" s="224"/>
      <c r="CC587" s="225">
        <f t="shared" si="1924"/>
        <v>20047800</v>
      </c>
      <c r="CD587" s="224">
        <f t="shared" si="1925"/>
        <v>0</v>
      </c>
      <c r="CE587" s="224"/>
      <c r="CF587" s="226"/>
      <c r="CG587" s="87"/>
      <c r="CH587" s="87">
        <f t="shared" si="1854"/>
        <v>45</v>
      </c>
      <c r="CI587" s="227" t="str">
        <f t="shared" si="1847"/>
        <v>Vũ Thị Hằng</v>
      </c>
      <c r="CJ587" s="227" t="str">
        <f t="shared" si="1848"/>
        <v>Nga</v>
      </c>
      <c r="CK587" s="87">
        <f t="shared" si="1926"/>
        <v>11</v>
      </c>
      <c r="CL587" s="227" t="str">
        <f t="shared" si="1927"/>
        <v>Marketing</v>
      </c>
      <c r="CM587" s="87" t="str">
        <f t="shared" si="1928"/>
        <v>CS2</v>
      </c>
      <c r="CN587" s="87">
        <f t="shared" si="1891"/>
        <v>270</v>
      </c>
      <c r="CO587" s="87">
        <f t="shared" si="1892"/>
        <v>100</v>
      </c>
      <c r="CP587" s="229">
        <f t="shared" si="1703"/>
        <v>0</v>
      </c>
      <c r="CQ587" s="229">
        <f t="shared" si="1704"/>
        <v>84</v>
      </c>
      <c r="CR587" s="229">
        <f t="shared" si="1705"/>
        <v>33.799999999999997</v>
      </c>
      <c r="CS587" s="229">
        <f t="shared" si="1706"/>
        <v>37.5</v>
      </c>
      <c r="CT587" s="229">
        <f t="shared" si="1707"/>
        <v>0</v>
      </c>
      <c r="CU587" s="229">
        <f t="shared" si="1708"/>
        <v>297</v>
      </c>
      <c r="CV587" s="229">
        <f t="shared" si="1709"/>
        <v>0</v>
      </c>
      <c r="CW587" s="229">
        <f t="shared" si="1710"/>
        <v>0</v>
      </c>
      <c r="CX587" s="229">
        <f t="shared" si="1711"/>
        <v>0</v>
      </c>
      <c r="CY587" s="229">
        <f t="shared" si="1712"/>
        <v>0</v>
      </c>
      <c r="CZ587" s="229">
        <f t="shared" si="1713"/>
        <v>0</v>
      </c>
      <c r="DA587" s="229">
        <f t="shared" si="1714"/>
        <v>40</v>
      </c>
      <c r="DB587" s="228">
        <f t="shared" si="1834"/>
        <v>492.3</v>
      </c>
      <c r="DC587" s="229"/>
      <c r="DD587" s="229"/>
      <c r="DE587" s="229"/>
      <c r="DF587" s="229"/>
      <c r="DG587" s="229"/>
      <c r="DH587" s="229"/>
      <c r="DI587" s="229"/>
      <c r="DJ587" s="229"/>
      <c r="DK587" s="229"/>
      <c r="DL587" s="229"/>
      <c r="DM587" s="229"/>
      <c r="DN587" s="229"/>
      <c r="DO587" s="228">
        <f t="shared" si="1835"/>
        <v>0</v>
      </c>
      <c r="DP587" s="228">
        <f t="shared" si="1836"/>
        <v>492.3</v>
      </c>
      <c r="DQ587" s="229">
        <f t="shared" si="1715"/>
        <v>0</v>
      </c>
      <c r="DR587" s="229">
        <f t="shared" si="1716"/>
        <v>0</v>
      </c>
      <c r="DS587" s="229">
        <f t="shared" si="1717"/>
        <v>0</v>
      </c>
      <c r="DT587" s="229">
        <f t="shared" si="1718"/>
        <v>0</v>
      </c>
      <c r="DU587" s="229">
        <f t="shared" si="1719"/>
        <v>0</v>
      </c>
      <c r="DV587" s="229">
        <f t="shared" si="1720"/>
        <v>0</v>
      </c>
      <c r="DW587" s="229">
        <f t="shared" si="1721"/>
        <v>0</v>
      </c>
      <c r="DX587" s="228">
        <f t="shared" si="1837"/>
        <v>0</v>
      </c>
      <c r="DY587" s="229"/>
      <c r="DZ587" s="229"/>
      <c r="EA587" s="229"/>
      <c r="EB587" s="229"/>
      <c r="EC587" s="229"/>
      <c r="ED587" s="229"/>
      <c r="EE587" s="229"/>
      <c r="EF587" s="228">
        <f t="shared" si="1696"/>
        <v>0</v>
      </c>
      <c r="EG587" s="228">
        <f t="shared" si="1838"/>
        <v>0</v>
      </c>
      <c r="EH587" s="229">
        <f t="shared" si="1697"/>
        <v>33.33</v>
      </c>
      <c r="EI587" s="229">
        <v>306.67</v>
      </c>
      <c r="EJ587" s="228">
        <f t="shared" si="1900"/>
        <v>340</v>
      </c>
      <c r="EK587" s="229"/>
      <c r="EL587" s="229"/>
      <c r="EM587" s="228">
        <f t="shared" si="1929"/>
        <v>0</v>
      </c>
      <c r="EN587" s="229">
        <f t="shared" si="1930"/>
        <v>33.33</v>
      </c>
      <c r="EO587" s="229">
        <f t="shared" si="1931"/>
        <v>306.67</v>
      </c>
      <c r="EP587" s="228">
        <f t="shared" si="1932"/>
        <v>340</v>
      </c>
      <c r="EQ587" s="173">
        <f t="shared" ref="EQ587:EQ650" si="1934">IF(EN587&gt;Z587,EN587-Z587,0)</f>
        <v>33.33</v>
      </c>
      <c r="ER587" s="189">
        <v>0</v>
      </c>
      <c r="ES587" s="189">
        <v>84</v>
      </c>
      <c r="ET587" s="189">
        <v>33.799999999999997</v>
      </c>
      <c r="EU587" s="189">
        <v>37.5</v>
      </c>
      <c r="EV587" s="189">
        <v>0</v>
      </c>
      <c r="EW587" s="189">
        <v>297</v>
      </c>
      <c r="EX587" s="189">
        <v>0</v>
      </c>
      <c r="EY587" s="189">
        <v>0</v>
      </c>
      <c r="EZ587" s="189">
        <v>0</v>
      </c>
      <c r="FA587" s="189">
        <v>0</v>
      </c>
      <c r="FB587" s="189">
        <v>0</v>
      </c>
      <c r="FC587" s="189">
        <v>40</v>
      </c>
      <c r="FD587" s="189">
        <v>0</v>
      </c>
      <c r="FE587" s="189">
        <v>0</v>
      </c>
      <c r="FF587" s="189">
        <v>0</v>
      </c>
      <c r="FG587" s="189">
        <v>0</v>
      </c>
      <c r="FH587" s="189">
        <v>0</v>
      </c>
      <c r="FI587" s="189">
        <v>0</v>
      </c>
      <c r="FJ587" s="189">
        <v>0</v>
      </c>
      <c r="FK587" s="189">
        <v>492.3</v>
      </c>
      <c r="FL587" s="189">
        <v>333.5</v>
      </c>
      <c r="FN587" s="132">
        <v>33.33</v>
      </c>
    </row>
    <row r="588" spans="1:170" ht="30" customHeight="1">
      <c r="A588" s="88">
        <f>COUNTIF($H$12:H592,H588)</f>
        <v>45</v>
      </c>
      <c r="B588" s="88" t="s">
        <v>762</v>
      </c>
      <c r="C588" s="88" t="s">
        <v>1359</v>
      </c>
      <c r="D588" s="88"/>
      <c r="E588" s="88"/>
      <c r="F588" s="301" t="s">
        <v>1572</v>
      </c>
      <c r="G588" s="89" t="s">
        <v>668</v>
      </c>
      <c r="H588" s="88">
        <v>11</v>
      </c>
      <c r="I588" s="88">
        <v>11</v>
      </c>
      <c r="J588" s="88">
        <v>11</v>
      </c>
      <c r="K588" s="91" t="s">
        <v>1021</v>
      </c>
      <c r="L588" s="91" t="s">
        <v>1021</v>
      </c>
      <c r="M588" s="214"/>
      <c r="N588" s="88" t="s">
        <v>1804</v>
      </c>
      <c r="O588" s="216">
        <f>BO588</f>
        <v>3.99</v>
      </c>
      <c r="P588" s="88" t="str">
        <f t="shared" si="1785"/>
        <v>B1_4</v>
      </c>
      <c r="Q588" s="88">
        <f t="shared" ref="Q588:Q651" si="1935">IF(M588&gt;0,VLOOKUP(P588,ma_dinhmuc_moi,2,0)/2,VLOOKUP(P588,ma_dinhmuc_moi,2,0))</f>
        <v>270</v>
      </c>
      <c r="R588" s="88">
        <f t="shared" ref="R588:R651" si="1936">IF(M588&gt;0,VLOOKUP(P588,ma_dinhmuc_moi,3,0)/2,VLOOKUP(P588,ma_dinhmuc_moi,3,0))</f>
        <v>120</v>
      </c>
      <c r="S588" s="238" t="s">
        <v>2658</v>
      </c>
      <c r="T588" s="88" t="s">
        <v>3088</v>
      </c>
      <c r="U588" s="88">
        <f>IF(RIGHT(T588,1)="K",(VLOOKUP(T588,ma_miengiam!$A$3:$B$80,2,0)*100)/2,VLOOKUP(T588,ma_miengiam!$A$3:$B$80,2,0)*100)</f>
        <v>0</v>
      </c>
      <c r="V588" s="88">
        <v>11</v>
      </c>
      <c r="W588" s="220">
        <f>IF(AND(T588="NTS",V588&gt;0),(Q588-(Q588*V588)/12)*VLOOKUP(T588,ma_miengiam!$A$3:$B$80,2,0)+(Q588-(Q588*(12-V588))/12),IF(AND(RIGHT(T588,1)="K",V588&gt;0),(VLOOKUP(T588,ma_miengiam!$A$3:$B$80,2,0)/2)*(Q588*V588)/12,IF(RIGHT(T588,1)="K",(VLOOKUP(T588,ma_miengiam!$A$3:$B$80,2,0)*Q588)/2,IF(V588&gt;0,VLOOKUP(T588,ma_miengiam!$A$3:$B$80,2,0)*Q588*V588/12,VLOOKUP(T588,ma_miengiam!$A$3:$B$80,2,0)*Q588))))</f>
        <v>0</v>
      </c>
      <c r="X588" s="220">
        <f>IF(T588="NTS",VLOOKUP(T588,ma_miengiam!$A$3:$B$80,2,0)*R588*V588,IF(AND(T588="NTS",V588=0),0,IF(AND(LEFT(T588,1)="K",V588=0),VLOOKUP(T588,ma_miengiam!$A$3:$B$80,2,0)*R588,IF(LEFT(T588,1)="K",(VLOOKUP(T588,ma_miengiam!$A$3:$B$80,2,0)*R588/12)*V588,IF(AND(LEFT(T588,1)="S",V588&gt;0),(R588/12)*V588,IF(AND(LEFT(T588,1)="S",V588=0),R588,IF(T588="DH",VLOOKUP(T588,ma_miengiam!$A$3:$B$80,2,0)*R588,0)))))))</f>
        <v>0</v>
      </c>
      <c r="Y588" s="220">
        <f>IF(AND(T588="DH",V588&gt;0),(S588*V588/12),IF(AND(T588&lt;&gt;"NTS",V588&gt;0),(Q588*V588/12)-W588,IF(AND(T588="NTS",V588&gt;0),Q588-W588,Q588-W588)))</f>
        <v>247.5</v>
      </c>
      <c r="Z588" s="220">
        <f>IF(AND(T588="SĐH",V588&gt;0),(R588/12)*V588-X588,IF(AND(T588="DH",V588&gt;0),(R588*V588/12),IF(AND(T588&lt;&gt;"NTS",V588&gt;0),(R588*V588/12)-X588,IF(AND(T588="NTS",V588&gt;0),R588-X588,R588-X588))))</f>
        <v>110</v>
      </c>
      <c r="AA588" s="220">
        <f t="shared" ref="AA588:AB590" si="1937">Q588</f>
        <v>270</v>
      </c>
      <c r="AB588" s="220">
        <f t="shared" si="1937"/>
        <v>120</v>
      </c>
      <c r="AC588" s="220">
        <f>W588</f>
        <v>0</v>
      </c>
      <c r="AD588" s="220">
        <f>X588</f>
        <v>0</v>
      </c>
      <c r="AE588" s="220">
        <f>Y588</f>
        <v>247.5</v>
      </c>
      <c r="AF588" s="220">
        <f>Z588</f>
        <v>110</v>
      </c>
      <c r="AG588" s="220">
        <f>AH588+AI588</f>
        <v>657.5</v>
      </c>
      <c r="AH588" s="220">
        <f>EO588</f>
        <v>217.5</v>
      </c>
      <c r="AI588" s="220">
        <f>EN588</f>
        <v>440</v>
      </c>
      <c r="AJ588" s="220">
        <f>IF(AG588-Z588&gt;0,0,AG588-Z588)</f>
        <v>0</v>
      </c>
      <c r="AK588" s="216">
        <f t="shared" si="1812"/>
        <v>247.5</v>
      </c>
      <c r="AL588" s="220">
        <f>SUM(CP588:CX588)+SUM(DC588:DK588)</f>
        <v>486.2</v>
      </c>
      <c r="AM588" s="220">
        <f>SUM(DQ588:DU588)+SUM(DY588:EC588)</f>
        <v>0</v>
      </c>
      <c r="AN588" s="216">
        <f>AM588+AL588</f>
        <v>486.2</v>
      </c>
      <c r="AO588" s="220">
        <f>CY588+DL588</f>
        <v>0</v>
      </c>
      <c r="AP588" s="220">
        <f>CZ588+DM588</f>
        <v>0</v>
      </c>
      <c r="AQ588" s="220">
        <f>DA588+DN588</f>
        <v>60</v>
      </c>
      <c r="AR588" s="220">
        <f>DV588+ED588</f>
        <v>0</v>
      </c>
      <c r="AS588" s="220">
        <f>DW588+EE588</f>
        <v>0</v>
      </c>
      <c r="AT588" s="216">
        <f>AN588+SUM(AO588:AS588)</f>
        <v>546.20000000000005</v>
      </c>
      <c r="AU588" s="220">
        <f>AN588-AK588</f>
        <v>238.7</v>
      </c>
      <c r="AV588" s="220"/>
      <c r="AW588" s="220">
        <f>IF(AU588&gt;0,AU588,AV588+AU588)</f>
        <v>238.7</v>
      </c>
      <c r="AX588" s="216">
        <f t="shared" si="1811"/>
        <v>0</v>
      </c>
      <c r="AY588" s="220">
        <f>IF(AN588&gt;=AK588,AO588,IF(AN588+AO588-AK588&gt;=0,AN588+AO588-AK588,0))</f>
        <v>0</v>
      </c>
      <c r="AZ588" s="220">
        <f>IF(OR(AN588&gt;=AK588,AN588+AO588&gt;=AK588),AP588,IF(AN588+AO588+AP588&gt;AK588,AN588+AO588+AP588-AK588,0))</f>
        <v>0</v>
      </c>
      <c r="BA588" s="220">
        <f>IF(OR(AN588&gt;=AK588,AN588+AO588&gt;=AK588,AN588+AO588+AP588&gt;=AK588),AQ588,IF(AN588+AO588+AP588+AQ588&gt;=AK588,AN588+AO588+AP588+AQ588-AK588,0))</f>
        <v>60</v>
      </c>
      <c r="BB588" s="220">
        <f>IF(OR(AN588&gt;=AK588,AN588+AO588&gt;=AK588,AN588+AO588+AP588&gt;=AK588,AN588+AO588+AP588+AQ588&gt;=AK588),AR588,IF(AN588+AO588+AP588+AQ588+AR588&gt;=AK588,AN588+AO588+AP588+AQ588+AR588-AK588,0))</f>
        <v>0</v>
      </c>
      <c r="BC588" s="220">
        <f>IF(OR(AN588&gt;=AK588,AN588+AO588&gt;=AK588,AN588+AO588+AP588&gt;=AK588,AN588+AO588+AP588+AQ588&gt;=AK588,AN588+AO588+AP588+AQ588+AR588&gt;=AK588),AS588,IF(AN588+AO588+AP588+AQ588+AR588+AS588&gt;=AK588,AN588+AO588+AP588+AQ588+AR588+AS588-AK588,0))</f>
        <v>0</v>
      </c>
      <c r="BD588" s="216">
        <f t="shared" si="1778"/>
        <v>60</v>
      </c>
      <c r="BE588" s="220">
        <f>AY588-AO588</f>
        <v>0</v>
      </c>
      <c r="BF588" s="220">
        <f>AZ588-AP588</f>
        <v>0</v>
      </c>
      <c r="BG588" s="220">
        <f>BA588-AQ588</f>
        <v>0</v>
      </c>
      <c r="BH588" s="220">
        <f>BB588-AR588</f>
        <v>0</v>
      </c>
      <c r="BI588" s="220">
        <f>BC588-AS588</f>
        <v>0</v>
      </c>
      <c r="BJ588" s="220" t="s">
        <v>1918</v>
      </c>
      <c r="BK588" s="220"/>
      <c r="BL588" s="223">
        <f t="shared" si="1784"/>
        <v>238.7</v>
      </c>
      <c r="BM588" s="220">
        <v>3.99</v>
      </c>
      <c r="BN588" s="220"/>
      <c r="BO588" s="220">
        <f>ROUND(BM588+(BM588*BN588),2)</f>
        <v>3.99</v>
      </c>
      <c r="BP588" s="220">
        <f>IF(AND(BL588&gt;0,BL588&lt;tiet!$D$1),BL588,IF(BL588&lt;=0,0,IF(BL588&gt;tiet!$C$1,tiet!$C$1)))</f>
        <v>200</v>
      </c>
      <c r="BQ588" s="87">
        <f>VLOOKUP(P588,ma_dinhmuc_moi,4,0)</f>
        <v>65000</v>
      </c>
      <c r="BR588" s="224">
        <f>ROUND(BQ588*BP588,0)</f>
        <v>13000000</v>
      </c>
      <c r="BS588" s="220">
        <f t="shared" si="1933"/>
        <v>38.699999999999989</v>
      </c>
      <c r="BT588" s="224">
        <f>VLOOKUP(N588,ma_dinhmuc!$A$1:$J$31,10,0)</f>
        <v>51000</v>
      </c>
      <c r="BU588" s="224">
        <f>ROUND(IF(BS588&gt;0,VLOOKUP(N588,ma_dinhmuc!$A$1:$J$31,10,0)*BS588,0),0)</f>
        <v>1973700</v>
      </c>
      <c r="BV588" s="224">
        <f>ROUND(BU588+BR588,0)</f>
        <v>14973700</v>
      </c>
      <c r="BW588" s="224"/>
      <c r="BX588" s="224">
        <v>0</v>
      </c>
      <c r="BY588" s="224"/>
      <c r="BZ588" s="224"/>
      <c r="CA588" s="224"/>
      <c r="CB588" s="224"/>
      <c r="CC588" s="225">
        <f>ROUND(IF(BV588+BW588&gt;BX588+BY588+BZ588+CA588+CB588,(BW588+BV588)-(BX588+BY588+BZ588+CA588+CB588+CB588),0),0)</f>
        <v>14973700</v>
      </c>
      <c r="CD588" s="224">
        <f>ROUND(IF(BV588+BW588&lt;BX588+BY588+BZ588+CA588-CB588,(BX588+BY588+BZ588+CA588-CB588)-(BW588+BV588),0),0)</f>
        <v>0</v>
      </c>
      <c r="CE588" s="224"/>
      <c r="CF588" s="226"/>
      <c r="CG588" s="87"/>
      <c r="CH588" s="87">
        <f>A588</f>
        <v>45</v>
      </c>
      <c r="CI588" s="227" t="str">
        <f t="shared" si="1847"/>
        <v>Nguyễn Anh</v>
      </c>
      <c r="CJ588" s="227" t="str">
        <f t="shared" si="1848"/>
        <v>Trụ</v>
      </c>
      <c r="CK588" s="87">
        <f>H588</f>
        <v>11</v>
      </c>
      <c r="CL588" s="227" t="str">
        <f>L588</f>
        <v>Marketing</v>
      </c>
      <c r="CM588" s="87" t="str">
        <f>N588</f>
        <v>CS2</v>
      </c>
      <c r="CN588" s="87">
        <f t="shared" ref="CN588:CO590" si="1938">Q588</f>
        <v>270</v>
      </c>
      <c r="CO588" s="87">
        <f t="shared" si="1938"/>
        <v>120</v>
      </c>
      <c r="CP588" s="229">
        <f t="shared" si="1703"/>
        <v>0</v>
      </c>
      <c r="CQ588" s="229">
        <f t="shared" si="1704"/>
        <v>70.099999999999994</v>
      </c>
      <c r="CR588" s="229">
        <f t="shared" si="1705"/>
        <v>28.2</v>
      </c>
      <c r="CS588" s="229">
        <f t="shared" si="1706"/>
        <v>0</v>
      </c>
      <c r="CT588" s="229">
        <f t="shared" si="1707"/>
        <v>0</v>
      </c>
      <c r="CU588" s="229">
        <f t="shared" si="1708"/>
        <v>387.9</v>
      </c>
      <c r="CV588" s="229">
        <f t="shared" si="1709"/>
        <v>0</v>
      </c>
      <c r="CW588" s="229">
        <f t="shared" si="1710"/>
        <v>0</v>
      </c>
      <c r="CX588" s="229">
        <f t="shared" si="1711"/>
        <v>0</v>
      </c>
      <c r="CY588" s="229">
        <f t="shared" si="1712"/>
        <v>0</v>
      </c>
      <c r="CZ588" s="229">
        <f t="shared" si="1713"/>
        <v>0</v>
      </c>
      <c r="DA588" s="229">
        <f t="shared" si="1714"/>
        <v>60</v>
      </c>
      <c r="DB588" s="228">
        <f>SUM(CP588:DA588)</f>
        <v>546.20000000000005</v>
      </c>
      <c r="DC588" s="229"/>
      <c r="DD588" s="229"/>
      <c r="DE588" s="229"/>
      <c r="DF588" s="229"/>
      <c r="DG588" s="229"/>
      <c r="DH588" s="229"/>
      <c r="DI588" s="229"/>
      <c r="DJ588" s="229"/>
      <c r="DK588" s="229"/>
      <c r="DL588" s="229"/>
      <c r="DM588" s="229"/>
      <c r="DN588" s="229"/>
      <c r="DO588" s="228">
        <f>SUM(DC588:DN588)</f>
        <v>0</v>
      </c>
      <c r="DP588" s="228">
        <f>DO588+DB588</f>
        <v>546.20000000000005</v>
      </c>
      <c r="DQ588" s="229">
        <f t="shared" si="1715"/>
        <v>0</v>
      </c>
      <c r="DR588" s="229">
        <f t="shared" si="1716"/>
        <v>0</v>
      </c>
      <c r="DS588" s="229">
        <f t="shared" si="1717"/>
        <v>0</v>
      </c>
      <c r="DT588" s="229">
        <f t="shared" si="1718"/>
        <v>0</v>
      </c>
      <c r="DU588" s="229">
        <f t="shared" si="1719"/>
        <v>0</v>
      </c>
      <c r="DV588" s="229">
        <f t="shared" si="1720"/>
        <v>0</v>
      </c>
      <c r="DW588" s="229">
        <f t="shared" si="1721"/>
        <v>0</v>
      </c>
      <c r="DX588" s="228">
        <f>SUM(DQ588:DW588)</f>
        <v>0</v>
      </c>
      <c r="DY588" s="229"/>
      <c r="DZ588" s="229"/>
      <c r="EA588" s="229"/>
      <c r="EB588" s="229"/>
      <c r="EC588" s="229"/>
      <c r="ED588" s="229"/>
      <c r="EE588" s="229"/>
      <c r="EF588" s="228">
        <f t="shared" ref="EF588:EF651" si="1939">SUM(DY588:EE588)</f>
        <v>0</v>
      </c>
      <c r="EG588" s="228">
        <f>EF588+DX588</f>
        <v>0</v>
      </c>
      <c r="EH588" s="229">
        <f t="shared" ref="EH588:EH651" si="1940">FN588</f>
        <v>440</v>
      </c>
      <c r="EI588" s="229">
        <v>217.5</v>
      </c>
      <c r="EJ588" s="228">
        <f>SUM(EH588:EI588)</f>
        <v>657.5</v>
      </c>
      <c r="EK588" s="229"/>
      <c r="EL588" s="229"/>
      <c r="EM588" s="228">
        <f>SUM(EK588:EL588)</f>
        <v>0</v>
      </c>
      <c r="EN588" s="229">
        <f>EK588+EH588+EL588</f>
        <v>440</v>
      </c>
      <c r="EO588" s="229">
        <f>EI588</f>
        <v>217.5</v>
      </c>
      <c r="EP588" s="228">
        <f>EM588+EJ588</f>
        <v>657.5</v>
      </c>
      <c r="EQ588" s="173">
        <f t="shared" si="1934"/>
        <v>330</v>
      </c>
      <c r="ER588" s="189">
        <v>0</v>
      </c>
      <c r="ES588" s="189">
        <v>70.099999999999994</v>
      </c>
      <c r="ET588" s="189">
        <v>28.2</v>
      </c>
      <c r="EU588" s="189">
        <v>0</v>
      </c>
      <c r="EV588" s="189">
        <v>0</v>
      </c>
      <c r="EW588" s="189">
        <v>387.9</v>
      </c>
      <c r="EX588" s="189">
        <v>0</v>
      </c>
      <c r="EY588" s="189">
        <v>0</v>
      </c>
      <c r="EZ588" s="189">
        <v>0</v>
      </c>
      <c r="FA588" s="189">
        <v>0</v>
      </c>
      <c r="FB588" s="189">
        <v>0</v>
      </c>
      <c r="FC588" s="189">
        <v>60</v>
      </c>
      <c r="FD588" s="189">
        <v>0</v>
      </c>
      <c r="FE588" s="189">
        <v>0</v>
      </c>
      <c r="FF588" s="189">
        <v>0</v>
      </c>
      <c r="FG588" s="189">
        <v>0</v>
      </c>
      <c r="FH588" s="189">
        <v>0</v>
      </c>
      <c r="FI588" s="189">
        <v>0</v>
      </c>
      <c r="FJ588" s="189">
        <v>0</v>
      </c>
      <c r="FK588" s="189">
        <v>546.20000000000005</v>
      </c>
      <c r="FL588" s="189">
        <v>344</v>
      </c>
      <c r="FN588" s="132">
        <v>440</v>
      </c>
    </row>
    <row r="589" spans="1:170" ht="30" customHeight="1">
      <c r="A589" s="88">
        <f>COUNTIF($H$12:H589,H589)</f>
        <v>42</v>
      </c>
      <c r="B589" s="88" t="s">
        <v>765</v>
      </c>
      <c r="C589" s="88" t="s">
        <v>247</v>
      </c>
      <c r="D589" s="88"/>
      <c r="E589" s="88"/>
      <c r="F589" s="301" t="s">
        <v>671</v>
      </c>
      <c r="G589" s="89" t="s">
        <v>1600</v>
      </c>
      <c r="H589" s="88">
        <v>11</v>
      </c>
      <c r="I589" s="88">
        <v>11</v>
      </c>
      <c r="J589" s="88">
        <v>11</v>
      </c>
      <c r="K589" s="91" t="s">
        <v>1021</v>
      </c>
      <c r="L589" s="91" t="s">
        <v>1021</v>
      </c>
      <c r="M589" s="214"/>
      <c r="N589" s="88" t="s">
        <v>1804</v>
      </c>
      <c r="O589" s="216">
        <f>BO589</f>
        <v>3</v>
      </c>
      <c r="P589" s="88" t="str">
        <f t="shared" si="1785"/>
        <v>B1_3</v>
      </c>
      <c r="Q589" s="88">
        <f t="shared" si="1935"/>
        <v>270</v>
      </c>
      <c r="R589" s="88">
        <f t="shared" si="1936"/>
        <v>100</v>
      </c>
      <c r="S589" s="218" t="s">
        <v>2542</v>
      </c>
      <c r="T589" s="88" t="s">
        <v>2961</v>
      </c>
      <c r="U589" s="88">
        <f>IF(RIGHT(T589,1)="K",(VLOOKUP(T589,ma_miengiam!$A$3:$B$80,2,0)*100)/2,VLOOKUP(T589,ma_miengiam!$A$3:$B$80,2,0)*100)</f>
        <v>100</v>
      </c>
      <c r="V589" s="88"/>
      <c r="W589" s="220">
        <f>IF(AND(T589="NTS",V589&gt;0),(Q589-(Q589*V589)/12)*VLOOKUP(T589,ma_miengiam!$A$3:$B$80,2,0)+(Q589-(Q589*(12-V589))/12),IF(AND(RIGHT(T589,1)="K",V589&gt;0),(VLOOKUP(T589,ma_miengiam!$A$3:$B$80,2,0)/2)*(Q589*V589)/12,IF(RIGHT(T589,1)="K",(VLOOKUP(T589,ma_miengiam!$A$3:$B$80,2,0)*Q589)/2,IF(V589&gt;0,VLOOKUP(T589,ma_miengiam!$A$3:$B$80,2,0)*Q589*V589/12,VLOOKUP(T589,ma_miengiam!$A$3:$B$80,2,0)*Q589))))</f>
        <v>270</v>
      </c>
      <c r="X589" s="220">
        <f>IF(T589="NTS",VLOOKUP(T589,ma_miengiam!$A$3:$B$80,2,0)*R589*V589,IF(AND(T589="NTS",V589=0),0,IF(AND(LEFT(T589,1)="K",V589=0),VLOOKUP(T589,ma_miengiam!$A$3:$B$80,2,0)*R589,IF(LEFT(T589,1)="K",(VLOOKUP(T589,ma_miengiam!$A$3:$B$80,2,0)*R589/12)*V589,IF(AND(LEFT(T589,1)="S",V589&gt;0),(R589/12)*V589,IF(AND(LEFT(T589,1)="S",V589=0),R589,IF(T589="DH",VLOOKUP(T589,ma_miengiam!$A$3:$B$80,2,0)*R589,0)))))))</f>
        <v>100</v>
      </c>
      <c r="Y589" s="220">
        <f>IF(AND(T589="DH",V589&gt;0),(S589*V589/12),IF(AND(T589&lt;&gt;"NTS",V589&gt;0),(Q589*V589/12)-W589,IF(AND(T589="NTS",V589&gt;0),Q589-W589,Q589-W589)))</f>
        <v>0</v>
      </c>
      <c r="Z589" s="220">
        <f>IF(AND(T589="SĐH",V589&gt;0),(R589/12)*V589-X589,IF(AND(T589="DH",V589&gt;0),(R589*V589/12),IF(AND(T589&lt;&gt;"NTS",V589&gt;0),(R589*V589/12)-X589,IF(AND(T589="NTS",V589&gt;0),R589-X589,R589-X589))))</f>
        <v>0</v>
      </c>
      <c r="AA589" s="220">
        <f t="shared" si="1937"/>
        <v>270</v>
      </c>
      <c r="AB589" s="220">
        <f t="shared" si="1937"/>
        <v>100</v>
      </c>
      <c r="AC589" s="220">
        <f t="shared" ref="AC589:AF590" si="1941">W589</f>
        <v>270</v>
      </c>
      <c r="AD589" s="220">
        <f t="shared" si="1941"/>
        <v>100</v>
      </c>
      <c r="AE589" s="220">
        <f t="shared" si="1941"/>
        <v>0</v>
      </c>
      <c r="AF589" s="220">
        <f t="shared" si="1941"/>
        <v>0</v>
      </c>
      <c r="AG589" s="220">
        <f>AH589+AI589</f>
        <v>53.33</v>
      </c>
      <c r="AH589" s="220">
        <f>EO589</f>
        <v>53.33</v>
      </c>
      <c r="AI589" s="220">
        <f>EN589</f>
        <v>0</v>
      </c>
      <c r="AJ589" s="220">
        <f>IF(AG589-Z589&gt;0,0,AG589-Z589)</f>
        <v>0</v>
      </c>
      <c r="AK589" s="216">
        <f t="shared" si="1812"/>
        <v>0</v>
      </c>
      <c r="AL589" s="220">
        <f t="shared" si="1819"/>
        <v>0</v>
      </c>
      <c r="AM589" s="220">
        <f t="shared" si="1820"/>
        <v>0</v>
      </c>
      <c r="AN589" s="221">
        <f t="shared" si="1821"/>
        <v>0</v>
      </c>
      <c r="AO589" s="220">
        <f t="shared" si="1822"/>
        <v>0</v>
      </c>
      <c r="AP589" s="220">
        <f t="shared" si="1823"/>
        <v>0</v>
      </c>
      <c r="AQ589" s="220">
        <f t="shared" si="1824"/>
        <v>0</v>
      </c>
      <c r="AR589" s="220">
        <f t="shared" si="1825"/>
        <v>0</v>
      </c>
      <c r="AS589" s="220">
        <f t="shared" si="1826"/>
        <v>0</v>
      </c>
      <c r="AT589" s="216">
        <f t="shared" si="1827"/>
        <v>0</v>
      </c>
      <c r="AU589" s="220">
        <f>AN589-AK589</f>
        <v>0</v>
      </c>
      <c r="AV589" s="220"/>
      <c r="AW589" s="220">
        <f>IF(AU589&gt;0,AU589,AV589+AU589)</f>
        <v>0</v>
      </c>
      <c r="AX589" s="216">
        <f t="shared" si="1811"/>
        <v>0</v>
      </c>
      <c r="AY589" s="220">
        <f>IF(AN589&gt;=AK589,AO589,IF(AN589+AO589-AK589&gt;=0,AN589+AO589-AK589,0))</f>
        <v>0</v>
      </c>
      <c r="AZ589" s="220">
        <f>IF(OR(AN589&gt;=AK589,AN589+AO589&gt;=AK589),AP589,IF(AN589+AO589+AP589&gt;AK589,AN589+AO589+AP589-AK589,0))</f>
        <v>0</v>
      </c>
      <c r="BA589" s="220">
        <f>IF(OR(AN589&gt;=AK589,AN589+AO589&gt;=AK589,AN589+AO589+AP589&gt;=AK589),AQ589,IF(AN589+AO589+AP589+AQ589&gt;=AK589,AN589+AO589+AP589+AQ589-AK589,0))</f>
        <v>0</v>
      </c>
      <c r="BB589" s="220">
        <f>IF(OR(AN589&gt;=AK589,AN589+AO589&gt;=AK589,AN589+AO589+AP589&gt;=AK589,AN589+AO589+AP589+AQ589&gt;=AK589),AR589,IF(AN589+AO589+AP589+AQ589+AR589&gt;=AK589,AN589+AO589+AP589+AQ589+AR589-AK589,0))</f>
        <v>0</v>
      </c>
      <c r="BC589" s="220">
        <f>IF(OR(AN589&gt;=AK589,AN589+AO589&gt;=AK589,AN589+AO589+AP589&gt;=AK589,AN589+AO589+AP589+AQ589&gt;=AK589,AN589+AO589+AP589+AQ589+AR589&gt;=AK589),AS589,IF(AN589+AO589+AP589+AQ589+AR589+AS589&gt;=AK589,AN589+AO589+AP589+AQ589+AR589+AS589-AK589,0))</f>
        <v>0</v>
      </c>
      <c r="BD589" s="216">
        <f t="shared" si="1778"/>
        <v>0</v>
      </c>
      <c r="BE589" s="220">
        <f t="shared" ref="BE589:BI590" si="1942">AY589-AO589</f>
        <v>0</v>
      </c>
      <c r="BF589" s="220">
        <f t="shared" si="1942"/>
        <v>0</v>
      </c>
      <c r="BG589" s="220">
        <f t="shared" si="1942"/>
        <v>0</v>
      </c>
      <c r="BH589" s="220">
        <f t="shared" si="1942"/>
        <v>0</v>
      </c>
      <c r="BI589" s="220">
        <f t="shared" si="1942"/>
        <v>0</v>
      </c>
      <c r="BJ589" s="220" t="s">
        <v>1918</v>
      </c>
      <c r="BK589" s="220"/>
      <c r="BL589" s="223">
        <f t="shared" si="1784"/>
        <v>0</v>
      </c>
      <c r="BM589" s="220">
        <v>3</v>
      </c>
      <c r="BN589" s="220"/>
      <c r="BO589" s="220">
        <f>ROUND(BM589+(BM589*BN589),2)</f>
        <v>3</v>
      </c>
      <c r="BP589" s="220">
        <f>IF(AND(BL589&gt;0,BL589&lt;tiet!$D$1),BL589,IF(BL589&lt;=0,0,IF(BL589&gt;tiet!$C$1,tiet!$C$1)))</f>
        <v>0</v>
      </c>
      <c r="BQ589" s="87">
        <f>VLOOKUP(P589,ma_dinhmuc_moi,4,0)</f>
        <v>60000</v>
      </c>
      <c r="BR589" s="224">
        <f>ROUND(BQ589*BP589,0)</f>
        <v>0</v>
      </c>
      <c r="BS589" s="220">
        <f t="shared" si="1933"/>
        <v>0</v>
      </c>
      <c r="BT589" s="224">
        <f>VLOOKUP(N589,ma_dinhmuc!$A$1:$J$31,10,0)</f>
        <v>51000</v>
      </c>
      <c r="BU589" s="224">
        <f>ROUND(IF(BS589&gt;0,VLOOKUP(N589,ma_dinhmuc!$A$1:$J$31,10,0)*BS589,0),0)</f>
        <v>0</v>
      </c>
      <c r="BV589" s="224">
        <f>ROUND(BU589+BR589,0)</f>
        <v>0</v>
      </c>
      <c r="BW589" s="224"/>
      <c r="BX589" s="224">
        <v>0</v>
      </c>
      <c r="BY589" s="224"/>
      <c r="BZ589" s="224"/>
      <c r="CA589" s="224"/>
      <c r="CB589" s="224"/>
      <c r="CC589" s="225">
        <f>ROUND(IF(BV589+BW589&gt;BX589+BY589+BZ589+CA589+CB589,(BW589+BV589)-(BX589+BY589+BZ589+CA589+CB589+CB589),0),0)</f>
        <v>0</v>
      </c>
      <c r="CD589" s="224">
        <f>ROUND(IF(BV589+BW589&lt;BX589+BY589+BZ589+CA589-CB589,(BX589+BY589+BZ589+CA589-CB589)-(BW589+BV589),0),0)</f>
        <v>0</v>
      </c>
      <c r="CE589" s="224"/>
      <c r="CF589" s="226"/>
      <c r="CG589" s="87"/>
      <c r="CH589" s="87">
        <f>A589</f>
        <v>42</v>
      </c>
      <c r="CI589" s="227" t="str">
        <f t="shared" si="1847"/>
        <v>Đỗ Thị Mỹ</v>
      </c>
      <c r="CJ589" s="227" t="str">
        <f t="shared" si="1848"/>
        <v>Hạnh</v>
      </c>
      <c r="CK589" s="87">
        <f>H589</f>
        <v>11</v>
      </c>
      <c r="CL589" s="227" t="str">
        <f>L589</f>
        <v>Marketing</v>
      </c>
      <c r="CM589" s="87" t="str">
        <f>N589</f>
        <v>CS2</v>
      </c>
      <c r="CN589" s="87">
        <f t="shared" si="1938"/>
        <v>270</v>
      </c>
      <c r="CO589" s="87">
        <f t="shared" si="1938"/>
        <v>100</v>
      </c>
      <c r="CP589" s="229">
        <f t="shared" ref="CP589:CP652" si="1943">ER589</f>
        <v>0</v>
      </c>
      <c r="CQ589" s="229">
        <f t="shared" ref="CQ589:CQ652" si="1944">ES589</f>
        <v>0</v>
      </c>
      <c r="CR589" s="229">
        <f t="shared" ref="CR589:CR652" si="1945">ET589</f>
        <v>0</v>
      </c>
      <c r="CS589" s="229">
        <f t="shared" ref="CS589:CS652" si="1946">EU589</f>
        <v>0</v>
      </c>
      <c r="CT589" s="229">
        <f t="shared" ref="CT589:CT652" si="1947">EV589</f>
        <v>0</v>
      </c>
      <c r="CU589" s="229">
        <f t="shared" ref="CU589:CU652" si="1948">EW589</f>
        <v>0</v>
      </c>
      <c r="CV589" s="229">
        <f t="shared" ref="CV589:CV652" si="1949">EX589</f>
        <v>0</v>
      </c>
      <c r="CW589" s="229">
        <f t="shared" ref="CW589:CW652" si="1950">EY589</f>
        <v>0</v>
      </c>
      <c r="CX589" s="229">
        <f t="shared" ref="CX589:CX652" si="1951">EZ589</f>
        <v>0</v>
      </c>
      <c r="CY589" s="229">
        <f t="shared" ref="CY589:CY652" si="1952">FA589</f>
        <v>0</v>
      </c>
      <c r="CZ589" s="229">
        <f t="shared" ref="CZ589:CZ652" si="1953">FB589</f>
        <v>0</v>
      </c>
      <c r="DA589" s="229">
        <f t="shared" ref="DA589:DA652" si="1954">FC589</f>
        <v>0</v>
      </c>
      <c r="DB589" s="228">
        <f t="shared" si="1834"/>
        <v>0</v>
      </c>
      <c r="DC589" s="229"/>
      <c r="DD589" s="229"/>
      <c r="DE589" s="229"/>
      <c r="DF589" s="229"/>
      <c r="DG589" s="229"/>
      <c r="DH589" s="229"/>
      <c r="DI589" s="229"/>
      <c r="DJ589" s="229"/>
      <c r="DK589" s="229"/>
      <c r="DL589" s="229"/>
      <c r="DM589" s="229"/>
      <c r="DN589" s="229"/>
      <c r="DO589" s="228">
        <f t="shared" si="1835"/>
        <v>0</v>
      </c>
      <c r="DP589" s="228">
        <f t="shared" si="1836"/>
        <v>0</v>
      </c>
      <c r="DQ589" s="229">
        <f t="shared" ref="DQ589:DQ652" si="1955">FD589</f>
        <v>0</v>
      </c>
      <c r="DR589" s="229">
        <f t="shared" ref="DR589:DR652" si="1956">FE589</f>
        <v>0</v>
      </c>
      <c r="DS589" s="229">
        <f t="shared" ref="DS589:DS652" si="1957">FF589</f>
        <v>0</v>
      </c>
      <c r="DT589" s="229">
        <f t="shared" ref="DT589:DT652" si="1958">FG589</f>
        <v>0</v>
      </c>
      <c r="DU589" s="229">
        <f t="shared" ref="DU589:DU652" si="1959">FI589</f>
        <v>0</v>
      </c>
      <c r="DV589" s="229">
        <f t="shared" ref="DV589:DV652" si="1960">FH589</f>
        <v>0</v>
      </c>
      <c r="DW589" s="229">
        <f t="shared" ref="DW589:DW652" si="1961">FJ589</f>
        <v>0</v>
      </c>
      <c r="DX589" s="228">
        <f t="shared" si="1837"/>
        <v>0</v>
      </c>
      <c r="DY589" s="229"/>
      <c r="DZ589" s="229"/>
      <c r="EA589" s="229"/>
      <c r="EB589" s="229"/>
      <c r="EC589" s="229"/>
      <c r="ED589" s="229"/>
      <c r="EE589" s="229"/>
      <c r="EF589" s="228">
        <f t="shared" si="1939"/>
        <v>0</v>
      </c>
      <c r="EG589" s="228">
        <f t="shared" si="1838"/>
        <v>0</v>
      </c>
      <c r="EH589" s="229">
        <f t="shared" si="1940"/>
        <v>0</v>
      </c>
      <c r="EI589" s="229">
        <v>53.33</v>
      </c>
      <c r="EJ589" s="228">
        <f t="shared" si="1900"/>
        <v>53.33</v>
      </c>
      <c r="EK589" s="229"/>
      <c r="EL589" s="229"/>
      <c r="EM589" s="228">
        <f t="shared" si="1929"/>
        <v>0</v>
      </c>
      <c r="EN589" s="229">
        <f>EK589+EH589+EL589</f>
        <v>0</v>
      </c>
      <c r="EO589" s="229">
        <f>EI589</f>
        <v>53.33</v>
      </c>
      <c r="EP589" s="228">
        <f>EM589+EJ589</f>
        <v>53.33</v>
      </c>
      <c r="EQ589" s="173">
        <f t="shared" si="1934"/>
        <v>0</v>
      </c>
      <c r="ER589" s="189">
        <v>0</v>
      </c>
      <c r="ES589" s="189">
        <v>0</v>
      </c>
      <c r="ET589" s="189">
        <v>0</v>
      </c>
      <c r="EU589" s="189">
        <v>0</v>
      </c>
      <c r="EV589" s="189">
        <v>0</v>
      </c>
      <c r="EW589" s="189">
        <v>0</v>
      </c>
      <c r="EX589" s="189">
        <v>0</v>
      </c>
      <c r="EY589" s="189">
        <v>0</v>
      </c>
      <c r="EZ589" s="189">
        <v>0</v>
      </c>
      <c r="FA589" s="189">
        <v>0</v>
      </c>
      <c r="FB589" s="189">
        <v>0</v>
      </c>
      <c r="FC589" s="189">
        <v>0</v>
      </c>
      <c r="FD589" s="189">
        <v>0</v>
      </c>
      <c r="FE589" s="189">
        <v>0</v>
      </c>
      <c r="FF589" s="189">
        <v>0</v>
      </c>
      <c r="FG589" s="189">
        <v>0</v>
      </c>
      <c r="FH589" s="189">
        <v>0</v>
      </c>
      <c r="FI589" s="189">
        <v>0</v>
      </c>
      <c r="FJ589" s="189">
        <v>0</v>
      </c>
      <c r="FK589" s="189">
        <v>0</v>
      </c>
      <c r="FL589" s="189">
        <v>0</v>
      </c>
      <c r="FN589" s="132">
        <v>0</v>
      </c>
    </row>
    <row r="590" spans="1:170" ht="30" customHeight="1">
      <c r="A590" s="88">
        <f>COUNTIF($H$12:H592,H590)</f>
        <v>45</v>
      </c>
      <c r="B590" s="88" t="s">
        <v>767</v>
      </c>
      <c r="C590" s="88" t="s">
        <v>248</v>
      </c>
      <c r="D590" s="88"/>
      <c r="E590" s="88"/>
      <c r="F590" s="301" t="s">
        <v>3112</v>
      </c>
      <c r="G590" s="303" t="s">
        <v>3086</v>
      </c>
      <c r="H590" s="88">
        <v>11</v>
      </c>
      <c r="I590" s="88">
        <v>11</v>
      </c>
      <c r="J590" s="88">
        <v>11</v>
      </c>
      <c r="K590" s="91" t="s">
        <v>1021</v>
      </c>
      <c r="L590" s="91" t="s">
        <v>1021</v>
      </c>
      <c r="M590" s="214"/>
      <c r="N590" s="88" t="s">
        <v>1804</v>
      </c>
      <c r="O590" s="216">
        <f>BO590</f>
        <v>3</v>
      </c>
      <c r="P590" s="88" t="str">
        <f t="shared" si="1785"/>
        <v>B1_3</v>
      </c>
      <c r="Q590" s="88">
        <f t="shared" si="1935"/>
        <v>270</v>
      </c>
      <c r="R590" s="88">
        <f t="shared" si="1936"/>
        <v>100</v>
      </c>
      <c r="S590" s="218" t="s">
        <v>659</v>
      </c>
      <c r="T590" s="88" t="s">
        <v>2961</v>
      </c>
      <c r="U590" s="88">
        <f>IF(RIGHT(T590,1)="K",(VLOOKUP(T590,ma_miengiam!$A$3:$B$80,2,0)*100)/2,VLOOKUP(T590,ma_miengiam!$A$3:$B$80,2,0)*100)</f>
        <v>100</v>
      </c>
      <c r="V590" s="88"/>
      <c r="W590" s="220">
        <f>IF(AND(T590="NTS",V590&gt;0),(Q590-(Q590*V590)/12)*VLOOKUP(T590,ma_miengiam!$A$3:$B$80,2,0)+(Q590-(Q590*(12-V590))/12),IF(AND(RIGHT(T590,1)="K",V590&gt;0),(VLOOKUP(T590,ma_miengiam!$A$3:$B$80,2,0)/2)*(Q590*V590)/12,IF(RIGHT(T590,1)="K",(VLOOKUP(T590,ma_miengiam!$A$3:$B$80,2,0)*Q590)/2,IF(V590&gt;0,VLOOKUP(T590,ma_miengiam!$A$3:$B$80,2,0)*Q590*V590/12,VLOOKUP(T590,ma_miengiam!$A$3:$B$80,2,0)*Q590))))</f>
        <v>270</v>
      </c>
      <c r="X590" s="220">
        <f>IF(T590="NTS",VLOOKUP(T590,ma_miengiam!$A$3:$B$80,2,0)*R590*V590,IF(AND(T590="NTS",V590=0),0,IF(AND(LEFT(T590,1)="K",V590=0),VLOOKUP(T590,ma_miengiam!$A$3:$B$80,2,0)*R590,IF(LEFT(T590,1)="K",(VLOOKUP(T590,ma_miengiam!$A$3:$B$80,2,0)*R590/12)*V590,IF(AND(LEFT(T590,1)="S",V590&gt;0),(R590/12)*V590,IF(AND(LEFT(T590,1)="S",V590=0),R590,IF(T590="DH",VLOOKUP(T590,ma_miengiam!$A$3:$B$80,2,0)*R590,0)))))))</f>
        <v>100</v>
      </c>
      <c r="Y590" s="220">
        <f>IF(AND(T590="DH",V590&gt;0),(S590*V590/12),IF(AND(T590&lt;&gt;"NTS",V590&gt;0),(Q590*V590/12)-W590,IF(AND(T590="NTS",V590&gt;0),Q590-W590,Q590-W590)))</f>
        <v>0</v>
      </c>
      <c r="Z590" s="220">
        <f>IF(AND(T590="SĐH",V590&gt;0),(R590/12)*V590-X590,IF(AND(T590="DH",V590&gt;0),(R590*V590/12),IF(AND(T590&lt;&gt;"NTS",V590&gt;0),(R590*V590/12)-X590,IF(AND(T590="NTS",V590&gt;0),R590-X590,R590-X590))))</f>
        <v>0</v>
      </c>
      <c r="AA590" s="220">
        <f t="shared" si="1937"/>
        <v>270</v>
      </c>
      <c r="AB590" s="220">
        <f t="shared" si="1937"/>
        <v>100</v>
      </c>
      <c r="AC590" s="220">
        <f t="shared" si="1941"/>
        <v>270</v>
      </c>
      <c r="AD590" s="220">
        <f t="shared" si="1941"/>
        <v>100</v>
      </c>
      <c r="AE590" s="220">
        <f t="shared" si="1941"/>
        <v>0</v>
      </c>
      <c r="AF590" s="220">
        <f t="shared" si="1941"/>
        <v>0</v>
      </c>
      <c r="AG590" s="220">
        <f>AH590+AI590</f>
        <v>0</v>
      </c>
      <c r="AH590" s="220">
        <f>EO590</f>
        <v>0</v>
      </c>
      <c r="AI590" s="220">
        <f>EN590</f>
        <v>0</v>
      </c>
      <c r="AJ590" s="220">
        <f>IF(AG590-Z590&gt;0,0,AG590-Z590)</f>
        <v>0</v>
      </c>
      <c r="AK590" s="216">
        <f t="shared" si="1812"/>
        <v>0</v>
      </c>
      <c r="AL590" s="220">
        <f t="shared" si="1819"/>
        <v>0</v>
      </c>
      <c r="AM590" s="220">
        <f t="shared" si="1820"/>
        <v>0</v>
      </c>
      <c r="AN590" s="221">
        <f t="shared" si="1821"/>
        <v>0</v>
      </c>
      <c r="AO590" s="220">
        <f t="shared" si="1822"/>
        <v>0</v>
      </c>
      <c r="AP590" s="220">
        <f t="shared" si="1823"/>
        <v>0</v>
      </c>
      <c r="AQ590" s="220">
        <f t="shared" si="1824"/>
        <v>0</v>
      </c>
      <c r="AR590" s="220">
        <f t="shared" si="1825"/>
        <v>0</v>
      </c>
      <c r="AS590" s="220">
        <f t="shared" si="1826"/>
        <v>0</v>
      </c>
      <c r="AT590" s="216">
        <f t="shared" si="1827"/>
        <v>0</v>
      </c>
      <c r="AU590" s="220">
        <f>AN590-AK590</f>
        <v>0</v>
      </c>
      <c r="AV590" s="220"/>
      <c r="AW590" s="220">
        <f>IF(AU590&gt;0,AU590,AV590+AU590)</f>
        <v>0</v>
      </c>
      <c r="AX590" s="216">
        <f t="shared" si="1811"/>
        <v>0</v>
      </c>
      <c r="AY590" s="220">
        <f>IF(AN590&gt;=AK590,AO590,IF(AN590+AO590-AK590&gt;=0,AN590+AO590-AK590,0))</f>
        <v>0</v>
      </c>
      <c r="AZ590" s="220">
        <f>IF(OR(AN590&gt;=AK590,AN590+AO590&gt;=AK590),AP590,IF(AN590+AO590+AP590&gt;AK590,AN590+AO590+AP590-AK590,0))</f>
        <v>0</v>
      </c>
      <c r="BA590" s="220">
        <f>IF(OR(AN590&gt;=AK590,AN590+AO590&gt;=AK590,AN590+AO590+AP590&gt;=AK590),AQ590,IF(AN590+AO590+AP590+AQ590&gt;=AK590,AN590+AO590+AP590+AQ590-AK590,0))</f>
        <v>0</v>
      </c>
      <c r="BB590" s="220">
        <f>IF(OR(AN590&gt;=AK590,AN590+AO590&gt;=AK590,AN590+AO590+AP590&gt;=AK590,AN590+AO590+AP590+AQ590&gt;=AK590),AR590,IF(AN590+AO590+AP590+AQ590+AR590&gt;=AK590,AN590+AO590+AP590+AQ590+AR590-AK590,0))</f>
        <v>0</v>
      </c>
      <c r="BC590" s="220">
        <f>IF(OR(AN590&gt;=AK590,AN590+AO590&gt;=AK590,AN590+AO590+AP590&gt;=AK590,AN590+AO590+AP590+AQ590&gt;=AK590,AN590+AO590+AP590+AQ590+AR590&gt;=AK590),AS590,IF(AN590+AO590+AP590+AQ590+AR590+AS590&gt;=AK590,AN590+AO590+AP590+AQ590+AR590+AS590-AK590,0))</f>
        <v>0</v>
      </c>
      <c r="BD590" s="216">
        <f t="shared" si="1778"/>
        <v>0</v>
      </c>
      <c r="BE590" s="220">
        <f t="shared" si="1942"/>
        <v>0</v>
      </c>
      <c r="BF590" s="220">
        <f t="shared" si="1942"/>
        <v>0</v>
      </c>
      <c r="BG590" s="220">
        <f t="shared" si="1942"/>
        <v>0</v>
      </c>
      <c r="BH590" s="220">
        <f t="shared" si="1942"/>
        <v>0</v>
      </c>
      <c r="BI590" s="220">
        <f t="shared" si="1942"/>
        <v>0</v>
      </c>
      <c r="BJ590" s="220" t="s">
        <v>1918</v>
      </c>
      <c r="BK590" s="220"/>
      <c r="BL590" s="223">
        <f t="shared" si="1784"/>
        <v>0</v>
      </c>
      <c r="BM590" s="220">
        <v>3</v>
      </c>
      <c r="BN590" s="220"/>
      <c r="BO590" s="220">
        <f>ROUND(BM590+(BM590*BN590),2)</f>
        <v>3</v>
      </c>
      <c r="BP590" s="220">
        <f>IF(AND(BL590&gt;0,BL590&lt;tiet!$D$1),BL590,IF(BL590&lt;=0,0,IF(BL590&gt;tiet!$C$1,tiet!$C$1)))</f>
        <v>0</v>
      </c>
      <c r="BQ590" s="87">
        <f>VLOOKUP(P590,ma_dinhmuc_moi,4,0)</f>
        <v>60000</v>
      </c>
      <c r="BR590" s="224">
        <f>ROUND(BQ590*BP590,0)</f>
        <v>0</v>
      </c>
      <c r="BS590" s="220">
        <f t="shared" si="1933"/>
        <v>0</v>
      </c>
      <c r="BT590" s="224">
        <f>VLOOKUP(N590,ma_dinhmuc!$A$1:$J$31,10,0)</f>
        <v>51000</v>
      </c>
      <c r="BU590" s="224">
        <f>ROUND(IF(BS590&gt;0,VLOOKUP(N590,ma_dinhmuc!$A$1:$J$31,10,0)*BS590,0),0)</f>
        <v>0</v>
      </c>
      <c r="BV590" s="224">
        <f>ROUND(BU590+BR590,0)</f>
        <v>0</v>
      </c>
      <c r="BW590" s="224"/>
      <c r="BX590" s="224">
        <v>0</v>
      </c>
      <c r="BY590" s="224"/>
      <c r="BZ590" s="224"/>
      <c r="CA590" s="224"/>
      <c r="CB590" s="224"/>
      <c r="CC590" s="225">
        <f>ROUND(IF(BV590+BW590&gt;BX590+BY590+BZ590+CA590+CB590,(BW590+BV590)-(BX590+BY590+BZ590+CA590+CB590+CB590),0),0)</f>
        <v>0</v>
      </c>
      <c r="CD590" s="224">
        <f>ROUND(IF(BV590+BW590&lt;BX590+BY590+BZ590+CA590-CB590,(BX590+BY590+BZ590+CA590-CB590)-(BW590+BV590),0),0)</f>
        <v>0</v>
      </c>
      <c r="CE590" s="224"/>
      <c r="CF590" s="226"/>
      <c r="CG590" s="87"/>
      <c r="CH590" s="87">
        <f>A590</f>
        <v>45</v>
      </c>
      <c r="CI590" s="227" t="str">
        <f t="shared" si="1847"/>
        <v>Đỗ Thị Tuyết</v>
      </c>
      <c r="CJ590" s="227" t="str">
        <f t="shared" si="1848"/>
        <v>Mai</v>
      </c>
      <c r="CK590" s="87">
        <f>H590</f>
        <v>11</v>
      </c>
      <c r="CL590" s="227" t="str">
        <f>L590</f>
        <v>Marketing</v>
      </c>
      <c r="CM590" s="87" t="str">
        <f>N590</f>
        <v>CS2</v>
      </c>
      <c r="CN590" s="87">
        <f t="shared" si="1938"/>
        <v>270</v>
      </c>
      <c r="CO590" s="87">
        <f t="shared" si="1938"/>
        <v>100</v>
      </c>
      <c r="CP590" s="229">
        <f t="shared" si="1943"/>
        <v>0</v>
      </c>
      <c r="CQ590" s="229">
        <f t="shared" si="1944"/>
        <v>0</v>
      </c>
      <c r="CR590" s="229">
        <f t="shared" si="1945"/>
        <v>0</v>
      </c>
      <c r="CS590" s="229">
        <f t="shared" si="1946"/>
        <v>0</v>
      </c>
      <c r="CT590" s="229">
        <f t="shared" si="1947"/>
        <v>0</v>
      </c>
      <c r="CU590" s="229">
        <f t="shared" si="1948"/>
        <v>0</v>
      </c>
      <c r="CV590" s="229">
        <f t="shared" si="1949"/>
        <v>0</v>
      </c>
      <c r="CW590" s="229">
        <f t="shared" si="1950"/>
        <v>0</v>
      </c>
      <c r="CX590" s="229">
        <f t="shared" si="1951"/>
        <v>0</v>
      </c>
      <c r="CY590" s="229">
        <f t="shared" si="1952"/>
        <v>0</v>
      </c>
      <c r="CZ590" s="229">
        <f t="shared" si="1953"/>
        <v>0</v>
      </c>
      <c r="DA590" s="229">
        <f t="shared" si="1954"/>
        <v>0</v>
      </c>
      <c r="DB590" s="228">
        <f t="shared" si="1834"/>
        <v>0</v>
      </c>
      <c r="DC590" s="229"/>
      <c r="DD590" s="229"/>
      <c r="DE590" s="229"/>
      <c r="DF590" s="229"/>
      <c r="DG590" s="229"/>
      <c r="DH590" s="229"/>
      <c r="DI590" s="229"/>
      <c r="DJ590" s="229"/>
      <c r="DK590" s="229"/>
      <c r="DL590" s="229"/>
      <c r="DM590" s="229"/>
      <c r="DN590" s="229"/>
      <c r="DO590" s="228">
        <f t="shared" si="1835"/>
        <v>0</v>
      </c>
      <c r="DP590" s="228">
        <f t="shared" si="1836"/>
        <v>0</v>
      </c>
      <c r="DQ590" s="229">
        <f t="shared" si="1955"/>
        <v>0</v>
      </c>
      <c r="DR590" s="229">
        <f t="shared" si="1956"/>
        <v>0</v>
      </c>
      <c r="DS590" s="229">
        <f t="shared" si="1957"/>
        <v>0</v>
      </c>
      <c r="DT590" s="229">
        <f t="shared" si="1958"/>
        <v>0</v>
      </c>
      <c r="DU590" s="229">
        <f t="shared" si="1959"/>
        <v>0</v>
      </c>
      <c r="DV590" s="229">
        <f t="shared" si="1960"/>
        <v>0</v>
      </c>
      <c r="DW590" s="229">
        <f t="shared" si="1961"/>
        <v>0</v>
      </c>
      <c r="DX590" s="228">
        <f t="shared" si="1837"/>
        <v>0</v>
      </c>
      <c r="DY590" s="229"/>
      <c r="DZ590" s="229"/>
      <c r="EA590" s="229"/>
      <c r="EB590" s="229"/>
      <c r="EC590" s="229"/>
      <c r="ED590" s="229"/>
      <c r="EE590" s="229"/>
      <c r="EF590" s="228">
        <f t="shared" si="1939"/>
        <v>0</v>
      </c>
      <c r="EG590" s="228">
        <f t="shared" si="1838"/>
        <v>0</v>
      </c>
      <c r="EH590" s="229">
        <f t="shared" si="1940"/>
        <v>0</v>
      </c>
      <c r="EI590" s="229">
        <v>0</v>
      </c>
      <c r="EJ590" s="228">
        <f t="shared" si="1900"/>
        <v>0</v>
      </c>
      <c r="EK590" s="229"/>
      <c r="EL590" s="229"/>
      <c r="EM590" s="228">
        <f t="shared" si="1929"/>
        <v>0</v>
      </c>
      <c r="EN590" s="229">
        <f>EK590+EH590+EL590</f>
        <v>0</v>
      </c>
      <c r="EO590" s="229">
        <f>EI590</f>
        <v>0</v>
      </c>
      <c r="EP590" s="228">
        <f>EM590+EJ590</f>
        <v>0</v>
      </c>
      <c r="EQ590" s="173">
        <f t="shared" si="1934"/>
        <v>0</v>
      </c>
      <c r="ER590" s="189">
        <v>0</v>
      </c>
      <c r="ES590" s="189">
        <v>0</v>
      </c>
      <c r="ET590" s="189">
        <v>0</v>
      </c>
      <c r="EU590" s="189">
        <v>0</v>
      </c>
      <c r="EV590" s="189">
        <v>0</v>
      </c>
      <c r="EW590" s="189">
        <v>0</v>
      </c>
      <c r="EX590" s="189">
        <v>0</v>
      </c>
      <c r="EY590" s="189">
        <v>0</v>
      </c>
      <c r="EZ590" s="189">
        <v>0</v>
      </c>
      <c r="FA590" s="189">
        <v>0</v>
      </c>
      <c r="FB590" s="189">
        <v>0</v>
      </c>
      <c r="FC590" s="189">
        <v>0</v>
      </c>
      <c r="FD590" s="189">
        <v>0</v>
      </c>
      <c r="FE590" s="189">
        <v>0</v>
      </c>
      <c r="FF590" s="189">
        <v>0</v>
      </c>
      <c r="FG590" s="189">
        <v>0</v>
      </c>
      <c r="FH590" s="189">
        <v>0</v>
      </c>
      <c r="FI590" s="189">
        <v>0</v>
      </c>
      <c r="FJ590" s="189">
        <v>0</v>
      </c>
      <c r="FK590" s="189">
        <v>0</v>
      </c>
      <c r="FL590" s="189">
        <v>0</v>
      </c>
      <c r="FN590" s="132">
        <v>0</v>
      </c>
    </row>
    <row r="591" spans="1:170" ht="30" customHeight="1">
      <c r="A591" s="88">
        <f>COUNTIF($H$12:H591,H591)</f>
        <v>44</v>
      </c>
      <c r="B591" s="88" t="s">
        <v>2142</v>
      </c>
      <c r="C591" s="88" t="s">
        <v>251</v>
      </c>
      <c r="D591" s="88"/>
      <c r="E591" s="88"/>
      <c r="F591" s="301" t="s">
        <v>665</v>
      </c>
      <c r="G591" s="303" t="s">
        <v>2086</v>
      </c>
      <c r="H591" s="88">
        <v>11</v>
      </c>
      <c r="I591" s="88">
        <v>11</v>
      </c>
      <c r="J591" s="88">
        <v>11</v>
      </c>
      <c r="K591" s="91" t="s">
        <v>1021</v>
      </c>
      <c r="L591" s="91" t="s">
        <v>1021</v>
      </c>
      <c r="M591" s="214"/>
      <c r="N591" s="88" t="s">
        <v>1804</v>
      </c>
      <c r="O591" s="216">
        <f t="shared" si="1907"/>
        <v>3.66</v>
      </c>
      <c r="P591" s="88" t="str">
        <f t="shared" si="1785"/>
        <v>B1_4</v>
      </c>
      <c r="Q591" s="88">
        <f t="shared" si="1935"/>
        <v>270</v>
      </c>
      <c r="R591" s="88">
        <f t="shared" si="1936"/>
        <v>120</v>
      </c>
      <c r="S591" s="233" t="s">
        <v>1563</v>
      </c>
      <c r="T591" s="88" t="s">
        <v>2961</v>
      </c>
      <c r="U591" s="88">
        <f>IF(RIGHT(T591,1)="K",(VLOOKUP(T591,ma_miengiam!$A$3:$B$80,2,0)*100)/2,VLOOKUP(T591,ma_miengiam!$A$3:$B$80,2,0)*100)</f>
        <v>100</v>
      </c>
      <c r="V591" s="88"/>
      <c r="W591" s="220">
        <f>IF(AND(T591="NTS",V591&gt;0),(Q591-(Q591*V591)/12)*VLOOKUP(T591,ma_miengiam!$A$3:$B$80,2,0)+(Q591-(Q591*(12-V591))/12),IF(AND(RIGHT(T591,1)="K",V591&gt;0),(VLOOKUP(T591,ma_miengiam!$A$3:$B$80,2,0)/2)*(Q591*V591)/12,IF(RIGHT(T591,1)="K",(VLOOKUP(T591,ma_miengiam!$A$3:$B$80,2,0)*Q591)/2,IF(V591&gt;0,VLOOKUP(T591,ma_miengiam!$A$3:$B$80,2,0)*Q591*V591/12,VLOOKUP(T591,ma_miengiam!$A$3:$B$80,2,0)*Q591))))</f>
        <v>270</v>
      </c>
      <c r="X591" s="220">
        <f>IF(T591="NTS",VLOOKUP(T591,ma_miengiam!$A$3:$B$80,2,0)*R591*V591,IF(AND(T591="NTS",V591=0),0,IF(AND(LEFT(T591,1)="K",V591=0),VLOOKUP(T591,ma_miengiam!$A$3:$B$80,2,0)*R591,IF(LEFT(T591,1)="K",(VLOOKUP(T591,ma_miengiam!$A$3:$B$80,2,0)*R591/12)*V591,IF(AND(LEFT(T591,1)="S",V591&gt;0),(R591/12)*V591,IF(AND(LEFT(T591,1)="S",V591=0),R591,IF(T591="DH",VLOOKUP(T591,ma_miengiam!$A$3:$B$80,2,0)*R591,0)))))))</f>
        <v>120</v>
      </c>
      <c r="Y591" s="220">
        <f t="shared" si="1745"/>
        <v>0</v>
      </c>
      <c r="Z591" s="220">
        <f t="shared" si="1908"/>
        <v>0</v>
      </c>
      <c r="AA591" s="220">
        <f t="shared" si="1909"/>
        <v>270</v>
      </c>
      <c r="AB591" s="220">
        <f t="shared" si="1910"/>
        <v>120</v>
      </c>
      <c r="AC591" s="220">
        <f t="shared" si="1911"/>
        <v>270</v>
      </c>
      <c r="AD591" s="220">
        <f t="shared" si="1911"/>
        <v>120</v>
      </c>
      <c r="AE591" s="220">
        <f t="shared" si="1911"/>
        <v>0</v>
      </c>
      <c r="AF591" s="220">
        <f t="shared" si="1911"/>
        <v>0</v>
      </c>
      <c r="AG591" s="220">
        <f t="shared" si="1896"/>
        <v>0</v>
      </c>
      <c r="AH591" s="220">
        <f t="shared" si="1897"/>
        <v>0</v>
      </c>
      <c r="AI591" s="220">
        <f t="shared" si="1898"/>
        <v>0</v>
      </c>
      <c r="AJ591" s="220">
        <f t="shared" si="1912"/>
        <v>0</v>
      </c>
      <c r="AK591" s="216">
        <f t="shared" si="1812"/>
        <v>0</v>
      </c>
      <c r="AL591" s="220">
        <f t="shared" si="1819"/>
        <v>0</v>
      </c>
      <c r="AM591" s="220">
        <f t="shared" si="1820"/>
        <v>0</v>
      </c>
      <c r="AN591" s="221">
        <f t="shared" si="1821"/>
        <v>0</v>
      </c>
      <c r="AO591" s="220">
        <f t="shared" si="1822"/>
        <v>0</v>
      </c>
      <c r="AP591" s="220">
        <f t="shared" si="1823"/>
        <v>0</v>
      </c>
      <c r="AQ591" s="220">
        <f t="shared" si="1824"/>
        <v>0</v>
      </c>
      <c r="AR591" s="220">
        <f t="shared" si="1825"/>
        <v>0</v>
      </c>
      <c r="AS591" s="220">
        <f t="shared" si="1826"/>
        <v>0</v>
      </c>
      <c r="AT591" s="216">
        <f t="shared" si="1827"/>
        <v>0</v>
      </c>
      <c r="AU591" s="222">
        <f t="shared" si="1913"/>
        <v>0</v>
      </c>
      <c r="AV591" s="220"/>
      <c r="AW591" s="220">
        <f t="shared" si="1914"/>
        <v>0</v>
      </c>
      <c r="AX591" s="216">
        <f t="shared" si="1811"/>
        <v>0</v>
      </c>
      <c r="AY591" s="220">
        <f t="shared" si="1915"/>
        <v>0</v>
      </c>
      <c r="AZ591" s="220">
        <f t="shared" si="1916"/>
        <v>0</v>
      </c>
      <c r="BA591" s="220">
        <f t="shared" si="1917"/>
        <v>0</v>
      </c>
      <c r="BB591" s="220">
        <f t="shared" si="1918"/>
        <v>0</v>
      </c>
      <c r="BC591" s="220">
        <f t="shared" si="1919"/>
        <v>0</v>
      </c>
      <c r="BD591" s="216">
        <f t="shared" si="1778"/>
        <v>0</v>
      </c>
      <c r="BE591" s="220">
        <f t="shared" si="1920"/>
        <v>0</v>
      </c>
      <c r="BF591" s="220">
        <f t="shared" si="1920"/>
        <v>0</v>
      </c>
      <c r="BG591" s="220">
        <f t="shared" si="1920"/>
        <v>0</v>
      </c>
      <c r="BH591" s="220">
        <f t="shared" si="1920"/>
        <v>0</v>
      </c>
      <c r="BI591" s="220">
        <f t="shared" si="1920"/>
        <v>0</v>
      </c>
      <c r="BJ591" s="220" t="s">
        <v>1918</v>
      </c>
      <c r="BK591" s="220"/>
      <c r="BL591" s="223">
        <f t="shared" si="1784"/>
        <v>0</v>
      </c>
      <c r="BM591" s="220">
        <v>3.66</v>
      </c>
      <c r="BN591" s="220"/>
      <c r="BO591" s="220">
        <f t="shared" si="1899"/>
        <v>3.66</v>
      </c>
      <c r="BP591" s="220">
        <f>IF(AND(BL591&gt;0,BL591&lt;tiet!$D$1),BL591,IF(BL591&lt;=0,0,IF(BL591&gt;tiet!$C$1,tiet!$C$1)))</f>
        <v>0</v>
      </c>
      <c r="BQ591" s="87">
        <f t="shared" si="1921"/>
        <v>65000</v>
      </c>
      <c r="BR591" s="224">
        <f t="shared" si="1922"/>
        <v>0</v>
      </c>
      <c r="BS591" s="220">
        <f t="shared" si="1933"/>
        <v>0</v>
      </c>
      <c r="BT591" s="224">
        <f>VLOOKUP(N591,ma_dinhmuc!$A$1:$J$31,10,0)</f>
        <v>51000</v>
      </c>
      <c r="BU591" s="224">
        <f>ROUND(IF(BS591&gt;0,VLOOKUP(N591,ma_dinhmuc!$A$1:$J$31,10,0)*BS591,0),0)</f>
        <v>0</v>
      </c>
      <c r="BV591" s="224">
        <f t="shared" si="1923"/>
        <v>0</v>
      </c>
      <c r="BW591" s="224"/>
      <c r="BX591" s="224">
        <v>0</v>
      </c>
      <c r="BY591" s="224"/>
      <c r="BZ591" s="224"/>
      <c r="CA591" s="224"/>
      <c r="CB591" s="224"/>
      <c r="CC591" s="225">
        <f t="shared" si="1924"/>
        <v>0</v>
      </c>
      <c r="CD591" s="224">
        <f t="shared" si="1925"/>
        <v>0</v>
      </c>
      <c r="CE591" s="224"/>
      <c r="CF591" s="226"/>
      <c r="CG591" s="87"/>
      <c r="CH591" s="87">
        <f t="shared" si="1854"/>
        <v>44</v>
      </c>
      <c r="CI591" s="227" t="str">
        <f t="shared" si="1847"/>
        <v>Nguyễn Hùng</v>
      </c>
      <c r="CJ591" s="227" t="str">
        <f t="shared" si="1848"/>
        <v>Anh</v>
      </c>
      <c r="CK591" s="87">
        <f t="shared" si="1926"/>
        <v>11</v>
      </c>
      <c r="CL591" s="227" t="str">
        <f t="shared" si="1927"/>
        <v>Marketing</v>
      </c>
      <c r="CM591" s="87" t="str">
        <f t="shared" si="1928"/>
        <v>CS2</v>
      </c>
      <c r="CN591" s="87">
        <f t="shared" si="1891"/>
        <v>270</v>
      </c>
      <c r="CO591" s="87">
        <f t="shared" si="1892"/>
        <v>120</v>
      </c>
      <c r="CP591" s="229">
        <f t="shared" si="1943"/>
        <v>0</v>
      </c>
      <c r="CQ591" s="229">
        <f t="shared" si="1944"/>
        <v>0</v>
      </c>
      <c r="CR591" s="229">
        <f t="shared" si="1945"/>
        <v>0</v>
      </c>
      <c r="CS591" s="229">
        <f t="shared" si="1946"/>
        <v>0</v>
      </c>
      <c r="CT591" s="229">
        <f t="shared" si="1947"/>
        <v>0</v>
      </c>
      <c r="CU591" s="229">
        <f t="shared" si="1948"/>
        <v>0</v>
      </c>
      <c r="CV591" s="229">
        <f t="shared" si="1949"/>
        <v>0</v>
      </c>
      <c r="CW591" s="229">
        <f t="shared" si="1950"/>
        <v>0</v>
      </c>
      <c r="CX591" s="229">
        <f t="shared" si="1951"/>
        <v>0</v>
      </c>
      <c r="CY591" s="229">
        <f t="shared" si="1952"/>
        <v>0</v>
      </c>
      <c r="CZ591" s="229">
        <f t="shared" si="1953"/>
        <v>0</v>
      </c>
      <c r="DA591" s="229">
        <f t="shared" si="1954"/>
        <v>0</v>
      </c>
      <c r="DB591" s="228">
        <f t="shared" si="1834"/>
        <v>0</v>
      </c>
      <c r="DC591" s="229"/>
      <c r="DD591" s="229"/>
      <c r="DE591" s="229"/>
      <c r="DF591" s="229"/>
      <c r="DG591" s="229"/>
      <c r="DH591" s="229"/>
      <c r="DI591" s="229"/>
      <c r="DJ591" s="229"/>
      <c r="DK591" s="229"/>
      <c r="DL591" s="229"/>
      <c r="DM591" s="229"/>
      <c r="DN591" s="229"/>
      <c r="DO591" s="228">
        <f t="shared" si="1835"/>
        <v>0</v>
      </c>
      <c r="DP591" s="228">
        <f t="shared" si="1836"/>
        <v>0</v>
      </c>
      <c r="DQ591" s="229">
        <f t="shared" si="1955"/>
        <v>0</v>
      </c>
      <c r="DR591" s="229">
        <f t="shared" si="1956"/>
        <v>0</v>
      </c>
      <c r="DS591" s="229">
        <f t="shared" si="1957"/>
        <v>0</v>
      </c>
      <c r="DT591" s="229">
        <f t="shared" si="1958"/>
        <v>0</v>
      </c>
      <c r="DU591" s="229">
        <f t="shared" si="1959"/>
        <v>0</v>
      </c>
      <c r="DV591" s="229">
        <f t="shared" si="1960"/>
        <v>0</v>
      </c>
      <c r="DW591" s="229">
        <f t="shared" si="1961"/>
        <v>0</v>
      </c>
      <c r="DX591" s="228">
        <f t="shared" si="1837"/>
        <v>0</v>
      </c>
      <c r="DY591" s="229"/>
      <c r="DZ591" s="229"/>
      <c r="EA591" s="229"/>
      <c r="EB591" s="229"/>
      <c r="EC591" s="229"/>
      <c r="ED591" s="229"/>
      <c r="EE591" s="229"/>
      <c r="EF591" s="228">
        <f t="shared" si="1939"/>
        <v>0</v>
      </c>
      <c r="EG591" s="228">
        <f t="shared" si="1838"/>
        <v>0</v>
      </c>
      <c r="EH591" s="229">
        <f t="shared" si="1940"/>
        <v>0</v>
      </c>
      <c r="EI591" s="229">
        <v>0</v>
      </c>
      <c r="EJ591" s="228">
        <f t="shared" si="1900"/>
        <v>0</v>
      </c>
      <c r="EK591" s="229"/>
      <c r="EL591" s="229"/>
      <c r="EM591" s="228">
        <f t="shared" si="1929"/>
        <v>0</v>
      </c>
      <c r="EN591" s="229">
        <f t="shared" si="1930"/>
        <v>0</v>
      </c>
      <c r="EO591" s="229">
        <f t="shared" si="1931"/>
        <v>0</v>
      </c>
      <c r="EP591" s="228">
        <f t="shared" si="1932"/>
        <v>0</v>
      </c>
      <c r="EQ591" s="173">
        <f t="shared" si="1934"/>
        <v>0</v>
      </c>
      <c r="ER591" s="189">
        <v>0</v>
      </c>
      <c r="ES591" s="189">
        <v>0</v>
      </c>
      <c r="ET591" s="189">
        <v>0</v>
      </c>
      <c r="EU591" s="189">
        <v>0</v>
      </c>
      <c r="EV591" s="189">
        <v>0</v>
      </c>
      <c r="EW591" s="189">
        <v>0</v>
      </c>
      <c r="EX591" s="189">
        <v>0</v>
      </c>
      <c r="EY591" s="189">
        <v>0</v>
      </c>
      <c r="EZ591" s="189">
        <v>0</v>
      </c>
      <c r="FA591" s="189">
        <v>0</v>
      </c>
      <c r="FB591" s="189">
        <v>0</v>
      </c>
      <c r="FC591" s="189">
        <v>0</v>
      </c>
      <c r="FD591" s="189">
        <v>0</v>
      </c>
      <c r="FE591" s="189">
        <v>0</v>
      </c>
      <c r="FF591" s="189">
        <v>0</v>
      </c>
      <c r="FG591" s="189">
        <v>0</v>
      </c>
      <c r="FH591" s="189">
        <v>0</v>
      </c>
      <c r="FI591" s="189">
        <v>0</v>
      </c>
      <c r="FJ591" s="189">
        <v>0</v>
      </c>
      <c r="FK591" s="189">
        <v>0</v>
      </c>
      <c r="FL591" s="189">
        <v>0</v>
      </c>
      <c r="FN591" s="132">
        <v>0</v>
      </c>
    </row>
    <row r="592" spans="1:170" ht="30" customHeight="1">
      <c r="A592" s="88">
        <f>COUNTIF($H$12:H592,H592)</f>
        <v>45</v>
      </c>
      <c r="B592" s="88" t="s">
        <v>2143</v>
      </c>
      <c r="C592" s="88" t="s">
        <v>252</v>
      </c>
      <c r="D592" s="88"/>
      <c r="E592" s="88"/>
      <c r="F592" s="301" t="s">
        <v>666</v>
      </c>
      <c r="G592" s="303" t="s">
        <v>1651</v>
      </c>
      <c r="H592" s="88">
        <v>11</v>
      </c>
      <c r="I592" s="88">
        <v>11</v>
      </c>
      <c r="J592" s="88">
        <v>11</v>
      </c>
      <c r="K592" s="91" t="s">
        <v>1021</v>
      </c>
      <c r="L592" s="91" t="s">
        <v>1021</v>
      </c>
      <c r="M592" s="214"/>
      <c r="N592" s="88" t="s">
        <v>1804</v>
      </c>
      <c r="O592" s="216">
        <f t="shared" si="1907"/>
        <v>3.33</v>
      </c>
      <c r="P592" s="88" t="str">
        <f t="shared" si="1785"/>
        <v>B1_4</v>
      </c>
      <c r="Q592" s="88">
        <f t="shared" si="1935"/>
        <v>270</v>
      </c>
      <c r="R592" s="88">
        <f t="shared" si="1936"/>
        <v>120</v>
      </c>
      <c r="S592" s="233" t="s">
        <v>2986</v>
      </c>
      <c r="T592" s="88" t="s">
        <v>2961</v>
      </c>
      <c r="U592" s="88">
        <f>IF(RIGHT(T592,1)="K",(VLOOKUP(T592,ma_miengiam!$A$3:$B$80,2,0)*100)/2,VLOOKUP(T592,ma_miengiam!$A$3:$B$80,2,0)*100)</f>
        <v>100</v>
      </c>
      <c r="V592" s="88"/>
      <c r="W592" s="220">
        <f>IF(AND(T592="NTS",V592&gt;0),(Q592-(Q592*V592)/12)*VLOOKUP(T592,ma_miengiam!$A$3:$B$80,2,0)+(Q592-(Q592*(12-V592))/12),IF(AND(RIGHT(T592,1)="K",V592&gt;0),(VLOOKUP(T592,ma_miengiam!$A$3:$B$80,2,0)/2)*(Q592*V592)/12,IF(RIGHT(T592,1)="K",(VLOOKUP(T592,ma_miengiam!$A$3:$B$80,2,0)*Q592)/2,IF(V592&gt;0,VLOOKUP(T592,ma_miengiam!$A$3:$B$80,2,0)*Q592*V592/12,VLOOKUP(T592,ma_miengiam!$A$3:$B$80,2,0)*Q592))))</f>
        <v>270</v>
      </c>
      <c r="X592" s="220">
        <f>IF(T592="NTS",VLOOKUP(T592,ma_miengiam!$A$3:$B$80,2,0)*R592*V592,IF(AND(T592="NTS",V592=0),0,IF(AND(LEFT(T592,1)="K",V592=0),VLOOKUP(T592,ma_miengiam!$A$3:$B$80,2,0)*R592,IF(LEFT(T592,1)="K",(VLOOKUP(T592,ma_miengiam!$A$3:$B$80,2,0)*R592/12)*V592,IF(AND(LEFT(T592,1)="S",V592&gt;0),(R592/12)*V592,IF(AND(LEFT(T592,1)="S",V592=0),R592,IF(T592="DH",VLOOKUP(T592,ma_miengiam!$A$3:$B$80,2,0)*R592,0)))))))</f>
        <v>120</v>
      </c>
      <c r="Y592" s="220">
        <f t="shared" si="1745"/>
        <v>0</v>
      </c>
      <c r="Z592" s="220">
        <f t="shared" si="1908"/>
        <v>0</v>
      </c>
      <c r="AA592" s="220">
        <f t="shared" si="1909"/>
        <v>270</v>
      </c>
      <c r="AB592" s="220">
        <f t="shared" si="1910"/>
        <v>120</v>
      </c>
      <c r="AC592" s="220">
        <f t="shared" si="1911"/>
        <v>270</v>
      </c>
      <c r="AD592" s="220">
        <f t="shared" si="1911"/>
        <v>120</v>
      </c>
      <c r="AE592" s="220">
        <f t="shared" si="1911"/>
        <v>0</v>
      </c>
      <c r="AF592" s="220">
        <f t="shared" si="1911"/>
        <v>0</v>
      </c>
      <c r="AG592" s="220">
        <f t="shared" si="1896"/>
        <v>25</v>
      </c>
      <c r="AH592" s="220">
        <f t="shared" si="1897"/>
        <v>25</v>
      </c>
      <c r="AI592" s="220">
        <f t="shared" si="1898"/>
        <v>0</v>
      </c>
      <c r="AJ592" s="220">
        <f t="shared" si="1912"/>
        <v>0</v>
      </c>
      <c r="AK592" s="216">
        <f t="shared" si="1812"/>
        <v>0</v>
      </c>
      <c r="AL592" s="220">
        <f t="shared" si="1819"/>
        <v>0</v>
      </c>
      <c r="AM592" s="220">
        <f t="shared" si="1820"/>
        <v>0</v>
      </c>
      <c r="AN592" s="221">
        <f t="shared" si="1821"/>
        <v>0</v>
      </c>
      <c r="AO592" s="220">
        <f t="shared" si="1822"/>
        <v>0</v>
      </c>
      <c r="AP592" s="220">
        <f t="shared" si="1823"/>
        <v>0</v>
      </c>
      <c r="AQ592" s="220">
        <f t="shared" si="1824"/>
        <v>0</v>
      </c>
      <c r="AR592" s="220">
        <f t="shared" si="1825"/>
        <v>0</v>
      </c>
      <c r="AS592" s="220">
        <f t="shared" si="1826"/>
        <v>0</v>
      </c>
      <c r="AT592" s="216">
        <f t="shared" si="1827"/>
        <v>0</v>
      </c>
      <c r="AU592" s="222">
        <f t="shared" si="1913"/>
        <v>0</v>
      </c>
      <c r="AV592" s="220"/>
      <c r="AW592" s="220">
        <f t="shared" si="1914"/>
        <v>0</v>
      </c>
      <c r="AX592" s="216">
        <f t="shared" si="1811"/>
        <v>0</v>
      </c>
      <c r="AY592" s="220">
        <f t="shared" si="1915"/>
        <v>0</v>
      </c>
      <c r="AZ592" s="220">
        <f t="shared" si="1916"/>
        <v>0</v>
      </c>
      <c r="BA592" s="220">
        <f t="shared" si="1917"/>
        <v>0</v>
      </c>
      <c r="BB592" s="220">
        <f t="shared" si="1918"/>
        <v>0</v>
      </c>
      <c r="BC592" s="220">
        <f t="shared" si="1919"/>
        <v>0</v>
      </c>
      <c r="BD592" s="216">
        <f t="shared" si="1778"/>
        <v>0</v>
      </c>
      <c r="BE592" s="220">
        <f t="shared" si="1920"/>
        <v>0</v>
      </c>
      <c r="BF592" s="220">
        <f t="shared" si="1920"/>
        <v>0</v>
      </c>
      <c r="BG592" s="220">
        <f t="shared" si="1920"/>
        <v>0</v>
      </c>
      <c r="BH592" s="220">
        <f t="shared" si="1920"/>
        <v>0</v>
      </c>
      <c r="BI592" s="220">
        <f t="shared" si="1920"/>
        <v>0</v>
      </c>
      <c r="BJ592" s="220" t="s">
        <v>1918</v>
      </c>
      <c r="BK592" s="220"/>
      <c r="BL592" s="223">
        <f t="shared" si="1784"/>
        <v>0</v>
      </c>
      <c r="BM592" s="220">
        <v>3.33</v>
      </c>
      <c r="BN592" s="220"/>
      <c r="BO592" s="220">
        <f t="shared" si="1899"/>
        <v>3.33</v>
      </c>
      <c r="BP592" s="220">
        <f>IF(AND(BL592&gt;0,BL592&lt;tiet!$D$1),BL592,IF(BL592&lt;=0,0,IF(BL592&gt;tiet!$C$1,tiet!$C$1)))</f>
        <v>0</v>
      </c>
      <c r="BQ592" s="87">
        <f t="shared" si="1921"/>
        <v>65000</v>
      </c>
      <c r="BR592" s="224">
        <f t="shared" si="1922"/>
        <v>0</v>
      </c>
      <c r="BS592" s="220">
        <f t="shared" si="1933"/>
        <v>0</v>
      </c>
      <c r="BT592" s="224">
        <f>VLOOKUP(N592,ma_dinhmuc!$A$1:$J$31,10,0)</f>
        <v>51000</v>
      </c>
      <c r="BU592" s="224">
        <f>ROUND(IF(BS592&gt;0,VLOOKUP(N592,ma_dinhmuc!$A$1:$J$31,10,0)*BS592,0),0)</f>
        <v>0</v>
      </c>
      <c r="BV592" s="224">
        <f t="shared" si="1923"/>
        <v>0</v>
      </c>
      <c r="BW592" s="224"/>
      <c r="BX592" s="224">
        <v>0</v>
      </c>
      <c r="BY592" s="224"/>
      <c r="BZ592" s="224"/>
      <c r="CA592" s="224"/>
      <c r="CB592" s="224"/>
      <c r="CC592" s="225">
        <f t="shared" si="1924"/>
        <v>0</v>
      </c>
      <c r="CD592" s="224">
        <f t="shared" si="1925"/>
        <v>0</v>
      </c>
      <c r="CE592" s="224"/>
      <c r="CF592" s="226"/>
      <c r="CG592" s="87"/>
      <c r="CH592" s="87">
        <f t="shared" si="1854"/>
        <v>45</v>
      </c>
      <c r="CI592" s="227" t="str">
        <f t="shared" si="1847"/>
        <v>Nguyễn Thị Trang</v>
      </c>
      <c r="CJ592" s="227" t="str">
        <f t="shared" si="1848"/>
        <v>Nhung</v>
      </c>
      <c r="CK592" s="87">
        <f t="shared" si="1926"/>
        <v>11</v>
      </c>
      <c r="CL592" s="227" t="str">
        <f t="shared" si="1927"/>
        <v>Marketing</v>
      </c>
      <c r="CM592" s="87" t="str">
        <f t="shared" si="1928"/>
        <v>CS2</v>
      </c>
      <c r="CN592" s="87">
        <f t="shared" si="1891"/>
        <v>270</v>
      </c>
      <c r="CO592" s="87">
        <f t="shared" si="1892"/>
        <v>120</v>
      </c>
      <c r="CP592" s="229">
        <f t="shared" si="1943"/>
        <v>0</v>
      </c>
      <c r="CQ592" s="229">
        <f t="shared" si="1944"/>
        <v>0</v>
      </c>
      <c r="CR592" s="229">
        <f t="shared" si="1945"/>
        <v>0</v>
      </c>
      <c r="CS592" s="229">
        <f t="shared" si="1946"/>
        <v>0</v>
      </c>
      <c r="CT592" s="229">
        <f t="shared" si="1947"/>
        <v>0</v>
      </c>
      <c r="CU592" s="229">
        <f t="shared" si="1948"/>
        <v>0</v>
      </c>
      <c r="CV592" s="229">
        <f t="shared" si="1949"/>
        <v>0</v>
      </c>
      <c r="CW592" s="229">
        <f t="shared" si="1950"/>
        <v>0</v>
      </c>
      <c r="CX592" s="229">
        <f t="shared" si="1951"/>
        <v>0</v>
      </c>
      <c r="CY592" s="229">
        <f t="shared" si="1952"/>
        <v>0</v>
      </c>
      <c r="CZ592" s="229">
        <f t="shared" si="1953"/>
        <v>0</v>
      </c>
      <c r="DA592" s="229">
        <f t="shared" si="1954"/>
        <v>0</v>
      </c>
      <c r="DB592" s="228">
        <f t="shared" si="1834"/>
        <v>0</v>
      </c>
      <c r="DC592" s="229"/>
      <c r="DD592" s="229"/>
      <c r="DE592" s="229"/>
      <c r="DF592" s="229"/>
      <c r="DG592" s="229"/>
      <c r="DH592" s="229"/>
      <c r="DI592" s="229"/>
      <c r="DJ592" s="229"/>
      <c r="DK592" s="229"/>
      <c r="DL592" s="229"/>
      <c r="DM592" s="229"/>
      <c r="DN592" s="229"/>
      <c r="DO592" s="228">
        <f t="shared" si="1835"/>
        <v>0</v>
      </c>
      <c r="DP592" s="228">
        <f t="shared" si="1836"/>
        <v>0</v>
      </c>
      <c r="DQ592" s="229">
        <f t="shared" si="1955"/>
        <v>0</v>
      </c>
      <c r="DR592" s="229">
        <f t="shared" si="1956"/>
        <v>0</v>
      </c>
      <c r="DS592" s="229">
        <f t="shared" si="1957"/>
        <v>0</v>
      </c>
      <c r="DT592" s="229">
        <f t="shared" si="1958"/>
        <v>0</v>
      </c>
      <c r="DU592" s="229">
        <f t="shared" si="1959"/>
        <v>0</v>
      </c>
      <c r="DV592" s="229">
        <f t="shared" si="1960"/>
        <v>0</v>
      </c>
      <c r="DW592" s="229">
        <f t="shared" si="1961"/>
        <v>0</v>
      </c>
      <c r="DX592" s="228">
        <f t="shared" si="1837"/>
        <v>0</v>
      </c>
      <c r="DY592" s="229"/>
      <c r="DZ592" s="229"/>
      <c r="EA592" s="229"/>
      <c r="EB592" s="229"/>
      <c r="EC592" s="229"/>
      <c r="ED592" s="229"/>
      <c r="EE592" s="229"/>
      <c r="EF592" s="228">
        <f t="shared" si="1939"/>
        <v>0</v>
      </c>
      <c r="EG592" s="228">
        <f t="shared" si="1838"/>
        <v>0</v>
      </c>
      <c r="EH592" s="229">
        <f t="shared" si="1940"/>
        <v>0</v>
      </c>
      <c r="EI592" s="229">
        <v>25</v>
      </c>
      <c r="EJ592" s="228">
        <f t="shared" si="1900"/>
        <v>25</v>
      </c>
      <c r="EK592" s="229"/>
      <c r="EL592" s="229"/>
      <c r="EM592" s="228">
        <f t="shared" si="1929"/>
        <v>0</v>
      </c>
      <c r="EN592" s="229">
        <f t="shared" si="1930"/>
        <v>0</v>
      </c>
      <c r="EO592" s="229">
        <f t="shared" si="1931"/>
        <v>25</v>
      </c>
      <c r="EP592" s="228">
        <f t="shared" si="1932"/>
        <v>25</v>
      </c>
      <c r="EQ592" s="173">
        <f t="shared" si="1934"/>
        <v>0</v>
      </c>
      <c r="ER592" s="189">
        <v>0</v>
      </c>
      <c r="ES592" s="189">
        <v>0</v>
      </c>
      <c r="ET592" s="189">
        <v>0</v>
      </c>
      <c r="EU592" s="189">
        <v>0</v>
      </c>
      <c r="EV592" s="189">
        <v>0</v>
      </c>
      <c r="EW592" s="189">
        <v>0</v>
      </c>
      <c r="EX592" s="189">
        <v>0</v>
      </c>
      <c r="EY592" s="189">
        <v>0</v>
      </c>
      <c r="EZ592" s="189">
        <v>0</v>
      </c>
      <c r="FA592" s="189">
        <v>0</v>
      </c>
      <c r="FB592" s="189">
        <v>0</v>
      </c>
      <c r="FC592" s="189">
        <v>0</v>
      </c>
      <c r="FD592" s="189">
        <v>0</v>
      </c>
      <c r="FE592" s="189">
        <v>0</v>
      </c>
      <c r="FF592" s="189">
        <v>0</v>
      </c>
      <c r="FG592" s="189">
        <v>0</v>
      </c>
      <c r="FH592" s="189">
        <v>0</v>
      </c>
      <c r="FI592" s="189">
        <v>0</v>
      </c>
      <c r="FJ592" s="189">
        <v>0</v>
      </c>
      <c r="FK592" s="189">
        <v>0</v>
      </c>
      <c r="FL592" s="189">
        <v>0</v>
      </c>
      <c r="FN592" s="132">
        <v>0</v>
      </c>
    </row>
    <row r="593" spans="1:170" ht="30" customHeight="1">
      <c r="A593" s="88">
        <f>COUNTIF($H$12:H593,H593)</f>
        <v>46</v>
      </c>
      <c r="B593" s="88" t="s">
        <v>768</v>
      </c>
      <c r="C593" s="88" t="s">
        <v>1360</v>
      </c>
      <c r="D593" s="88"/>
      <c r="E593" s="88"/>
      <c r="F593" s="301" t="s">
        <v>2895</v>
      </c>
      <c r="G593" s="89" t="s">
        <v>911</v>
      </c>
      <c r="H593" s="88">
        <v>11</v>
      </c>
      <c r="I593" s="88">
        <v>11</v>
      </c>
      <c r="J593" s="88">
        <v>11</v>
      </c>
      <c r="K593" s="91" t="s">
        <v>1021</v>
      </c>
      <c r="L593" s="91" t="s">
        <v>1021</v>
      </c>
      <c r="M593" s="214"/>
      <c r="N593" s="88" t="s">
        <v>1804</v>
      </c>
      <c r="O593" s="216">
        <f t="shared" ref="O593:O616" si="1962">BO593</f>
        <v>3</v>
      </c>
      <c r="P593" s="88" t="str">
        <f t="shared" si="1785"/>
        <v>B1_3</v>
      </c>
      <c r="Q593" s="88">
        <f t="shared" si="1935"/>
        <v>270</v>
      </c>
      <c r="R593" s="88">
        <f t="shared" si="1936"/>
        <v>100</v>
      </c>
      <c r="S593" s="218" t="s">
        <v>1563</v>
      </c>
      <c r="T593" s="88" t="s">
        <v>2961</v>
      </c>
      <c r="U593" s="88">
        <f>IF(RIGHT(T593,1)="K",(VLOOKUP(T593,ma_miengiam!$A$3:$B$80,2,0)*100)/2,VLOOKUP(T593,ma_miengiam!$A$3:$B$80,2,0)*100)</f>
        <v>100</v>
      </c>
      <c r="V593" s="88"/>
      <c r="W593" s="220">
        <f>IF(AND(T593="NTS",V593&gt;0),(Q593-(Q593*V593)/12)*VLOOKUP(T593,ma_miengiam!$A$3:$B$80,2,0)+(Q593-(Q593*(12-V593))/12),IF(AND(RIGHT(T593,1)="K",V593&gt;0),(VLOOKUP(T593,ma_miengiam!$A$3:$B$80,2,0)/2)*(Q593*V593)/12,IF(RIGHT(T593,1)="K",(VLOOKUP(T593,ma_miengiam!$A$3:$B$80,2,0)*Q593)/2,IF(V593&gt;0,VLOOKUP(T593,ma_miengiam!$A$3:$B$80,2,0)*Q593*V593/12,VLOOKUP(T593,ma_miengiam!$A$3:$B$80,2,0)*Q593))))</f>
        <v>270</v>
      </c>
      <c r="X593" s="220">
        <f>IF(T593="NTS",VLOOKUP(T593,ma_miengiam!$A$3:$B$80,2,0)*R593*V593,IF(AND(T593="NTS",V593=0),0,IF(AND(LEFT(T593,1)="K",V593=0),VLOOKUP(T593,ma_miengiam!$A$3:$B$80,2,0)*R593,IF(LEFT(T593,1)="K",(VLOOKUP(T593,ma_miengiam!$A$3:$B$80,2,0)*R593/12)*V593,IF(AND(LEFT(T593,1)="S",V593&gt;0),(R593/12)*V593,IF(AND(LEFT(T593,1)="S",V593=0),R593,IF(T593="DH",VLOOKUP(T593,ma_miengiam!$A$3:$B$80,2,0)*R593,0)))))))</f>
        <v>100</v>
      </c>
      <c r="Y593" s="220">
        <f t="shared" ref="Y593:Y653" si="1963">IF(AND(T593="DH",V593&gt;0),(S593*V593/12),IF(AND(T593&lt;&gt;"NTS",V593&gt;0),(Q593*V593/12)-W593,IF(AND(T593="NTS",V593&gt;0),Q593-W593,Q593-W593)))</f>
        <v>0</v>
      </c>
      <c r="Z593" s="220">
        <f>IF(AND(T593="SĐH",V593&gt;0),(R593/12)*V593-X593,IF(AND(T593="DH",V593&gt;0),(R593*V593/12),IF(AND(T593&lt;&gt;"NTS",V593&gt;0),(R593*V593/12)-X593,IF(AND(T593="NTS",V593&gt;0),R593-X593,R593-X593))))</f>
        <v>0</v>
      </c>
      <c r="AA593" s="220">
        <f t="shared" si="1909"/>
        <v>270</v>
      </c>
      <c r="AB593" s="220">
        <f t="shared" si="1910"/>
        <v>100</v>
      </c>
      <c r="AC593" s="220">
        <f t="shared" si="1911"/>
        <v>270</v>
      </c>
      <c r="AD593" s="220">
        <f t="shared" si="1911"/>
        <v>100</v>
      </c>
      <c r="AE593" s="220">
        <f t="shared" si="1911"/>
        <v>0</v>
      </c>
      <c r="AF593" s="220">
        <f t="shared" si="1911"/>
        <v>0</v>
      </c>
      <c r="AG593" s="220">
        <f t="shared" si="1896"/>
        <v>30</v>
      </c>
      <c r="AH593" s="220">
        <f t="shared" si="1897"/>
        <v>30</v>
      </c>
      <c r="AI593" s="220">
        <f t="shared" si="1898"/>
        <v>0</v>
      </c>
      <c r="AJ593" s="220">
        <f t="shared" si="1902"/>
        <v>0</v>
      </c>
      <c r="AK593" s="216">
        <f t="shared" si="1812"/>
        <v>0</v>
      </c>
      <c r="AL593" s="220">
        <f t="shared" si="1819"/>
        <v>0</v>
      </c>
      <c r="AM593" s="220">
        <f t="shared" si="1820"/>
        <v>0</v>
      </c>
      <c r="AN593" s="221">
        <f t="shared" si="1821"/>
        <v>0</v>
      </c>
      <c r="AO593" s="220">
        <f t="shared" si="1822"/>
        <v>0</v>
      </c>
      <c r="AP593" s="220">
        <f t="shared" si="1823"/>
        <v>0</v>
      </c>
      <c r="AQ593" s="220">
        <f t="shared" si="1824"/>
        <v>0</v>
      </c>
      <c r="AR593" s="220">
        <f t="shared" si="1825"/>
        <v>0</v>
      </c>
      <c r="AS593" s="220">
        <f t="shared" si="1826"/>
        <v>0</v>
      </c>
      <c r="AT593" s="216">
        <f t="shared" si="1827"/>
        <v>0</v>
      </c>
      <c r="AU593" s="222">
        <f t="shared" si="1792"/>
        <v>0</v>
      </c>
      <c r="AV593" s="220"/>
      <c r="AW593" s="220">
        <f t="shared" si="1856"/>
        <v>0</v>
      </c>
      <c r="AX593" s="216">
        <f t="shared" si="1811"/>
        <v>0</v>
      </c>
      <c r="AY593" s="220">
        <f t="shared" si="1866"/>
        <v>0</v>
      </c>
      <c r="AZ593" s="220">
        <f t="shared" si="1867"/>
        <v>0</v>
      </c>
      <c r="BA593" s="220">
        <f t="shared" si="1868"/>
        <v>0</v>
      </c>
      <c r="BB593" s="220">
        <f t="shared" si="1869"/>
        <v>0</v>
      </c>
      <c r="BC593" s="220">
        <f t="shared" si="1870"/>
        <v>0</v>
      </c>
      <c r="BD593" s="216">
        <f t="shared" si="1778"/>
        <v>0</v>
      </c>
      <c r="BE593" s="220">
        <f t="shared" si="1857"/>
        <v>0</v>
      </c>
      <c r="BF593" s="220">
        <f t="shared" si="1858"/>
        <v>0</v>
      </c>
      <c r="BG593" s="220">
        <f t="shared" si="1859"/>
        <v>0</v>
      </c>
      <c r="BH593" s="220">
        <f t="shared" si="1860"/>
        <v>0</v>
      </c>
      <c r="BI593" s="220">
        <f t="shared" si="1861"/>
        <v>0</v>
      </c>
      <c r="BJ593" s="220" t="s">
        <v>1918</v>
      </c>
      <c r="BK593" s="220"/>
      <c r="BL593" s="223">
        <f t="shared" si="1784"/>
        <v>0</v>
      </c>
      <c r="BM593" s="220">
        <v>3</v>
      </c>
      <c r="BN593" s="220"/>
      <c r="BO593" s="220">
        <f t="shared" si="1899"/>
        <v>3</v>
      </c>
      <c r="BP593" s="220">
        <f>IF(AND(BL593&gt;0,BL593&lt;tiet!$D$1),BL593,IF(BL593&lt;=0,0,IF(BL593&gt;tiet!$C$1,tiet!$C$1)))</f>
        <v>0</v>
      </c>
      <c r="BQ593" s="87">
        <f t="shared" si="1903"/>
        <v>60000</v>
      </c>
      <c r="BR593" s="224">
        <f t="shared" si="1904"/>
        <v>0</v>
      </c>
      <c r="BS593" s="220">
        <f t="shared" si="1933"/>
        <v>0</v>
      </c>
      <c r="BT593" s="224">
        <f>VLOOKUP(N593,ma_dinhmuc!$A$1:$J$31,10,0)</f>
        <v>51000</v>
      </c>
      <c r="BU593" s="224">
        <f>ROUND(IF(BS593&gt;0,VLOOKUP(N593,ma_dinhmuc!$A$1:$J$31,10,0)*BS593,0),0)</f>
        <v>0</v>
      </c>
      <c r="BV593" s="224">
        <f t="shared" si="1905"/>
        <v>0</v>
      </c>
      <c r="BW593" s="224"/>
      <c r="BX593" s="224">
        <v>0</v>
      </c>
      <c r="BY593" s="224"/>
      <c r="BZ593" s="224"/>
      <c r="CA593" s="224"/>
      <c r="CB593" s="224"/>
      <c r="CC593" s="225">
        <f>ROUND(IF(BV593+BW593&gt;BX593+BY593+BZ593+CA593+CB593,(BW593+BV593)-(BX593+BY593+BZ593+CA593+CB593+CB593),0),0)</f>
        <v>0</v>
      </c>
      <c r="CD593" s="224">
        <f>ROUND(IF(BV593+BW593&lt;BX593+BY593+BZ593+CA593-CB593,(BX593+BY593+BZ593+CA593-CB593)-(BW593+BV593),0),0)</f>
        <v>0</v>
      </c>
      <c r="CE593" s="224"/>
      <c r="CF593" s="226"/>
      <c r="CG593" s="87"/>
      <c r="CH593" s="87">
        <f t="shared" si="1854"/>
        <v>46</v>
      </c>
      <c r="CI593" s="227" t="str">
        <f t="shared" si="1847"/>
        <v>Nguyễn Văn</v>
      </c>
      <c r="CJ593" s="227" t="str">
        <f t="shared" si="1848"/>
        <v>Hướng</v>
      </c>
      <c r="CK593" s="87">
        <f t="shared" si="1926"/>
        <v>11</v>
      </c>
      <c r="CL593" s="227" t="str">
        <f t="shared" si="1927"/>
        <v>Marketing</v>
      </c>
      <c r="CM593" s="87" t="str">
        <f t="shared" si="1862"/>
        <v>CS2</v>
      </c>
      <c r="CN593" s="87">
        <f t="shared" si="1891"/>
        <v>270</v>
      </c>
      <c r="CO593" s="87">
        <f t="shared" si="1892"/>
        <v>100</v>
      </c>
      <c r="CP593" s="229">
        <f t="shared" si="1943"/>
        <v>0</v>
      </c>
      <c r="CQ593" s="229">
        <f t="shared" si="1944"/>
        <v>0</v>
      </c>
      <c r="CR593" s="229">
        <f t="shared" si="1945"/>
        <v>0</v>
      </c>
      <c r="CS593" s="229">
        <f t="shared" si="1946"/>
        <v>0</v>
      </c>
      <c r="CT593" s="229">
        <f t="shared" si="1947"/>
        <v>0</v>
      </c>
      <c r="CU593" s="229">
        <f t="shared" si="1948"/>
        <v>0</v>
      </c>
      <c r="CV593" s="229">
        <f t="shared" si="1949"/>
        <v>0</v>
      </c>
      <c r="CW593" s="229">
        <f t="shared" si="1950"/>
        <v>0</v>
      </c>
      <c r="CX593" s="229">
        <f t="shared" si="1951"/>
        <v>0</v>
      </c>
      <c r="CY593" s="229">
        <f t="shared" si="1952"/>
        <v>0</v>
      </c>
      <c r="CZ593" s="229">
        <f t="shared" si="1953"/>
        <v>0</v>
      </c>
      <c r="DA593" s="229">
        <f t="shared" si="1954"/>
        <v>0</v>
      </c>
      <c r="DB593" s="228">
        <f t="shared" si="1834"/>
        <v>0</v>
      </c>
      <c r="DC593" s="229"/>
      <c r="DD593" s="229"/>
      <c r="DE593" s="229"/>
      <c r="DF593" s="229"/>
      <c r="DG593" s="229"/>
      <c r="DH593" s="229"/>
      <c r="DI593" s="229"/>
      <c r="DJ593" s="229"/>
      <c r="DK593" s="229"/>
      <c r="DL593" s="229"/>
      <c r="DM593" s="229"/>
      <c r="DN593" s="229"/>
      <c r="DO593" s="228">
        <f t="shared" si="1835"/>
        <v>0</v>
      </c>
      <c r="DP593" s="228">
        <f t="shared" si="1836"/>
        <v>0</v>
      </c>
      <c r="DQ593" s="229">
        <f t="shared" si="1955"/>
        <v>0</v>
      </c>
      <c r="DR593" s="229">
        <f t="shared" si="1956"/>
        <v>0</v>
      </c>
      <c r="DS593" s="229">
        <f t="shared" si="1957"/>
        <v>0</v>
      </c>
      <c r="DT593" s="229">
        <f t="shared" si="1958"/>
        <v>0</v>
      </c>
      <c r="DU593" s="229">
        <f t="shared" si="1959"/>
        <v>0</v>
      </c>
      <c r="DV593" s="229">
        <f t="shared" si="1960"/>
        <v>0</v>
      </c>
      <c r="DW593" s="229">
        <f t="shared" si="1961"/>
        <v>0</v>
      </c>
      <c r="DX593" s="228">
        <f t="shared" si="1837"/>
        <v>0</v>
      </c>
      <c r="DY593" s="229"/>
      <c r="DZ593" s="229"/>
      <c r="EA593" s="229"/>
      <c r="EB593" s="229"/>
      <c r="EC593" s="229"/>
      <c r="ED593" s="229"/>
      <c r="EE593" s="229"/>
      <c r="EF593" s="228">
        <f t="shared" si="1939"/>
        <v>0</v>
      </c>
      <c r="EG593" s="228">
        <f t="shared" si="1838"/>
        <v>0</v>
      </c>
      <c r="EH593" s="229">
        <f t="shared" si="1940"/>
        <v>0</v>
      </c>
      <c r="EI593" s="229">
        <v>30</v>
      </c>
      <c r="EJ593" s="228">
        <f t="shared" si="1900"/>
        <v>30</v>
      </c>
      <c r="EK593" s="229"/>
      <c r="EL593" s="229"/>
      <c r="EM593" s="228">
        <f t="shared" si="1929"/>
        <v>0</v>
      </c>
      <c r="EN593" s="229">
        <f t="shared" si="1894"/>
        <v>0</v>
      </c>
      <c r="EO593" s="229">
        <f t="shared" si="1793"/>
        <v>30</v>
      </c>
      <c r="EP593" s="228">
        <f t="shared" ref="EP593:EP616" si="1964">EM593+EJ593</f>
        <v>30</v>
      </c>
      <c r="EQ593" s="173">
        <f t="shared" si="1934"/>
        <v>0</v>
      </c>
      <c r="ER593" s="189">
        <v>0</v>
      </c>
      <c r="ES593" s="189">
        <v>0</v>
      </c>
      <c r="ET593" s="189">
        <v>0</v>
      </c>
      <c r="EU593" s="189">
        <v>0</v>
      </c>
      <c r="EV593" s="189">
        <v>0</v>
      </c>
      <c r="EW593" s="189">
        <v>0</v>
      </c>
      <c r="EX593" s="189">
        <v>0</v>
      </c>
      <c r="EY593" s="189">
        <v>0</v>
      </c>
      <c r="EZ593" s="189">
        <v>0</v>
      </c>
      <c r="FA593" s="189">
        <v>0</v>
      </c>
      <c r="FB593" s="189">
        <v>0</v>
      </c>
      <c r="FC593" s="189">
        <v>0</v>
      </c>
      <c r="FD593" s="189">
        <v>0</v>
      </c>
      <c r="FE593" s="189">
        <v>0</v>
      </c>
      <c r="FF593" s="189">
        <v>0</v>
      </c>
      <c r="FG593" s="189">
        <v>0</v>
      </c>
      <c r="FH593" s="189">
        <v>0</v>
      </c>
      <c r="FI593" s="189">
        <v>0</v>
      </c>
      <c r="FJ593" s="189">
        <v>0</v>
      </c>
      <c r="FK593" s="189">
        <v>0</v>
      </c>
      <c r="FL593" s="189">
        <v>0</v>
      </c>
      <c r="FN593" s="132">
        <v>0</v>
      </c>
    </row>
    <row r="594" spans="1:170" ht="30" customHeight="1">
      <c r="A594" s="88">
        <f>COUNTIF($H$12:H594,H594)</f>
        <v>47</v>
      </c>
      <c r="B594" s="88" t="s">
        <v>770</v>
      </c>
      <c r="C594" s="88" t="s">
        <v>1361</v>
      </c>
      <c r="D594" s="88"/>
      <c r="E594" s="88"/>
      <c r="F594" s="301" t="s">
        <v>3201</v>
      </c>
      <c r="G594" s="89" t="s">
        <v>2809</v>
      </c>
      <c r="H594" s="88">
        <v>11</v>
      </c>
      <c r="I594" s="88">
        <v>11</v>
      </c>
      <c r="J594" s="88">
        <v>11</v>
      </c>
      <c r="K594" s="91" t="s">
        <v>1021</v>
      </c>
      <c r="L594" s="91" t="s">
        <v>1021</v>
      </c>
      <c r="M594" s="214"/>
      <c r="N594" s="88" t="s">
        <v>1804</v>
      </c>
      <c r="O594" s="216">
        <f>BO594</f>
        <v>3</v>
      </c>
      <c r="P594" s="88" t="str">
        <f t="shared" si="1785"/>
        <v>B1_3</v>
      </c>
      <c r="Q594" s="88">
        <f t="shared" si="1935"/>
        <v>270</v>
      </c>
      <c r="R594" s="88">
        <f t="shared" si="1936"/>
        <v>100</v>
      </c>
      <c r="S594" s="234"/>
      <c r="T594" s="88" t="s">
        <v>3088</v>
      </c>
      <c r="U594" s="88">
        <f>IF(RIGHT(T594,1)="K",(VLOOKUP(T594,ma_miengiam!$A$3:$B$80,2,0)*100)/2,VLOOKUP(T594,ma_miengiam!$A$3:$B$80,2,0)*100)</f>
        <v>0</v>
      </c>
      <c r="V594" s="88"/>
      <c r="W594" s="220">
        <f>IF(AND(T594="NTS",V594&gt;0),(Q594-(Q594*V594)/12)*VLOOKUP(T594,ma_miengiam!$A$3:$B$80,2,0)+(Q594-(Q594*(12-V594))/12),IF(AND(RIGHT(T594,1)="K",V594&gt;0),(VLOOKUP(T594,ma_miengiam!$A$3:$B$80,2,0)/2)*(Q594*V594)/12,IF(RIGHT(T594,1)="K",(VLOOKUP(T594,ma_miengiam!$A$3:$B$80,2,0)*Q594)/2,IF(V594&gt;0,VLOOKUP(T594,ma_miengiam!$A$3:$B$80,2,0)*Q594*V594/12,VLOOKUP(T594,ma_miengiam!$A$3:$B$80,2,0)*Q594))))</f>
        <v>0</v>
      </c>
      <c r="X594" s="220">
        <f>IF(T594="NTS",VLOOKUP(T594,ma_miengiam!$A$3:$B$80,2,0)*R594*V594,IF(AND(T594="NTS",V594=0),0,IF(AND(LEFT(T594,1)="K",V594=0),VLOOKUP(T594,ma_miengiam!$A$3:$B$80,2,0)*R594,IF(LEFT(T594,1)="K",(VLOOKUP(T594,ma_miengiam!$A$3:$B$80,2,0)*R594/12)*V594,IF(AND(LEFT(T594,1)="S",V594&gt;0),(R594/12)*V594,IF(AND(LEFT(T594,1)="S",V594=0),R594,IF(T594="DH",VLOOKUP(T594,ma_miengiam!$A$3:$B$80,2,0)*R594,0)))))))</f>
        <v>0</v>
      </c>
      <c r="Y594" s="220">
        <f t="shared" si="1963"/>
        <v>270</v>
      </c>
      <c r="Z594" s="220">
        <f>IF(AND(T594="SĐH",V594&gt;0),(R594/12)*V594-X594,IF(AND(T594="DH",V594&gt;0),(R594*V594/12),IF(AND(T594&lt;&gt;"NTS",V594&gt;0),(R594*V594/12)-X594,IF(AND(T594="NTS",V594&gt;0),R594-X594,R594-X594))))</f>
        <v>100</v>
      </c>
      <c r="AA594" s="220">
        <f t="shared" si="1909"/>
        <v>270</v>
      </c>
      <c r="AB594" s="220">
        <f t="shared" si="1910"/>
        <v>100</v>
      </c>
      <c r="AC594" s="220">
        <f t="shared" ref="AC594:AF595" si="1965">W594</f>
        <v>0</v>
      </c>
      <c r="AD594" s="220">
        <f t="shared" si="1965"/>
        <v>0</v>
      </c>
      <c r="AE594" s="220">
        <f t="shared" si="1965"/>
        <v>270</v>
      </c>
      <c r="AF594" s="220">
        <f t="shared" si="1965"/>
        <v>100</v>
      </c>
      <c r="AG594" s="220">
        <f t="shared" si="1896"/>
        <v>0</v>
      </c>
      <c r="AH594" s="220">
        <f t="shared" si="1897"/>
        <v>0</v>
      </c>
      <c r="AI594" s="220">
        <f t="shared" si="1898"/>
        <v>0</v>
      </c>
      <c r="AJ594" s="220">
        <f>IF(AG594-Z594&gt;0,0,AG594-Z594)</f>
        <v>-100</v>
      </c>
      <c r="AK594" s="216">
        <f t="shared" si="1812"/>
        <v>370</v>
      </c>
      <c r="AL594" s="220">
        <f t="shared" si="1819"/>
        <v>211.1</v>
      </c>
      <c r="AM594" s="220">
        <f t="shared" si="1820"/>
        <v>0</v>
      </c>
      <c r="AN594" s="221">
        <f t="shared" si="1821"/>
        <v>211.1</v>
      </c>
      <c r="AO594" s="220">
        <f t="shared" si="1822"/>
        <v>0</v>
      </c>
      <c r="AP594" s="220">
        <f t="shared" si="1823"/>
        <v>0</v>
      </c>
      <c r="AQ594" s="220">
        <f t="shared" si="1824"/>
        <v>40</v>
      </c>
      <c r="AR594" s="220">
        <f t="shared" si="1825"/>
        <v>0</v>
      </c>
      <c r="AS594" s="220">
        <f t="shared" si="1826"/>
        <v>0</v>
      </c>
      <c r="AT594" s="216">
        <f t="shared" si="1827"/>
        <v>251.1</v>
      </c>
      <c r="AU594" s="222">
        <f>AN594-AK594</f>
        <v>-158.9</v>
      </c>
      <c r="AV594" s="220"/>
      <c r="AW594" s="220">
        <f t="shared" si="1856"/>
        <v>-158.9</v>
      </c>
      <c r="AX594" s="216">
        <f t="shared" si="1811"/>
        <v>-158.9</v>
      </c>
      <c r="AY594" s="220">
        <f t="shared" si="1866"/>
        <v>0</v>
      </c>
      <c r="AZ594" s="220">
        <f t="shared" si="1867"/>
        <v>0</v>
      </c>
      <c r="BA594" s="220">
        <f t="shared" si="1868"/>
        <v>0</v>
      </c>
      <c r="BB594" s="220">
        <f t="shared" si="1869"/>
        <v>0</v>
      </c>
      <c r="BC594" s="220">
        <f t="shared" si="1870"/>
        <v>0</v>
      </c>
      <c r="BD594" s="216">
        <f t="shared" si="1778"/>
        <v>0</v>
      </c>
      <c r="BE594" s="220">
        <f t="shared" si="1857"/>
        <v>0</v>
      </c>
      <c r="BF594" s="220">
        <f t="shared" si="1858"/>
        <v>0</v>
      </c>
      <c r="BG594" s="220">
        <f t="shared" si="1859"/>
        <v>-40</v>
      </c>
      <c r="BH594" s="220">
        <f t="shared" si="1860"/>
        <v>0</v>
      </c>
      <c r="BI594" s="220">
        <f t="shared" si="1861"/>
        <v>0</v>
      </c>
      <c r="BJ594" s="220" t="s">
        <v>1918</v>
      </c>
      <c r="BK594" s="220"/>
      <c r="BL594" s="223">
        <f t="shared" si="1784"/>
        <v>0</v>
      </c>
      <c r="BM594" s="220">
        <v>3</v>
      </c>
      <c r="BN594" s="220"/>
      <c r="BO594" s="220">
        <f t="shared" si="1899"/>
        <v>3</v>
      </c>
      <c r="BP594" s="220">
        <f>IF(AND(BL594&gt;0,BL594&lt;tiet!$D$1),BL594,IF(BL594&lt;=0,0,IF(BL594&gt;tiet!$C$1,tiet!$C$1)))</f>
        <v>0</v>
      </c>
      <c r="BQ594" s="87">
        <f>VLOOKUP(P594,ma_dinhmuc_moi,4,0)</f>
        <v>60000</v>
      </c>
      <c r="BR594" s="224">
        <f>ROUND(BQ594*BP594,0)</f>
        <v>0</v>
      </c>
      <c r="BS594" s="220">
        <f t="shared" si="1933"/>
        <v>0</v>
      </c>
      <c r="BT594" s="224">
        <f>VLOOKUP(N594,ma_dinhmuc!$A$1:$J$31,10,0)</f>
        <v>51000</v>
      </c>
      <c r="BU594" s="224">
        <f>ROUND(IF(BS594&gt;0,VLOOKUP(N594,ma_dinhmuc!$A$1:$J$31,10,0)*BS594,0),0)</f>
        <v>0</v>
      </c>
      <c r="BV594" s="224">
        <f>ROUND(BU594+BR594,0)</f>
        <v>0</v>
      </c>
      <c r="BW594" s="224"/>
      <c r="BX594" s="224">
        <v>0</v>
      </c>
      <c r="BY594" s="224"/>
      <c r="BZ594" s="224"/>
      <c r="CA594" s="224"/>
      <c r="CB594" s="224"/>
      <c r="CC594" s="225">
        <f>ROUND(IF(BV594+BW594&gt;BX594+BY594+BZ594+CA594+CB594,(BW594+BV594)-(BX594+BY594+BZ594+CA594+CB594+CB594),0),0)</f>
        <v>0</v>
      </c>
      <c r="CD594" s="224">
        <f>ROUND(IF(BV594+BW594&lt;BX594+BY594+BZ594+CA594-CB594,(BX594+BY594+BZ594+CA594-CB594)-(BW594+BV594),0),0)</f>
        <v>0</v>
      </c>
      <c r="CE594" s="224"/>
      <c r="CF594" s="226"/>
      <c r="CG594" s="87"/>
      <c r="CH594" s="87">
        <f t="shared" si="1854"/>
        <v>47</v>
      </c>
      <c r="CI594" s="227" t="str">
        <f t="shared" si="1847"/>
        <v>Nguyễn Thái</v>
      </c>
      <c r="CJ594" s="227" t="str">
        <f t="shared" si="1848"/>
        <v>Tùng</v>
      </c>
      <c r="CK594" s="87">
        <f t="shared" si="1926"/>
        <v>11</v>
      </c>
      <c r="CL594" s="227" t="str">
        <f t="shared" si="1927"/>
        <v>Marketing</v>
      </c>
      <c r="CM594" s="87" t="str">
        <f t="shared" si="1862"/>
        <v>CS2</v>
      </c>
      <c r="CN594" s="87">
        <f t="shared" si="1891"/>
        <v>270</v>
      </c>
      <c r="CO594" s="87">
        <f t="shared" si="1892"/>
        <v>100</v>
      </c>
      <c r="CP594" s="229">
        <f t="shared" si="1943"/>
        <v>0</v>
      </c>
      <c r="CQ594" s="229">
        <f t="shared" si="1944"/>
        <v>31.8</v>
      </c>
      <c r="CR594" s="229">
        <f t="shared" si="1945"/>
        <v>12.8</v>
      </c>
      <c r="CS594" s="229">
        <f t="shared" si="1946"/>
        <v>0</v>
      </c>
      <c r="CT594" s="229">
        <f t="shared" si="1947"/>
        <v>0</v>
      </c>
      <c r="CU594" s="229">
        <f t="shared" si="1948"/>
        <v>166.5</v>
      </c>
      <c r="CV594" s="229">
        <f t="shared" si="1949"/>
        <v>0</v>
      </c>
      <c r="CW594" s="229">
        <f t="shared" si="1950"/>
        <v>0</v>
      </c>
      <c r="CX594" s="229">
        <f t="shared" si="1951"/>
        <v>0</v>
      </c>
      <c r="CY594" s="229">
        <f t="shared" si="1952"/>
        <v>0</v>
      </c>
      <c r="CZ594" s="229">
        <f t="shared" si="1953"/>
        <v>0</v>
      </c>
      <c r="DA594" s="229">
        <f t="shared" si="1954"/>
        <v>40</v>
      </c>
      <c r="DB594" s="228">
        <f t="shared" si="1834"/>
        <v>251.1</v>
      </c>
      <c r="DC594" s="229"/>
      <c r="DD594" s="229"/>
      <c r="DE594" s="229"/>
      <c r="DF594" s="229"/>
      <c r="DG594" s="229"/>
      <c r="DH594" s="229"/>
      <c r="DI594" s="229"/>
      <c r="DJ594" s="229"/>
      <c r="DK594" s="229"/>
      <c r="DL594" s="229"/>
      <c r="DM594" s="229"/>
      <c r="DN594" s="229"/>
      <c r="DO594" s="228">
        <f t="shared" si="1835"/>
        <v>0</v>
      </c>
      <c r="DP594" s="228">
        <f t="shared" si="1836"/>
        <v>251.1</v>
      </c>
      <c r="DQ594" s="229">
        <f t="shared" si="1955"/>
        <v>0</v>
      </c>
      <c r="DR594" s="229">
        <f t="shared" si="1956"/>
        <v>0</v>
      </c>
      <c r="DS594" s="229">
        <f t="shared" si="1957"/>
        <v>0</v>
      </c>
      <c r="DT594" s="229">
        <f t="shared" si="1958"/>
        <v>0</v>
      </c>
      <c r="DU594" s="229">
        <f t="shared" si="1959"/>
        <v>0</v>
      </c>
      <c r="DV594" s="229">
        <f t="shared" si="1960"/>
        <v>0</v>
      </c>
      <c r="DW594" s="229">
        <f t="shared" si="1961"/>
        <v>0</v>
      </c>
      <c r="DX594" s="228">
        <f t="shared" si="1837"/>
        <v>0</v>
      </c>
      <c r="DY594" s="229"/>
      <c r="DZ594" s="229"/>
      <c r="EA594" s="229"/>
      <c r="EB594" s="229"/>
      <c r="EC594" s="229"/>
      <c r="ED594" s="229"/>
      <c r="EE594" s="229"/>
      <c r="EF594" s="228">
        <f t="shared" si="1939"/>
        <v>0</v>
      </c>
      <c r="EG594" s="228">
        <f t="shared" si="1838"/>
        <v>0</v>
      </c>
      <c r="EH594" s="229">
        <f t="shared" si="1940"/>
        <v>0</v>
      </c>
      <c r="EI594" s="229">
        <v>0</v>
      </c>
      <c r="EJ594" s="228">
        <f t="shared" si="1900"/>
        <v>0</v>
      </c>
      <c r="EK594" s="229"/>
      <c r="EL594" s="229"/>
      <c r="EM594" s="228">
        <f t="shared" si="1929"/>
        <v>0</v>
      </c>
      <c r="EN594" s="229">
        <f t="shared" si="1894"/>
        <v>0</v>
      </c>
      <c r="EO594" s="229">
        <f>EI594</f>
        <v>0</v>
      </c>
      <c r="EP594" s="228">
        <f>EM594+EJ594</f>
        <v>0</v>
      </c>
      <c r="EQ594" s="173">
        <f t="shared" si="1934"/>
        <v>0</v>
      </c>
      <c r="ER594" s="189">
        <v>0</v>
      </c>
      <c r="ES594" s="189">
        <v>31.8</v>
      </c>
      <c r="ET594" s="189">
        <v>12.8</v>
      </c>
      <c r="EU594" s="189">
        <v>0</v>
      </c>
      <c r="EV594" s="189">
        <v>0</v>
      </c>
      <c r="EW594" s="189">
        <v>166.5</v>
      </c>
      <c r="EX594" s="189">
        <v>0</v>
      </c>
      <c r="EY594" s="189">
        <v>0</v>
      </c>
      <c r="EZ594" s="189">
        <v>0</v>
      </c>
      <c r="FA594" s="189">
        <v>0</v>
      </c>
      <c r="FB594" s="189">
        <v>0</v>
      </c>
      <c r="FC594" s="189">
        <v>40</v>
      </c>
      <c r="FD594" s="189">
        <v>0</v>
      </c>
      <c r="FE594" s="189">
        <v>0</v>
      </c>
      <c r="FF594" s="189">
        <v>0</v>
      </c>
      <c r="FG594" s="189">
        <v>0</v>
      </c>
      <c r="FH594" s="189">
        <v>0</v>
      </c>
      <c r="FI594" s="189">
        <v>0</v>
      </c>
      <c r="FJ594" s="189">
        <v>0</v>
      </c>
      <c r="FK594" s="189">
        <v>251.1</v>
      </c>
      <c r="FL594" s="189">
        <v>200</v>
      </c>
      <c r="FN594" s="132">
        <v>0</v>
      </c>
    </row>
    <row r="595" spans="1:170" ht="30" customHeight="1">
      <c r="A595" s="88">
        <f>COUNTIF($H$12:H595,H595)</f>
        <v>48</v>
      </c>
      <c r="B595" s="88" t="s">
        <v>771</v>
      </c>
      <c r="C595" s="88" t="s">
        <v>1362</v>
      </c>
      <c r="D595" s="88"/>
      <c r="E595" s="88"/>
      <c r="F595" s="301" t="s">
        <v>2836</v>
      </c>
      <c r="G595" s="89" t="s">
        <v>3113</v>
      </c>
      <c r="H595" s="88">
        <v>11</v>
      </c>
      <c r="I595" s="88">
        <v>11</v>
      </c>
      <c r="J595" s="88">
        <v>11</v>
      </c>
      <c r="K595" s="90" t="s">
        <v>1665</v>
      </c>
      <c r="L595" s="90" t="s">
        <v>1665</v>
      </c>
      <c r="M595" s="214"/>
      <c r="N595" s="88" t="s">
        <v>605</v>
      </c>
      <c r="O595" s="216">
        <f t="shared" si="1962"/>
        <v>7.28</v>
      </c>
      <c r="P595" s="88" t="str">
        <f t="shared" si="1785"/>
        <v>B1_8</v>
      </c>
      <c r="Q595" s="88">
        <f t="shared" si="1935"/>
        <v>270</v>
      </c>
      <c r="R595" s="88">
        <f t="shared" si="1936"/>
        <v>280</v>
      </c>
      <c r="S595" s="234" t="s">
        <v>3176</v>
      </c>
      <c r="T595" s="88" t="s">
        <v>3088</v>
      </c>
      <c r="U595" s="88">
        <f>IF(RIGHT(T595,1)="K",(VLOOKUP(T595,ma_miengiam!$A$3:$B$80,2,0)*100)/2,VLOOKUP(T595,ma_miengiam!$A$3:$B$80,2,0)*100)</f>
        <v>0</v>
      </c>
      <c r="V595" s="88">
        <v>8</v>
      </c>
      <c r="W595" s="220">
        <f>IF(AND(T595="NTS",V595&gt;0),(Q595-(Q595*V595)/12)*VLOOKUP(T595,ma_miengiam!$A$3:$B$80,2,0)+(Q595-(Q595*(12-V595))/12),IF(AND(RIGHT(T595,1)="K",V595&gt;0),(VLOOKUP(T595,ma_miengiam!$A$3:$B$80,2,0)/2)*(Q595*V595)/12,IF(RIGHT(T595,1)="K",(VLOOKUP(T595,ma_miengiam!$A$3:$B$80,2,0)*Q595)/2,IF(V595&gt;0,VLOOKUP(T595,ma_miengiam!$A$3:$B$80,2,0)*Q595*V595/12,VLOOKUP(T595,ma_miengiam!$A$3:$B$80,2,0)*Q595))))</f>
        <v>0</v>
      </c>
      <c r="X595" s="220">
        <f>IF(T595="NTS",VLOOKUP(T595,ma_miengiam!$A$3:$B$80,2,0)*R595*V595,IF(AND(T595="NTS",V595=0),0,IF(AND(LEFT(T595,1)="K",V595=0),VLOOKUP(T595,ma_miengiam!$A$3:$B$80,2,0)*R595,IF(LEFT(T595,1)="K",(VLOOKUP(T595,ma_miengiam!$A$3:$B$80,2,0)*R595/12)*V595,IF(AND(LEFT(T595,1)="S",V595&gt;0),(R595/12)*V595,IF(AND(LEFT(T595,1)="S",V595=0),R595,IF(T595="DH",VLOOKUP(T595,ma_miengiam!$A$3:$B$80,2,0)*R595,0)))))))</f>
        <v>0</v>
      </c>
      <c r="Y595" s="220">
        <f t="shared" si="1963"/>
        <v>180</v>
      </c>
      <c r="Z595" s="220">
        <f t="shared" ref="Z595:Z602" si="1966">IF(AND(T595="SĐH",V595&gt;0),(R595/12)*V595-X595,IF(AND(T595="DH",V595&gt;0),(R595*V595/12),IF(AND(T595&lt;&gt;"NTS",V595&gt;0),(R595*V595/12)-X595,IF(AND(T595="NTS",V595&gt;0),R595-X595,R595-X595))))</f>
        <v>186.66666666666666</v>
      </c>
      <c r="AA595" s="220">
        <f t="shared" si="1909"/>
        <v>270</v>
      </c>
      <c r="AB595" s="220">
        <f t="shared" si="1910"/>
        <v>280</v>
      </c>
      <c r="AC595" s="220">
        <f t="shared" si="1965"/>
        <v>0</v>
      </c>
      <c r="AD595" s="220">
        <f t="shared" si="1965"/>
        <v>0</v>
      </c>
      <c r="AE595" s="220">
        <f t="shared" si="1965"/>
        <v>180</v>
      </c>
      <c r="AF595" s="220">
        <f t="shared" si="1965"/>
        <v>186.66666666666666</v>
      </c>
      <c r="AG595" s="220">
        <f t="shared" si="1896"/>
        <v>270.86</v>
      </c>
      <c r="AH595" s="220">
        <f t="shared" si="1897"/>
        <v>170.86</v>
      </c>
      <c r="AI595" s="220">
        <f t="shared" si="1898"/>
        <v>100</v>
      </c>
      <c r="AJ595" s="220">
        <f t="shared" si="1902"/>
        <v>0</v>
      </c>
      <c r="AK595" s="216">
        <f t="shared" si="1812"/>
        <v>180</v>
      </c>
      <c r="AL595" s="220">
        <f t="shared" si="1819"/>
        <v>372.5</v>
      </c>
      <c r="AM595" s="220">
        <f t="shared" si="1820"/>
        <v>0</v>
      </c>
      <c r="AN595" s="221">
        <f t="shared" si="1821"/>
        <v>372.5</v>
      </c>
      <c r="AO595" s="220">
        <f t="shared" si="1822"/>
        <v>0</v>
      </c>
      <c r="AP595" s="220">
        <f t="shared" si="1823"/>
        <v>0</v>
      </c>
      <c r="AQ595" s="220">
        <f t="shared" si="1824"/>
        <v>20</v>
      </c>
      <c r="AR595" s="220">
        <f t="shared" si="1825"/>
        <v>440</v>
      </c>
      <c r="AS595" s="220">
        <f t="shared" si="1826"/>
        <v>10</v>
      </c>
      <c r="AT595" s="216">
        <f t="shared" si="1827"/>
        <v>842.5</v>
      </c>
      <c r="AU595" s="222">
        <f t="shared" si="1792"/>
        <v>192.5</v>
      </c>
      <c r="AV595" s="220"/>
      <c r="AW595" s="220">
        <f t="shared" si="1856"/>
        <v>192.5</v>
      </c>
      <c r="AX595" s="216">
        <f t="shared" si="1811"/>
        <v>0</v>
      </c>
      <c r="AY595" s="220">
        <f t="shared" si="1866"/>
        <v>0</v>
      </c>
      <c r="AZ595" s="220">
        <f t="shared" si="1867"/>
        <v>0</v>
      </c>
      <c r="BA595" s="220">
        <f t="shared" si="1868"/>
        <v>20</v>
      </c>
      <c r="BB595" s="220">
        <f t="shared" si="1869"/>
        <v>440</v>
      </c>
      <c r="BC595" s="220">
        <f t="shared" si="1870"/>
        <v>10</v>
      </c>
      <c r="BD595" s="216">
        <f t="shared" si="1778"/>
        <v>470</v>
      </c>
      <c r="BE595" s="220">
        <f t="shared" si="1857"/>
        <v>0</v>
      </c>
      <c r="BF595" s="220">
        <f t="shared" si="1858"/>
        <v>0</v>
      </c>
      <c r="BG595" s="220">
        <f t="shared" si="1859"/>
        <v>0</v>
      </c>
      <c r="BH595" s="220">
        <f t="shared" si="1860"/>
        <v>0</v>
      </c>
      <c r="BI595" s="220">
        <f t="shared" si="1861"/>
        <v>0</v>
      </c>
      <c r="BJ595" s="220" t="s">
        <v>1919</v>
      </c>
      <c r="BK595" s="220"/>
      <c r="BL595" s="223">
        <f t="shared" si="1784"/>
        <v>192.5</v>
      </c>
      <c r="BM595" s="220">
        <v>7.28</v>
      </c>
      <c r="BN595" s="220"/>
      <c r="BO595" s="220">
        <f t="shared" ref="BO595:BO604" si="1967">ROUND(BM595+(BM595*BN595),2)</f>
        <v>7.28</v>
      </c>
      <c r="BP595" s="220">
        <f>IF(AND(BL595&gt;0,BL595&lt;tiet!$D$1),BL595,IF(BL595&lt;=0,0,IF(BL595&gt;tiet!$C$1,tiet!$C$1)))</f>
        <v>192.5</v>
      </c>
      <c r="BQ595" s="87">
        <f t="shared" si="1903"/>
        <v>85000</v>
      </c>
      <c r="BR595" s="224">
        <f t="shared" si="1904"/>
        <v>16362500</v>
      </c>
      <c r="BS595" s="220">
        <f t="shared" si="1933"/>
        <v>0</v>
      </c>
      <c r="BT595" s="224">
        <f>VLOOKUP(N595,ma_dinhmuc!$A$1:$J$31,10,0)</f>
        <v>65000</v>
      </c>
      <c r="BU595" s="224">
        <f>ROUND(IF(BS595&gt;0,VLOOKUP(N595,ma_dinhmuc!$A$1:$J$31,10,0)*BS595,0),0)</f>
        <v>0</v>
      </c>
      <c r="BV595" s="224">
        <f t="shared" si="1905"/>
        <v>16362500</v>
      </c>
      <c r="BW595" s="224"/>
      <c r="BX595" s="224">
        <v>0</v>
      </c>
      <c r="BY595" s="224"/>
      <c r="BZ595" s="224"/>
      <c r="CA595" s="224"/>
      <c r="CB595" s="224"/>
      <c r="CC595" s="225">
        <f t="shared" ref="CC595:CC643" si="1968">ROUND(IF(BV595+BW595&gt;BX595+BY595+BZ595+CA595+CB595,(BW595+BV595)-(BX595+BY595+BZ595+CA595+CB595+CB595),0),0)</f>
        <v>16362500</v>
      </c>
      <c r="CD595" s="224">
        <f t="shared" ref="CD595:CD643" si="1969">ROUND(IF(BV595+BW595&lt;BX595+BY595+BZ595+CA595-CB595,(BX595+BY595+BZ595+CA595-CB595)-(BW595+BV595),0),0)</f>
        <v>0</v>
      </c>
      <c r="CE595" s="224"/>
      <c r="CF595" s="226"/>
      <c r="CG595" s="87"/>
      <c r="CH595" s="87">
        <f t="shared" ref="CH595:CH600" si="1970">A595</f>
        <v>48</v>
      </c>
      <c r="CI595" s="227" t="str">
        <f t="shared" ref="CI595:CI601" si="1971">F595</f>
        <v>Đỗ Văn</v>
      </c>
      <c r="CJ595" s="227" t="str">
        <f t="shared" ref="CJ595:CJ601" si="1972">G595</f>
        <v>Viện</v>
      </c>
      <c r="CK595" s="87">
        <f t="shared" ref="CK595:CK601" si="1973">H595</f>
        <v>11</v>
      </c>
      <c r="CL595" s="227" t="str">
        <f t="shared" ref="CL595:CL600" si="1974">L595</f>
        <v>Quản trị kinh doanh</v>
      </c>
      <c r="CM595" s="87" t="str">
        <f t="shared" si="1862"/>
        <v>CS4</v>
      </c>
      <c r="CN595" s="87">
        <f t="shared" ref="CN595:CO597" si="1975">Q595</f>
        <v>270</v>
      </c>
      <c r="CO595" s="87">
        <f t="shared" si="1975"/>
        <v>280</v>
      </c>
      <c r="CP595" s="229">
        <f t="shared" si="1943"/>
        <v>0</v>
      </c>
      <c r="CQ595" s="229">
        <f t="shared" si="1944"/>
        <v>68.099999999999994</v>
      </c>
      <c r="CR595" s="229">
        <f t="shared" si="1945"/>
        <v>27.3</v>
      </c>
      <c r="CS595" s="229">
        <f t="shared" si="1946"/>
        <v>0</v>
      </c>
      <c r="CT595" s="229">
        <f t="shared" si="1947"/>
        <v>0</v>
      </c>
      <c r="CU595" s="229">
        <f t="shared" si="1948"/>
        <v>277.10000000000002</v>
      </c>
      <c r="CV595" s="229">
        <f t="shared" si="1949"/>
        <v>0</v>
      </c>
      <c r="CW595" s="229">
        <f t="shared" si="1950"/>
        <v>0</v>
      </c>
      <c r="CX595" s="229">
        <f t="shared" si="1951"/>
        <v>0</v>
      </c>
      <c r="CY595" s="229">
        <f t="shared" si="1952"/>
        <v>0</v>
      </c>
      <c r="CZ595" s="229">
        <f t="shared" si="1953"/>
        <v>0</v>
      </c>
      <c r="DA595" s="229">
        <f t="shared" si="1954"/>
        <v>20</v>
      </c>
      <c r="DB595" s="228">
        <f t="shared" si="1834"/>
        <v>392.5</v>
      </c>
      <c r="DC595" s="229"/>
      <c r="DD595" s="229"/>
      <c r="DE595" s="229"/>
      <c r="DF595" s="229"/>
      <c r="DG595" s="229"/>
      <c r="DH595" s="229"/>
      <c r="DI595" s="229"/>
      <c r="DJ595" s="229"/>
      <c r="DK595" s="229"/>
      <c r="DL595" s="229"/>
      <c r="DM595" s="229"/>
      <c r="DN595" s="229"/>
      <c r="DO595" s="228">
        <f t="shared" si="1835"/>
        <v>0</v>
      </c>
      <c r="DP595" s="228">
        <f t="shared" si="1836"/>
        <v>392.5</v>
      </c>
      <c r="DQ595" s="229">
        <f t="shared" si="1955"/>
        <v>0</v>
      </c>
      <c r="DR595" s="229">
        <f t="shared" si="1956"/>
        <v>0</v>
      </c>
      <c r="DS595" s="229">
        <f t="shared" si="1957"/>
        <v>0</v>
      </c>
      <c r="DT595" s="229">
        <f t="shared" si="1958"/>
        <v>0</v>
      </c>
      <c r="DU595" s="229">
        <f t="shared" si="1959"/>
        <v>0</v>
      </c>
      <c r="DV595" s="229">
        <f t="shared" si="1960"/>
        <v>440</v>
      </c>
      <c r="DW595" s="229">
        <f t="shared" si="1961"/>
        <v>10</v>
      </c>
      <c r="DX595" s="228">
        <f t="shared" si="1837"/>
        <v>450</v>
      </c>
      <c r="DY595" s="229"/>
      <c r="DZ595" s="229"/>
      <c r="EA595" s="229"/>
      <c r="EB595" s="229"/>
      <c r="EC595" s="229"/>
      <c r="ED595" s="229"/>
      <c r="EE595" s="229"/>
      <c r="EF595" s="228">
        <f t="shared" si="1939"/>
        <v>0</v>
      </c>
      <c r="EG595" s="228">
        <f t="shared" si="1838"/>
        <v>450</v>
      </c>
      <c r="EH595" s="229">
        <f t="shared" si="1940"/>
        <v>100</v>
      </c>
      <c r="EI595" s="229">
        <v>170.86</v>
      </c>
      <c r="EJ595" s="228">
        <f t="shared" si="1900"/>
        <v>270.86</v>
      </c>
      <c r="EK595" s="229"/>
      <c r="EL595" s="229"/>
      <c r="EM595" s="228">
        <f t="shared" ref="EM595:EM601" si="1976">SUM(EK595:EL595)</f>
        <v>0</v>
      </c>
      <c r="EN595" s="229">
        <f t="shared" si="1894"/>
        <v>100</v>
      </c>
      <c r="EO595" s="229">
        <f t="shared" si="1793"/>
        <v>170.86</v>
      </c>
      <c r="EP595" s="228">
        <f t="shared" si="1964"/>
        <v>270.86</v>
      </c>
      <c r="EQ595" s="173">
        <f t="shared" si="1934"/>
        <v>0</v>
      </c>
      <c r="ER595" s="189">
        <v>0</v>
      </c>
      <c r="ES595" s="189">
        <v>68.099999999999994</v>
      </c>
      <c r="ET595" s="189">
        <v>27.3</v>
      </c>
      <c r="EU595" s="189">
        <v>0</v>
      </c>
      <c r="EV595" s="189">
        <v>0</v>
      </c>
      <c r="EW595" s="189">
        <v>277.10000000000002</v>
      </c>
      <c r="EX595" s="189">
        <v>0</v>
      </c>
      <c r="EY595" s="189">
        <v>0</v>
      </c>
      <c r="EZ595" s="189">
        <v>0</v>
      </c>
      <c r="FA595" s="189">
        <v>0</v>
      </c>
      <c r="FB595" s="189">
        <v>0</v>
      </c>
      <c r="FC595" s="189">
        <v>20</v>
      </c>
      <c r="FD595" s="189">
        <v>0</v>
      </c>
      <c r="FE595" s="189">
        <v>0</v>
      </c>
      <c r="FF595" s="189">
        <v>0</v>
      </c>
      <c r="FG595" s="189">
        <v>0</v>
      </c>
      <c r="FH595" s="189">
        <v>440</v>
      </c>
      <c r="FI595" s="189">
        <v>0</v>
      </c>
      <c r="FJ595" s="189">
        <v>10</v>
      </c>
      <c r="FK595" s="189">
        <v>842.5</v>
      </c>
      <c r="FL595" s="189">
        <v>692</v>
      </c>
      <c r="FN595" s="132">
        <v>100</v>
      </c>
    </row>
    <row r="596" spans="1:170" ht="45">
      <c r="A596" s="88">
        <f>COUNTIF($H$12:H596,H596)</f>
        <v>49</v>
      </c>
      <c r="B596" s="88" t="s">
        <v>772</v>
      </c>
      <c r="C596" s="88" t="s">
        <v>1363</v>
      </c>
      <c r="D596" s="88"/>
      <c r="E596" s="88"/>
      <c r="F596" s="301" t="s">
        <v>1870</v>
      </c>
      <c r="G596" s="89" t="s">
        <v>720</v>
      </c>
      <c r="H596" s="88">
        <v>11</v>
      </c>
      <c r="I596" s="88">
        <v>11</v>
      </c>
      <c r="J596" s="88">
        <v>11</v>
      </c>
      <c r="K596" s="90" t="s">
        <v>1665</v>
      </c>
      <c r="L596" s="90" t="s">
        <v>1665</v>
      </c>
      <c r="M596" s="214"/>
      <c r="N596" s="88" t="s">
        <v>606</v>
      </c>
      <c r="O596" s="216">
        <f t="shared" si="1962"/>
        <v>6.44</v>
      </c>
      <c r="P596" s="88" t="str">
        <f t="shared" si="1785"/>
        <v>B1_7</v>
      </c>
      <c r="Q596" s="88">
        <f t="shared" si="1935"/>
        <v>270</v>
      </c>
      <c r="R596" s="88">
        <f t="shared" si="1936"/>
        <v>200</v>
      </c>
      <c r="S596" s="230" t="s">
        <v>367</v>
      </c>
      <c r="T596" s="88" t="s">
        <v>3092</v>
      </c>
      <c r="U596" s="88">
        <f>IF(RIGHT(T596,1)="K",(VLOOKUP(T596,ma_miengiam!$A$3:$B$80,2,0)*100)/2,VLOOKUP(T596,ma_miengiam!$A$3:$B$80,2,0)*100)</f>
        <v>25</v>
      </c>
      <c r="V596" s="88"/>
      <c r="W596" s="220">
        <f>IF(AND(T596="NTS",V596&gt;0),(Q596-(Q596*V596)/12)*VLOOKUP(T596,ma_miengiam!$A$3:$B$80,2,0)+(Q596-(Q596*(12-V596))/12),IF(AND(RIGHT(T596,1)="K",V596&gt;0),(VLOOKUP(T596,ma_miengiam!$A$3:$B$80,2,0)/2)*(Q596*V596)/12,IF(RIGHT(T596,1)="K",(VLOOKUP(T596,ma_miengiam!$A$3:$B$80,2,0)*Q596)/2,IF(V596&gt;0,VLOOKUP(T596,ma_miengiam!$A$3:$B$80,2,0)*Q596*V596/12,VLOOKUP(T596,ma_miengiam!$A$3:$B$80,2,0)*Q596))))</f>
        <v>67.5</v>
      </c>
      <c r="X596" s="220">
        <f>IF(T596="NTS",VLOOKUP(T596,ma_miengiam!$A$3:$B$80,2,0)*R596*V596,IF(AND(T596="NTS",V596=0),0,IF(AND(LEFT(T596,1)="K",V596=0),VLOOKUP(T596,ma_miengiam!$A$3:$B$80,2,0)*R596,IF(LEFT(T596,1)="K",(VLOOKUP(T596,ma_miengiam!$A$3:$B$80,2,0)*R596/12)*V596,IF(AND(LEFT(T596,1)="S",V596&gt;0),(R596/12)*V596,IF(AND(LEFT(T596,1)="S",V596=0),R596,IF(T596="DH",VLOOKUP(T596,ma_miengiam!$A$3:$B$80,2,0)*R596,0)))))))</f>
        <v>0</v>
      </c>
      <c r="Y596" s="220">
        <f t="shared" si="1963"/>
        <v>202.5</v>
      </c>
      <c r="Z596" s="220">
        <f t="shared" si="1966"/>
        <v>200</v>
      </c>
      <c r="AA596" s="220">
        <f t="shared" ref="AA596:AB599" si="1977">Q596</f>
        <v>270</v>
      </c>
      <c r="AB596" s="220">
        <f t="shared" si="1977"/>
        <v>200</v>
      </c>
      <c r="AC596" s="220">
        <f t="shared" ref="AC596:AF599" si="1978">W596</f>
        <v>67.5</v>
      </c>
      <c r="AD596" s="220">
        <f t="shared" si="1978"/>
        <v>0</v>
      </c>
      <c r="AE596" s="220">
        <f t="shared" si="1978"/>
        <v>202.5</v>
      </c>
      <c r="AF596" s="220">
        <f t="shared" si="1978"/>
        <v>200</v>
      </c>
      <c r="AG596" s="220">
        <f t="shared" ref="AG596:AG604" si="1979">AH596+AI596</f>
        <v>150.18</v>
      </c>
      <c r="AH596" s="220">
        <f t="shared" ref="AH596:AH604" si="1980">EO596</f>
        <v>88.51</v>
      </c>
      <c r="AI596" s="220">
        <f t="shared" ref="AI596:AI604" si="1981">EN596</f>
        <v>61.67</v>
      </c>
      <c r="AJ596" s="220">
        <f t="shared" si="1902"/>
        <v>-49.819999999999993</v>
      </c>
      <c r="AK596" s="216">
        <f t="shared" si="1812"/>
        <v>252.32</v>
      </c>
      <c r="AL596" s="220">
        <f t="shared" si="1819"/>
        <v>349.7</v>
      </c>
      <c r="AM596" s="220">
        <f t="shared" si="1820"/>
        <v>285.2</v>
      </c>
      <c r="AN596" s="221">
        <f t="shared" si="1821"/>
        <v>634.9</v>
      </c>
      <c r="AO596" s="220">
        <f t="shared" si="1822"/>
        <v>0</v>
      </c>
      <c r="AP596" s="220">
        <f t="shared" si="1823"/>
        <v>0</v>
      </c>
      <c r="AQ596" s="220">
        <f t="shared" si="1824"/>
        <v>20</v>
      </c>
      <c r="AR596" s="220">
        <f t="shared" si="1825"/>
        <v>424</v>
      </c>
      <c r="AS596" s="220">
        <f t="shared" si="1826"/>
        <v>20</v>
      </c>
      <c r="AT596" s="216">
        <f t="shared" si="1827"/>
        <v>1098.9000000000001</v>
      </c>
      <c r="AU596" s="222">
        <f t="shared" si="1792"/>
        <v>382.58</v>
      </c>
      <c r="AV596" s="220"/>
      <c r="AW596" s="220">
        <f t="shared" si="1856"/>
        <v>382.58</v>
      </c>
      <c r="AX596" s="216">
        <f t="shared" si="1811"/>
        <v>0</v>
      </c>
      <c r="AY596" s="220">
        <f t="shared" si="1866"/>
        <v>0</v>
      </c>
      <c r="AZ596" s="220">
        <f t="shared" si="1867"/>
        <v>0</v>
      </c>
      <c r="BA596" s="220">
        <f t="shared" si="1868"/>
        <v>20</v>
      </c>
      <c r="BB596" s="220">
        <f t="shared" si="1869"/>
        <v>424</v>
      </c>
      <c r="BC596" s="220">
        <f t="shared" si="1870"/>
        <v>20</v>
      </c>
      <c r="BD596" s="216">
        <f t="shared" si="1778"/>
        <v>464</v>
      </c>
      <c r="BE596" s="220">
        <f t="shared" si="1857"/>
        <v>0</v>
      </c>
      <c r="BF596" s="220">
        <f t="shared" si="1858"/>
        <v>0</v>
      </c>
      <c r="BG596" s="220">
        <f t="shared" si="1859"/>
        <v>0</v>
      </c>
      <c r="BH596" s="220">
        <f t="shared" si="1860"/>
        <v>0</v>
      </c>
      <c r="BI596" s="220">
        <f t="shared" si="1861"/>
        <v>0</v>
      </c>
      <c r="BJ596" s="220" t="s">
        <v>1919</v>
      </c>
      <c r="BK596" s="220"/>
      <c r="BL596" s="223">
        <f t="shared" si="1784"/>
        <v>382.58</v>
      </c>
      <c r="BM596" s="220">
        <v>6.44</v>
      </c>
      <c r="BN596" s="220"/>
      <c r="BO596" s="220">
        <f t="shared" si="1967"/>
        <v>6.44</v>
      </c>
      <c r="BP596" s="220">
        <f>IF(AND(BL596&gt;0,BL596&lt;tiet!$D$1),BL596,IF(BL596&lt;=0,0,IF(BL596&gt;tiet!$C$1,tiet!$C$1)))</f>
        <v>200</v>
      </c>
      <c r="BQ596" s="87">
        <f t="shared" si="1903"/>
        <v>80000</v>
      </c>
      <c r="BR596" s="224">
        <f t="shared" si="1904"/>
        <v>16000000</v>
      </c>
      <c r="BS596" s="220">
        <f t="shared" si="1933"/>
        <v>182.57999999999998</v>
      </c>
      <c r="BT596" s="224">
        <f>VLOOKUP(N596,ma_dinhmuc!$A$1:$J$31,10,0)</f>
        <v>55000</v>
      </c>
      <c r="BU596" s="224">
        <f>ROUND(IF(BS596&gt;0,VLOOKUP(N596,ma_dinhmuc!$A$1:$J$31,10,0)*BS596,0),0)</f>
        <v>10041900</v>
      </c>
      <c r="BV596" s="224">
        <f t="shared" si="1905"/>
        <v>26041900</v>
      </c>
      <c r="BW596" s="224"/>
      <c r="BX596" s="224">
        <v>0</v>
      </c>
      <c r="BY596" s="224"/>
      <c r="BZ596" s="224"/>
      <c r="CA596" s="224"/>
      <c r="CB596" s="224"/>
      <c r="CC596" s="225">
        <f t="shared" si="1968"/>
        <v>26041900</v>
      </c>
      <c r="CD596" s="224">
        <f t="shared" si="1969"/>
        <v>0</v>
      </c>
      <c r="CE596" s="224"/>
      <c r="CF596" s="226"/>
      <c r="CG596" s="87"/>
      <c r="CH596" s="87">
        <f t="shared" si="1970"/>
        <v>49</v>
      </c>
      <c r="CI596" s="227" t="str">
        <f t="shared" si="1971"/>
        <v>Nguyễn Quốc</v>
      </c>
      <c r="CJ596" s="227" t="str">
        <f t="shared" si="1972"/>
        <v>Chỉnh</v>
      </c>
      <c r="CK596" s="87">
        <f t="shared" si="1973"/>
        <v>11</v>
      </c>
      <c r="CL596" s="227" t="str">
        <f t="shared" si="1974"/>
        <v>Quản trị kinh doanh</v>
      </c>
      <c r="CM596" s="87" t="str">
        <f t="shared" si="1862"/>
        <v>CS3</v>
      </c>
      <c r="CN596" s="87">
        <f>Q596</f>
        <v>270</v>
      </c>
      <c r="CO596" s="87">
        <f>R596</f>
        <v>200</v>
      </c>
      <c r="CP596" s="229">
        <f t="shared" si="1943"/>
        <v>0</v>
      </c>
      <c r="CQ596" s="229">
        <f t="shared" si="1944"/>
        <v>24.8</v>
      </c>
      <c r="CR596" s="229">
        <f t="shared" si="1945"/>
        <v>9.9</v>
      </c>
      <c r="CS596" s="229">
        <f t="shared" si="1946"/>
        <v>0</v>
      </c>
      <c r="CT596" s="229">
        <f t="shared" si="1947"/>
        <v>0</v>
      </c>
      <c r="CU596" s="229">
        <f t="shared" si="1948"/>
        <v>315</v>
      </c>
      <c r="CV596" s="229">
        <f t="shared" si="1949"/>
        <v>0</v>
      </c>
      <c r="CW596" s="229">
        <f t="shared" si="1950"/>
        <v>0</v>
      </c>
      <c r="CX596" s="229">
        <f t="shared" si="1951"/>
        <v>0</v>
      </c>
      <c r="CY596" s="229">
        <f t="shared" si="1952"/>
        <v>0</v>
      </c>
      <c r="CZ596" s="229">
        <f t="shared" si="1953"/>
        <v>0</v>
      </c>
      <c r="DA596" s="229">
        <f t="shared" si="1954"/>
        <v>20</v>
      </c>
      <c r="DB596" s="228">
        <f t="shared" si="1834"/>
        <v>369.7</v>
      </c>
      <c r="DC596" s="229"/>
      <c r="DD596" s="229"/>
      <c r="DE596" s="229"/>
      <c r="DF596" s="229"/>
      <c r="DG596" s="229"/>
      <c r="DH596" s="229"/>
      <c r="DI596" s="229"/>
      <c r="DJ596" s="229"/>
      <c r="DK596" s="229"/>
      <c r="DL596" s="229"/>
      <c r="DM596" s="229"/>
      <c r="DN596" s="229"/>
      <c r="DO596" s="228">
        <f t="shared" si="1835"/>
        <v>0</v>
      </c>
      <c r="DP596" s="228">
        <f t="shared" si="1836"/>
        <v>369.7</v>
      </c>
      <c r="DQ596" s="229">
        <f t="shared" si="1955"/>
        <v>270</v>
      </c>
      <c r="DR596" s="229">
        <f t="shared" si="1956"/>
        <v>10.8</v>
      </c>
      <c r="DS596" s="229">
        <f t="shared" si="1957"/>
        <v>0</v>
      </c>
      <c r="DT596" s="229">
        <f t="shared" si="1958"/>
        <v>4.4000000000000004</v>
      </c>
      <c r="DU596" s="229">
        <f t="shared" si="1959"/>
        <v>0</v>
      </c>
      <c r="DV596" s="229">
        <f t="shared" si="1960"/>
        <v>424</v>
      </c>
      <c r="DW596" s="229">
        <f t="shared" si="1961"/>
        <v>20</v>
      </c>
      <c r="DX596" s="228">
        <f t="shared" si="1837"/>
        <v>729.2</v>
      </c>
      <c r="DY596" s="229"/>
      <c r="DZ596" s="229"/>
      <c r="EA596" s="229"/>
      <c r="EB596" s="229"/>
      <c r="EC596" s="229"/>
      <c r="ED596" s="229"/>
      <c r="EE596" s="229"/>
      <c r="EF596" s="228">
        <f t="shared" si="1939"/>
        <v>0</v>
      </c>
      <c r="EG596" s="228">
        <f t="shared" si="1838"/>
        <v>729.2</v>
      </c>
      <c r="EH596" s="229">
        <f t="shared" si="1940"/>
        <v>61.67</v>
      </c>
      <c r="EI596" s="229">
        <v>88.51</v>
      </c>
      <c r="EJ596" s="228">
        <f t="shared" si="1900"/>
        <v>150.18</v>
      </c>
      <c r="EK596" s="229"/>
      <c r="EL596" s="229"/>
      <c r="EM596" s="228">
        <f t="shared" si="1976"/>
        <v>0</v>
      </c>
      <c r="EN596" s="229">
        <f t="shared" si="1894"/>
        <v>61.67</v>
      </c>
      <c r="EO596" s="229">
        <f t="shared" si="1793"/>
        <v>88.51</v>
      </c>
      <c r="EP596" s="228">
        <f t="shared" si="1964"/>
        <v>150.18</v>
      </c>
      <c r="EQ596" s="173">
        <f t="shared" si="1934"/>
        <v>0</v>
      </c>
      <c r="ER596" s="189">
        <v>0</v>
      </c>
      <c r="ES596" s="189">
        <v>24.8</v>
      </c>
      <c r="ET596" s="189">
        <v>9.9</v>
      </c>
      <c r="EU596" s="189">
        <v>0</v>
      </c>
      <c r="EV596" s="189">
        <v>0</v>
      </c>
      <c r="EW596" s="189">
        <v>315</v>
      </c>
      <c r="EX596" s="189">
        <v>0</v>
      </c>
      <c r="EY596" s="189">
        <v>0</v>
      </c>
      <c r="EZ596" s="189">
        <v>0</v>
      </c>
      <c r="FA596" s="189">
        <v>0</v>
      </c>
      <c r="FB596" s="189">
        <v>0</v>
      </c>
      <c r="FC596" s="189">
        <v>20</v>
      </c>
      <c r="FD596" s="189">
        <v>270</v>
      </c>
      <c r="FE596" s="189">
        <v>10.8</v>
      </c>
      <c r="FF596" s="189">
        <v>0</v>
      </c>
      <c r="FG596" s="189">
        <v>4.4000000000000004</v>
      </c>
      <c r="FH596" s="189">
        <v>424</v>
      </c>
      <c r="FI596" s="189">
        <v>0</v>
      </c>
      <c r="FJ596" s="189">
        <v>20</v>
      </c>
      <c r="FK596" s="189">
        <v>1098.9000000000001</v>
      </c>
      <c r="FL596" s="189">
        <v>797</v>
      </c>
      <c r="FN596" s="132">
        <v>61.67</v>
      </c>
    </row>
    <row r="597" spans="1:170" ht="24.75" customHeight="1">
      <c r="A597" s="88">
        <f>COUNTIF($H$12:H597,H597)</f>
        <v>50</v>
      </c>
      <c r="B597" s="88" t="s">
        <v>774</v>
      </c>
      <c r="C597" s="88" t="s">
        <v>1365</v>
      </c>
      <c r="D597" s="88"/>
      <c r="E597" s="88"/>
      <c r="F597" s="301" t="s">
        <v>3042</v>
      </c>
      <c r="G597" s="89" t="s">
        <v>3043</v>
      </c>
      <c r="H597" s="88">
        <v>11</v>
      </c>
      <c r="I597" s="88">
        <v>11</v>
      </c>
      <c r="J597" s="88">
        <v>11</v>
      </c>
      <c r="K597" s="90" t="s">
        <v>1665</v>
      </c>
      <c r="L597" s="90" t="s">
        <v>1665</v>
      </c>
      <c r="M597" s="214"/>
      <c r="N597" s="88" t="s">
        <v>1804</v>
      </c>
      <c r="O597" s="216">
        <f t="shared" si="1962"/>
        <v>3.33</v>
      </c>
      <c r="P597" s="88" t="str">
        <f t="shared" si="1785"/>
        <v>B1_4</v>
      </c>
      <c r="Q597" s="88">
        <f t="shared" si="1935"/>
        <v>270</v>
      </c>
      <c r="R597" s="88">
        <f t="shared" si="1936"/>
        <v>120</v>
      </c>
      <c r="S597" s="218" t="s">
        <v>689</v>
      </c>
      <c r="T597" s="88" t="s">
        <v>3090</v>
      </c>
      <c r="U597" s="88">
        <f>IF(RIGHT(T597,1)="K",(VLOOKUP(T597,ma_miengiam!$A$3:$B$80,2,0)*100)/2,VLOOKUP(T597,ma_miengiam!$A$3:$B$80,2,0)*100)</f>
        <v>15</v>
      </c>
      <c r="V597" s="88"/>
      <c r="W597" s="220">
        <f>IF(AND(T597="NTS",V597&gt;0),(Q597-(Q597*V597)/12)*VLOOKUP(T597,ma_miengiam!$A$3:$B$80,2,0)+(Q597-(Q597*(12-V597))/12),IF(AND(RIGHT(T597,1)="K",V597&gt;0),(VLOOKUP(T597,ma_miengiam!$A$3:$B$80,2,0)/2)*(Q597*V597)/12,IF(RIGHT(T597,1)="K",(VLOOKUP(T597,ma_miengiam!$A$3:$B$80,2,0)*Q597)/2,IF(V597&gt;0,VLOOKUP(T597,ma_miengiam!$A$3:$B$80,2,0)*Q597*V597/12,VLOOKUP(T597,ma_miengiam!$A$3:$B$80,2,0)*Q597))))</f>
        <v>40.5</v>
      </c>
      <c r="X597" s="220">
        <f>IF(T597="NTS",VLOOKUP(T597,ma_miengiam!$A$3:$B$80,2,0)*R597*V597,IF(AND(T597="NTS",V597=0),0,IF(AND(LEFT(T597,1)="K",V597=0),VLOOKUP(T597,ma_miengiam!$A$3:$B$80,2,0)*R597,IF(LEFT(T597,1)="K",(VLOOKUP(T597,ma_miengiam!$A$3:$B$80,2,0)*R597/12)*V597,IF(AND(LEFT(T597,1)="S",V597&gt;0),(R597/12)*V597,IF(AND(LEFT(T597,1)="S",V597=0),R597,IF(T597="DH",VLOOKUP(T597,ma_miengiam!$A$3:$B$80,2,0)*R597,0)))))))</f>
        <v>0</v>
      </c>
      <c r="Y597" s="220">
        <f t="shared" si="1963"/>
        <v>229.5</v>
      </c>
      <c r="Z597" s="220">
        <f t="shared" si="1966"/>
        <v>120</v>
      </c>
      <c r="AA597" s="220">
        <f t="shared" si="1977"/>
        <v>270</v>
      </c>
      <c r="AB597" s="220">
        <f t="shared" si="1977"/>
        <v>120</v>
      </c>
      <c r="AC597" s="220">
        <f t="shared" si="1978"/>
        <v>40.5</v>
      </c>
      <c r="AD597" s="220">
        <f t="shared" si="1978"/>
        <v>0</v>
      </c>
      <c r="AE597" s="220">
        <f t="shared" si="1978"/>
        <v>229.5</v>
      </c>
      <c r="AF597" s="220">
        <f t="shared" si="1978"/>
        <v>120</v>
      </c>
      <c r="AG597" s="220">
        <f t="shared" si="1979"/>
        <v>224.14999999999998</v>
      </c>
      <c r="AH597" s="220">
        <f t="shared" si="1980"/>
        <v>182.48</v>
      </c>
      <c r="AI597" s="220">
        <f t="shared" si="1981"/>
        <v>41.67</v>
      </c>
      <c r="AJ597" s="220">
        <f t="shared" si="1902"/>
        <v>0</v>
      </c>
      <c r="AK597" s="216">
        <f t="shared" si="1812"/>
        <v>229.5</v>
      </c>
      <c r="AL597" s="220">
        <f t="shared" si="1819"/>
        <v>402.4</v>
      </c>
      <c r="AM597" s="220">
        <f t="shared" si="1820"/>
        <v>0</v>
      </c>
      <c r="AN597" s="221">
        <f t="shared" si="1821"/>
        <v>402.4</v>
      </c>
      <c r="AO597" s="220">
        <f t="shared" si="1822"/>
        <v>0</v>
      </c>
      <c r="AP597" s="220">
        <f t="shared" si="1823"/>
        <v>0</v>
      </c>
      <c r="AQ597" s="220">
        <f t="shared" si="1824"/>
        <v>80</v>
      </c>
      <c r="AR597" s="220">
        <f t="shared" si="1825"/>
        <v>0</v>
      </c>
      <c r="AS597" s="220">
        <f t="shared" si="1826"/>
        <v>0</v>
      </c>
      <c r="AT597" s="216">
        <f t="shared" si="1827"/>
        <v>482.4</v>
      </c>
      <c r="AU597" s="222">
        <f t="shared" ref="AU597:AU647" si="1982">AN597-AK597</f>
        <v>172.89999999999998</v>
      </c>
      <c r="AV597" s="220"/>
      <c r="AW597" s="220">
        <f t="shared" si="1856"/>
        <v>172.89999999999998</v>
      </c>
      <c r="AX597" s="216">
        <f t="shared" si="1811"/>
        <v>0</v>
      </c>
      <c r="AY597" s="220">
        <f t="shared" si="1866"/>
        <v>0</v>
      </c>
      <c r="AZ597" s="220">
        <f t="shared" si="1867"/>
        <v>0</v>
      </c>
      <c r="BA597" s="220">
        <f t="shared" si="1868"/>
        <v>80</v>
      </c>
      <c r="BB597" s="220">
        <f t="shared" si="1869"/>
        <v>0</v>
      </c>
      <c r="BC597" s="220">
        <f t="shared" si="1870"/>
        <v>0</v>
      </c>
      <c r="BD597" s="216">
        <f t="shared" si="1778"/>
        <v>80</v>
      </c>
      <c r="BE597" s="220">
        <f t="shared" si="1857"/>
        <v>0</v>
      </c>
      <c r="BF597" s="220">
        <f t="shared" si="1858"/>
        <v>0</v>
      </c>
      <c r="BG597" s="220">
        <f t="shared" si="1859"/>
        <v>0</v>
      </c>
      <c r="BH597" s="220">
        <f t="shared" si="1860"/>
        <v>0</v>
      </c>
      <c r="BI597" s="220">
        <f t="shared" si="1861"/>
        <v>0</v>
      </c>
      <c r="BJ597" s="220" t="s">
        <v>1919</v>
      </c>
      <c r="BK597" s="220"/>
      <c r="BL597" s="223">
        <f t="shared" si="1784"/>
        <v>172.89999999999998</v>
      </c>
      <c r="BM597" s="220">
        <v>3.33</v>
      </c>
      <c r="BN597" s="220"/>
      <c r="BO597" s="220">
        <f t="shared" si="1967"/>
        <v>3.33</v>
      </c>
      <c r="BP597" s="220">
        <f>IF(AND(BL597&gt;0,BL597&lt;tiet!$D$1),BL597,IF(BL597&lt;=0,0,IF(BL597&gt;tiet!$C$1,tiet!$C$1)))</f>
        <v>172.89999999999998</v>
      </c>
      <c r="BQ597" s="87">
        <f t="shared" si="1903"/>
        <v>65000</v>
      </c>
      <c r="BR597" s="224">
        <f t="shared" si="1904"/>
        <v>11238500</v>
      </c>
      <c r="BS597" s="220">
        <f t="shared" si="1933"/>
        <v>0</v>
      </c>
      <c r="BT597" s="224">
        <f>VLOOKUP(N597,ma_dinhmuc!$A$1:$J$31,10,0)</f>
        <v>51000</v>
      </c>
      <c r="BU597" s="224">
        <f>ROUND(IF(BS597&gt;0,VLOOKUP(N597,ma_dinhmuc!$A$1:$J$31,10,0)*BS597,0),0)</f>
        <v>0</v>
      </c>
      <c r="BV597" s="224">
        <f t="shared" si="1905"/>
        <v>11238500</v>
      </c>
      <c r="BW597" s="224"/>
      <c r="BX597" s="224">
        <v>0</v>
      </c>
      <c r="BY597" s="224"/>
      <c r="BZ597" s="224"/>
      <c r="CA597" s="224"/>
      <c r="CB597" s="224"/>
      <c r="CC597" s="225">
        <f t="shared" si="1968"/>
        <v>11238500</v>
      </c>
      <c r="CD597" s="224">
        <f t="shared" si="1969"/>
        <v>0</v>
      </c>
      <c r="CE597" s="224"/>
      <c r="CF597" s="226"/>
      <c r="CG597" s="87"/>
      <c r="CH597" s="87">
        <f t="shared" si="1970"/>
        <v>50</v>
      </c>
      <c r="CI597" s="227" t="str">
        <f t="shared" si="1971"/>
        <v>Nguyễn Hải</v>
      </c>
      <c r="CJ597" s="227" t="str">
        <f t="shared" si="1972"/>
        <v>Núi</v>
      </c>
      <c r="CK597" s="87">
        <f t="shared" si="1973"/>
        <v>11</v>
      </c>
      <c r="CL597" s="227" t="str">
        <f t="shared" si="1974"/>
        <v>Quản trị kinh doanh</v>
      </c>
      <c r="CM597" s="87" t="str">
        <f t="shared" si="1862"/>
        <v>CS2</v>
      </c>
      <c r="CN597" s="87">
        <f t="shared" si="1975"/>
        <v>270</v>
      </c>
      <c r="CO597" s="87">
        <f t="shared" si="1975"/>
        <v>120</v>
      </c>
      <c r="CP597" s="229">
        <f t="shared" si="1943"/>
        <v>0</v>
      </c>
      <c r="CQ597" s="229">
        <f t="shared" si="1944"/>
        <v>50</v>
      </c>
      <c r="CR597" s="229">
        <f t="shared" si="1945"/>
        <v>20.100000000000001</v>
      </c>
      <c r="CS597" s="229">
        <f t="shared" si="1946"/>
        <v>93.8</v>
      </c>
      <c r="CT597" s="229">
        <f t="shared" si="1947"/>
        <v>0</v>
      </c>
      <c r="CU597" s="229">
        <f t="shared" si="1948"/>
        <v>238.5</v>
      </c>
      <c r="CV597" s="229">
        <f t="shared" si="1949"/>
        <v>0</v>
      </c>
      <c r="CW597" s="229">
        <f t="shared" si="1950"/>
        <v>0</v>
      </c>
      <c r="CX597" s="229">
        <f t="shared" si="1951"/>
        <v>0</v>
      </c>
      <c r="CY597" s="229">
        <f t="shared" si="1952"/>
        <v>0</v>
      </c>
      <c r="CZ597" s="229">
        <f t="shared" si="1953"/>
        <v>0</v>
      </c>
      <c r="DA597" s="229">
        <f t="shared" si="1954"/>
        <v>80</v>
      </c>
      <c r="DB597" s="228">
        <f t="shared" si="1834"/>
        <v>482.4</v>
      </c>
      <c r="DC597" s="229"/>
      <c r="DD597" s="229"/>
      <c r="DE597" s="229"/>
      <c r="DF597" s="229"/>
      <c r="DG597" s="229"/>
      <c r="DH597" s="229"/>
      <c r="DI597" s="229"/>
      <c r="DJ597" s="229"/>
      <c r="DK597" s="229"/>
      <c r="DL597" s="229"/>
      <c r="DM597" s="229"/>
      <c r="DN597" s="229"/>
      <c r="DO597" s="228">
        <f t="shared" si="1835"/>
        <v>0</v>
      </c>
      <c r="DP597" s="228">
        <f t="shared" si="1836"/>
        <v>482.4</v>
      </c>
      <c r="DQ597" s="229">
        <f t="shared" si="1955"/>
        <v>0</v>
      </c>
      <c r="DR597" s="229">
        <f t="shared" si="1956"/>
        <v>0</v>
      </c>
      <c r="DS597" s="229">
        <f t="shared" si="1957"/>
        <v>0</v>
      </c>
      <c r="DT597" s="229">
        <f t="shared" si="1958"/>
        <v>0</v>
      </c>
      <c r="DU597" s="229">
        <f t="shared" si="1959"/>
        <v>0</v>
      </c>
      <c r="DV597" s="229">
        <f t="shared" si="1960"/>
        <v>0</v>
      </c>
      <c r="DW597" s="229">
        <f t="shared" si="1961"/>
        <v>0</v>
      </c>
      <c r="DX597" s="228">
        <f t="shared" si="1837"/>
        <v>0</v>
      </c>
      <c r="DY597" s="229"/>
      <c r="DZ597" s="229"/>
      <c r="EA597" s="229"/>
      <c r="EB597" s="229"/>
      <c r="EC597" s="229"/>
      <c r="ED597" s="229"/>
      <c r="EE597" s="229"/>
      <c r="EF597" s="228">
        <f t="shared" si="1939"/>
        <v>0</v>
      </c>
      <c r="EG597" s="228">
        <f t="shared" si="1838"/>
        <v>0</v>
      </c>
      <c r="EH597" s="229">
        <f t="shared" si="1940"/>
        <v>41.67</v>
      </c>
      <c r="EI597" s="229">
        <v>182.48</v>
      </c>
      <c r="EJ597" s="228">
        <f t="shared" si="1900"/>
        <v>224.14999999999998</v>
      </c>
      <c r="EK597" s="229"/>
      <c r="EL597" s="229"/>
      <c r="EM597" s="228">
        <f t="shared" si="1976"/>
        <v>0</v>
      </c>
      <c r="EN597" s="229">
        <f t="shared" si="1894"/>
        <v>41.67</v>
      </c>
      <c r="EO597" s="229">
        <f t="shared" ref="EO597:EO647" si="1983">EI597</f>
        <v>182.48</v>
      </c>
      <c r="EP597" s="228">
        <f t="shared" si="1964"/>
        <v>224.14999999999998</v>
      </c>
      <c r="EQ597" s="173">
        <f t="shared" si="1934"/>
        <v>0</v>
      </c>
      <c r="ER597" s="189">
        <v>0</v>
      </c>
      <c r="ES597" s="189">
        <v>50</v>
      </c>
      <c r="ET597" s="189">
        <v>20.100000000000001</v>
      </c>
      <c r="EU597" s="189">
        <v>93.8</v>
      </c>
      <c r="EV597" s="189">
        <v>0</v>
      </c>
      <c r="EW597" s="189">
        <v>238.5</v>
      </c>
      <c r="EX597" s="189">
        <v>0</v>
      </c>
      <c r="EY597" s="189">
        <v>0</v>
      </c>
      <c r="EZ597" s="189">
        <v>0</v>
      </c>
      <c r="FA597" s="189">
        <v>0</v>
      </c>
      <c r="FB597" s="189">
        <v>0</v>
      </c>
      <c r="FC597" s="189">
        <v>80</v>
      </c>
      <c r="FD597" s="189">
        <v>0</v>
      </c>
      <c r="FE597" s="189">
        <v>0</v>
      </c>
      <c r="FF597" s="189">
        <v>0</v>
      </c>
      <c r="FG597" s="189">
        <v>0</v>
      </c>
      <c r="FH597" s="189">
        <v>0</v>
      </c>
      <c r="FI597" s="189">
        <v>0</v>
      </c>
      <c r="FJ597" s="189">
        <v>0</v>
      </c>
      <c r="FK597" s="189">
        <v>482.4</v>
      </c>
      <c r="FL597" s="189">
        <v>395.8</v>
      </c>
      <c r="FN597" s="132">
        <v>41.67</v>
      </c>
    </row>
    <row r="598" spans="1:170" ht="23.25" customHeight="1">
      <c r="A598" s="88">
        <f>COUNTIF($H$12:H598,H598)</f>
        <v>51</v>
      </c>
      <c r="B598" s="88" t="s">
        <v>775</v>
      </c>
      <c r="C598" s="88" t="s">
        <v>1366</v>
      </c>
      <c r="D598" s="88"/>
      <c r="E598" s="88"/>
      <c r="F598" s="301" t="s">
        <v>817</v>
      </c>
      <c r="G598" s="303" t="s">
        <v>1177</v>
      </c>
      <c r="H598" s="88">
        <v>11</v>
      </c>
      <c r="I598" s="88">
        <v>11</v>
      </c>
      <c r="J598" s="88">
        <v>11</v>
      </c>
      <c r="K598" s="90" t="s">
        <v>1665</v>
      </c>
      <c r="L598" s="90" t="s">
        <v>1665</v>
      </c>
      <c r="M598" s="214"/>
      <c r="N598" s="88" t="s">
        <v>605</v>
      </c>
      <c r="O598" s="216">
        <f t="shared" si="1962"/>
        <v>6.2</v>
      </c>
      <c r="P598" s="88" t="str">
        <f t="shared" si="1785"/>
        <v>B1_6</v>
      </c>
      <c r="Q598" s="88">
        <f t="shared" si="1935"/>
        <v>270</v>
      </c>
      <c r="R598" s="88">
        <f t="shared" si="1936"/>
        <v>170</v>
      </c>
      <c r="S598" s="218" t="s">
        <v>2004</v>
      </c>
      <c r="T598" s="219" t="s">
        <v>3090</v>
      </c>
      <c r="U598" s="88">
        <f>IF(RIGHT(T598,1)="K",(VLOOKUP(T598,ma_miengiam!$A$3:$B$80,2,0)*100)/2,VLOOKUP(T598,ma_miengiam!$A$3:$B$80,2,0)*100)</f>
        <v>15</v>
      </c>
      <c r="V598" s="88"/>
      <c r="W598" s="220">
        <f>IF(AND(T598="NTS",V598&gt;0),(Q598-(Q598*V598)/12)*VLOOKUP(T598,ma_miengiam!$A$3:$B$80,2,0)+(Q598-(Q598*(12-V598))/12),IF(AND(RIGHT(T598,1)="K",V598&gt;0),(VLOOKUP(T598,ma_miengiam!$A$3:$B$80,2,0)/2)*(Q598*V598)/12,IF(RIGHT(T598,1)="K",(VLOOKUP(T598,ma_miengiam!$A$3:$B$80,2,0)*Q598)/2,IF(V598&gt;0,VLOOKUP(T598,ma_miengiam!$A$3:$B$80,2,0)*Q598*V598/12,VLOOKUP(T598,ma_miengiam!$A$3:$B$80,2,0)*Q598))))</f>
        <v>40.5</v>
      </c>
      <c r="X598" s="220">
        <f>IF(T598="NTS",VLOOKUP(T598,ma_miengiam!$A$3:$B$80,2,0)*R598*V598,IF(AND(T598="NTS",V598=0),0,IF(AND(LEFT(T598,1)="K",V598=0),VLOOKUP(T598,ma_miengiam!$A$3:$B$80,2,0)*R598,IF(LEFT(T598,1)="K",(VLOOKUP(T598,ma_miengiam!$A$3:$B$80,2,0)*R598/12)*V598,IF(AND(LEFT(T598,1)="S",V598&gt;0),(R598/12)*V598,IF(AND(LEFT(T598,1)="S",V598=0),R598,IF(T598="DH",VLOOKUP(T598,ma_miengiam!$A$3:$B$80,2,0)*R598,0)))))))</f>
        <v>0</v>
      </c>
      <c r="Y598" s="220">
        <f t="shared" si="1963"/>
        <v>229.5</v>
      </c>
      <c r="Z598" s="220">
        <f>IF(AND(T598="SĐH",V598&gt;0),(R598/12)*V598-X598,IF(AND(T598="DH",V598&gt;0),(R598*V598/12),IF(AND(T598&lt;&gt;"NTS",V598&gt;0),(R598*V598/12)-X598,IF(AND(T598="NTS",V598&gt;0),R598-X598,R598-X598))))</f>
        <v>170</v>
      </c>
      <c r="AA598" s="220">
        <f>Q598</f>
        <v>270</v>
      </c>
      <c r="AB598" s="220">
        <f>R598</f>
        <v>170</v>
      </c>
      <c r="AC598" s="220">
        <f>W598</f>
        <v>40.5</v>
      </c>
      <c r="AD598" s="220">
        <f>X598</f>
        <v>0</v>
      </c>
      <c r="AE598" s="220">
        <f>Y598</f>
        <v>229.5</v>
      </c>
      <c r="AF598" s="220">
        <f>Z598</f>
        <v>170</v>
      </c>
      <c r="AG598" s="220">
        <f>AH598+AI598</f>
        <v>173.51</v>
      </c>
      <c r="AH598" s="220">
        <f>EO598</f>
        <v>88.51</v>
      </c>
      <c r="AI598" s="220">
        <f>EN598</f>
        <v>85</v>
      </c>
      <c r="AJ598" s="220">
        <f>IF(AG598-Z598&gt;0,0,AG598-Z598)</f>
        <v>0</v>
      </c>
      <c r="AK598" s="216">
        <f t="shared" si="1812"/>
        <v>229.5</v>
      </c>
      <c r="AL598" s="220">
        <f t="shared" si="1819"/>
        <v>287.8</v>
      </c>
      <c r="AM598" s="220">
        <f t="shared" si="1820"/>
        <v>112.10000000000001</v>
      </c>
      <c r="AN598" s="221">
        <f t="shared" si="1821"/>
        <v>399.90000000000003</v>
      </c>
      <c r="AO598" s="220">
        <f t="shared" si="1822"/>
        <v>0</v>
      </c>
      <c r="AP598" s="220">
        <f t="shared" si="1823"/>
        <v>0</v>
      </c>
      <c r="AQ598" s="220">
        <f t="shared" si="1824"/>
        <v>20</v>
      </c>
      <c r="AR598" s="220">
        <f t="shared" si="1825"/>
        <v>400</v>
      </c>
      <c r="AS598" s="220">
        <f t="shared" si="1826"/>
        <v>30</v>
      </c>
      <c r="AT598" s="216">
        <f t="shared" si="1827"/>
        <v>849.90000000000009</v>
      </c>
      <c r="AU598" s="222">
        <f t="shared" si="1982"/>
        <v>170.40000000000003</v>
      </c>
      <c r="AV598" s="220"/>
      <c r="AW598" s="220">
        <f t="shared" si="1856"/>
        <v>170.40000000000003</v>
      </c>
      <c r="AX598" s="216">
        <f t="shared" si="1811"/>
        <v>0</v>
      </c>
      <c r="AY598" s="220">
        <f t="shared" si="1866"/>
        <v>0</v>
      </c>
      <c r="AZ598" s="220">
        <f t="shared" si="1867"/>
        <v>0</v>
      </c>
      <c r="BA598" s="220">
        <f t="shared" si="1868"/>
        <v>20</v>
      </c>
      <c r="BB598" s="220">
        <f t="shared" si="1869"/>
        <v>400</v>
      </c>
      <c r="BC598" s="220">
        <f t="shared" si="1870"/>
        <v>30</v>
      </c>
      <c r="BD598" s="216">
        <f t="shared" si="1778"/>
        <v>450</v>
      </c>
      <c r="BE598" s="220">
        <f t="shared" si="1857"/>
        <v>0</v>
      </c>
      <c r="BF598" s="220">
        <f t="shared" si="1858"/>
        <v>0</v>
      </c>
      <c r="BG598" s="220">
        <f t="shared" si="1859"/>
        <v>0</v>
      </c>
      <c r="BH598" s="220">
        <f t="shared" si="1860"/>
        <v>0</v>
      </c>
      <c r="BI598" s="220">
        <f t="shared" si="1861"/>
        <v>0</v>
      </c>
      <c r="BJ598" s="220" t="s">
        <v>1919</v>
      </c>
      <c r="BK598" s="220"/>
      <c r="BL598" s="223">
        <f t="shared" si="1784"/>
        <v>170.40000000000003</v>
      </c>
      <c r="BM598" s="220">
        <v>6.2</v>
      </c>
      <c r="BN598" s="220"/>
      <c r="BO598" s="220">
        <f t="shared" si="1967"/>
        <v>6.2</v>
      </c>
      <c r="BP598" s="220">
        <f>IF(AND(BL598&gt;0,BL598&lt;tiet!$D$1),BL598,IF(BL598&lt;=0,0,IF(BL598&gt;tiet!$C$1,tiet!$C$1)))</f>
        <v>170.40000000000003</v>
      </c>
      <c r="BQ598" s="87">
        <f>VLOOKUP(P598,ma_dinhmuc_moi,4,0)</f>
        <v>75000</v>
      </c>
      <c r="BR598" s="224">
        <f>ROUND(BQ598*BP598,0)</f>
        <v>12780000</v>
      </c>
      <c r="BS598" s="220">
        <f t="shared" si="1933"/>
        <v>0</v>
      </c>
      <c r="BT598" s="224">
        <f>VLOOKUP(N598,ma_dinhmuc!$A$1:$J$31,10,0)</f>
        <v>65000</v>
      </c>
      <c r="BU598" s="224">
        <f>ROUND(IF(BS598&gt;0,VLOOKUP(N598,ma_dinhmuc!$A$1:$J$31,10,0)*BS598,0),0)</f>
        <v>0</v>
      </c>
      <c r="BV598" s="224">
        <f>ROUND(BU598+BR598,0)</f>
        <v>12780000</v>
      </c>
      <c r="BW598" s="224"/>
      <c r="BX598" s="224">
        <v>0</v>
      </c>
      <c r="BY598" s="224"/>
      <c r="BZ598" s="224"/>
      <c r="CA598" s="224"/>
      <c r="CB598" s="224"/>
      <c r="CC598" s="225">
        <f>ROUND(IF(BV598+BW598&gt;BX598+BY598+BZ598+CA598+CB598,(BW598+BV598)-(BX598+BY598+BZ598+CA598+CB598+CB598),0),0)</f>
        <v>12780000</v>
      </c>
      <c r="CD598" s="224">
        <f>ROUND(IF(BV598+BW598&lt;BX598+BY598+BZ598+CA598-CB598,(BX598+BY598+BZ598+CA598-CB598)-(BW598+BV598),0),0)</f>
        <v>0</v>
      </c>
      <c r="CE598" s="224"/>
      <c r="CF598" s="226"/>
      <c r="CG598" s="87"/>
      <c r="CH598" s="87">
        <f>A598</f>
        <v>51</v>
      </c>
      <c r="CI598" s="227" t="str">
        <f>F598</f>
        <v>Bùi Thị</v>
      </c>
      <c r="CJ598" s="227" t="str">
        <f>G598</f>
        <v>Nga</v>
      </c>
      <c r="CK598" s="87">
        <f>H598</f>
        <v>11</v>
      </c>
      <c r="CL598" s="227" t="str">
        <f t="shared" si="1974"/>
        <v>Quản trị kinh doanh</v>
      </c>
      <c r="CM598" s="87" t="str">
        <f t="shared" si="1862"/>
        <v>CS4</v>
      </c>
      <c r="CN598" s="87">
        <f t="shared" ref="CN598:CO600" si="1984">Q598</f>
        <v>270</v>
      </c>
      <c r="CO598" s="87">
        <f t="shared" si="1984"/>
        <v>170</v>
      </c>
      <c r="CP598" s="229">
        <f t="shared" si="1943"/>
        <v>0</v>
      </c>
      <c r="CQ598" s="229">
        <f t="shared" si="1944"/>
        <v>36.5</v>
      </c>
      <c r="CR598" s="229">
        <f t="shared" si="1945"/>
        <v>14.7</v>
      </c>
      <c r="CS598" s="229">
        <f t="shared" si="1946"/>
        <v>0</v>
      </c>
      <c r="CT598" s="229">
        <f t="shared" si="1947"/>
        <v>0</v>
      </c>
      <c r="CU598" s="229">
        <f t="shared" si="1948"/>
        <v>236.6</v>
      </c>
      <c r="CV598" s="229">
        <f t="shared" si="1949"/>
        <v>0</v>
      </c>
      <c r="CW598" s="229">
        <f t="shared" si="1950"/>
        <v>0</v>
      </c>
      <c r="CX598" s="229">
        <f t="shared" si="1951"/>
        <v>0</v>
      </c>
      <c r="CY598" s="229">
        <f t="shared" si="1952"/>
        <v>0</v>
      </c>
      <c r="CZ598" s="229">
        <f t="shared" si="1953"/>
        <v>0</v>
      </c>
      <c r="DA598" s="229">
        <f t="shared" si="1954"/>
        <v>20</v>
      </c>
      <c r="DB598" s="228">
        <f t="shared" si="1834"/>
        <v>307.8</v>
      </c>
      <c r="DC598" s="229"/>
      <c r="DD598" s="229"/>
      <c r="DE598" s="229"/>
      <c r="DF598" s="229"/>
      <c r="DG598" s="229"/>
      <c r="DH598" s="229"/>
      <c r="DI598" s="229"/>
      <c r="DJ598" s="229"/>
      <c r="DK598" s="229"/>
      <c r="DL598" s="229"/>
      <c r="DM598" s="229"/>
      <c r="DN598" s="229"/>
      <c r="DO598" s="228">
        <f t="shared" si="1835"/>
        <v>0</v>
      </c>
      <c r="DP598" s="228">
        <f t="shared" si="1836"/>
        <v>307.8</v>
      </c>
      <c r="DQ598" s="229">
        <f t="shared" si="1955"/>
        <v>108</v>
      </c>
      <c r="DR598" s="229">
        <f t="shared" si="1956"/>
        <v>2.9</v>
      </c>
      <c r="DS598" s="229">
        <f t="shared" si="1957"/>
        <v>0</v>
      </c>
      <c r="DT598" s="229">
        <f t="shared" si="1958"/>
        <v>1.2</v>
      </c>
      <c r="DU598" s="229">
        <f t="shared" si="1959"/>
        <v>0</v>
      </c>
      <c r="DV598" s="229">
        <f t="shared" si="1960"/>
        <v>400</v>
      </c>
      <c r="DW598" s="229">
        <f t="shared" si="1961"/>
        <v>30</v>
      </c>
      <c r="DX598" s="228">
        <f t="shared" si="1837"/>
        <v>542.1</v>
      </c>
      <c r="DY598" s="229"/>
      <c r="DZ598" s="229"/>
      <c r="EA598" s="229"/>
      <c r="EB598" s="229"/>
      <c r="EC598" s="229"/>
      <c r="ED598" s="229"/>
      <c r="EE598" s="229"/>
      <c r="EF598" s="228">
        <f t="shared" si="1939"/>
        <v>0</v>
      </c>
      <c r="EG598" s="228">
        <f t="shared" si="1838"/>
        <v>542.1</v>
      </c>
      <c r="EH598" s="229">
        <f t="shared" si="1940"/>
        <v>85</v>
      </c>
      <c r="EI598" s="229">
        <v>88.51</v>
      </c>
      <c r="EJ598" s="228">
        <f t="shared" si="1900"/>
        <v>173.51</v>
      </c>
      <c r="EK598" s="229"/>
      <c r="EL598" s="229"/>
      <c r="EM598" s="228">
        <f>SUM(EK598:EL598)</f>
        <v>0</v>
      </c>
      <c r="EN598" s="229">
        <f t="shared" si="1894"/>
        <v>85</v>
      </c>
      <c r="EO598" s="229">
        <f t="shared" si="1983"/>
        <v>88.51</v>
      </c>
      <c r="EP598" s="228">
        <f>EM598+EJ598</f>
        <v>173.51</v>
      </c>
      <c r="EQ598" s="173">
        <f t="shared" si="1934"/>
        <v>0</v>
      </c>
      <c r="ER598" s="189">
        <v>0</v>
      </c>
      <c r="ES598" s="189">
        <v>36.5</v>
      </c>
      <c r="ET598" s="189">
        <v>14.7</v>
      </c>
      <c r="EU598" s="189">
        <v>0</v>
      </c>
      <c r="EV598" s="189">
        <v>0</v>
      </c>
      <c r="EW598" s="189">
        <v>236.6</v>
      </c>
      <c r="EX598" s="189">
        <v>0</v>
      </c>
      <c r="EY598" s="189">
        <v>0</v>
      </c>
      <c r="EZ598" s="189">
        <v>0</v>
      </c>
      <c r="FA598" s="189">
        <v>0</v>
      </c>
      <c r="FB598" s="189">
        <v>0</v>
      </c>
      <c r="FC598" s="189">
        <v>20</v>
      </c>
      <c r="FD598" s="189">
        <v>108</v>
      </c>
      <c r="FE598" s="189">
        <v>2.9</v>
      </c>
      <c r="FF598" s="189">
        <v>0</v>
      </c>
      <c r="FG598" s="189">
        <v>1.2</v>
      </c>
      <c r="FH598" s="189">
        <v>400</v>
      </c>
      <c r="FI598" s="189">
        <v>0</v>
      </c>
      <c r="FJ598" s="189">
        <v>30</v>
      </c>
      <c r="FK598" s="189">
        <v>849.9</v>
      </c>
      <c r="FL598" s="189">
        <v>704</v>
      </c>
      <c r="FN598" s="132">
        <v>85</v>
      </c>
    </row>
    <row r="599" spans="1:170" ht="30" customHeight="1">
      <c r="A599" s="88">
        <f>COUNTIF($H$12:H599,H599)</f>
        <v>52</v>
      </c>
      <c r="B599" s="88" t="s">
        <v>776</v>
      </c>
      <c r="C599" s="88" t="s">
        <v>1367</v>
      </c>
      <c r="D599" s="88"/>
      <c r="E599" s="88"/>
      <c r="F599" s="301" t="s">
        <v>915</v>
      </c>
      <c r="G599" s="303" t="s">
        <v>2085</v>
      </c>
      <c r="H599" s="88">
        <v>11</v>
      </c>
      <c r="I599" s="88">
        <v>11</v>
      </c>
      <c r="J599" s="88">
        <v>11</v>
      </c>
      <c r="K599" s="90" t="s">
        <v>1665</v>
      </c>
      <c r="L599" s="90" t="s">
        <v>1665</v>
      </c>
      <c r="M599" s="214"/>
      <c r="N599" s="88" t="s">
        <v>1804</v>
      </c>
      <c r="O599" s="216">
        <f t="shared" si="1962"/>
        <v>3.99</v>
      </c>
      <c r="P599" s="88" t="str">
        <f t="shared" si="1785"/>
        <v>B1_4</v>
      </c>
      <c r="Q599" s="88">
        <f t="shared" si="1935"/>
        <v>270</v>
      </c>
      <c r="R599" s="88">
        <f t="shared" si="1936"/>
        <v>120</v>
      </c>
      <c r="S599" s="231"/>
      <c r="T599" s="88" t="s">
        <v>3088</v>
      </c>
      <c r="U599" s="88">
        <f>IF(RIGHT(T599,1)="K",(VLOOKUP(T599,ma_miengiam!$A$3:$B$80,2,0)*100)/2,VLOOKUP(T599,ma_miengiam!$A$3:$B$80,2,0)*100)</f>
        <v>0</v>
      </c>
      <c r="V599" s="88"/>
      <c r="W599" s="220">
        <f>IF(AND(T599="NTS",V599&gt;0),(Q599-(Q599*V599)/12)*VLOOKUP(T599,ma_miengiam!$A$3:$B$80,2,0)+(Q599-(Q599*(12-V599))/12),IF(AND(RIGHT(T599,1)="K",V599&gt;0),(VLOOKUP(T599,ma_miengiam!$A$3:$B$80,2,0)/2)*(Q599*V599)/12,IF(RIGHT(T599,1)="K",(VLOOKUP(T599,ma_miengiam!$A$3:$B$80,2,0)*Q599)/2,IF(V599&gt;0,VLOOKUP(T599,ma_miengiam!$A$3:$B$80,2,0)*Q599*V599/12,VLOOKUP(T599,ma_miengiam!$A$3:$B$80,2,0)*Q599))))</f>
        <v>0</v>
      </c>
      <c r="X599" s="220">
        <f>IF(T599="NTS",VLOOKUP(T599,ma_miengiam!$A$3:$B$80,2,0)*R599*V599,IF(AND(T599="NTS",V599=0),0,IF(AND(LEFT(T599,1)="K",V599=0),VLOOKUP(T599,ma_miengiam!$A$3:$B$80,2,0)*R599,IF(LEFT(T599,1)="K",(VLOOKUP(T599,ma_miengiam!$A$3:$B$80,2,0)*R599/12)*V599,IF(AND(LEFT(T599,1)="S",V599&gt;0),(R599/12)*V599,IF(AND(LEFT(T599,1)="S",V599=0),R599,IF(T599="DH",VLOOKUP(T599,ma_miengiam!$A$3:$B$80,2,0)*R599,0)))))))</f>
        <v>0</v>
      </c>
      <c r="Y599" s="220">
        <f t="shared" si="1963"/>
        <v>270</v>
      </c>
      <c r="Z599" s="220">
        <f t="shared" si="1966"/>
        <v>120</v>
      </c>
      <c r="AA599" s="220">
        <f t="shared" si="1977"/>
        <v>270</v>
      </c>
      <c r="AB599" s="220">
        <f t="shared" si="1977"/>
        <v>120</v>
      </c>
      <c r="AC599" s="220">
        <f t="shared" si="1978"/>
        <v>0</v>
      </c>
      <c r="AD599" s="220">
        <f t="shared" si="1978"/>
        <v>0</v>
      </c>
      <c r="AE599" s="220">
        <f t="shared" si="1978"/>
        <v>270</v>
      </c>
      <c r="AF599" s="220">
        <f t="shared" si="1978"/>
        <v>120</v>
      </c>
      <c r="AG599" s="220">
        <f t="shared" si="1979"/>
        <v>87.5</v>
      </c>
      <c r="AH599" s="220">
        <f t="shared" si="1980"/>
        <v>87.5</v>
      </c>
      <c r="AI599" s="220">
        <f t="shared" si="1981"/>
        <v>0</v>
      </c>
      <c r="AJ599" s="220">
        <f t="shared" si="1902"/>
        <v>-32.5</v>
      </c>
      <c r="AK599" s="216">
        <f t="shared" si="1812"/>
        <v>302.5</v>
      </c>
      <c r="AL599" s="220">
        <f t="shared" si="1819"/>
        <v>394.6</v>
      </c>
      <c r="AM599" s="220">
        <f t="shared" si="1820"/>
        <v>0</v>
      </c>
      <c r="AN599" s="216">
        <f t="shared" si="1821"/>
        <v>394.6</v>
      </c>
      <c r="AO599" s="220">
        <f t="shared" si="1822"/>
        <v>0</v>
      </c>
      <c r="AP599" s="220">
        <f t="shared" si="1823"/>
        <v>0</v>
      </c>
      <c r="AQ599" s="220">
        <f t="shared" si="1824"/>
        <v>60</v>
      </c>
      <c r="AR599" s="220">
        <f t="shared" si="1825"/>
        <v>0</v>
      </c>
      <c r="AS599" s="220">
        <f t="shared" si="1826"/>
        <v>0</v>
      </c>
      <c r="AT599" s="216">
        <f t="shared" si="1827"/>
        <v>454.6</v>
      </c>
      <c r="AU599" s="220">
        <f t="shared" si="1982"/>
        <v>92.100000000000023</v>
      </c>
      <c r="AV599" s="220"/>
      <c r="AW599" s="220">
        <f t="shared" si="1856"/>
        <v>92.100000000000023</v>
      </c>
      <c r="AX599" s="216">
        <f t="shared" si="1811"/>
        <v>0</v>
      </c>
      <c r="AY599" s="220">
        <f t="shared" si="1866"/>
        <v>0</v>
      </c>
      <c r="AZ599" s="220">
        <f t="shared" si="1867"/>
        <v>0</v>
      </c>
      <c r="BA599" s="220">
        <f t="shared" si="1868"/>
        <v>60</v>
      </c>
      <c r="BB599" s="220">
        <f t="shared" si="1869"/>
        <v>0</v>
      </c>
      <c r="BC599" s="220">
        <f t="shared" si="1870"/>
        <v>0</v>
      </c>
      <c r="BD599" s="216">
        <f t="shared" si="1778"/>
        <v>60</v>
      </c>
      <c r="BE599" s="220">
        <f t="shared" si="1857"/>
        <v>0</v>
      </c>
      <c r="BF599" s="220">
        <f t="shared" si="1858"/>
        <v>0</v>
      </c>
      <c r="BG599" s="220">
        <f t="shared" si="1859"/>
        <v>0</v>
      </c>
      <c r="BH599" s="220">
        <f t="shared" si="1860"/>
        <v>0</v>
      </c>
      <c r="BI599" s="220">
        <f t="shared" si="1861"/>
        <v>0</v>
      </c>
      <c r="BJ599" s="220" t="s">
        <v>1919</v>
      </c>
      <c r="BK599" s="220"/>
      <c r="BL599" s="223">
        <f t="shared" si="1784"/>
        <v>92.100000000000023</v>
      </c>
      <c r="BM599" s="220">
        <v>3.99</v>
      </c>
      <c r="BN599" s="220"/>
      <c r="BO599" s="220">
        <f t="shared" si="1967"/>
        <v>3.99</v>
      </c>
      <c r="BP599" s="220">
        <f>IF(AND(BL599&gt;0,BL599&lt;tiet!$D$1),BL599,IF(BL599&lt;=0,0,IF(BL599&gt;tiet!$C$1,tiet!$C$1)))</f>
        <v>92.100000000000023</v>
      </c>
      <c r="BQ599" s="87">
        <f t="shared" si="1903"/>
        <v>65000</v>
      </c>
      <c r="BR599" s="224">
        <f t="shared" si="1904"/>
        <v>5986500</v>
      </c>
      <c r="BS599" s="220">
        <f t="shared" si="1933"/>
        <v>0</v>
      </c>
      <c r="BT599" s="224">
        <f>VLOOKUP(N599,ma_dinhmuc!$A$1:$J$31,10,0)</f>
        <v>51000</v>
      </c>
      <c r="BU599" s="224">
        <f>ROUND(IF(BS599&gt;0,VLOOKUP(N599,ma_dinhmuc!$A$1:$J$31,10,0)*BS599,0),0)</f>
        <v>0</v>
      </c>
      <c r="BV599" s="224">
        <f t="shared" si="1905"/>
        <v>5986500</v>
      </c>
      <c r="BW599" s="224"/>
      <c r="BX599" s="224">
        <v>0</v>
      </c>
      <c r="BY599" s="224"/>
      <c r="BZ599" s="224"/>
      <c r="CA599" s="224"/>
      <c r="CB599" s="224"/>
      <c r="CC599" s="225">
        <f t="shared" si="1968"/>
        <v>5986500</v>
      </c>
      <c r="CD599" s="224">
        <f t="shared" si="1969"/>
        <v>0</v>
      </c>
      <c r="CE599" s="224"/>
      <c r="CF599" s="226"/>
      <c r="CG599" s="87"/>
      <c r="CH599" s="87">
        <f t="shared" si="1970"/>
        <v>52</v>
      </c>
      <c r="CI599" s="227" t="str">
        <f t="shared" si="1971"/>
        <v>Lê Thị Kim</v>
      </c>
      <c r="CJ599" s="227" t="str">
        <f t="shared" si="1972"/>
        <v>Oanh</v>
      </c>
      <c r="CK599" s="87">
        <f t="shared" si="1973"/>
        <v>11</v>
      </c>
      <c r="CL599" s="227" t="str">
        <f t="shared" si="1974"/>
        <v>Quản trị kinh doanh</v>
      </c>
      <c r="CM599" s="87" t="str">
        <f t="shared" si="1862"/>
        <v>CS2</v>
      </c>
      <c r="CN599" s="87">
        <f t="shared" si="1984"/>
        <v>270</v>
      </c>
      <c r="CO599" s="87">
        <f t="shared" si="1984"/>
        <v>120</v>
      </c>
      <c r="CP599" s="229">
        <f t="shared" si="1943"/>
        <v>0</v>
      </c>
      <c r="CQ599" s="229">
        <f t="shared" si="1944"/>
        <v>73.2</v>
      </c>
      <c r="CR599" s="229">
        <f t="shared" si="1945"/>
        <v>29.4</v>
      </c>
      <c r="CS599" s="229">
        <f t="shared" si="1946"/>
        <v>0</v>
      </c>
      <c r="CT599" s="229">
        <f t="shared" si="1947"/>
        <v>0</v>
      </c>
      <c r="CU599" s="229">
        <f t="shared" si="1948"/>
        <v>292</v>
      </c>
      <c r="CV599" s="229">
        <f t="shared" si="1949"/>
        <v>0</v>
      </c>
      <c r="CW599" s="229">
        <f t="shared" si="1950"/>
        <v>0</v>
      </c>
      <c r="CX599" s="229">
        <f t="shared" si="1951"/>
        <v>0</v>
      </c>
      <c r="CY599" s="229">
        <f t="shared" si="1952"/>
        <v>0</v>
      </c>
      <c r="CZ599" s="229">
        <f t="shared" si="1953"/>
        <v>0</v>
      </c>
      <c r="DA599" s="229">
        <f t="shared" si="1954"/>
        <v>60</v>
      </c>
      <c r="DB599" s="228">
        <f t="shared" si="1834"/>
        <v>454.6</v>
      </c>
      <c r="DC599" s="229"/>
      <c r="DD599" s="229"/>
      <c r="DE599" s="229"/>
      <c r="DF599" s="229"/>
      <c r="DG599" s="229"/>
      <c r="DH599" s="229"/>
      <c r="DI599" s="229"/>
      <c r="DJ599" s="229"/>
      <c r="DK599" s="229"/>
      <c r="DL599" s="229"/>
      <c r="DM599" s="229"/>
      <c r="DN599" s="229"/>
      <c r="DO599" s="228">
        <f t="shared" si="1835"/>
        <v>0</v>
      </c>
      <c r="DP599" s="228">
        <f t="shared" si="1836"/>
        <v>454.6</v>
      </c>
      <c r="DQ599" s="229">
        <f t="shared" si="1955"/>
        <v>0</v>
      </c>
      <c r="DR599" s="229">
        <f t="shared" si="1956"/>
        <v>0</v>
      </c>
      <c r="DS599" s="229">
        <f t="shared" si="1957"/>
        <v>0</v>
      </c>
      <c r="DT599" s="229">
        <f t="shared" si="1958"/>
        <v>0</v>
      </c>
      <c r="DU599" s="229">
        <f t="shared" si="1959"/>
        <v>0</v>
      </c>
      <c r="DV599" s="229">
        <f t="shared" si="1960"/>
        <v>0</v>
      </c>
      <c r="DW599" s="229">
        <f t="shared" si="1961"/>
        <v>0</v>
      </c>
      <c r="DX599" s="228">
        <f t="shared" si="1837"/>
        <v>0</v>
      </c>
      <c r="DY599" s="229"/>
      <c r="DZ599" s="229"/>
      <c r="EA599" s="229"/>
      <c r="EB599" s="229"/>
      <c r="EC599" s="229"/>
      <c r="ED599" s="229"/>
      <c r="EE599" s="229"/>
      <c r="EF599" s="228">
        <f t="shared" si="1939"/>
        <v>0</v>
      </c>
      <c r="EG599" s="228">
        <f t="shared" si="1838"/>
        <v>0</v>
      </c>
      <c r="EH599" s="229">
        <f t="shared" si="1940"/>
        <v>0</v>
      </c>
      <c r="EI599" s="229">
        <v>87.5</v>
      </c>
      <c r="EJ599" s="228">
        <f t="shared" si="1900"/>
        <v>87.5</v>
      </c>
      <c r="EK599" s="229"/>
      <c r="EL599" s="229"/>
      <c r="EM599" s="228">
        <f t="shared" si="1976"/>
        <v>0</v>
      </c>
      <c r="EN599" s="229">
        <f t="shared" si="1894"/>
        <v>0</v>
      </c>
      <c r="EO599" s="229">
        <f t="shared" si="1983"/>
        <v>87.5</v>
      </c>
      <c r="EP599" s="228">
        <f t="shared" si="1964"/>
        <v>87.5</v>
      </c>
      <c r="EQ599" s="173">
        <f t="shared" si="1934"/>
        <v>0</v>
      </c>
      <c r="ER599" s="189">
        <v>0</v>
      </c>
      <c r="ES599" s="189">
        <v>73.2</v>
      </c>
      <c r="ET599" s="189">
        <v>29.4</v>
      </c>
      <c r="EU599" s="189">
        <v>0</v>
      </c>
      <c r="EV599" s="189">
        <v>0</v>
      </c>
      <c r="EW599" s="189">
        <v>292</v>
      </c>
      <c r="EX599" s="189">
        <v>0</v>
      </c>
      <c r="EY599" s="189">
        <v>0</v>
      </c>
      <c r="EZ599" s="189">
        <v>0</v>
      </c>
      <c r="FA599" s="189">
        <v>0</v>
      </c>
      <c r="FB599" s="189">
        <v>0</v>
      </c>
      <c r="FC599" s="189">
        <v>60</v>
      </c>
      <c r="FD599" s="189">
        <v>0</v>
      </c>
      <c r="FE599" s="189">
        <v>0</v>
      </c>
      <c r="FF599" s="189">
        <v>0</v>
      </c>
      <c r="FG599" s="189">
        <v>0</v>
      </c>
      <c r="FH599" s="189">
        <v>0</v>
      </c>
      <c r="FI599" s="189">
        <v>0</v>
      </c>
      <c r="FJ599" s="189">
        <v>0</v>
      </c>
      <c r="FK599" s="189">
        <v>454.6</v>
      </c>
      <c r="FL599" s="189">
        <v>299</v>
      </c>
      <c r="FN599" s="132">
        <v>0</v>
      </c>
    </row>
    <row r="600" spans="1:170" ht="30.75" customHeight="1">
      <c r="A600" s="88">
        <f>COUNTIF($H$12:H600,H600)</f>
        <v>53</v>
      </c>
      <c r="B600" s="88" t="s">
        <v>777</v>
      </c>
      <c r="C600" s="88" t="s">
        <v>1368</v>
      </c>
      <c r="D600" s="88"/>
      <c r="E600" s="88"/>
      <c r="F600" s="301" t="s">
        <v>3044</v>
      </c>
      <c r="G600" s="89" t="s">
        <v>3045</v>
      </c>
      <c r="H600" s="88">
        <v>11</v>
      </c>
      <c r="I600" s="88">
        <v>11</v>
      </c>
      <c r="J600" s="88">
        <v>11</v>
      </c>
      <c r="K600" s="90" t="s">
        <v>1665</v>
      </c>
      <c r="L600" s="90" t="s">
        <v>1665</v>
      </c>
      <c r="M600" s="214"/>
      <c r="N600" s="88" t="s">
        <v>1804</v>
      </c>
      <c r="O600" s="216">
        <f t="shared" si="1962"/>
        <v>4.32</v>
      </c>
      <c r="P600" s="88" t="str">
        <f t="shared" si="1785"/>
        <v>B1_4</v>
      </c>
      <c r="Q600" s="88">
        <f t="shared" si="1935"/>
        <v>270</v>
      </c>
      <c r="R600" s="88">
        <f t="shared" si="1936"/>
        <v>120</v>
      </c>
      <c r="S600" s="230" t="s">
        <v>2031</v>
      </c>
      <c r="T600" s="88" t="s">
        <v>3091</v>
      </c>
      <c r="U600" s="88">
        <f>IF(RIGHT(T600,1)="K",(VLOOKUP(T600,ma_miengiam!$A$3:$B$80,2,0)*100)/2,VLOOKUP(T600,ma_miengiam!$A$3:$B$80,2,0)*100)</f>
        <v>20</v>
      </c>
      <c r="V600" s="88"/>
      <c r="W600" s="220">
        <f>IF(AND(T600="NTS",V600&gt;0),(Q600-(Q600*V600)/12)*VLOOKUP(T600,ma_miengiam!$A$3:$B$80,2,0)+(Q600-(Q600*(12-V600))/12),IF(AND(RIGHT(T600,1)="K",V600&gt;0),(VLOOKUP(T600,ma_miengiam!$A$3:$B$80,2,0)/2)*(Q600*V600)/12,IF(RIGHT(T600,1)="K",(VLOOKUP(T600,ma_miengiam!$A$3:$B$80,2,0)*Q600)/2,IF(V600&gt;0,VLOOKUP(T600,ma_miengiam!$A$3:$B$80,2,0)*Q600*V600/12,VLOOKUP(T600,ma_miengiam!$A$3:$B$80,2,0)*Q600))))</f>
        <v>54</v>
      </c>
      <c r="X600" s="220">
        <f>IF(T600="NTS",VLOOKUP(T600,ma_miengiam!$A$3:$B$80,2,0)*R600*V600,IF(AND(T600="NTS",V600=0),0,IF(AND(LEFT(T600,1)="K",V600=0),VLOOKUP(T600,ma_miengiam!$A$3:$B$80,2,0)*R600,IF(LEFT(T600,1)="K",(VLOOKUP(T600,ma_miengiam!$A$3:$B$80,2,0)*R600/12)*V600,IF(AND(LEFT(T600,1)="S",V600&gt;0),(R600/12)*V600,IF(AND(LEFT(T600,1)="S",V600=0),R600,IF(T600="DH",VLOOKUP(T600,ma_miengiam!$A$3:$B$80,2,0)*R600,0)))))))</f>
        <v>0</v>
      </c>
      <c r="Y600" s="220">
        <f t="shared" si="1963"/>
        <v>216</v>
      </c>
      <c r="Z600" s="220">
        <f t="shared" si="1966"/>
        <v>120</v>
      </c>
      <c r="AA600" s="220">
        <f>Q600</f>
        <v>270</v>
      </c>
      <c r="AB600" s="220">
        <f>R600</f>
        <v>120</v>
      </c>
      <c r="AC600" s="220">
        <f>W600</f>
        <v>54</v>
      </c>
      <c r="AD600" s="220">
        <f>X600</f>
        <v>0</v>
      </c>
      <c r="AE600" s="220">
        <f>Y600</f>
        <v>216</v>
      </c>
      <c r="AF600" s="220">
        <f>Z600</f>
        <v>120</v>
      </c>
      <c r="AG600" s="220">
        <f>AH600+AI600</f>
        <v>212.48</v>
      </c>
      <c r="AH600" s="220">
        <f>EO600</f>
        <v>62.48</v>
      </c>
      <c r="AI600" s="220">
        <f>EN600</f>
        <v>150</v>
      </c>
      <c r="AJ600" s="220">
        <f>IF(AG600-Z600&gt;0,0,AG600-Z600)</f>
        <v>0</v>
      </c>
      <c r="AK600" s="216">
        <f t="shared" si="1812"/>
        <v>216</v>
      </c>
      <c r="AL600" s="220">
        <f t="shared" si="1819"/>
        <v>313.7</v>
      </c>
      <c r="AM600" s="220">
        <f t="shared" si="1820"/>
        <v>114.1</v>
      </c>
      <c r="AN600" s="221">
        <f t="shared" si="1821"/>
        <v>427.79999999999995</v>
      </c>
      <c r="AO600" s="220">
        <f t="shared" si="1822"/>
        <v>0</v>
      </c>
      <c r="AP600" s="220">
        <f t="shared" si="1823"/>
        <v>0</v>
      </c>
      <c r="AQ600" s="220">
        <f t="shared" si="1824"/>
        <v>20</v>
      </c>
      <c r="AR600" s="220">
        <f t="shared" si="1825"/>
        <v>360</v>
      </c>
      <c r="AS600" s="220">
        <f t="shared" si="1826"/>
        <v>20</v>
      </c>
      <c r="AT600" s="216">
        <f t="shared" si="1827"/>
        <v>827.8</v>
      </c>
      <c r="AU600" s="222">
        <f t="shared" si="1982"/>
        <v>211.79999999999995</v>
      </c>
      <c r="AV600" s="220"/>
      <c r="AW600" s="220">
        <f t="shared" si="1856"/>
        <v>211.79999999999995</v>
      </c>
      <c r="AX600" s="216">
        <f t="shared" si="1811"/>
        <v>0</v>
      </c>
      <c r="AY600" s="220">
        <f t="shared" si="1866"/>
        <v>0</v>
      </c>
      <c r="AZ600" s="220">
        <f t="shared" si="1867"/>
        <v>0</v>
      </c>
      <c r="BA600" s="220">
        <f t="shared" si="1868"/>
        <v>20</v>
      </c>
      <c r="BB600" s="220">
        <f t="shared" si="1869"/>
        <v>360</v>
      </c>
      <c r="BC600" s="220">
        <f t="shared" si="1870"/>
        <v>20</v>
      </c>
      <c r="BD600" s="216">
        <f t="shared" si="1778"/>
        <v>400</v>
      </c>
      <c r="BE600" s="220">
        <f t="shared" si="1857"/>
        <v>0</v>
      </c>
      <c r="BF600" s="220">
        <f t="shared" si="1858"/>
        <v>0</v>
      </c>
      <c r="BG600" s="220">
        <f t="shared" si="1859"/>
        <v>0</v>
      </c>
      <c r="BH600" s="220">
        <f t="shared" si="1860"/>
        <v>0</v>
      </c>
      <c r="BI600" s="220">
        <f t="shared" si="1861"/>
        <v>0</v>
      </c>
      <c r="BJ600" s="220" t="s">
        <v>1919</v>
      </c>
      <c r="BK600" s="220"/>
      <c r="BL600" s="223">
        <f t="shared" si="1784"/>
        <v>211.79999999999995</v>
      </c>
      <c r="BM600" s="220">
        <v>4.32</v>
      </c>
      <c r="BN600" s="220"/>
      <c r="BO600" s="220">
        <f t="shared" si="1967"/>
        <v>4.32</v>
      </c>
      <c r="BP600" s="220">
        <f>IF(AND(BL600&gt;0,BL600&lt;tiet!$D$1),BL600,IF(BL600&lt;=0,0,IF(BL600&gt;tiet!$C$1,tiet!$C$1)))</f>
        <v>200</v>
      </c>
      <c r="BQ600" s="87">
        <f>VLOOKUP(P600,ma_dinhmuc_moi,4,0)</f>
        <v>65000</v>
      </c>
      <c r="BR600" s="224">
        <f>ROUND(BQ600*BP600,0)</f>
        <v>13000000</v>
      </c>
      <c r="BS600" s="220">
        <f t="shared" si="1933"/>
        <v>11.799999999999955</v>
      </c>
      <c r="BT600" s="224">
        <f>VLOOKUP(N600,ma_dinhmuc!$A$1:$J$31,10,0)</f>
        <v>51000</v>
      </c>
      <c r="BU600" s="224">
        <f>ROUND(IF(BS600&gt;0,VLOOKUP(N600,ma_dinhmuc!$A$1:$J$31,10,0)*BS600,0),0)</f>
        <v>601800</v>
      </c>
      <c r="BV600" s="224">
        <f>ROUND(BU600+BR600,0)</f>
        <v>13601800</v>
      </c>
      <c r="BW600" s="224"/>
      <c r="BX600" s="224">
        <v>0</v>
      </c>
      <c r="BY600" s="224"/>
      <c r="BZ600" s="224"/>
      <c r="CA600" s="224"/>
      <c r="CB600" s="224"/>
      <c r="CC600" s="225">
        <f t="shared" si="1968"/>
        <v>13601800</v>
      </c>
      <c r="CD600" s="224">
        <f t="shared" si="1969"/>
        <v>0</v>
      </c>
      <c r="CE600" s="224"/>
      <c r="CF600" s="226"/>
      <c r="CG600" s="87"/>
      <c r="CH600" s="87">
        <f t="shared" si="1970"/>
        <v>53</v>
      </c>
      <c r="CI600" s="227" t="str">
        <f t="shared" si="1971"/>
        <v>Phạm Thị Hương</v>
      </c>
      <c r="CJ600" s="227" t="str">
        <f t="shared" si="1972"/>
        <v>Dịu</v>
      </c>
      <c r="CK600" s="87">
        <f t="shared" si="1973"/>
        <v>11</v>
      </c>
      <c r="CL600" s="227" t="str">
        <f t="shared" si="1974"/>
        <v>Quản trị kinh doanh</v>
      </c>
      <c r="CM600" s="87" t="str">
        <f t="shared" si="1862"/>
        <v>CS2</v>
      </c>
      <c r="CN600" s="87">
        <f t="shared" si="1984"/>
        <v>270</v>
      </c>
      <c r="CO600" s="87">
        <f t="shared" si="1984"/>
        <v>120</v>
      </c>
      <c r="CP600" s="229">
        <f t="shared" si="1943"/>
        <v>0</v>
      </c>
      <c r="CQ600" s="229">
        <f t="shared" si="1944"/>
        <v>48.3</v>
      </c>
      <c r="CR600" s="229">
        <f t="shared" si="1945"/>
        <v>19.399999999999999</v>
      </c>
      <c r="CS600" s="229">
        <f t="shared" si="1946"/>
        <v>0</v>
      </c>
      <c r="CT600" s="229">
        <f t="shared" si="1947"/>
        <v>0</v>
      </c>
      <c r="CU600" s="229">
        <f t="shared" si="1948"/>
        <v>246</v>
      </c>
      <c r="CV600" s="229">
        <f t="shared" si="1949"/>
        <v>0</v>
      </c>
      <c r="CW600" s="229">
        <f t="shared" si="1950"/>
        <v>0</v>
      </c>
      <c r="CX600" s="229">
        <f t="shared" si="1951"/>
        <v>0</v>
      </c>
      <c r="CY600" s="229">
        <f t="shared" si="1952"/>
        <v>0</v>
      </c>
      <c r="CZ600" s="229">
        <f t="shared" si="1953"/>
        <v>0</v>
      </c>
      <c r="DA600" s="229">
        <f t="shared" si="1954"/>
        <v>20</v>
      </c>
      <c r="DB600" s="228">
        <f t="shared" si="1834"/>
        <v>333.7</v>
      </c>
      <c r="DC600" s="229"/>
      <c r="DD600" s="229"/>
      <c r="DE600" s="229"/>
      <c r="DF600" s="229"/>
      <c r="DG600" s="229"/>
      <c r="DH600" s="229"/>
      <c r="DI600" s="229"/>
      <c r="DJ600" s="229"/>
      <c r="DK600" s="229"/>
      <c r="DL600" s="229"/>
      <c r="DM600" s="229"/>
      <c r="DN600" s="229"/>
      <c r="DO600" s="228">
        <f t="shared" si="1835"/>
        <v>0</v>
      </c>
      <c r="DP600" s="228">
        <f t="shared" si="1836"/>
        <v>333.7</v>
      </c>
      <c r="DQ600" s="229">
        <f t="shared" si="1955"/>
        <v>108</v>
      </c>
      <c r="DR600" s="229">
        <f t="shared" si="1956"/>
        <v>4.3</v>
      </c>
      <c r="DS600" s="229">
        <f t="shared" si="1957"/>
        <v>0</v>
      </c>
      <c r="DT600" s="229">
        <f t="shared" si="1958"/>
        <v>1.8</v>
      </c>
      <c r="DU600" s="229">
        <f t="shared" si="1959"/>
        <v>0</v>
      </c>
      <c r="DV600" s="229">
        <f t="shared" si="1960"/>
        <v>360</v>
      </c>
      <c r="DW600" s="229">
        <f t="shared" si="1961"/>
        <v>20</v>
      </c>
      <c r="DX600" s="228">
        <f t="shared" si="1837"/>
        <v>494.1</v>
      </c>
      <c r="DY600" s="229"/>
      <c r="DZ600" s="229"/>
      <c r="EA600" s="229"/>
      <c r="EB600" s="229"/>
      <c r="EC600" s="229"/>
      <c r="ED600" s="229"/>
      <c r="EE600" s="229"/>
      <c r="EF600" s="228">
        <f t="shared" si="1939"/>
        <v>0</v>
      </c>
      <c r="EG600" s="228">
        <f t="shared" si="1838"/>
        <v>494.1</v>
      </c>
      <c r="EH600" s="229">
        <f t="shared" si="1940"/>
        <v>150</v>
      </c>
      <c r="EI600" s="229">
        <v>62.48</v>
      </c>
      <c r="EJ600" s="228">
        <f t="shared" si="1900"/>
        <v>212.48</v>
      </c>
      <c r="EK600" s="229"/>
      <c r="EL600" s="229"/>
      <c r="EM600" s="228">
        <f t="shared" si="1976"/>
        <v>0</v>
      </c>
      <c r="EN600" s="229">
        <f t="shared" si="1894"/>
        <v>150</v>
      </c>
      <c r="EO600" s="229">
        <f t="shared" si="1983"/>
        <v>62.48</v>
      </c>
      <c r="EP600" s="228">
        <f>EM600+EJ600</f>
        <v>212.48</v>
      </c>
      <c r="EQ600" s="173">
        <f t="shared" si="1934"/>
        <v>30</v>
      </c>
      <c r="ER600" s="189">
        <v>0</v>
      </c>
      <c r="ES600" s="189">
        <v>48.3</v>
      </c>
      <c r="ET600" s="189">
        <v>19.399999999999999</v>
      </c>
      <c r="EU600" s="189">
        <v>0</v>
      </c>
      <c r="EV600" s="189">
        <v>0</v>
      </c>
      <c r="EW600" s="189">
        <v>246</v>
      </c>
      <c r="EX600" s="189">
        <v>0</v>
      </c>
      <c r="EY600" s="189">
        <v>0</v>
      </c>
      <c r="EZ600" s="189">
        <v>0</v>
      </c>
      <c r="FA600" s="189">
        <v>0</v>
      </c>
      <c r="FB600" s="189">
        <v>0</v>
      </c>
      <c r="FC600" s="189">
        <v>20</v>
      </c>
      <c r="FD600" s="189">
        <v>108</v>
      </c>
      <c r="FE600" s="189">
        <v>4.3</v>
      </c>
      <c r="FF600" s="189">
        <v>0</v>
      </c>
      <c r="FG600" s="189">
        <v>1.8</v>
      </c>
      <c r="FH600" s="189">
        <v>360</v>
      </c>
      <c r="FI600" s="189">
        <v>0</v>
      </c>
      <c r="FJ600" s="189">
        <v>20</v>
      </c>
      <c r="FK600" s="189">
        <v>827.8</v>
      </c>
      <c r="FL600" s="189">
        <v>671</v>
      </c>
      <c r="FN600" s="132">
        <v>150</v>
      </c>
    </row>
    <row r="601" spans="1:170" ht="30" customHeight="1">
      <c r="A601" s="88">
        <f>COUNTIF($H$12:H601,H601)</f>
        <v>54</v>
      </c>
      <c r="B601" s="88" t="s">
        <v>779</v>
      </c>
      <c r="C601" s="88" t="s">
        <v>1370</v>
      </c>
      <c r="D601" s="88"/>
      <c r="E601" s="88"/>
      <c r="F601" s="301" t="s">
        <v>3046</v>
      </c>
      <c r="G601" s="89" t="s">
        <v>1789</v>
      </c>
      <c r="H601" s="88">
        <v>11</v>
      </c>
      <c r="I601" s="88">
        <v>11</v>
      </c>
      <c r="J601" s="88">
        <v>11</v>
      </c>
      <c r="K601" s="90" t="s">
        <v>1665</v>
      </c>
      <c r="L601" s="90" t="s">
        <v>1665</v>
      </c>
      <c r="M601" s="214"/>
      <c r="N601" s="88" t="s">
        <v>1804</v>
      </c>
      <c r="O601" s="216">
        <f t="shared" si="1962"/>
        <v>3</v>
      </c>
      <c r="P601" s="88" t="str">
        <f t="shared" si="1785"/>
        <v>B1_3</v>
      </c>
      <c r="Q601" s="88">
        <f t="shared" si="1935"/>
        <v>270</v>
      </c>
      <c r="R601" s="88">
        <f t="shared" si="1936"/>
        <v>100</v>
      </c>
      <c r="S601" s="232"/>
      <c r="T601" s="88" t="s">
        <v>3088</v>
      </c>
      <c r="U601" s="88">
        <f>IF(RIGHT(T601,1)="K",(VLOOKUP(T601,ma_miengiam!$A$3:$B$80,2,0)*100)/2,VLOOKUP(T601,ma_miengiam!$A$3:$B$80,2,0)*100)</f>
        <v>0</v>
      </c>
      <c r="V601" s="88"/>
      <c r="W601" s="220">
        <f>IF(AND(T601="NTS",V601&gt;0),(Q601-(Q601*V601)/12)*VLOOKUP(T601,ma_miengiam!$A$3:$B$80,2,0)+(Q601-(Q601*(12-V601))/12),IF(AND(RIGHT(T601,1)="K",V601&gt;0),(VLOOKUP(T601,ma_miengiam!$A$3:$B$80,2,0)/2)*(Q601*V601)/12,IF(RIGHT(T601,1)="K",(VLOOKUP(T601,ma_miengiam!$A$3:$B$80,2,0)*Q601)/2,IF(V601&gt;0,VLOOKUP(T601,ma_miengiam!$A$3:$B$80,2,0)*Q601*V601/12,VLOOKUP(T601,ma_miengiam!$A$3:$B$80,2,0)*Q601))))</f>
        <v>0</v>
      </c>
      <c r="X601" s="220">
        <f>IF(T601="NTS",VLOOKUP(T601,ma_miengiam!$A$3:$B$80,2,0)*R601*V601,IF(AND(T601="NTS",V601=0),0,IF(AND(LEFT(T601,1)="K",V601=0),VLOOKUP(T601,ma_miengiam!$A$3:$B$80,2,0)*R601,IF(LEFT(T601,1)="K",(VLOOKUP(T601,ma_miengiam!$A$3:$B$80,2,0)*R601/12)*V601,IF(AND(LEFT(T601,1)="S",V601&gt;0),(R601/12)*V601,IF(AND(LEFT(T601,1)="S",V601=0),R601,IF(T601="DH",VLOOKUP(T601,ma_miengiam!$A$3:$B$80,2,0)*R601,0)))))))</f>
        <v>0</v>
      </c>
      <c r="Y601" s="220">
        <f t="shared" si="1963"/>
        <v>270</v>
      </c>
      <c r="Z601" s="220">
        <f t="shared" si="1966"/>
        <v>100</v>
      </c>
      <c r="AA601" s="220">
        <f t="shared" ref="AA601:AB604" si="1985">Q601</f>
        <v>270</v>
      </c>
      <c r="AB601" s="220">
        <f t="shared" si="1985"/>
        <v>100</v>
      </c>
      <c r="AC601" s="220">
        <f t="shared" ref="AC601:AF603" si="1986">W601</f>
        <v>0</v>
      </c>
      <c r="AD601" s="220">
        <f t="shared" si="1986"/>
        <v>0</v>
      </c>
      <c r="AE601" s="220">
        <f t="shared" si="1986"/>
        <v>270</v>
      </c>
      <c r="AF601" s="220">
        <f t="shared" si="1986"/>
        <v>100</v>
      </c>
      <c r="AG601" s="220">
        <f t="shared" si="1979"/>
        <v>308.98</v>
      </c>
      <c r="AH601" s="220">
        <f t="shared" si="1980"/>
        <v>308.98</v>
      </c>
      <c r="AI601" s="220">
        <f t="shared" si="1981"/>
        <v>0</v>
      </c>
      <c r="AJ601" s="220">
        <f t="shared" si="1902"/>
        <v>0</v>
      </c>
      <c r="AK601" s="216">
        <f t="shared" si="1812"/>
        <v>270</v>
      </c>
      <c r="AL601" s="220">
        <f t="shared" si="1819"/>
        <v>319.2</v>
      </c>
      <c r="AM601" s="220">
        <f t="shared" si="1820"/>
        <v>0</v>
      </c>
      <c r="AN601" s="221">
        <f t="shared" si="1821"/>
        <v>319.2</v>
      </c>
      <c r="AO601" s="220">
        <f t="shared" si="1822"/>
        <v>0</v>
      </c>
      <c r="AP601" s="220">
        <f t="shared" si="1823"/>
        <v>0</v>
      </c>
      <c r="AQ601" s="220">
        <f t="shared" si="1824"/>
        <v>80</v>
      </c>
      <c r="AR601" s="220">
        <f t="shared" si="1825"/>
        <v>0</v>
      </c>
      <c r="AS601" s="220">
        <f t="shared" si="1826"/>
        <v>0</v>
      </c>
      <c r="AT601" s="216">
        <f t="shared" si="1827"/>
        <v>399.2</v>
      </c>
      <c r="AU601" s="222">
        <f t="shared" si="1982"/>
        <v>49.199999999999989</v>
      </c>
      <c r="AV601" s="220"/>
      <c r="AW601" s="220">
        <f t="shared" si="1856"/>
        <v>49.199999999999989</v>
      </c>
      <c r="AX601" s="216">
        <f t="shared" si="1811"/>
        <v>0</v>
      </c>
      <c r="AY601" s="220">
        <f t="shared" si="1866"/>
        <v>0</v>
      </c>
      <c r="AZ601" s="220">
        <f t="shared" si="1867"/>
        <v>0</v>
      </c>
      <c r="BA601" s="220">
        <f t="shared" si="1868"/>
        <v>80</v>
      </c>
      <c r="BB601" s="220">
        <f t="shared" si="1869"/>
        <v>0</v>
      </c>
      <c r="BC601" s="220">
        <f t="shared" si="1870"/>
        <v>0</v>
      </c>
      <c r="BD601" s="216">
        <f t="shared" ref="BD601:BD662" si="1987">SUM(AY601:BC601)</f>
        <v>80</v>
      </c>
      <c r="BE601" s="220">
        <f t="shared" si="1857"/>
        <v>0</v>
      </c>
      <c r="BF601" s="220">
        <f t="shared" si="1858"/>
        <v>0</v>
      </c>
      <c r="BG601" s="220">
        <f t="shared" si="1859"/>
        <v>0</v>
      </c>
      <c r="BH601" s="220">
        <f t="shared" si="1860"/>
        <v>0</v>
      </c>
      <c r="BI601" s="220">
        <f t="shared" si="1861"/>
        <v>0</v>
      </c>
      <c r="BJ601" s="220" t="s">
        <v>1919</v>
      </c>
      <c r="BK601" s="220"/>
      <c r="BL601" s="223">
        <f t="shared" si="1784"/>
        <v>49.199999999999989</v>
      </c>
      <c r="BM601" s="220">
        <v>3</v>
      </c>
      <c r="BN601" s="220"/>
      <c r="BO601" s="220">
        <f t="shared" si="1967"/>
        <v>3</v>
      </c>
      <c r="BP601" s="220">
        <f>IF(AND(BL601&gt;0,BL601&lt;tiet!$D$1),BL601,IF(BL601&lt;=0,0,IF(BL601&gt;tiet!$C$1,tiet!$C$1)))</f>
        <v>49.199999999999989</v>
      </c>
      <c r="BQ601" s="87">
        <f t="shared" si="1903"/>
        <v>60000</v>
      </c>
      <c r="BR601" s="224">
        <f t="shared" si="1904"/>
        <v>2952000</v>
      </c>
      <c r="BS601" s="220">
        <f t="shared" si="1933"/>
        <v>0</v>
      </c>
      <c r="BT601" s="224">
        <f>VLOOKUP(N601,ma_dinhmuc!$A$1:$J$31,10,0)</f>
        <v>51000</v>
      </c>
      <c r="BU601" s="224">
        <f>ROUND(IF(BS601&gt;0,VLOOKUP(N601,ma_dinhmuc!$A$1:$J$31,10,0)*BS601,0),0)</f>
        <v>0</v>
      </c>
      <c r="BV601" s="224">
        <f t="shared" si="1905"/>
        <v>2952000</v>
      </c>
      <c r="BW601" s="224"/>
      <c r="BX601" s="224">
        <v>0</v>
      </c>
      <c r="BY601" s="224"/>
      <c r="BZ601" s="224"/>
      <c r="CA601" s="224"/>
      <c r="CB601" s="224"/>
      <c r="CC601" s="225">
        <f t="shared" si="1968"/>
        <v>2952000</v>
      </c>
      <c r="CD601" s="224">
        <f t="shared" si="1969"/>
        <v>0</v>
      </c>
      <c r="CE601" s="224"/>
      <c r="CF601" s="226"/>
      <c r="CG601" s="87"/>
      <c r="CH601" s="87">
        <f t="shared" ref="CH601:CH610" si="1988">A601</f>
        <v>54</v>
      </c>
      <c r="CI601" s="227" t="str">
        <f t="shared" si="1971"/>
        <v>Đào Hồng</v>
      </c>
      <c r="CJ601" s="227" t="str">
        <f t="shared" si="1972"/>
        <v>Vân</v>
      </c>
      <c r="CK601" s="87">
        <f t="shared" si="1973"/>
        <v>11</v>
      </c>
      <c r="CL601" s="227" t="str">
        <f t="shared" ref="CL601:CL625" si="1989">L601</f>
        <v>Quản trị kinh doanh</v>
      </c>
      <c r="CM601" s="87" t="str">
        <f t="shared" si="1862"/>
        <v>CS2</v>
      </c>
      <c r="CN601" s="87">
        <f t="shared" ref="CN601:CN611" si="1990">Q601</f>
        <v>270</v>
      </c>
      <c r="CO601" s="87">
        <f t="shared" ref="CO601:CO611" si="1991">R601</f>
        <v>100</v>
      </c>
      <c r="CP601" s="229">
        <f t="shared" si="1943"/>
        <v>0</v>
      </c>
      <c r="CQ601" s="229">
        <f t="shared" si="1944"/>
        <v>57.1</v>
      </c>
      <c r="CR601" s="229">
        <f t="shared" si="1945"/>
        <v>22.9</v>
      </c>
      <c r="CS601" s="229">
        <f t="shared" si="1946"/>
        <v>0</v>
      </c>
      <c r="CT601" s="229">
        <f t="shared" si="1947"/>
        <v>0</v>
      </c>
      <c r="CU601" s="229">
        <f t="shared" si="1948"/>
        <v>239.2</v>
      </c>
      <c r="CV601" s="229">
        <f t="shared" si="1949"/>
        <v>0</v>
      </c>
      <c r="CW601" s="229">
        <f t="shared" si="1950"/>
        <v>0</v>
      </c>
      <c r="CX601" s="229">
        <f t="shared" si="1951"/>
        <v>0</v>
      </c>
      <c r="CY601" s="229">
        <f t="shared" si="1952"/>
        <v>0</v>
      </c>
      <c r="CZ601" s="229">
        <f t="shared" si="1953"/>
        <v>0</v>
      </c>
      <c r="DA601" s="229">
        <f t="shared" si="1954"/>
        <v>80</v>
      </c>
      <c r="DB601" s="228">
        <f t="shared" si="1834"/>
        <v>399.2</v>
      </c>
      <c r="DC601" s="229"/>
      <c r="DD601" s="229"/>
      <c r="DE601" s="229"/>
      <c r="DF601" s="229"/>
      <c r="DG601" s="229"/>
      <c r="DH601" s="229"/>
      <c r="DI601" s="229"/>
      <c r="DJ601" s="229"/>
      <c r="DK601" s="229"/>
      <c r="DL601" s="229"/>
      <c r="DM601" s="229"/>
      <c r="DN601" s="229"/>
      <c r="DO601" s="228">
        <f t="shared" si="1835"/>
        <v>0</v>
      </c>
      <c r="DP601" s="228">
        <f t="shared" si="1836"/>
        <v>399.2</v>
      </c>
      <c r="DQ601" s="229">
        <f t="shared" si="1955"/>
        <v>0</v>
      </c>
      <c r="DR601" s="229">
        <f t="shared" si="1956"/>
        <v>0</v>
      </c>
      <c r="DS601" s="229">
        <f t="shared" si="1957"/>
        <v>0</v>
      </c>
      <c r="DT601" s="229">
        <f t="shared" si="1958"/>
        <v>0</v>
      </c>
      <c r="DU601" s="229">
        <f t="shared" si="1959"/>
        <v>0</v>
      </c>
      <c r="DV601" s="229">
        <f t="shared" si="1960"/>
        <v>0</v>
      </c>
      <c r="DW601" s="229">
        <f t="shared" si="1961"/>
        <v>0</v>
      </c>
      <c r="DX601" s="228">
        <f t="shared" si="1837"/>
        <v>0</v>
      </c>
      <c r="DY601" s="229"/>
      <c r="DZ601" s="229"/>
      <c r="EA601" s="229"/>
      <c r="EB601" s="229"/>
      <c r="EC601" s="229"/>
      <c r="ED601" s="229"/>
      <c r="EE601" s="229"/>
      <c r="EF601" s="228">
        <f t="shared" si="1939"/>
        <v>0</v>
      </c>
      <c r="EG601" s="228">
        <f t="shared" si="1838"/>
        <v>0</v>
      </c>
      <c r="EH601" s="229">
        <f t="shared" si="1940"/>
        <v>0</v>
      </c>
      <c r="EI601" s="229">
        <v>308.98</v>
      </c>
      <c r="EJ601" s="228">
        <f t="shared" si="1900"/>
        <v>308.98</v>
      </c>
      <c r="EK601" s="229"/>
      <c r="EL601" s="229"/>
      <c r="EM601" s="228">
        <f t="shared" si="1976"/>
        <v>0</v>
      </c>
      <c r="EN601" s="229">
        <f t="shared" si="1894"/>
        <v>0</v>
      </c>
      <c r="EO601" s="229">
        <f t="shared" si="1983"/>
        <v>308.98</v>
      </c>
      <c r="EP601" s="228">
        <f t="shared" si="1964"/>
        <v>308.98</v>
      </c>
      <c r="EQ601" s="173">
        <f t="shared" si="1934"/>
        <v>0</v>
      </c>
      <c r="ER601" s="189">
        <v>0</v>
      </c>
      <c r="ES601" s="189">
        <v>57.1</v>
      </c>
      <c r="ET601" s="189">
        <v>22.9</v>
      </c>
      <c r="EU601" s="189">
        <v>0</v>
      </c>
      <c r="EV601" s="189">
        <v>0</v>
      </c>
      <c r="EW601" s="189">
        <v>239.2</v>
      </c>
      <c r="EX601" s="189">
        <v>0</v>
      </c>
      <c r="EY601" s="189">
        <v>0</v>
      </c>
      <c r="EZ601" s="189">
        <v>0</v>
      </c>
      <c r="FA601" s="189">
        <v>0</v>
      </c>
      <c r="FB601" s="189">
        <v>0</v>
      </c>
      <c r="FC601" s="189">
        <v>80</v>
      </c>
      <c r="FD601" s="189">
        <v>0</v>
      </c>
      <c r="FE601" s="189">
        <v>0</v>
      </c>
      <c r="FF601" s="189">
        <v>0</v>
      </c>
      <c r="FG601" s="189">
        <v>0</v>
      </c>
      <c r="FH601" s="189">
        <v>0</v>
      </c>
      <c r="FI601" s="189">
        <v>0</v>
      </c>
      <c r="FJ601" s="189">
        <v>0</v>
      </c>
      <c r="FK601" s="189">
        <v>399.2</v>
      </c>
      <c r="FL601" s="189">
        <v>302</v>
      </c>
      <c r="FN601" s="132">
        <v>0</v>
      </c>
    </row>
    <row r="602" spans="1:170" ht="30">
      <c r="A602" s="88">
        <f>COUNTIF($H$12:H602,H602)</f>
        <v>55</v>
      </c>
      <c r="B602" s="88" t="s">
        <v>780</v>
      </c>
      <c r="C602" s="88" t="s">
        <v>1371</v>
      </c>
      <c r="D602" s="88"/>
      <c r="E602" s="88"/>
      <c r="F602" s="301" t="s">
        <v>2449</v>
      </c>
      <c r="G602" s="89" t="s">
        <v>2859</v>
      </c>
      <c r="H602" s="88">
        <v>11</v>
      </c>
      <c r="I602" s="88">
        <v>11</v>
      </c>
      <c r="J602" s="88">
        <v>11</v>
      </c>
      <c r="K602" s="90" t="s">
        <v>1665</v>
      </c>
      <c r="L602" s="90" t="s">
        <v>1665</v>
      </c>
      <c r="M602" s="214"/>
      <c r="N602" s="88" t="s">
        <v>606</v>
      </c>
      <c r="O602" s="216">
        <f t="shared" si="1962"/>
        <v>4.4000000000000004</v>
      </c>
      <c r="P602" s="88" t="str">
        <f t="shared" si="1785"/>
        <v>B1_4</v>
      </c>
      <c r="Q602" s="88">
        <f t="shared" si="1935"/>
        <v>270</v>
      </c>
      <c r="R602" s="88">
        <f t="shared" si="1936"/>
        <v>120</v>
      </c>
      <c r="S602" s="218" t="s">
        <v>2395</v>
      </c>
      <c r="T602" s="88" t="s">
        <v>1754</v>
      </c>
      <c r="U602" s="88">
        <f>IF(RIGHT(T602,1)="K",(VLOOKUP(T602,ma_miengiam!$A$3:$B$80,2,0)*100)/2,VLOOKUP(T602,ma_miengiam!$A$3:$B$80,2,0)*100)</f>
        <v>75</v>
      </c>
      <c r="V602" s="88"/>
      <c r="W602" s="220">
        <f>IF(AND(T602="NTS",V602&gt;0),(Q602-(Q602*V602)/12)*VLOOKUP(T602,ma_miengiam!$A$3:$B$80,2,0)+(Q602-(Q602*(12-V602))/12),IF(AND(RIGHT(T602,1)="K",V602&gt;0),(VLOOKUP(T602,ma_miengiam!$A$3:$B$80,2,0)/2)*(Q602*V602)/12,IF(RIGHT(T602,1)="K",(VLOOKUP(T602,ma_miengiam!$A$3:$B$80,2,0)*Q602)/2,IF(V602&gt;0,VLOOKUP(T602,ma_miengiam!$A$3:$B$80,2,0)*Q602*V602/12,VLOOKUP(T602,ma_miengiam!$A$3:$B$80,2,0)*Q602))))</f>
        <v>202.5</v>
      </c>
      <c r="X602" s="220">
        <f>IF(T602="NTS",VLOOKUP(T602,ma_miengiam!$A$3:$B$80,2,0)*R602*V602,IF(AND(T602="NTS",V602=0),0,IF(AND(LEFT(T602,1)="K",V602=0),VLOOKUP(T602,ma_miengiam!$A$3:$B$80,2,0)*R602,IF(LEFT(T602,1)="K",(VLOOKUP(T602,ma_miengiam!$A$3:$B$80,2,0)*R602/12)*V602,IF(AND(LEFT(T602,1)="S",V602&gt;0),(R602/12)*V602,IF(AND(LEFT(T602,1)="S",V602=0),R602,IF(T602="DH",VLOOKUP(T602,ma_miengiam!$A$3:$B$80,2,0)*R602,0)))))))</f>
        <v>90</v>
      </c>
      <c r="Y602" s="220">
        <f t="shared" si="1963"/>
        <v>67.5</v>
      </c>
      <c r="Z602" s="220">
        <f t="shared" si="1966"/>
        <v>30</v>
      </c>
      <c r="AA602" s="220">
        <f>Q602</f>
        <v>270</v>
      </c>
      <c r="AB602" s="220">
        <f>R602</f>
        <v>120</v>
      </c>
      <c r="AC602" s="220">
        <f>W602</f>
        <v>202.5</v>
      </c>
      <c r="AD602" s="220">
        <f>X602</f>
        <v>90</v>
      </c>
      <c r="AE602" s="220">
        <f>Y602</f>
        <v>67.5</v>
      </c>
      <c r="AF602" s="220">
        <f>Z602</f>
        <v>30</v>
      </c>
      <c r="AG602" s="220">
        <f>AH602+AI602</f>
        <v>78.209999999999994</v>
      </c>
      <c r="AH602" s="220">
        <f>EO602</f>
        <v>2.14</v>
      </c>
      <c r="AI602" s="220">
        <f>EN602</f>
        <v>76.069999999999993</v>
      </c>
      <c r="AJ602" s="220">
        <f>IF(AG602-Z602&gt;0,0,AG602-Z602)</f>
        <v>0</v>
      </c>
      <c r="AK602" s="216">
        <f t="shared" si="1812"/>
        <v>67.5</v>
      </c>
      <c r="AL602" s="220">
        <f t="shared" si="1819"/>
        <v>38.799999999999997</v>
      </c>
      <c r="AM602" s="220">
        <f t="shared" si="1820"/>
        <v>57</v>
      </c>
      <c r="AN602" s="221">
        <f t="shared" si="1821"/>
        <v>95.8</v>
      </c>
      <c r="AO602" s="220">
        <f t="shared" si="1822"/>
        <v>0</v>
      </c>
      <c r="AP602" s="220">
        <f t="shared" si="1823"/>
        <v>0</v>
      </c>
      <c r="AQ602" s="220">
        <f t="shared" si="1824"/>
        <v>20</v>
      </c>
      <c r="AR602" s="220">
        <f t="shared" si="1825"/>
        <v>240</v>
      </c>
      <c r="AS602" s="220">
        <f t="shared" si="1826"/>
        <v>10</v>
      </c>
      <c r="AT602" s="216">
        <f t="shared" si="1827"/>
        <v>365.8</v>
      </c>
      <c r="AU602" s="222">
        <f t="shared" si="1982"/>
        <v>28.299999999999997</v>
      </c>
      <c r="AV602" s="220"/>
      <c r="AW602" s="220">
        <f t="shared" si="1856"/>
        <v>28.299999999999997</v>
      </c>
      <c r="AX602" s="216">
        <f t="shared" si="1811"/>
        <v>0</v>
      </c>
      <c r="AY602" s="220">
        <f t="shared" si="1866"/>
        <v>0</v>
      </c>
      <c r="AZ602" s="220">
        <f t="shared" si="1867"/>
        <v>0</v>
      </c>
      <c r="BA602" s="220">
        <f t="shared" si="1868"/>
        <v>20</v>
      </c>
      <c r="BB602" s="220">
        <f t="shared" si="1869"/>
        <v>240</v>
      </c>
      <c r="BC602" s="220">
        <f t="shared" si="1870"/>
        <v>10</v>
      </c>
      <c r="BD602" s="216">
        <f t="shared" si="1987"/>
        <v>270</v>
      </c>
      <c r="BE602" s="220">
        <f t="shared" si="1857"/>
        <v>0</v>
      </c>
      <c r="BF602" s="220">
        <f t="shared" si="1858"/>
        <v>0</v>
      </c>
      <c r="BG602" s="220">
        <f t="shared" si="1859"/>
        <v>0</v>
      </c>
      <c r="BH602" s="220">
        <f t="shared" si="1860"/>
        <v>0</v>
      </c>
      <c r="BI602" s="220">
        <f t="shared" si="1861"/>
        <v>0</v>
      </c>
      <c r="BJ602" s="220" t="s">
        <v>1919</v>
      </c>
      <c r="BK602" s="220"/>
      <c r="BL602" s="223">
        <f t="shared" si="1784"/>
        <v>28.299999999999997</v>
      </c>
      <c r="BM602" s="220">
        <v>4.4000000000000004</v>
      </c>
      <c r="BN602" s="220"/>
      <c r="BO602" s="220">
        <f t="shared" si="1967"/>
        <v>4.4000000000000004</v>
      </c>
      <c r="BP602" s="220">
        <f>IF(AND(BL602&gt;0,BL602&lt;tiet!$D$1),BL602,IF(BL602&lt;=0,0,IF(BL602&gt;tiet!$C$1,tiet!$C$1)))</f>
        <v>28.299999999999997</v>
      </c>
      <c r="BQ602" s="87">
        <f>VLOOKUP(P602,ma_dinhmuc_moi,4,0)</f>
        <v>65000</v>
      </c>
      <c r="BR602" s="224">
        <f>ROUND(BQ602*BP602,0)</f>
        <v>1839500</v>
      </c>
      <c r="BS602" s="220">
        <f t="shared" si="1933"/>
        <v>0</v>
      </c>
      <c r="BT602" s="224">
        <f>VLOOKUP(N602,ma_dinhmuc!$A$1:$J$31,10,0)</f>
        <v>55000</v>
      </c>
      <c r="BU602" s="224">
        <f>ROUND(IF(BS602&gt;0,VLOOKUP(N602,ma_dinhmuc!$A$1:$J$31,10,0)*BS602,0),0)</f>
        <v>0</v>
      </c>
      <c r="BV602" s="224">
        <f>ROUND(BU602+BR602,0)</f>
        <v>1839500</v>
      </c>
      <c r="BW602" s="224"/>
      <c r="BX602" s="224">
        <v>0</v>
      </c>
      <c r="BY602" s="224"/>
      <c r="BZ602" s="224"/>
      <c r="CA602" s="224"/>
      <c r="CB602" s="224"/>
      <c r="CC602" s="225">
        <f t="shared" si="1968"/>
        <v>1839500</v>
      </c>
      <c r="CD602" s="224">
        <f t="shared" si="1969"/>
        <v>0</v>
      </c>
      <c r="CE602" s="224"/>
      <c r="CF602" s="226"/>
      <c r="CG602" s="87"/>
      <c r="CH602" s="87">
        <f t="shared" si="1988"/>
        <v>55</v>
      </c>
      <c r="CI602" s="227" t="str">
        <f t="shared" ref="CI602:CI610" si="1992">F602</f>
        <v>Nguyễn Công</v>
      </c>
      <c r="CJ602" s="227" t="str">
        <f t="shared" ref="CJ602:CJ610" si="1993">G602</f>
        <v>Tiệp</v>
      </c>
      <c r="CK602" s="87">
        <f>H602</f>
        <v>11</v>
      </c>
      <c r="CL602" s="227" t="str">
        <f t="shared" si="1989"/>
        <v>Quản trị kinh doanh</v>
      </c>
      <c r="CM602" s="87" t="str">
        <f t="shared" si="1862"/>
        <v>CS3</v>
      </c>
      <c r="CN602" s="87">
        <f>Q602</f>
        <v>270</v>
      </c>
      <c r="CO602" s="87">
        <f>R602</f>
        <v>120</v>
      </c>
      <c r="CP602" s="229">
        <f t="shared" si="1943"/>
        <v>0</v>
      </c>
      <c r="CQ602" s="229">
        <f t="shared" si="1944"/>
        <v>6.3</v>
      </c>
      <c r="CR602" s="229">
        <f t="shared" si="1945"/>
        <v>2.5</v>
      </c>
      <c r="CS602" s="229">
        <f t="shared" si="1946"/>
        <v>0</v>
      </c>
      <c r="CT602" s="229">
        <f t="shared" si="1947"/>
        <v>0</v>
      </c>
      <c r="CU602" s="229">
        <f t="shared" si="1948"/>
        <v>30</v>
      </c>
      <c r="CV602" s="229">
        <f t="shared" si="1949"/>
        <v>0</v>
      </c>
      <c r="CW602" s="229">
        <f t="shared" si="1950"/>
        <v>0</v>
      </c>
      <c r="CX602" s="229">
        <f t="shared" si="1951"/>
        <v>0</v>
      </c>
      <c r="CY602" s="229">
        <f t="shared" si="1952"/>
        <v>0</v>
      </c>
      <c r="CZ602" s="229">
        <f t="shared" si="1953"/>
        <v>0</v>
      </c>
      <c r="DA602" s="229">
        <f t="shared" si="1954"/>
        <v>20</v>
      </c>
      <c r="DB602" s="228">
        <f t="shared" si="1834"/>
        <v>58.8</v>
      </c>
      <c r="DC602" s="229"/>
      <c r="DD602" s="229"/>
      <c r="DE602" s="229"/>
      <c r="DF602" s="229"/>
      <c r="DG602" s="229"/>
      <c r="DH602" s="229"/>
      <c r="DI602" s="229"/>
      <c r="DJ602" s="229"/>
      <c r="DK602" s="229"/>
      <c r="DL602" s="229"/>
      <c r="DM602" s="229"/>
      <c r="DN602" s="229"/>
      <c r="DO602" s="228">
        <f t="shared" si="1835"/>
        <v>0</v>
      </c>
      <c r="DP602" s="228">
        <f t="shared" si="1836"/>
        <v>58.8</v>
      </c>
      <c r="DQ602" s="229">
        <f t="shared" si="1955"/>
        <v>54</v>
      </c>
      <c r="DR602" s="229">
        <f t="shared" si="1956"/>
        <v>2.1</v>
      </c>
      <c r="DS602" s="229">
        <f t="shared" si="1957"/>
        <v>0</v>
      </c>
      <c r="DT602" s="229">
        <f t="shared" si="1958"/>
        <v>0.9</v>
      </c>
      <c r="DU602" s="229">
        <f t="shared" si="1959"/>
        <v>0</v>
      </c>
      <c r="DV602" s="229">
        <f t="shared" si="1960"/>
        <v>240</v>
      </c>
      <c r="DW602" s="229">
        <f t="shared" si="1961"/>
        <v>10</v>
      </c>
      <c r="DX602" s="228">
        <f t="shared" si="1837"/>
        <v>307</v>
      </c>
      <c r="DY602" s="229"/>
      <c r="DZ602" s="229"/>
      <c r="EA602" s="229"/>
      <c r="EB602" s="229"/>
      <c r="EC602" s="229"/>
      <c r="ED602" s="229"/>
      <c r="EE602" s="229"/>
      <c r="EF602" s="228">
        <f t="shared" si="1939"/>
        <v>0</v>
      </c>
      <c r="EG602" s="228">
        <f t="shared" si="1838"/>
        <v>307</v>
      </c>
      <c r="EH602" s="229">
        <f t="shared" si="1940"/>
        <v>76.069999999999993</v>
      </c>
      <c r="EI602" s="229">
        <v>2.14</v>
      </c>
      <c r="EJ602" s="228">
        <f t="shared" si="1900"/>
        <v>78.209999999999994</v>
      </c>
      <c r="EK602" s="229"/>
      <c r="EL602" s="229"/>
      <c r="EM602" s="228">
        <f t="shared" ref="EM602:EM628" si="1994">SUM(EK602:EL602)</f>
        <v>0</v>
      </c>
      <c r="EN602" s="229">
        <f t="shared" si="1894"/>
        <v>76.069999999999993</v>
      </c>
      <c r="EO602" s="229">
        <f t="shared" si="1983"/>
        <v>2.14</v>
      </c>
      <c r="EP602" s="228">
        <f>EM602+EJ602</f>
        <v>78.209999999999994</v>
      </c>
      <c r="EQ602" s="173">
        <f t="shared" si="1934"/>
        <v>46.069999999999993</v>
      </c>
      <c r="ER602" s="189">
        <v>0</v>
      </c>
      <c r="ES602" s="189">
        <v>6.3</v>
      </c>
      <c r="ET602" s="189">
        <v>2.5</v>
      </c>
      <c r="EU602" s="189">
        <v>0</v>
      </c>
      <c r="EV602" s="189">
        <v>0</v>
      </c>
      <c r="EW602" s="189">
        <v>30</v>
      </c>
      <c r="EX602" s="189">
        <v>0</v>
      </c>
      <c r="EY602" s="189">
        <v>0</v>
      </c>
      <c r="EZ602" s="189">
        <v>0</v>
      </c>
      <c r="FA602" s="189">
        <v>0</v>
      </c>
      <c r="FB602" s="189">
        <v>0</v>
      </c>
      <c r="FC602" s="189">
        <v>20</v>
      </c>
      <c r="FD602" s="189">
        <v>54</v>
      </c>
      <c r="FE602" s="189">
        <v>2.1</v>
      </c>
      <c r="FF602" s="189">
        <v>0</v>
      </c>
      <c r="FG602" s="189">
        <v>0.9</v>
      </c>
      <c r="FH602" s="189">
        <v>240</v>
      </c>
      <c r="FI602" s="189">
        <v>0</v>
      </c>
      <c r="FJ602" s="189">
        <v>10</v>
      </c>
      <c r="FK602" s="189">
        <v>365.8</v>
      </c>
      <c r="FL602" s="189">
        <v>334</v>
      </c>
      <c r="FN602" s="132">
        <v>76.069999999999993</v>
      </c>
    </row>
    <row r="603" spans="1:170" ht="30" customHeight="1">
      <c r="A603" s="88">
        <f>COUNTIF($H$12:H603,H603)</f>
        <v>56</v>
      </c>
      <c r="B603" s="88" t="s">
        <v>781</v>
      </c>
      <c r="C603" s="88" t="s">
        <v>1372</v>
      </c>
      <c r="D603" s="88"/>
      <c r="E603" s="88"/>
      <c r="F603" s="301" t="s">
        <v>1877</v>
      </c>
      <c r="G603" s="303" t="s">
        <v>3086</v>
      </c>
      <c r="H603" s="88">
        <v>11</v>
      </c>
      <c r="I603" s="88">
        <v>11</v>
      </c>
      <c r="J603" s="88">
        <v>11</v>
      </c>
      <c r="K603" s="90" t="s">
        <v>1665</v>
      </c>
      <c r="L603" s="90" t="s">
        <v>1665</v>
      </c>
      <c r="M603" s="214"/>
      <c r="N603" s="88" t="s">
        <v>1804</v>
      </c>
      <c r="O603" s="216">
        <f t="shared" si="1962"/>
        <v>3</v>
      </c>
      <c r="P603" s="88" t="str">
        <f t="shared" si="1785"/>
        <v>B1_3</v>
      </c>
      <c r="Q603" s="88">
        <f t="shared" si="1935"/>
        <v>270</v>
      </c>
      <c r="R603" s="88">
        <f t="shared" si="1936"/>
        <v>100</v>
      </c>
      <c r="S603" s="218" t="s">
        <v>1911</v>
      </c>
      <c r="T603" s="88" t="s">
        <v>1326</v>
      </c>
      <c r="U603" s="88">
        <f>IF(RIGHT(T603,1)="K",(VLOOKUP(T603,ma_miengiam!$A$3:$B$80,2,0)*100)/2,VLOOKUP(T603,ma_miengiam!$A$3:$B$80,2,0)*100)</f>
        <v>65</v>
      </c>
      <c r="V603" s="88"/>
      <c r="W603" s="220">
        <f>IF(AND(T603="NTS",V603&gt;0),(Q603-(Q603*V603)/12)*VLOOKUP(T603,ma_miengiam!$A$3:$B$80,2,0)+(Q603-(Q603*(12-V603))/12),IF(AND(RIGHT(T603,1)="K",V603&gt;0),(VLOOKUP(T603,ma_miengiam!$A$3:$B$80,2,0)/2)*(Q603*V603)/12,IF(RIGHT(T603,1)="K",(VLOOKUP(T603,ma_miengiam!$A$3:$B$80,2,0)*Q603)/2,IF(V603&gt;0,VLOOKUP(T603,ma_miengiam!$A$3:$B$80,2,0)*Q603*V603/12,VLOOKUP(T603,ma_miengiam!$A$3:$B$80,2,0)*Q603))))</f>
        <v>175.5</v>
      </c>
      <c r="X603" s="220">
        <f>IF(T603="NTS",VLOOKUP(T603,ma_miengiam!$A$3:$B$80,2,0)*R603*V603,IF(AND(T603="NTS",V603=0),0,IF(AND(LEFT(T603,1)="K",V603=0),VLOOKUP(T603,ma_miengiam!$A$3:$B$80,2,0)*R603,IF(LEFT(T603,1)="K",(VLOOKUP(T603,ma_miengiam!$A$3:$B$80,2,0)*R603/12)*V603,IF(AND(LEFT(T603,1)="S",V603&gt;0),(R603/12)*V603,IF(AND(LEFT(T603,1)="S",V603=0),R603,IF(T603="DH",VLOOKUP(T603,ma_miengiam!$A$3:$B$80,2,0)*R603,0)))))))</f>
        <v>100</v>
      </c>
      <c r="Y603" s="220">
        <f t="shared" si="1963"/>
        <v>94.5</v>
      </c>
      <c r="Z603" s="220">
        <f t="shared" ref="Z603:Z620" si="1995">IF(AND(T603="SĐH",V603&gt;0),(R603/12)*V603-X603,IF(AND(T603="DH",V603&gt;0),(R603*V603/12),IF(AND(T603&lt;&gt;"NTS",V603&gt;0),(R603*V603/12)-X603,IF(AND(T603="NTS",V603&gt;0),R603-X603,R603-X603))))</f>
        <v>0</v>
      </c>
      <c r="AA603" s="220">
        <f t="shared" si="1985"/>
        <v>270</v>
      </c>
      <c r="AB603" s="220">
        <f t="shared" si="1985"/>
        <v>100</v>
      </c>
      <c r="AC603" s="220">
        <f t="shared" si="1986"/>
        <v>175.5</v>
      </c>
      <c r="AD603" s="220">
        <f t="shared" si="1986"/>
        <v>100</v>
      </c>
      <c r="AE603" s="220">
        <f t="shared" si="1986"/>
        <v>94.5</v>
      </c>
      <c r="AF603" s="220">
        <f t="shared" si="1986"/>
        <v>0</v>
      </c>
      <c r="AG603" s="220">
        <f t="shared" si="1979"/>
        <v>819.7</v>
      </c>
      <c r="AH603" s="220">
        <f t="shared" si="1980"/>
        <v>701.84</v>
      </c>
      <c r="AI603" s="220">
        <f t="shared" si="1981"/>
        <v>117.86</v>
      </c>
      <c r="AJ603" s="220">
        <f t="shared" si="1902"/>
        <v>0</v>
      </c>
      <c r="AK603" s="216">
        <f t="shared" si="1812"/>
        <v>94.5</v>
      </c>
      <c r="AL603" s="220">
        <f t="shared" si="1819"/>
        <v>375.7</v>
      </c>
      <c r="AM603" s="220">
        <f t="shared" si="1820"/>
        <v>0</v>
      </c>
      <c r="AN603" s="221">
        <f t="shared" si="1821"/>
        <v>375.7</v>
      </c>
      <c r="AO603" s="220">
        <f t="shared" si="1822"/>
        <v>0</v>
      </c>
      <c r="AP603" s="220">
        <f t="shared" si="1823"/>
        <v>0</v>
      </c>
      <c r="AQ603" s="220">
        <f t="shared" si="1824"/>
        <v>60</v>
      </c>
      <c r="AR603" s="220">
        <f t="shared" si="1825"/>
        <v>0</v>
      </c>
      <c r="AS603" s="220">
        <f t="shared" si="1826"/>
        <v>0</v>
      </c>
      <c r="AT603" s="216">
        <f t="shared" si="1827"/>
        <v>435.7</v>
      </c>
      <c r="AU603" s="222">
        <f t="shared" si="1982"/>
        <v>281.2</v>
      </c>
      <c r="AV603" s="220"/>
      <c r="AW603" s="220">
        <f t="shared" si="1856"/>
        <v>281.2</v>
      </c>
      <c r="AX603" s="216">
        <f t="shared" si="1811"/>
        <v>0</v>
      </c>
      <c r="AY603" s="220">
        <f t="shared" si="1866"/>
        <v>0</v>
      </c>
      <c r="AZ603" s="220">
        <f t="shared" si="1867"/>
        <v>0</v>
      </c>
      <c r="BA603" s="220">
        <f t="shared" si="1868"/>
        <v>60</v>
      </c>
      <c r="BB603" s="220">
        <f t="shared" si="1869"/>
        <v>0</v>
      </c>
      <c r="BC603" s="220">
        <f t="shared" si="1870"/>
        <v>0</v>
      </c>
      <c r="BD603" s="216">
        <f t="shared" si="1987"/>
        <v>60</v>
      </c>
      <c r="BE603" s="220">
        <f t="shared" si="1857"/>
        <v>0</v>
      </c>
      <c r="BF603" s="220">
        <f t="shared" si="1858"/>
        <v>0</v>
      </c>
      <c r="BG603" s="220">
        <f t="shared" si="1859"/>
        <v>0</v>
      </c>
      <c r="BH603" s="220">
        <f t="shared" si="1860"/>
        <v>0</v>
      </c>
      <c r="BI603" s="220">
        <f t="shared" si="1861"/>
        <v>0</v>
      </c>
      <c r="BJ603" s="220" t="s">
        <v>1919</v>
      </c>
      <c r="BK603" s="220"/>
      <c r="BL603" s="223">
        <f t="shared" si="1784"/>
        <v>281.2</v>
      </c>
      <c r="BM603" s="220">
        <v>3</v>
      </c>
      <c r="BN603" s="220"/>
      <c r="BO603" s="220">
        <f t="shared" si="1967"/>
        <v>3</v>
      </c>
      <c r="BP603" s="220">
        <f>IF(AND(BL603&gt;0,BL603&lt;tiet!$D$1),BL603,IF(BL603&lt;=0,0,IF(BL603&gt;tiet!$C$1,tiet!$C$1)))</f>
        <v>200</v>
      </c>
      <c r="BQ603" s="87">
        <f t="shared" si="1903"/>
        <v>60000</v>
      </c>
      <c r="BR603" s="224">
        <f t="shared" si="1904"/>
        <v>12000000</v>
      </c>
      <c r="BS603" s="220">
        <f t="shared" si="1933"/>
        <v>81.199999999999989</v>
      </c>
      <c r="BT603" s="224">
        <f>VLOOKUP(N603,ma_dinhmuc!$A$1:$J$31,10,0)</f>
        <v>51000</v>
      </c>
      <c r="BU603" s="224">
        <f>ROUND(IF(BS603&gt;0,VLOOKUP(N603,ma_dinhmuc!$A$1:$J$31,10,0)*BS603,0),0)</f>
        <v>4141200</v>
      </c>
      <c r="BV603" s="224">
        <f t="shared" si="1905"/>
        <v>16141200</v>
      </c>
      <c r="BW603" s="224"/>
      <c r="BX603" s="224">
        <v>0</v>
      </c>
      <c r="BY603" s="224"/>
      <c r="BZ603" s="224"/>
      <c r="CA603" s="224"/>
      <c r="CB603" s="224"/>
      <c r="CC603" s="225">
        <f t="shared" si="1968"/>
        <v>16141200</v>
      </c>
      <c r="CD603" s="224">
        <f t="shared" si="1969"/>
        <v>0</v>
      </c>
      <c r="CE603" s="224"/>
      <c r="CF603" s="226"/>
      <c r="CG603" s="87"/>
      <c r="CH603" s="87">
        <f t="shared" si="1988"/>
        <v>56</v>
      </c>
      <c r="CI603" s="227" t="str">
        <f t="shared" si="1992"/>
        <v>Nguyễn Ngọc</v>
      </c>
      <c r="CJ603" s="227" t="str">
        <f t="shared" si="1993"/>
        <v>Mai</v>
      </c>
      <c r="CK603" s="87">
        <f>H603</f>
        <v>11</v>
      </c>
      <c r="CL603" s="227" t="str">
        <f t="shared" si="1989"/>
        <v>Quản trị kinh doanh</v>
      </c>
      <c r="CM603" s="87" t="str">
        <f t="shared" si="1862"/>
        <v>CS2</v>
      </c>
      <c r="CN603" s="87">
        <f t="shared" si="1990"/>
        <v>270</v>
      </c>
      <c r="CO603" s="87">
        <f t="shared" si="1991"/>
        <v>100</v>
      </c>
      <c r="CP603" s="229">
        <f t="shared" si="1943"/>
        <v>0</v>
      </c>
      <c r="CQ603" s="229">
        <f t="shared" si="1944"/>
        <v>45.9</v>
      </c>
      <c r="CR603" s="229">
        <f t="shared" si="1945"/>
        <v>18.399999999999999</v>
      </c>
      <c r="CS603" s="229">
        <f t="shared" si="1946"/>
        <v>95.2</v>
      </c>
      <c r="CT603" s="229">
        <f t="shared" si="1947"/>
        <v>0</v>
      </c>
      <c r="CU603" s="229">
        <f t="shared" si="1948"/>
        <v>216.2</v>
      </c>
      <c r="CV603" s="229">
        <f t="shared" si="1949"/>
        <v>0</v>
      </c>
      <c r="CW603" s="229">
        <f t="shared" si="1950"/>
        <v>0</v>
      </c>
      <c r="CX603" s="229">
        <f t="shared" si="1951"/>
        <v>0</v>
      </c>
      <c r="CY603" s="229">
        <f t="shared" si="1952"/>
        <v>0</v>
      </c>
      <c r="CZ603" s="229">
        <f t="shared" si="1953"/>
        <v>0</v>
      </c>
      <c r="DA603" s="229">
        <f t="shared" si="1954"/>
        <v>60</v>
      </c>
      <c r="DB603" s="228">
        <f t="shared" si="1834"/>
        <v>435.7</v>
      </c>
      <c r="DC603" s="229"/>
      <c r="DD603" s="229"/>
      <c r="DE603" s="229"/>
      <c r="DF603" s="229"/>
      <c r="DG603" s="229"/>
      <c r="DH603" s="229"/>
      <c r="DI603" s="229"/>
      <c r="DJ603" s="229"/>
      <c r="DK603" s="229"/>
      <c r="DL603" s="229"/>
      <c r="DM603" s="229"/>
      <c r="DN603" s="229"/>
      <c r="DO603" s="228">
        <f t="shared" si="1835"/>
        <v>0</v>
      </c>
      <c r="DP603" s="228">
        <f t="shared" si="1836"/>
        <v>435.7</v>
      </c>
      <c r="DQ603" s="229">
        <f t="shared" si="1955"/>
        <v>0</v>
      </c>
      <c r="DR603" s="229">
        <f t="shared" si="1956"/>
        <v>0</v>
      </c>
      <c r="DS603" s="229">
        <f t="shared" si="1957"/>
        <v>0</v>
      </c>
      <c r="DT603" s="229">
        <f t="shared" si="1958"/>
        <v>0</v>
      </c>
      <c r="DU603" s="229">
        <f t="shared" si="1959"/>
        <v>0</v>
      </c>
      <c r="DV603" s="229">
        <f t="shared" si="1960"/>
        <v>0</v>
      </c>
      <c r="DW603" s="229">
        <f t="shared" si="1961"/>
        <v>0</v>
      </c>
      <c r="DX603" s="228">
        <f t="shared" si="1837"/>
        <v>0</v>
      </c>
      <c r="DY603" s="229"/>
      <c r="DZ603" s="229"/>
      <c r="EA603" s="229"/>
      <c r="EB603" s="229"/>
      <c r="EC603" s="229"/>
      <c r="ED603" s="229"/>
      <c r="EE603" s="229"/>
      <c r="EF603" s="228">
        <f t="shared" si="1939"/>
        <v>0</v>
      </c>
      <c r="EG603" s="228">
        <f t="shared" si="1838"/>
        <v>0</v>
      </c>
      <c r="EH603" s="229">
        <f t="shared" si="1940"/>
        <v>117.86</v>
      </c>
      <c r="EI603" s="229">
        <v>701.84</v>
      </c>
      <c r="EJ603" s="228">
        <f t="shared" si="1900"/>
        <v>819.7</v>
      </c>
      <c r="EK603" s="229"/>
      <c r="EL603" s="229"/>
      <c r="EM603" s="228">
        <f t="shared" si="1994"/>
        <v>0</v>
      </c>
      <c r="EN603" s="229">
        <f t="shared" si="1894"/>
        <v>117.86</v>
      </c>
      <c r="EO603" s="229">
        <f t="shared" si="1983"/>
        <v>701.84</v>
      </c>
      <c r="EP603" s="228">
        <f t="shared" si="1964"/>
        <v>819.7</v>
      </c>
      <c r="EQ603" s="173">
        <f t="shared" si="1934"/>
        <v>117.86</v>
      </c>
      <c r="ER603" s="189">
        <v>0</v>
      </c>
      <c r="ES603" s="189">
        <v>45.9</v>
      </c>
      <c r="ET603" s="189">
        <v>18.399999999999999</v>
      </c>
      <c r="EU603" s="189">
        <v>95.2</v>
      </c>
      <c r="EV603" s="189">
        <v>0</v>
      </c>
      <c r="EW603" s="189">
        <v>216.2</v>
      </c>
      <c r="EX603" s="189">
        <v>0</v>
      </c>
      <c r="EY603" s="189">
        <v>0</v>
      </c>
      <c r="EZ603" s="189">
        <v>0</v>
      </c>
      <c r="FA603" s="189">
        <v>0</v>
      </c>
      <c r="FB603" s="189">
        <v>0</v>
      </c>
      <c r="FC603" s="189">
        <v>60</v>
      </c>
      <c r="FD603" s="189">
        <v>0</v>
      </c>
      <c r="FE603" s="189">
        <v>0</v>
      </c>
      <c r="FF603" s="189">
        <v>0</v>
      </c>
      <c r="FG603" s="189">
        <v>0</v>
      </c>
      <c r="FH603" s="189">
        <v>0</v>
      </c>
      <c r="FI603" s="189">
        <v>0</v>
      </c>
      <c r="FJ603" s="189">
        <v>0</v>
      </c>
      <c r="FK603" s="189">
        <v>435.7</v>
      </c>
      <c r="FL603" s="189">
        <v>328.2</v>
      </c>
      <c r="FN603" s="132">
        <v>117.86</v>
      </c>
    </row>
    <row r="604" spans="1:170" ht="36" customHeight="1">
      <c r="A604" s="88">
        <f>COUNTIF($H$12:H604,H604)</f>
        <v>57</v>
      </c>
      <c r="B604" s="88" t="s">
        <v>782</v>
      </c>
      <c r="C604" s="88" t="s">
        <v>1373</v>
      </c>
      <c r="D604" s="88"/>
      <c r="E604" s="88"/>
      <c r="F604" s="301" t="s">
        <v>3047</v>
      </c>
      <c r="G604" s="89" t="s">
        <v>2883</v>
      </c>
      <c r="H604" s="88">
        <v>11</v>
      </c>
      <c r="I604" s="88">
        <v>11</v>
      </c>
      <c r="J604" s="88">
        <v>11</v>
      </c>
      <c r="K604" s="90" t="s">
        <v>1665</v>
      </c>
      <c r="L604" s="90" t="s">
        <v>1665</v>
      </c>
      <c r="M604" s="214"/>
      <c r="N604" s="88" t="s">
        <v>1804</v>
      </c>
      <c r="O604" s="216">
        <f t="shared" si="1962"/>
        <v>3</v>
      </c>
      <c r="P604" s="88" t="str">
        <f t="shared" si="1785"/>
        <v>B1_3</v>
      </c>
      <c r="Q604" s="88">
        <f t="shared" si="1935"/>
        <v>270</v>
      </c>
      <c r="R604" s="88">
        <f t="shared" si="1936"/>
        <v>100</v>
      </c>
      <c r="S604" s="218" t="s">
        <v>2648</v>
      </c>
      <c r="T604" s="88" t="s">
        <v>1326</v>
      </c>
      <c r="U604" s="88">
        <f>IF(RIGHT(T604,1)="K",(VLOOKUP(T604,ma_miengiam!$A$3:$B$80,2,0)*100)/2,VLOOKUP(T604,ma_miengiam!$A$3:$B$80,2,0)*100)</f>
        <v>65</v>
      </c>
      <c r="V604" s="88"/>
      <c r="W604" s="220">
        <f>IF(AND(T604="NTS",V604&gt;0),(Q604-(Q604*V604)/12)*VLOOKUP(T604,ma_miengiam!$A$3:$B$80,2,0)+(Q604-(Q604*(12-V604))/12),IF(AND(RIGHT(T604,1)="K",V604&gt;0),(VLOOKUP(T604,ma_miengiam!$A$3:$B$80,2,0)/2)*(Q604*V604)/12,IF(RIGHT(T604,1)="K",(VLOOKUP(T604,ma_miengiam!$A$3:$B$80,2,0)*Q604)/2,IF(V604&gt;0,VLOOKUP(T604,ma_miengiam!$A$3:$B$80,2,0)*Q604*V604/12,VLOOKUP(T604,ma_miengiam!$A$3:$B$80,2,0)*Q604))))</f>
        <v>175.5</v>
      </c>
      <c r="X604" s="220">
        <f>IF(T604="NTS",VLOOKUP(T604,ma_miengiam!$A$3:$B$80,2,0)*R604*V604,IF(AND(T604="NTS",V604=0),0,IF(AND(LEFT(T604,1)="K",V604=0),VLOOKUP(T604,ma_miengiam!$A$3:$B$80,2,0)*R604,IF(LEFT(T604,1)="K",(VLOOKUP(T604,ma_miengiam!$A$3:$B$80,2,0)*R604/12)*V604,IF(AND(LEFT(T604,1)="S",V604&gt;0),(R604/12)*V604,IF(AND(LEFT(T604,1)="S",V604=0),R604,IF(T604="DH",VLOOKUP(T604,ma_miengiam!$A$3:$B$80,2,0)*R604,0)))))))</f>
        <v>100</v>
      </c>
      <c r="Y604" s="220">
        <f t="shared" si="1963"/>
        <v>94.5</v>
      </c>
      <c r="Z604" s="220">
        <f t="shared" si="1995"/>
        <v>0</v>
      </c>
      <c r="AA604" s="220">
        <f t="shared" si="1985"/>
        <v>270</v>
      </c>
      <c r="AB604" s="220">
        <f t="shared" si="1985"/>
        <v>100</v>
      </c>
      <c r="AC604" s="220">
        <f t="shared" ref="AC604:AF605" si="1996">W604</f>
        <v>175.5</v>
      </c>
      <c r="AD604" s="220">
        <f t="shared" si="1996"/>
        <v>100</v>
      </c>
      <c r="AE604" s="220">
        <f t="shared" si="1996"/>
        <v>94.5</v>
      </c>
      <c r="AF604" s="220">
        <f t="shared" si="1996"/>
        <v>0</v>
      </c>
      <c r="AG604" s="220">
        <f t="shared" si="1979"/>
        <v>347.73</v>
      </c>
      <c r="AH604" s="220">
        <f t="shared" si="1980"/>
        <v>347.73</v>
      </c>
      <c r="AI604" s="220">
        <f t="shared" si="1981"/>
        <v>0</v>
      </c>
      <c r="AJ604" s="220">
        <f t="shared" si="1902"/>
        <v>0</v>
      </c>
      <c r="AK604" s="216">
        <f t="shared" si="1812"/>
        <v>94.5</v>
      </c>
      <c r="AL604" s="220">
        <f t="shared" si="1819"/>
        <v>458.1</v>
      </c>
      <c r="AM604" s="220">
        <f t="shared" si="1820"/>
        <v>0</v>
      </c>
      <c r="AN604" s="221">
        <f t="shared" si="1821"/>
        <v>458.1</v>
      </c>
      <c r="AO604" s="220">
        <f t="shared" si="1822"/>
        <v>0</v>
      </c>
      <c r="AP604" s="220">
        <f t="shared" si="1823"/>
        <v>0</v>
      </c>
      <c r="AQ604" s="220">
        <f t="shared" si="1824"/>
        <v>60</v>
      </c>
      <c r="AR604" s="220">
        <f t="shared" si="1825"/>
        <v>0</v>
      </c>
      <c r="AS604" s="220">
        <f t="shared" si="1826"/>
        <v>0</v>
      </c>
      <c r="AT604" s="216">
        <f t="shared" si="1827"/>
        <v>518.1</v>
      </c>
      <c r="AU604" s="222">
        <f t="shared" si="1982"/>
        <v>363.6</v>
      </c>
      <c r="AV604" s="220"/>
      <c r="AW604" s="220">
        <f t="shared" si="1856"/>
        <v>363.6</v>
      </c>
      <c r="AX604" s="216">
        <f t="shared" si="1811"/>
        <v>0</v>
      </c>
      <c r="AY604" s="220">
        <f t="shared" si="1866"/>
        <v>0</v>
      </c>
      <c r="AZ604" s="220">
        <f t="shared" si="1867"/>
        <v>0</v>
      </c>
      <c r="BA604" s="220">
        <f t="shared" si="1868"/>
        <v>60</v>
      </c>
      <c r="BB604" s="220">
        <f t="shared" si="1869"/>
        <v>0</v>
      </c>
      <c r="BC604" s="220">
        <f t="shared" si="1870"/>
        <v>0</v>
      </c>
      <c r="BD604" s="216">
        <f t="shared" si="1987"/>
        <v>60</v>
      </c>
      <c r="BE604" s="220">
        <f t="shared" si="1857"/>
        <v>0</v>
      </c>
      <c r="BF604" s="220">
        <f t="shared" si="1858"/>
        <v>0</v>
      </c>
      <c r="BG604" s="220">
        <f t="shared" si="1859"/>
        <v>0</v>
      </c>
      <c r="BH604" s="220">
        <f t="shared" si="1860"/>
        <v>0</v>
      </c>
      <c r="BI604" s="220">
        <f t="shared" si="1861"/>
        <v>0</v>
      </c>
      <c r="BJ604" s="220" t="s">
        <v>1919</v>
      </c>
      <c r="BK604" s="220"/>
      <c r="BL604" s="223">
        <f t="shared" si="1784"/>
        <v>363.6</v>
      </c>
      <c r="BM604" s="220">
        <v>3</v>
      </c>
      <c r="BN604" s="220"/>
      <c r="BO604" s="220">
        <f t="shared" si="1967"/>
        <v>3</v>
      </c>
      <c r="BP604" s="220">
        <f>IF(AND(BL604&gt;0,BL604&lt;tiet!$D$1),BL604,IF(BL604&lt;=0,0,IF(BL604&gt;tiet!$C$1,tiet!$C$1)))</f>
        <v>200</v>
      </c>
      <c r="BQ604" s="87">
        <f t="shared" si="1903"/>
        <v>60000</v>
      </c>
      <c r="BR604" s="224">
        <f t="shared" si="1904"/>
        <v>12000000</v>
      </c>
      <c r="BS604" s="220">
        <f t="shared" si="1933"/>
        <v>163.60000000000002</v>
      </c>
      <c r="BT604" s="224">
        <f>VLOOKUP(N604,ma_dinhmuc!$A$1:$J$31,10,0)</f>
        <v>51000</v>
      </c>
      <c r="BU604" s="224">
        <f>ROUND(IF(BS604&gt;0,VLOOKUP(N604,ma_dinhmuc!$A$1:$J$31,10,0)*BS604,0),0)</f>
        <v>8343600</v>
      </c>
      <c r="BV604" s="224">
        <f t="shared" si="1905"/>
        <v>20343600</v>
      </c>
      <c r="BW604" s="224"/>
      <c r="BX604" s="224">
        <v>0</v>
      </c>
      <c r="BY604" s="224"/>
      <c r="BZ604" s="224"/>
      <c r="CA604" s="224"/>
      <c r="CB604" s="224"/>
      <c r="CC604" s="225">
        <f t="shared" si="1968"/>
        <v>20343600</v>
      </c>
      <c r="CD604" s="224">
        <f t="shared" si="1969"/>
        <v>0</v>
      </c>
      <c r="CE604" s="224"/>
      <c r="CF604" s="226"/>
      <c r="CG604" s="87"/>
      <c r="CH604" s="87">
        <f t="shared" si="1988"/>
        <v>57</v>
      </c>
      <c r="CI604" s="227" t="str">
        <f t="shared" si="1992"/>
        <v>Trần Thị Thanh</v>
      </c>
      <c r="CJ604" s="227" t="str">
        <f t="shared" si="1993"/>
        <v>Huyền</v>
      </c>
      <c r="CK604" s="87">
        <f>H604</f>
        <v>11</v>
      </c>
      <c r="CL604" s="227" t="str">
        <f t="shared" si="1989"/>
        <v>Quản trị kinh doanh</v>
      </c>
      <c r="CM604" s="87" t="str">
        <f t="shared" si="1862"/>
        <v>CS2</v>
      </c>
      <c r="CN604" s="87">
        <f t="shared" si="1990"/>
        <v>270</v>
      </c>
      <c r="CO604" s="87">
        <f t="shared" si="1991"/>
        <v>100</v>
      </c>
      <c r="CP604" s="229">
        <f t="shared" si="1943"/>
        <v>0</v>
      </c>
      <c r="CQ604" s="229">
        <f t="shared" si="1944"/>
        <v>67.099999999999994</v>
      </c>
      <c r="CR604" s="229">
        <f t="shared" si="1945"/>
        <v>27.1</v>
      </c>
      <c r="CS604" s="229">
        <f t="shared" si="1946"/>
        <v>100.3</v>
      </c>
      <c r="CT604" s="229">
        <f t="shared" si="1947"/>
        <v>0</v>
      </c>
      <c r="CU604" s="229">
        <f t="shared" si="1948"/>
        <v>263.60000000000002</v>
      </c>
      <c r="CV604" s="229">
        <f t="shared" si="1949"/>
        <v>0</v>
      </c>
      <c r="CW604" s="229">
        <f t="shared" si="1950"/>
        <v>0</v>
      </c>
      <c r="CX604" s="229">
        <f t="shared" si="1951"/>
        <v>0</v>
      </c>
      <c r="CY604" s="229">
        <f t="shared" si="1952"/>
        <v>0</v>
      </c>
      <c r="CZ604" s="229">
        <f t="shared" si="1953"/>
        <v>0</v>
      </c>
      <c r="DA604" s="229">
        <f t="shared" si="1954"/>
        <v>60</v>
      </c>
      <c r="DB604" s="228">
        <f t="shared" si="1834"/>
        <v>518.1</v>
      </c>
      <c r="DC604" s="229"/>
      <c r="DD604" s="229"/>
      <c r="DE604" s="229"/>
      <c r="DF604" s="229"/>
      <c r="DG604" s="229"/>
      <c r="DH604" s="229"/>
      <c r="DI604" s="229"/>
      <c r="DJ604" s="229"/>
      <c r="DK604" s="229"/>
      <c r="DL604" s="229"/>
      <c r="DM604" s="229"/>
      <c r="DN604" s="229"/>
      <c r="DO604" s="228">
        <f t="shared" si="1835"/>
        <v>0</v>
      </c>
      <c r="DP604" s="228">
        <f t="shared" si="1836"/>
        <v>518.1</v>
      </c>
      <c r="DQ604" s="229">
        <f t="shared" si="1955"/>
        <v>0</v>
      </c>
      <c r="DR604" s="229">
        <f t="shared" si="1956"/>
        <v>0</v>
      </c>
      <c r="DS604" s="229">
        <f t="shared" si="1957"/>
        <v>0</v>
      </c>
      <c r="DT604" s="229">
        <f t="shared" si="1958"/>
        <v>0</v>
      </c>
      <c r="DU604" s="229">
        <f t="shared" si="1959"/>
        <v>0</v>
      </c>
      <c r="DV604" s="229">
        <f t="shared" si="1960"/>
        <v>0</v>
      </c>
      <c r="DW604" s="229">
        <f t="shared" si="1961"/>
        <v>0</v>
      </c>
      <c r="DX604" s="228">
        <f t="shared" si="1837"/>
        <v>0</v>
      </c>
      <c r="DY604" s="229"/>
      <c r="DZ604" s="229"/>
      <c r="EA604" s="229"/>
      <c r="EB604" s="229"/>
      <c r="EC604" s="229"/>
      <c r="ED604" s="229"/>
      <c r="EE604" s="229"/>
      <c r="EF604" s="228">
        <f t="shared" si="1939"/>
        <v>0</v>
      </c>
      <c r="EG604" s="228">
        <f t="shared" si="1838"/>
        <v>0</v>
      </c>
      <c r="EH604" s="229">
        <f t="shared" si="1940"/>
        <v>0</v>
      </c>
      <c r="EI604" s="229">
        <v>347.73</v>
      </c>
      <c r="EJ604" s="228">
        <f t="shared" si="1900"/>
        <v>347.73</v>
      </c>
      <c r="EK604" s="229"/>
      <c r="EL604" s="229"/>
      <c r="EM604" s="228">
        <f t="shared" si="1994"/>
        <v>0</v>
      </c>
      <c r="EN604" s="229">
        <f t="shared" si="1894"/>
        <v>0</v>
      </c>
      <c r="EO604" s="229">
        <f t="shared" si="1983"/>
        <v>347.73</v>
      </c>
      <c r="EP604" s="228">
        <f t="shared" si="1964"/>
        <v>347.73</v>
      </c>
      <c r="EQ604" s="173">
        <f t="shared" si="1934"/>
        <v>0</v>
      </c>
      <c r="ER604" s="189">
        <v>0</v>
      </c>
      <c r="ES604" s="189">
        <v>67.099999999999994</v>
      </c>
      <c r="ET604" s="189">
        <v>27.1</v>
      </c>
      <c r="EU604" s="189">
        <v>100.3</v>
      </c>
      <c r="EV604" s="189">
        <v>0</v>
      </c>
      <c r="EW604" s="189">
        <v>263.60000000000002</v>
      </c>
      <c r="EX604" s="189">
        <v>0</v>
      </c>
      <c r="EY604" s="189">
        <v>0</v>
      </c>
      <c r="EZ604" s="189">
        <v>0</v>
      </c>
      <c r="FA604" s="189">
        <v>0</v>
      </c>
      <c r="FB604" s="189">
        <v>0</v>
      </c>
      <c r="FC604" s="189">
        <v>60</v>
      </c>
      <c r="FD604" s="189">
        <v>0</v>
      </c>
      <c r="FE604" s="189">
        <v>0</v>
      </c>
      <c r="FF604" s="189">
        <v>0</v>
      </c>
      <c r="FG604" s="189">
        <v>0</v>
      </c>
      <c r="FH604" s="189">
        <v>0</v>
      </c>
      <c r="FI604" s="189">
        <v>0</v>
      </c>
      <c r="FJ604" s="189">
        <v>0</v>
      </c>
      <c r="FK604" s="189">
        <v>518.1</v>
      </c>
      <c r="FL604" s="189">
        <v>399.3</v>
      </c>
      <c r="FN604" s="132">
        <v>0</v>
      </c>
    </row>
    <row r="605" spans="1:170" ht="30" customHeight="1">
      <c r="A605" s="88">
        <f>COUNTIF($H$12:H605,H605)</f>
        <v>58</v>
      </c>
      <c r="B605" s="88" t="s">
        <v>783</v>
      </c>
      <c r="C605" s="88" t="s">
        <v>1374</v>
      </c>
      <c r="D605" s="88"/>
      <c r="E605" s="88"/>
      <c r="F605" s="301" t="s">
        <v>2912</v>
      </c>
      <c r="G605" s="303" t="s">
        <v>1648</v>
      </c>
      <c r="H605" s="88">
        <v>11</v>
      </c>
      <c r="I605" s="88">
        <v>11</v>
      </c>
      <c r="J605" s="88">
        <v>11</v>
      </c>
      <c r="K605" s="90" t="s">
        <v>1665</v>
      </c>
      <c r="L605" s="90" t="s">
        <v>1665</v>
      </c>
      <c r="M605" s="214"/>
      <c r="N605" s="88" t="s">
        <v>1804</v>
      </c>
      <c r="O605" s="216">
        <f t="shared" si="1962"/>
        <v>3.33</v>
      </c>
      <c r="P605" s="88" t="str">
        <f t="shared" si="1785"/>
        <v>B1_4</v>
      </c>
      <c r="Q605" s="88">
        <f t="shared" si="1935"/>
        <v>270</v>
      </c>
      <c r="R605" s="88">
        <f t="shared" si="1936"/>
        <v>120</v>
      </c>
      <c r="S605" s="218"/>
      <c r="T605" s="88" t="s">
        <v>3088</v>
      </c>
      <c r="U605" s="88">
        <f>IF(RIGHT(T605,1)="K",(VLOOKUP(T605,ma_miengiam!$A$3:$B$80,2,0)*100)/2,VLOOKUP(T605,ma_miengiam!$A$3:$B$80,2,0)*100)</f>
        <v>0</v>
      </c>
      <c r="V605" s="88"/>
      <c r="W605" s="220">
        <f>IF(AND(T605="NTS",V605&gt;0),(Q605-(Q605*V605)/12)*VLOOKUP(T605,ma_miengiam!$A$3:$B$80,2,0)+(Q605-(Q605*(12-V605))/12),IF(AND(RIGHT(T605,1)="K",V605&gt;0),(VLOOKUP(T605,ma_miengiam!$A$3:$B$80,2,0)/2)*(Q605*V605)/12,IF(RIGHT(T605,1)="K",(VLOOKUP(T605,ma_miengiam!$A$3:$B$80,2,0)*Q605)/2,IF(V605&gt;0,VLOOKUP(T605,ma_miengiam!$A$3:$B$80,2,0)*Q605*V605/12,VLOOKUP(T605,ma_miengiam!$A$3:$B$80,2,0)*Q605))))</f>
        <v>0</v>
      </c>
      <c r="X605" s="220">
        <f>IF(T605="NTS",VLOOKUP(T605,ma_miengiam!$A$3:$B$80,2,0)*R605*V605,IF(AND(T605="NTS",V605=0),0,IF(AND(LEFT(T605,1)="K",V605=0),VLOOKUP(T605,ma_miengiam!$A$3:$B$80,2,0)*R605,IF(LEFT(T605,1)="K",(VLOOKUP(T605,ma_miengiam!$A$3:$B$80,2,0)*R605/12)*V605,IF(AND(LEFT(T605,1)="S",V605&gt;0),(R605/12)*V605,IF(AND(LEFT(T605,1)="S",V605=0),R605,IF(T605="DH",VLOOKUP(T605,ma_miengiam!$A$3:$B$80,2,0)*R605,0)))))))</f>
        <v>0</v>
      </c>
      <c r="Y605" s="220">
        <f t="shared" si="1963"/>
        <v>270</v>
      </c>
      <c r="Z605" s="220">
        <f t="shared" si="1995"/>
        <v>120</v>
      </c>
      <c r="AA605" s="220">
        <f t="shared" ref="AA605:AB609" si="1997">Q605</f>
        <v>270</v>
      </c>
      <c r="AB605" s="220">
        <f t="shared" si="1997"/>
        <v>120</v>
      </c>
      <c r="AC605" s="220">
        <f t="shared" si="1996"/>
        <v>0</v>
      </c>
      <c r="AD605" s="220">
        <f t="shared" si="1996"/>
        <v>0</v>
      </c>
      <c r="AE605" s="220">
        <f t="shared" si="1996"/>
        <v>270</v>
      </c>
      <c r="AF605" s="220">
        <f t="shared" si="1996"/>
        <v>120</v>
      </c>
      <c r="AG605" s="220">
        <f t="shared" ref="AG605:AG613" si="1998">AH605+AI605</f>
        <v>497.73</v>
      </c>
      <c r="AH605" s="220">
        <f t="shared" ref="AH605:AH613" si="1999">EO605</f>
        <v>372.73</v>
      </c>
      <c r="AI605" s="220">
        <f t="shared" ref="AI605:AI613" si="2000">EN605</f>
        <v>125</v>
      </c>
      <c r="AJ605" s="220">
        <f t="shared" si="1902"/>
        <v>0</v>
      </c>
      <c r="AK605" s="216">
        <f t="shared" si="1812"/>
        <v>270</v>
      </c>
      <c r="AL605" s="220">
        <f t="shared" si="1819"/>
        <v>390.2</v>
      </c>
      <c r="AM605" s="220">
        <f t="shared" si="1820"/>
        <v>0</v>
      </c>
      <c r="AN605" s="221">
        <f t="shared" si="1821"/>
        <v>390.2</v>
      </c>
      <c r="AO605" s="220">
        <f t="shared" si="1822"/>
        <v>0</v>
      </c>
      <c r="AP605" s="220">
        <f t="shared" si="1823"/>
        <v>0</v>
      </c>
      <c r="AQ605" s="220">
        <f t="shared" si="1824"/>
        <v>60</v>
      </c>
      <c r="AR605" s="220">
        <f t="shared" si="1825"/>
        <v>0</v>
      </c>
      <c r="AS605" s="220">
        <f t="shared" si="1826"/>
        <v>0</v>
      </c>
      <c r="AT605" s="216">
        <f t="shared" si="1827"/>
        <v>450.2</v>
      </c>
      <c r="AU605" s="222">
        <f t="shared" si="1982"/>
        <v>120.19999999999999</v>
      </c>
      <c r="AV605" s="220"/>
      <c r="AW605" s="220">
        <f t="shared" si="1856"/>
        <v>120.19999999999999</v>
      </c>
      <c r="AX605" s="216">
        <f t="shared" si="1811"/>
        <v>0</v>
      </c>
      <c r="AY605" s="220">
        <f t="shared" si="1866"/>
        <v>0</v>
      </c>
      <c r="AZ605" s="220">
        <f t="shared" si="1867"/>
        <v>0</v>
      </c>
      <c r="BA605" s="220">
        <f t="shared" si="1868"/>
        <v>60</v>
      </c>
      <c r="BB605" s="220">
        <f t="shared" si="1869"/>
        <v>0</v>
      </c>
      <c r="BC605" s="220">
        <f t="shared" si="1870"/>
        <v>0</v>
      </c>
      <c r="BD605" s="216">
        <f t="shared" si="1987"/>
        <v>60</v>
      </c>
      <c r="BE605" s="220">
        <f t="shared" si="1857"/>
        <v>0</v>
      </c>
      <c r="BF605" s="220">
        <f t="shared" si="1858"/>
        <v>0</v>
      </c>
      <c r="BG605" s="220">
        <f t="shared" si="1859"/>
        <v>0</v>
      </c>
      <c r="BH605" s="220">
        <f t="shared" si="1860"/>
        <v>0</v>
      </c>
      <c r="BI605" s="220">
        <f t="shared" si="1861"/>
        <v>0</v>
      </c>
      <c r="BJ605" s="220" t="s">
        <v>1919</v>
      </c>
      <c r="BK605" s="220"/>
      <c r="BL605" s="223">
        <f t="shared" si="1784"/>
        <v>120.19999999999999</v>
      </c>
      <c r="BM605" s="220">
        <v>3.33</v>
      </c>
      <c r="BN605" s="220"/>
      <c r="BO605" s="220">
        <f t="shared" ref="BO605:BO622" si="2001">ROUND(BM605+(BM605*BN605),2)</f>
        <v>3.33</v>
      </c>
      <c r="BP605" s="220">
        <f>IF(AND(BL605&gt;0,BL605&lt;tiet!$D$1),BL605,IF(BL605&lt;=0,0,IF(BL605&gt;tiet!$C$1,tiet!$C$1)))</f>
        <v>120.19999999999999</v>
      </c>
      <c r="BQ605" s="87">
        <f t="shared" si="1903"/>
        <v>65000</v>
      </c>
      <c r="BR605" s="224">
        <f t="shared" si="1904"/>
        <v>7813000</v>
      </c>
      <c r="BS605" s="220">
        <f t="shared" si="1933"/>
        <v>0</v>
      </c>
      <c r="BT605" s="224">
        <f>VLOOKUP(N605,ma_dinhmuc!$A$1:$J$31,10,0)</f>
        <v>51000</v>
      </c>
      <c r="BU605" s="224">
        <f>ROUND(IF(BS605&gt;0,VLOOKUP(N605,ma_dinhmuc!$A$1:$J$31,10,0)*BS605,0),0)</f>
        <v>0</v>
      </c>
      <c r="BV605" s="224">
        <f t="shared" si="1905"/>
        <v>7813000</v>
      </c>
      <c r="BW605" s="224"/>
      <c r="BX605" s="224">
        <v>0</v>
      </c>
      <c r="BY605" s="224"/>
      <c r="BZ605" s="224"/>
      <c r="CA605" s="224"/>
      <c r="CB605" s="224"/>
      <c r="CC605" s="225">
        <f t="shared" si="1968"/>
        <v>7813000</v>
      </c>
      <c r="CD605" s="224">
        <f t="shared" si="1969"/>
        <v>0</v>
      </c>
      <c r="CE605" s="224"/>
      <c r="CF605" s="226"/>
      <c r="CG605" s="87"/>
      <c r="CH605" s="87">
        <f t="shared" si="1988"/>
        <v>58</v>
      </c>
      <c r="CI605" s="227" t="str">
        <f t="shared" si="1992"/>
        <v>Nguyễn Thị Thu</v>
      </c>
      <c r="CJ605" s="227" t="str">
        <f t="shared" si="1993"/>
        <v>Trang</v>
      </c>
      <c r="CK605" s="87">
        <f t="shared" ref="CK605:CK610" si="2002">H605</f>
        <v>11</v>
      </c>
      <c r="CL605" s="227" t="str">
        <f t="shared" si="1989"/>
        <v>Quản trị kinh doanh</v>
      </c>
      <c r="CM605" s="87" t="str">
        <f t="shared" si="1862"/>
        <v>CS2</v>
      </c>
      <c r="CN605" s="87">
        <f t="shared" ref="CN605:CO609" si="2003">Q605</f>
        <v>270</v>
      </c>
      <c r="CO605" s="87">
        <f t="shared" si="2003"/>
        <v>120</v>
      </c>
      <c r="CP605" s="229">
        <f t="shared" si="1943"/>
        <v>0</v>
      </c>
      <c r="CQ605" s="229">
        <f t="shared" si="1944"/>
        <v>53.6</v>
      </c>
      <c r="CR605" s="229">
        <f t="shared" si="1945"/>
        <v>21.5</v>
      </c>
      <c r="CS605" s="229">
        <f t="shared" si="1946"/>
        <v>61.9</v>
      </c>
      <c r="CT605" s="229">
        <f t="shared" si="1947"/>
        <v>0</v>
      </c>
      <c r="CU605" s="229">
        <f t="shared" si="1948"/>
        <v>253.2</v>
      </c>
      <c r="CV605" s="229">
        <f t="shared" si="1949"/>
        <v>0</v>
      </c>
      <c r="CW605" s="229">
        <f t="shared" si="1950"/>
        <v>0</v>
      </c>
      <c r="CX605" s="229">
        <f t="shared" si="1951"/>
        <v>0</v>
      </c>
      <c r="CY605" s="229">
        <f t="shared" si="1952"/>
        <v>0</v>
      </c>
      <c r="CZ605" s="229">
        <f t="shared" si="1953"/>
        <v>0</v>
      </c>
      <c r="DA605" s="229">
        <f t="shared" si="1954"/>
        <v>60</v>
      </c>
      <c r="DB605" s="228">
        <f t="shared" si="1834"/>
        <v>450.2</v>
      </c>
      <c r="DC605" s="229"/>
      <c r="DD605" s="229"/>
      <c r="DE605" s="229"/>
      <c r="DF605" s="229"/>
      <c r="DG605" s="229"/>
      <c r="DH605" s="229"/>
      <c r="DI605" s="229"/>
      <c r="DJ605" s="229"/>
      <c r="DK605" s="229"/>
      <c r="DL605" s="229"/>
      <c r="DM605" s="229"/>
      <c r="DN605" s="229"/>
      <c r="DO605" s="228">
        <f t="shared" si="1835"/>
        <v>0</v>
      </c>
      <c r="DP605" s="228">
        <f t="shared" si="1836"/>
        <v>450.2</v>
      </c>
      <c r="DQ605" s="229">
        <f t="shared" si="1955"/>
        <v>0</v>
      </c>
      <c r="DR605" s="229">
        <f t="shared" si="1956"/>
        <v>0</v>
      </c>
      <c r="DS605" s="229">
        <f t="shared" si="1957"/>
        <v>0</v>
      </c>
      <c r="DT605" s="229">
        <f t="shared" si="1958"/>
        <v>0</v>
      </c>
      <c r="DU605" s="229">
        <f t="shared" si="1959"/>
        <v>0</v>
      </c>
      <c r="DV605" s="229">
        <f t="shared" si="1960"/>
        <v>0</v>
      </c>
      <c r="DW605" s="229">
        <f t="shared" si="1961"/>
        <v>0</v>
      </c>
      <c r="DX605" s="228">
        <f t="shared" si="1837"/>
        <v>0</v>
      </c>
      <c r="DY605" s="229"/>
      <c r="DZ605" s="229"/>
      <c r="EA605" s="229"/>
      <c r="EB605" s="229"/>
      <c r="EC605" s="229"/>
      <c r="ED605" s="229"/>
      <c r="EE605" s="229"/>
      <c r="EF605" s="228">
        <f t="shared" si="1939"/>
        <v>0</v>
      </c>
      <c r="EG605" s="228">
        <f t="shared" si="1838"/>
        <v>0</v>
      </c>
      <c r="EH605" s="229">
        <f t="shared" si="1940"/>
        <v>125</v>
      </c>
      <c r="EI605" s="229">
        <v>372.73</v>
      </c>
      <c r="EJ605" s="228">
        <f t="shared" si="1900"/>
        <v>497.73</v>
      </c>
      <c r="EK605" s="229"/>
      <c r="EL605" s="229"/>
      <c r="EM605" s="228">
        <f t="shared" si="1994"/>
        <v>0</v>
      </c>
      <c r="EN605" s="229">
        <f t="shared" si="1894"/>
        <v>125</v>
      </c>
      <c r="EO605" s="229">
        <f t="shared" si="1983"/>
        <v>372.73</v>
      </c>
      <c r="EP605" s="228">
        <f t="shared" si="1964"/>
        <v>497.73</v>
      </c>
      <c r="EQ605" s="173">
        <f t="shared" si="1934"/>
        <v>5</v>
      </c>
      <c r="ER605" s="189">
        <v>0</v>
      </c>
      <c r="ES605" s="189">
        <v>53.6</v>
      </c>
      <c r="ET605" s="189">
        <v>21.5</v>
      </c>
      <c r="EU605" s="189">
        <v>61.9</v>
      </c>
      <c r="EV605" s="189">
        <v>0</v>
      </c>
      <c r="EW605" s="189">
        <v>253.2</v>
      </c>
      <c r="EX605" s="189">
        <v>0</v>
      </c>
      <c r="EY605" s="189">
        <v>0</v>
      </c>
      <c r="EZ605" s="189">
        <v>0</v>
      </c>
      <c r="FA605" s="189">
        <v>0</v>
      </c>
      <c r="FB605" s="189">
        <v>0</v>
      </c>
      <c r="FC605" s="189">
        <v>60</v>
      </c>
      <c r="FD605" s="189">
        <v>0</v>
      </c>
      <c r="FE605" s="189">
        <v>0</v>
      </c>
      <c r="FF605" s="189">
        <v>0</v>
      </c>
      <c r="FG605" s="189">
        <v>0</v>
      </c>
      <c r="FH605" s="189">
        <v>0</v>
      </c>
      <c r="FI605" s="189">
        <v>0</v>
      </c>
      <c r="FJ605" s="189">
        <v>0</v>
      </c>
      <c r="FK605" s="189">
        <v>450.2</v>
      </c>
      <c r="FL605" s="189">
        <v>343.9</v>
      </c>
      <c r="FN605" s="132">
        <v>125</v>
      </c>
    </row>
    <row r="606" spans="1:170" ht="30" customHeight="1">
      <c r="A606" s="88">
        <f>COUNTIF($H$12:H606,H606)</f>
        <v>59</v>
      </c>
      <c r="B606" s="88" t="s">
        <v>784</v>
      </c>
      <c r="C606" s="88" t="s">
        <v>1375</v>
      </c>
      <c r="D606" s="88"/>
      <c r="E606" s="88"/>
      <c r="F606" s="301" t="s">
        <v>3048</v>
      </c>
      <c r="G606" s="303" t="s">
        <v>1503</v>
      </c>
      <c r="H606" s="88">
        <v>11</v>
      </c>
      <c r="I606" s="88">
        <v>11</v>
      </c>
      <c r="J606" s="88">
        <v>11</v>
      </c>
      <c r="K606" s="90" t="s">
        <v>1665</v>
      </c>
      <c r="L606" s="90" t="s">
        <v>1665</v>
      </c>
      <c r="M606" s="214"/>
      <c r="N606" s="88" t="s">
        <v>1804</v>
      </c>
      <c r="O606" s="216">
        <f t="shared" si="1962"/>
        <v>3</v>
      </c>
      <c r="P606" s="88" t="str">
        <f t="shared" si="1785"/>
        <v>B1_3</v>
      </c>
      <c r="Q606" s="88">
        <f t="shared" si="1935"/>
        <v>270</v>
      </c>
      <c r="R606" s="88">
        <f t="shared" si="1936"/>
        <v>100</v>
      </c>
      <c r="S606" s="218" t="s">
        <v>2396</v>
      </c>
      <c r="T606" s="88" t="s">
        <v>3091</v>
      </c>
      <c r="U606" s="88">
        <f>IF(RIGHT(T606,1)="K",(VLOOKUP(T606,ma_miengiam!$A$3:$B$80,2,0)*100)/2,VLOOKUP(T606,ma_miengiam!$A$3:$B$80,2,0)*100)</f>
        <v>20</v>
      </c>
      <c r="V606" s="88"/>
      <c r="W606" s="220">
        <f>IF(AND(T606="NTS",V606&gt;0),(Q606-(Q606*V606)/12)*VLOOKUP(T606,ma_miengiam!$A$3:$B$80,2,0)+(Q606-(Q606*(12-V606))/12),IF(AND(RIGHT(T606,1)="K",V606&gt;0),(VLOOKUP(T606,ma_miengiam!$A$3:$B$80,2,0)/2)*(Q606*V606)/12,IF(RIGHT(T606,1)="K",(VLOOKUP(T606,ma_miengiam!$A$3:$B$80,2,0)*Q606)/2,IF(V606&gt;0,VLOOKUP(T606,ma_miengiam!$A$3:$B$80,2,0)*Q606*V606/12,VLOOKUP(T606,ma_miengiam!$A$3:$B$80,2,0)*Q606))))</f>
        <v>54</v>
      </c>
      <c r="X606" s="220">
        <f>IF(T606="NTS",VLOOKUP(T606,ma_miengiam!$A$3:$B$80,2,0)*R606*V606,IF(AND(T606="NTS",V606=0),0,IF(AND(LEFT(T606,1)="K",V606=0),VLOOKUP(T606,ma_miengiam!$A$3:$B$80,2,0)*R606,IF(LEFT(T606,1)="K",(VLOOKUP(T606,ma_miengiam!$A$3:$B$80,2,0)*R606/12)*V606,IF(AND(LEFT(T606,1)="S",V606&gt;0),(R606/12)*V606,IF(AND(LEFT(T606,1)="S",V606=0),R606,IF(T606="DH",VLOOKUP(T606,ma_miengiam!$A$3:$B$80,2,0)*R606,0)))))))</f>
        <v>0</v>
      </c>
      <c r="Y606" s="220">
        <f t="shared" si="1963"/>
        <v>216</v>
      </c>
      <c r="Z606" s="220">
        <f t="shared" si="1995"/>
        <v>100</v>
      </c>
      <c r="AA606" s="220">
        <f t="shared" si="1997"/>
        <v>270</v>
      </c>
      <c r="AB606" s="220">
        <f t="shared" si="1997"/>
        <v>100</v>
      </c>
      <c r="AC606" s="220">
        <f t="shared" ref="AC606:AF609" si="2004">W606</f>
        <v>54</v>
      </c>
      <c r="AD606" s="220">
        <f t="shared" si="2004"/>
        <v>0</v>
      </c>
      <c r="AE606" s="220">
        <f t="shared" si="2004"/>
        <v>216</v>
      </c>
      <c r="AF606" s="220">
        <f t="shared" si="2004"/>
        <v>100</v>
      </c>
      <c r="AG606" s="220">
        <f t="shared" si="1998"/>
        <v>602.73</v>
      </c>
      <c r="AH606" s="220">
        <f t="shared" si="1999"/>
        <v>477.73</v>
      </c>
      <c r="AI606" s="220">
        <f t="shared" si="2000"/>
        <v>125</v>
      </c>
      <c r="AJ606" s="220">
        <f t="shared" si="1902"/>
        <v>0</v>
      </c>
      <c r="AK606" s="216">
        <f t="shared" si="1812"/>
        <v>216</v>
      </c>
      <c r="AL606" s="220">
        <f t="shared" si="1819"/>
        <v>273.39999999999998</v>
      </c>
      <c r="AM606" s="220">
        <f t="shared" si="1820"/>
        <v>0</v>
      </c>
      <c r="AN606" s="216">
        <f t="shared" si="1821"/>
        <v>273.39999999999998</v>
      </c>
      <c r="AO606" s="220">
        <f t="shared" si="1822"/>
        <v>0</v>
      </c>
      <c r="AP606" s="220">
        <f t="shared" si="1823"/>
        <v>0</v>
      </c>
      <c r="AQ606" s="220">
        <f t="shared" si="1824"/>
        <v>80</v>
      </c>
      <c r="AR606" s="220">
        <f t="shared" si="1825"/>
        <v>0</v>
      </c>
      <c r="AS606" s="220">
        <f t="shared" si="1826"/>
        <v>0</v>
      </c>
      <c r="AT606" s="216">
        <f t="shared" si="1827"/>
        <v>353.4</v>
      </c>
      <c r="AU606" s="220">
        <f t="shared" si="1982"/>
        <v>57.399999999999977</v>
      </c>
      <c r="AV606" s="220"/>
      <c r="AW606" s="220">
        <f t="shared" si="1856"/>
        <v>57.399999999999977</v>
      </c>
      <c r="AX606" s="216">
        <f t="shared" si="1811"/>
        <v>0</v>
      </c>
      <c r="AY606" s="220">
        <f t="shared" si="1866"/>
        <v>0</v>
      </c>
      <c r="AZ606" s="220">
        <f t="shared" si="1867"/>
        <v>0</v>
      </c>
      <c r="BA606" s="220">
        <f t="shared" si="1868"/>
        <v>80</v>
      </c>
      <c r="BB606" s="220">
        <f t="shared" si="1869"/>
        <v>0</v>
      </c>
      <c r="BC606" s="220">
        <f t="shared" si="1870"/>
        <v>0</v>
      </c>
      <c r="BD606" s="216">
        <f t="shared" si="1987"/>
        <v>80</v>
      </c>
      <c r="BE606" s="220">
        <f t="shared" si="1857"/>
        <v>0</v>
      </c>
      <c r="BF606" s="220">
        <f t="shared" si="1858"/>
        <v>0</v>
      </c>
      <c r="BG606" s="220">
        <f t="shared" si="1859"/>
        <v>0</v>
      </c>
      <c r="BH606" s="220">
        <f t="shared" si="1860"/>
        <v>0</v>
      </c>
      <c r="BI606" s="220">
        <f t="shared" si="1861"/>
        <v>0</v>
      </c>
      <c r="BJ606" s="220" t="s">
        <v>1919</v>
      </c>
      <c r="BK606" s="220"/>
      <c r="BL606" s="223">
        <f t="shared" ref="BL606:BL667" si="2005">IF(AW606&lt;BK606,0,IF(AND(BK606=0,AW606&gt;0),AW606,IF(AW606&lt;0,0,IF(BK606&gt;0,AW606-BK606,IF(BK606&lt;0,0,AW606)))))</f>
        <v>57.399999999999977</v>
      </c>
      <c r="BM606" s="220">
        <v>3</v>
      </c>
      <c r="BN606" s="220"/>
      <c r="BO606" s="220">
        <f>ROUND(BM606+(BM606*BN606),2)</f>
        <v>3</v>
      </c>
      <c r="BP606" s="220">
        <f>IF(AND(BL606&gt;0,BL606&lt;tiet!$D$1),BL606,IF(BL606&lt;=0,0,IF(BL606&gt;tiet!$C$1,tiet!$C$1)))</f>
        <v>57.399999999999977</v>
      </c>
      <c r="BQ606" s="87">
        <f t="shared" si="1903"/>
        <v>60000</v>
      </c>
      <c r="BR606" s="224">
        <f t="shared" si="1904"/>
        <v>3444000</v>
      </c>
      <c r="BS606" s="220">
        <f t="shared" si="1933"/>
        <v>0</v>
      </c>
      <c r="BT606" s="224">
        <f>VLOOKUP(N606,ma_dinhmuc!$A$1:$J$31,10,0)</f>
        <v>51000</v>
      </c>
      <c r="BU606" s="224">
        <f>ROUND(IF(BS606&gt;0,VLOOKUP(N606,ma_dinhmuc!$A$1:$J$31,10,0)*BS606,0),0)</f>
        <v>0</v>
      </c>
      <c r="BV606" s="224">
        <f t="shared" si="1905"/>
        <v>3444000</v>
      </c>
      <c r="BW606" s="224"/>
      <c r="BX606" s="224">
        <v>0</v>
      </c>
      <c r="BY606" s="224"/>
      <c r="BZ606" s="224"/>
      <c r="CA606" s="224"/>
      <c r="CB606" s="224"/>
      <c r="CC606" s="225">
        <f t="shared" si="1968"/>
        <v>3444000</v>
      </c>
      <c r="CD606" s="224">
        <f t="shared" si="1969"/>
        <v>0</v>
      </c>
      <c r="CE606" s="224"/>
      <c r="CF606" s="226"/>
      <c r="CG606" s="87"/>
      <c r="CH606" s="87">
        <f t="shared" si="1988"/>
        <v>59</v>
      </c>
      <c r="CI606" s="227" t="str">
        <f t="shared" si="1992"/>
        <v>Đoàn Thị Ngọc</v>
      </c>
      <c r="CJ606" s="227" t="str">
        <f t="shared" si="1993"/>
        <v>Thúy</v>
      </c>
      <c r="CK606" s="87">
        <f t="shared" si="2002"/>
        <v>11</v>
      </c>
      <c r="CL606" s="227" t="str">
        <f t="shared" si="1989"/>
        <v>Quản trị kinh doanh</v>
      </c>
      <c r="CM606" s="87" t="str">
        <f t="shared" si="1862"/>
        <v>CS2</v>
      </c>
      <c r="CN606" s="87">
        <f t="shared" si="2003"/>
        <v>270</v>
      </c>
      <c r="CO606" s="87">
        <f t="shared" si="2003"/>
        <v>100</v>
      </c>
      <c r="CP606" s="229">
        <f t="shared" si="1943"/>
        <v>0</v>
      </c>
      <c r="CQ606" s="229">
        <f t="shared" si="1944"/>
        <v>41.3</v>
      </c>
      <c r="CR606" s="229">
        <f t="shared" si="1945"/>
        <v>16.5</v>
      </c>
      <c r="CS606" s="229">
        <f t="shared" si="1946"/>
        <v>0</v>
      </c>
      <c r="CT606" s="229">
        <f t="shared" si="1947"/>
        <v>0</v>
      </c>
      <c r="CU606" s="229">
        <f t="shared" si="1948"/>
        <v>215.6</v>
      </c>
      <c r="CV606" s="229">
        <f t="shared" si="1949"/>
        <v>0</v>
      </c>
      <c r="CW606" s="229">
        <f t="shared" si="1950"/>
        <v>0</v>
      </c>
      <c r="CX606" s="229">
        <f t="shared" si="1951"/>
        <v>0</v>
      </c>
      <c r="CY606" s="229">
        <f t="shared" si="1952"/>
        <v>0</v>
      </c>
      <c r="CZ606" s="229">
        <f t="shared" si="1953"/>
        <v>0</v>
      </c>
      <c r="DA606" s="229">
        <f t="shared" si="1954"/>
        <v>80</v>
      </c>
      <c r="DB606" s="228">
        <f t="shared" si="1834"/>
        <v>353.4</v>
      </c>
      <c r="DC606" s="229"/>
      <c r="DD606" s="229"/>
      <c r="DE606" s="229"/>
      <c r="DF606" s="229"/>
      <c r="DG606" s="229"/>
      <c r="DH606" s="229"/>
      <c r="DI606" s="229"/>
      <c r="DJ606" s="229"/>
      <c r="DK606" s="229"/>
      <c r="DL606" s="229"/>
      <c r="DM606" s="229"/>
      <c r="DN606" s="229"/>
      <c r="DO606" s="228">
        <f t="shared" si="1835"/>
        <v>0</v>
      </c>
      <c r="DP606" s="228">
        <f t="shared" si="1836"/>
        <v>353.4</v>
      </c>
      <c r="DQ606" s="229">
        <f t="shared" si="1955"/>
        <v>0</v>
      </c>
      <c r="DR606" s="229">
        <f t="shared" si="1956"/>
        <v>0</v>
      </c>
      <c r="DS606" s="229">
        <f t="shared" si="1957"/>
        <v>0</v>
      </c>
      <c r="DT606" s="229">
        <f t="shared" si="1958"/>
        <v>0</v>
      </c>
      <c r="DU606" s="229">
        <f t="shared" si="1959"/>
        <v>0</v>
      </c>
      <c r="DV606" s="229">
        <f t="shared" si="1960"/>
        <v>0</v>
      </c>
      <c r="DW606" s="229">
        <f t="shared" si="1961"/>
        <v>0</v>
      </c>
      <c r="DX606" s="228">
        <f t="shared" si="1837"/>
        <v>0</v>
      </c>
      <c r="DY606" s="229"/>
      <c r="DZ606" s="229"/>
      <c r="EA606" s="229"/>
      <c r="EB606" s="229"/>
      <c r="EC606" s="229"/>
      <c r="ED606" s="229"/>
      <c r="EE606" s="229"/>
      <c r="EF606" s="228">
        <f t="shared" si="1939"/>
        <v>0</v>
      </c>
      <c r="EG606" s="228">
        <f t="shared" si="1838"/>
        <v>0</v>
      </c>
      <c r="EH606" s="229">
        <f t="shared" si="1940"/>
        <v>125</v>
      </c>
      <c r="EI606" s="229">
        <v>477.73</v>
      </c>
      <c r="EJ606" s="228">
        <f t="shared" si="1900"/>
        <v>602.73</v>
      </c>
      <c r="EK606" s="229"/>
      <c r="EL606" s="229"/>
      <c r="EM606" s="228">
        <f t="shared" si="1994"/>
        <v>0</v>
      </c>
      <c r="EN606" s="229">
        <f t="shared" si="1894"/>
        <v>125</v>
      </c>
      <c r="EO606" s="229">
        <f t="shared" si="1983"/>
        <v>477.73</v>
      </c>
      <c r="EP606" s="228">
        <f t="shared" si="1964"/>
        <v>602.73</v>
      </c>
      <c r="EQ606" s="173">
        <f t="shared" si="1934"/>
        <v>25</v>
      </c>
      <c r="ER606" s="189">
        <v>0</v>
      </c>
      <c r="ES606" s="189">
        <v>41.3</v>
      </c>
      <c r="ET606" s="189">
        <v>16.5</v>
      </c>
      <c r="EU606" s="189">
        <v>0</v>
      </c>
      <c r="EV606" s="189">
        <v>0</v>
      </c>
      <c r="EW606" s="189">
        <v>215.6</v>
      </c>
      <c r="EX606" s="189">
        <v>0</v>
      </c>
      <c r="EY606" s="189">
        <v>0</v>
      </c>
      <c r="EZ606" s="189">
        <v>0</v>
      </c>
      <c r="FA606" s="189">
        <v>0</v>
      </c>
      <c r="FB606" s="189">
        <v>0</v>
      </c>
      <c r="FC606" s="189">
        <v>80</v>
      </c>
      <c r="FD606" s="189">
        <v>0</v>
      </c>
      <c r="FE606" s="189">
        <v>0</v>
      </c>
      <c r="FF606" s="189">
        <v>0</v>
      </c>
      <c r="FG606" s="189">
        <v>0</v>
      </c>
      <c r="FH606" s="189">
        <v>0</v>
      </c>
      <c r="FI606" s="189">
        <v>0</v>
      </c>
      <c r="FJ606" s="189">
        <v>0</v>
      </c>
      <c r="FK606" s="189">
        <v>353.4</v>
      </c>
      <c r="FL606" s="189">
        <v>285</v>
      </c>
      <c r="FN606" s="132">
        <v>125</v>
      </c>
    </row>
    <row r="607" spans="1:170" ht="30" customHeight="1">
      <c r="A607" s="88">
        <f>COUNTIF($H$12:H607,H607)</f>
        <v>60</v>
      </c>
      <c r="B607" s="88" t="s">
        <v>773</v>
      </c>
      <c r="C607" s="88" t="s">
        <v>1364</v>
      </c>
      <c r="D607" s="88"/>
      <c r="E607" s="88"/>
      <c r="F607" s="301" t="s">
        <v>3115</v>
      </c>
      <c r="G607" s="89" t="s">
        <v>2901</v>
      </c>
      <c r="H607" s="88">
        <v>11</v>
      </c>
      <c r="I607" s="88">
        <v>11</v>
      </c>
      <c r="J607" s="88">
        <v>11</v>
      </c>
      <c r="K607" s="90" t="s">
        <v>1665</v>
      </c>
      <c r="L607" s="90" t="s">
        <v>1665</v>
      </c>
      <c r="M607" s="214"/>
      <c r="N607" s="88" t="s">
        <v>1804</v>
      </c>
      <c r="O607" s="216">
        <f>BO607</f>
        <v>3.33</v>
      </c>
      <c r="P607" s="88" t="str">
        <f t="shared" si="1785"/>
        <v>B1_4</v>
      </c>
      <c r="Q607" s="88">
        <f t="shared" si="1935"/>
        <v>270</v>
      </c>
      <c r="R607" s="88">
        <f t="shared" si="1936"/>
        <v>120</v>
      </c>
      <c r="S607" s="234" t="s">
        <v>659</v>
      </c>
      <c r="T607" s="88" t="s">
        <v>2961</v>
      </c>
      <c r="U607" s="88">
        <f>IF(RIGHT(T607,1)="K",(VLOOKUP(T607,ma_miengiam!$A$3:$B$80,2,0)*100)/2,VLOOKUP(T607,ma_miengiam!$A$3:$B$80,2,0)*100)</f>
        <v>100</v>
      </c>
      <c r="V607" s="88"/>
      <c r="W607" s="220">
        <f>IF(AND(T607="NTS",V607&gt;0),(Q607-(Q607*V607)/12)*VLOOKUP(T607,ma_miengiam!$A$3:$B$80,2,0)+(Q607-(Q607*(12-V607))/12),IF(AND(RIGHT(T607,1)="K",V607&gt;0),(VLOOKUP(T607,ma_miengiam!$A$3:$B$80,2,0)/2)*(Q607*V607)/12,IF(RIGHT(T607,1)="K",(VLOOKUP(T607,ma_miengiam!$A$3:$B$80,2,0)*Q607)/2,IF(V607&gt;0,VLOOKUP(T607,ma_miengiam!$A$3:$B$80,2,0)*Q607*V607/12,VLOOKUP(T607,ma_miengiam!$A$3:$B$80,2,0)*Q607))))</f>
        <v>270</v>
      </c>
      <c r="X607" s="220">
        <f>IF(T607="NTS",VLOOKUP(T607,ma_miengiam!$A$3:$B$80,2,0)*R607*V607,IF(AND(T607="NTS",V607=0),0,IF(AND(LEFT(T607,1)="K",V607=0),VLOOKUP(T607,ma_miengiam!$A$3:$B$80,2,0)*R607,IF(LEFT(T607,1)="K",(VLOOKUP(T607,ma_miengiam!$A$3:$B$80,2,0)*R607/12)*V607,IF(AND(LEFT(T607,1)="S",V607&gt;0),(R607/12)*V607,IF(AND(LEFT(T607,1)="S",V607=0),R607,IF(T607="DH",VLOOKUP(T607,ma_miengiam!$A$3:$B$80,2,0)*R607,0)))))))</f>
        <v>120</v>
      </c>
      <c r="Y607" s="220">
        <f>IF(AND(T607="DH",V607&gt;0),(S607*V607/12),IF(AND(T607&lt;&gt;"NTS",V607&gt;0),(Q607*V607/12)-W607,IF(AND(T607="NTS",V607&gt;0),Q607-W607,Q607-W607)))</f>
        <v>0</v>
      </c>
      <c r="Z607" s="220">
        <f>IF(AND(T607="SĐH",V607&gt;0),(R607/12)*V607-X607,IF(AND(T607="DH",V607&gt;0),(R607*V607/12),IF(AND(T607&lt;&gt;"NTS",V607&gt;0),(R607*V607/12)-X607,IF(AND(T607="NTS",V607&gt;0),R607-X607,R607-X607))))</f>
        <v>0</v>
      </c>
      <c r="AA607" s="220">
        <f>Q607</f>
        <v>270</v>
      </c>
      <c r="AB607" s="220">
        <f>R607</f>
        <v>120</v>
      </c>
      <c r="AC607" s="220">
        <f t="shared" ref="AC607:AF608" si="2006">W607</f>
        <v>270</v>
      </c>
      <c r="AD607" s="220">
        <f t="shared" si="2006"/>
        <v>120</v>
      </c>
      <c r="AE607" s="220">
        <f t="shared" si="2006"/>
        <v>0</v>
      </c>
      <c r="AF607" s="220">
        <f t="shared" si="2006"/>
        <v>0</v>
      </c>
      <c r="AG607" s="220">
        <f>AH607+AI607</f>
        <v>372.73</v>
      </c>
      <c r="AH607" s="220">
        <f>EO607</f>
        <v>347.73</v>
      </c>
      <c r="AI607" s="220">
        <f>EN607</f>
        <v>25</v>
      </c>
      <c r="AJ607" s="220">
        <f>IF(AG607-Z607&gt;0,0,AG607-Z607)</f>
        <v>0</v>
      </c>
      <c r="AK607" s="216">
        <f t="shared" si="1812"/>
        <v>0</v>
      </c>
      <c r="AL607" s="220">
        <f>SUM(CP607:CX607)+SUM(DC607:DK607)</f>
        <v>0</v>
      </c>
      <c r="AM607" s="220">
        <f>SUM(DQ607:DU607)+SUM(DY607:EC607)</f>
        <v>0</v>
      </c>
      <c r="AN607" s="221">
        <f>AM607+AL607</f>
        <v>0</v>
      </c>
      <c r="AO607" s="220">
        <f t="shared" ref="AO607:AQ608" si="2007">CY607+DL607</f>
        <v>0</v>
      </c>
      <c r="AP607" s="220">
        <f t="shared" si="2007"/>
        <v>0</v>
      </c>
      <c r="AQ607" s="220">
        <f t="shared" si="2007"/>
        <v>0</v>
      </c>
      <c r="AR607" s="220">
        <f>DV607+ED607</f>
        <v>0</v>
      </c>
      <c r="AS607" s="220">
        <f>DW607+EE607</f>
        <v>0</v>
      </c>
      <c r="AT607" s="216">
        <f>AN607+SUM(AO607:AS607)</f>
        <v>0</v>
      </c>
      <c r="AU607" s="220">
        <f>AN607-AK607</f>
        <v>0</v>
      </c>
      <c r="AV607" s="220"/>
      <c r="AW607" s="220">
        <f>IF(AU607&gt;0,AU607,AV607+AU607)</f>
        <v>0</v>
      </c>
      <c r="AX607" s="216">
        <f t="shared" si="1811"/>
        <v>0</v>
      </c>
      <c r="AY607" s="220">
        <f>IF(AN607&gt;=AK607,AO607,IF(AN607+AO607-AK607&gt;=0,AN607+AO607-AK607,0))</f>
        <v>0</v>
      </c>
      <c r="AZ607" s="220">
        <f>IF(OR(AN607&gt;=AK607,AN607+AO607&gt;=AK607),AP607,IF(AN607+AO607+AP607&gt;AK607,AN607+AO607+AP607-AK607,0))</f>
        <v>0</v>
      </c>
      <c r="BA607" s="220">
        <f>IF(OR(AN607&gt;=AK607,AN607+AO607&gt;=AK607,AN607+AO607+AP607&gt;=AK607),AQ607,IF(AN607+AO607+AP607+AQ607&gt;=AK607,AN607+AO607+AP607+AQ607-AK607,0))</f>
        <v>0</v>
      </c>
      <c r="BB607" s="220">
        <f>IF(OR(AN607&gt;=AK607,AN607+AO607&gt;=AK607,AN607+AO607+AP607&gt;=AK607,AN607+AO607+AP607+AQ607&gt;=AK607),AR607,IF(AN607+AO607+AP607+AQ607+AR607&gt;=AK607,AN607+AO607+AP607+AQ607+AR607-AK607,0))</f>
        <v>0</v>
      </c>
      <c r="BC607" s="220">
        <f>IF(OR(AN607&gt;=AK607,AN607+AO607&gt;=AK607,AN607+AO607+AP607&gt;=AK607,AN607+AO607+AP607+AQ607&gt;=AK607,AN607+AO607+AP607+AQ607+AR607&gt;=AK607),AS607,IF(AN607+AO607+AP607+AQ607+AR607+AS607&gt;=AK607,AN607+AO607+AP607+AQ607+AR607+AS607-AK607,0))</f>
        <v>0</v>
      </c>
      <c r="BD607" s="216">
        <f t="shared" si="1987"/>
        <v>0</v>
      </c>
      <c r="BE607" s="220">
        <f t="shared" ref="BE607:BI608" si="2008">AY607-AO607</f>
        <v>0</v>
      </c>
      <c r="BF607" s="220">
        <f t="shared" si="2008"/>
        <v>0</v>
      </c>
      <c r="BG607" s="220">
        <f t="shared" si="2008"/>
        <v>0</v>
      </c>
      <c r="BH607" s="220">
        <f t="shared" si="2008"/>
        <v>0</v>
      </c>
      <c r="BI607" s="220">
        <f t="shared" si="2008"/>
        <v>0</v>
      </c>
      <c r="BJ607" s="220" t="s">
        <v>1919</v>
      </c>
      <c r="BK607" s="220"/>
      <c r="BL607" s="223">
        <f t="shared" si="2005"/>
        <v>0</v>
      </c>
      <c r="BM607" s="220">
        <v>3.33</v>
      </c>
      <c r="BN607" s="220"/>
      <c r="BO607" s="220">
        <f>ROUND(BM607+(BM607*BN607),2)</f>
        <v>3.33</v>
      </c>
      <c r="BP607" s="220">
        <f>IF(AND(BL607&gt;0,BL607&lt;tiet!$D$1),BL607,IF(BL607&lt;=0,0,IF(BL607&gt;tiet!$C$1,tiet!$C$1)))</f>
        <v>0</v>
      </c>
      <c r="BQ607" s="87">
        <f>VLOOKUP(P607,ma_dinhmuc_moi,4,0)</f>
        <v>65000</v>
      </c>
      <c r="BR607" s="224">
        <f>ROUND(BQ607*BP607,0)</f>
        <v>0</v>
      </c>
      <c r="BS607" s="220">
        <f t="shared" si="1933"/>
        <v>0</v>
      </c>
      <c r="BT607" s="224">
        <f>VLOOKUP(N607,ma_dinhmuc!$A$1:$J$31,10,0)</f>
        <v>51000</v>
      </c>
      <c r="BU607" s="224">
        <f>ROUND(IF(BS607&gt;0,VLOOKUP(N607,ma_dinhmuc!$A$1:$J$31,10,0)*BS607,0),0)</f>
        <v>0</v>
      </c>
      <c r="BV607" s="224">
        <f>ROUND(BU607+BR607,0)</f>
        <v>0</v>
      </c>
      <c r="BW607" s="224"/>
      <c r="BX607" s="224">
        <v>0</v>
      </c>
      <c r="BY607" s="224"/>
      <c r="BZ607" s="224"/>
      <c r="CA607" s="224"/>
      <c r="CB607" s="224"/>
      <c r="CC607" s="225">
        <f>ROUND(IF(BV607+BW607&gt;BX607+BY607+BZ607+CA607+CB607,(BW607+BV607)-(BX607+BY607+BZ607+CA607+CB607+CB607),0),0)</f>
        <v>0</v>
      </c>
      <c r="CD607" s="224">
        <f>ROUND(IF(BV607+BW607&lt;BX607+BY607+BZ607+CA607-CB607,(BX607+BY607+BZ607+CA607-CB607)-(BW607+BV607),0),0)</f>
        <v>0</v>
      </c>
      <c r="CE607" s="224"/>
      <c r="CF607" s="226"/>
      <c r="CG607" s="87"/>
      <c r="CH607" s="87">
        <f t="shared" si="1988"/>
        <v>60</v>
      </c>
      <c r="CI607" s="227" t="str">
        <f t="shared" si="1992"/>
        <v>Đồng Đạo</v>
      </c>
      <c r="CJ607" s="227" t="str">
        <f t="shared" si="1993"/>
        <v>Dũng</v>
      </c>
      <c r="CK607" s="87">
        <f t="shared" si="2002"/>
        <v>11</v>
      </c>
      <c r="CL607" s="227" t="str">
        <f t="shared" si="1989"/>
        <v>Quản trị kinh doanh</v>
      </c>
      <c r="CM607" s="87" t="str">
        <f>N607</f>
        <v>CS2</v>
      </c>
      <c r="CN607" s="87">
        <f t="shared" si="2003"/>
        <v>270</v>
      </c>
      <c r="CO607" s="87">
        <f t="shared" si="2003"/>
        <v>120</v>
      </c>
      <c r="CP607" s="229">
        <f t="shared" si="1943"/>
        <v>0</v>
      </c>
      <c r="CQ607" s="229">
        <f t="shared" si="1944"/>
        <v>0</v>
      </c>
      <c r="CR607" s="229">
        <f t="shared" si="1945"/>
        <v>0</v>
      </c>
      <c r="CS607" s="229">
        <f t="shared" si="1946"/>
        <v>0</v>
      </c>
      <c r="CT607" s="229">
        <f t="shared" si="1947"/>
        <v>0</v>
      </c>
      <c r="CU607" s="229">
        <f t="shared" si="1948"/>
        <v>0</v>
      </c>
      <c r="CV607" s="229">
        <f t="shared" si="1949"/>
        <v>0</v>
      </c>
      <c r="CW607" s="229">
        <f t="shared" si="1950"/>
        <v>0</v>
      </c>
      <c r="CX607" s="229">
        <f t="shared" si="1951"/>
        <v>0</v>
      </c>
      <c r="CY607" s="229">
        <f t="shared" si="1952"/>
        <v>0</v>
      </c>
      <c r="CZ607" s="229">
        <f t="shared" si="1953"/>
        <v>0</v>
      </c>
      <c r="DA607" s="229">
        <f t="shared" si="1954"/>
        <v>0</v>
      </c>
      <c r="DB607" s="228">
        <f>SUM(CP607:DA607)</f>
        <v>0</v>
      </c>
      <c r="DC607" s="229"/>
      <c r="DD607" s="229"/>
      <c r="DE607" s="229"/>
      <c r="DF607" s="229"/>
      <c r="DG607" s="229"/>
      <c r="DH607" s="229"/>
      <c r="DI607" s="229"/>
      <c r="DJ607" s="229"/>
      <c r="DK607" s="229"/>
      <c r="DL607" s="229"/>
      <c r="DM607" s="229"/>
      <c r="DN607" s="229"/>
      <c r="DO607" s="228">
        <f>SUM(DC607:DN607)</f>
        <v>0</v>
      </c>
      <c r="DP607" s="228">
        <f>DO607+DB607</f>
        <v>0</v>
      </c>
      <c r="DQ607" s="229">
        <f t="shared" si="1955"/>
        <v>0</v>
      </c>
      <c r="DR607" s="229">
        <f t="shared" si="1956"/>
        <v>0</v>
      </c>
      <c r="DS607" s="229">
        <f t="shared" si="1957"/>
        <v>0</v>
      </c>
      <c r="DT607" s="229">
        <f t="shared" si="1958"/>
        <v>0</v>
      </c>
      <c r="DU607" s="229">
        <f t="shared" si="1959"/>
        <v>0</v>
      </c>
      <c r="DV607" s="229">
        <f t="shared" si="1960"/>
        <v>0</v>
      </c>
      <c r="DW607" s="229">
        <f t="shared" si="1961"/>
        <v>0</v>
      </c>
      <c r="DX607" s="228">
        <f>SUM(DQ607:DW607)</f>
        <v>0</v>
      </c>
      <c r="DY607" s="229"/>
      <c r="DZ607" s="229"/>
      <c r="EA607" s="229"/>
      <c r="EB607" s="229"/>
      <c r="EC607" s="229"/>
      <c r="ED607" s="229"/>
      <c r="EE607" s="229"/>
      <c r="EF607" s="228">
        <f t="shared" si="1939"/>
        <v>0</v>
      </c>
      <c r="EG607" s="228">
        <f>EF607+DX607</f>
        <v>0</v>
      </c>
      <c r="EH607" s="229">
        <f t="shared" si="1940"/>
        <v>25</v>
      </c>
      <c r="EI607" s="229">
        <v>347.73</v>
      </c>
      <c r="EJ607" s="228">
        <f>SUM(EH607:EI607)</f>
        <v>372.73</v>
      </c>
      <c r="EK607" s="229"/>
      <c r="EL607" s="229"/>
      <c r="EM607" s="228">
        <f>SUM(EK607:EL607)</f>
        <v>0</v>
      </c>
      <c r="EN607" s="229">
        <f>EK607+EH607+EL607</f>
        <v>25</v>
      </c>
      <c r="EO607" s="229">
        <f>EI607</f>
        <v>347.73</v>
      </c>
      <c r="EP607" s="228">
        <f>EM607+EJ607</f>
        <v>372.73</v>
      </c>
      <c r="EQ607" s="173">
        <f t="shared" si="1934"/>
        <v>25</v>
      </c>
      <c r="ER607" s="189">
        <v>0</v>
      </c>
      <c r="ES607" s="189">
        <v>0</v>
      </c>
      <c r="ET607" s="189">
        <v>0</v>
      </c>
      <c r="EU607" s="189">
        <v>0</v>
      </c>
      <c r="EV607" s="189">
        <v>0</v>
      </c>
      <c r="EW607" s="189">
        <v>0</v>
      </c>
      <c r="EX607" s="189">
        <v>0</v>
      </c>
      <c r="EY607" s="189">
        <v>0</v>
      </c>
      <c r="EZ607" s="189">
        <v>0</v>
      </c>
      <c r="FA607" s="189">
        <v>0</v>
      </c>
      <c r="FB607" s="189">
        <v>0</v>
      </c>
      <c r="FC607" s="189">
        <v>0</v>
      </c>
      <c r="FD607" s="189">
        <v>0</v>
      </c>
      <c r="FE607" s="189">
        <v>0</v>
      </c>
      <c r="FF607" s="189">
        <v>0</v>
      </c>
      <c r="FG607" s="189">
        <v>0</v>
      </c>
      <c r="FH607" s="189">
        <v>0</v>
      </c>
      <c r="FI607" s="189">
        <v>0</v>
      </c>
      <c r="FJ607" s="189">
        <v>0</v>
      </c>
      <c r="FK607" s="189">
        <v>0</v>
      </c>
      <c r="FL607" s="189">
        <v>0</v>
      </c>
      <c r="FN607" s="132">
        <v>25</v>
      </c>
    </row>
    <row r="608" spans="1:170" ht="29.25" customHeight="1">
      <c r="A608" s="88">
        <f>COUNTIF($H$12:H608,H608)</f>
        <v>61</v>
      </c>
      <c r="B608" s="88" t="s">
        <v>778</v>
      </c>
      <c r="C608" s="88" t="s">
        <v>1369</v>
      </c>
      <c r="D608" s="88"/>
      <c r="E608" s="88"/>
      <c r="F608" s="301" t="s">
        <v>2908</v>
      </c>
      <c r="G608" s="89" t="s">
        <v>963</v>
      </c>
      <c r="H608" s="88">
        <v>11</v>
      </c>
      <c r="I608" s="88">
        <v>11</v>
      </c>
      <c r="J608" s="88">
        <v>11</v>
      </c>
      <c r="K608" s="90" t="s">
        <v>1665</v>
      </c>
      <c r="L608" s="90" t="s">
        <v>1665</v>
      </c>
      <c r="M608" s="214"/>
      <c r="N608" s="88" t="s">
        <v>1804</v>
      </c>
      <c r="O608" s="216">
        <f>BO608</f>
        <v>3</v>
      </c>
      <c r="P608" s="88" t="str">
        <f t="shared" ref="P608:P633" si="2009">IF(BO608&lt;3.33,"B1_3",IF(AND(BO608&gt;=3.33,BO608&lt;4.65),"B1_4",IF(AND(BO608&gt;=4.65,BO608&lt;5.42),"B1_5",IF(AND(BO608&gt;=5.42,BO608&lt;6.44),"B1_6",IF(AND(BO608&gt;=6.44,BO608&lt;=6.92),"B1_7","B1_8")))))</f>
        <v>B1_3</v>
      </c>
      <c r="Q608" s="88">
        <f t="shared" si="1935"/>
        <v>270</v>
      </c>
      <c r="R608" s="88">
        <f t="shared" si="1936"/>
        <v>100</v>
      </c>
      <c r="S608" s="234" t="s">
        <v>659</v>
      </c>
      <c r="T608" s="88" t="s">
        <v>2961</v>
      </c>
      <c r="U608" s="88">
        <f>IF(RIGHT(T608,1)="K",(VLOOKUP(T608,ma_miengiam!$A$3:$B$80,2,0)*100)/2,VLOOKUP(T608,ma_miengiam!$A$3:$B$80,2,0)*100)</f>
        <v>100</v>
      </c>
      <c r="V608" s="88"/>
      <c r="W608" s="220">
        <f>IF(AND(T608="NTS",V608&gt;0),(Q608-(Q608*V608)/12)*VLOOKUP(T608,ma_miengiam!$A$3:$B$80,2,0)+(Q608-(Q608*(12-V608))/12),IF(AND(RIGHT(T608,1)="K",V608&gt;0),(VLOOKUP(T608,ma_miengiam!$A$3:$B$80,2,0)/2)*(Q608*V608)/12,IF(RIGHT(T608,1)="K",(VLOOKUP(T608,ma_miengiam!$A$3:$B$80,2,0)*Q608)/2,IF(V608&gt;0,VLOOKUP(T608,ma_miengiam!$A$3:$B$80,2,0)*Q608*V608/12,VLOOKUP(T608,ma_miengiam!$A$3:$B$80,2,0)*Q608))))</f>
        <v>270</v>
      </c>
      <c r="X608" s="220">
        <f>IF(T608="NTS",VLOOKUP(T608,ma_miengiam!$A$3:$B$80,2,0)*R608*V608,IF(AND(T608="NTS",V608=0),0,IF(AND(LEFT(T608,1)="K",V608=0),VLOOKUP(T608,ma_miengiam!$A$3:$B$80,2,0)*R608,IF(LEFT(T608,1)="K",(VLOOKUP(T608,ma_miengiam!$A$3:$B$80,2,0)*R608/12)*V608,IF(AND(LEFT(T608,1)="S",V608&gt;0),(R608/12)*V608,IF(AND(LEFT(T608,1)="S",V608=0),R608,IF(T608="DH",VLOOKUP(T608,ma_miengiam!$A$3:$B$80,2,0)*R608,0)))))))</f>
        <v>100</v>
      </c>
      <c r="Y608" s="220">
        <f>IF(AND(T608="DH",V608&gt;0),(S608*V608/12),IF(AND(T608&lt;&gt;"NTS",V608&gt;0),(Q608*V608/12)-W608,IF(AND(T608="NTS",V608&gt;0),Q608-W608,Q608-W608)))</f>
        <v>0</v>
      </c>
      <c r="Z608" s="220">
        <f>IF(AND(T608="SĐH",V608&gt;0),(R608/12)*V608-X608,IF(AND(T608="DH",V608&gt;0),(R608*V608/12),IF(AND(T608&lt;&gt;"NTS",V608&gt;0),(R608*V608/12)-X608,IF(AND(T608="NTS",V608&gt;0),R608-X608,R608-X608))))</f>
        <v>0</v>
      </c>
      <c r="AA608" s="220">
        <f>Q608</f>
        <v>270</v>
      </c>
      <c r="AB608" s="220">
        <f>R608</f>
        <v>100</v>
      </c>
      <c r="AC608" s="220">
        <f t="shared" si="2006"/>
        <v>270</v>
      </c>
      <c r="AD608" s="220">
        <f t="shared" si="2006"/>
        <v>100</v>
      </c>
      <c r="AE608" s="220">
        <f t="shared" si="2006"/>
        <v>0</v>
      </c>
      <c r="AF608" s="220">
        <f t="shared" si="2006"/>
        <v>0</v>
      </c>
      <c r="AG608" s="220">
        <f>AH608+AI608</f>
        <v>169.25</v>
      </c>
      <c r="AH608" s="220">
        <f>EO608</f>
        <v>169.25</v>
      </c>
      <c r="AI608" s="220">
        <f>EN608</f>
        <v>0</v>
      </c>
      <c r="AJ608" s="220">
        <f>IF(AG608-Z608&gt;0,0,AG608-Z608)</f>
        <v>0</v>
      </c>
      <c r="AK608" s="216">
        <f t="shared" si="1812"/>
        <v>0</v>
      </c>
      <c r="AL608" s="220">
        <f>SUM(CP608:CX608)+SUM(DC608:DK608)</f>
        <v>0</v>
      </c>
      <c r="AM608" s="220">
        <f>SUM(DQ608:DU608)+SUM(DY608:EC608)</f>
        <v>0</v>
      </c>
      <c r="AN608" s="221">
        <f>AM608+AL608</f>
        <v>0</v>
      </c>
      <c r="AO608" s="220">
        <f t="shared" si="2007"/>
        <v>0</v>
      </c>
      <c r="AP608" s="220">
        <f t="shared" si="2007"/>
        <v>0</v>
      </c>
      <c r="AQ608" s="220">
        <f t="shared" si="2007"/>
        <v>0</v>
      </c>
      <c r="AR608" s="220">
        <f>DV608+ED608</f>
        <v>0</v>
      </c>
      <c r="AS608" s="220">
        <f>DW608+EE608</f>
        <v>0</v>
      </c>
      <c r="AT608" s="216">
        <f>AN608+SUM(AO608:AS608)</f>
        <v>0</v>
      </c>
      <c r="AU608" s="220">
        <f>AN608-AK608</f>
        <v>0</v>
      </c>
      <c r="AV608" s="220"/>
      <c r="AW608" s="220">
        <f>IF(AU608&gt;0,AU608,AV608+AU608)</f>
        <v>0</v>
      </c>
      <c r="AX608" s="216">
        <f t="shared" si="1811"/>
        <v>0</v>
      </c>
      <c r="AY608" s="220">
        <f>IF(AN608&gt;=AK608,AO608,IF(AN608+AO608-AK608&gt;=0,AN608+AO608-AK608,0))</f>
        <v>0</v>
      </c>
      <c r="AZ608" s="220">
        <f>IF(OR(AN608&gt;=AK608,AN608+AO608&gt;=AK608),AP608,IF(AN608+AO608+AP608&gt;AK608,AN608+AO608+AP608-AK608,0))</f>
        <v>0</v>
      </c>
      <c r="BA608" s="220">
        <f>IF(OR(AN608&gt;=AK608,AN608+AO608&gt;=AK608,AN608+AO608+AP608&gt;=AK608),AQ608,IF(AN608+AO608+AP608+AQ608&gt;=AK608,AN608+AO608+AP608+AQ608-AK608,0))</f>
        <v>0</v>
      </c>
      <c r="BB608" s="220">
        <f>IF(OR(AN608&gt;=AK608,AN608+AO608&gt;=AK608,AN608+AO608+AP608&gt;=AK608,AN608+AO608+AP608+AQ608&gt;=AK608),AR608,IF(AN608+AO608+AP608+AQ608+AR608&gt;=AK608,AN608+AO608+AP608+AQ608+AR608-AK608,0))</f>
        <v>0</v>
      </c>
      <c r="BC608" s="220">
        <f>IF(OR(AN608&gt;=AK608,AN608+AO608&gt;=AK608,AN608+AO608+AP608&gt;=AK608,AN608+AO608+AP608+AQ608&gt;=AK608,AN608+AO608+AP608+AQ608+AR608&gt;=AK608),AS608,IF(AN608+AO608+AP608+AQ608+AR608+AS608&gt;=AK608,AN608+AO608+AP608+AQ608+AR608+AS608-AK608,0))</f>
        <v>0</v>
      </c>
      <c r="BD608" s="216">
        <f t="shared" si="1987"/>
        <v>0</v>
      </c>
      <c r="BE608" s="220">
        <f t="shared" si="2008"/>
        <v>0</v>
      </c>
      <c r="BF608" s="220">
        <f t="shared" si="2008"/>
        <v>0</v>
      </c>
      <c r="BG608" s="220">
        <f t="shared" si="2008"/>
        <v>0</v>
      </c>
      <c r="BH608" s="220">
        <f t="shared" si="2008"/>
        <v>0</v>
      </c>
      <c r="BI608" s="220">
        <f t="shared" si="2008"/>
        <v>0</v>
      </c>
      <c r="BJ608" s="220" t="s">
        <v>1919</v>
      </c>
      <c r="BK608" s="220"/>
      <c r="BL608" s="223">
        <f t="shared" si="2005"/>
        <v>0</v>
      </c>
      <c r="BM608" s="220">
        <v>3</v>
      </c>
      <c r="BN608" s="220"/>
      <c r="BO608" s="220">
        <f>ROUND(BM608+(BM608*BN608),2)</f>
        <v>3</v>
      </c>
      <c r="BP608" s="220">
        <f>IF(AND(BL608&gt;0,BL608&lt;tiet!$D$1),BL608,IF(BL608&lt;=0,0,IF(BL608&gt;tiet!$C$1,tiet!$C$1)))</f>
        <v>0</v>
      </c>
      <c r="BQ608" s="87">
        <f>VLOOKUP(P608,ma_dinhmuc_moi,4,0)</f>
        <v>60000</v>
      </c>
      <c r="BR608" s="224">
        <f>ROUND(BQ608*BP608,0)</f>
        <v>0</v>
      </c>
      <c r="BS608" s="220">
        <f t="shared" si="1933"/>
        <v>0</v>
      </c>
      <c r="BT608" s="224">
        <f>VLOOKUP(N608,ma_dinhmuc!$A$1:$J$31,10,0)</f>
        <v>51000</v>
      </c>
      <c r="BU608" s="224">
        <f>ROUND(IF(BS608&gt;0,VLOOKUP(N608,ma_dinhmuc!$A$1:$J$31,10,0)*BS608,0),0)</f>
        <v>0</v>
      </c>
      <c r="BV608" s="224">
        <f>ROUND(BU608+BR608,0)</f>
        <v>0</v>
      </c>
      <c r="BW608" s="224"/>
      <c r="BX608" s="224">
        <v>0</v>
      </c>
      <c r="BY608" s="224"/>
      <c r="BZ608" s="224"/>
      <c r="CA608" s="224"/>
      <c r="CB608" s="224"/>
      <c r="CC608" s="225">
        <f>ROUND(IF(BV608+BW608&gt;BX608+BY608+BZ608+CA608+CB608,(BW608+BV608)-(BX608+BY608+BZ608+CA608+CB608+CB608),0),0)</f>
        <v>0</v>
      </c>
      <c r="CD608" s="224">
        <f>ROUND(IF(BV608+BW608&lt;BX608+BY608+BZ608+CA608-CB608,(BX608+BY608+BZ608+CA608-CB608)-(BW608+BV608),0),0)</f>
        <v>0</v>
      </c>
      <c r="CE608" s="224"/>
      <c r="CF608" s="226"/>
      <c r="CG608" s="87"/>
      <c r="CH608" s="87">
        <f t="shared" si="1988"/>
        <v>61</v>
      </c>
      <c r="CI608" s="227" t="str">
        <f t="shared" si="1992"/>
        <v>Lê Thị Thu</v>
      </c>
      <c r="CJ608" s="227" t="str">
        <f t="shared" si="1993"/>
        <v>Hương</v>
      </c>
      <c r="CK608" s="87">
        <f t="shared" si="2002"/>
        <v>11</v>
      </c>
      <c r="CL608" s="227" t="str">
        <f t="shared" si="1989"/>
        <v>Quản trị kinh doanh</v>
      </c>
      <c r="CM608" s="87" t="str">
        <f>N608</f>
        <v>CS2</v>
      </c>
      <c r="CN608" s="87">
        <f t="shared" si="2003"/>
        <v>270</v>
      </c>
      <c r="CO608" s="87">
        <f t="shared" si="2003"/>
        <v>100</v>
      </c>
      <c r="CP608" s="229">
        <f t="shared" si="1943"/>
        <v>0</v>
      </c>
      <c r="CQ608" s="229">
        <f t="shared" si="1944"/>
        <v>0</v>
      </c>
      <c r="CR608" s="229">
        <f t="shared" si="1945"/>
        <v>0</v>
      </c>
      <c r="CS608" s="229">
        <f t="shared" si="1946"/>
        <v>0</v>
      </c>
      <c r="CT608" s="229">
        <f t="shared" si="1947"/>
        <v>0</v>
      </c>
      <c r="CU608" s="229">
        <f t="shared" si="1948"/>
        <v>0</v>
      </c>
      <c r="CV608" s="229">
        <f t="shared" si="1949"/>
        <v>0</v>
      </c>
      <c r="CW608" s="229">
        <f t="shared" si="1950"/>
        <v>0</v>
      </c>
      <c r="CX608" s="229">
        <f t="shared" si="1951"/>
        <v>0</v>
      </c>
      <c r="CY608" s="229">
        <f t="shared" si="1952"/>
        <v>0</v>
      </c>
      <c r="CZ608" s="229">
        <f t="shared" si="1953"/>
        <v>0</v>
      </c>
      <c r="DA608" s="229">
        <f t="shared" si="1954"/>
        <v>0</v>
      </c>
      <c r="DB608" s="228">
        <f>SUM(CP608:DA608)</f>
        <v>0</v>
      </c>
      <c r="DC608" s="229"/>
      <c r="DD608" s="229"/>
      <c r="DE608" s="229"/>
      <c r="DF608" s="229"/>
      <c r="DG608" s="229"/>
      <c r="DH608" s="229"/>
      <c r="DI608" s="229"/>
      <c r="DJ608" s="229"/>
      <c r="DK608" s="229"/>
      <c r="DL608" s="229"/>
      <c r="DM608" s="229"/>
      <c r="DN608" s="229"/>
      <c r="DO608" s="228">
        <f>SUM(DC608:DN608)</f>
        <v>0</v>
      </c>
      <c r="DP608" s="228">
        <f>DO608+DB608</f>
        <v>0</v>
      </c>
      <c r="DQ608" s="229">
        <f t="shared" si="1955"/>
        <v>0</v>
      </c>
      <c r="DR608" s="229">
        <f t="shared" si="1956"/>
        <v>0</v>
      </c>
      <c r="DS608" s="229">
        <f t="shared" si="1957"/>
        <v>0</v>
      </c>
      <c r="DT608" s="229">
        <f t="shared" si="1958"/>
        <v>0</v>
      </c>
      <c r="DU608" s="229">
        <f t="shared" si="1959"/>
        <v>0</v>
      </c>
      <c r="DV608" s="229">
        <f t="shared" si="1960"/>
        <v>0</v>
      </c>
      <c r="DW608" s="229">
        <f t="shared" si="1961"/>
        <v>0</v>
      </c>
      <c r="DX608" s="228">
        <f>SUM(DQ608:DW608)</f>
        <v>0</v>
      </c>
      <c r="DY608" s="229"/>
      <c r="DZ608" s="229"/>
      <c r="EA608" s="229"/>
      <c r="EB608" s="229"/>
      <c r="EC608" s="229"/>
      <c r="ED608" s="229"/>
      <c r="EE608" s="229"/>
      <c r="EF608" s="228">
        <f t="shared" si="1939"/>
        <v>0</v>
      </c>
      <c r="EG608" s="228">
        <f>EF608+DX608</f>
        <v>0</v>
      </c>
      <c r="EH608" s="229">
        <f t="shared" si="1940"/>
        <v>0</v>
      </c>
      <c r="EI608" s="229">
        <v>169.25</v>
      </c>
      <c r="EJ608" s="228">
        <f>SUM(EH608:EI608)</f>
        <v>169.25</v>
      </c>
      <c r="EK608" s="229"/>
      <c r="EL608" s="229"/>
      <c r="EM608" s="228">
        <f>SUM(EK608:EL608)</f>
        <v>0</v>
      </c>
      <c r="EN608" s="229">
        <f>EK608+EH608+EL608</f>
        <v>0</v>
      </c>
      <c r="EO608" s="229">
        <f>EI608</f>
        <v>169.25</v>
      </c>
      <c r="EP608" s="228">
        <f>EM608+EJ608</f>
        <v>169.25</v>
      </c>
      <c r="EQ608" s="173">
        <f t="shared" si="1934"/>
        <v>0</v>
      </c>
      <c r="ER608" s="189">
        <v>0</v>
      </c>
      <c r="ES608" s="189">
        <v>0</v>
      </c>
      <c r="ET608" s="189">
        <v>0</v>
      </c>
      <c r="EU608" s="189">
        <v>0</v>
      </c>
      <c r="EV608" s="189">
        <v>0</v>
      </c>
      <c r="EW608" s="189">
        <v>0</v>
      </c>
      <c r="EX608" s="189">
        <v>0</v>
      </c>
      <c r="EY608" s="189">
        <v>0</v>
      </c>
      <c r="EZ608" s="189">
        <v>0</v>
      </c>
      <c r="FA608" s="189">
        <v>0</v>
      </c>
      <c r="FB608" s="189">
        <v>0</v>
      </c>
      <c r="FC608" s="189">
        <v>0</v>
      </c>
      <c r="FD608" s="189">
        <v>0</v>
      </c>
      <c r="FE608" s="189">
        <v>0</v>
      </c>
      <c r="FF608" s="189">
        <v>0</v>
      </c>
      <c r="FG608" s="189">
        <v>0</v>
      </c>
      <c r="FH608" s="189">
        <v>0</v>
      </c>
      <c r="FI608" s="189">
        <v>0</v>
      </c>
      <c r="FJ608" s="189">
        <v>0</v>
      </c>
      <c r="FK608" s="189">
        <v>0</v>
      </c>
      <c r="FL608" s="189">
        <v>0</v>
      </c>
      <c r="FN608" s="132">
        <v>0</v>
      </c>
    </row>
    <row r="609" spans="1:170" ht="24.75" customHeight="1">
      <c r="A609" s="88">
        <f>COUNTIF($H$12:H609,H609)</f>
        <v>62</v>
      </c>
      <c r="B609" s="88" t="s">
        <v>785</v>
      </c>
      <c r="C609" s="88" t="s">
        <v>1376</v>
      </c>
      <c r="D609" s="88"/>
      <c r="E609" s="88"/>
      <c r="F609" s="301" t="s">
        <v>1904</v>
      </c>
      <c r="G609" s="303" t="s">
        <v>2085</v>
      </c>
      <c r="H609" s="88">
        <v>11</v>
      </c>
      <c r="I609" s="88">
        <v>11</v>
      </c>
      <c r="J609" s="88">
        <v>11</v>
      </c>
      <c r="K609" s="90" t="s">
        <v>1665</v>
      </c>
      <c r="L609" s="90" t="s">
        <v>1665</v>
      </c>
      <c r="M609" s="214"/>
      <c r="N609" s="88" t="s">
        <v>1804</v>
      </c>
      <c r="O609" s="216">
        <f t="shared" si="1962"/>
        <v>2.67</v>
      </c>
      <c r="P609" s="88" t="str">
        <f t="shared" si="2009"/>
        <v>B1_3</v>
      </c>
      <c r="Q609" s="88">
        <f t="shared" si="1935"/>
        <v>270</v>
      </c>
      <c r="R609" s="88">
        <f t="shared" si="1936"/>
        <v>100</v>
      </c>
      <c r="S609" s="218" t="s">
        <v>2461</v>
      </c>
      <c r="T609" s="88" t="s">
        <v>2961</v>
      </c>
      <c r="U609" s="88">
        <f>IF(RIGHT(T609,1)="K",(VLOOKUP(T609,ma_miengiam!$A$3:$B$80,2,0)*100)/2,VLOOKUP(T609,ma_miengiam!$A$3:$B$80,2,0)*100)</f>
        <v>100</v>
      </c>
      <c r="V609" s="88"/>
      <c r="W609" s="220">
        <f>IF(AND(T609="NTS",V609&gt;0),(Q609-(Q609*V609)/12)*VLOOKUP(T609,ma_miengiam!$A$3:$B$80,2,0)+(Q609-(Q609*(12-V609))/12),IF(AND(RIGHT(T609,1)="K",V609&gt;0),(VLOOKUP(T609,ma_miengiam!$A$3:$B$80,2,0)/2)*(Q609*V609)/12,IF(RIGHT(T609,1)="K",(VLOOKUP(T609,ma_miengiam!$A$3:$B$80,2,0)*Q609)/2,IF(V609&gt;0,VLOOKUP(T609,ma_miengiam!$A$3:$B$80,2,0)*Q609*V609/12,VLOOKUP(T609,ma_miengiam!$A$3:$B$80,2,0)*Q609))))</f>
        <v>270</v>
      </c>
      <c r="X609" s="220">
        <f>IF(T609="NTS",VLOOKUP(T609,ma_miengiam!$A$3:$B$80,2,0)*R609*V609,IF(AND(T609="NTS",V609=0),0,IF(AND(LEFT(T609,1)="K",V609=0),VLOOKUP(T609,ma_miengiam!$A$3:$B$80,2,0)*R609,IF(LEFT(T609,1)="K",(VLOOKUP(T609,ma_miengiam!$A$3:$B$80,2,0)*R609/12)*V609,IF(AND(LEFT(T609,1)="S",V609&gt;0),(R609/12)*V609,IF(AND(LEFT(T609,1)="S",V609=0),R609,IF(T609="DH",VLOOKUP(T609,ma_miengiam!$A$3:$B$80,2,0)*R609,0)))))))</f>
        <v>100</v>
      </c>
      <c r="Y609" s="220">
        <f t="shared" si="1963"/>
        <v>0</v>
      </c>
      <c r="Z609" s="220">
        <f t="shared" si="1995"/>
        <v>0</v>
      </c>
      <c r="AA609" s="220">
        <f t="shared" si="1997"/>
        <v>270</v>
      </c>
      <c r="AB609" s="220">
        <f t="shared" si="1997"/>
        <v>100</v>
      </c>
      <c r="AC609" s="220">
        <f t="shared" si="2004"/>
        <v>270</v>
      </c>
      <c r="AD609" s="220">
        <f t="shared" si="2004"/>
        <v>100</v>
      </c>
      <c r="AE609" s="220">
        <f t="shared" si="2004"/>
        <v>0</v>
      </c>
      <c r="AF609" s="220">
        <f t="shared" si="2004"/>
        <v>0</v>
      </c>
      <c r="AG609" s="220">
        <f t="shared" si="1998"/>
        <v>272.73</v>
      </c>
      <c r="AH609" s="220">
        <f t="shared" si="1999"/>
        <v>272.73</v>
      </c>
      <c r="AI609" s="220">
        <f t="shared" si="2000"/>
        <v>0</v>
      </c>
      <c r="AJ609" s="220">
        <f t="shared" si="1902"/>
        <v>0</v>
      </c>
      <c r="AK609" s="216">
        <f t="shared" si="1812"/>
        <v>0</v>
      </c>
      <c r="AL609" s="220">
        <f t="shared" si="1819"/>
        <v>0</v>
      </c>
      <c r="AM609" s="220">
        <f t="shared" si="1820"/>
        <v>0</v>
      </c>
      <c r="AN609" s="221">
        <f t="shared" si="1821"/>
        <v>0</v>
      </c>
      <c r="AO609" s="220">
        <f t="shared" si="1822"/>
        <v>0</v>
      </c>
      <c r="AP609" s="220">
        <f t="shared" si="1823"/>
        <v>0</v>
      </c>
      <c r="AQ609" s="220">
        <f t="shared" si="1824"/>
        <v>0</v>
      </c>
      <c r="AR609" s="220">
        <f t="shared" si="1825"/>
        <v>0</v>
      </c>
      <c r="AS609" s="220">
        <f t="shared" si="1826"/>
        <v>0</v>
      </c>
      <c r="AT609" s="216">
        <f t="shared" si="1827"/>
        <v>0</v>
      </c>
      <c r="AU609" s="222">
        <f t="shared" si="1982"/>
        <v>0</v>
      </c>
      <c r="AV609" s="220"/>
      <c r="AW609" s="220">
        <f t="shared" si="1856"/>
        <v>0</v>
      </c>
      <c r="AX609" s="216">
        <f t="shared" si="1811"/>
        <v>0</v>
      </c>
      <c r="AY609" s="220">
        <f t="shared" si="1866"/>
        <v>0</v>
      </c>
      <c r="AZ609" s="220">
        <f t="shared" si="1867"/>
        <v>0</v>
      </c>
      <c r="BA609" s="220">
        <f t="shared" si="1868"/>
        <v>0</v>
      </c>
      <c r="BB609" s="220">
        <f t="shared" si="1869"/>
        <v>0</v>
      </c>
      <c r="BC609" s="220">
        <f t="shared" si="1870"/>
        <v>0</v>
      </c>
      <c r="BD609" s="216">
        <f t="shared" si="1987"/>
        <v>0</v>
      </c>
      <c r="BE609" s="220">
        <f t="shared" si="1857"/>
        <v>0</v>
      </c>
      <c r="BF609" s="220">
        <f t="shared" si="1858"/>
        <v>0</v>
      </c>
      <c r="BG609" s="220">
        <f t="shared" si="1859"/>
        <v>0</v>
      </c>
      <c r="BH609" s="220">
        <f t="shared" si="1860"/>
        <v>0</v>
      </c>
      <c r="BI609" s="220">
        <f t="shared" si="1861"/>
        <v>0</v>
      </c>
      <c r="BJ609" s="220" t="s">
        <v>1919</v>
      </c>
      <c r="BK609" s="220"/>
      <c r="BL609" s="223">
        <f t="shared" si="2005"/>
        <v>0</v>
      </c>
      <c r="BM609" s="220">
        <v>2.67</v>
      </c>
      <c r="BN609" s="220"/>
      <c r="BO609" s="220">
        <f>ROUND(BM609+(BM609*BN609),2)</f>
        <v>2.67</v>
      </c>
      <c r="BP609" s="220">
        <f>IF(AND(BL609&gt;0,BL609&lt;tiet!$D$1),BL609,IF(BL609&lt;=0,0,IF(BL609&gt;tiet!$C$1,tiet!$C$1)))</f>
        <v>0</v>
      </c>
      <c r="BQ609" s="87">
        <f t="shared" si="1903"/>
        <v>60000</v>
      </c>
      <c r="BR609" s="224">
        <f t="shared" si="1904"/>
        <v>0</v>
      </c>
      <c r="BS609" s="220">
        <f t="shared" si="1933"/>
        <v>0</v>
      </c>
      <c r="BT609" s="224">
        <f>VLOOKUP(N609,ma_dinhmuc!$A$1:$J$31,10,0)</f>
        <v>51000</v>
      </c>
      <c r="BU609" s="224">
        <f>ROUND(IF(BS609&gt;0,VLOOKUP(N609,ma_dinhmuc!$A$1:$J$31,10,0)*BS609,0),0)</f>
        <v>0</v>
      </c>
      <c r="BV609" s="224">
        <f t="shared" si="1905"/>
        <v>0</v>
      </c>
      <c r="BW609" s="224"/>
      <c r="BX609" s="224">
        <v>0</v>
      </c>
      <c r="BY609" s="224"/>
      <c r="BZ609" s="224"/>
      <c r="CA609" s="224"/>
      <c r="CB609" s="224"/>
      <c r="CC609" s="225">
        <f t="shared" si="1968"/>
        <v>0</v>
      </c>
      <c r="CD609" s="224">
        <f t="shared" si="1969"/>
        <v>0</v>
      </c>
      <c r="CE609" s="224"/>
      <c r="CF609" s="226"/>
      <c r="CG609" s="87"/>
      <c r="CH609" s="87">
        <f t="shared" si="1988"/>
        <v>62</v>
      </c>
      <c r="CI609" s="227" t="str">
        <f t="shared" si="1992"/>
        <v>Nguyễn Thị Kim</v>
      </c>
      <c r="CJ609" s="227" t="str">
        <f t="shared" si="1993"/>
        <v>Oanh</v>
      </c>
      <c r="CK609" s="87">
        <f t="shared" si="2002"/>
        <v>11</v>
      </c>
      <c r="CL609" s="227" t="str">
        <f t="shared" si="1989"/>
        <v>Quản trị kinh doanh</v>
      </c>
      <c r="CM609" s="87" t="str">
        <f t="shared" si="1862"/>
        <v>CS2</v>
      </c>
      <c r="CN609" s="87">
        <f t="shared" si="2003"/>
        <v>270</v>
      </c>
      <c r="CO609" s="87">
        <f t="shared" si="2003"/>
        <v>100</v>
      </c>
      <c r="CP609" s="229">
        <f t="shared" si="1943"/>
        <v>0</v>
      </c>
      <c r="CQ609" s="229">
        <f t="shared" si="1944"/>
        <v>0</v>
      </c>
      <c r="CR609" s="229">
        <f t="shared" si="1945"/>
        <v>0</v>
      </c>
      <c r="CS609" s="229">
        <f t="shared" si="1946"/>
        <v>0</v>
      </c>
      <c r="CT609" s="229">
        <f t="shared" si="1947"/>
        <v>0</v>
      </c>
      <c r="CU609" s="229">
        <f t="shared" si="1948"/>
        <v>0</v>
      </c>
      <c r="CV609" s="229">
        <f t="shared" si="1949"/>
        <v>0</v>
      </c>
      <c r="CW609" s="229">
        <f t="shared" si="1950"/>
        <v>0</v>
      </c>
      <c r="CX609" s="229">
        <f t="shared" si="1951"/>
        <v>0</v>
      </c>
      <c r="CY609" s="229">
        <f t="shared" si="1952"/>
        <v>0</v>
      </c>
      <c r="CZ609" s="229">
        <f t="shared" si="1953"/>
        <v>0</v>
      </c>
      <c r="DA609" s="229">
        <f t="shared" si="1954"/>
        <v>0</v>
      </c>
      <c r="DB609" s="228">
        <f t="shared" si="1834"/>
        <v>0</v>
      </c>
      <c r="DC609" s="229"/>
      <c r="DD609" s="229"/>
      <c r="DE609" s="229"/>
      <c r="DF609" s="229"/>
      <c r="DG609" s="229"/>
      <c r="DH609" s="229"/>
      <c r="DI609" s="229"/>
      <c r="DJ609" s="229"/>
      <c r="DK609" s="229"/>
      <c r="DL609" s="229"/>
      <c r="DM609" s="229"/>
      <c r="DN609" s="229"/>
      <c r="DO609" s="228">
        <f t="shared" si="1835"/>
        <v>0</v>
      </c>
      <c r="DP609" s="228">
        <f t="shared" si="1836"/>
        <v>0</v>
      </c>
      <c r="DQ609" s="229">
        <f t="shared" si="1955"/>
        <v>0</v>
      </c>
      <c r="DR609" s="229">
        <f t="shared" si="1956"/>
        <v>0</v>
      </c>
      <c r="DS609" s="229">
        <f t="shared" si="1957"/>
        <v>0</v>
      </c>
      <c r="DT609" s="229">
        <f t="shared" si="1958"/>
        <v>0</v>
      </c>
      <c r="DU609" s="229">
        <f t="shared" si="1959"/>
        <v>0</v>
      </c>
      <c r="DV609" s="229">
        <f t="shared" si="1960"/>
        <v>0</v>
      </c>
      <c r="DW609" s="229">
        <f t="shared" si="1961"/>
        <v>0</v>
      </c>
      <c r="DX609" s="228">
        <f t="shared" si="1837"/>
        <v>0</v>
      </c>
      <c r="DY609" s="229"/>
      <c r="DZ609" s="229"/>
      <c r="EA609" s="229"/>
      <c r="EB609" s="229"/>
      <c r="EC609" s="229"/>
      <c r="ED609" s="229"/>
      <c r="EE609" s="229"/>
      <c r="EF609" s="228">
        <f t="shared" si="1939"/>
        <v>0</v>
      </c>
      <c r="EG609" s="228">
        <f t="shared" si="1838"/>
        <v>0</v>
      </c>
      <c r="EH609" s="229">
        <f t="shared" si="1940"/>
        <v>0</v>
      </c>
      <c r="EI609" s="229">
        <v>272.73</v>
      </c>
      <c r="EJ609" s="228">
        <f t="shared" si="1900"/>
        <v>272.73</v>
      </c>
      <c r="EK609" s="229"/>
      <c r="EL609" s="229"/>
      <c r="EM609" s="228">
        <f t="shared" si="1994"/>
        <v>0</v>
      </c>
      <c r="EN609" s="229">
        <f t="shared" si="1894"/>
        <v>0</v>
      </c>
      <c r="EO609" s="229">
        <f t="shared" si="1983"/>
        <v>272.73</v>
      </c>
      <c r="EP609" s="228">
        <f t="shared" si="1964"/>
        <v>272.73</v>
      </c>
      <c r="EQ609" s="173">
        <f t="shared" si="1934"/>
        <v>0</v>
      </c>
      <c r="ER609" s="189">
        <v>0</v>
      </c>
      <c r="ES609" s="189">
        <v>0</v>
      </c>
      <c r="ET609" s="189">
        <v>0</v>
      </c>
      <c r="EU609" s="189">
        <v>0</v>
      </c>
      <c r="EV609" s="189">
        <v>0</v>
      </c>
      <c r="EW609" s="189">
        <v>0</v>
      </c>
      <c r="EX609" s="189">
        <v>0</v>
      </c>
      <c r="EY609" s="189">
        <v>0</v>
      </c>
      <c r="EZ609" s="189">
        <v>0</v>
      </c>
      <c r="FA609" s="189">
        <v>0</v>
      </c>
      <c r="FB609" s="189">
        <v>0</v>
      </c>
      <c r="FC609" s="189">
        <v>0</v>
      </c>
      <c r="FD609" s="189">
        <v>0</v>
      </c>
      <c r="FE609" s="189">
        <v>0</v>
      </c>
      <c r="FF609" s="189">
        <v>0</v>
      </c>
      <c r="FG609" s="189">
        <v>0</v>
      </c>
      <c r="FH609" s="189">
        <v>0</v>
      </c>
      <c r="FI609" s="189">
        <v>0</v>
      </c>
      <c r="FJ609" s="189">
        <v>0</v>
      </c>
      <c r="FK609" s="189">
        <v>0</v>
      </c>
      <c r="FL609" s="189">
        <v>0</v>
      </c>
      <c r="FN609" s="132">
        <v>0</v>
      </c>
    </row>
    <row r="610" spans="1:170" ht="31.5" customHeight="1">
      <c r="A610" s="88">
        <f>COUNTIF($H$12:H610,H610)</f>
        <v>1</v>
      </c>
      <c r="B610" s="88" t="s">
        <v>786</v>
      </c>
      <c r="C610" s="88" t="s">
        <v>1377</v>
      </c>
      <c r="D610" s="88"/>
      <c r="E610" s="88"/>
      <c r="F610" s="301" t="s">
        <v>3049</v>
      </c>
      <c r="G610" s="89" t="s">
        <v>2878</v>
      </c>
      <c r="H610" s="88">
        <v>12</v>
      </c>
      <c r="I610" s="88">
        <v>12</v>
      </c>
      <c r="J610" s="88">
        <v>12</v>
      </c>
      <c r="K610" s="90" t="s">
        <v>2846</v>
      </c>
      <c r="L610" s="90" t="s">
        <v>2846</v>
      </c>
      <c r="M610" s="214"/>
      <c r="N610" s="88" t="s">
        <v>605</v>
      </c>
      <c r="O610" s="216">
        <f t="shared" si="1962"/>
        <v>7.64</v>
      </c>
      <c r="P610" s="88" t="str">
        <f t="shared" si="2009"/>
        <v>B1_8</v>
      </c>
      <c r="Q610" s="88">
        <f t="shared" si="1935"/>
        <v>270</v>
      </c>
      <c r="R610" s="88">
        <f t="shared" si="1936"/>
        <v>280</v>
      </c>
      <c r="S610" s="231" t="s">
        <v>2525</v>
      </c>
      <c r="T610" s="88" t="s">
        <v>3090</v>
      </c>
      <c r="U610" s="88">
        <f>IF(RIGHT(T610,1)="K",(VLOOKUP(T610,ma_miengiam!$A$3:$B$80,2,0)*100)/2,VLOOKUP(T610,ma_miengiam!$A$3:$B$80,2,0)*100)</f>
        <v>15</v>
      </c>
      <c r="V610" s="88"/>
      <c r="W610" s="220">
        <f>IF(AND(T610="NTS",V610&gt;0),(Q610-(Q610*V610)/12)*VLOOKUP(T610,ma_miengiam!$A$3:$B$80,2,0)+(Q610-(Q610*(12-V610))/12),IF(AND(RIGHT(T610,1)="K",V610&gt;0),(VLOOKUP(T610,ma_miengiam!$A$3:$B$80,2,0)/2)*(Q610*V610)/12,IF(RIGHT(T610,1)="K",(VLOOKUP(T610,ma_miengiam!$A$3:$B$80,2,0)*Q610)/2,IF(V610&gt;0,VLOOKUP(T610,ma_miengiam!$A$3:$B$80,2,0)*Q610*V610/12,VLOOKUP(T610,ma_miengiam!$A$3:$B$80,2,0)*Q610))))</f>
        <v>40.5</v>
      </c>
      <c r="X610" s="220">
        <f>IF(T610="NTS",VLOOKUP(T610,ma_miengiam!$A$3:$B$80,2,0)*R610*V610,IF(AND(T610="NTS",V610=0),0,IF(AND(LEFT(T610,1)="K",V610=0),VLOOKUP(T610,ma_miengiam!$A$3:$B$80,2,0)*R610,IF(LEFT(T610,1)="K",(VLOOKUP(T610,ma_miengiam!$A$3:$B$80,2,0)*R610/12)*V610,IF(AND(LEFT(T610,1)="S",V610&gt;0),(R610/12)*V610,IF(AND(LEFT(T610,1)="S",V610=0),R610,IF(T610="DH",VLOOKUP(T610,ma_miengiam!$A$3:$B$80,2,0)*R610,0)))))))</f>
        <v>0</v>
      </c>
      <c r="Y610" s="220">
        <f t="shared" si="1963"/>
        <v>229.5</v>
      </c>
      <c r="Z610" s="220">
        <f t="shared" si="1995"/>
        <v>280</v>
      </c>
      <c r="AA610" s="220">
        <f t="shared" ref="AA610:AB612" si="2010">Q610</f>
        <v>270</v>
      </c>
      <c r="AB610" s="220">
        <f t="shared" si="2010"/>
        <v>280</v>
      </c>
      <c r="AC610" s="220">
        <f t="shared" ref="AC610:AF612" si="2011">W610</f>
        <v>40.5</v>
      </c>
      <c r="AD610" s="220">
        <f t="shared" si="2011"/>
        <v>0</v>
      </c>
      <c r="AE610" s="220">
        <f t="shared" si="2011"/>
        <v>229.5</v>
      </c>
      <c r="AF610" s="220">
        <f t="shared" si="2011"/>
        <v>280</v>
      </c>
      <c r="AG610" s="220">
        <f t="shared" si="1998"/>
        <v>2.2699999999999818</v>
      </c>
      <c r="AH610" s="220">
        <f t="shared" si="1999"/>
        <v>2.2699999999999818</v>
      </c>
      <c r="AI610" s="220">
        <f t="shared" si="2000"/>
        <v>0</v>
      </c>
      <c r="AJ610" s="220">
        <f t="shared" si="1902"/>
        <v>-277.73</v>
      </c>
      <c r="AK610" s="216">
        <f t="shared" si="1812"/>
        <v>507.23</v>
      </c>
      <c r="AL610" s="220">
        <f t="shared" si="1819"/>
        <v>197.89999999999998</v>
      </c>
      <c r="AM610" s="220">
        <f t="shared" si="1820"/>
        <v>0</v>
      </c>
      <c r="AN610" s="221">
        <f t="shared" si="1821"/>
        <v>197.89999999999998</v>
      </c>
      <c r="AO610" s="220">
        <f t="shared" si="1822"/>
        <v>0</v>
      </c>
      <c r="AP610" s="220">
        <f t="shared" si="1823"/>
        <v>0</v>
      </c>
      <c r="AQ610" s="220">
        <f t="shared" si="1824"/>
        <v>80</v>
      </c>
      <c r="AR610" s="220">
        <f t="shared" si="1825"/>
        <v>0</v>
      </c>
      <c r="AS610" s="220">
        <f t="shared" si="1826"/>
        <v>0</v>
      </c>
      <c r="AT610" s="216">
        <f t="shared" si="1827"/>
        <v>277.89999999999998</v>
      </c>
      <c r="AU610" s="222">
        <f t="shared" si="1982"/>
        <v>-309.33000000000004</v>
      </c>
      <c r="AV610" s="220"/>
      <c r="AW610" s="220">
        <f t="shared" si="1856"/>
        <v>-309.33000000000004</v>
      </c>
      <c r="AX610" s="216">
        <f t="shared" si="1811"/>
        <v>-309.33000000000004</v>
      </c>
      <c r="AY610" s="220">
        <f t="shared" si="1866"/>
        <v>0</v>
      </c>
      <c r="AZ610" s="220">
        <f t="shared" si="1867"/>
        <v>0</v>
      </c>
      <c r="BA610" s="220">
        <f t="shared" si="1868"/>
        <v>0</v>
      </c>
      <c r="BB610" s="220">
        <f t="shared" si="1869"/>
        <v>0</v>
      </c>
      <c r="BC610" s="220">
        <f t="shared" si="1870"/>
        <v>0</v>
      </c>
      <c r="BD610" s="216">
        <f t="shared" si="1987"/>
        <v>0</v>
      </c>
      <c r="BE610" s="220">
        <f t="shared" si="1857"/>
        <v>0</v>
      </c>
      <c r="BF610" s="220">
        <f t="shared" si="1858"/>
        <v>0</v>
      </c>
      <c r="BG610" s="220">
        <f t="shared" si="1859"/>
        <v>-80</v>
      </c>
      <c r="BH610" s="220">
        <f t="shared" si="1860"/>
        <v>0</v>
      </c>
      <c r="BI610" s="220">
        <f t="shared" si="1861"/>
        <v>0</v>
      </c>
      <c r="BJ610" s="220" t="s">
        <v>1920</v>
      </c>
      <c r="BK610" s="220"/>
      <c r="BL610" s="223">
        <f t="shared" si="2005"/>
        <v>0</v>
      </c>
      <c r="BM610" s="220">
        <v>7.64</v>
      </c>
      <c r="BN610" s="220"/>
      <c r="BO610" s="220">
        <f t="shared" si="2001"/>
        <v>7.64</v>
      </c>
      <c r="BP610" s="220">
        <f>IF(AND(BL610&gt;0,BL610&lt;tiet!$D$1),BL610,IF(BL610&lt;=0,0,IF(BL610&gt;tiet!$C$1,tiet!$C$1)))</f>
        <v>0</v>
      </c>
      <c r="BQ610" s="87">
        <f t="shared" si="1903"/>
        <v>85000</v>
      </c>
      <c r="BR610" s="224">
        <f t="shared" si="1904"/>
        <v>0</v>
      </c>
      <c r="BS610" s="220">
        <f t="shared" si="1933"/>
        <v>0</v>
      </c>
      <c r="BT610" s="224">
        <f>VLOOKUP(N610,ma_dinhmuc!$A$1:$J$31,10,0)</f>
        <v>65000</v>
      </c>
      <c r="BU610" s="224">
        <f>ROUND(IF(BS610&gt;0,VLOOKUP(N610,ma_dinhmuc!$A$1:$J$31,10,0)*BS610,0),0)</f>
        <v>0</v>
      </c>
      <c r="BV610" s="224">
        <f t="shared" si="1905"/>
        <v>0</v>
      </c>
      <c r="BW610" s="224"/>
      <c r="BX610" s="224">
        <v>0</v>
      </c>
      <c r="BY610" s="224"/>
      <c r="BZ610" s="224"/>
      <c r="CA610" s="224"/>
      <c r="CB610" s="224"/>
      <c r="CC610" s="225">
        <f t="shared" si="1968"/>
        <v>0</v>
      </c>
      <c r="CD610" s="224">
        <f t="shared" si="1969"/>
        <v>0</v>
      </c>
      <c r="CE610" s="224"/>
      <c r="CF610" s="226"/>
      <c r="CG610" s="87"/>
      <c r="CH610" s="87">
        <f t="shared" si="1988"/>
        <v>1</v>
      </c>
      <c r="CI610" s="227" t="str">
        <f t="shared" si="1992"/>
        <v>Phan Hữu</v>
      </c>
      <c r="CJ610" s="227" t="str">
        <f t="shared" si="1993"/>
        <v>Tôn</v>
      </c>
      <c r="CK610" s="87">
        <f t="shared" si="2002"/>
        <v>12</v>
      </c>
      <c r="CL610" s="227" t="str">
        <f t="shared" si="1989"/>
        <v>SH phân tử và CNSH ứng dụng</v>
      </c>
      <c r="CM610" s="87" t="str">
        <f t="shared" si="1862"/>
        <v>CS4</v>
      </c>
      <c r="CN610" s="87">
        <f t="shared" si="1990"/>
        <v>270</v>
      </c>
      <c r="CO610" s="87">
        <f t="shared" si="1991"/>
        <v>280</v>
      </c>
      <c r="CP610" s="229">
        <f t="shared" si="1943"/>
        <v>0</v>
      </c>
      <c r="CQ610" s="229">
        <f t="shared" si="1944"/>
        <v>29.1</v>
      </c>
      <c r="CR610" s="229">
        <f t="shared" si="1945"/>
        <v>11.7</v>
      </c>
      <c r="CS610" s="229">
        <f t="shared" si="1946"/>
        <v>0</v>
      </c>
      <c r="CT610" s="229">
        <f t="shared" si="1947"/>
        <v>0</v>
      </c>
      <c r="CU610" s="229">
        <f t="shared" si="1948"/>
        <v>157.1</v>
      </c>
      <c r="CV610" s="229">
        <f t="shared" si="1949"/>
        <v>0</v>
      </c>
      <c r="CW610" s="229">
        <f t="shared" si="1950"/>
        <v>0</v>
      </c>
      <c r="CX610" s="229">
        <f t="shared" si="1951"/>
        <v>0</v>
      </c>
      <c r="CY610" s="229">
        <f t="shared" si="1952"/>
        <v>0</v>
      </c>
      <c r="CZ610" s="229">
        <f t="shared" si="1953"/>
        <v>0</v>
      </c>
      <c r="DA610" s="229">
        <f t="shared" si="1954"/>
        <v>80</v>
      </c>
      <c r="DB610" s="228">
        <f t="shared" si="1834"/>
        <v>277.89999999999998</v>
      </c>
      <c r="DC610" s="229"/>
      <c r="DD610" s="229"/>
      <c r="DE610" s="229"/>
      <c r="DF610" s="229"/>
      <c r="DG610" s="229"/>
      <c r="DH610" s="229"/>
      <c r="DI610" s="229"/>
      <c r="DJ610" s="229"/>
      <c r="DK610" s="229"/>
      <c r="DL610" s="229"/>
      <c r="DM610" s="229"/>
      <c r="DN610" s="229"/>
      <c r="DO610" s="228">
        <f t="shared" si="1835"/>
        <v>0</v>
      </c>
      <c r="DP610" s="228">
        <f t="shared" si="1836"/>
        <v>277.89999999999998</v>
      </c>
      <c r="DQ610" s="229">
        <f t="shared" si="1955"/>
        <v>0</v>
      </c>
      <c r="DR610" s="229">
        <f t="shared" si="1956"/>
        <v>0</v>
      </c>
      <c r="DS610" s="229">
        <f t="shared" si="1957"/>
        <v>0</v>
      </c>
      <c r="DT610" s="229">
        <f t="shared" si="1958"/>
        <v>0</v>
      </c>
      <c r="DU610" s="229">
        <f t="shared" si="1959"/>
        <v>0</v>
      </c>
      <c r="DV610" s="229">
        <f t="shared" si="1960"/>
        <v>0</v>
      </c>
      <c r="DW610" s="229">
        <f t="shared" si="1961"/>
        <v>0</v>
      </c>
      <c r="DX610" s="228">
        <f t="shared" si="1837"/>
        <v>0</v>
      </c>
      <c r="DY610" s="229"/>
      <c r="DZ610" s="229"/>
      <c r="EA610" s="229"/>
      <c r="EB610" s="229"/>
      <c r="EC610" s="229"/>
      <c r="ED610" s="229"/>
      <c r="EE610" s="229"/>
      <c r="EF610" s="228">
        <f t="shared" si="1939"/>
        <v>0</v>
      </c>
      <c r="EG610" s="228">
        <f t="shared" si="1838"/>
        <v>0</v>
      </c>
      <c r="EH610" s="229">
        <f t="shared" si="1940"/>
        <v>0</v>
      </c>
      <c r="EI610" s="229">
        <v>2.2699999999999818</v>
      </c>
      <c r="EJ610" s="228">
        <f t="shared" si="1900"/>
        <v>2.2699999999999818</v>
      </c>
      <c r="EK610" s="229"/>
      <c r="EL610" s="229"/>
      <c r="EM610" s="228">
        <f t="shared" si="1994"/>
        <v>0</v>
      </c>
      <c r="EN610" s="229">
        <f t="shared" si="1894"/>
        <v>0</v>
      </c>
      <c r="EO610" s="229">
        <f t="shared" si="1983"/>
        <v>2.2699999999999818</v>
      </c>
      <c r="EP610" s="228">
        <f t="shared" si="1964"/>
        <v>2.2699999999999818</v>
      </c>
      <c r="EQ610" s="173">
        <f t="shared" si="1934"/>
        <v>0</v>
      </c>
      <c r="ER610" s="189">
        <v>0</v>
      </c>
      <c r="ES610" s="189">
        <v>29.1</v>
      </c>
      <c r="ET610" s="189">
        <v>11.7</v>
      </c>
      <c r="EU610" s="189">
        <v>0</v>
      </c>
      <c r="EV610" s="189">
        <v>0</v>
      </c>
      <c r="EW610" s="189">
        <v>157.1</v>
      </c>
      <c r="EX610" s="189">
        <v>0</v>
      </c>
      <c r="EY610" s="189">
        <v>0</v>
      </c>
      <c r="EZ610" s="189">
        <v>0</v>
      </c>
      <c r="FA610" s="189">
        <v>0</v>
      </c>
      <c r="FB610" s="189">
        <v>0</v>
      </c>
      <c r="FC610" s="189">
        <v>80</v>
      </c>
      <c r="FD610" s="189">
        <v>0</v>
      </c>
      <c r="FE610" s="189">
        <v>0</v>
      </c>
      <c r="FF610" s="189">
        <v>0</v>
      </c>
      <c r="FG610" s="189">
        <v>0</v>
      </c>
      <c r="FH610" s="189">
        <v>0</v>
      </c>
      <c r="FI610" s="189">
        <v>0</v>
      </c>
      <c r="FJ610" s="189">
        <v>0</v>
      </c>
      <c r="FK610" s="189">
        <v>277.89999999999998</v>
      </c>
      <c r="FL610" s="189">
        <v>238</v>
      </c>
      <c r="FN610" s="132">
        <v>0</v>
      </c>
    </row>
    <row r="611" spans="1:170" ht="30" customHeight="1">
      <c r="A611" s="88">
        <f>COUNTIF($H$12:H611,H611)</f>
        <v>2</v>
      </c>
      <c r="B611" s="88" t="s">
        <v>787</v>
      </c>
      <c r="C611" s="88" t="s">
        <v>1378</v>
      </c>
      <c r="D611" s="88"/>
      <c r="E611" s="88"/>
      <c r="F611" s="301" t="s">
        <v>1908</v>
      </c>
      <c r="G611" s="303" t="s">
        <v>2087</v>
      </c>
      <c r="H611" s="88">
        <v>12</v>
      </c>
      <c r="I611" s="88">
        <v>12</v>
      </c>
      <c r="J611" s="88">
        <v>12</v>
      </c>
      <c r="K611" s="90" t="s">
        <v>2846</v>
      </c>
      <c r="L611" s="90" t="s">
        <v>2846</v>
      </c>
      <c r="M611" s="214"/>
      <c r="N611" s="88" t="s">
        <v>1804</v>
      </c>
      <c r="O611" s="216">
        <f t="shared" si="1962"/>
        <v>3.33</v>
      </c>
      <c r="P611" s="88" t="str">
        <f t="shared" si="2009"/>
        <v>B1_4</v>
      </c>
      <c r="Q611" s="88">
        <f t="shared" si="1935"/>
        <v>270</v>
      </c>
      <c r="R611" s="88">
        <f t="shared" si="1936"/>
        <v>120</v>
      </c>
      <c r="S611" s="231" t="s">
        <v>659</v>
      </c>
      <c r="T611" s="88" t="s">
        <v>2961</v>
      </c>
      <c r="U611" s="88">
        <f>IF(RIGHT(T611,1)="K",(VLOOKUP(T611,ma_miengiam!$A$3:$B$80,2,0)*100)/2,VLOOKUP(T611,ma_miengiam!$A$3:$B$80,2,0)*100)</f>
        <v>100</v>
      </c>
      <c r="V611" s="88"/>
      <c r="W611" s="220">
        <f>IF(AND(T611="NTS",V611&gt;0),(Q611-(Q611*V611)/12)*VLOOKUP(T611,ma_miengiam!$A$3:$B$80,2,0)+(Q611-(Q611*(12-V611))/12),IF(AND(RIGHT(T611,1)="K",V611&gt;0),(VLOOKUP(T611,ma_miengiam!$A$3:$B$80,2,0)/2)*(Q611*V611)/12,IF(RIGHT(T611,1)="K",(VLOOKUP(T611,ma_miengiam!$A$3:$B$80,2,0)*Q611)/2,IF(V611&gt;0,VLOOKUP(T611,ma_miengiam!$A$3:$B$80,2,0)*Q611*V611/12,VLOOKUP(T611,ma_miengiam!$A$3:$B$80,2,0)*Q611))))</f>
        <v>270</v>
      </c>
      <c r="X611" s="220">
        <f>IF(T611="NTS",VLOOKUP(T611,ma_miengiam!$A$3:$B$80,2,0)*R611*V611,IF(AND(T611="NTS",V611=0),0,IF(AND(LEFT(T611,1)="K",V611=0),VLOOKUP(T611,ma_miengiam!$A$3:$B$80,2,0)*R611,IF(LEFT(T611,1)="K",(VLOOKUP(T611,ma_miengiam!$A$3:$B$80,2,0)*R611/12)*V611,IF(AND(LEFT(T611,1)="S",V611&gt;0),(R611/12)*V611,IF(AND(LEFT(T611,1)="S",V611=0),R611,IF(T611="DH",VLOOKUP(T611,ma_miengiam!$A$3:$B$80,2,0)*R611,0)))))))</f>
        <v>120</v>
      </c>
      <c r="Y611" s="220">
        <f t="shared" si="1963"/>
        <v>0</v>
      </c>
      <c r="Z611" s="220">
        <f t="shared" si="1995"/>
        <v>0</v>
      </c>
      <c r="AA611" s="220">
        <f t="shared" si="2010"/>
        <v>270</v>
      </c>
      <c r="AB611" s="220">
        <f t="shared" si="2010"/>
        <v>120</v>
      </c>
      <c r="AC611" s="220">
        <f t="shared" si="2011"/>
        <v>270</v>
      </c>
      <c r="AD611" s="220">
        <f t="shared" si="2011"/>
        <v>120</v>
      </c>
      <c r="AE611" s="220">
        <f t="shared" si="2011"/>
        <v>0</v>
      </c>
      <c r="AF611" s="220">
        <f t="shared" si="2011"/>
        <v>0</v>
      </c>
      <c r="AG611" s="220">
        <f t="shared" si="1998"/>
        <v>123.48</v>
      </c>
      <c r="AH611" s="220">
        <f t="shared" si="1999"/>
        <v>123.48</v>
      </c>
      <c r="AI611" s="220">
        <f t="shared" si="2000"/>
        <v>0</v>
      </c>
      <c r="AJ611" s="220">
        <f t="shared" si="1902"/>
        <v>0</v>
      </c>
      <c r="AK611" s="216">
        <f t="shared" si="1812"/>
        <v>0</v>
      </c>
      <c r="AL611" s="220">
        <f t="shared" si="1819"/>
        <v>0</v>
      </c>
      <c r="AM611" s="220">
        <f t="shared" si="1820"/>
        <v>0</v>
      </c>
      <c r="AN611" s="221">
        <f t="shared" si="1821"/>
        <v>0</v>
      </c>
      <c r="AO611" s="220">
        <f t="shared" si="1822"/>
        <v>0</v>
      </c>
      <c r="AP611" s="220">
        <f t="shared" si="1823"/>
        <v>0</v>
      </c>
      <c r="AQ611" s="220">
        <f t="shared" si="1824"/>
        <v>0</v>
      </c>
      <c r="AR611" s="220">
        <f t="shared" si="1825"/>
        <v>0</v>
      </c>
      <c r="AS611" s="220">
        <f t="shared" si="1826"/>
        <v>0</v>
      </c>
      <c r="AT611" s="216">
        <f t="shared" si="1827"/>
        <v>0</v>
      </c>
      <c r="AU611" s="220">
        <f t="shared" si="1982"/>
        <v>0</v>
      </c>
      <c r="AV611" s="220"/>
      <c r="AW611" s="220">
        <f t="shared" si="1856"/>
        <v>0</v>
      </c>
      <c r="AX611" s="216">
        <f t="shared" si="1811"/>
        <v>0</v>
      </c>
      <c r="AY611" s="220">
        <f t="shared" si="1866"/>
        <v>0</v>
      </c>
      <c r="AZ611" s="220">
        <f t="shared" si="1867"/>
        <v>0</v>
      </c>
      <c r="BA611" s="220">
        <f t="shared" si="1868"/>
        <v>0</v>
      </c>
      <c r="BB611" s="220">
        <f t="shared" si="1869"/>
        <v>0</v>
      </c>
      <c r="BC611" s="220">
        <f t="shared" si="1870"/>
        <v>0</v>
      </c>
      <c r="BD611" s="216">
        <f t="shared" si="1987"/>
        <v>0</v>
      </c>
      <c r="BE611" s="220">
        <f t="shared" si="1857"/>
        <v>0</v>
      </c>
      <c r="BF611" s="220">
        <f t="shared" si="1858"/>
        <v>0</v>
      </c>
      <c r="BG611" s="220">
        <f t="shared" si="1859"/>
        <v>0</v>
      </c>
      <c r="BH611" s="220">
        <f t="shared" si="1860"/>
        <v>0</v>
      </c>
      <c r="BI611" s="220">
        <f t="shared" si="1861"/>
        <v>0</v>
      </c>
      <c r="BJ611" s="220" t="s">
        <v>1920</v>
      </c>
      <c r="BK611" s="220"/>
      <c r="BL611" s="223">
        <f t="shared" si="2005"/>
        <v>0</v>
      </c>
      <c r="BM611" s="220">
        <v>3.33</v>
      </c>
      <c r="BN611" s="220"/>
      <c r="BO611" s="220">
        <f t="shared" si="2001"/>
        <v>3.33</v>
      </c>
      <c r="BP611" s="220">
        <f>IF(AND(BL611&gt;0,BL611&lt;tiet!$D$1),BL611,IF(BL611&lt;=0,0,IF(BL611&gt;tiet!$C$1,tiet!$C$1)))</f>
        <v>0</v>
      </c>
      <c r="BQ611" s="87">
        <f t="shared" si="1903"/>
        <v>65000</v>
      </c>
      <c r="BR611" s="224">
        <f t="shared" si="1904"/>
        <v>0</v>
      </c>
      <c r="BS611" s="220">
        <f t="shared" si="1933"/>
        <v>0</v>
      </c>
      <c r="BT611" s="224">
        <f>VLOOKUP(N611,ma_dinhmuc!$A$1:$J$31,10,0)</f>
        <v>51000</v>
      </c>
      <c r="BU611" s="224">
        <f>ROUND(IF(BS611&gt;0,VLOOKUP(N611,ma_dinhmuc!$A$1:$J$31,10,0)*BS611,0),0)</f>
        <v>0</v>
      </c>
      <c r="BV611" s="224">
        <f t="shared" si="1905"/>
        <v>0</v>
      </c>
      <c r="BW611" s="224"/>
      <c r="BX611" s="224">
        <v>0</v>
      </c>
      <c r="BY611" s="224"/>
      <c r="BZ611" s="224"/>
      <c r="CA611" s="224"/>
      <c r="CB611" s="224"/>
      <c r="CC611" s="225">
        <f t="shared" si="1968"/>
        <v>0</v>
      </c>
      <c r="CD611" s="224">
        <f t="shared" si="1969"/>
        <v>0</v>
      </c>
      <c r="CE611" s="224"/>
      <c r="CF611" s="226"/>
      <c r="CG611" s="87"/>
      <c r="CH611" s="87">
        <f t="shared" ref="CH611:CH622" si="2012">A611</f>
        <v>2</v>
      </c>
      <c r="CI611" s="227" t="str">
        <f t="shared" ref="CI611:CI643" si="2013">F611</f>
        <v>Phạm Thị</v>
      </c>
      <c r="CJ611" s="227" t="str">
        <f t="shared" ref="CJ611:CJ643" si="2014">G611</f>
        <v>Dung</v>
      </c>
      <c r="CK611" s="87">
        <f t="shared" ref="CK611:CK629" si="2015">H611</f>
        <v>12</v>
      </c>
      <c r="CL611" s="227" t="str">
        <f t="shared" si="1989"/>
        <v>SH phân tử và CNSH ứng dụng</v>
      </c>
      <c r="CM611" s="87" t="str">
        <f t="shared" si="1862"/>
        <v>CS2</v>
      </c>
      <c r="CN611" s="87">
        <f t="shared" si="1990"/>
        <v>270</v>
      </c>
      <c r="CO611" s="87">
        <f t="shared" si="1991"/>
        <v>120</v>
      </c>
      <c r="CP611" s="229">
        <f t="shared" si="1943"/>
        <v>0</v>
      </c>
      <c r="CQ611" s="229">
        <f t="shared" si="1944"/>
        <v>0</v>
      </c>
      <c r="CR611" s="229">
        <f t="shared" si="1945"/>
        <v>0</v>
      </c>
      <c r="CS611" s="229">
        <f t="shared" si="1946"/>
        <v>0</v>
      </c>
      <c r="CT611" s="229">
        <f t="shared" si="1947"/>
        <v>0</v>
      </c>
      <c r="CU611" s="229">
        <f t="shared" si="1948"/>
        <v>0</v>
      </c>
      <c r="CV611" s="229">
        <f t="shared" si="1949"/>
        <v>0</v>
      </c>
      <c r="CW611" s="229">
        <f t="shared" si="1950"/>
        <v>0</v>
      </c>
      <c r="CX611" s="229">
        <f t="shared" si="1951"/>
        <v>0</v>
      </c>
      <c r="CY611" s="229">
        <f t="shared" si="1952"/>
        <v>0</v>
      </c>
      <c r="CZ611" s="229">
        <f t="shared" si="1953"/>
        <v>0</v>
      </c>
      <c r="DA611" s="229">
        <f t="shared" si="1954"/>
        <v>0</v>
      </c>
      <c r="DB611" s="228">
        <f t="shared" si="1834"/>
        <v>0</v>
      </c>
      <c r="DC611" s="229"/>
      <c r="DD611" s="229"/>
      <c r="DE611" s="229"/>
      <c r="DF611" s="229"/>
      <c r="DG611" s="229"/>
      <c r="DH611" s="229"/>
      <c r="DI611" s="229"/>
      <c r="DJ611" s="229"/>
      <c r="DK611" s="229"/>
      <c r="DL611" s="229"/>
      <c r="DM611" s="229"/>
      <c r="DN611" s="229"/>
      <c r="DO611" s="228">
        <f t="shared" si="1835"/>
        <v>0</v>
      </c>
      <c r="DP611" s="228">
        <f t="shared" si="1836"/>
        <v>0</v>
      </c>
      <c r="DQ611" s="229">
        <f t="shared" si="1955"/>
        <v>0</v>
      </c>
      <c r="DR611" s="229">
        <f t="shared" si="1956"/>
        <v>0</v>
      </c>
      <c r="DS611" s="229">
        <f t="shared" si="1957"/>
        <v>0</v>
      </c>
      <c r="DT611" s="229">
        <f t="shared" si="1958"/>
        <v>0</v>
      </c>
      <c r="DU611" s="229">
        <f t="shared" si="1959"/>
        <v>0</v>
      </c>
      <c r="DV611" s="229">
        <f t="shared" si="1960"/>
        <v>0</v>
      </c>
      <c r="DW611" s="229">
        <f t="shared" si="1961"/>
        <v>0</v>
      </c>
      <c r="DX611" s="228">
        <f t="shared" si="1837"/>
        <v>0</v>
      </c>
      <c r="DY611" s="229"/>
      <c r="DZ611" s="229"/>
      <c r="EA611" s="229"/>
      <c r="EB611" s="229"/>
      <c r="EC611" s="229"/>
      <c r="ED611" s="229"/>
      <c r="EE611" s="229"/>
      <c r="EF611" s="228">
        <f t="shared" si="1939"/>
        <v>0</v>
      </c>
      <c r="EG611" s="228">
        <f t="shared" si="1838"/>
        <v>0</v>
      </c>
      <c r="EH611" s="229">
        <f t="shared" si="1940"/>
        <v>0</v>
      </c>
      <c r="EI611" s="229">
        <v>123.48</v>
      </c>
      <c r="EJ611" s="228">
        <f t="shared" si="1900"/>
        <v>123.48</v>
      </c>
      <c r="EK611" s="229"/>
      <c r="EL611" s="229"/>
      <c r="EM611" s="228">
        <f t="shared" si="1994"/>
        <v>0</v>
      </c>
      <c r="EN611" s="229">
        <f t="shared" si="1894"/>
        <v>0</v>
      </c>
      <c r="EO611" s="229">
        <f t="shared" si="1983"/>
        <v>123.48</v>
      </c>
      <c r="EP611" s="228">
        <f t="shared" si="1964"/>
        <v>123.48</v>
      </c>
      <c r="EQ611" s="173">
        <f t="shared" si="1934"/>
        <v>0</v>
      </c>
      <c r="ER611" s="189">
        <v>0</v>
      </c>
      <c r="ES611" s="189">
        <v>0</v>
      </c>
      <c r="ET611" s="189">
        <v>0</v>
      </c>
      <c r="EU611" s="189">
        <v>0</v>
      </c>
      <c r="EV611" s="189">
        <v>0</v>
      </c>
      <c r="EW611" s="189">
        <v>0</v>
      </c>
      <c r="EX611" s="189">
        <v>0</v>
      </c>
      <c r="EY611" s="189">
        <v>0</v>
      </c>
      <c r="EZ611" s="189">
        <v>0</v>
      </c>
      <c r="FA611" s="189">
        <v>0</v>
      </c>
      <c r="FB611" s="189">
        <v>0</v>
      </c>
      <c r="FC611" s="189">
        <v>0</v>
      </c>
      <c r="FD611" s="189">
        <v>0</v>
      </c>
      <c r="FE611" s="189">
        <v>0</v>
      </c>
      <c r="FF611" s="189">
        <v>0</v>
      </c>
      <c r="FG611" s="189">
        <v>0</v>
      </c>
      <c r="FH611" s="189">
        <v>0</v>
      </c>
      <c r="FI611" s="189">
        <v>0</v>
      </c>
      <c r="FJ611" s="189">
        <v>0</v>
      </c>
      <c r="FK611" s="189">
        <v>0</v>
      </c>
      <c r="FL611" s="189">
        <v>0</v>
      </c>
      <c r="FN611" s="132">
        <v>0</v>
      </c>
    </row>
    <row r="612" spans="1:170" ht="32.25" customHeight="1">
      <c r="A612" s="88">
        <f>COUNTIF($H$12:H612,H612)</f>
        <v>3</v>
      </c>
      <c r="B612" s="88" t="s">
        <v>788</v>
      </c>
      <c r="C612" s="88" t="s">
        <v>1379</v>
      </c>
      <c r="D612" s="88"/>
      <c r="E612" s="88"/>
      <c r="F612" s="301" t="s">
        <v>1162</v>
      </c>
      <c r="G612" s="89" t="s">
        <v>3050</v>
      </c>
      <c r="H612" s="88">
        <v>12</v>
      </c>
      <c r="I612" s="88">
        <v>12</v>
      </c>
      <c r="J612" s="88">
        <v>12</v>
      </c>
      <c r="K612" s="90" t="s">
        <v>2846</v>
      </c>
      <c r="L612" s="90" t="s">
        <v>2846</v>
      </c>
      <c r="M612" s="214"/>
      <c r="N612" s="88" t="s">
        <v>605</v>
      </c>
      <c r="O612" s="216">
        <f t="shared" si="1962"/>
        <v>6.2</v>
      </c>
      <c r="P612" s="88" t="str">
        <f t="shared" si="2009"/>
        <v>B1_6</v>
      </c>
      <c r="Q612" s="88">
        <f t="shared" si="1935"/>
        <v>270</v>
      </c>
      <c r="R612" s="88">
        <f t="shared" si="1936"/>
        <v>170</v>
      </c>
      <c r="S612" s="231" t="s">
        <v>682</v>
      </c>
      <c r="T612" s="88" t="s">
        <v>3093</v>
      </c>
      <c r="U612" s="88">
        <f>IF(RIGHT(T612,1)="K",(VLOOKUP(T612,ma_miengiam!$A$3:$B$80,2,0)*100)/2,VLOOKUP(T612,ma_miengiam!$A$3:$B$80,2,0)*100)</f>
        <v>30</v>
      </c>
      <c r="V612" s="88"/>
      <c r="W612" s="220">
        <f>IF(AND(T612="NTS",V612&gt;0),(Q612-(Q612*V612)/12)*VLOOKUP(T612,ma_miengiam!$A$3:$B$80,2,0)+(Q612-(Q612*(12-V612))/12),IF(AND(RIGHT(T612,1)="K",V612&gt;0),(VLOOKUP(T612,ma_miengiam!$A$3:$B$80,2,0)/2)*(Q612*V612)/12,IF(RIGHT(T612,1)="K",(VLOOKUP(T612,ma_miengiam!$A$3:$B$80,2,0)*Q612)/2,IF(V612&gt;0,VLOOKUP(T612,ma_miengiam!$A$3:$B$80,2,0)*Q612*V612/12,VLOOKUP(T612,ma_miengiam!$A$3:$B$80,2,0)*Q612))))</f>
        <v>81</v>
      </c>
      <c r="X612" s="220">
        <f>IF(T612="NTS",VLOOKUP(T612,ma_miengiam!$A$3:$B$80,2,0)*R612*V612,IF(AND(T612="NTS",V612=0),0,IF(AND(LEFT(T612,1)="K",V612=0),VLOOKUP(T612,ma_miengiam!$A$3:$B$80,2,0)*R612,IF(LEFT(T612,1)="K",(VLOOKUP(T612,ma_miengiam!$A$3:$B$80,2,0)*R612/12)*V612,IF(AND(LEFT(T612,1)="S",V612&gt;0),(R612/12)*V612,IF(AND(LEFT(T612,1)="S",V612=0),R612,IF(T612="DH",VLOOKUP(T612,ma_miengiam!$A$3:$B$80,2,0)*R612,0)))))))</f>
        <v>0</v>
      </c>
      <c r="Y612" s="220">
        <f t="shared" si="1963"/>
        <v>189</v>
      </c>
      <c r="Z612" s="220">
        <f t="shared" si="1995"/>
        <v>170</v>
      </c>
      <c r="AA612" s="220">
        <f t="shared" si="2010"/>
        <v>270</v>
      </c>
      <c r="AB612" s="220">
        <f t="shared" si="2010"/>
        <v>170</v>
      </c>
      <c r="AC612" s="220">
        <f t="shared" si="2011"/>
        <v>81</v>
      </c>
      <c r="AD612" s="220">
        <f t="shared" si="2011"/>
        <v>0</v>
      </c>
      <c r="AE612" s="220">
        <f t="shared" si="2011"/>
        <v>189</v>
      </c>
      <c r="AF612" s="220">
        <f t="shared" si="2011"/>
        <v>170</v>
      </c>
      <c r="AG612" s="220">
        <f t="shared" si="1998"/>
        <v>175.17</v>
      </c>
      <c r="AH612" s="220">
        <f t="shared" si="1999"/>
        <v>2.6699999999999875</v>
      </c>
      <c r="AI612" s="220">
        <f t="shared" si="2000"/>
        <v>172.5</v>
      </c>
      <c r="AJ612" s="220">
        <f t="shared" si="1902"/>
        <v>0</v>
      </c>
      <c r="AK612" s="216">
        <f t="shared" si="1812"/>
        <v>189</v>
      </c>
      <c r="AL612" s="220">
        <f t="shared" si="1819"/>
        <v>298.7</v>
      </c>
      <c r="AM612" s="220">
        <f t="shared" si="1820"/>
        <v>0</v>
      </c>
      <c r="AN612" s="221">
        <f t="shared" si="1821"/>
        <v>298.7</v>
      </c>
      <c r="AO612" s="220">
        <f t="shared" si="1822"/>
        <v>0</v>
      </c>
      <c r="AP612" s="220">
        <f t="shared" si="1823"/>
        <v>0</v>
      </c>
      <c r="AQ612" s="220">
        <f t="shared" si="1824"/>
        <v>80</v>
      </c>
      <c r="AR612" s="220">
        <f t="shared" si="1825"/>
        <v>0</v>
      </c>
      <c r="AS612" s="220">
        <f t="shared" si="1826"/>
        <v>0</v>
      </c>
      <c r="AT612" s="216">
        <f t="shared" si="1827"/>
        <v>378.7</v>
      </c>
      <c r="AU612" s="222">
        <f t="shared" si="1982"/>
        <v>109.69999999999999</v>
      </c>
      <c r="AV612" s="220"/>
      <c r="AW612" s="220">
        <f t="shared" si="1856"/>
        <v>109.69999999999999</v>
      </c>
      <c r="AX612" s="216">
        <f t="shared" si="1811"/>
        <v>0</v>
      </c>
      <c r="AY612" s="220">
        <f t="shared" si="1866"/>
        <v>0</v>
      </c>
      <c r="AZ612" s="220">
        <f t="shared" si="1867"/>
        <v>0</v>
      </c>
      <c r="BA612" s="220">
        <f t="shared" si="1868"/>
        <v>80</v>
      </c>
      <c r="BB612" s="220">
        <f t="shared" si="1869"/>
        <v>0</v>
      </c>
      <c r="BC612" s="220">
        <f t="shared" si="1870"/>
        <v>0</v>
      </c>
      <c r="BD612" s="216">
        <f t="shared" si="1987"/>
        <v>80</v>
      </c>
      <c r="BE612" s="220">
        <f t="shared" si="1857"/>
        <v>0</v>
      </c>
      <c r="BF612" s="220">
        <f t="shared" si="1858"/>
        <v>0</v>
      </c>
      <c r="BG612" s="220">
        <f t="shared" si="1859"/>
        <v>0</v>
      </c>
      <c r="BH612" s="220">
        <f t="shared" si="1860"/>
        <v>0</v>
      </c>
      <c r="BI612" s="220">
        <f t="shared" si="1861"/>
        <v>0</v>
      </c>
      <c r="BJ612" s="220" t="s">
        <v>45</v>
      </c>
      <c r="BK612" s="220"/>
      <c r="BL612" s="223">
        <f t="shared" si="2005"/>
        <v>109.69999999999999</v>
      </c>
      <c r="BM612" s="220">
        <v>6.2</v>
      </c>
      <c r="BN612" s="220"/>
      <c r="BO612" s="220">
        <f t="shared" si="2001"/>
        <v>6.2</v>
      </c>
      <c r="BP612" s="220">
        <f>IF(AND(BL612&gt;0,BL612&lt;tiet!$D$1),BL612,IF(BL612&lt;=0,0,IF(BL612&gt;tiet!$C$1,tiet!$C$1)))</f>
        <v>109.69999999999999</v>
      </c>
      <c r="BQ612" s="87">
        <f t="shared" si="1903"/>
        <v>75000</v>
      </c>
      <c r="BR612" s="224">
        <f t="shared" si="1904"/>
        <v>8227500</v>
      </c>
      <c r="BS612" s="220">
        <f t="shared" si="1933"/>
        <v>0</v>
      </c>
      <c r="BT612" s="224">
        <f>VLOOKUP(N612,ma_dinhmuc!$A$1:$J$31,10,0)</f>
        <v>65000</v>
      </c>
      <c r="BU612" s="224">
        <f>ROUND(IF(BS612&gt;0,VLOOKUP(N612,ma_dinhmuc!$A$1:$J$31,10,0)*BS612,0),0)</f>
        <v>0</v>
      </c>
      <c r="BV612" s="224">
        <f t="shared" si="1905"/>
        <v>8227500</v>
      </c>
      <c r="BW612" s="224"/>
      <c r="BX612" s="224">
        <v>0</v>
      </c>
      <c r="BY612" s="224"/>
      <c r="BZ612" s="224"/>
      <c r="CA612" s="224"/>
      <c r="CB612" s="224"/>
      <c r="CC612" s="225">
        <f t="shared" si="1968"/>
        <v>8227500</v>
      </c>
      <c r="CD612" s="224">
        <f t="shared" si="1969"/>
        <v>0</v>
      </c>
      <c r="CE612" s="224"/>
      <c r="CF612" s="226"/>
      <c r="CG612" s="87"/>
      <c r="CH612" s="87">
        <f t="shared" si="2012"/>
        <v>3</v>
      </c>
      <c r="CI612" s="227" t="str">
        <f t="shared" si="2013"/>
        <v>Nguyễn Đức</v>
      </c>
      <c r="CJ612" s="227" t="str">
        <f t="shared" si="2014"/>
        <v>Bách</v>
      </c>
      <c r="CK612" s="87">
        <f t="shared" si="2015"/>
        <v>12</v>
      </c>
      <c r="CL612" s="227" t="str">
        <f t="shared" si="1989"/>
        <v>SH phân tử và CNSH ứng dụng</v>
      </c>
      <c r="CM612" s="87" t="str">
        <f t="shared" si="1862"/>
        <v>CS4</v>
      </c>
      <c r="CN612" s="87">
        <f>Q612</f>
        <v>270</v>
      </c>
      <c r="CO612" s="87">
        <f>R612</f>
        <v>170</v>
      </c>
      <c r="CP612" s="229">
        <f t="shared" si="1943"/>
        <v>0</v>
      </c>
      <c r="CQ612" s="229">
        <f t="shared" si="1944"/>
        <v>30.5</v>
      </c>
      <c r="CR612" s="229">
        <f t="shared" si="1945"/>
        <v>12.2</v>
      </c>
      <c r="CS612" s="229">
        <f t="shared" si="1946"/>
        <v>0</v>
      </c>
      <c r="CT612" s="229">
        <f t="shared" si="1947"/>
        <v>0</v>
      </c>
      <c r="CU612" s="229">
        <f t="shared" si="1948"/>
        <v>232</v>
      </c>
      <c r="CV612" s="229">
        <f t="shared" si="1949"/>
        <v>0</v>
      </c>
      <c r="CW612" s="229">
        <f t="shared" si="1950"/>
        <v>24</v>
      </c>
      <c r="CX612" s="229">
        <f t="shared" si="1951"/>
        <v>0</v>
      </c>
      <c r="CY612" s="229">
        <f t="shared" si="1952"/>
        <v>0</v>
      </c>
      <c r="CZ612" s="229">
        <f t="shared" si="1953"/>
        <v>0</v>
      </c>
      <c r="DA612" s="229">
        <f t="shared" si="1954"/>
        <v>80</v>
      </c>
      <c r="DB612" s="228">
        <f t="shared" si="1834"/>
        <v>378.7</v>
      </c>
      <c r="DC612" s="229"/>
      <c r="DD612" s="229"/>
      <c r="DE612" s="229"/>
      <c r="DF612" s="229"/>
      <c r="DG612" s="229"/>
      <c r="DH612" s="229"/>
      <c r="DI612" s="229"/>
      <c r="DJ612" s="229"/>
      <c r="DK612" s="229"/>
      <c r="DL612" s="229"/>
      <c r="DM612" s="229"/>
      <c r="DN612" s="229"/>
      <c r="DO612" s="228">
        <f t="shared" si="1835"/>
        <v>0</v>
      </c>
      <c r="DP612" s="228">
        <f t="shared" si="1836"/>
        <v>378.7</v>
      </c>
      <c r="DQ612" s="229">
        <f t="shared" si="1955"/>
        <v>0</v>
      </c>
      <c r="DR612" s="229">
        <f t="shared" si="1956"/>
        <v>0</v>
      </c>
      <c r="DS612" s="229">
        <f t="shared" si="1957"/>
        <v>0</v>
      </c>
      <c r="DT612" s="229">
        <f t="shared" si="1958"/>
        <v>0</v>
      </c>
      <c r="DU612" s="229">
        <f t="shared" si="1959"/>
        <v>0</v>
      </c>
      <c r="DV612" s="229">
        <f t="shared" si="1960"/>
        <v>0</v>
      </c>
      <c r="DW612" s="229">
        <f t="shared" si="1961"/>
        <v>0</v>
      </c>
      <c r="DX612" s="228">
        <f t="shared" si="1837"/>
        <v>0</v>
      </c>
      <c r="DY612" s="229"/>
      <c r="DZ612" s="229"/>
      <c r="EA612" s="229"/>
      <c r="EB612" s="229"/>
      <c r="EC612" s="229"/>
      <c r="ED612" s="229"/>
      <c r="EE612" s="229"/>
      <c r="EF612" s="228">
        <f t="shared" si="1939"/>
        <v>0</v>
      </c>
      <c r="EG612" s="228">
        <f t="shared" si="1838"/>
        <v>0</v>
      </c>
      <c r="EH612" s="229">
        <f t="shared" si="1940"/>
        <v>172.5</v>
      </c>
      <c r="EI612" s="229">
        <v>2.6699999999999875</v>
      </c>
      <c r="EJ612" s="228">
        <f t="shared" si="1900"/>
        <v>175.17</v>
      </c>
      <c r="EK612" s="229"/>
      <c r="EL612" s="229"/>
      <c r="EM612" s="228">
        <f t="shared" si="1994"/>
        <v>0</v>
      </c>
      <c r="EN612" s="229">
        <f t="shared" si="1894"/>
        <v>172.5</v>
      </c>
      <c r="EO612" s="229">
        <f t="shared" si="1983"/>
        <v>2.6699999999999875</v>
      </c>
      <c r="EP612" s="228">
        <f t="shared" si="1964"/>
        <v>175.17</v>
      </c>
      <c r="EQ612" s="173">
        <f t="shared" si="1934"/>
        <v>2.5</v>
      </c>
      <c r="ER612" s="189">
        <v>0</v>
      </c>
      <c r="ES612" s="189">
        <v>30.5</v>
      </c>
      <c r="ET612" s="189">
        <v>12.2</v>
      </c>
      <c r="EU612" s="189">
        <v>0</v>
      </c>
      <c r="EV612" s="189">
        <v>0</v>
      </c>
      <c r="EW612" s="189">
        <v>232</v>
      </c>
      <c r="EX612" s="189">
        <v>0</v>
      </c>
      <c r="EY612" s="189">
        <v>24</v>
      </c>
      <c r="EZ612" s="189">
        <v>0</v>
      </c>
      <c r="FA612" s="189">
        <v>0</v>
      </c>
      <c r="FB612" s="189">
        <v>0</v>
      </c>
      <c r="FC612" s="189">
        <v>80</v>
      </c>
      <c r="FD612" s="189">
        <v>0</v>
      </c>
      <c r="FE612" s="189">
        <v>0</v>
      </c>
      <c r="FF612" s="189">
        <v>0</v>
      </c>
      <c r="FG612" s="189">
        <v>0</v>
      </c>
      <c r="FH612" s="189">
        <v>0</v>
      </c>
      <c r="FI612" s="189">
        <v>0</v>
      </c>
      <c r="FJ612" s="189">
        <v>0</v>
      </c>
      <c r="FK612" s="189">
        <v>378.7</v>
      </c>
      <c r="FL612" s="189">
        <v>246</v>
      </c>
      <c r="FN612" s="132">
        <v>172.5</v>
      </c>
    </row>
    <row r="613" spans="1:170" ht="30">
      <c r="A613" s="88">
        <f>COUNTIF($H$12:H613,H613)</f>
        <v>4</v>
      </c>
      <c r="B613" s="88" t="s">
        <v>789</v>
      </c>
      <c r="C613" s="88" t="s">
        <v>1380</v>
      </c>
      <c r="D613" s="88"/>
      <c r="E613" s="88"/>
      <c r="F613" s="301" t="s">
        <v>1870</v>
      </c>
      <c r="G613" s="303" t="s">
        <v>1114</v>
      </c>
      <c r="H613" s="88">
        <v>12</v>
      </c>
      <c r="I613" s="88">
        <v>12</v>
      </c>
      <c r="J613" s="88">
        <v>12</v>
      </c>
      <c r="K613" s="90" t="s">
        <v>2846</v>
      </c>
      <c r="L613" s="90" t="s">
        <v>2846</v>
      </c>
      <c r="M613" s="214"/>
      <c r="N613" s="88" t="s">
        <v>1804</v>
      </c>
      <c r="O613" s="216">
        <f t="shared" si="1962"/>
        <v>3.33</v>
      </c>
      <c r="P613" s="88" t="str">
        <f t="shared" si="2009"/>
        <v>B1_4</v>
      </c>
      <c r="Q613" s="88">
        <f t="shared" si="1935"/>
        <v>270</v>
      </c>
      <c r="R613" s="88">
        <f t="shared" si="1936"/>
        <v>120</v>
      </c>
      <c r="S613" s="231" t="s">
        <v>2675</v>
      </c>
      <c r="T613" s="88" t="s">
        <v>1326</v>
      </c>
      <c r="U613" s="88">
        <f>IF(RIGHT(T613,1)="K",(VLOOKUP(T613,ma_miengiam!$A$3:$B$80,2,0)*100)/2,VLOOKUP(T613,ma_miengiam!$A$3:$B$80,2,0)*100)</f>
        <v>65</v>
      </c>
      <c r="V613" s="88"/>
      <c r="W613" s="220">
        <f>IF(AND(T613="NTS",V613&gt;0),(Q613-(Q613*V613)/12)*VLOOKUP(T613,ma_miengiam!$A$3:$B$80,2,0)+(Q613-(Q613*(12-V613))/12),IF(AND(RIGHT(T613,1)="K",V613&gt;0),(VLOOKUP(T613,ma_miengiam!$A$3:$B$80,2,0)/2)*(Q613*V613)/12,IF(RIGHT(T613,1)="K",(VLOOKUP(T613,ma_miengiam!$A$3:$B$80,2,0)*Q613)/2,IF(V613&gt;0,VLOOKUP(T613,ma_miengiam!$A$3:$B$80,2,0)*Q613*V613/12,VLOOKUP(T613,ma_miengiam!$A$3:$B$80,2,0)*Q613))))</f>
        <v>175.5</v>
      </c>
      <c r="X613" s="220">
        <f>IF(T613="NTS",VLOOKUP(T613,ma_miengiam!$A$3:$B$80,2,0)*R613*V613,IF(AND(T613="NTS",V613=0),0,IF(AND(LEFT(T613,1)="K",V613=0),VLOOKUP(T613,ma_miengiam!$A$3:$B$80,2,0)*R613,IF(LEFT(T613,1)="K",(VLOOKUP(T613,ma_miengiam!$A$3:$B$80,2,0)*R613/12)*V613,IF(AND(LEFT(T613,1)="S",V613&gt;0),(R613/12)*V613,IF(AND(LEFT(T613,1)="S",V613=0),R613,IF(T613="DH",VLOOKUP(T613,ma_miengiam!$A$3:$B$80,2,0)*R613,0)))))))</f>
        <v>120</v>
      </c>
      <c r="Y613" s="220">
        <f t="shared" si="1963"/>
        <v>94.5</v>
      </c>
      <c r="Z613" s="220">
        <f t="shared" si="1995"/>
        <v>0</v>
      </c>
      <c r="AA613" s="220">
        <f>Q613</f>
        <v>270</v>
      </c>
      <c r="AB613" s="220">
        <f>R613</f>
        <v>120</v>
      </c>
      <c r="AC613" s="220">
        <f t="shared" ref="AC613:AF614" si="2016">W613</f>
        <v>175.5</v>
      </c>
      <c r="AD613" s="220">
        <f t="shared" si="2016"/>
        <v>120</v>
      </c>
      <c r="AE613" s="220">
        <f t="shared" si="2016"/>
        <v>94.5</v>
      </c>
      <c r="AF613" s="220">
        <f t="shared" si="2016"/>
        <v>0</v>
      </c>
      <c r="AG613" s="220">
        <f t="shared" si="1998"/>
        <v>460.54999999999995</v>
      </c>
      <c r="AH613" s="220">
        <f t="shared" si="1999"/>
        <v>120.97</v>
      </c>
      <c r="AI613" s="220">
        <f t="shared" si="2000"/>
        <v>339.58</v>
      </c>
      <c r="AJ613" s="220">
        <f t="shared" si="1902"/>
        <v>0</v>
      </c>
      <c r="AK613" s="216">
        <f t="shared" si="1812"/>
        <v>94.5</v>
      </c>
      <c r="AL613" s="220">
        <f t="shared" si="1819"/>
        <v>395.1</v>
      </c>
      <c r="AM613" s="220">
        <f t="shared" si="1820"/>
        <v>0</v>
      </c>
      <c r="AN613" s="221">
        <f t="shared" si="1821"/>
        <v>395.1</v>
      </c>
      <c r="AO613" s="220">
        <f t="shared" si="1822"/>
        <v>0</v>
      </c>
      <c r="AP613" s="220">
        <f t="shared" si="1823"/>
        <v>0</v>
      </c>
      <c r="AQ613" s="220">
        <f t="shared" si="1824"/>
        <v>148</v>
      </c>
      <c r="AR613" s="220">
        <f t="shared" si="1825"/>
        <v>0</v>
      </c>
      <c r="AS613" s="220">
        <f t="shared" si="1826"/>
        <v>0</v>
      </c>
      <c r="AT613" s="216">
        <f t="shared" si="1827"/>
        <v>543.1</v>
      </c>
      <c r="AU613" s="222">
        <f t="shared" si="1982"/>
        <v>300.60000000000002</v>
      </c>
      <c r="AV613" s="220"/>
      <c r="AW613" s="220">
        <f t="shared" si="1856"/>
        <v>300.60000000000002</v>
      </c>
      <c r="AX613" s="216">
        <f t="shared" si="1811"/>
        <v>0</v>
      </c>
      <c r="AY613" s="220">
        <f t="shared" si="1866"/>
        <v>0</v>
      </c>
      <c r="AZ613" s="220">
        <f t="shared" si="1867"/>
        <v>0</v>
      </c>
      <c r="BA613" s="220">
        <f t="shared" si="1868"/>
        <v>148</v>
      </c>
      <c r="BB613" s="220">
        <f t="shared" si="1869"/>
        <v>0</v>
      </c>
      <c r="BC613" s="220">
        <f t="shared" si="1870"/>
        <v>0</v>
      </c>
      <c r="BD613" s="216">
        <f t="shared" si="1987"/>
        <v>148</v>
      </c>
      <c r="BE613" s="220">
        <f t="shared" si="1857"/>
        <v>0</v>
      </c>
      <c r="BF613" s="220">
        <f t="shared" si="1858"/>
        <v>0</v>
      </c>
      <c r="BG613" s="220">
        <f t="shared" si="1859"/>
        <v>0</v>
      </c>
      <c r="BH613" s="220">
        <f t="shared" si="1860"/>
        <v>0</v>
      </c>
      <c r="BI613" s="220">
        <f t="shared" si="1861"/>
        <v>0</v>
      </c>
      <c r="BJ613" s="220" t="s">
        <v>45</v>
      </c>
      <c r="BK613" s="220"/>
      <c r="BL613" s="223">
        <f t="shared" si="2005"/>
        <v>300.60000000000002</v>
      </c>
      <c r="BM613" s="220">
        <v>3.33</v>
      </c>
      <c r="BN613" s="220"/>
      <c r="BO613" s="220">
        <f t="shared" si="2001"/>
        <v>3.33</v>
      </c>
      <c r="BP613" s="220">
        <f>IF(AND(BL613&gt;0,BL613&lt;tiet!$D$1),BL613,IF(BL613&lt;=0,0,IF(BL613&gt;tiet!$C$1,tiet!$C$1)))</f>
        <v>200</v>
      </c>
      <c r="BQ613" s="87">
        <f t="shared" si="1903"/>
        <v>65000</v>
      </c>
      <c r="BR613" s="224">
        <f t="shared" si="1904"/>
        <v>13000000</v>
      </c>
      <c r="BS613" s="220">
        <f t="shared" si="1933"/>
        <v>100.60000000000002</v>
      </c>
      <c r="BT613" s="224">
        <f>VLOOKUP(N613,ma_dinhmuc!$A$1:$J$31,10,0)</f>
        <v>51000</v>
      </c>
      <c r="BU613" s="224">
        <f>ROUND(IF(BS613&gt;0,VLOOKUP(N613,ma_dinhmuc!$A$1:$J$31,10,0)*BS613,0),0)</f>
        <v>5130600</v>
      </c>
      <c r="BV613" s="224">
        <f t="shared" si="1905"/>
        <v>18130600</v>
      </c>
      <c r="BW613" s="224"/>
      <c r="BX613" s="224">
        <v>0</v>
      </c>
      <c r="BY613" s="224"/>
      <c r="BZ613" s="224"/>
      <c r="CA613" s="224"/>
      <c r="CB613" s="224"/>
      <c r="CC613" s="225">
        <f t="shared" si="1968"/>
        <v>18130600</v>
      </c>
      <c r="CD613" s="224">
        <f t="shared" si="1969"/>
        <v>0</v>
      </c>
      <c r="CE613" s="224"/>
      <c r="CF613" s="226"/>
      <c r="CG613" s="87"/>
      <c r="CH613" s="87">
        <f t="shared" si="2012"/>
        <v>4</v>
      </c>
      <c r="CI613" s="227" t="str">
        <f t="shared" si="2013"/>
        <v>Nguyễn Quốc</v>
      </c>
      <c r="CJ613" s="227" t="str">
        <f t="shared" si="2014"/>
        <v>Trung</v>
      </c>
      <c r="CK613" s="87">
        <f t="shared" si="2015"/>
        <v>12</v>
      </c>
      <c r="CL613" s="227" t="str">
        <f t="shared" si="1989"/>
        <v>SH phân tử và CNSH ứng dụng</v>
      </c>
      <c r="CM613" s="87" t="str">
        <f t="shared" si="1862"/>
        <v>CS2</v>
      </c>
      <c r="CN613" s="87">
        <f>Q613</f>
        <v>270</v>
      </c>
      <c r="CO613" s="87">
        <f>R613</f>
        <v>120</v>
      </c>
      <c r="CP613" s="229">
        <f t="shared" si="1943"/>
        <v>0</v>
      </c>
      <c r="CQ613" s="229">
        <f t="shared" si="1944"/>
        <v>39.6</v>
      </c>
      <c r="CR613" s="229">
        <f t="shared" si="1945"/>
        <v>11.4</v>
      </c>
      <c r="CS613" s="229">
        <f t="shared" si="1946"/>
        <v>42.3</v>
      </c>
      <c r="CT613" s="229">
        <f t="shared" si="1947"/>
        <v>0</v>
      </c>
      <c r="CU613" s="229">
        <f t="shared" si="1948"/>
        <v>226.8</v>
      </c>
      <c r="CV613" s="229">
        <f t="shared" si="1949"/>
        <v>0</v>
      </c>
      <c r="CW613" s="229">
        <f t="shared" si="1950"/>
        <v>75</v>
      </c>
      <c r="CX613" s="229">
        <f t="shared" si="1951"/>
        <v>0</v>
      </c>
      <c r="CY613" s="229">
        <f t="shared" si="1952"/>
        <v>0</v>
      </c>
      <c r="CZ613" s="229">
        <f t="shared" si="1953"/>
        <v>0</v>
      </c>
      <c r="DA613" s="229">
        <f t="shared" si="1954"/>
        <v>148</v>
      </c>
      <c r="DB613" s="228">
        <f t="shared" si="1834"/>
        <v>543.1</v>
      </c>
      <c r="DC613" s="229"/>
      <c r="DD613" s="229"/>
      <c r="DE613" s="229"/>
      <c r="DF613" s="229"/>
      <c r="DG613" s="229"/>
      <c r="DH613" s="229"/>
      <c r="DI613" s="229"/>
      <c r="DJ613" s="229"/>
      <c r="DK613" s="229"/>
      <c r="DL613" s="229"/>
      <c r="DM613" s="229"/>
      <c r="DN613" s="229"/>
      <c r="DO613" s="228">
        <f t="shared" si="1835"/>
        <v>0</v>
      </c>
      <c r="DP613" s="228">
        <f t="shared" si="1836"/>
        <v>543.1</v>
      </c>
      <c r="DQ613" s="229">
        <f t="shared" si="1955"/>
        <v>0</v>
      </c>
      <c r="DR613" s="229">
        <f t="shared" si="1956"/>
        <v>0</v>
      </c>
      <c r="DS613" s="229">
        <f t="shared" si="1957"/>
        <v>0</v>
      </c>
      <c r="DT613" s="229">
        <f t="shared" si="1958"/>
        <v>0</v>
      </c>
      <c r="DU613" s="229">
        <f t="shared" si="1959"/>
        <v>0</v>
      </c>
      <c r="DV613" s="229">
        <f t="shared" si="1960"/>
        <v>0</v>
      </c>
      <c r="DW613" s="229">
        <f t="shared" si="1961"/>
        <v>0</v>
      </c>
      <c r="DX613" s="228">
        <f t="shared" si="1837"/>
        <v>0</v>
      </c>
      <c r="DY613" s="229"/>
      <c r="DZ613" s="229"/>
      <c r="EA613" s="229"/>
      <c r="EB613" s="229"/>
      <c r="EC613" s="229"/>
      <c r="ED613" s="229"/>
      <c r="EE613" s="229"/>
      <c r="EF613" s="228">
        <f t="shared" si="1939"/>
        <v>0</v>
      </c>
      <c r="EG613" s="228">
        <f t="shared" si="1838"/>
        <v>0</v>
      </c>
      <c r="EH613" s="229">
        <f t="shared" si="1940"/>
        <v>339.58</v>
      </c>
      <c r="EI613" s="229">
        <v>120.97</v>
      </c>
      <c r="EJ613" s="228">
        <f t="shared" si="1900"/>
        <v>460.54999999999995</v>
      </c>
      <c r="EK613" s="229"/>
      <c r="EL613" s="229"/>
      <c r="EM613" s="228">
        <f t="shared" si="1994"/>
        <v>0</v>
      </c>
      <c r="EN613" s="229">
        <f t="shared" si="1894"/>
        <v>339.58</v>
      </c>
      <c r="EO613" s="229">
        <f t="shared" si="1983"/>
        <v>120.97</v>
      </c>
      <c r="EP613" s="228">
        <f t="shared" si="1964"/>
        <v>460.54999999999995</v>
      </c>
      <c r="EQ613" s="173">
        <f t="shared" si="1934"/>
        <v>339.58</v>
      </c>
      <c r="ER613" s="189">
        <v>0</v>
      </c>
      <c r="ES613" s="189">
        <v>39.6</v>
      </c>
      <c r="ET613" s="189">
        <v>11.4</v>
      </c>
      <c r="EU613" s="189">
        <v>42.3</v>
      </c>
      <c r="EV613" s="189">
        <v>0</v>
      </c>
      <c r="EW613" s="189">
        <v>226.8</v>
      </c>
      <c r="EX613" s="189">
        <v>0</v>
      </c>
      <c r="EY613" s="189">
        <v>75</v>
      </c>
      <c r="EZ613" s="189">
        <v>0</v>
      </c>
      <c r="FA613" s="189">
        <v>0</v>
      </c>
      <c r="FB613" s="189">
        <v>0</v>
      </c>
      <c r="FC613" s="189">
        <v>148</v>
      </c>
      <c r="FD613" s="189">
        <v>0</v>
      </c>
      <c r="FE613" s="189">
        <v>0</v>
      </c>
      <c r="FF613" s="189">
        <v>0</v>
      </c>
      <c r="FG613" s="189">
        <v>0</v>
      </c>
      <c r="FH613" s="189">
        <v>0</v>
      </c>
      <c r="FI613" s="189">
        <v>0</v>
      </c>
      <c r="FJ613" s="189">
        <v>0</v>
      </c>
      <c r="FK613" s="189">
        <v>543.1</v>
      </c>
      <c r="FL613" s="189">
        <v>394.3</v>
      </c>
      <c r="FN613" s="132">
        <v>339.58</v>
      </c>
    </row>
    <row r="614" spans="1:170" ht="30">
      <c r="A614" s="88">
        <f>COUNTIF($H$12:H614,H614)</f>
        <v>5</v>
      </c>
      <c r="B614" s="88" t="s">
        <v>790</v>
      </c>
      <c r="C614" s="88" t="s">
        <v>1381</v>
      </c>
      <c r="D614" s="88"/>
      <c r="E614" s="88" t="s">
        <v>3064</v>
      </c>
      <c r="F614" s="301" t="s">
        <v>3051</v>
      </c>
      <c r="G614" s="89" t="s">
        <v>2819</v>
      </c>
      <c r="H614" s="88">
        <v>12</v>
      </c>
      <c r="I614" s="88">
        <v>12</v>
      </c>
      <c r="J614" s="88">
        <v>12</v>
      </c>
      <c r="K614" s="90" t="s">
        <v>2846</v>
      </c>
      <c r="L614" s="90" t="s">
        <v>2846</v>
      </c>
      <c r="M614" s="214"/>
      <c r="N614" s="88" t="s">
        <v>1804</v>
      </c>
      <c r="O614" s="216">
        <f t="shared" si="1962"/>
        <v>3.33</v>
      </c>
      <c r="P614" s="88" t="str">
        <f t="shared" si="2009"/>
        <v>B1_4</v>
      </c>
      <c r="Q614" s="88">
        <f t="shared" si="1935"/>
        <v>270</v>
      </c>
      <c r="R614" s="88">
        <f t="shared" si="1936"/>
        <v>120</v>
      </c>
      <c r="S614" s="218" t="s">
        <v>2397</v>
      </c>
      <c r="T614" s="88" t="s">
        <v>1326</v>
      </c>
      <c r="U614" s="88">
        <f>IF(RIGHT(T614,1)="K",(VLOOKUP(T614,ma_miengiam!$A$3:$B$80,2,0)*100)/2,VLOOKUP(T614,ma_miengiam!$A$3:$B$80,2,0)*100)</f>
        <v>65</v>
      </c>
      <c r="V614" s="88">
        <v>6</v>
      </c>
      <c r="W614" s="220">
        <f>IF(AND(T614="NTS",V614&gt;0),(Q614-(Q614*V614)/12)*VLOOKUP(T614,ma_miengiam!$A$3:$B$80,2,0)+(Q614-(Q614*(12-V614))/12),IF(AND(RIGHT(T614,1)="K",V614&gt;0),(VLOOKUP(T614,ma_miengiam!$A$3:$B$80,2,0)/2)*(Q614*V614)/12,IF(RIGHT(T614,1)="K",(VLOOKUP(T614,ma_miengiam!$A$3:$B$80,2,0)*Q614)/2,IF(V614&gt;0,VLOOKUP(T614,ma_miengiam!$A$3:$B$80,2,0)*Q614*V614/12,VLOOKUP(T614,ma_miengiam!$A$3:$B$80,2,0)*Q614))))</f>
        <v>87.75</v>
      </c>
      <c r="X614" s="220">
        <f>IF(T614="NTS",VLOOKUP(T614,ma_miengiam!$A$3:$B$80,2,0)*R614*V614,IF(AND(T614="NTS",V614=0),0,IF(AND(LEFT(T614,1)="K",V614=0),VLOOKUP(T614,ma_miengiam!$A$3:$B$80,2,0)*R614,IF(LEFT(T614,1)="K",(VLOOKUP(T614,ma_miengiam!$A$3:$B$80,2,0)*R614/12)*V614,IF(AND(LEFT(T614,1)="S",V614&gt;0),(R614/12)*V614,IF(AND(LEFT(T614,1)="S",V614=0),R614,IF(T614="DH",VLOOKUP(T614,ma_miengiam!$A$3:$B$80,2,0)*R614,0)))))))</f>
        <v>60</v>
      </c>
      <c r="Y614" s="220">
        <f t="shared" si="1963"/>
        <v>47.25</v>
      </c>
      <c r="Z614" s="220">
        <f t="shared" si="1995"/>
        <v>0</v>
      </c>
      <c r="AA614" s="220">
        <f>Q614</f>
        <v>270</v>
      </c>
      <c r="AB614" s="220">
        <f>R614</f>
        <v>120</v>
      </c>
      <c r="AC614" s="220">
        <f t="shared" si="2016"/>
        <v>87.75</v>
      </c>
      <c r="AD614" s="220">
        <f t="shared" si="2016"/>
        <v>60</v>
      </c>
      <c r="AE614" s="220">
        <f t="shared" si="2016"/>
        <v>47.25</v>
      </c>
      <c r="AF614" s="220">
        <f t="shared" si="2016"/>
        <v>0</v>
      </c>
      <c r="AG614" s="220">
        <f t="shared" ref="AG614:AG619" si="2017">AH614+AI614</f>
        <v>254.56</v>
      </c>
      <c r="AH614" s="220">
        <f t="shared" ref="AH614:AH619" si="2018">EO614</f>
        <v>121.88</v>
      </c>
      <c r="AI614" s="220">
        <f t="shared" ref="AI614:AI619" si="2019">EN614</f>
        <v>132.68</v>
      </c>
      <c r="AJ614" s="220">
        <f t="shared" si="1902"/>
        <v>0</v>
      </c>
      <c r="AK614" s="216">
        <f t="shared" si="1812"/>
        <v>47.25</v>
      </c>
      <c r="AL614" s="220">
        <f t="shared" si="1819"/>
        <v>138.5</v>
      </c>
      <c r="AM614" s="220">
        <f t="shared" si="1820"/>
        <v>0</v>
      </c>
      <c r="AN614" s="221">
        <f t="shared" si="1821"/>
        <v>138.5</v>
      </c>
      <c r="AO614" s="220">
        <f t="shared" si="1822"/>
        <v>0</v>
      </c>
      <c r="AP614" s="220">
        <f t="shared" si="1823"/>
        <v>0</v>
      </c>
      <c r="AQ614" s="220">
        <f t="shared" si="1824"/>
        <v>160</v>
      </c>
      <c r="AR614" s="220">
        <f t="shared" si="1825"/>
        <v>0</v>
      </c>
      <c r="AS614" s="220">
        <f t="shared" si="1826"/>
        <v>0</v>
      </c>
      <c r="AT614" s="216">
        <f t="shared" si="1827"/>
        <v>298.5</v>
      </c>
      <c r="AU614" s="222">
        <f t="shared" si="1982"/>
        <v>91.25</v>
      </c>
      <c r="AV614" s="220"/>
      <c r="AW614" s="220">
        <f t="shared" si="1856"/>
        <v>91.25</v>
      </c>
      <c r="AX614" s="216">
        <f t="shared" ref="AX614:AX676" si="2020">IF(AN614&gt;AK614,0,IF(AW614&lt;0,AN614-AK614+AV614,IF(AW614&gt;=0,0)))</f>
        <v>0</v>
      </c>
      <c r="AY614" s="220">
        <f t="shared" si="1866"/>
        <v>0</v>
      </c>
      <c r="AZ614" s="220">
        <f t="shared" si="1867"/>
        <v>0</v>
      </c>
      <c r="BA614" s="220">
        <f t="shared" si="1868"/>
        <v>160</v>
      </c>
      <c r="BB614" s="220">
        <f t="shared" si="1869"/>
        <v>0</v>
      </c>
      <c r="BC614" s="220">
        <f t="shared" si="1870"/>
        <v>0</v>
      </c>
      <c r="BD614" s="216">
        <f t="shared" si="1987"/>
        <v>160</v>
      </c>
      <c r="BE614" s="220">
        <f t="shared" si="1857"/>
        <v>0</v>
      </c>
      <c r="BF614" s="220">
        <f t="shared" si="1858"/>
        <v>0</v>
      </c>
      <c r="BG614" s="220">
        <f t="shared" si="1859"/>
        <v>0</v>
      </c>
      <c r="BH614" s="220">
        <f t="shared" si="1860"/>
        <v>0</v>
      </c>
      <c r="BI614" s="220">
        <f t="shared" si="1861"/>
        <v>0</v>
      </c>
      <c r="BJ614" s="220" t="s">
        <v>45</v>
      </c>
      <c r="BK614" s="220"/>
      <c r="BL614" s="223">
        <f t="shared" si="2005"/>
        <v>91.25</v>
      </c>
      <c r="BM614" s="220">
        <v>3.33</v>
      </c>
      <c r="BN614" s="220"/>
      <c r="BO614" s="220">
        <f t="shared" si="2001"/>
        <v>3.33</v>
      </c>
      <c r="BP614" s="220">
        <f>IF(AND(BL614&gt;0,BL614&lt;tiet!$D$1),BL614,IF(BL614&lt;=0,0,IF(BL614&gt;tiet!$C$1,tiet!$C$1)))</f>
        <v>91.25</v>
      </c>
      <c r="BQ614" s="87">
        <f t="shared" si="1903"/>
        <v>65000</v>
      </c>
      <c r="BR614" s="224">
        <f t="shared" si="1904"/>
        <v>5931250</v>
      </c>
      <c r="BS614" s="220">
        <f t="shared" si="1933"/>
        <v>0</v>
      </c>
      <c r="BT614" s="224">
        <f>VLOOKUP(N614,ma_dinhmuc!$A$1:$J$31,10,0)</f>
        <v>51000</v>
      </c>
      <c r="BU614" s="224">
        <f>ROUND(IF(BS614&gt;0,VLOOKUP(N614,ma_dinhmuc!$A$1:$J$31,10,0)*BS614,0),0)</f>
        <v>0</v>
      </c>
      <c r="BV614" s="224">
        <f t="shared" si="1905"/>
        <v>5931250</v>
      </c>
      <c r="BW614" s="224">
        <v>1667500</v>
      </c>
      <c r="BX614" s="224"/>
      <c r="BY614" s="224"/>
      <c r="BZ614" s="224"/>
      <c r="CA614" s="224"/>
      <c r="CB614" s="224"/>
      <c r="CC614" s="225">
        <f t="shared" si="1968"/>
        <v>7598750</v>
      </c>
      <c r="CD614" s="224">
        <f t="shared" si="1969"/>
        <v>0</v>
      </c>
      <c r="CE614" s="224"/>
      <c r="CF614" s="226"/>
      <c r="CG614" s="87"/>
      <c r="CH614" s="87">
        <f t="shared" si="2012"/>
        <v>5</v>
      </c>
      <c r="CI614" s="227" t="str">
        <f t="shared" si="2013"/>
        <v>Trịnh Thị Thu</v>
      </c>
      <c r="CJ614" s="227" t="str">
        <f t="shared" si="2014"/>
        <v>Thủy</v>
      </c>
      <c r="CK614" s="87">
        <f t="shared" si="2015"/>
        <v>12</v>
      </c>
      <c r="CL614" s="227" t="str">
        <f t="shared" si="1989"/>
        <v>SH phân tử và CNSH ứng dụng</v>
      </c>
      <c r="CM614" s="87" t="str">
        <f t="shared" si="1862"/>
        <v>CS2</v>
      </c>
      <c r="CN614" s="87">
        <f t="shared" ref="CN614:CO618" si="2021">Q614</f>
        <v>270</v>
      </c>
      <c r="CO614" s="87">
        <f t="shared" si="2021"/>
        <v>120</v>
      </c>
      <c r="CP614" s="229">
        <f t="shared" si="1943"/>
        <v>0</v>
      </c>
      <c r="CQ614" s="229">
        <f t="shared" si="1944"/>
        <v>4.4000000000000004</v>
      </c>
      <c r="CR614" s="229">
        <f t="shared" si="1945"/>
        <v>1.8</v>
      </c>
      <c r="CS614" s="229">
        <f t="shared" si="1946"/>
        <v>42.3</v>
      </c>
      <c r="CT614" s="229">
        <f t="shared" si="1947"/>
        <v>0</v>
      </c>
      <c r="CU614" s="229">
        <f t="shared" si="1948"/>
        <v>60</v>
      </c>
      <c r="CV614" s="229">
        <f t="shared" si="1949"/>
        <v>0</v>
      </c>
      <c r="CW614" s="229">
        <f t="shared" si="1950"/>
        <v>30</v>
      </c>
      <c r="CX614" s="229">
        <f t="shared" si="1951"/>
        <v>0</v>
      </c>
      <c r="CY614" s="229">
        <f t="shared" si="1952"/>
        <v>0</v>
      </c>
      <c r="CZ614" s="229">
        <f t="shared" si="1953"/>
        <v>0</v>
      </c>
      <c r="DA614" s="229">
        <f t="shared" si="1954"/>
        <v>160</v>
      </c>
      <c r="DB614" s="228">
        <f t="shared" si="1834"/>
        <v>298.5</v>
      </c>
      <c r="DC614" s="229"/>
      <c r="DD614" s="229"/>
      <c r="DE614" s="229"/>
      <c r="DF614" s="229"/>
      <c r="DG614" s="229"/>
      <c r="DH614" s="229"/>
      <c r="DI614" s="229"/>
      <c r="DJ614" s="229"/>
      <c r="DK614" s="229"/>
      <c r="DL614" s="229"/>
      <c r="DM614" s="229"/>
      <c r="DN614" s="229"/>
      <c r="DO614" s="228">
        <f t="shared" si="1835"/>
        <v>0</v>
      </c>
      <c r="DP614" s="228">
        <f t="shared" si="1836"/>
        <v>298.5</v>
      </c>
      <c r="DQ614" s="229">
        <f t="shared" si="1955"/>
        <v>0</v>
      </c>
      <c r="DR614" s="229">
        <f t="shared" si="1956"/>
        <v>0</v>
      </c>
      <c r="DS614" s="229">
        <f t="shared" si="1957"/>
        <v>0</v>
      </c>
      <c r="DT614" s="229">
        <f t="shared" si="1958"/>
        <v>0</v>
      </c>
      <c r="DU614" s="229">
        <f t="shared" si="1959"/>
        <v>0</v>
      </c>
      <c r="DV614" s="229">
        <f t="shared" si="1960"/>
        <v>0</v>
      </c>
      <c r="DW614" s="229">
        <f t="shared" si="1961"/>
        <v>0</v>
      </c>
      <c r="DX614" s="228">
        <f t="shared" si="1837"/>
        <v>0</v>
      </c>
      <c r="DY614" s="229"/>
      <c r="DZ614" s="229"/>
      <c r="EA614" s="229"/>
      <c r="EB614" s="229"/>
      <c r="EC614" s="229"/>
      <c r="ED614" s="229"/>
      <c r="EE614" s="229"/>
      <c r="EF614" s="228">
        <f t="shared" si="1939"/>
        <v>0</v>
      </c>
      <c r="EG614" s="228">
        <f t="shared" si="1838"/>
        <v>0</v>
      </c>
      <c r="EH614" s="229">
        <f t="shared" si="1940"/>
        <v>132.68</v>
      </c>
      <c r="EI614" s="229">
        <v>121.88</v>
      </c>
      <c r="EJ614" s="228">
        <f t="shared" si="1900"/>
        <v>254.56</v>
      </c>
      <c r="EK614" s="229"/>
      <c r="EL614" s="229"/>
      <c r="EM614" s="228">
        <f t="shared" si="1994"/>
        <v>0</v>
      </c>
      <c r="EN614" s="229">
        <f t="shared" si="1894"/>
        <v>132.68</v>
      </c>
      <c r="EO614" s="229">
        <f t="shared" si="1983"/>
        <v>121.88</v>
      </c>
      <c r="EP614" s="228">
        <f t="shared" si="1964"/>
        <v>254.56</v>
      </c>
      <c r="EQ614" s="173">
        <f t="shared" si="1934"/>
        <v>132.68</v>
      </c>
      <c r="ER614" s="189">
        <v>0</v>
      </c>
      <c r="ES614" s="189">
        <v>4.4000000000000004</v>
      </c>
      <c r="ET614" s="189">
        <v>1.8</v>
      </c>
      <c r="EU614" s="189">
        <v>42.3</v>
      </c>
      <c r="EV614" s="189">
        <v>0</v>
      </c>
      <c r="EW614" s="189">
        <v>60</v>
      </c>
      <c r="EX614" s="189">
        <v>0</v>
      </c>
      <c r="EY614" s="189">
        <v>30</v>
      </c>
      <c r="EZ614" s="189">
        <v>0</v>
      </c>
      <c r="FA614" s="189">
        <v>0</v>
      </c>
      <c r="FB614" s="189">
        <v>0</v>
      </c>
      <c r="FC614" s="189">
        <v>160</v>
      </c>
      <c r="FD614" s="189">
        <v>0</v>
      </c>
      <c r="FE614" s="189">
        <v>0</v>
      </c>
      <c r="FF614" s="189">
        <v>0</v>
      </c>
      <c r="FG614" s="189">
        <v>0</v>
      </c>
      <c r="FH614" s="189">
        <v>0</v>
      </c>
      <c r="FI614" s="189">
        <v>0</v>
      </c>
      <c r="FJ614" s="189">
        <v>0</v>
      </c>
      <c r="FK614" s="189">
        <v>298.5</v>
      </c>
      <c r="FL614" s="189">
        <v>296.3</v>
      </c>
      <c r="FN614" s="132">
        <v>132.68</v>
      </c>
    </row>
    <row r="615" spans="1:170" ht="30" customHeight="1">
      <c r="A615" s="88">
        <f>COUNTIF($H$12:H615,H615)</f>
        <v>6</v>
      </c>
      <c r="B615" s="88" t="s">
        <v>791</v>
      </c>
      <c r="C615" s="88" t="s">
        <v>1382</v>
      </c>
      <c r="D615" s="88"/>
      <c r="E615" s="88"/>
      <c r="F615" s="301" t="s">
        <v>28</v>
      </c>
      <c r="G615" s="89" t="s">
        <v>1144</v>
      </c>
      <c r="H615" s="88">
        <v>12</v>
      </c>
      <c r="I615" s="88">
        <v>12</v>
      </c>
      <c r="J615" s="88">
        <v>12</v>
      </c>
      <c r="K615" s="90" t="s">
        <v>2847</v>
      </c>
      <c r="L615" s="90" t="s">
        <v>2847</v>
      </c>
      <c r="M615" s="214"/>
      <c r="N615" s="88" t="s">
        <v>1804</v>
      </c>
      <c r="O615" s="216">
        <f t="shared" si="1962"/>
        <v>3.33</v>
      </c>
      <c r="P615" s="88" t="str">
        <f t="shared" si="2009"/>
        <v>B1_4</v>
      </c>
      <c r="Q615" s="88">
        <f t="shared" si="1935"/>
        <v>270</v>
      </c>
      <c r="R615" s="88">
        <f t="shared" si="1936"/>
        <v>120</v>
      </c>
      <c r="S615" s="231" t="s">
        <v>3190</v>
      </c>
      <c r="T615" s="88" t="s">
        <v>2961</v>
      </c>
      <c r="U615" s="88">
        <f>IF(RIGHT(T615,1)="K",(VLOOKUP(T615,ma_miengiam!$A$3:$B$80,2,0)*100)/2,VLOOKUP(T615,ma_miengiam!$A$3:$B$80,2,0)*100)</f>
        <v>100</v>
      </c>
      <c r="V615" s="88"/>
      <c r="W615" s="220">
        <f>IF(AND(T615="NTS",V615&gt;0),(Q615-(Q615*V615)/12)*VLOOKUP(T615,ma_miengiam!$A$3:$B$80,2,0)+(Q615-(Q615*(12-V615))/12),IF(AND(RIGHT(T615,1)="K",V615&gt;0),(VLOOKUP(T615,ma_miengiam!$A$3:$B$80,2,0)/2)*(Q615*V615)/12,IF(RIGHT(T615,1)="K",(VLOOKUP(T615,ma_miengiam!$A$3:$B$80,2,0)*Q615)/2,IF(V615&gt;0,VLOOKUP(T615,ma_miengiam!$A$3:$B$80,2,0)*Q615*V615/12,VLOOKUP(T615,ma_miengiam!$A$3:$B$80,2,0)*Q615))))</f>
        <v>270</v>
      </c>
      <c r="X615" s="220">
        <f>IF(T615="NTS",VLOOKUP(T615,ma_miengiam!$A$3:$B$80,2,0)*R615*V615,IF(AND(T615="NTS",V615=0),0,IF(AND(LEFT(T615,1)="K",V615=0),VLOOKUP(T615,ma_miengiam!$A$3:$B$80,2,0)*R615,IF(LEFT(T615,1)="K",(VLOOKUP(T615,ma_miengiam!$A$3:$B$80,2,0)*R615/12)*V615,IF(AND(LEFT(T615,1)="S",V615&gt;0),(R615/12)*V615,IF(AND(LEFT(T615,1)="S",V615=0),R615,IF(T615="DH",VLOOKUP(T615,ma_miengiam!$A$3:$B$80,2,0)*R615,0)))))))</f>
        <v>120</v>
      </c>
      <c r="Y615" s="220">
        <f t="shared" si="1963"/>
        <v>0</v>
      </c>
      <c r="Z615" s="220">
        <f t="shared" si="1995"/>
        <v>0</v>
      </c>
      <c r="AA615" s="220">
        <f t="shared" ref="AA615:AB619" si="2022">Q615</f>
        <v>270</v>
      </c>
      <c r="AB615" s="220">
        <f t="shared" si="2022"/>
        <v>120</v>
      </c>
      <c r="AC615" s="220">
        <f t="shared" ref="AC615:AF617" si="2023">W615</f>
        <v>270</v>
      </c>
      <c r="AD615" s="220">
        <f t="shared" si="2023"/>
        <v>120</v>
      </c>
      <c r="AE615" s="220">
        <f t="shared" si="2023"/>
        <v>0</v>
      </c>
      <c r="AF615" s="220">
        <f t="shared" si="2023"/>
        <v>0</v>
      </c>
      <c r="AG615" s="220">
        <f t="shared" si="2017"/>
        <v>82.38</v>
      </c>
      <c r="AH615" s="220">
        <f t="shared" si="2018"/>
        <v>52.38</v>
      </c>
      <c r="AI615" s="220">
        <f t="shared" si="2019"/>
        <v>30</v>
      </c>
      <c r="AJ615" s="220">
        <f t="shared" si="1902"/>
        <v>0</v>
      </c>
      <c r="AK615" s="216">
        <f t="shared" si="1812"/>
        <v>0</v>
      </c>
      <c r="AL615" s="220">
        <f t="shared" ref="AL615:AL677" si="2024">SUM(CP615:CX615)+SUM(DC615:DK615)</f>
        <v>0</v>
      </c>
      <c r="AM615" s="220">
        <f t="shared" ref="AM615:AM677" si="2025">SUM(DQ615:DU615)+SUM(DY615:EC615)</f>
        <v>0</v>
      </c>
      <c r="AN615" s="221">
        <f t="shared" ref="AN615:AN677" si="2026">AM615+AL615</f>
        <v>0</v>
      </c>
      <c r="AO615" s="220">
        <f t="shared" ref="AO615:AO677" si="2027">CY615+DL615</f>
        <v>0</v>
      </c>
      <c r="AP615" s="220">
        <f t="shared" ref="AP615:AP677" si="2028">CZ615+DM615</f>
        <v>0</v>
      </c>
      <c r="AQ615" s="220">
        <f t="shared" ref="AQ615:AQ677" si="2029">DA615+DN615</f>
        <v>0</v>
      </c>
      <c r="AR615" s="220">
        <f t="shared" ref="AR615:AR677" si="2030">DV615+ED615</f>
        <v>0</v>
      </c>
      <c r="AS615" s="220">
        <f t="shared" ref="AS615:AS677" si="2031">DW615+EE615</f>
        <v>0</v>
      </c>
      <c r="AT615" s="216">
        <f t="shared" ref="AT615:AT677" si="2032">AN615+SUM(AO615:AS615)</f>
        <v>0</v>
      </c>
      <c r="AU615" s="222">
        <f t="shared" si="1982"/>
        <v>0</v>
      </c>
      <c r="AV615" s="220"/>
      <c r="AW615" s="220">
        <f t="shared" ref="AW615:AW658" si="2033">IF(AU615&gt;0,AU615,AV615+AU615)</f>
        <v>0</v>
      </c>
      <c r="AX615" s="216">
        <f t="shared" si="2020"/>
        <v>0</v>
      </c>
      <c r="AY615" s="220">
        <f t="shared" ref="AY615:AY659" si="2034">IF(AN615&gt;=AK615,AO615,IF(AN615+AO615-AK615&gt;=0,AN615+AO615-AK615,0))</f>
        <v>0</v>
      </c>
      <c r="AZ615" s="220">
        <f t="shared" ref="AZ615:AZ659" si="2035">IF(OR(AN615&gt;=AK615,AN615+AO615&gt;=AK615),AP615,IF(AN615+AO615+AP615&gt;AK615,AN615+AO615+AP615-AK615,0))</f>
        <v>0</v>
      </c>
      <c r="BA615" s="220">
        <f t="shared" ref="BA615:BA659" si="2036">IF(OR(AN615&gt;=AK615,AN615+AO615&gt;=AK615,AN615+AO615+AP615&gt;=AK615),AQ615,IF(AN615+AO615+AP615+AQ615&gt;=AK615,AN615+AO615+AP615+AQ615-AK615,0))</f>
        <v>0</v>
      </c>
      <c r="BB615" s="220">
        <f t="shared" ref="BB615:BB659" si="2037">IF(OR(AN615&gt;=AK615,AN615+AO615&gt;=AK615,AN615+AO615+AP615&gt;=AK615,AN615+AO615+AP615+AQ615&gt;=AK615),AR615,IF(AN615+AO615+AP615+AQ615+AR615&gt;=AK615,AN615+AO615+AP615+AQ615+AR615-AK615,0))</f>
        <v>0</v>
      </c>
      <c r="BC615" s="220">
        <f t="shared" ref="BC615:BC659" si="2038">IF(OR(AN615&gt;=AK615,AN615+AO615&gt;=AK615,AN615+AO615+AP615&gt;=AK615,AN615+AO615+AP615+AQ615&gt;=AK615,AN615+AO615+AP615+AQ615+AR615&gt;=AK615),AS615,IF(AN615+AO615+AP615+AQ615+AR615+AS615&gt;=AK615,AN615+AO615+AP615+AQ615+AR615+AS615-AK615,0))</f>
        <v>0</v>
      </c>
      <c r="BD615" s="216">
        <f t="shared" si="1987"/>
        <v>0</v>
      </c>
      <c r="BE615" s="220">
        <f t="shared" ref="BE615:BE658" si="2039">AY615-AO615</f>
        <v>0</v>
      </c>
      <c r="BF615" s="220">
        <f t="shared" ref="BF615:BF658" si="2040">AZ615-AP615</f>
        <v>0</v>
      </c>
      <c r="BG615" s="220">
        <f t="shared" ref="BG615:BG658" si="2041">BA615-AQ615</f>
        <v>0</v>
      </c>
      <c r="BH615" s="220">
        <f t="shared" ref="BH615:BH658" si="2042">BB615-AR615</f>
        <v>0</v>
      </c>
      <c r="BI615" s="220">
        <f t="shared" ref="BI615:BI658" si="2043">BC615-AS615</f>
        <v>0</v>
      </c>
      <c r="BJ615" s="220" t="s">
        <v>1921</v>
      </c>
      <c r="BK615" s="220"/>
      <c r="BL615" s="223">
        <f t="shared" si="2005"/>
        <v>0</v>
      </c>
      <c r="BM615" s="220">
        <v>3.33</v>
      </c>
      <c r="BN615" s="220"/>
      <c r="BO615" s="220">
        <f t="shared" si="2001"/>
        <v>3.33</v>
      </c>
      <c r="BP615" s="220">
        <f>IF(AND(BL615&gt;0,BL615&lt;tiet!$D$1),BL615,IF(BL615&lt;=0,0,IF(BL615&gt;tiet!$C$1,tiet!$C$1)))</f>
        <v>0</v>
      </c>
      <c r="BQ615" s="87">
        <f t="shared" si="1903"/>
        <v>65000</v>
      </c>
      <c r="BR615" s="224">
        <f t="shared" si="1904"/>
        <v>0</v>
      </c>
      <c r="BS615" s="220">
        <f t="shared" si="1933"/>
        <v>0</v>
      </c>
      <c r="BT615" s="224">
        <f>VLOOKUP(N615,ma_dinhmuc!$A$1:$J$31,10,0)</f>
        <v>51000</v>
      </c>
      <c r="BU615" s="224">
        <f>ROUND(IF(BS615&gt;0,VLOOKUP(N615,ma_dinhmuc!$A$1:$J$31,10,0)*BS615,0),0)</f>
        <v>0</v>
      </c>
      <c r="BV615" s="224">
        <f t="shared" si="1905"/>
        <v>0</v>
      </c>
      <c r="BW615" s="224"/>
      <c r="BX615" s="224">
        <v>0</v>
      </c>
      <c r="BY615" s="224"/>
      <c r="BZ615" s="224"/>
      <c r="CA615" s="224"/>
      <c r="CB615" s="224"/>
      <c r="CC615" s="225">
        <f t="shared" si="1968"/>
        <v>0</v>
      </c>
      <c r="CD615" s="224">
        <f t="shared" si="1969"/>
        <v>0</v>
      </c>
      <c r="CE615" s="224"/>
      <c r="CF615" s="226"/>
      <c r="CG615" s="87"/>
      <c r="CH615" s="87">
        <f t="shared" si="2012"/>
        <v>6</v>
      </c>
      <c r="CI615" s="227" t="str">
        <f t="shared" si="2013"/>
        <v>Ninh Thị</v>
      </c>
      <c r="CJ615" s="227" t="str">
        <f t="shared" si="2014"/>
        <v>Thảo</v>
      </c>
      <c r="CK615" s="87">
        <f t="shared" si="2015"/>
        <v>12</v>
      </c>
      <c r="CL615" s="227" t="str">
        <f t="shared" si="1989"/>
        <v>CNSH học thực vật</v>
      </c>
      <c r="CM615" s="87" t="str">
        <f t="shared" ref="CM615:CM658" si="2044">N615</f>
        <v>CS2</v>
      </c>
      <c r="CN615" s="87">
        <f t="shared" si="2021"/>
        <v>270</v>
      </c>
      <c r="CO615" s="87">
        <f t="shared" si="2021"/>
        <v>120</v>
      </c>
      <c r="CP615" s="229">
        <f t="shared" si="1943"/>
        <v>0</v>
      </c>
      <c r="CQ615" s="229">
        <f t="shared" si="1944"/>
        <v>0</v>
      </c>
      <c r="CR615" s="229">
        <f t="shared" si="1945"/>
        <v>0</v>
      </c>
      <c r="CS615" s="229">
        <f t="shared" si="1946"/>
        <v>0</v>
      </c>
      <c r="CT615" s="229">
        <f t="shared" si="1947"/>
        <v>0</v>
      </c>
      <c r="CU615" s="229">
        <f t="shared" si="1948"/>
        <v>0</v>
      </c>
      <c r="CV615" s="229">
        <f t="shared" si="1949"/>
        <v>0</v>
      </c>
      <c r="CW615" s="229">
        <f t="shared" si="1950"/>
        <v>0</v>
      </c>
      <c r="CX615" s="229">
        <f t="shared" si="1951"/>
        <v>0</v>
      </c>
      <c r="CY615" s="229">
        <f t="shared" si="1952"/>
        <v>0</v>
      </c>
      <c r="CZ615" s="229">
        <f t="shared" si="1953"/>
        <v>0</v>
      </c>
      <c r="DA615" s="229">
        <f t="shared" si="1954"/>
        <v>0</v>
      </c>
      <c r="DB615" s="228">
        <f t="shared" ref="DB615:DB676" si="2045">SUM(CP615:DA615)</f>
        <v>0</v>
      </c>
      <c r="DC615" s="229"/>
      <c r="DD615" s="229"/>
      <c r="DE615" s="229"/>
      <c r="DF615" s="229"/>
      <c r="DG615" s="229"/>
      <c r="DH615" s="229"/>
      <c r="DI615" s="229"/>
      <c r="DJ615" s="229"/>
      <c r="DK615" s="229"/>
      <c r="DL615" s="229"/>
      <c r="DM615" s="229"/>
      <c r="DN615" s="229"/>
      <c r="DO615" s="228">
        <f t="shared" ref="DO615:DO677" si="2046">SUM(DC615:DN615)</f>
        <v>0</v>
      </c>
      <c r="DP615" s="228">
        <f t="shared" ref="DP615:DP677" si="2047">DO615+DB615</f>
        <v>0</v>
      </c>
      <c r="DQ615" s="229">
        <f t="shared" si="1955"/>
        <v>0</v>
      </c>
      <c r="DR615" s="229">
        <f t="shared" si="1956"/>
        <v>0</v>
      </c>
      <c r="DS615" s="229">
        <f t="shared" si="1957"/>
        <v>0</v>
      </c>
      <c r="DT615" s="229">
        <f t="shared" si="1958"/>
        <v>0</v>
      </c>
      <c r="DU615" s="229">
        <f t="shared" si="1959"/>
        <v>0</v>
      </c>
      <c r="DV615" s="229">
        <f t="shared" si="1960"/>
        <v>0</v>
      </c>
      <c r="DW615" s="229">
        <f t="shared" si="1961"/>
        <v>0</v>
      </c>
      <c r="DX615" s="228">
        <f t="shared" ref="DX615:DX676" si="2048">SUM(DQ615:DW615)</f>
        <v>0</v>
      </c>
      <c r="DY615" s="229"/>
      <c r="DZ615" s="229"/>
      <c r="EA615" s="229"/>
      <c r="EB615" s="229"/>
      <c r="EC615" s="229"/>
      <c r="ED615" s="229"/>
      <c r="EE615" s="229"/>
      <c r="EF615" s="228">
        <f t="shared" si="1939"/>
        <v>0</v>
      </c>
      <c r="EG615" s="228">
        <f t="shared" ref="EG615:EG677" si="2049">EF615+DX615</f>
        <v>0</v>
      </c>
      <c r="EH615" s="229">
        <f t="shared" si="1940"/>
        <v>30</v>
      </c>
      <c r="EI615" s="229">
        <v>52.38</v>
      </c>
      <c r="EJ615" s="228">
        <f t="shared" si="1900"/>
        <v>82.38</v>
      </c>
      <c r="EK615" s="229"/>
      <c r="EL615" s="229"/>
      <c r="EM615" s="228">
        <f t="shared" si="1994"/>
        <v>0</v>
      </c>
      <c r="EN615" s="229">
        <f t="shared" si="1894"/>
        <v>30</v>
      </c>
      <c r="EO615" s="229">
        <f t="shared" si="1983"/>
        <v>52.38</v>
      </c>
      <c r="EP615" s="228">
        <f t="shared" si="1964"/>
        <v>82.38</v>
      </c>
      <c r="EQ615" s="173">
        <f t="shared" si="1934"/>
        <v>30</v>
      </c>
      <c r="ER615" s="189">
        <v>0</v>
      </c>
      <c r="ES615" s="189">
        <v>0</v>
      </c>
      <c r="ET615" s="189">
        <v>0</v>
      </c>
      <c r="EU615" s="189">
        <v>0</v>
      </c>
      <c r="EV615" s="189">
        <v>0</v>
      </c>
      <c r="EW615" s="189">
        <v>0</v>
      </c>
      <c r="EX615" s="189">
        <v>0</v>
      </c>
      <c r="EY615" s="189">
        <v>0</v>
      </c>
      <c r="EZ615" s="189">
        <v>0</v>
      </c>
      <c r="FA615" s="189">
        <v>0</v>
      </c>
      <c r="FB615" s="189">
        <v>0</v>
      </c>
      <c r="FC615" s="189">
        <v>0</v>
      </c>
      <c r="FD615" s="189">
        <v>0</v>
      </c>
      <c r="FE615" s="189">
        <v>0</v>
      </c>
      <c r="FF615" s="189">
        <v>0</v>
      </c>
      <c r="FG615" s="189">
        <v>0</v>
      </c>
      <c r="FH615" s="189">
        <v>0</v>
      </c>
      <c r="FI615" s="189">
        <v>0</v>
      </c>
      <c r="FJ615" s="189">
        <v>0</v>
      </c>
      <c r="FK615" s="189">
        <v>0</v>
      </c>
      <c r="FL615" s="189">
        <v>0</v>
      </c>
      <c r="FN615" s="132">
        <v>30</v>
      </c>
    </row>
    <row r="616" spans="1:170" ht="30">
      <c r="A616" s="88">
        <f>COUNTIF($H$12:H616,H616)</f>
        <v>7</v>
      </c>
      <c r="B616" s="88" t="s">
        <v>792</v>
      </c>
      <c r="C616" s="88" t="s">
        <v>1383</v>
      </c>
      <c r="D616" s="88"/>
      <c r="E616" s="88"/>
      <c r="F616" s="301" t="s">
        <v>3052</v>
      </c>
      <c r="G616" s="89" t="s">
        <v>1194</v>
      </c>
      <c r="H616" s="88">
        <v>12</v>
      </c>
      <c r="I616" s="88">
        <v>12</v>
      </c>
      <c r="J616" s="88">
        <v>12</v>
      </c>
      <c r="K616" s="90" t="s">
        <v>2847</v>
      </c>
      <c r="L616" s="90" t="s">
        <v>2847</v>
      </c>
      <c r="M616" s="214"/>
      <c r="N616" s="88" t="s">
        <v>1804</v>
      </c>
      <c r="O616" s="216">
        <f t="shared" si="1962"/>
        <v>3.33</v>
      </c>
      <c r="P616" s="88" t="str">
        <f t="shared" si="2009"/>
        <v>B1_4</v>
      </c>
      <c r="Q616" s="88">
        <f t="shared" si="1935"/>
        <v>270</v>
      </c>
      <c r="R616" s="88">
        <f t="shared" si="1936"/>
        <v>120</v>
      </c>
      <c r="S616" s="230" t="s">
        <v>2398</v>
      </c>
      <c r="T616" s="88" t="s">
        <v>3091</v>
      </c>
      <c r="U616" s="88">
        <f>IF(RIGHT(T616,1)="K",(VLOOKUP(T616,ma_miengiam!$A$3:$B$80,2,0)*100)/2,VLOOKUP(T616,ma_miengiam!$A$3:$B$80,2,0)*100)</f>
        <v>20</v>
      </c>
      <c r="V616" s="88"/>
      <c r="W616" s="220">
        <f>IF(AND(T616="NTS",V616&gt;0),(Q616-(Q616*V616)/12)*VLOOKUP(T616,ma_miengiam!$A$3:$B$80,2,0)+(Q616-(Q616*(12-V616))/12),IF(AND(RIGHT(T616,1)="K",V616&gt;0),(VLOOKUP(T616,ma_miengiam!$A$3:$B$80,2,0)/2)*(Q616*V616)/12,IF(RIGHT(T616,1)="K",(VLOOKUP(T616,ma_miengiam!$A$3:$B$80,2,0)*Q616)/2,IF(V616&gt;0,VLOOKUP(T616,ma_miengiam!$A$3:$B$80,2,0)*Q616*V616/12,VLOOKUP(T616,ma_miengiam!$A$3:$B$80,2,0)*Q616))))</f>
        <v>54</v>
      </c>
      <c r="X616" s="220">
        <f>IF(T616="NTS",VLOOKUP(T616,ma_miengiam!$A$3:$B$80,2,0)*R616*V616,IF(AND(T616="NTS",V616=0),0,IF(AND(LEFT(T616,1)="K",V616=0),VLOOKUP(T616,ma_miengiam!$A$3:$B$80,2,0)*R616,IF(LEFT(T616,1)="K",(VLOOKUP(T616,ma_miengiam!$A$3:$B$80,2,0)*R616/12)*V616,IF(AND(LEFT(T616,1)="S",V616&gt;0),(R616/12)*V616,IF(AND(LEFT(T616,1)="S",V616=0),R616,IF(T616="DH",VLOOKUP(T616,ma_miengiam!$A$3:$B$80,2,0)*R616,0)))))))</f>
        <v>0</v>
      </c>
      <c r="Y616" s="220">
        <f t="shared" si="1963"/>
        <v>216</v>
      </c>
      <c r="Z616" s="220">
        <f t="shared" si="1995"/>
        <v>120</v>
      </c>
      <c r="AA616" s="220">
        <f t="shared" si="2022"/>
        <v>270</v>
      </c>
      <c r="AB616" s="220">
        <f t="shared" si="2022"/>
        <v>120</v>
      </c>
      <c r="AC616" s="220">
        <f t="shared" si="2023"/>
        <v>54</v>
      </c>
      <c r="AD616" s="220">
        <f t="shared" si="2023"/>
        <v>0</v>
      </c>
      <c r="AE616" s="220">
        <f t="shared" si="2023"/>
        <v>216</v>
      </c>
      <c r="AF616" s="220">
        <f t="shared" si="2023"/>
        <v>120</v>
      </c>
      <c r="AG616" s="220">
        <f t="shared" si="2017"/>
        <v>94.223333333333343</v>
      </c>
      <c r="AH616" s="220">
        <f t="shared" si="2018"/>
        <v>61.233333333333341</v>
      </c>
      <c r="AI616" s="220">
        <f t="shared" si="2019"/>
        <v>32.99</v>
      </c>
      <c r="AJ616" s="220">
        <f t="shared" si="1902"/>
        <v>-25.776666666666657</v>
      </c>
      <c r="AK616" s="216">
        <f t="shared" si="1812"/>
        <v>241.77666666666664</v>
      </c>
      <c r="AL616" s="220">
        <f t="shared" si="2024"/>
        <v>211.70000000000002</v>
      </c>
      <c r="AM616" s="220">
        <f t="shared" si="2025"/>
        <v>0</v>
      </c>
      <c r="AN616" s="216">
        <f t="shared" si="2026"/>
        <v>211.70000000000002</v>
      </c>
      <c r="AO616" s="220">
        <f t="shared" si="2027"/>
        <v>0</v>
      </c>
      <c r="AP616" s="220">
        <f t="shared" si="2028"/>
        <v>0</v>
      </c>
      <c r="AQ616" s="220">
        <f t="shared" si="2029"/>
        <v>116</v>
      </c>
      <c r="AR616" s="220">
        <f t="shared" si="2030"/>
        <v>0</v>
      </c>
      <c r="AS616" s="220">
        <f t="shared" si="2031"/>
        <v>0</v>
      </c>
      <c r="AT616" s="216">
        <f t="shared" si="2032"/>
        <v>327.70000000000005</v>
      </c>
      <c r="AU616" s="220">
        <f t="shared" si="1982"/>
        <v>-30.076666666666625</v>
      </c>
      <c r="AV616" s="220"/>
      <c r="AW616" s="220">
        <f t="shared" si="2033"/>
        <v>-30.076666666666625</v>
      </c>
      <c r="AX616" s="216">
        <f t="shared" si="2020"/>
        <v>-30.076666666666625</v>
      </c>
      <c r="AY616" s="220">
        <f t="shared" si="2034"/>
        <v>0</v>
      </c>
      <c r="AZ616" s="220">
        <f t="shared" si="2035"/>
        <v>0</v>
      </c>
      <c r="BA616" s="220">
        <f t="shared" si="2036"/>
        <v>85.923333333333403</v>
      </c>
      <c r="BB616" s="220">
        <f t="shared" si="2037"/>
        <v>0</v>
      </c>
      <c r="BC616" s="220">
        <f t="shared" si="2038"/>
        <v>0</v>
      </c>
      <c r="BD616" s="216">
        <f t="shared" si="1987"/>
        <v>85.923333333333403</v>
      </c>
      <c r="BE616" s="220">
        <f t="shared" si="2039"/>
        <v>0</v>
      </c>
      <c r="BF616" s="220">
        <f t="shared" si="2040"/>
        <v>0</v>
      </c>
      <c r="BG616" s="220">
        <f t="shared" si="2041"/>
        <v>-30.076666666666597</v>
      </c>
      <c r="BH616" s="220">
        <f t="shared" si="2042"/>
        <v>0</v>
      </c>
      <c r="BI616" s="220">
        <f t="shared" si="2043"/>
        <v>0</v>
      </c>
      <c r="BJ616" s="220" t="s">
        <v>1921</v>
      </c>
      <c r="BK616" s="220"/>
      <c r="BL616" s="223">
        <f t="shared" si="2005"/>
        <v>0</v>
      </c>
      <c r="BM616" s="220">
        <v>3.33</v>
      </c>
      <c r="BN616" s="220"/>
      <c r="BO616" s="220">
        <f>ROUND(BM616+(BM616*BN616),2)</f>
        <v>3.33</v>
      </c>
      <c r="BP616" s="220">
        <f>IF(AND(BL616&gt;0,BL616&lt;tiet!$D$1),BL616,IF(BL616&lt;=0,0,IF(BL616&gt;tiet!$C$1,tiet!$C$1)))</f>
        <v>0</v>
      </c>
      <c r="BQ616" s="87">
        <f t="shared" si="1903"/>
        <v>65000</v>
      </c>
      <c r="BR616" s="224">
        <f t="shared" si="1904"/>
        <v>0</v>
      </c>
      <c r="BS616" s="220">
        <f t="shared" si="1933"/>
        <v>0</v>
      </c>
      <c r="BT616" s="224">
        <f>VLOOKUP(N616,ma_dinhmuc!$A$1:$J$31,10,0)</f>
        <v>51000</v>
      </c>
      <c r="BU616" s="224">
        <f>ROUND(IF(BS616&gt;0,VLOOKUP(N616,ma_dinhmuc!$A$1:$J$31,10,0)*BS616,0),0)</f>
        <v>0</v>
      </c>
      <c r="BV616" s="224">
        <f t="shared" si="1905"/>
        <v>0</v>
      </c>
      <c r="BW616" s="224"/>
      <c r="BX616" s="224">
        <v>0</v>
      </c>
      <c r="BY616" s="224"/>
      <c r="BZ616" s="224"/>
      <c r="CA616" s="224"/>
      <c r="CB616" s="224"/>
      <c r="CC616" s="225">
        <f t="shared" si="1968"/>
        <v>0</v>
      </c>
      <c r="CD616" s="224">
        <f t="shared" si="1969"/>
        <v>0</v>
      </c>
      <c r="CE616" s="224"/>
      <c r="CF616" s="226"/>
      <c r="CG616" s="87"/>
      <c r="CH616" s="87">
        <f>A616</f>
        <v>7</v>
      </c>
      <c r="CI616" s="227" t="str">
        <f t="shared" si="2013"/>
        <v>Đặng Thị Thanh</v>
      </c>
      <c r="CJ616" s="227" t="str">
        <f t="shared" si="2014"/>
        <v>Tâm</v>
      </c>
      <c r="CK616" s="87">
        <f t="shared" si="2015"/>
        <v>12</v>
      </c>
      <c r="CL616" s="227" t="str">
        <f t="shared" si="1989"/>
        <v>CNSH học thực vật</v>
      </c>
      <c r="CM616" s="87" t="str">
        <f t="shared" si="2044"/>
        <v>CS2</v>
      </c>
      <c r="CN616" s="87">
        <f t="shared" si="2021"/>
        <v>270</v>
      </c>
      <c r="CO616" s="87">
        <f t="shared" si="2021"/>
        <v>120</v>
      </c>
      <c r="CP616" s="229">
        <f t="shared" si="1943"/>
        <v>0</v>
      </c>
      <c r="CQ616" s="229">
        <f t="shared" si="1944"/>
        <v>24.3</v>
      </c>
      <c r="CR616" s="229">
        <f t="shared" si="1945"/>
        <v>6.6</v>
      </c>
      <c r="CS616" s="229">
        <f t="shared" si="1946"/>
        <v>0</v>
      </c>
      <c r="CT616" s="229">
        <f t="shared" si="1947"/>
        <v>0</v>
      </c>
      <c r="CU616" s="229">
        <f t="shared" si="1948"/>
        <v>135.80000000000001</v>
      </c>
      <c r="CV616" s="229">
        <f t="shared" si="1949"/>
        <v>0</v>
      </c>
      <c r="CW616" s="229">
        <f t="shared" si="1950"/>
        <v>45</v>
      </c>
      <c r="CX616" s="229">
        <f t="shared" si="1951"/>
        <v>0</v>
      </c>
      <c r="CY616" s="229">
        <f t="shared" si="1952"/>
        <v>0</v>
      </c>
      <c r="CZ616" s="229">
        <f t="shared" si="1953"/>
        <v>0</v>
      </c>
      <c r="DA616" s="229">
        <f t="shared" si="1954"/>
        <v>116</v>
      </c>
      <c r="DB616" s="228">
        <f t="shared" si="2045"/>
        <v>327.70000000000005</v>
      </c>
      <c r="DC616" s="229"/>
      <c r="DD616" s="229"/>
      <c r="DE616" s="229"/>
      <c r="DF616" s="229"/>
      <c r="DG616" s="229"/>
      <c r="DH616" s="229"/>
      <c r="DI616" s="229"/>
      <c r="DJ616" s="229"/>
      <c r="DK616" s="229"/>
      <c r="DL616" s="229"/>
      <c r="DM616" s="229"/>
      <c r="DN616" s="229"/>
      <c r="DO616" s="228">
        <f t="shared" si="2046"/>
        <v>0</v>
      </c>
      <c r="DP616" s="228">
        <f t="shared" si="2047"/>
        <v>327.70000000000005</v>
      </c>
      <c r="DQ616" s="229">
        <f t="shared" si="1955"/>
        <v>0</v>
      </c>
      <c r="DR616" s="229">
        <f t="shared" si="1956"/>
        <v>0</v>
      </c>
      <c r="DS616" s="229">
        <f t="shared" si="1957"/>
        <v>0</v>
      </c>
      <c r="DT616" s="229">
        <f t="shared" si="1958"/>
        <v>0</v>
      </c>
      <c r="DU616" s="229">
        <f t="shared" si="1959"/>
        <v>0</v>
      </c>
      <c r="DV616" s="229">
        <f t="shared" si="1960"/>
        <v>0</v>
      </c>
      <c r="DW616" s="229">
        <f t="shared" si="1961"/>
        <v>0</v>
      </c>
      <c r="DX616" s="228">
        <f t="shared" si="2048"/>
        <v>0</v>
      </c>
      <c r="DY616" s="229"/>
      <c r="DZ616" s="229"/>
      <c r="EA616" s="229"/>
      <c r="EB616" s="229"/>
      <c r="EC616" s="229"/>
      <c r="ED616" s="229"/>
      <c r="EE616" s="229"/>
      <c r="EF616" s="228">
        <f t="shared" si="1939"/>
        <v>0</v>
      </c>
      <c r="EG616" s="228">
        <f t="shared" si="2049"/>
        <v>0</v>
      </c>
      <c r="EH616" s="229">
        <f t="shared" si="1940"/>
        <v>32.99</v>
      </c>
      <c r="EI616" s="229">
        <v>61.233333333333341</v>
      </c>
      <c r="EJ616" s="228">
        <f t="shared" si="1900"/>
        <v>94.223333333333343</v>
      </c>
      <c r="EK616" s="229"/>
      <c r="EL616" s="229"/>
      <c r="EM616" s="228">
        <f t="shared" si="1994"/>
        <v>0</v>
      </c>
      <c r="EN616" s="229">
        <f t="shared" si="1894"/>
        <v>32.99</v>
      </c>
      <c r="EO616" s="229">
        <f t="shared" si="1983"/>
        <v>61.233333333333341</v>
      </c>
      <c r="EP616" s="228">
        <f t="shared" si="1964"/>
        <v>94.223333333333343</v>
      </c>
      <c r="EQ616" s="173">
        <f t="shared" si="1934"/>
        <v>0</v>
      </c>
      <c r="ER616" s="189">
        <v>0</v>
      </c>
      <c r="ES616" s="189">
        <v>24.3</v>
      </c>
      <c r="ET616" s="189">
        <v>6.6</v>
      </c>
      <c r="EU616" s="189">
        <v>0</v>
      </c>
      <c r="EV616" s="189">
        <v>0</v>
      </c>
      <c r="EW616" s="189">
        <v>135.80000000000001</v>
      </c>
      <c r="EX616" s="189">
        <v>0</v>
      </c>
      <c r="EY616" s="189">
        <v>45</v>
      </c>
      <c r="EZ616" s="189">
        <v>0</v>
      </c>
      <c r="FA616" s="189">
        <v>0</v>
      </c>
      <c r="FB616" s="189">
        <v>0</v>
      </c>
      <c r="FC616" s="189">
        <v>116</v>
      </c>
      <c r="FD616" s="189">
        <v>0</v>
      </c>
      <c r="FE616" s="189">
        <v>0</v>
      </c>
      <c r="FF616" s="189">
        <v>0</v>
      </c>
      <c r="FG616" s="189">
        <v>0</v>
      </c>
      <c r="FH616" s="189">
        <v>0</v>
      </c>
      <c r="FI616" s="189">
        <v>0</v>
      </c>
      <c r="FJ616" s="189">
        <v>0</v>
      </c>
      <c r="FK616" s="189">
        <v>327.7</v>
      </c>
      <c r="FL616" s="189">
        <v>292</v>
      </c>
      <c r="FN616" s="132">
        <v>32.99</v>
      </c>
    </row>
    <row r="617" spans="1:170" ht="45">
      <c r="A617" s="88">
        <f>COUNTIF($H$12:H617,H617)</f>
        <v>8</v>
      </c>
      <c r="B617" s="88" t="s">
        <v>793</v>
      </c>
      <c r="C617" s="88" t="s">
        <v>1384</v>
      </c>
      <c r="D617" s="88"/>
      <c r="E617" s="88"/>
      <c r="F617" s="301" t="s">
        <v>1142</v>
      </c>
      <c r="G617" s="89" t="s">
        <v>24</v>
      </c>
      <c r="H617" s="88">
        <v>12</v>
      </c>
      <c r="I617" s="88">
        <v>12</v>
      </c>
      <c r="J617" s="88">
        <v>12</v>
      </c>
      <c r="K617" s="90" t="s">
        <v>2847</v>
      </c>
      <c r="L617" s="90" t="s">
        <v>2847</v>
      </c>
      <c r="M617" s="214"/>
      <c r="N617" s="88" t="s">
        <v>606</v>
      </c>
      <c r="O617" s="216">
        <f t="shared" ref="O617:O625" si="2050">BO617</f>
        <v>4.4000000000000004</v>
      </c>
      <c r="P617" s="88" t="str">
        <f t="shared" si="2009"/>
        <v>B1_4</v>
      </c>
      <c r="Q617" s="88">
        <f t="shared" si="1935"/>
        <v>270</v>
      </c>
      <c r="R617" s="88">
        <f t="shared" si="1936"/>
        <v>120</v>
      </c>
      <c r="S617" s="230" t="s">
        <v>2399</v>
      </c>
      <c r="T617" s="88" t="s">
        <v>1769</v>
      </c>
      <c r="U617" s="88">
        <f>IF(RIGHT(T617,1)="K",(VLOOKUP(T617,ma_miengiam!$A$3:$B$80,2,0)*100)/2,VLOOKUP(T617,ma_miengiam!$A$3:$B$80,2,0)*100)</f>
        <v>50</v>
      </c>
      <c r="V617" s="88"/>
      <c r="W617" s="220">
        <f>IF(AND(T617="NTS",V617&gt;0),(Q617-(Q617*V617)/12)*VLOOKUP(T617,ma_miengiam!$A$3:$B$80,2,0)+(Q617-(Q617*(12-V617))/12),IF(AND(RIGHT(T617,1)="K",V617&gt;0),(VLOOKUP(T617,ma_miengiam!$A$3:$B$80,2,0)/2)*(Q617*V617)/12,IF(RIGHT(T617,1)="K",(VLOOKUP(T617,ma_miengiam!$A$3:$B$80,2,0)*Q617)/2,IF(V617&gt;0,VLOOKUP(T617,ma_miengiam!$A$3:$B$80,2,0)*Q617*V617/12,VLOOKUP(T617,ma_miengiam!$A$3:$B$80,2,0)*Q617))))</f>
        <v>135</v>
      </c>
      <c r="X617" s="220">
        <f>IF(T617="NTS",VLOOKUP(T617,ma_miengiam!$A$3:$B$80,2,0)*R617*V617,IF(AND(T617="NTS",V617=0),0,IF(AND(LEFT(T617,1)="K",V617=0),VLOOKUP(T617,ma_miengiam!$A$3:$B$80,2,0)*R617,IF(LEFT(T617,1)="K",(VLOOKUP(T617,ma_miengiam!$A$3:$B$80,2,0)*R617/12)*V617,IF(AND(LEFT(T617,1)="S",V617&gt;0),(R617/12)*V617,IF(AND(LEFT(T617,1)="S",V617=0),R617,IF(T617="DH",VLOOKUP(T617,ma_miengiam!$A$3:$B$80,2,0)*R617,0)))))))</f>
        <v>0</v>
      </c>
      <c r="Y617" s="220">
        <f t="shared" si="1963"/>
        <v>135</v>
      </c>
      <c r="Z617" s="220">
        <f t="shared" si="1995"/>
        <v>120</v>
      </c>
      <c r="AA617" s="220">
        <f t="shared" si="2022"/>
        <v>270</v>
      </c>
      <c r="AB617" s="220">
        <f t="shared" si="2022"/>
        <v>120</v>
      </c>
      <c r="AC617" s="220">
        <f t="shared" si="2023"/>
        <v>135</v>
      </c>
      <c r="AD617" s="220">
        <f t="shared" si="2023"/>
        <v>0</v>
      </c>
      <c r="AE617" s="220">
        <f t="shared" si="2023"/>
        <v>135</v>
      </c>
      <c r="AF617" s="220">
        <f t="shared" si="2023"/>
        <v>120</v>
      </c>
      <c r="AG617" s="220">
        <f t="shared" si="2017"/>
        <v>182.99</v>
      </c>
      <c r="AH617" s="220">
        <f t="shared" si="2018"/>
        <v>0</v>
      </c>
      <c r="AI617" s="220">
        <f t="shared" si="2019"/>
        <v>182.99</v>
      </c>
      <c r="AJ617" s="220">
        <f t="shared" si="1902"/>
        <v>0</v>
      </c>
      <c r="AK617" s="216">
        <f t="shared" ref="AK617:AK679" si="2051">IF(AJ617&gt;=0,Y617,Y617-AJ617)</f>
        <v>135</v>
      </c>
      <c r="AL617" s="220">
        <f t="shared" si="2024"/>
        <v>223.6</v>
      </c>
      <c r="AM617" s="220">
        <f t="shared" si="2025"/>
        <v>0</v>
      </c>
      <c r="AN617" s="221">
        <f t="shared" si="2026"/>
        <v>223.6</v>
      </c>
      <c r="AO617" s="220">
        <f t="shared" si="2027"/>
        <v>0</v>
      </c>
      <c r="AP617" s="220">
        <f t="shared" si="2028"/>
        <v>0</v>
      </c>
      <c r="AQ617" s="220">
        <f t="shared" si="2029"/>
        <v>120</v>
      </c>
      <c r="AR617" s="220">
        <f t="shared" si="2030"/>
        <v>40</v>
      </c>
      <c r="AS617" s="220">
        <f t="shared" si="2031"/>
        <v>0</v>
      </c>
      <c r="AT617" s="216">
        <f t="shared" si="2032"/>
        <v>383.6</v>
      </c>
      <c r="AU617" s="222">
        <f t="shared" si="1982"/>
        <v>88.6</v>
      </c>
      <c r="AV617" s="220"/>
      <c r="AW617" s="220">
        <f t="shared" si="2033"/>
        <v>88.6</v>
      </c>
      <c r="AX617" s="216">
        <f t="shared" si="2020"/>
        <v>0</v>
      </c>
      <c r="AY617" s="220">
        <f t="shared" si="2034"/>
        <v>0</v>
      </c>
      <c r="AZ617" s="220">
        <f t="shared" si="2035"/>
        <v>0</v>
      </c>
      <c r="BA617" s="220">
        <f t="shared" si="2036"/>
        <v>120</v>
      </c>
      <c r="BB617" s="220">
        <f t="shared" si="2037"/>
        <v>40</v>
      </c>
      <c r="BC617" s="220">
        <f t="shared" si="2038"/>
        <v>0</v>
      </c>
      <c r="BD617" s="216">
        <f t="shared" si="1987"/>
        <v>160</v>
      </c>
      <c r="BE617" s="220">
        <f t="shared" si="2039"/>
        <v>0</v>
      </c>
      <c r="BF617" s="220">
        <f t="shared" si="2040"/>
        <v>0</v>
      </c>
      <c r="BG617" s="220">
        <f t="shared" si="2041"/>
        <v>0</v>
      </c>
      <c r="BH617" s="220">
        <f t="shared" si="2042"/>
        <v>0</v>
      </c>
      <c r="BI617" s="220">
        <f t="shared" si="2043"/>
        <v>0</v>
      </c>
      <c r="BJ617" s="220" t="s">
        <v>1921</v>
      </c>
      <c r="BK617" s="220"/>
      <c r="BL617" s="223">
        <f t="shared" si="2005"/>
        <v>88.6</v>
      </c>
      <c r="BM617" s="220">
        <v>4.4000000000000004</v>
      </c>
      <c r="BN617" s="220"/>
      <c r="BO617" s="220">
        <f t="shared" si="2001"/>
        <v>4.4000000000000004</v>
      </c>
      <c r="BP617" s="220">
        <f>IF(AND(BL617&gt;0,BL617&lt;tiet!$D$1),BL617,IF(BL617&lt;=0,0,IF(BL617&gt;tiet!$C$1,tiet!$C$1)))</f>
        <v>88.6</v>
      </c>
      <c r="BQ617" s="87">
        <f t="shared" si="1903"/>
        <v>65000</v>
      </c>
      <c r="BR617" s="224">
        <f t="shared" si="1904"/>
        <v>5759000</v>
      </c>
      <c r="BS617" s="220">
        <f t="shared" si="1933"/>
        <v>0</v>
      </c>
      <c r="BT617" s="224">
        <f>VLOOKUP(N617,ma_dinhmuc!$A$1:$J$31,10,0)</f>
        <v>55000</v>
      </c>
      <c r="BU617" s="224">
        <f>ROUND(IF(BS617&gt;0,VLOOKUP(N617,ma_dinhmuc!$A$1:$J$31,10,0)*BS617,0),0)</f>
        <v>0</v>
      </c>
      <c r="BV617" s="224">
        <f t="shared" si="1905"/>
        <v>5759000</v>
      </c>
      <c r="BW617" s="224"/>
      <c r="BX617" s="224">
        <v>0</v>
      </c>
      <c r="BY617" s="224"/>
      <c r="BZ617" s="224"/>
      <c r="CA617" s="224"/>
      <c r="CB617" s="224"/>
      <c r="CC617" s="225">
        <f t="shared" si="1968"/>
        <v>5759000</v>
      </c>
      <c r="CD617" s="224">
        <f t="shared" si="1969"/>
        <v>0</v>
      </c>
      <c r="CE617" s="224"/>
      <c r="CF617" s="226"/>
      <c r="CG617" s="87"/>
      <c r="CH617" s="87">
        <f t="shared" si="2012"/>
        <v>8</v>
      </c>
      <c r="CI617" s="227" t="str">
        <f t="shared" si="2013"/>
        <v>Nguyễn Thị Lâm</v>
      </c>
      <c r="CJ617" s="227" t="str">
        <f t="shared" si="2014"/>
        <v>Hải</v>
      </c>
      <c r="CK617" s="87">
        <f t="shared" si="2015"/>
        <v>12</v>
      </c>
      <c r="CL617" s="227" t="str">
        <f t="shared" si="1989"/>
        <v>CNSH học thực vật</v>
      </c>
      <c r="CM617" s="87" t="str">
        <f t="shared" si="2044"/>
        <v>CS3</v>
      </c>
      <c r="CN617" s="87">
        <f t="shared" si="2021"/>
        <v>270</v>
      </c>
      <c r="CO617" s="87">
        <f t="shared" si="2021"/>
        <v>120</v>
      </c>
      <c r="CP617" s="229">
        <f t="shared" si="1943"/>
        <v>0</v>
      </c>
      <c r="CQ617" s="229">
        <f t="shared" si="1944"/>
        <v>31.1</v>
      </c>
      <c r="CR617" s="229">
        <f t="shared" si="1945"/>
        <v>12.5</v>
      </c>
      <c r="CS617" s="229">
        <f t="shared" si="1946"/>
        <v>0</v>
      </c>
      <c r="CT617" s="229">
        <f t="shared" si="1947"/>
        <v>0</v>
      </c>
      <c r="CU617" s="229">
        <f t="shared" si="1948"/>
        <v>180</v>
      </c>
      <c r="CV617" s="229">
        <f t="shared" si="1949"/>
        <v>0</v>
      </c>
      <c r="CW617" s="229">
        <f t="shared" si="1950"/>
        <v>0</v>
      </c>
      <c r="CX617" s="229">
        <f t="shared" si="1951"/>
        <v>0</v>
      </c>
      <c r="CY617" s="229">
        <f t="shared" si="1952"/>
        <v>0</v>
      </c>
      <c r="CZ617" s="229">
        <f t="shared" si="1953"/>
        <v>0</v>
      </c>
      <c r="DA617" s="229">
        <f t="shared" si="1954"/>
        <v>120</v>
      </c>
      <c r="DB617" s="228">
        <f t="shared" si="2045"/>
        <v>343.6</v>
      </c>
      <c r="DC617" s="229"/>
      <c r="DD617" s="229"/>
      <c r="DE617" s="229"/>
      <c r="DF617" s="229"/>
      <c r="DG617" s="229"/>
      <c r="DH617" s="229"/>
      <c r="DI617" s="229"/>
      <c r="DJ617" s="229"/>
      <c r="DK617" s="229"/>
      <c r="DL617" s="229"/>
      <c r="DM617" s="229"/>
      <c r="DN617" s="229"/>
      <c r="DO617" s="228">
        <f t="shared" si="2046"/>
        <v>0</v>
      </c>
      <c r="DP617" s="228">
        <f t="shared" si="2047"/>
        <v>343.6</v>
      </c>
      <c r="DQ617" s="229">
        <f t="shared" si="1955"/>
        <v>0</v>
      </c>
      <c r="DR617" s="229">
        <f t="shared" si="1956"/>
        <v>0</v>
      </c>
      <c r="DS617" s="229">
        <f t="shared" si="1957"/>
        <v>0</v>
      </c>
      <c r="DT617" s="229">
        <f t="shared" si="1958"/>
        <v>0</v>
      </c>
      <c r="DU617" s="229">
        <f t="shared" si="1959"/>
        <v>0</v>
      </c>
      <c r="DV617" s="229">
        <f t="shared" si="1960"/>
        <v>40</v>
      </c>
      <c r="DW617" s="229">
        <f t="shared" si="1961"/>
        <v>0</v>
      </c>
      <c r="DX617" s="228">
        <f t="shared" si="2048"/>
        <v>40</v>
      </c>
      <c r="DY617" s="229"/>
      <c r="DZ617" s="229"/>
      <c r="EA617" s="229"/>
      <c r="EB617" s="229"/>
      <c r="EC617" s="229"/>
      <c r="ED617" s="229"/>
      <c r="EE617" s="229"/>
      <c r="EF617" s="228">
        <f t="shared" si="1939"/>
        <v>0</v>
      </c>
      <c r="EG617" s="228">
        <f t="shared" si="2049"/>
        <v>40</v>
      </c>
      <c r="EH617" s="229">
        <f t="shared" si="1940"/>
        <v>182.99</v>
      </c>
      <c r="EI617" s="229">
        <v>0</v>
      </c>
      <c r="EJ617" s="228">
        <f t="shared" si="1900"/>
        <v>182.99</v>
      </c>
      <c r="EK617" s="229"/>
      <c r="EL617" s="229"/>
      <c r="EM617" s="228">
        <f t="shared" si="1994"/>
        <v>0</v>
      </c>
      <c r="EN617" s="229">
        <f t="shared" si="1894"/>
        <v>182.99</v>
      </c>
      <c r="EO617" s="229">
        <f t="shared" si="1983"/>
        <v>0</v>
      </c>
      <c r="EP617" s="228">
        <f t="shared" ref="EP617:EP643" si="2052">EM617+EJ617</f>
        <v>182.99</v>
      </c>
      <c r="EQ617" s="173">
        <f t="shared" si="1934"/>
        <v>62.990000000000009</v>
      </c>
      <c r="ER617" s="189">
        <v>0</v>
      </c>
      <c r="ES617" s="189">
        <v>31.1</v>
      </c>
      <c r="ET617" s="189">
        <v>12.5</v>
      </c>
      <c r="EU617" s="189">
        <v>0</v>
      </c>
      <c r="EV617" s="189">
        <v>0</v>
      </c>
      <c r="EW617" s="189">
        <v>180</v>
      </c>
      <c r="EX617" s="189">
        <v>0</v>
      </c>
      <c r="EY617" s="189">
        <v>0</v>
      </c>
      <c r="EZ617" s="189">
        <v>0</v>
      </c>
      <c r="FA617" s="189">
        <v>0</v>
      </c>
      <c r="FB617" s="189">
        <v>0</v>
      </c>
      <c r="FC617" s="189">
        <v>120</v>
      </c>
      <c r="FD617" s="189">
        <v>0</v>
      </c>
      <c r="FE617" s="189">
        <v>0</v>
      </c>
      <c r="FF617" s="189">
        <v>0</v>
      </c>
      <c r="FG617" s="189">
        <v>0</v>
      </c>
      <c r="FH617" s="189">
        <v>40</v>
      </c>
      <c r="FI617" s="189">
        <v>0</v>
      </c>
      <c r="FJ617" s="189">
        <v>0</v>
      </c>
      <c r="FK617" s="189">
        <v>383.6</v>
      </c>
      <c r="FL617" s="189">
        <v>303</v>
      </c>
      <c r="FN617" s="132">
        <v>182.99</v>
      </c>
    </row>
    <row r="618" spans="1:170" ht="45">
      <c r="A618" s="88">
        <f>COUNTIF($H$12:H618,H618)</f>
        <v>9</v>
      </c>
      <c r="B618" s="88" t="s">
        <v>794</v>
      </c>
      <c r="C618" s="88" t="s">
        <v>1385</v>
      </c>
      <c r="D618" s="88"/>
      <c r="E618" s="88"/>
      <c r="F618" s="301" t="s">
        <v>2081</v>
      </c>
      <c r="G618" s="89" t="s">
        <v>24</v>
      </c>
      <c r="H618" s="88">
        <v>12</v>
      </c>
      <c r="I618" s="88">
        <v>12</v>
      </c>
      <c r="J618" s="88">
        <v>12</v>
      </c>
      <c r="K618" s="90" t="s">
        <v>2847</v>
      </c>
      <c r="L618" s="90" t="s">
        <v>2847</v>
      </c>
      <c r="M618" s="214"/>
      <c r="N618" s="88" t="s">
        <v>605</v>
      </c>
      <c r="O618" s="216">
        <f t="shared" si="2050"/>
        <v>6.2</v>
      </c>
      <c r="P618" s="88" t="str">
        <f t="shared" si="2009"/>
        <v>B1_6</v>
      </c>
      <c r="Q618" s="88">
        <f t="shared" si="1935"/>
        <v>270</v>
      </c>
      <c r="R618" s="88">
        <f t="shared" si="1936"/>
        <v>170</v>
      </c>
      <c r="S618" s="232" t="s">
        <v>368</v>
      </c>
      <c r="T618" s="214" t="s">
        <v>1753</v>
      </c>
      <c r="U618" s="88">
        <f>IF(RIGHT(T618,1)="K",(VLOOKUP(T618,ma_miengiam!$A$3:$B$80,2,0)*100)/2,VLOOKUP(T618,ma_miengiam!$A$3:$B$80,2,0)*100)</f>
        <v>70</v>
      </c>
      <c r="V618" s="88"/>
      <c r="W618" s="220">
        <f>IF(AND(T618="NTS",V618&gt;0),(Q618-(Q618*V618)/12)*VLOOKUP(T618,ma_miengiam!$A$3:$B$80,2,0)+(Q618-(Q618*(12-V618))/12),IF(AND(RIGHT(T618,1)="K",V618&gt;0),(VLOOKUP(T618,ma_miengiam!$A$3:$B$80,2,0)/2)*(Q618*V618)/12,IF(RIGHT(T618,1)="K",(VLOOKUP(T618,ma_miengiam!$A$3:$B$80,2,0)*Q618)/2,IF(V618&gt;0,VLOOKUP(T618,ma_miengiam!$A$3:$B$80,2,0)*Q618*V618/12,VLOOKUP(T618,ma_miengiam!$A$3:$B$80,2,0)*Q618))))</f>
        <v>189</v>
      </c>
      <c r="X618" s="220">
        <f>IF(T618="NTS",VLOOKUP(T618,ma_miengiam!$A$3:$B$80,2,0)*R618*V618,IF(AND(T618="NTS",V618=0),0,IF(AND(LEFT(T618,1)="K",V618=0),VLOOKUP(T618,ma_miengiam!$A$3:$B$80,2,0)*R618,IF(LEFT(T618,1)="K",(VLOOKUP(T618,ma_miengiam!$A$3:$B$80,2,0)*R618/12)*V618,IF(AND(LEFT(T618,1)="S",V618&gt;0),(R618/12)*V618,IF(AND(LEFT(T618,1)="S",V618=0),R618,IF(T618="DH",VLOOKUP(T618,ma_miengiam!$A$3:$B$80,2,0)*R618,0)))))))</f>
        <v>118.99999999999999</v>
      </c>
      <c r="Y618" s="220">
        <f t="shared" si="1963"/>
        <v>81</v>
      </c>
      <c r="Z618" s="220">
        <f t="shared" si="1995"/>
        <v>51.000000000000014</v>
      </c>
      <c r="AA618" s="220">
        <f t="shared" si="2022"/>
        <v>270</v>
      </c>
      <c r="AB618" s="220">
        <f t="shared" si="2022"/>
        <v>170</v>
      </c>
      <c r="AC618" s="220">
        <f t="shared" ref="AC618:AF619" si="2053">W618</f>
        <v>189</v>
      </c>
      <c r="AD618" s="220">
        <f t="shared" si="2053"/>
        <v>118.99999999999999</v>
      </c>
      <c r="AE618" s="220">
        <f t="shared" si="2053"/>
        <v>81</v>
      </c>
      <c r="AF618" s="220">
        <f t="shared" si="2053"/>
        <v>51.000000000000014</v>
      </c>
      <c r="AG618" s="220">
        <f>AH618+AI618</f>
        <v>652.58999999999992</v>
      </c>
      <c r="AH618" s="220">
        <f>EO618</f>
        <v>378.77</v>
      </c>
      <c r="AI618" s="220">
        <f>EN618</f>
        <v>273.82</v>
      </c>
      <c r="AJ618" s="220">
        <f t="shared" si="1902"/>
        <v>0</v>
      </c>
      <c r="AK618" s="216">
        <f t="shared" si="2051"/>
        <v>81</v>
      </c>
      <c r="AL618" s="220">
        <f t="shared" si="2024"/>
        <v>134.1</v>
      </c>
      <c r="AM618" s="220">
        <f t="shared" si="2025"/>
        <v>95.6</v>
      </c>
      <c r="AN618" s="221">
        <f t="shared" si="2026"/>
        <v>229.7</v>
      </c>
      <c r="AO618" s="220">
        <f t="shared" si="2027"/>
        <v>0</v>
      </c>
      <c r="AP618" s="220">
        <f t="shared" si="2028"/>
        <v>0</v>
      </c>
      <c r="AQ618" s="220">
        <f t="shared" si="2029"/>
        <v>176</v>
      </c>
      <c r="AR618" s="220">
        <f t="shared" si="2030"/>
        <v>0</v>
      </c>
      <c r="AS618" s="220">
        <f t="shared" si="2031"/>
        <v>0</v>
      </c>
      <c r="AT618" s="216">
        <f t="shared" si="2032"/>
        <v>405.7</v>
      </c>
      <c r="AU618" s="222">
        <f t="shared" si="1982"/>
        <v>148.69999999999999</v>
      </c>
      <c r="AV618" s="220"/>
      <c r="AW618" s="220">
        <f t="shared" si="2033"/>
        <v>148.69999999999999</v>
      </c>
      <c r="AX618" s="216">
        <f t="shared" si="2020"/>
        <v>0</v>
      </c>
      <c r="AY618" s="220">
        <f t="shared" si="2034"/>
        <v>0</v>
      </c>
      <c r="AZ618" s="220">
        <f t="shared" si="2035"/>
        <v>0</v>
      </c>
      <c r="BA618" s="220">
        <f t="shared" si="2036"/>
        <v>176</v>
      </c>
      <c r="BB618" s="220">
        <f t="shared" si="2037"/>
        <v>0</v>
      </c>
      <c r="BC618" s="220">
        <f t="shared" si="2038"/>
        <v>0</v>
      </c>
      <c r="BD618" s="216">
        <f t="shared" si="1987"/>
        <v>176</v>
      </c>
      <c r="BE618" s="220">
        <f t="shared" si="2039"/>
        <v>0</v>
      </c>
      <c r="BF618" s="220">
        <f t="shared" si="2040"/>
        <v>0</v>
      </c>
      <c r="BG618" s="220">
        <f t="shared" si="2041"/>
        <v>0</v>
      </c>
      <c r="BH618" s="220">
        <f t="shared" si="2042"/>
        <v>0</v>
      </c>
      <c r="BI618" s="220">
        <f t="shared" si="2043"/>
        <v>0</v>
      </c>
      <c r="BJ618" s="220" t="s">
        <v>1921</v>
      </c>
      <c r="BK618" s="220"/>
      <c r="BL618" s="223">
        <f t="shared" si="2005"/>
        <v>148.69999999999999</v>
      </c>
      <c r="BM618" s="220">
        <v>6.2</v>
      </c>
      <c r="BN618" s="220"/>
      <c r="BO618" s="220">
        <f>ROUND(BM618+(BM618*BN618),2)</f>
        <v>6.2</v>
      </c>
      <c r="BP618" s="220">
        <f>IF(AND(BL618&gt;0,BL618&lt;tiet!$D$1),BL618,IF(BL618&lt;=0,0,IF(BL618&gt;tiet!$C$1,tiet!$C$1)))</f>
        <v>148.69999999999999</v>
      </c>
      <c r="BQ618" s="87">
        <f t="shared" si="1903"/>
        <v>75000</v>
      </c>
      <c r="BR618" s="224">
        <f t="shared" si="1904"/>
        <v>11152500</v>
      </c>
      <c r="BS618" s="220">
        <f t="shared" si="1933"/>
        <v>0</v>
      </c>
      <c r="BT618" s="224">
        <f>VLOOKUP(N618,ma_dinhmuc!$A$1:$J$31,10,0)</f>
        <v>65000</v>
      </c>
      <c r="BU618" s="224">
        <f>ROUND(IF(BS618&gt;0,VLOOKUP(N618,ma_dinhmuc!$A$1:$J$31,10,0)*BS618,0),0)</f>
        <v>0</v>
      </c>
      <c r="BV618" s="224">
        <f t="shared" si="1905"/>
        <v>11152500</v>
      </c>
      <c r="BW618" s="224"/>
      <c r="BX618" s="224">
        <v>0</v>
      </c>
      <c r="BY618" s="224"/>
      <c r="BZ618" s="224"/>
      <c r="CA618" s="224"/>
      <c r="CB618" s="224"/>
      <c r="CC618" s="225">
        <f t="shared" si="1968"/>
        <v>11152500</v>
      </c>
      <c r="CD618" s="224">
        <f t="shared" si="1969"/>
        <v>0</v>
      </c>
      <c r="CE618" s="224"/>
      <c r="CF618" s="226"/>
      <c r="CG618" s="87"/>
      <c r="CH618" s="87">
        <f>A618</f>
        <v>9</v>
      </c>
      <c r="CI618" s="227" t="str">
        <f>F618</f>
        <v>Nguyễn Thanh</v>
      </c>
      <c r="CJ618" s="227" t="str">
        <f>G618</f>
        <v>Hải</v>
      </c>
      <c r="CK618" s="87">
        <f>H618</f>
        <v>12</v>
      </c>
      <c r="CL618" s="227" t="str">
        <f t="shared" si="1989"/>
        <v>CNSH học thực vật</v>
      </c>
      <c r="CM618" s="87" t="str">
        <f t="shared" si="2044"/>
        <v>CS4</v>
      </c>
      <c r="CN618" s="87">
        <f t="shared" si="2021"/>
        <v>270</v>
      </c>
      <c r="CO618" s="87">
        <f t="shared" si="2021"/>
        <v>170</v>
      </c>
      <c r="CP618" s="229">
        <f t="shared" si="1943"/>
        <v>0</v>
      </c>
      <c r="CQ618" s="229">
        <f t="shared" si="1944"/>
        <v>15.5</v>
      </c>
      <c r="CR618" s="229">
        <f t="shared" si="1945"/>
        <v>6.3</v>
      </c>
      <c r="CS618" s="229">
        <f t="shared" si="1946"/>
        <v>42.3</v>
      </c>
      <c r="CT618" s="229">
        <f t="shared" si="1947"/>
        <v>0</v>
      </c>
      <c r="CU618" s="229">
        <f t="shared" si="1948"/>
        <v>70</v>
      </c>
      <c r="CV618" s="229">
        <f t="shared" si="1949"/>
        <v>0</v>
      </c>
      <c r="CW618" s="229">
        <f t="shared" si="1950"/>
        <v>0</v>
      </c>
      <c r="CX618" s="229">
        <f t="shared" si="1951"/>
        <v>0</v>
      </c>
      <c r="CY618" s="229">
        <f t="shared" si="1952"/>
        <v>0</v>
      </c>
      <c r="CZ618" s="229">
        <f t="shared" si="1953"/>
        <v>0</v>
      </c>
      <c r="DA618" s="229">
        <f t="shared" si="1954"/>
        <v>176</v>
      </c>
      <c r="DB618" s="228">
        <f t="shared" si="2045"/>
        <v>310.10000000000002</v>
      </c>
      <c r="DC618" s="229"/>
      <c r="DD618" s="229"/>
      <c r="DE618" s="229"/>
      <c r="DF618" s="229"/>
      <c r="DG618" s="229"/>
      <c r="DH618" s="229"/>
      <c r="DI618" s="229"/>
      <c r="DJ618" s="229"/>
      <c r="DK618" s="229"/>
      <c r="DL618" s="229"/>
      <c r="DM618" s="229"/>
      <c r="DN618" s="229"/>
      <c r="DO618" s="228">
        <f t="shared" si="2046"/>
        <v>0</v>
      </c>
      <c r="DP618" s="228">
        <f t="shared" si="2047"/>
        <v>310.10000000000002</v>
      </c>
      <c r="DQ618" s="229">
        <f t="shared" si="1955"/>
        <v>90</v>
      </c>
      <c r="DR618" s="229">
        <f t="shared" si="1956"/>
        <v>4</v>
      </c>
      <c r="DS618" s="229">
        <f t="shared" si="1957"/>
        <v>0</v>
      </c>
      <c r="DT618" s="229">
        <f t="shared" si="1958"/>
        <v>1.6</v>
      </c>
      <c r="DU618" s="229">
        <f t="shared" si="1959"/>
        <v>0</v>
      </c>
      <c r="DV618" s="229">
        <f t="shared" si="1960"/>
        <v>0</v>
      </c>
      <c r="DW618" s="229">
        <f t="shared" si="1961"/>
        <v>0</v>
      </c>
      <c r="DX618" s="228">
        <f t="shared" si="2048"/>
        <v>95.6</v>
      </c>
      <c r="DY618" s="229"/>
      <c r="DZ618" s="229"/>
      <c r="EA618" s="229"/>
      <c r="EB618" s="229"/>
      <c r="EC618" s="229"/>
      <c r="ED618" s="229"/>
      <c r="EE618" s="229"/>
      <c r="EF618" s="228">
        <f t="shared" si="1939"/>
        <v>0</v>
      </c>
      <c r="EG618" s="228">
        <f t="shared" si="2049"/>
        <v>95.6</v>
      </c>
      <c r="EH618" s="229">
        <f t="shared" si="1940"/>
        <v>273.82</v>
      </c>
      <c r="EI618" s="229">
        <v>378.77</v>
      </c>
      <c r="EJ618" s="228">
        <f t="shared" si="1900"/>
        <v>652.58999999999992</v>
      </c>
      <c r="EK618" s="229"/>
      <c r="EL618" s="229"/>
      <c r="EM618" s="228">
        <f t="shared" si="1994"/>
        <v>0</v>
      </c>
      <c r="EN618" s="229">
        <f t="shared" si="1894"/>
        <v>273.82</v>
      </c>
      <c r="EO618" s="229">
        <f t="shared" si="1983"/>
        <v>378.77</v>
      </c>
      <c r="EP618" s="228">
        <f>EM618+EJ618</f>
        <v>652.58999999999992</v>
      </c>
      <c r="EQ618" s="173">
        <f t="shared" si="1934"/>
        <v>222.82</v>
      </c>
      <c r="ER618" s="189">
        <v>0</v>
      </c>
      <c r="ES618" s="189">
        <v>15.5</v>
      </c>
      <c r="ET618" s="189">
        <v>6.3</v>
      </c>
      <c r="EU618" s="189">
        <v>42.3</v>
      </c>
      <c r="EV618" s="189">
        <v>0</v>
      </c>
      <c r="EW618" s="189">
        <v>70</v>
      </c>
      <c r="EX618" s="189">
        <v>0</v>
      </c>
      <c r="EY618" s="189">
        <v>0</v>
      </c>
      <c r="EZ618" s="189">
        <v>0</v>
      </c>
      <c r="FA618" s="189">
        <v>0</v>
      </c>
      <c r="FB618" s="189">
        <v>0</v>
      </c>
      <c r="FC618" s="189">
        <v>176</v>
      </c>
      <c r="FD618" s="189">
        <v>90</v>
      </c>
      <c r="FE618" s="189">
        <v>4</v>
      </c>
      <c r="FF618" s="189">
        <v>0</v>
      </c>
      <c r="FG618" s="189">
        <v>1.6</v>
      </c>
      <c r="FH618" s="189">
        <v>0</v>
      </c>
      <c r="FI618" s="189">
        <v>0</v>
      </c>
      <c r="FJ618" s="189">
        <v>0</v>
      </c>
      <c r="FK618" s="189">
        <v>405.7</v>
      </c>
      <c r="FL618" s="189">
        <v>358.3</v>
      </c>
      <c r="FN618" s="132">
        <v>273.82</v>
      </c>
    </row>
    <row r="619" spans="1:170" ht="30" customHeight="1">
      <c r="A619" s="88">
        <f>COUNTIF($H$12:H619,H619)</f>
        <v>10</v>
      </c>
      <c r="B619" s="88" t="s">
        <v>795</v>
      </c>
      <c r="C619" s="88" t="s">
        <v>1386</v>
      </c>
      <c r="D619" s="88"/>
      <c r="E619" s="88"/>
      <c r="F619" s="301" t="s">
        <v>374</v>
      </c>
      <c r="G619" s="89" t="s">
        <v>3034</v>
      </c>
      <c r="H619" s="88">
        <v>12</v>
      </c>
      <c r="I619" s="88">
        <v>12</v>
      </c>
      <c r="J619" s="88">
        <v>12</v>
      </c>
      <c r="K619" s="90" t="s">
        <v>2847</v>
      </c>
      <c r="L619" s="90" t="s">
        <v>2847</v>
      </c>
      <c r="M619" s="214"/>
      <c r="N619" s="88" t="s">
        <v>1804</v>
      </c>
      <c r="O619" s="216">
        <f t="shared" si="2050"/>
        <v>3.33</v>
      </c>
      <c r="P619" s="88" t="str">
        <f t="shared" si="2009"/>
        <v>B1_4</v>
      </c>
      <c r="Q619" s="88">
        <f t="shared" si="1935"/>
        <v>270</v>
      </c>
      <c r="R619" s="88">
        <f t="shared" si="1936"/>
        <v>120</v>
      </c>
      <c r="S619" s="232" t="s">
        <v>659</v>
      </c>
      <c r="T619" s="88" t="s">
        <v>2961</v>
      </c>
      <c r="U619" s="88">
        <f>IF(RIGHT(T619,1)="K",(VLOOKUP(T619,ma_miengiam!$A$3:$B$80,2,0)*100)/2,VLOOKUP(T619,ma_miengiam!$A$3:$B$80,2,0)*100)</f>
        <v>100</v>
      </c>
      <c r="V619" s="88"/>
      <c r="W619" s="220">
        <f>IF(AND(T619="NTS",V619&gt;0),(Q619-(Q619*V619)/12)*VLOOKUP(T619,ma_miengiam!$A$3:$B$80,2,0)+(Q619-(Q619*(12-V619))/12),IF(AND(RIGHT(T619,1)="K",V619&gt;0),(VLOOKUP(T619,ma_miengiam!$A$3:$B$80,2,0)/2)*(Q619*V619)/12,IF(RIGHT(T619,1)="K",(VLOOKUP(T619,ma_miengiam!$A$3:$B$80,2,0)*Q619)/2,IF(V619&gt;0,VLOOKUP(T619,ma_miengiam!$A$3:$B$80,2,0)*Q619*V619/12,VLOOKUP(T619,ma_miengiam!$A$3:$B$80,2,0)*Q619))))</f>
        <v>270</v>
      </c>
      <c r="X619" s="220">
        <f>IF(T619="NTS",VLOOKUP(T619,ma_miengiam!$A$3:$B$80,2,0)*R619*V619,IF(AND(T619="NTS",V619=0),0,IF(AND(LEFT(T619,1)="K",V619=0),VLOOKUP(T619,ma_miengiam!$A$3:$B$80,2,0)*R619,IF(LEFT(T619,1)="K",(VLOOKUP(T619,ma_miengiam!$A$3:$B$80,2,0)*R619/12)*V619,IF(AND(LEFT(T619,1)="S",V619&gt;0),(R619/12)*V619,IF(AND(LEFT(T619,1)="S",V619=0),R619,IF(T619="DH",VLOOKUP(T619,ma_miengiam!$A$3:$B$80,2,0)*R619,0)))))))</f>
        <v>120</v>
      </c>
      <c r="Y619" s="220">
        <f t="shared" si="1963"/>
        <v>0</v>
      </c>
      <c r="Z619" s="220">
        <f t="shared" si="1995"/>
        <v>0</v>
      </c>
      <c r="AA619" s="220">
        <f t="shared" si="2022"/>
        <v>270</v>
      </c>
      <c r="AB619" s="220">
        <f t="shared" si="2022"/>
        <v>120</v>
      </c>
      <c r="AC619" s="220">
        <f t="shared" si="2053"/>
        <v>270</v>
      </c>
      <c r="AD619" s="220">
        <f t="shared" si="2053"/>
        <v>120</v>
      </c>
      <c r="AE619" s="220">
        <f t="shared" si="2053"/>
        <v>0</v>
      </c>
      <c r="AF619" s="220">
        <f t="shared" si="2053"/>
        <v>0</v>
      </c>
      <c r="AG619" s="220">
        <f t="shared" si="2017"/>
        <v>102.9</v>
      </c>
      <c r="AH619" s="220">
        <f t="shared" si="2018"/>
        <v>102.9</v>
      </c>
      <c r="AI619" s="220">
        <f t="shared" si="2019"/>
        <v>0</v>
      </c>
      <c r="AJ619" s="220">
        <f t="shared" si="1902"/>
        <v>0</v>
      </c>
      <c r="AK619" s="216">
        <f t="shared" si="2051"/>
        <v>0</v>
      </c>
      <c r="AL619" s="220">
        <f t="shared" si="2024"/>
        <v>0</v>
      </c>
      <c r="AM619" s="220">
        <f t="shared" si="2025"/>
        <v>0</v>
      </c>
      <c r="AN619" s="221">
        <f t="shared" si="2026"/>
        <v>0</v>
      </c>
      <c r="AO619" s="220">
        <f t="shared" si="2027"/>
        <v>0</v>
      </c>
      <c r="AP619" s="220">
        <f t="shared" si="2028"/>
        <v>0</v>
      </c>
      <c r="AQ619" s="220">
        <f t="shared" si="2029"/>
        <v>0</v>
      </c>
      <c r="AR619" s="220">
        <f t="shared" si="2030"/>
        <v>0</v>
      </c>
      <c r="AS619" s="220">
        <f t="shared" si="2031"/>
        <v>0</v>
      </c>
      <c r="AT619" s="216">
        <f t="shared" si="2032"/>
        <v>0</v>
      </c>
      <c r="AU619" s="220">
        <f t="shared" si="1982"/>
        <v>0</v>
      </c>
      <c r="AV619" s="220"/>
      <c r="AW619" s="220">
        <f t="shared" si="2033"/>
        <v>0</v>
      </c>
      <c r="AX619" s="216">
        <f t="shared" si="2020"/>
        <v>0</v>
      </c>
      <c r="AY619" s="220">
        <f t="shared" si="2034"/>
        <v>0</v>
      </c>
      <c r="AZ619" s="220">
        <f t="shared" si="2035"/>
        <v>0</v>
      </c>
      <c r="BA619" s="220">
        <f t="shared" si="2036"/>
        <v>0</v>
      </c>
      <c r="BB619" s="220">
        <f t="shared" si="2037"/>
        <v>0</v>
      </c>
      <c r="BC619" s="220">
        <f t="shared" si="2038"/>
        <v>0</v>
      </c>
      <c r="BD619" s="216">
        <f t="shared" si="1987"/>
        <v>0</v>
      </c>
      <c r="BE619" s="220">
        <f t="shared" si="2039"/>
        <v>0</v>
      </c>
      <c r="BF619" s="220">
        <f t="shared" si="2040"/>
        <v>0</v>
      </c>
      <c r="BG619" s="220">
        <f t="shared" si="2041"/>
        <v>0</v>
      </c>
      <c r="BH619" s="220">
        <f t="shared" si="2042"/>
        <v>0</v>
      </c>
      <c r="BI619" s="220">
        <f t="shared" si="2043"/>
        <v>0</v>
      </c>
      <c r="BJ619" s="220" t="s">
        <v>1921</v>
      </c>
      <c r="BK619" s="220"/>
      <c r="BL619" s="223">
        <f t="shared" si="2005"/>
        <v>0</v>
      </c>
      <c r="BM619" s="220">
        <v>3.33</v>
      </c>
      <c r="BN619" s="220"/>
      <c r="BO619" s="220">
        <f t="shared" si="2001"/>
        <v>3.33</v>
      </c>
      <c r="BP619" s="220">
        <f>IF(AND(BL619&gt;0,BL619&lt;tiet!$D$1),BL619,IF(BL619&lt;=0,0,IF(BL619&gt;tiet!$C$1,tiet!$C$1)))</f>
        <v>0</v>
      </c>
      <c r="BQ619" s="87">
        <f t="shared" si="1903"/>
        <v>65000</v>
      </c>
      <c r="BR619" s="224">
        <f t="shared" si="1904"/>
        <v>0</v>
      </c>
      <c r="BS619" s="220">
        <f t="shared" si="1933"/>
        <v>0</v>
      </c>
      <c r="BT619" s="224">
        <f>VLOOKUP(N619,ma_dinhmuc!$A$1:$J$31,10,0)</f>
        <v>51000</v>
      </c>
      <c r="BU619" s="224">
        <f>ROUND(IF(BS619&gt;0,VLOOKUP(N619,ma_dinhmuc!$A$1:$J$31,10,0)*BS619,0),0)</f>
        <v>0</v>
      </c>
      <c r="BV619" s="224">
        <f t="shared" si="1905"/>
        <v>0</v>
      </c>
      <c r="BW619" s="224"/>
      <c r="BX619" s="224">
        <v>780000</v>
      </c>
      <c r="BY619" s="224"/>
      <c r="BZ619" s="224"/>
      <c r="CA619" s="224"/>
      <c r="CB619" s="224"/>
      <c r="CC619" s="225">
        <f t="shared" si="1968"/>
        <v>0</v>
      </c>
      <c r="CD619" s="224">
        <f t="shared" si="1969"/>
        <v>780000</v>
      </c>
      <c r="CE619" s="224"/>
      <c r="CF619" s="226"/>
      <c r="CG619" s="87"/>
      <c r="CH619" s="87">
        <f t="shared" si="2012"/>
        <v>10</v>
      </c>
      <c r="CI619" s="227" t="str">
        <f t="shared" si="2013"/>
        <v>Nông Thị</v>
      </c>
      <c r="CJ619" s="227" t="str">
        <f t="shared" si="2014"/>
        <v>Huệ</v>
      </c>
      <c r="CK619" s="87">
        <f t="shared" si="2015"/>
        <v>12</v>
      </c>
      <c r="CL619" s="227" t="str">
        <f t="shared" si="1989"/>
        <v>CNSH học thực vật</v>
      </c>
      <c r="CM619" s="87" t="str">
        <f t="shared" si="2044"/>
        <v>CS2</v>
      </c>
      <c r="CN619" s="87">
        <f t="shared" ref="CN619:CO621" si="2054">Q619</f>
        <v>270</v>
      </c>
      <c r="CO619" s="87">
        <f t="shared" si="2054"/>
        <v>120</v>
      </c>
      <c r="CP619" s="229">
        <f t="shared" si="1943"/>
        <v>0</v>
      </c>
      <c r="CQ619" s="229">
        <f t="shared" si="1944"/>
        <v>0</v>
      </c>
      <c r="CR619" s="229">
        <f t="shared" si="1945"/>
        <v>0</v>
      </c>
      <c r="CS619" s="229">
        <f t="shared" si="1946"/>
        <v>0</v>
      </c>
      <c r="CT619" s="229">
        <f t="shared" si="1947"/>
        <v>0</v>
      </c>
      <c r="CU619" s="229">
        <f t="shared" si="1948"/>
        <v>0</v>
      </c>
      <c r="CV619" s="229">
        <f t="shared" si="1949"/>
        <v>0</v>
      </c>
      <c r="CW619" s="229">
        <f t="shared" si="1950"/>
        <v>0</v>
      </c>
      <c r="CX619" s="229">
        <f t="shared" si="1951"/>
        <v>0</v>
      </c>
      <c r="CY619" s="229">
        <f t="shared" si="1952"/>
        <v>0</v>
      </c>
      <c r="CZ619" s="229">
        <f t="shared" si="1953"/>
        <v>0</v>
      </c>
      <c r="DA619" s="229">
        <f t="shared" si="1954"/>
        <v>0</v>
      </c>
      <c r="DB619" s="228">
        <f t="shared" si="2045"/>
        <v>0</v>
      </c>
      <c r="DC619" s="229"/>
      <c r="DD619" s="229"/>
      <c r="DE619" s="229"/>
      <c r="DF619" s="229"/>
      <c r="DG619" s="229"/>
      <c r="DH619" s="229"/>
      <c r="DI619" s="229"/>
      <c r="DJ619" s="229"/>
      <c r="DK619" s="229"/>
      <c r="DL619" s="229"/>
      <c r="DM619" s="229"/>
      <c r="DN619" s="229"/>
      <c r="DO619" s="228">
        <f t="shared" si="2046"/>
        <v>0</v>
      </c>
      <c r="DP619" s="228">
        <f t="shared" si="2047"/>
        <v>0</v>
      </c>
      <c r="DQ619" s="229">
        <f t="shared" si="1955"/>
        <v>0</v>
      </c>
      <c r="DR619" s="229">
        <f t="shared" si="1956"/>
        <v>0</v>
      </c>
      <c r="DS619" s="229">
        <f t="shared" si="1957"/>
        <v>0</v>
      </c>
      <c r="DT619" s="229">
        <f t="shared" si="1958"/>
        <v>0</v>
      </c>
      <c r="DU619" s="229">
        <f t="shared" si="1959"/>
        <v>0</v>
      </c>
      <c r="DV619" s="229">
        <f t="shared" si="1960"/>
        <v>0</v>
      </c>
      <c r="DW619" s="229">
        <f t="shared" si="1961"/>
        <v>0</v>
      </c>
      <c r="DX619" s="228">
        <f t="shared" si="2048"/>
        <v>0</v>
      </c>
      <c r="DY619" s="229"/>
      <c r="DZ619" s="229"/>
      <c r="EA619" s="229"/>
      <c r="EB619" s="229"/>
      <c r="EC619" s="229"/>
      <c r="ED619" s="229"/>
      <c r="EE619" s="229"/>
      <c r="EF619" s="228">
        <f t="shared" si="1939"/>
        <v>0</v>
      </c>
      <c r="EG619" s="228">
        <f t="shared" si="2049"/>
        <v>0</v>
      </c>
      <c r="EH619" s="229">
        <f t="shared" si="1940"/>
        <v>0</v>
      </c>
      <c r="EI619" s="229">
        <v>102.9</v>
      </c>
      <c r="EJ619" s="228">
        <f t="shared" ref="EJ619:EJ648" si="2055">SUM(EH619:EI619)</f>
        <v>102.9</v>
      </c>
      <c r="EK619" s="229"/>
      <c r="EL619" s="229"/>
      <c r="EM619" s="228">
        <f t="shared" si="1994"/>
        <v>0</v>
      </c>
      <c r="EN619" s="229">
        <f t="shared" si="1894"/>
        <v>0</v>
      </c>
      <c r="EO619" s="229">
        <f t="shared" si="1983"/>
        <v>102.9</v>
      </c>
      <c r="EP619" s="228">
        <f t="shared" si="2052"/>
        <v>102.9</v>
      </c>
      <c r="EQ619" s="173">
        <f t="shared" si="1934"/>
        <v>0</v>
      </c>
      <c r="ER619" s="189">
        <v>0</v>
      </c>
      <c r="ES619" s="189">
        <v>0</v>
      </c>
      <c r="ET619" s="189">
        <v>0</v>
      </c>
      <c r="EU619" s="189">
        <v>0</v>
      </c>
      <c r="EV619" s="189">
        <v>0</v>
      </c>
      <c r="EW619" s="189">
        <v>0</v>
      </c>
      <c r="EX619" s="189">
        <v>0</v>
      </c>
      <c r="EY619" s="189">
        <v>0</v>
      </c>
      <c r="EZ619" s="189">
        <v>0</v>
      </c>
      <c r="FA619" s="189">
        <v>0</v>
      </c>
      <c r="FB619" s="189">
        <v>0</v>
      </c>
      <c r="FC619" s="189">
        <v>0</v>
      </c>
      <c r="FD619" s="189">
        <v>0</v>
      </c>
      <c r="FE619" s="189">
        <v>0</v>
      </c>
      <c r="FF619" s="189">
        <v>0</v>
      </c>
      <c r="FG619" s="189">
        <v>0</v>
      </c>
      <c r="FH619" s="189">
        <v>0</v>
      </c>
      <c r="FI619" s="189">
        <v>0</v>
      </c>
      <c r="FJ619" s="189">
        <v>0</v>
      </c>
      <c r="FK619" s="189">
        <v>0</v>
      </c>
      <c r="FL619" s="189">
        <v>0</v>
      </c>
      <c r="FN619" s="132">
        <v>0</v>
      </c>
    </row>
    <row r="620" spans="1:170" ht="30.75" customHeight="1">
      <c r="A620" s="88">
        <f>COUNTIF($H$12:H620,H620)</f>
        <v>11</v>
      </c>
      <c r="B620" s="88" t="s">
        <v>796</v>
      </c>
      <c r="C620" s="88" t="s">
        <v>1387</v>
      </c>
      <c r="D620" s="88"/>
      <c r="E620" s="88"/>
      <c r="F620" s="301" t="s">
        <v>1866</v>
      </c>
      <c r="G620" s="303" t="s">
        <v>1115</v>
      </c>
      <c r="H620" s="88">
        <v>12</v>
      </c>
      <c r="I620" s="88">
        <v>12</v>
      </c>
      <c r="J620" s="88">
        <v>12</v>
      </c>
      <c r="K620" s="90" t="s">
        <v>2847</v>
      </c>
      <c r="L620" s="90" t="s">
        <v>2847</v>
      </c>
      <c r="M620" s="214"/>
      <c r="N620" s="88" t="s">
        <v>1804</v>
      </c>
      <c r="O620" s="216">
        <f t="shared" si="2050"/>
        <v>3</v>
      </c>
      <c r="P620" s="88" t="str">
        <f t="shared" si="2009"/>
        <v>B1_3</v>
      </c>
      <c r="Q620" s="88">
        <f t="shared" si="1935"/>
        <v>270</v>
      </c>
      <c r="R620" s="88">
        <f t="shared" si="1936"/>
        <v>100</v>
      </c>
      <c r="S620" s="231" t="s">
        <v>2663</v>
      </c>
      <c r="T620" s="88" t="s">
        <v>3091</v>
      </c>
      <c r="U620" s="88">
        <f>IF(RIGHT(T620,1)="K",(VLOOKUP(T620,ma_miengiam!$A$3:$B$80,2,0)*100)/2,VLOOKUP(T620,ma_miengiam!$A$3:$B$80,2,0)*100)</f>
        <v>20</v>
      </c>
      <c r="V620" s="88">
        <v>3</v>
      </c>
      <c r="W620" s="220">
        <f>IF(AND(T620="NTS",V620&gt;0),(Q620-(Q620*V620)/12)*VLOOKUP(T620,ma_miengiam!$A$3:$B$80,2,0)+(Q620-(Q620*(12-V620))/12),IF(AND(RIGHT(T620,1)="K",V620&gt;0),(VLOOKUP(T620,ma_miengiam!$A$3:$B$80,2,0)/2)*(Q620*V620)/12,IF(RIGHT(T620,1)="K",(VLOOKUP(T620,ma_miengiam!$A$3:$B$80,2,0)*Q620)/2,IF(V620&gt;0,VLOOKUP(T620,ma_miengiam!$A$3:$B$80,2,0)*Q620*V620/12,VLOOKUP(T620,ma_miengiam!$A$3:$B$80,2,0)*Q620))))</f>
        <v>13.5</v>
      </c>
      <c r="X620" s="220">
        <f>IF(T620="NTS",VLOOKUP(T620,ma_miengiam!$A$3:$B$80,2,0)*R620*V620,IF(AND(T620="NTS",V620=0),0,IF(AND(LEFT(T620,1)="K",V620=0),VLOOKUP(T620,ma_miengiam!$A$3:$B$80,2,0)*R620,IF(LEFT(T620,1)="K",(VLOOKUP(T620,ma_miengiam!$A$3:$B$80,2,0)*R620/12)*V620,IF(AND(LEFT(T620,1)="S",V620&gt;0),(R620/12)*V620,IF(AND(LEFT(T620,1)="S",V620=0),R620,IF(T620="DH",VLOOKUP(T620,ma_miengiam!$A$3:$B$80,2,0)*R620,0)))))))</f>
        <v>0</v>
      </c>
      <c r="Y620" s="220">
        <f t="shared" si="1963"/>
        <v>54</v>
      </c>
      <c r="Z620" s="220">
        <f t="shared" si="1995"/>
        <v>25</v>
      </c>
      <c r="AA620" s="220">
        <f t="shared" ref="AA620:AA627" si="2056">Q620</f>
        <v>270</v>
      </c>
      <c r="AB620" s="220">
        <f t="shared" ref="AB620:AB627" si="2057">R620</f>
        <v>100</v>
      </c>
      <c r="AC620" s="220">
        <f t="shared" ref="AC620:AC627" si="2058">W620</f>
        <v>13.5</v>
      </c>
      <c r="AD620" s="220">
        <f t="shared" ref="AD620:AD627" si="2059">X620</f>
        <v>0</v>
      </c>
      <c r="AE620" s="220">
        <f t="shared" ref="AE620:AE627" si="2060">Y620</f>
        <v>54</v>
      </c>
      <c r="AF620" s="220">
        <f t="shared" ref="AF620:AF627" si="2061">Z620</f>
        <v>25</v>
      </c>
      <c r="AG620" s="220">
        <f t="shared" ref="AG620:AG629" si="2062">AH620+AI620</f>
        <v>133.80000000000001</v>
      </c>
      <c r="AH620" s="220">
        <f t="shared" ref="AH620:AH629" si="2063">EO620</f>
        <v>50.81</v>
      </c>
      <c r="AI620" s="220">
        <f t="shared" ref="AI620:AI629" si="2064">EN620</f>
        <v>82.99</v>
      </c>
      <c r="AJ620" s="220">
        <f t="shared" si="1902"/>
        <v>0</v>
      </c>
      <c r="AK620" s="216">
        <f t="shared" si="2051"/>
        <v>54</v>
      </c>
      <c r="AL620" s="220">
        <f t="shared" si="2024"/>
        <v>79.8</v>
      </c>
      <c r="AM620" s="220">
        <f t="shared" si="2025"/>
        <v>0</v>
      </c>
      <c r="AN620" s="221">
        <f t="shared" si="2026"/>
        <v>79.8</v>
      </c>
      <c r="AO620" s="220">
        <f t="shared" si="2027"/>
        <v>0</v>
      </c>
      <c r="AP620" s="220">
        <f t="shared" si="2028"/>
        <v>0</v>
      </c>
      <c r="AQ620" s="220">
        <f t="shared" si="2029"/>
        <v>28</v>
      </c>
      <c r="AR620" s="220">
        <f t="shared" si="2030"/>
        <v>0</v>
      </c>
      <c r="AS620" s="220">
        <f t="shared" si="2031"/>
        <v>0</v>
      </c>
      <c r="AT620" s="216">
        <f t="shared" si="2032"/>
        <v>107.8</v>
      </c>
      <c r="AU620" s="222">
        <f t="shared" si="1982"/>
        <v>25.799999999999997</v>
      </c>
      <c r="AV620" s="220"/>
      <c r="AW620" s="220">
        <f t="shared" si="2033"/>
        <v>25.799999999999997</v>
      </c>
      <c r="AX620" s="216">
        <f t="shared" si="2020"/>
        <v>0</v>
      </c>
      <c r="AY620" s="220">
        <f t="shared" si="2034"/>
        <v>0</v>
      </c>
      <c r="AZ620" s="220">
        <f t="shared" si="2035"/>
        <v>0</v>
      </c>
      <c r="BA620" s="220">
        <f t="shared" si="2036"/>
        <v>28</v>
      </c>
      <c r="BB620" s="220">
        <f t="shared" si="2037"/>
        <v>0</v>
      </c>
      <c r="BC620" s="220">
        <f t="shared" si="2038"/>
        <v>0</v>
      </c>
      <c r="BD620" s="216">
        <f t="shared" si="1987"/>
        <v>28</v>
      </c>
      <c r="BE620" s="220">
        <f t="shared" si="2039"/>
        <v>0</v>
      </c>
      <c r="BF620" s="220">
        <f t="shared" si="2040"/>
        <v>0</v>
      </c>
      <c r="BG620" s="220">
        <f t="shared" si="2041"/>
        <v>0</v>
      </c>
      <c r="BH620" s="220">
        <f t="shared" si="2042"/>
        <v>0</v>
      </c>
      <c r="BI620" s="220">
        <f t="shared" si="2043"/>
        <v>0</v>
      </c>
      <c r="BJ620" s="220" t="s">
        <v>1921</v>
      </c>
      <c r="BK620" s="220"/>
      <c r="BL620" s="223">
        <f t="shared" si="2005"/>
        <v>25.799999999999997</v>
      </c>
      <c r="BM620" s="220">
        <v>3</v>
      </c>
      <c r="BN620" s="220"/>
      <c r="BO620" s="220">
        <f t="shared" si="2001"/>
        <v>3</v>
      </c>
      <c r="BP620" s="220">
        <f>IF(AND(BL620&gt;0,BL620&lt;tiet!$D$1),BL620,IF(BL620&lt;=0,0,IF(BL620&gt;tiet!$C$1,tiet!$C$1)))</f>
        <v>25.799999999999997</v>
      </c>
      <c r="BQ620" s="87">
        <f t="shared" si="1903"/>
        <v>60000</v>
      </c>
      <c r="BR620" s="224">
        <f t="shared" si="1904"/>
        <v>1548000</v>
      </c>
      <c r="BS620" s="220">
        <f t="shared" si="1933"/>
        <v>0</v>
      </c>
      <c r="BT620" s="224">
        <f>VLOOKUP(N620,ma_dinhmuc!$A$1:$J$31,10,0)</f>
        <v>51000</v>
      </c>
      <c r="BU620" s="224">
        <f>ROUND(IF(BS620&gt;0,VLOOKUP(N620,ma_dinhmuc!$A$1:$J$31,10,0)*BS620,0),0)</f>
        <v>0</v>
      </c>
      <c r="BV620" s="224">
        <f t="shared" si="1905"/>
        <v>1548000</v>
      </c>
      <c r="BW620" s="224"/>
      <c r="BX620" s="224">
        <v>2522000</v>
      </c>
      <c r="BY620" s="224"/>
      <c r="BZ620" s="224"/>
      <c r="CA620" s="224"/>
      <c r="CB620" s="224"/>
      <c r="CC620" s="225">
        <f t="shared" si="1968"/>
        <v>0</v>
      </c>
      <c r="CD620" s="224">
        <f t="shared" si="1969"/>
        <v>974000</v>
      </c>
      <c r="CE620" s="224"/>
      <c r="CF620" s="226"/>
      <c r="CG620" s="87"/>
      <c r="CH620" s="87">
        <f t="shared" si="2012"/>
        <v>11</v>
      </c>
      <c r="CI620" s="227" t="str">
        <f t="shared" si="2013"/>
        <v>Nguyễn Thị Thùy</v>
      </c>
      <c r="CJ620" s="227" t="str">
        <f t="shared" si="2014"/>
        <v>Linh</v>
      </c>
      <c r="CK620" s="87">
        <f t="shared" si="2015"/>
        <v>12</v>
      </c>
      <c r="CL620" s="227" t="str">
        <f t="shared" si="1989"/>
        <v>CNSH học thực vật</v>
      </c>
      <c r="CM620" s="87" t="str">
        <f t="shared" si="2044"/>
        <v>CS2</v>
      </c>
      <c r="CN620" s="87">
        <f t="shared" si="2054"/>
        <v>270</v>
      </c>
      <c r="CO620" s="87">
        <f t="shared" si="2054"/>
        <v>100</v>
      </c>
      <c r="CP620" s="229">
        <f t="shared" si="1943"/>
        <v>0</v>
      </c>
      <c r="CQ620" s="229">
        <f t="shared" si="1944"/>
        <v>12.3</v>
      </c>
      <c r="CR620" s="229">
        <f t="shared" si="1945"/>
        <v>0</v>
      </c>
      <c r="CS620" s="229">
        <f t="shared" si="1946"/>
        <v>0</v>
      </c>
      <c r="CT620" s="229">
        <f t="shared" si="1947"/>
        <v>0</v>
      </c>
      <c r="CU620" s="229">
        <f t="shared" si="1948"/>
        <v>0</v>
      </c>
      <c r="CV620" s="229">
        <f t="shared" si="1949"/>
        <v>0</v>
      </c>
      <c r="CW620" s="229">
        <f t="shared" si="1950"/>
        <v>67.5</v>
      </c>
      <c r="CX620" s="229">
        <f t="shared" si="1951"/>
        <v>0</v>
      </c>
      <c r="CY620" s="229">
        <f t="shared" si="1952"/>
        <v>0</v>
      </c>
      <c r="CZ620" s="229">
        <f t="shared" si="1953"/>
        <v>0</v>
      </c>
      <c r="DA620" s="229">
        <f t="shared" si="1954"/>
        <v>28</v>
      </c>
      <c r="DB620" s="228">
        <f t="shared" si="2045"/>
        <v>107.8</v>
      </c>
      <c r="DC620" s="229"/>
      <c r="DD620" s="229"/>
      <c r="DE620" s="229"/>
      <c r="DF620" s="229"/>
      <c r="DG620" s="229"/>
      <c r="DH620" s="229"/>
      <c r="DI620" s="229"/>
      <c r="DJ620" s="229"/>
      <c r="DK620" s="229"/>
      <c r="DL620" s="229"/>
      <c r="DM620" s="229"/>
      <c r="DN620" s="229"/>
      <c r="DO620" s="228">
        <f t="shared" si="2046"/>
        <v>0</v>
      </c>
      <c r="DP620" s="228">
        <f t="shared" si="2047"/>
        <v>107.8</v>
      </c>
      <c r="DQ620" s="229">
        <f t="shared" si="1955"/>
        <v>0</v>
      </c>
      <c r="DR620" s="229">
        <f t="shared" si="1956"/>
        <v>0</v>
      </c>
      <c r="DS620" s="229">
        <f t="shared" si="1957"/>
        <v>0</v>
      </c>
      <c r="DT620" s="229">
        <f t="shared" si="1958"/>
        <v>0</v>
      </c>
      <c r="DU620" s="229">
        <f t="shared" si="1959"/>
        <v>0</v>
      </c>
      <c r="DV620" s="229">
        <f t="shared" si="1960"/>
        <v>0</v>
      </c>
      <c r="DW620" s="229">
        <f t="shared" si="1961"/>
        <v>0</v>
      </c>
      <c r="DX620" s="228">
        <f t="shared" si="2048"/>
        <v>0</v>
      </c>
      <c r="DY620" s="229"/>
      <c r="DZ620" s="229"/>
      <c r="EA620" s="229"/>
      <c r="EB620" s="229"/>
      <c r="EC620" s="229"/>
      <c r="ED620" s="229"/>
      <c r="EE620" s="229"/>
      <c r="EF620" s="228">
        <f t="shared" si="1939"/>
        <v>0</v>
      </c>
      <c r="EG620" s="228">
        <f t="shared" si="2049"/>
        <v>0</v>
      </c>
      <c r="EH620" s="229">
        <f t="shared" si="1940"/>
        <v>82.99</v>
      </c>
      <c r="EI620" s="229">
        <v>50.81</v>
      </c>
      <c r="EJ620" s="228">
        <f t="shared" si="2055"/>
        <v>133.80000000000001</v>
      </c>
      <c r="EK620" s="229"/>
      <c r="EL620" s="229"/>
      <c r="EM620" s="228">
        <f t="shared" si="1994"/>
        <v>0</v>
      </c>
      <c r="EN620" s="229">
        <f t="shared" si="1894"/>
        <v>82.99</v>
      </c>
      <c r="EO620" s="229">
        <f t="shared" si="1983"/>
        <v>50.81</v>
      </c>
      <c r="EP620" s="228">
        <f t="shared" si="2052"/>
        <v>133.80000000000001</v>
      </c>
      <c r="EQ620" s="173">
        <f t="shared" si="1934"/>
        <v>57.989999999999995</v>
      </c>
      <c r="ER620" s="189">
        <v>0</v>
      </c>
      <c r="ES620" s="189">
        <v>12.3</v>
      </c>
      <c r="ET620" s="189">
        <v>0</v>
      </c>
      <c r="EU620" s="189">
        <v>0</v>
      </c>
      <c r="EV620" s="189">
        <v>0</v>
      </c>
      <c r="EW620" s="189">
        <v>0</v>
      </c>
      <c r="EX620" s="189">
        <v>0</v>
      </c>
      <c r="EY620" s="189">
        <v>67.5</v>
      </c>
      <c r="EZ620" s="189">
        <v>0</v>
      </c>
      <c r="FA620" s="189">
        <v>0</v>
      </c>
      <c r="FB620" s="189">
        <v>0</v>
      </c>
      <c r="FC620" s="189">
        <v>28</v>
      </c>
      <c r="FD620" s="189">
        <v>0</v>
      </c>
      <c r="FE620" s="189">
        <v>0</v>
      </c>
      <c r="FF620" s="189">
        <v>0</v>
      </c>
      <c r="FG620" s="189">
        <v>0</v>
      </c>
      <c r="FH620" s="189">
        <v>0</v>
      </c>
      <c r="FI620" s="189">
        <v>0</v>
      </c>
      <c r="FJ620" s="189">
        <v>0</v>
      </c>
      <c r="FK620" s="189">
        <v>107.8</v>
      </c>
      <c r="FL620" s="189">
        <v>60</v>
      </c>
      <c r="FN620" s="132">
        <v>82.99</v>
      </c>
    </row>
    <row r="621" spans="1:170" ht="30" customHeight="1">
      <c r="A621" s="88">
        <f>COUNTIF($H$12:H621,H621)</f>
        <v>12</v>
      </c>
      <c r="B621" s="88" t="s">
        <v>2170</v>
      </c>
      <c r="C621" s="88" t="s">
        <v>1388</v>
      </c>
      <c r="D621" s="88" t="s">
        <v>623</v>
      </c>
      <c r="E621" s="88"/>
      <c r="F621" s="301" t="s">
        <v>279</v>
      </c>
      <c r="G621" s="89" t="s">
        <v>14</v>
      </c>
      <c r="H621" s="88">
        <v>12</v>
      </c>
      <c r="I621" s="88">
        <v>12</v>
      </c>
      <c r="J621" s="88">
        <v>12</v>
      </c>
      <c r="K621" s="90" t="s">
        <v>2847</v>
      </c>
      <c r="L621" s="90" t="s">
        <v>2847</v>
      </c>
      <c r="M621" s="214"/>
      <c r="N621" s="88" t="s">
        <v>1804</v>
      </c>
      <c r="O621" s="216">
        <f t="shared" si="2050"/>
        <v>3.33</v>
      </c>
      <c r="P621" s="88" t="str">
        <f t="shared" si="2009"/>
        <v>B1_4</v>
      </c>
      <c r="Q621" s="88">
        <f t="shared" si="1935"/>
        <v>270</v>
      </c>
      <c r="R621" s="88">
        <f t="shared" si="1936"/>
        <v>120</v>
      </c>
      <c r="S621" s="218" t="s">
        <v>2004</v>
      </c>
      <c r="T621" s="219" t="s">
        <v>3090</v>
      </c>
      <c r="U621" s="88">
        <f>IF(RIGHT(T621,1)="K",(VLOOKUP(T621,ma_miengiam!$A$3:$B$80,2,0)*100)/2,VLOOKUP(T621,ma_miengiam!$A$3:$B$80,2,0)*100)</f>
        <v>15</v>
      </c>
      <c r="V621" s="88"/>
      <c r="W621" s="220">
        <f>IF(AND(T621="NTS",V621&gt;0),(Q621-(Q621*V621)/12)*VLOOKUP(T621,ma_miengiam!$A$3:$B$80,2,0)+(Q621-(Q621*(12-V621))/12),IF(AND(RIGHT(T621,1)="K",V621&gt;0),(VLOOKUP(T621,ma_miengiam!$A$3:$B$80,2,0)/2)*(Q621*V621)/12,IF(RIGHT(T621,1)="K",(VLOOKUP(T621,ma_miengiam!$A$3:$B$80,2,0)*Q621)/2,IF(V621&gt;0,VLOOKUP(T621,ma_miengiam!$A$3:$B$80,2,0)*Q621*V621/12,VLOOKUP(T621,ma_miengiam!$A$3:$B$80,2,0)*Q621))))</f>
        <v>40.5</v>
      </c>
      <c r="X621" s="220">
        <f>IF(T621="NTS",VLOOKUP(T621,ma_miengiam!$A$3:$B$80,2,0)*R621*V621,IF(AND(T621="NTS",V621=0),0,IF(AND(LEFT(T621,1)="K",V621=0),VLOOKUP(T621,ma_miengiam!$A$3:$B$80,2,0)*R621,IF(LEFT(T621,1)="K",(VLOOKUP(T621,ma_miengiam!$A$3:$B$80,2,0)*R621/12)*V621,IF(AND(LEFT(T621,1)="S",V621&gt;0),(R621/12)*V621,IF(AND(LEFT(T621,1)="S",V621=0),R621,IF(T621="DH",VLOOKUP(T621,ma_miengiam!$A$3:$B$80,2,0)*R621,0)))))))</f>
        <v>0</v>
      </c>
      <c r="Y621" s="220">
        <f t="shared" si="1963"/>
        <v>229.5</v>
      </c>
      <c r="Z621" s="220">
        <f>IF(AND(T621="SĐH",V621&gt;0),(R621/12)*V621-X621,IF(AND(T621="DH",V621&gt;0),(R621*V621/12),IF(AND(T621&lt;&gt;"NTS",V621&gt;0),(R621*V621/12)-X621,IF(AND(T621="NTS",V621&gt;0),R621-X621,R621-X621))))</f>
        <v>120</v>
      </c>
      <c r="AA621" s="220">
        <f>Q621</f>
        <v>270</v>
      </c>
      <c r="AB621" s="220">
        <f>R621</f>
        <v>120</v>
      </c>
      <c r="AC621" s="220">
        <f>W621</f>
        <v>40.5</v>
      </c>
      <c r="AD621" s="220">
        <f>X621</f>
        <v>0</v>
      </c>
      <c r="AE621" s="220">
        <f>Y621</f>
        <v>229.5</v>
      </c>
      <c r="AF621" s="220">
        <f>Z621</f>
        <v>120</v>
      </c>
      <c r="AG621" s="220">
        <f>AH621+AI621</f>
        <v>254.79999999999998</v>
      </c>
      <c r="AH621" s="220">
        <f>EO621</f>
        <v>3.48</v>
      </c>
      <c r="AI621" s="220">
        <f>EN621</f>
        <v>251.32</v>
      </c>
      <c r="AJ621" s="220">
        <f>IF(AG621-Z621&gt;0,0,AG621-Z621)</f>
        <v>0</v>
      </c>
      <c r="AK621" s="216">
        <f t="shared" si="2051"/>
        <v>229.5</v>
      </c>
      <c r="AL621" s="220">
        <f t="shared" si="2024"/>
        <v>250.20000000000002</v>
      </c>
      <c r="AM621" s="220">
        <f t="shared" si="2025"/>
        <v>0</v>
      </c>
      <c r="AN621" s="221">
        <f t="shared" si="2026"/>
        <v>250.20000000000002</v>
      </c>
      <c r="AO621" s="220">
        <f t="shared" si="2027"/>
        <v>0</v>
      </c>
      <c r="AP621" s="220">
        <f t="shared" si="2028"/>
        <v>0</v>
      </c>
      <c r="AQ621" s="220">
        <f t="shared" si="2029"/>
        <v>152</v>
      </c>
      <c r="AR621" s="220">
        <f t="shared" si="2030"/>
        <v>28</v>
      </c>
      <c r="AS621" s="220">
        <f t="shared" si="2031"/>
        <v>0</v>
      </c>
      <c r="AT621" s="216">
        <f t="shared" si="2032"/>
        <v>430.20000000000005</v>
      </c>
      <c r="AU621" s="222">
        <f t="shared" si="1982"/>
        <v>20.700000000000017</v>
      </c>
      <c r="AV621" s="220"/>
      <c r="AW621" s="220">
        <f t="shared" si="2033"/>
        <v>20.700000000000017</v>
      </c>
      <c r="AX621" s="216">
        <f t="shared" si="2020"/>
        <v>0</v>
      </c>
      <c r="AY621" s="220">
        <f t="shared" si="2034"/>
        <v>0</v>
      </c>
      <c r="AZ621" s="220">
        <f t="shared" si="2035"/>
        <v>0</v>
      </c>
      <c r="BA621" s="220">
        <f t="shared" si="2036"/>
        <v>152</v>
      </c>
      <c r="BB621" s="220">
        <f t="shared" si="2037"/>
        <v>28</v>
      </c>
      <c r="BC621" s="220">
        <f t="shared" si="2038"/>
        <v>0</v>
      </c>
      <c r="BD621" s="216">
        <f t="shared" si="1987"/>
        <v>180</v>
      </c>
      <c r="BE621" s="220">
        <f t="shared" si="2039"/>
        <v>0</v>
      </c>
      <c r="BF621" s="220">
        <f t="shared" si="2040"/>
        <v>0</v>
      </c>
      <c r="BG621" s="220">
        <f t="shared" si="2041"/>
        <v>0</v>
      </c>
      <c r="BH621" s="220">
        <f t="shared" si="2042"/>
        <v>0</v>
      </c>
      <c r="BI621" s="220">
        <f t="shared" si="2043"/>
        <v>0</v>
      </c>
      <c r="BJ621" s="220" t="s">
        <v>1921</v>
      </c>
      <c r="BK621" s="220"/>
      <c r="BL621" s="223">
        <f t="shared" si="2005"/>
        <v>20.700000000000017</v>
      </c>
      <c r="BM621" s="220">
        <v>3.33</v>
      </c>
      <c r="BN621" s="220"/>
      <c r="BO621" s="220">
        <f>ROUND(BM621+(BM621*BN621),2)</f>
        <v>3.33</v>
      </c>
      <c r="BP621" s="220">
        <f>IF(AND(BL621&gt;0,BL621&lt;tiet!$D$1),BL621,IF(BL621&lt;=0,0,IF(BL621&gt;tiet!$C$1,tiet!$C$1)))</f>
        <v>20.700000000000017</v>
      </c>
      <c r="BQ621" s="87">
        <f>VLOOKUP(P621,ma_dinhmuc_moi,4,0)</f>
        <v>65000</v>
      </c>
      <c r="BR621" s="224">
        <f>ROUND(BQ621*BP621,0)</f>
        <v>1345500</v>
      </c>
      <c r="BS621" s="220">
        <f t="shared" si="1933"/>
        <v>0</v>
      </c>
      <c r="BT621" s="224">
        <f>VLOOKUP(N621,ma_dinhmuc!$A$1:$J$31,10,0)</f>
        <v>51000</v>
      </c>
      <c r="BU621" s="224">
        <f>ROUND(IF(BS621&gt;0,VLOOKUP(N621,ma_dinhmuc!$A$1:$J$31,10,0)*BS621,0),0)</f>
        <v>0</v>
      </c>
      <c r="BV621" s="224">
        <f>ROUND(BU621+BR621,0)</f>
        <v>1345500</v>
      </c>
      <c r="BW621" s="224"/>
      <c r="BX621" s="224">
        <v>0</v>
      </c>
      <c r="BY621" s="224"/>
      <c r="BZ621" s="224"/>
      <c r="CA621" s="224"/>
      <c r="CB621" s="224"/>
      <c r="CC621" s="225">
        <f t="shared" si="1968"/>
        <v>1345500</v>
      </c>
      <c r="CD621" s="224">
        <f t="shared" si="1969"/>
        <v>0</v>
      </c>
      <c r="CE621" s="224"/>
      <c r="CF621" s="226"/>
      <c r="CG621" s="87"/>
      <c r="CH621" s="87">
        <f>A621</f>
        <v>12</v>
      </c>
      <c r="CI621" s="227" t="str">
        <f>F621</f>
        <v>Đinh Trường</v>
      </c>
      <c r="CJ621" s="227" t="str">
        <f>G621</f>
        <v>Sơn</v>
      </c>
      <c r="CK621" s="87">
        <f>H621</f>
        <v>12</v>
      </c>
      <c r="CL621" s="227" t="str">
        <f t="shared" si="1989"/>
        <v>CNSH học thực vật</v>
      </c>
      <c r="CM621" s="87" t="str">
        <f t="shared" si="2044"/>
        <v>CS2</v>
      </c>
      <c r="CN621" s="87">
        <f t="shared" si="2054"/>
        <v>270</v>
      </c>
      <c r="CO621" s="87">
        <f t="shared" si="2054"/>
        <v>120</v>
      </c>
      <c r="CP621" s="229">
        <f t="shared" si="1943"/>
        <v>0</v>
      </c>
      <c r="CQ621" s="229">
        <f t="shared" si="1944"/>
        <v>14.6</v>
      </c>
      <c r="CR621" s="229">
        <f t="shared" si="1945"/>
        <v>4</v>
      </c>
      <c r="CS621" s="229">
        <f t="shared" si="1946"/>
        <v>42.3</v>
      </c>
      <c r="CT621" s="229">
        <f t="shared" si="1947"/>
        <v>0</v>
      </c>
      <c r="CU621" s="229">
        <f t="shared" si="1948"/>
        <v>151.80000000000001</v>
      </c>
      <c r="CV621" s="229">
        <f t="shared" si="1949"/>
        <v>0</v>
      </c>
      <c r="CW621" s="229">
        <f t="shared" si="1950"/>
        <v>37.5</v>
      </c>
      <c r="CX621" s="229">
        <f t="shared" si="1951"/>
        <v>0</v>
      </c>
      <c r="CY621" s="229">
        <f t="shared" si="1952"/>
        <v>0</v>
      </c>
      <c r="CZ621" s="229">
        <f t="shared" si="1953"/>
        <v>0</v>
      </c>
      <c r="DA621" s="229">
        <f t="shared" si="1954"/>
        <v>152</v>
      </c>
      <c r="DB621" s="228">
        <f t="shared" si="2045"/>
        <v>402.20000000000005</v>
      </c>
      <c r="DC621" s="229"/>
      <c r="DD621" s="229"/>
      <c r="DE621" s="229"/>
      <c r="DF621" s="229"/>
      <c r="DG621" s="229"/>
      <c r="DH621" s="229"/>
      <c r="DI621" s="229"/>
      <c r="DJ621" s="229"/>
      <c r="DK621" s="229"/>
      <c r="DL621" s="229"/>
      <c r="DM621" s="229"/>
      <c r="DN621" s="229"/>
      <c r="DO621" s="228">
        <f t="shared" si="2046"/>
        <v>0</v>
      </c>
      <c r="DP621" s="228">
        <f t="shared" si="2047"/>
        <v>402.20000000000005</v>
      </c>
      <c r="DQ621" s="229">
        <f t="shared" si="1955"/>
        <v>0</v>
      </c>
      <c r="DR621" s="229">
        <f t="shared" si="1956"/>
        <v>0</v>
      </c>
      <c r="DS621" s="229">
        <f t="shared" si="1957"/>
        <v>0</v>
      </c>
      <c r="DT621" s="229">
        <f t="shared" si="1958"/>
        <v>0</v>
      </c>
      <c r="DU621" s="229">
        <f t="shared" si="1959"/>
        <v>0</v>
      </c>
      <c r="DV621" s="229">
        <f t="shared" si="1960"/>
        <v>28</v>
      </c>
      <c r="DW621" s="229">
        <f t="shared" si="1961"/>
        <v>0</v>
      </c>
      <c r="DX621" s="228">
        <f t="shared" si="2048"/>
        <v>28</v>
      </c>
      <c r="DY621" s="229"/>
      <c r="DZ621" s="229"/>
      <c r="EA621" s="229"/>
      <c r="EB621" s="229"/>
      <c r="EC621" s="229"/>
      <c r="ED621" s="229"/>
      <c r="EE621" s="229"/>
      <c r="EF621" s="228">
        <f t="shared" si="1939"/>
        <v>0</v>
      </c>
      <c r="EG621" s="228">
        <f t="shared" si="2049"/>
        <v>28</v>
      </c>
      <c r="EH621" s="229">
        <f t="shared" si="1940"/>
        <v>251.32</v>
      </c>
      <c r="EI621" s="229">
        <v>3.48</v>
      </c>
      <c r="EJ621" s="228">
        <f>SUM(EH621:EI621)</f>
        <v>254.79999999999998</v>
      </c>
      <c r="EK621" s="229"/>
      <c r="EL621" s="229"/>
      <c r="EM621" s="228">
        <f t="shared" si="1994"/>
        <v>0</v>
      </c>
      <c r="EN621" s="229">
        <f t="shared" si="1894"/>
        <v>251.32</v>
      </c>
      <c r="EO621" s="229">
        <f t="shared" si="1983"/>
        <v>3.48</v>
      </c>
      <c r="EP621" s="228">
        <f>EM621+EJ621</f>
        <v>254.79999999999998</v>
      </c>
      <c r="EQ621" s="173">
        <f t="shared" si="1934"/>
        <v>131.32</v>
      </c>
      <c r="ER621" s="189">
        <v>0</v>
      </c>
      <c r="ES621" s="189">
        <v>14.6</v>
      </c>
      <c r="ET621" s="189">
        <v>4</v>
      </c>
      <c r="EU621" s="189">
        <v>42.3</v>
      </c>
      <c r="EV621" s="189">
        <v>0</v>
      </c>
      <c r="EW621" s="189">
        <v>151.80000000000001</v>
      </c>
      <c r="EX621" s="189">
        <v>0</v>
      </c>
      <c r="EY621" s="189">
        <v>37.5</v>
      </c>
      <c r="EZ621" s="189">
        <v>0</v>
      </c>
      <c r="FA621" s="189">
        <v>0</v>
      </c>
      <c r="FB621" s="189">
        <v>0</v>
      </c>
      <c r="FC621" s="189">
        <v>152</v>
      </c>
      <c r="FD621" s="189">
        <v>0</v>
      </c>
      <c r="FE621" s="189">
        <v>0</v>
      </c>
      <c r="FF621" s="189">
        <v>0</v>
      </c>
      <c r="FG621" s="189">
        <v>0</v>
      </c>
      <c r="FH621" s="189">
        <v>28</v>
      </c>
      <c r="FI621" s="189">
        <v>0</v>
      </c>
      <c r="FJ621" s="189">
        <v>0</v>
      </c>
      <c r="FK621" s="189">
        <v>430.2</v>
      </c>
      <c r="FL621" s="189">
        <v>407.3</v>
      </c>
      <c r="FN621" s="132">
        <v>251.32</v>
      </c>
    </row>
    <row r="622" spans="1:170" ht="30.75" customHeight="1">
      <c r="A622" s="88">
        <f>COUNTIF($H$12:H622,H622)</f>
        <v>13</v>
      </c>
      <c r="B622" s="88" t="s">
        <v>2171</v>
      </c>
      <c r="C622" s="88" t="s">
        <v>1390</v>
      </c>
      <c r="D622" s="88"/>
      <c r="E622" s="88"/>
      <c r="F622" s="301" t="s">
        <v>1584</v>
      </c>
      <c r="G622" s="89" t="s">
        <v>1573</v>
      </c>
      <c r="H622" s="88">
        <v>12</v>
      </c>
      <c r="I622" s="88">
        <v>12</v>
      </c>
      <c r="J622" s="88">
        <v>12</v>
      </c>
      <c r="K622" s="90" t="s">
        <v>2848</v>
      </c>
      <c r="L622" s="90" t="s">
        <v>2848</v>
      </c>
      <c r="M622" s="214"/>
      <c r="N622" s="88" t="s">
        <v>1804</v>
      </c>
      <c r="O622" s="216">
        <f t="shared" si="2050"/>
        <v>5.28</v>
      </c>
      <c r="P622" s="88" t="str">
        <f t="shared" si="2009"/>
        <v>B1_5</v>
      </c>
      <c r="Q622" s="88">
        <f t="shared" si="1935"/>
        <v>270</v>
      </c>
      <c r="R622" s="88">
        <f t="shared" si="1936"/>
        <v>150</v>
      </c>
      <c r="S622" s="230" t="s">
        <v>2031</v>
      </c>
      <c r="T622" s="88" t="s">
        <v>3091</v>
      </c>
      <c r="U622" s="88">
        <f>IF(RIGHT(T622,1)="K",(VLOOKUP(T622,ma_miengiam!$A$3:$B$80,2,0)*100)/2,VLOOKUP(T622,ma_miengiam!$A$3:$B$80,2,0)*100)</f>
        <v>20</v>
      </c>
      <c r="V622" s="88"/>
      <c r="W622" s="220">
        <f>IF(AND(T622="NTS",V622&gt;0),(Q622-(Q622*V622)/12)*VLOOKUP(T622,ma_miengiam!$A$3:$B$80,2,0)+(Q622-(Q622*(12-V622))/12),IF(AND(RIGHT(T622,1)="K",V622&gt;0),(VLOOKUP(T622,ma_miengiam!$A$3:$B$80,2,0)/2)*(Q622*V622)/12,IF(RIGHT(T622,1)="K",(VLOOKUP(T622,ma_miengiam!$A$3:$B$80,2,0)*Q622)/2,IF(V622&gt;0,VLOOKUP(T622,ma_miengiam!$A$3:$B$80,2,0)*Q622*V622/12,VLOOKUP(T622,ma_miengiam!$A$3:$B$80,2,0)*Q622))))</f>
        <v>54</v>
      </c>
      <c r="X622" s="220">
        <f>IF(T622="NTS",VLOOKUP(T622,ma_miengiam!$A$3:$B$80,2,0)*R622*V622,IF(AND(T622="NTS",V622=0),0,IF(AND(LEFT(T622,1)="K",V622=0),VLOOKUP(T622,ma_miengiam!$A$3:$B$80,2,0)*R622,IF(LEFT(T622,1)="K",(VLOOKUP(T622,ma_miengiam!$A$3:$B$80,2,0)*R622/12)*V622,IF(AND(LEFT(T622,1)="S",V622&gt;0),(R622/12)*V622,IF(AND(LEFT(T622,1)="S",V622=0),R622,IF(T622="DH",VLOOKUP(T622,ma_miengiam!$A$3:$B$80,2,0)*R622,0)))))))</f>
        <v>0</v>
      </c>
      <c r="Y622" s="220">
        <f t="shared" si="1963"/>
        <v>216</v>
      </c>
      <c r="Z622" s="220">
        <f t="shared" ref="Z622:Z678" si="2065">IF(AND(T622="SĐH",V622&gt;0),(R622/12)*V622-X622,IF(AND(T622="DH",V622&gt;0),(R622*V622/12),IF(AND(T622&lt;&gt;"NTS",V622&gt;0),(R622*V622/12)-X622,IF(AND(T622="NTS",V622&gt;0),R622-X622,R622-X622))))</f>
        <v>150</v>
      </c>
      <c r="AA622" s="220">
        <f t="shared" si="2056"/>
        <v>270</v>
      </c>
      <c r="AB622" s="220">
        <f t="shared" si="2057"/>
        <v>150</v>
      </c>
      <c r="AC622" s="220">
        <f t="shared" si="2058"/>
        <v>54</v>
      </c>
      <c r="AD622" s="220">
        <f t="shared" si="2059"/>
        <v>0</v>
      </c>
      <c r="AE622" s="220">
        <f t="shared" si="2060"/>
        <v>216</v>
      </c>
      <c r="AF622" s="220">
        <f t="shared" si="2061"/>
        <v>150</v>
      </c>
      <c r="AG622" s="220">
        <f t="shared" si="2062"/>
        <v>73.58</v>
      </c>
      <c r="AH622" s="220">
        <f t="shared" si="2063"/>
        <v>0</v>
      </c>
      <c r="AI622" s="220">
        <f t="shared" si="2064"/>
        <v>73.58</v>
      </c>
      <c r="AJ622" s="220">
        <f t="shared" si="1902"/>
        <v>-76.42</v>
      </c>
      <c r="AK622" s="216">
        <f t="shared" si="2051"/>
        <v>292.42</v>
      </c>
      <c r="AL622" s="220">
        <f t="shared" si="2024"/>
        <v>497.8</v>
      </c>
      <c r="AM622" s="220">
        <f t="shared" si="2025"/>
        <v>56.8</v>
      </c>
      <c r="AN622" s="221">
        <f t="shared" si="2026"/>
        <v>554.6</v>
      </c>
      <c r="AO622" s="220">
        <f t="shared" si="2027"/>
        <v>0</v>
      </c>
      <c r="AP622" s="220">
        <f t="shared" si="2028"/>
        <v>0</v>
      </c>
      <c r="AQ622" s="220">
        <f t="shared" si="2029"/>
        <v>98</v>
      </c>
      <c r="AR622" s="220">
        <f t="shared" si="2030"/>
        <v>28</v>
      </c>
      <c r="AS622" s="220">
        <f t="shared" si="2031"/>
        <v>0</v>
      </c>
      <c r="AT622" s="216">
        <f t="shared" si="2032"/>
        <v>680.6</v>
      </c>
      <c r="AU622" s="222">
        <f t="shared" si="1982"/>
        <v>262.18</v>
      </c>
      <c r="AV622" s="220"/>
      <c r="AW622" s="220">
        <f t="shared" si="2033"/>
        <v>262.18</v>
      </c>
      <c r="AX622" s="216">
        <f t="shared" si="2020"/>
        <v>0</v>
      </c>
      <c r="AY622" s="220">
        <f t="shared" si="2034"/>
        <v>0</v>
      </c>
      <c r="AZ622" s="220">
        <f t="shared" si="2035"/>
        <v>0</v>
      </c>
      <c r="BA622" s="220">
        <f t="shared" si="2036"/>
        <v>98</v>
      </c>
      <c r="BB622" s="220">
        <f t="shared" si="2037"/>
        <v>28</v>
      </c>
      <c r="BC622" s="220">
        <f t="shared" si="2038"/>
        <v>0</v>
      </c>
      <c r="BD622" s="216">
        <f t="shared" si="1987"/>
        <v>126</v>
      </c>
      <c r="BE622" s="220">
        <f t="shared" si="2039"/>
        <v>0</v>
      </c>
      <c r="BF622" s="220">
        <f t="shared" si="2040"/>
        <v>0</v>
      </c>
      <c r="BG622" s="220">
        <f t="shared" si="2041"/>
        <v>0</v>
      </c>
      <c r="BH622" s="220">
        <f t="shared" si="2042"/>
        <v>0</v>
      </c>
      <c r="BI622" s="220">
        <f t="shared" si="2043"/>
        <v>0</v>
      </c>
      <c r="BJ622" s="220" t="s">
        <v>1959</v>
      </c>
      <c r="BK622" s="220"/>
      <c r="BL622" s="223">
        <f t="shared" si="2005"/>
        <v>262.18</v>
      </c>
      <c r="BM622" s="220">
        <v>4.9800000000000004</v>
      </c>
      <c r="BN622" s="220">
        <v>0.06</v>
      </c>
      <c r="BO622" s="220">
        <f t="shared" si="2001"/>
        <v>5.28</v>
      </c>
      <c r="BP622" s="220">
        <f>IF(AND(BL622&gt;0,BL622&lt;tiet!$D$1),BL622,IF(BL622&lt;=0,0,IF(BL622&gt;tiet!$C$1,tiet!$C$1)))</f>
        <v>200</v>
      </c>
      <c r="BQ622" s="87">
        <f t="shared" si="1903"/>
        <v>70000</v>
      </c>
      <c r="BR622" s="224">
        <f t="shared" si="1904"/>
        <v>14000000</v>
      </c>
      <c r="BS622" s="220">
        <f t="shared" si="1933"/>
        <v>62.180000000000007</v>
      </c>
      <c r="BT622" s="224">
        <f>VLOOKUP(N622,ma_dinhmuc!$A$1:$J$31,10,0)</f>
        <v>51000</v>
      </c>
      <c r="BU622" s="224">
        <f>ROUND(IF(BS622&gt;0,VLOOKUP(N622,ma_dinhmuc!$A$1:$J$31,10,0)*BS622,0),0)</f>
        <v>3171180</v>
      </c>
      <c r="BV622" s="224">
        <f t="shared" si="1905"/>
        <v>17171180</v>
      </c>
      <c r="BW622" s="224"/>
      <c r="BX622" s="224">
        <v>0</v>
      </c>
      <c r="BY622" s="224"/>
      <c r="BZ622" s="224"/>
      <c r="CA622" s="224"/>
      <c r="CB622" s="224"/>
      <c r="CC622" s="225">
        <f t="shared" si="1968"/>
        <v>17171180</v>
      </c>
      <c r="CD622" s="224">
        <f t="shared" si="1969"/>
        <v>0</v>
      </c>
      <c r="CE622" s="224"/>
      <c r="CF622" s="226"/>
      <c r="CG622" s="87"/>
      <c r="CH622" s="87">
        <f t="shared" si="2012"/>
        <v>13</v>
      </c>
      <c r="CI622" s="227" t="str">
        <f t="shared" si="2013"/>
        <v>Nguyễn Hữu</v>
      </c>
      <c r="CJ622" s="227" t="str">
        <f t="shared" si="2014"/>
        <v>Đức</v>
      </c>
      <c r="CK622" s="87">
        <f t="shared" si="2015"/>
        <v>12</v>
      </c>
      <c r="CL622" s="227" t="str">
        <f t="shared" si="1989"/>
        <v>CNSH động vật</v>
      </c>
      <c r="CM622" s="87" t="str">
        <f t="shared" si="2044"/>
        <v>CS2</v>
      </c>
      <c r="CN622" s="87">
        <f t="shared" ref="CN622:CO625" si="2066">Q622</f>
        <v>270</v>
      </c>
      <c r="CO622" s="87">
        <f t="shared" si="2066"/>
        <v>150</v>
      </c>
      <c r="CP622" s="229">
        <f t="shared" si="1943"/>
        <v>0</v>
      </c>
      <c r="CQ622" s="229">
        <f t="shared" si="1944"/>
        <v>58.6</v>
      </c>
      <c r="CR622" s="229">
        <f t="shared" si="1945"/>
        <v>23.4</v>
      </c>
      <c r="CS622" s="229">
        <f t="shared" si="1946"/>
        <v>0</v>
      </c>
      <c r="CT622" s="229">
        <f t="shared" si="1947"/>
        <v>0</v>
      </c>
      <c r="CU622" s="229">
        <f t="shared" si="1948"/>
        <v>415.8</v>
      </c>
      <c r="CV622" s="229">
        <f t="shared" si="1949"/>
        <v>0</v>
      </c>
      <c r="CW622" s="229">
        <f t="shared" si="1950"/>
        <v>0</v>
      </c>
      <c r="CX622" s="229">
        <f t="shared" si="1951"/>
        <v>0</v>
      </c>
      <c r="CY622" s="229">
        <f t="shared" si="1952"/>
        <v>0</v>
      </c>
      <c r="CZ622" s="229">
        <f t="shared" si="1953"/>
        <v>0</v>
      </c>
      <c r="DA622" s="229">
        <f t="shared" si="1954"/>
        <v>98</v>
      </c>
      <c r="DB622" s="228">
        <f t="shared" si="2045"/>
        <v>595.79999999999995</v>
      </c>
      <c r="DC622" s="229"/>
      <c r="DD622" s="229"/>
      <c r="DE622" s="229"/>
      <c r="DF622" s="229"/>
      <c r="DG622" s="229"/>
      <c r="DH622" s="229"/>
      <c r="DI622" s="229"/>
      <c r="DJ622" s="229"/>
      <c r="DK622" s="229"/>
      <c r="DL622" s="229"/>
      <c r="DM622" s="229"/>
      <c r="DN622" s="229"/>
      <c r="DO622" s="228">
        <f t="shared" si="2046"/>
        <v>0</v>
      </c>
      <c r="DP622" s="228">
        <f t="shared" si="2047"/>
        <v>595.79999999999995</v>
      </c>
      <c r="DQ622" s="229">
        <f t="shared" si="1955"/>
        <v>54</v>
      </c>
      <c r="DR622" s="229">
        <f t="shared" si="1956"/>
        <v>2</v>
      </c>
      <c r="DS622" s="229">
        <f t="shared" si="1957"/>
        <v>0</v>
      </c>
      <c r="DT622" s="229">
        <f t="shared" si="1958"/>
        <v>0.8</v>
      </c>
      <c r="DU622" s="229">
        <f t="shared" si="1959"/>
        <v>0</v>
      </c>
      <c r="DV622" s="229">
        <f t="shared" si="1960"/>
        <v>28</v>
      </c>
      <c r="DW622" s="229">
        <f t="shared" si="1961"/>
        <v>0</v>
      </c>
      <c r="DX622" s="228">
        <f t="shared" si="2048"/>
        <v>84.8</v>
      </c>
      <c r="DY622" s="229"/>
      <c r="DZ622" s="229"/>
      <c r="EA622" s="229"/>
      <c r="EB622" s="229"/>
      <c r="EC622" s="229"/>
      <c r="ED622" s="229"/>
      <c r="EE622" s="229"/>
      <c r="EF622" s="228">
        <f t="shared" si="1939"/>
        <v>0</v>
      </c>
      <c r="EG622" s="228">
        <f t="shared" si="2049"/>
        <v>84.8</v>
      </c>
      <c r="EH622" s="229">
        <f t="shared" si="1940"/>
        <v>73.58</v>
      </c>
      <c r="EI622" s="229">
        <v>0</v>
      </c>
      <c r="EJ622" s="228">
        <f t="shared" si="2055"/>
        <v>73.58</v>
      </c>
      <c r="EK622" s="229"/>
      <c r="EL622" s="229"/>
      <c r="EM622" s="228">
        <f t="shared" si="1994"/>
        <v>0</v>
      </c>
      <c r="EN622" s="229">
        <f t="shared" si="1894"/>
        <v>73.58</v>
      </c>
      <c r="EO622" s="229">
        <f t="shared" si="1983"/>
        <v>0</v>
      </c>
      <c r="EP622" s="228">
        <f t="shared" si="2052"/>
        <v>73.58</v>
      </c>
      <c r="EQ622" s="173">
        <f t="shared" si="1934"/>
        <v>0</v>
      </c>
      <c r="ER622" s="189">
        <v>0</v>
      </c>
      <c r="ES622" s="189">
        <v>58.6</v>
      </c>
      <c r="ET622" s="189">
        <v>23.4</v>
      </c>
      <c r="EU622" s="189">
        <v>0</v>
      </c>
      <c r="EV622" s="189">
        <v>0</v>
      </c>
      <c r="EW622" s="189">
        <v>415.8</v>
      </c>
      <c r="EX622" s="189">
        <v>0</v>
      </c>
      <c r="EY622" s="189">
        <v>0</v>
      </c>
      <c r="EZ622" s="189">
        <v>0</v>
      </c>
      <c r="FA622" s="189">
        <v>0</v>
      </c>
      <c r="FB622" s="189">
        <v>0</v>
      </c>
      <c r="FC622" s="189">
        <v>98</v>
      </c>
      <c r="FD622" s="189">
        <v>54</v>
      </c>
      <c r="FE622" s="189">
        <v>2</v>
      </c>
      <c r="FF622" s="189">
        <v>0</v>
      </c>
      <c r="FG622" s="189">
        <v>0.8</v>
      </c>
      <c r="FH622" s="189">
        <v>28</v>
      </c>
      <c r="FI622" s="189">
        <v>0</v>
      </c>
      <c r="FJ622" s="189">
        <v>0</v>
      </c>
      <c r="FK622" s="189">
        <v>680.6</v>
      </c>
      <c r="FL622" s="189">
        <v>439</v>
      </c>
      <c r="FN622" s="132">
        <v>73.58</v>
      </c>
    </row>
    <row r="623" spans="1:170" ht="30" customHeight="1">
      <c r="A623" s="88">
        <f>COUNTIF($H$12:H623,H623)</f>
        <v>14</v>
      </c>
      <c r="B623" s="88" t="s">
        <v>2172</v>
      </c>
      <c r="C623" s="88" t="s">
        <v>1391</v>
      </c>
      <c r="D623" s="88"/>
      <c r="E623" s="88"/>
      <c r="F623" s="301" t="s">
        <v>376</v>
      </c>
      <c r="G623" s="303" t="s">
        <v>1888</v>
      </c>
      <c r="H623" s="88">
        <v>12</v>
      </c>
      <c r="I623" s="88">
        <v>12</v>
      </c>
      <c r="J623" s="88">
        <v>12</v>
      </c>
      <c r="K623" s="90" t="s">
        <v>2848</v>
      </c>
      <c r="L623" s="90" t="s">
        <v>2848</v>
      </c>
      <c r="M623" s="214"/>
      <c r="N623" s="88" t="s">
        <v>1804</v>
      </c>
      <c r="O623" s="216">
        <f t="shared" si="2050"/>
        <v>3.33</v>
      </c>
      <c r="P623" s="88" t="str">
        <f t="shared" si="2009"/>
        <v>B1_4</v>
      </c>
      <c r="Q623" s="88">
        <f t="shared" si="1935"/>
        <v>270</v>
      </c>
      <c r="R623" s="88">
        <f t="shared" si="1936"/>
        <v>120</v>
      </c>
      <c r="S623" s="231" t="s">
        <v>2538</v>
      </c>
      <c r="T623" s="88" t="s">
        <v>2961</v>
      </c>
      <c r="U623" s="88">
        <f>IF(RIGHT(T623,1)="K",(VLOOKUP(T623,ma_miengiam!$A$3:$B$80,2,0)*100)/2,VLOOKUP(T623,ma_miengiam!$A$3:$B$80,2,0)*100)</f>
        <v>100</v>
      </c>
      <c r="V623" s="88"/>
      <c r="W623" s="220">
        <f>IF(AND(T623="NTS",V623&gt;0),(Q623-(Q623*V623)/12)*VLOOKUP(T623,ma_miengiam!$A$3:$B$80,2,0)+(Q623-(Q623*(12-V623))/12),IF(AND(RIGHT(T623,1)="K",V623&gt;0),(VLOOKUP(T623,ma_miengiam!$A$3:$B$80,2,0)/2)*(Q623*V623)/12,IF(RIGHT(T623,1)="K",(VLOOKUP(T623,ma_miengiam!$A$3:$B$80,2,0)*Q623)/2,IF(V623&gt;0,VLOOKUP(T623,ma_miengiam!$A$3:$B$80,2,0)*Q623*V623/12,VLOOKUP(T623,ma_miengiam!$A$3:$B$80,2,0)*Q623))))</f>
        <v>270</v>
      </c>
      <c r="X623" s="220">
        <f>IF(T623="NTS",VLOOKUP(T623,ma_miengiam!$A$3:$B$80,2,0)*R623*V623,IF(AND(T623="NTS",V623=0),0,IF(AND(LEFT(T623,1)="K",V623=0),VLOOKUP(T623,ma_miengiam!$A$3:$B$80,2,0)*R623,IF(LEFT(T623,1)="K",(VLOOKUP(T623,ma_miengiam!$A$3:$B$80,2,0)*R623/12)*V623,IF(AND(LEFT(T623,1)="S",V623&gt;0),(R623/12)*V623,IF(AND(LEFT(T623,1)="S",V623=0),R623,IF(T623="DH",VLOOKUP(T623,ma_miengiam!$A$3:$B$80,2,0)*R623,0)))))))</f>
        <v>120</v>
      </c>
      <c r="Y623" s="220">
        <f t="shared" si="1963"/>
        <v>0</v>
      </c>
      <c r="Z623" s="220">
        <f t="shared" si="2065"/>
        <v>0</v>
      </c>
      <c r="AA623" s="220">
        <f t="shared" si="2056"/>
        <v>270</v>
      </c>
      <c r="AB623" s="220">
        <f t="shared" si="2057"/>
        <v>120</v>
      </c>
      <c r="AC623" s="220">
        <f t="shared" si="2058"/>
        <v>270</v>
      </c>
      <c r="AD623" s="220">
        <f t="shared" si="2059"/>
        <v>120</v>
      </c>
      <c r="AE623" s="220">
        <f t="shared" si="2060"/>
        <v>0</v>
      </c>
      <c r="AF623" s="220">
        <f t="shared" si="2061"/>
        <v>0</v>
      </c>
      <c r="AG623" s="220">
        <f t="shared" si="2062"/>
        <v>49.53</v>
      </c>
      <c r="AH623" s="220">
        <f t="shared" si="2063"/>
        <v>49.53</v>
      </c>
      <c r="AI623" s="220">
        <f t="shared" si="2064"/>
        <v>0</v>
      </c>
      <c r="AJ623" s="220">
        <f t="shared" si="1902"/>
        <v>0</v>
      </c>
      <c r="AK623" s="216">
        <f t="shared" si="2051"/>
        <v>0</v>
      </c>
      <c r="AL623" s="220">
        <f t="shared" si="2024"/>
        <v>0</v>
      </c>
      <c r="AM623" s="220">
        <f t="shared" si="2025"/>
        <v>0</v>
      </c>
      <c r="AN623" s="221">
        <f t="shared" si="2026"/>
        <v>0</v>
      </c>
      <c r="AO623" s="220">
        <f t="shared" si="2027"/>
        <v>0</v>
      </c>
      <c r="AP623" s="220">
        <f t="shared" si="2028"/>
        <v>0</v>
      </c>
      <c r="AQ623" s="220">
        <f t="shared" si="2029"/>
        <v>0</v>
      </c>
      <c r="AR623" s="220">
        <f t="shared" si="2030"/>
        <v>0</v>
      </c>
      <c r="AS623" s="220">
        <f t="shared" si="2031"/>
        <v>0</v>
      </c>
      <c r="AT623" s="216">
        <f t="shared" si="2032"/>
        <v>0</v>
      </c>
      <c r="AU623" s="222">
        <f t="shared" si="1982"/>
        <v>0</v>
      </c>
      <c r="AV623" s="220"/>
      <c r="AW623" s="220">
        <f t="shared" si="2033"/>
        <v>0</v>
      </c>
      <c r="AX623" s="216">
        <f t="shared" si="2020"/>
        <v>0</v>
      </c>
      <c r="AY623" s="220">
        <f t="shared" si="2034"/>
        <v>0</v>
      </c>
      <c r="AZ623" s="220">
        <f t="shared" si="2035"/>
        <v>0</v>
      </c>
      <c r="BA623" s="220">
        <f t="shared" si="2036"/>
        <v>0</v>
      </c>
      <c r="BB623" s="220">
        <f t="shared" si="2037"/>
        <v>0</v>
      </c>
      <c r="BC623" s="220">
        <f t="shared" si="2038"/>
        <v>0</v>
      </c>
      <c r="BD623" s="216">
        <f t="shared" si="1987"/>
        <v>0</v>
      </c>
      <c r="BE623" s="220">
        <f t="shared" si="2039"/>
        <v>0</v>
      </c>
      <c r="BF623" s="220">
        <f t="shared" si="2040"/>
        <v>0</v>
      </c>
      <c r="BG623" s="220">
        <f t="shared" si="2041"/>
        <v>0</v>
      </c>
      <c r="BH623" s="220">
        <f t="shared" si="2042"/>
        <v>0</v>
      </c>
      <c r="BI623" s="220">
        <f t="shared" si="2043"/>
        <v>0</v>
      </c>
      <c r="BJ623" s="220" t="s">
        <v>1959</v>
      </c>
      <c r="BK623" s="220"/>
      <c r="BL623" s="223">
        <f t="shared" si="2005"/>
        <v>0</v>
      </c>
      <c r="BM623" s="220">
        <v>3.33</v>
      </c>
      <c r="BN623" s="220"/>
      <c r="BO623" s="220">
        <f t="shared" ref="BO623:BO646" si="2067">ROUND(BM623+(BM623*BN623),2)</f>
        <v>3.33</v>
      </c>
      <c r="BP623" s="220">
        <f>IF(AND(BL623&gt;0,BL623&lt;tiet!$D$1),BL623,IF(BL623&lt;=0,0,IF(BL623&gt;tiet!$C$1,tiet!$C$1)))</f>
        <v>0</v>
      </c>
      <c r="BQ623" s="87">
        <f t="shared" si="1903"/>
        <v>65000</v>
      </c>
      <c r="BR623" s="224">
        <f t="shared" si="1904"/>
        <v>0</v>
      </c>
      <c r="BS623" s="220">
        <f t="shared" si="1933"/>
        <v>0</v>
      </c>
      <c r="BT623" s="224">
        <f>VLOOKUP(N623,ma_dinhmuc!$A$1:$J$31,10,0)</f>
        <v>51000</v>
      </c>
      <c r="BU623" s="224">
        <f>ROUND(IF(BS623&gt;0,VLOOKUP(N623,ma_dinhmuc!$A$1:$J$31,10,0)*BS623,0),0)</f>
        <v>0</v>
      </c>
      <c r="BV623" s="224">
        <f t="shared" si="1905"/>
        <v>0</v>
      </c>
      <c r="BW623" s="224"/>
      <c r="BX623" s="224">
        <v>0</v>
      </c>
      <c r="BY623" s="224"/>
      <c r="BZ623" s="224"/>
      <c r="CA623" s="224"/>
      <c r="CB623" s="224"/>
      <c r="CC623" s="225">
        <f t="shared" si="1968"/>
        <v>0</v>
      </c>
      <c r="CD623" s="224">
        <f t="shared" si="1969"/>
        <v>0</v>
      </c>
      <c r="CE623" s="224"/>
      <c r="CF623" s="226"/>
      <c r="CG623" s="87"/>
      <c r="CH623" s="87">
        <f t="shared" ref="CH623:CH661" si="2068">A623</f>
        <v>14</v>
      </c>
      <c r="CI623" s="227" t="str">
        <f t="shared" si="2013"/>
        <v>Nguyễn Tố</v>
      </c>
      <c r="CJ623" s="227" t="str">
        <f t="shared" si="2014"/>
        <v>Loan</v>
      </c>
      <c r="CK623" s="87">
        <f t="shared" si="2015"/>
        <v>12</v>
      </c>
      <c r="CL623" s="227" t="str">
        <f t="shared" si="1989"/>
        <v>CNSH động vật</v>
      </c>
      <c r="CM623" s="87" t="str">
        <f t="shared" si="2044"/>
        <v>CS2</v>
      </c>
      <c r="CN623" s="87">
        <f t="shared" si="2066"/>
        <v>270</v>
      </c>
      <c r="CO623" s="87">
        <f t="shared" si="2066"/>
        <v>120</v>
      </c>
      <c r="CP623" s="229">
        <f t="shared" si="1943"/>
        <v>0</v>
      </c>
      <c r="CQ623" s="229">
        <f t="shared" si="1944"/>
        <v>0</v>
      </c>
      <c r="CR623" s="229">
        <f t="shared" si="1945"/>
        <v>0</v>
      </c>
      <c r="CS623" s="229">
        <f t="shared" si="1946"/>
        <v>0</v>
      </c>
      <c r="CT623" s="229">
        <f t="shared" si="1947"/>
        <v>0</v>
      </c>
      <c r="CU623" s="229">
        <f t="shared" si="1948"/>
        <v>0</v>
      </c>
      <c r="CV623" s="229">
        <f t="shared" si="1949"/>
        <v>0</v>
      </c>
      <c r="CW623" s="229">
        <f t="shared" si="1950"/>
        <v>0</v>
      </c>
      <c r="CX623" s="229">
        <f t="shared" si="1951"/>
        <v>0</v>
      </c>
      <c r="CY623" s="229">
        <f t="shared" si="1952"/>
        <v>0</v>
      </c>
      <c r="CZ623" s="229">
        <f t="shared" si="1953"/>
        <v>0</v>
      </c>
      <c r="DA623" s="229">
        <f t="shared" si="1954"/>
        <v>0</v>
      </c>
      <c r="DB623" s="228">
        <f t="shared" si="2045"/>
        <v>0</v>
      </c>
      <c r="DC623" s="229"/>
      <c r="DD623" s="229"/>
      <c r="DE623" s="229"/>
      <c r="DF623" s="229"/>
      <c r="DG623" s="229"/>
      <c r="DH623" s="229"/>
      <c r="DI623" s="229"/>
      <c r="DJ623" s="229"/>
      <c r="DK623" s="229"/>
      <c r="DL623" s="229"/>
      <c r="DM623" s="229"/>
      <c r="DN623" s="229"/>
      <c r="DO623" s="228">
        <f t="shared" si="2046"/>
        <v>0</v>
      </c>
      <c r="DP623" s="228">
        <f t="shared" si="2047"/>
        <v>0</v>
      </c>
      <c r="DQ623" s="229">
        <f t="shared" si="1955"/>
        <v>0</v>
      </c>
      <c r="DR623" s="229">
        <f t="shared" si="1956"/>
        <v>0</v>
      </c>
      <c r="DS623" s="229">
        <f t="shared" si="1957"/>
        <v>0</v>
      </c>
      <c r="DT623" s="229">
        <f t="shared" si="1958"/>
        <v>0</v>
      </c>
      <c r="DU623" s="229">
        <f t="shared" si="1959"/>
        <v>0</v>
      </c>
      <c r="DV623" s="229">
        <f t="shared" si="1960"/>
        <v>0</v>
      </c>
      <c r="DW623" s="229">
        <f t="shared" si="1961"/>
        <v>0</v>
      </c>
      <c r="DX623" s="228">
        <f t="shared" si="2048"/>
        <v>0</v>
      </c>
      <c r="DY623" s="229"/>
      <c r="DZ623" s="229"/>
      <c r="EA623" s="229"/>
      <c r="EB623" s="229"/>
      <c r="EC623" s="229"/>
      <c r="ED623" s="229"/>
      <c r="EE623" s="229"/>
      <c r="EF623" s="228">
        <f t="shared" si="1939"/>
        <v>0</v>
      </c>
      <c r="EG623" s="228">
        <f t="shared" si="2049"/>
        <v>0</v>
      </c>
      <c r="EH623" s="229">
        <f t="shared" si="1940"/>
        <v>0</v>
      </c>
      <c r="EI623" s="229">
        <v>49.53</v>
      </c>
      <c r="EJ623" s="228">
        <f t="shared" si="2055"/>
        <v>49.53</v>
      </c>
      <c r="EK623" s="229"/>
      <c r="EL623" s="229"/>
      <c r="EM623" s="228">
        <f t="shared" si="1994"/>
        <v>0</v>
      </c>
      <c r="EN623" s="229">
        <f t="shared" si="1894"/>
        <v>0</v>
      </c>
      <c r="EO623" s="229">
        <f t="shared" si="1983"/>
        <v>49.53</v>
      </c>
      <c r="EP623" s="228">
        <f t="shared" si="2052"/>
        <v>49.53</v>
      </c>
      <c r="EQ623" s="173">
        <f t="shared" si="1934"/>
        <v>0</v>
      </c>
      <c r="ER623" s="189">
        <v>0</v>
      </c>
      <c r="ES623" s="189">
        <v>0</v>
      </c>
      <c r="ET623" s="189">
        <v>0</v>
      </c>
      <c r="EU623" s="189">
        <v>0</v>
      </c>
      <c r="EV623" s="189">
        <v>0</v>
      </c>
      <c r="EW623" s="189">
        <v>0</v>
      </c>
      <c r="EX623" s="189">
        <v>0</v>
      </c>
      <c r="EY623" s="189">
        <v>0</v>
      </c>
      <c r="EZ623" s="189">
        <v>0</v>
      </c>
      <c r="FA623" s="189">
        <v>0</v>
      </c>
      <c r="FB623" s="189">
        <v>0</v>
      </c>
      <c r="FC623" s="189">
        <v>0</v>
      </c>
      <c r="FD623" s="189">
        <v>0</v>
      </c>
      <c r="FE623" s="189">
        <v>0</v>
      </c>
      <c r="FF623" s="189">
        <v>0</v>
      </c>
      <c r="FG623" s="189">
        <v>0</v>
      </c>
      <c r="FH623" s="189">
        <v>0</v>
      </c>
      <c r="FI623" s="189">
        <v>0</v>
      </c>
      <c r="FJ623" s="189">
        <v>0</v>
      </c>
      <c r="FK623" s="189">
        <v>0</v>
      </c>
      <c r="FL623" s="189">
        <v>0</v>
      </c>
      <c r="FN623" s="132">
        <v>0</v>
      </c>
    </row>
    <row r="624" spans="1:170" ht="36" customHeight="1">
      <c r="A624" s="88">
        <f>COUNTIF($H$12:H624,H624)</f>
        <v>15</v>
      </c>
      <c r="B624" s="88" t="s">
        <v>2173</v>
      </c>
      <c r="C624" s="88" t="s">
        <v>1392</v>
      </c>
      <c r="D624" s="88"/>
      <c r="E624" s="88"/>
      <c r="F624" s="301" t="s">
        <v>377</v>
      </c>
      <c r="G624" s="89" t="s">
        <v>17</v>
      </c>
      <c r="H624" s="88">
        <v>12</v>
      </c>
      <c r="I624" s="88">
        <v>12</v>
      </c>
      <c r="J624" s="88">
        <v>12</v>
      </c>
      <c r="K624" s="90" t="s">
        <v>2848</v>
      </c>
      <c r="L624" s="90" t="s">
        <v>2848</v>
      </c>
      <c r="M624" s="214"/>
      <c r="N624" s="88" t="s">
        <v>1804</v>
      </c>
      <c r="O624" s="216">
        <f t="shared" si="2050"/>
        <v>3</v>
      </c>
      <c r="P624" s="88" t="str">
        <f t="shared" si="2009"/>
        <v>B1_3</v>
      </c>
      <c r="Q624" s="88">
        <f t="shared" si="1935"/>
        <v>270</v>
      </c>
      <c r="R624" s="88">
        <f t="shared" si="1936"/>
        <v>100</v>
      </c>
      <c r="S624" s="232" t="s">
        <v>390</v>
      </c>
      <c r="T624" s="88" t="s">
        <v>2961</v>
      </c>
      <c r="U624" s="88">
        <f>IF(RIGHT(T624,1)="K",(VLOOKUP(T624,ma_miengiam!$A$3:$B$80,2,0)*100)/2,VLOOKUP(T624,ma_miengiam!$A$3:$B$80,2,0)*100)</f>
        <v>100</v>
      </c>
      <c r="V624" s="88"/>
      <c r="W624" s="220">
        <f>IF(AND(T624="NTS",V624&gt;0),(Q624-(Q624*V624)/12)*VLOOKUP(T624,ma_miengiam!$A$3:$B$80,2,0)+(Q624-(Q624*(12-V624))/12),IF(AND(RIGHT(T624,1)="K",V624&gt;0),(VLOOKUP(T624,ma_miengiam!$A$3:$B$80,2,0)/2)*(Q624*V624)/12,IF(RIGHT(T624,1)="K",(VLOOKUP(T624,ma_miengiam!$A$3:$B$80,2,0)*Q624)/2,IF(V624&gt;0,VLOOKUP(T624,ma_miengiam!$A$3:$B$80,2,0)*Q624*V624/12,VLOOKUP(T624,ma_miengiam!$A$3:$B$80,2,0)*Q624))))</f>
        <v>270</v>
      </c>
      <c r="X624" s="220">
        <f>IF(T624="NTS",VLOOKUP(T624,ma_miengiam!$A$3:$B$80,2,0)*R624*V624,IF(AND(T624="NTS",V624=0),0,IF(AND(LEFT(T624,1)="K",V624=0),VLOOKUP(T624,ma_miengiam!$A$3:$B$80,2,0)*R624,IF(LEFT(T624,1)="K",(VLOOKUP(T624,ma_miengiam!$A$3:$B$80,2,0)*R624/12)*V624,IF(AND(LEFT(T624,1)="S",V624&gt;0),(R624/12)*V624,IF(AND(LEFT(T624,1)="S",V624=0),R624,IF(T624="DH",VLOOKUP(T624,ma_miengiam!$A$3:$B$80,2,0)*R624,0)))))))</f>
        <v>100</v>
      </c>
      <c r="Y624" s="220">
        <f t="shared" si="1963"/>
        <v>0</v>
      </c>
      <c r="Z624" s="220">
        <f t="shared" si="2065"/>
        <v>0</v>
      </c>
      <c r="AA624" s="220">
        <f t="shared" si="2056"/>
        <v>270</v>
      </c>
      <c r="AB624" s="220">
        <f t="shared" si="2057"/>
        <v>100</v>
      </c>
      <c r="AC624" s="220">
        <f t="shared" si="2058"/>
        <v>270</v>
      </c>
      <c r="AD624" s="220">
        <f t="shared" si="2059"/>
        <v>100</v>
      </c>
      <c r="AE624" s="220">
        <f t="shared" si="2060"/>
        <v>0</v>
      </c>
      <c r="AF624" s="220">
        <f t="shared" si="2061"/>
        <v>0</v>
      </c>
      <c r="AG624" s="220">
        <f t="shared" si="2062"/>
        <v>0</v>
      </c>
      <c r="AH624" s="220">
        <f t="shared" si="2063"/>
        <v>0</v>
      </c>
      <c r="AI624" s="220">
        <f t="shared" si="2064"/>
        <v>0</v>
      </c>
      <c r="AJ624" s="220">
        <f t="shared" si="1902"/>
        <v>0</v>
      </c>
      <c r="AK624" s="216">
        <f t="shared" si="2051"/>
        <v>0</v>
      </c>
      <c r="AL624" s="220">
        <f t="shared" si="2024"/>
        <v>0</v>
      </c>
      <c r="AM624" s="220">
        <f t="shared" si="2025"/>
        <v>0</v>
      </c>
      <c r="AN624" s="221">
        <f t="shared" si="2026"/>
        <v>0</v>
      </c>
      <c r="AO624" s="220">
        <f t="shared" si="2027"/>
        <v>0</v>
      </c>
      <c r="AP624" s="220">
        <f t="shared" si="2028"/>
        <v>0</v>
      </c>
      <c r="AQ624" s="220">
        <f t="shared" si="2029"/>
        <v>0</v>
      </c>
      <c r="AR624" s="220">
        <f t="shared" si="2030"/>
        <v>0</v>
      </c>
      <c r="AS624" s="220">
        <f t="shared" si="2031"/>
        <v>0</v>
      </c>
      <c r="AT624" s="216">
        <f t="shared" si="2032"/>
        <v>0</v>
      </c>
      <c r="AU624" s="222">
        <f t="shared" si="1982"/>
        <v>0</v>
      </c>
      <c r="AV624" s="220"/>
      <c r="AW624" s="220">
        <f t="shared" si="2033"/>
        <v>0</v>
      </c>
      <c r="AX624" s="216">
        <f t="shared" si="2020"/>
        <v>0</v>
      </c>
      <c r="AY624" s="220">
        <f t="shared" si="2034"/>
        <v>0</v>
      </c>
      <c r="AZ624" s="220">
        <f t="shared" si="2035"/>
        <v>0</v>
      </c>
      <c r="BA624" s="220">
        <f t="shared" si="2036"/>
        <v>0</v>
      </c>
      <c r="BB624" s="220">
        <f t="shared" si="2037"/>
        <v>0</v>
      </c>
      <c r="BC624" s="220">
        <f t="shared" si="2038"/>
        <v>0</v>
      </c>
      <c r="BD624" s="216">
        <f t="shared" si="1987"/>
        <v>0</v>
      </c>
      <c r="BE624" s="220">
        <f t="shared" si="2039"/>
        <v>0</v>
      </c>
      <c r="BF624" s="220">
        <f t="shared" si="2040"/>
        <v>0</v>
      </c>
      <c r="BG624" s="220">
        <f t="shared" si="2041"/>
        <v>0</v>
      </c>
      <c r="BH624" s="220">
        <f t="shared" si="2042"/>
        <v>0</v>
      </c>
      <c r="BI624" s="220">
        <f t="shared" si="2043"/>
        <v>0</v>
      </c>
      <c r="BJ624" s="220" t="s">
        <v>1959</v>
      </c>
      <c r="BK624" s="220"/>
      <c r="BL624" s="223">
        <f t="shared" si="2005"/>
        <v>0</v>
      </c>
      <c r="BM624" s="220">
        <v>3</v>
      </c>
      <c r="BN624" s="220"/>
      <c r="BO624" s="220">
        <f t="shared" si="2067"/>
        <v>3</v>
      </c>
      <c r="BP624" s="220">
        <f>IF(AND(BL624&gt;0,BL624&lt;tiet!$D$1),BL624,IF(BL624&lt;=0,0,IF(BL624&gt;tiet!$C$1,tiet!$C$1)))</f>
        <v>0</v>
      </c>
      <c r="BQ624" s="87">
        <f t="shared" si="1903"/>
        <v>60000</v>
      </c>
      <c r="BR624" s="224">
        <f t="shared" si="1904"/>
        <v>0</v>
      </c>
      <c r="BS624" s="220">
        <f t="shared" si="1933"/>
        <v>0</v>
      </c>
      <c r="BT624" s="224">
        <f>VLOOKUP(N624,ma_dinhmuc!$A$1:$J$31,10,0)</f>
        <v>51000</v>
      </c>
      <c r="BU624" s="224">
        <f>ROUND(IF(BS624&gt;0,VLOOKUP(N624,ma_dinhmuc!$A$1:$J$31,10,0)*BS624,0),0)</f>
        <v>0</v>
      </c>
      <c r="BV624" s="224">
        <f t="shared" si="1905"/>
        <v>0</v>
      </c>
      <c r="BW624" s="224"/>
      <c r="BX624" s="224">
        <v>0</v>
      </c>
      <c r="BY624" s="224"/>
      <c r="BZ624" s="224"/>
      <c r="CA624" s="224"/>
      <c r="CB624" s="224"/>
      <c r="CC624" s="225">
        <f t="shared" si="1968"/>
        <v>0</v>
      </c>
      <c r="CD624" s="224">
        <f t="shared" si="1969"/>
        <v>0</v>
      </c>
      <c r="CE624" s="224"/>
      <c r="CF624" s="226"/>
      <c r="CG624" s="87"/>
      <c r="CH624" s="87">
        <f t="shared" si="2068"/>
        <v>15</v>
      </c>
      <c r="CI624" s="227" t="str">
        <f t="shared" si="2013"/>
        <v>Ngô Thu</v>
      </c>
      <c r="CJ624" s="227" t="str">
        <f t="shared" si="2014"/>
        <v>Hà</v>
      </c>
      <c r="CK624" s="87">
        <f t="shared" si="2015"/>
        <v>12</v>
      </c>
      <c r="CL624" s="227" t="str">
        <f t="shared" si="1989"/>
        <v>CNSH động vật</v>
      </c>
      <c r="CM624" s="87" t="str">
        <f t="shared" si="2044"/>
        <v>CS2</v>
      </c>
      <c r="CN624" s="87">
        <f t="shared" si="2066"/>
        <v>270</v>
      </c>
      <c r="CO624" s="87">
        <f t="shared" si="2066"/>
        <v>100</v>
      </c>
      <c r="CP624" s="229">
        <f t="shared" si="1943"/>
        <v>0</v>
      </c>
      <c r="CQ624" s="229">
        <f t="shared" si="1944"/>
        <v>0</v>
      </c>
      <c r="CR624" s="229">
        <f t="shared" si="1945"/>
        <v>0</v>
      </c>
      <c r="CS624" s="229">
        <f t="shared" si="1946"/>
        <v>0</v>
      </c>
      <c r="CT624" s="229">
        <f t="shared" si="1947"/>
        <v>0</v>
      </c>
      <c r="CU624" s="229">
        <f t="shared" si="1948"/>
        <v>0</v>
      </c>
      <c r="CV624" s="229">
        <f t="shared" si="1949"/>
        <v>0</v>
      </c>
      <c r="CW624" s="229">
        <f t="shared" si="1950"/>
        <v>0</v>
      </c>
      <c r="CX624" s="229">
        <f t="shared" si="1951"/>
        <v>0</v>
      </c>
      <c r="CY624" s="229">
        <f t="shared" si="1952"/>
        <v>0</v>
      </c>
      <c r="CZ624" s="229">
        <f t="shared" si="1953"/>
        <v>0</v>
      </c>
      <c r="DA624" s="229">
        <f t="shared" si="1954"/>
        <v>0</v>
      </c>
      <c r="DB624" s="228">
        <f t="shared" si="2045"/>
        <v>0</v>
      </c>
      <c r="DC624" s="229"/>
      <c r="DD624" s="229"/>
      <c r="DE624" s="229"/>
      <c r="DF624" s="229"/>
      <c r="DG624" s="229"/>
      <c r="DH624" s="229"/>
      <c r="DI624" s="229"/>
      <c r="DJ624" s="229"/>
      <c r="DK624" s="229"/>
      <c r="DL624" s="229"/>
      <c r="DM624" s="229"/>
      <c r="DN624" s="229"/>
      <c r="DO624" s="228">
        <f t="shared" si="2046"/>
        <v>0</v>
      </c>
      <c r="DP624" s="228">
        <f t="shared" si="2047"/>
        <v>0</v>
      </c>
      <c r="DQ624" s="229">
        <f t="shared" si="1955"/>
        <v>0</v>
      </c>
      <c r="DR624" s="229">
        <f t="shared" si="1956"/>
        <v>0</v>
      </c>
      <c r="DS624" s="229">
        <f t="shared" si="1957"/>
        <v>0</v>
      </c>
      <c r="DT624" s="229">
        <f t="shared" si="1958"/>
        <v>0</v>
      </c>
      <c r="DU624" s="229">
        <f t="shared" si="1959"/>
        <v>0</v>
      </c>
      <c r="DV624" s="229">
        <f t="shared" si="1960"/>
        <v>0</v>
      </c>
      <c r="DW624" s="229">
        <f t="shared" si="1961"/>
        <v>0</v>
      </c>
      <c r="DX624" s="228">
        <f t="shared" si="2048"/>
        <v>0</v>
      </c>
      <c r="DY624" s="229"/>
      <c r="DZ624" s="229"/>
      <c r="EA624" s="229"/>
      <c r="EB624" s="229"/>
      <c r="EC624" s="229"/>
      <c r="ED624" s="229"/>
      <c r="EE624" s="229"/>
      <c r="EF624" s="228">
        <f t="shared" si="1939"/>
        <v>0</v>
      </c>
      <c r="EG624" s="228">
        <f t="shared" si="2049"/>
        <v>0</v>
      </c>
      <c r="EH624" s="229">
        <f t="shared" si="1940"/>
        <v>0</v>
      </c>
      <c r="EI624" s="229">
        <v>0</v>
      </c>
      <c r="EJ624" s="228">
        <f t="shared" si="2055"/>
        <v>0</v>
      </c>
      <c r="EK624" s="229"/>
      <c r="EL624" s="229"/>
      <c r="EM624" s="228">
        <f t="shared" si="1994"/>
        <v>0</v>
      </c>
      <c r="EN624" s="229">
        <f t="shared" si="1894"/>
        <v>0</v>
      </c>
      <c r="EO624" s="229">
        <f t="shared" si="1983"/>
        <v>0</v>
      </c>
      <c r="EP624" s="228">
        <f t="shared" si="2052"/>
        <v>0</v>
      </c>
      <c r="EQ624" s="173">
        <f t="shared" si="1934"/>
        <v>0</v>
      </c>
      <c r="ER624" s="189">
        <v>0</v>
      </c>
      <c r="ES624" s="189">
        <v>0</v>
      </c>
      <c r="ET624" s="189">
        <v>0</v>
      </c>
      <c r="EU624" s="189">
        <v>0</v>
      </c>
      <c r="EV624" s="189">
        <v>0</v>
      </c>
      <c r="EW624" s="189">
        <v>0</v>
      </c>
      <c r="EX624" s="189">
        <v>0</v>
      </c>
      <c r="EY624" s="189">
        <v>0</v>
      </c>
      <c r="EZ624" s="189">
        <v>0</v>
      </c>
      <c r="FA624" s="189">
        <v>0</v>
      </c>
      <c r="FB624" s="189">
        <v>0</v>
      </c>
      <c r="FC624" s="189">
        <v>0</v>
      </c>
      <c r="FD624" s="189">
        <v>0</v>
      </c>
      <c r="FE624" s="189">
        <v>0</v>
      </c>
      <c r="FF624" s="189">
        <v>0</v>
      </c>
      <c r="FG624" s="189">
        <v>0</v>
      </c>
      <c r="FH624" s="189">
        <v>0</v>
      </c>
      <c r="FI624" s="189">
        <v>0</v>
      </c>
      <c r="FJ624" s="189">
        <v>0</v>
      </c>
      <c r="FK624" s="189">
        <v>0</v>
      </c>
      <c r="FL624" s="189">
        <v>0</v>
      </c>
      <c r="FN624" s="132">
        <v>0</v>
      </c>
    </row>
    <row r="625" spans="1:170" ht="30" customHeight="1">
      <c r="A625" s="88">
        <f>COUNTIF($H$12:H625,H625)</f>
        <v>16</v>
      </c>
      <c r="B625" s="88" t="s">
        <v>2174</v>
      </c>
      <c r="C625" s="88" t="s">
        <v>1393</v>
      </c>
      <c r="D625" s="88"/>
      <c r="E625" s="88"/>
      <c r="F625" s="301" t="s">
        <v>378</v>
      </c>
      <c r="G625" s="89" t="s">
        <v>1051</v>
      </c>
      <c r="H625" s="88">
        <v>12</v>
      </c>
      <c r="I625" s="88">
        <v>12</v>
      </c>
      <c r="J625" s="88">
        <v>12</v>
      </c>
      <c r="K625" s="90" t="s">
        <v>2848</v>
      </c>
      <c r="L625" s="90" t="s">
        <v>2848</v>
      </c>
      <c r="M625" s="214"/>
      <c r="N625" s="88" t="s">
        <v>1804</v>
      </c>
      <c r="O625" s="216">
        <f t="shared" si="2050"/>
        <v>3.66</v>
      </c>
      <c r="P625" s="88" t="str">
        <f t="shared" si="2009"/>
        <v>B1_4</v>
      </c>
      <c r="Q625" s="88">
        <f t="shared" si="1935"/>
        <v>270</v>
      </c>
      <c r="R625" s="88">
        <f t="shared" si="1936"/>
        <v>120</v>
      </c>
      <c r="S625" s="231"/>
      <c r="T625" s="88" t="s">
        <v>3088</v>
      </c>
      <c r="U625" s="88">
        <f>IF(RIGHT(T625,1)="K",(VLOOKUP(T625,ma_miengiam!$A$3:$B$80,2,0)*100)/2,VLOOKUP(T625,ma_miengiam!$A$3:$B$80,2,0)*100)</f>
        <v>0</v>
      </c>
      <c r="V625" s="88"/>
      <c r="W625" s="220">
        <f>IF(AND(T625="NTS",V625&gt;0),(Q625-(Q625*V625)/12)*VLOOKUP(T625,ma_miengiam!$A$3:$B$80,2,0)+(Q625-(Q625*(12-V625))/12),IF(AND(RIGHT(T625,1)="K",V625&gt;0),(VLOOKUP(T625,ma_miengiam!$A$3:$B$80,2,0)/2)*(Q625*V625)/12,IF(RIGHT(T625,1)="K",(VLOOKUP(T625,ma_miengiam!$A$3:$B$80,2,0)*Q625)/2,IF(V625&gt;0,VLOOKUP(T625,ma_miengiam!$A$3:$B$80,2,0)*Q625*V625/12,VLOOKUP(T625,ma_miengiam!$A$3:$B$80,2,0)*Q625))))</f>
        <v>0</v>
      </c>
      <c r="X625" s="220">
        <f>IF(T625="NTS",VLOOKUP(T625,ma_miengiam!$A$3:$B$80,2,0)*R625*V625,IF(AND(T625="NTS",V625=0),0,IF(AND(LEFT(T625,1)="K",V625=0),VLOOKUP(T625,ma_miengiam!$A$3:$B$80,2,0)*R625,IF(LEFT(T625,1)="K",(VLOOKUP(T625,ma_miengiam!$A$3:$B$80,2,0)*R625/12)*V625,IF(AND(LEFT(T625,1)="S",V625&gt;0),(R625/12)*V625,IF(AND(LEFT(T625,1)="S",V625=0),R625,IF(T625="DH",VLOOKUP(T625,ma_miengiam!$A$3:$B$80,2,0)*R625,0)))))))</f>
        <v>0</v>
      </c>
      <c r="Y625" s="220">
        <f t="shared" si="1963"/>
        <v>270</v>
      </c>
      <c r="Z625" s="220">
        <f t="shared" si="2065"/>
        <v>120</v>
      </c>
      <c r="AA625" s="220">
        <f t="shared" si="2056"/>
        <v>270</v>
      </c>
      <c r="AB625" s="220">
        <f t="shared" si="2057"/>
        <v>120</v>
      </c>
      <c r="AC625" s="220">
        <f t="shared" si="2058"/>
        <v>0</v>
      </c>
      <c r="AD625" s="220">
        <f t="shared" si="2059"/>
        <v>0</v>
      </c>
      <c r="AE625" s="220">
        <f t="shared" si="2060"/>
        <v>270</v>
      </c>
      <c r="AF625" s="220">
        <f t="shared" si="2061"/>
        <v>120</v>
      </c>
      <c r="AG625" s="220">
        <f t="shared" si="2062"/>
        <v>137.75</v>
      </c>
      <c r="AH625" s="220">
        <f t="shared" si="2063"/>
        <v>63.46</v>
      </c>
      <c r="AI625" s="220">
        <f t="shared" si="2064"/>
        <v>74.290000000000006</v>
      </c>
      <c r="AJ625" s="220">
        <f t="shared" si="1902"/>
        <v>0</v>
      </c>
      <c r="AK625" s="216">
        <f t="shared" si="2051"/>
        <v>270</v>
      </c>
      <c r="AL625" s="220">
        <f t="shared" si="2024"/>
        <v>417.3</v>
      </c>
      <c r="AM625" s="220">
        <f t="shared" si="2025"/>
        <v>0</v>
      </c>
      <c r="AN625" s="221">
        <f t="shared" si="2026"/>
        <v>417.3</v>
      </c>
      <c r="AO625" s="220">
        <f t="shared" si="2027"/>
        <v>0</v>
      </c>
      <c r="AP625" s="220">
        <f t="shared" si="2028"/>
        <v>0</v>
      </c>
      <c r="AQ625" s="220">
        <f t="shared" si="2029"/>
        <v>20</v>
      </c>
      <c r="AR625" s="220">
        <f t="shared" si="2030"/>
        <v>0</v>
      </c>
      <c r="AS625" s="220">
        <f t="shared" si="2031"/>
        <v>0</v>
      </c>
      <c r="AT625" s="216">
        <f t="shared" si="2032"/>
        <v>437.3</v>
      </c>
      <c r="AU625" s="222">
        <f t="shared" si="1982"/>
        <v>147.30000000000001</v>
      </c>
      <c r="AV625" s="220"/>
      <c r="AW625" s="220">
        <f t="shared" si="2033"/>
        <v>147.30000000000001</v>
      </c>
      <c r="AX625" s="216">
        <f t="shared" si="2020"/>
        <v>0</v>
      </c>
      <c r="AY625" s="220">
        <f t="shared" si="2034"/>
        <v>0</v>
      </c>
      <c r="AZ625" s="220">
        <f t="shared" si="2035"/>
        <v>0</v>
      </c>
      <c r="BA625" s="220">
        <f t="shared" si="2036"/>
        <v>20</v>
      </c>
      <c r="BB625" s="220">
        <f t="shared" si="2037"/>
        <v>0</v>
      </c>
      <c r="BC625" s="220">
        <f t="shared" si="2038"/>
        <v>0</v>
      </c>
      <c r="BD625" s="216">
        <f t="shared" si="1987"/>
        <v>20</v>
      </c>
      <c r="BE625" s="220">
        <f t="shared" si="2039"/>
        <v>0</v>
      </c>
      <c r="BF625" s="220">
        <f t="shared" si="2040"/>
        <v>0</v>
      </c>
      <c r="BG625" s="220">
        <f t="shared" si="2041"/>
        <v>0</v>
      </c>
      <c r="BH625" s="220">
        <f t="shared" si="2042"/>
        <v>0</v>
      </c>
      <c r="BI625" s="220">
        <f t="shared" si="2043"/>
        <v>0</v>
      </c>
      <c r="BJ625" s="220" t="s">
        <v>1959</v>
      </c>
      <c r="BK625" s="220"/>
      <c r="BL625" s="223">
        <f t="shared" si="2005"/>
        <v>147.30000000000001</v>
      </c>
      <c r="BM625" s="220">
        <v>3.66</v>
      </c>
      <c r="BN625" s="220"/>
      <c r="BO625" s="220">
        <f t="shared" si="2067"/>
        <v>3.66</v>
      </c>
      <c r="BP625" s="220">
        <f>IF(AND(BL625&gt;0,BL625&lt;tiet!$D$1),BL625,IF(BL625&lt;=0,0,IF(BL625&gt;tiet!$C$1,tiet!$C$1)))</f>
        <v>147.30000000000001</v>
      </c>
      <c r="BQ625" s="87">
        <f t="shared" si="1903"/>
        <v>65000</v>
      </c>
      <c r="BR625" s="224">
        <f t="shared" si="1904"/>
        <v>9574500</v>
      </c>
      <c r="BS625" s="220">
        <f t="shared" si="1933"/>
        <v>0</v>
      </c>
      <c r="BT625" s="224">
        <f>VLOOKUP(N625,ma_dinhmuc!$A$1:$J$31,10,0)</f>
        <v>51000</v>
      </c>
      <c r="BU625" s="224">
        <f>ROUND(IF(BS625&gt;0,VLOOKUP(N625,ma_dinhmuc!$A$1:$J$31,10,0)*BS625,0),0)</f>
        <v>0</v>
      </c>
      <c r="BV625" s="224">
        <f t="shared" si="1905"/>
        <v>9574500</v>
      </c>
      <c r="BW625" s="224"/>
      <c r="BX625" s="224">
        <v>0</v>
      </c>
      <c r="BY625" s="224"/>
      <c r="BZ625" s="224"/>
      <c r="CA625" s="224"/>
      <c r="CB625" s="224"/>
      <c r="CC625" s="225">
        <f t="shared" si="1968"/>
        <v>9574500</v>
      </c>
      <c r="CD625" s="224">
        <f t="shared" si="1969"/>
        <v>0</v>
      </c>
      <c r="CE625" s="224"/>
      <c r="CF625" s="226"/>
      <c r="CG625" s="87"/>
      <c r="CH625" s="87">
        <f t="shared" si="2068"/>
        <v>16</v>
      </c>
      <c r="CI625" s="227" t="str">
        <f t="shared" si="2013"/>
        <v>Trần Thị Bình</v>
      </c>
      <c r="CJ625" s="227" t="str">
        <f t="shared" si="2014"/>
        <v>Nguyên</v>
      </c>
      <c r="CK625" s="87">
        <f t="shared" si="2015"/>
        <v>12</v>
      </c>
      <c r="CL625" s="227" t="str">
        <f t="shared" si="1989"/>
        <v>CNSH động vật</v>
      </c>
      <c r="CM625" s="87" t="str">
        <f t="shared" si="2044"/>
        <v>CS2</v>
      </c>
      <c r="CN625" s="87">
        <f t="shared" si="2066"/>
        <v>270</v>
      </c>
      <c r="CO625" s="87">
        <f t="shared" si="2066"/>
        <v>120</v>
      </c>
      <c r="CP625" s="229">
        <f t="shared" si="1943"/>
        <v>0</v>
      </c>
      <c r="CQ625" s="229">
        <f t="shared" si="1944"/>
        <v>55.4</v>
      </c>
      <c r="CR625" s="229">
        <f t="shared" si="1945"/>
        <v>17.5</v>
      </c>
      <c r="CS625" s="229">
        <f t="shared" si="1946"/>
        <v>42.3</v>
      </c>
      <c r="CT625" s="229">
        <f t="shared" si="1947"/>
        <v>0</v>
      </c>
      <c r="CU625" s="229">
        <f t="shared" si="1948"/>
        <v>227.1</v>
      </c>
      <c r="CV625" s="229">
        <f t="shared" si="1949"/>
        <v>0</v>
      </c>
      <c r="CW625" s="229">
        <f t="shared" si="1950"/>
        <v>75</v>
      </c>
      <c r="CX625" s="229">
        <f t="shared" si="1951"/>
        <v>0</v>
      </c>
      <c r="CY625" s="229">
        <f t="shared" si="1952"/>
        <v>0</v>
      </c>
      <c r="CZ625" s="229">
        <f t="shared" si="1953"/>
        <v>0</v>
      </c>
      <c r="DA625" s="229">
        <f t="shared" si="1954"/>
        <v>20</v>
      </c>
      <c r="DB625" s="228">
        <f t="shared" si="2045"/>
        <v>437.3</v>
      </c>
      <c r="DC625" s="229"/>
      <c r="DD625" s="229"/>
      <c r="DE625" s="229"/>
      <c r="DF625" s="229"/>
      <c r="DG625" s="229"/>
      <c r="DH625" s="229"/>
      <c r="DI625" s="229"/>
      <c r="DJ625" s="229"/>
      <c r="DK625" s="229"/>
      <c r="DL625" s="229"/>
      <c r="DM625" s="229"/>
      <c r="DN625" s="229"/>
      <c r="DO625" s="228">
        <f t="shared" si="2046"/>
        <v>0</v>
      </c>
      <c r="DP625" s="228">
        <f t="shared" si="2047"/>
        <v>437.3</v>
      </c>
      <c r="DQ625" s="229">
        <f t="shared" si="1955"/>
        <v>0</v>
      </c>
      <c r="DR625" s="229">
        <f t="shared" si="1956"/>
        <v>0</v>
      </c>
      <c r="DS625" s="229">
        <f t="shared" si="1957"/>
        <v>0</v>
      </c>
      <c r="DT625" s="229">
        <f t="shared" si="1958"/>
        <v>0</v>
      </c>
      <c r="DU625" s="229">
        <f t="shared" si="1959"/>
        <v>0</v>
      </c>
      <c r="DV625" s="229">
        <f t="shared" si="1960"/>
        <v>0</v>
      </c>
      <c r="DW625" s="229">
        <f t="shared" si="1961"/>
        <v>0</v>
      </c>
      <c r="DX625" s="228">
        <f t="shared" si="2048"/>
        <v>0</v>
      </c>
      <c r="DY625" s="229"/>
      <c r="DZ625" s="229"/>
      <c r="EA625" s="229"/>
      <c r="EB625" s="229"/>
      <c r="EC625" s="229"/>
      <c r="ED625" s="229"/>
      <c r="EE625" s="229"/>
      <c r="EF625" s="228">
        <f t="shared" si="1939"/>
        <v>0</v>
      </c>
      <c r="EG625" s="228">
        <f t="shared" si="2049"/>
        <v>0</v>
      </c>
      <c r="EH625" s="229">
        <f t="shared" si="1940"/>
        <v>74.290000000000006</v>
      </c>
      <c r="EI625" s="229">
        <v>63.46</v>
      </c>
      <c r="EJ625" s="228">
        <f t="shared" si="2055"/>
        <v>137.75</v>
      </c>
      <c r="EK625" s="229"/>
      <c r="EL625" s="229"/>
      <c r="EM625" s="228">
        <f t="shared" si="1994"/>
        <v>0</v>
      </c>
      <c r="EN625" s="229">
        <f t="shared" si="1894"/>
        <v>74.290000000000006</v>
      </c>
      <c r="EO625" s="229">
        <f t="shared" si="1983"/>
        <v>63.46</v>
      </c>
      <c r="EP625" s="228">
        <f t="shared" si="2052"/>
        <v>137.75</v>
      </c>
      <c r="EQ625" s="173">
        <f t="shared" si="1934"/>
        <v>0</v>
      </c>
      <c r="ER625" s="189">
        <v>0</v>
      </c>
      <c r="ES625" s="189">
        <v>55.4</v>
      </c>
      <c r="ET625" s="189">
        <v>17.5</v>
      </c>
      <c r="EU625" s="189">
        <v>42.3</v>
      </c>
      <c r="EV625" s="189">
        <v>0</v>
      </c>
      <c r="EW625" s="189">
        <v>227.1</v>
      </c>
      <c r="EX625" s="189">
        <v>0</v>
      </c>
      <c r="EY625" s="189">
        <v>75</v>
      </c>
      <c r="EZ625" s="189">
        <v>0</v>
      </c>
      <c r="FA625" s="189">
        <v>0</v>
      </c>
      <c r="FB625" s="189">
        <v>0</v>
      </c>
      <c r="FC625" s="189">
        <v>20</v>
      </c>
      <c r="FD625" s="189">
        <v>0</v>
      </c>
      <c r="FE625" s="189">
        <v>0</v>
      </c>
      <c r="FF625" s="189">
        <v>0</v>
      </c>
      <c r="FG625" s="189">
        <v>0</v>
      </c>
      <c r="FH625" s="189">
        <v>0</v>
      </c>
      <c r="FI625" s="189">
        <v>0</v>
      </c>
      <c r="FJ625" s="189">
        <v>0</v>
      </c>
      <c r="FK625" s="189">
        <v>437.3</v>
      </c>
      <c r="FL625" s="189">
        <v>299.3</v>
      </c>
      <c r="FN625" s="132">
        <v>74.290000000000006</v>
      </c>
    </row>
    <row r="626" spans="1:170" ht="30" customHeight="1">
      <c r="A626" s="88">
        <f>COUNTIF($H$12:H626,H626)</f>
        <v>17</v>
      </c>
      <c r="B626" s="88" t="s">
        <v>2175</v>
      </c>
      <c r="C626" s="88" t="s">
        <v>1394</v>
      </c>
      <c r="D626" s="88"/>
      <c r="E626" s="88"/>
      <c r="F626" s="301" t="s">
        <v>379</v>
      </c>
      <c r="G626" s="89" t="s">
        <v>1600</v>
      </c>
      <c r="H626" s="88">
        <v>12</v>
      </c>
      <c r="I626" s="88">
        <v>12</v>
      </c>
      <c r="J626" s="88">
        <v>12</v>
      </c>
      <c r="K626" s="90" t="s">
        <v>2849</v>
      </c>
      <c r="L626" s="90" t="s">
        <v>2849</v>
      </c>
      <c r="M626" s="214"/>
      <c r="N626" s="88" t="s">
        <v>1804</v>
      </c>
      <c r="O626" s="216">
        <f t="shared" ref="O626:O649" si="2069">BO626</f>
        <v>3.33</v>
      </c>
      <c r="P626" s="88" t="str">
        <f t="shared" si="2009"/>
        <v>B1_4</v>
      </c>
      <c r="Q626" s="88">
        <f t="shared" si="1935"/>
        <v>270</v>
      </c>
      <c r="R626" s="88">
        <f t="shared" si="1936"/>
        <v>120</v>
      </c>
      <c r="S626" s="232" t="s">
        <v>2400</v>
      </c>
      <c r="T626" s="88" t="s">
        <v>3091</v>
      </c>
      <c r="U626" s="88">
        <f>IF(RIGHT(T626,1)="K",(VLOOKUP(T626,ma_miengiam!$A$3:$B$80,2,0)*100)/2,VLOOKUP(T626,ma_miengiam!$A$3:$B$80,2,0)*100)</f>
        <v>20</v>
      </c>
      <c r="V626" s="88"/>
      <c r="W626" s="220">
        <f>IF(AND(T626="NTS",V626&gt;0),(Q626-(Q626*V626)/12)*VLOOKUP(T626,ma_miengiam!$A$3:$B$80,2,0)+(Q626-(Q626*(12-V626))/12),IF(AND(RIGHT(T626,1)="K",V626&gt;0),(VLOOKUP(T626,ma_miengiam!$A$3:$B$80,2,0)/2)*(Q626*V626)/12,IF(RIGHT(T626,1)="K",(VLOOKUP(T626,ma_miengiam!$A$3:$B$80,2,0)*Q626)/2,IF(V626&gt;0,VLOOKUP(T626,ma_miengiam!$A$3:$B$80,2,0)*Q626*V626/12,VLOOKUP(T626,ma_miengiam!$A$3:$B$80,2,0)*Q626))))</f>
        <v>54</v>
      </c>
      <c r="X626" s="220">
        <f>IF(T626="NTS",VLOOKUP(T626,ma_miengiam!$A$3:$B$80,2,0)*R626*V626,IF(AND(T626="NTS",V626=0),0,IF(AND(LEFT(T626,1)="K",V626=0),VLOOKUP(T626,ma_miengiam!$A$3:$B$80,2,0)*R626,IF(LEFT(T626,1)="K",(VLOOKUP(T626,ma_miengiam!$A$3:$B$80,2,0)*R626/12)*V626,IF(AND(LEFT(T626,1)="S",V626&gt;0),(R626/12)*V626,IF(AND(LEFT(T626,1)="S",V626=0),R626,IF(T626="DH",VLOOKUP(T626,ma_miengiam!$A$3:$B$80,2,0)*R626,0)))))))</f>
        <v>0</v>
      </c>
      <c r="Y626" s="220">
        <f t="shared" si="1963"/>
        <v>216</v>
      </c>
      <c r="Z626" s="220">
        <f t="shared" si="2065"/>
        <v>120</v>
      </c>
      <c r="AA626" s="220">
        <f t="shared" si="2056"/>
        <v>270</v>
      </c>
      <c r="AB626" s="220">
        <f t="shared" si="2057"/>
        <v>120</v>
      </c>
      <c r="AC626" s="220">
        <f t="shared" si="2058"/>
        <v>54</v>
      </c>
      <c r="AD626" s="220">
        <f t="shared" si="2059"/>
        <v>0</v>
      </c>
      <c r="AE626" s="220">
        <f t="shared" si="2060"/>
        <v>216</v>
      </c>
      <c r="AF626" s="220">
        <f t="shared" si="2061"/>
        <v>120</v>
      </c>
      <c r="AG626" s="220">
        <f t="shared" si="2062"/>
        <v>155.31333333333333</v>
      </c>
      <c r="AH626" s="220">
        <f t="shared" si="2063"/>
        <v>116.14333333333335</v>
      </c>
      <c r="AI626" s="220">
        <f t="shared" si="2064"/>
        <v>39.17</v>
      </c>
      <c r="AJ626" s="220">
        <f t="shared" si="1902"/>
        <v>0</v>
      </c>
      <c r="AK626" s="216">
        <f t="shared" si="2051"/>
        <v>216</v>
      </c>
      <c r="AL626" s="220">
        <f t="shared" si="2024"/>
        <v>72.3</v>
      </c>
      <c r="AM626" s="220">
        <f t="shared" si="2025"/>
        <v>0</v>
      </c>
      <c r="AN626" s="221">
        <f t="shared" si="2026"/>
        <v>72.3</v>
      </c>
      <c r="AO626" s="220">
        <f t="shared" si="2027"/>
        <v>0</v>
      </c>
      <c r="AP626" s="220">
        <f t="shared" si="2028"/>
        <v>0</v>
      </c>
      <c r="AQ626" s="220">
        <f t="shared" si="2029"/>
        <v>24</v>
      </c>
      <c r="AR626" s="220">
        <f t="shared" si="2030"/>
        <v>0</v>
      </c>
      <c r="AS626" s="220">
        <f t="shared" si="2031"/>
        <v>0</v>
      </c>
      <c r="AT626" s="216">
        <f t="shared" si="2032"/>
        <v>96.3</v>
      </c>
      <c r="AU626" s="220">
        <f t="shared" si="1982"/>
        <v>-143.69999999999999</v>
      </c>
      <c r="AV626" s="220"/>
      <c r="AW626" s="220">
        <f t="shared" si="2033"/>
        <v>-143.69999999999999</v>
      </c>
      <c r="AX626" s="216">
        <f t="shared" si="2020"/>
        <v>-143.69999999999999</v>
      </c>
      <c r="AY626" s="220">
        <f t="shared" si="2034"/>
        <v>0</v>
      </c>
      <c r="AZ626" s="220">
        <f t="shared" si="2035"/>
        <v>0</v>
      </c>
      <c r="BA626" s="220">
        <f t="shared" si="2036"/>
        <v>0</v>
      </c>
      <c r="BB626" s="220">
        <f t="shared" si="2037"/>
        <v>0</v>
      </c>
      <c r="BC626" s="220">
        <f t="shared" si="2038"/>
        <v>0</v>
      </c>
      <c r="BD626" s="216">
        <f t="shared" si="1987"/>
        <v>0</v>
      </c>
      <c r="BE626" s="220">
        <f t="shared" si="2039"/>
        <v>0</v>
      </c>
      <c r="BF626" s="220">
        <f t="shared" si="2040"/>
        <v>0</v>
      </c>
      <c r="BG626" s="220">
        <f t="shared" si="2041"/>
        <v>-24</v>
      </c>
      <c r="BH626" s="220">
        <f t="shared" si="2042"/>
        <v>0</v>
      </c>
      <c r="BI626" s="220">
        <f t="shared" si="2043"/>
        <v>0</v>
      </c>
      <c r="BJ626" s="220" t="s">
        <v>1960</v>
      </c>
      <c r="BK626" s="220"/>
      <c r="BL626" s="223">
        <f t="shared" si="2005"/>
        <v>0</v>
      </c>
      <c r="BM626" s="220">
        <v>3.33</v>
      </c>
      <c r="BN626" s="220"/>
      <c r="BO626" s="220">
        <f t="shared" si="2067"/>
        <v>3.33</v>
      </c>
      <c r="BP626" s="220">
        <f>IF(AND(BL626&gt;0,BL626&lt;tiet!$D$1),BL626,IF(BL626&lt;=0,0,IF(BL626&gt;tiet!$C$1,tiet!$C$1)))</f>
        <v>0</v>
      </c>
      <c r="BQ626" s="87">
        <f t="shared" si="1903"/>
        <v>65000</v>
      </c>
      <c r="BR626" s="224">
        <f t="shared" si="1904"/>
        <v>0</v>
      </c>
      <c r="BS626" s="220">
        <f t="shared" si="1933"/>
        <v>0</v>
      </c>
      <c r="BT626" s="224">
        <f>VLOOKUP(N626,ma_dinhmuc!$A$1:$J$31,10,0)</f>
        <v>51000</v>
      </c>
      <c r="BU626" s="224">
        <f>ROUND(IF(BS626&gt;0,VLOOKUP(N626,ma_dinhmuc!$A$1:$J$31,10,0)*BS626,0),0)</f>
        <v>0</v>
      </c>
      <c r="BV626" s="224">
        <f t="shared" si="1905"/>
        <v>0</v>
      </c>
      <c r="BW626" s="224"/>
      <c r="BX626" s="224">
        <v>0</v>
      </c>
      <c r="BY626" s="224"/>
      <c r="BZ626" s="224"/>
      <c r="CA626" s="224"/>
      <c r="CB626" s="224"/>
      <c r="CC626" s="225">
        <f t="shared" si="1968"/>
        <v>0</v>
      </c>
      <c r="CD626" s="224">
        <f t="shared" si="1969"/>
        <v>0</v>
      </c>
      <c r="CE626" s="224"/>
      <c r="CF626" s="226"/>
      <c r="CG626" s="87"/>
      <c r="CH626" s="87">
        <f t="shared" si="2068"/>
        <v>17</v>
      </c>
      <c r="CI626" s="227" t="str">
        <f t="shared" si="2013"/>
        <v>Trần Thị Hồng</v>
      </c>
      <c r="CJ626" s="227" t="str">
        <f t="shared" si="2014"/>
        <v>Hạnh</v>
      </c>
      <c r="CK626" s="87">
        <f t="shared" si="2015"/>
        <v>12</v>
      </c>
      <c r="CL626" s="227" t="str">
        <f t="shared" ref="CL626:CL657" si="2070">L626</f>
        <v xml:space="preserve">Công nghệ vi sinh </v>
      </c>
      <c r="CM626" s="87" t="str">
        <f t="shared" si="2044"/>
        <v>CS2</v>
      </c>
      <c r="CN626" s="87">
        <f t="shared" ref="CN626:CO628" si="2071">Q626</f>
        <v>270</v>
      </c>
      <c r="CO626" s="87">
        <f t="shared" si="2071"/>
        <v>120</v>
      </c>
      <c r="CP626" s="229">
        <f t="shared" si="1943"/>
        <v>0</v>
      </c>
      <c r="CQ626" s="229">
        <f t="shared" si="1944"/>
        <v>0</v>
      </c>
      <c r="CR626" s="229">
        <f t="shared" si="1945"/>
        <v>0</v>
      </c>
      <c r="CS626" s="229">
        <f t="shared" si="1946"/>
        <v>72.3</v>
      </c>
      <c r="CT626" s="229">
        <f t="shared" si="1947"/>
        <v>0</v>
      </c>
      <c r="CU626" s="229">
        <f t="shared" si="1948"/>
        <v>0</v>
      </c>
      <c r="CV626" s="229">
        <f t="shared" si="1949"/>
        <v>0</v>
      </c>
      <c r="CW626" s="229">
        <f t="shared" si="1950"/>
        <v>0</v>
      </c>
      <c r="CX626" s="229">
        <f t="shared" si="1951"/>
        <v>0</v>
      </c>
      <c r="CY626" s="229">
        <f t="shared" si="1952"/>
        <v>0</v>
      </c>
      <c r="CZ626" s="229">
        <f t="shared" si="1953"/>
        <v>0</v>
      </c>
      <c r="DA626" s="229">
        <f t="shared" si="1954"/>
        <v>24</v>
      </c>
      <c r="DB626" s="228">
        <f t="shared" si="2045"/>
        <v>96.3</v>
      </c>
      <c r="DC626" s="229"/>
      <c r="DD626" s="229"/>
      <c r="DE626" s="229"/>
      <c r="DF626" s="229"/>
      <c r="DG626" s="229"/>
      <c r="DH626" s="229"/>
      <c r="DI626" s="229"/>
      <c r="DJ626" s="229"/>
      <c r="DK626" s="229"/>
      <c r="DL626" s="229"/>
      <c r="DM626" s="229"/>
      <c r="DN626" s="229"/>
      <c r="DO626" s="228">
        <f t="shared" si="2046"/>
        <v>0</v>
      </c>
      <c r="DP626" s="228">
        <f t="shared" si="2047"/>
        <v>96.3</v>
      </c>
      <c r="DQ626" s="229">
        <f t="shared" si="1955"/>
        <v>0</v>
      </c>
      <c r="DR626" s="229">
        <f t="shared" si="1956"/>
        <v>0</v>
      </c>
      <c r="DS626" s="229">
        <f t="shared" si="1957"/>
        <v>0</v>
      </c>
      <c r="DT626" s="229">
        <f t="shared" si="1958"/>
        <v>0</v>
      </c>
      <c r="DU626" s="229">
        <f t="shared" si="1959"/>
        <v>0</v>
      </c>
      <c r="DV626" s="229">
        <f t="shared" si="1960"/>
        <v>0</v>
      </c>
      <c r="DW626" s="229">
        <f t="shared" si="1961"/>
        <v>0</v>
      </c>
      <c r="DX626" s="228">
        <f t="shared" si="2048"/>
        <v>0</v>
      </c>
      <c r="DY626" s="229"/>
      <c r="DZ626" s="229"/>
      <c r="EA626" s="229"/>
      <c r="EB626" s="229"/>
      <c r="EC626" s="229"/>
      <c r="ED626" s="229"/>
      <c r="EE626" s="229"/>
      <c r="EF626" s="228">
        <f t="shared" si="1939"/>
        <v>0</v>
      </c>
      <c r="EG626" s="228">
        <f t="shared" si="2049"/>
        <v>0</v>
      </c>
      <c r="EH626" s="229">
        <f t="shared" si="1940"/>
        <v>39.17</v>
      </c>
      <c r="EI626" s="229">
        <v>116.14333333333335</v>
      </c>
      <c r="EJ626" s="228">
        <f t="shared" si="2055"/>
        <v>155.31333333333333</v>
      </c>
      <c r="EK626" s="229"/>
      <c r="EL626" s="229"/>
      <c r="EM626" s="228">
        <f t="shared" si="1994"/>
        <v>0</v>
      </c>
      <c r="EN626" s="229">
        <f t="shared" si="1894"/>
        <v>39.17</v>
      </c>
      <c r="EO626" s="229">
        <f t="shared" si="1983"/>
        <v>116.14333333333335</v>
      </c>
      <c r="EP626" s="228">
        <f t="shared" si="2052"/>
        <v>155.31333333333333</v>
      </c>
      <c r="EQ626" s="173">
        <f t="shared" si="1934"/>
        <v>0</v>
      </c>
      <c r="ER626" s="189">
        <v>0</v>
      </c>
      <c r="ES626" s="189">
        <v>0</v>
      </c>
      <c r="ET626" s="189">
        <v>0</v>
      </c>
      <c r="EU626" s="189">
        <v>72.3</v>
      </c>
      <c r="EV626" s="189">
        <v>0</v>
      </c>
      <c r="EW626" s="189">
        <v>0</v>
      </c>
      <c r="EX626" s="189">
        <v>0</v>
      </c>
      <c r="EY626" s="189">
        <v>0</v>
      </c>
      <c r="EZ626" s="189">
        <v>0</v>
      </c>
      <c r="FA626" s="189">
        <v>0</v>
      </c>
      <c r="FB626" s="189">
        <v>0</v>
      </c>
      <c r="FC626" s="189">
        <v>24</v>
      </c>
      <c r="FD626" s="189">
        <v>0</v>
      </c>
      <c r="FE626" s="189">
        <v>0</v>
      </c>
      <c r="FF626" s="189">
        <v>0</v>
      </c>
      <c r="FG626" s="189">
        <v>0</v>
      </c>
      <c r="FH626" s="189">
        <v>0</v>
      </c>
      <c r="FI626" s="189">
        <v>0</v>
      </c>
      <c r="FJ626" s="189">
        <v>0</v>
      </c>
      <c r="FK626" s="189">
        <v>96.3</v>
      </c>
      <c r="FL626" s="189">
        <v>96.3</v>
      </c>
      <c r="FN626" s="132">
        <v>39.17</v>
      </c>
    </row>
    <row r="627" spans="1:170" ht="33.75" customHeight="1">
      <c r="A627" s="88">
        <f>COUNTIF($H$12:H627,H627)</f>
        <v>18</v>
      </c>
      <c r="B627" s="88" t="s">
        <v>2176</v>
      </c>
      <c r="C627" s="88" t="s">
        <v>981</v>
      </c>
      <c r="D627" s="88"/>
      <c r="E627" s="88"/>
      <c r="F627" s="301" t="s">
        <v>2209</v>
      </c>
      <c r="G627" s="89" t="s">
        <v>380</v>
      </c>
      <c r="H627" s="88">
        <v>12</v>
      </c>
      <c r="I627" s="88">
        <v>12</v>
      </c>
      <c r="J627" s="88">
        <v>12</v>
      </c>
      <c r="K627" s="90" t="s">
        <v>2849</v>
      </c>
      <c r="L627" s="90" t="s">
        <v>2849</v>
      </c>
      <c r="M627" s="214"/>
      <c r="N627" s="88" t="s">
        <v>1804</v>
      </c>
      <c r="O627" s="216">
        <f t="shared" si="2069"/>
        <v>3.33</v>
      </c>
      <c r="P627" s="88" t="str">
        <f t="shared" si="2009"/>
        <v>B1_4</v>
      </c>
      <c r="Q627" s="88">
        <f t="shared" si="1935"/>
        <v>270</v>
      </c>
      <c r="R627" s="88">
        <f t="shared" si="1936"/>
        <v>120</v>
      </c>
      <c r="S627" s="231" t="s">
        <v>2987</v>
      </c>
      <c r="T627" s="88" t="s">
        <v>2961</v>
      </c>
      <c r="U627" s="88">
        <f>IF(RIGHT(T627,1)="K",(VLOOKUP(T627,ma_miengiam!$A$3:$B$80,2,0)*100)/2,VLOOKUP(T627,ma_miengiam!$A$3:$B$80,2,0)*100)</f>
        <v>100</v>
      </c>
      <c r="V627" s="88"/>
      <c r="W627" s="220">
        <f>IF(AND(T627="NTS",V627&gt;0),(Q627-(Q627*V627)/12)*VLOOKUP(T627,ma_miengiam!$A$3:$B$80,2,0)+(Q627-(Q627*(12-V627))/12),IF(AND(RIGHT(T627,1)="K",V627&gt;0),(VLOOKUP(T627,ma_miengiam!$A$3:$B$80,2,0)/2)*(Q627*V627)/12,IF(RIGHT(T627,1)="K",(VLOOKUP(T627,ma_miengiam!$A$3:$B$80,2,0)*Q627)/2,IF(V627&gt;0,VLOOKUP(T627,ma_miengiam!$A$3:$B$80,2,0)*Q627*V627/12,VLOOKUP(T627,ma_miengiam!$A$3:$B$80,2,0)*Q627))))</f>
        <v>270</v>
      </c>
      <c r="X627" s="220">
        <f>IF(T627="NTS",VLOOKUP(T627,ma_miengiam!$A$3:$B$80,2,0)*R627*V627,IF(AND(T627="NTS",V627=0),0,IF(AND(LEFT(T627,1)="K",V627=0),VLOOKUP(T627,ma_miengiam!$A$3:$B$80,2,0)*R627,IF(LEFT(T627,1)="K",(VLOOKUP(T627,ma_miengiam!$A$3:$B$80,2,0)*R627/12)*V627,IF(AND(LEFT(T627,1)="S",V627&gt;0),(R627/12)*V627,IF(AND(LEFT(T627,1)="S",V627=0),R627,IF(T627="DH",VLOOKUP(T627,ma_miengiam!$A$3:$B$80,2,0)*R627,0)))))))</f>
        <v>120</v>
      </c>
      <c r="Y627" s="220">
        <f t="shared" si="1963"/>
        <v>0</v>
      </c>
      <c r="Z627" s="220">
        <f t="shared" si="2065"/>
        <v>0</v>
      </c>
      <c r="AA627" s="220">
        <f t="shared" si="2056"/>
        <v>270</v>
      </c>
      <c r="AB627" s="220">
        <f t="shared" si="2057"/>
        <v>120</v>
      </c>
      <c r="AC627" s="220">
        <f t="shared" si="2058"/>
        <v>270</v>
      </c>
      <c r="AD627" s="220">
        <f t="shared" si="2059"/>
        <v>120</v>
      </c>
      <c r="AE627" s="220">
        <f t="shared" si="2060"/>
        <v>0</v>
      </c>
      <c r="AF627" s="220">
        <f t="shared" si="2061"/>
        <v>0</v>
      </c>
      <c r="AG627" s="220">
        <f t="shared" si="2062"/>
        <v>0</v>
      </c>
      <c r="AH627" s="220">
        <f t="shared" si="2063"/>
        <v>0</v>
      </c>
      <c r="AI627" s="220">
        <f t="shared" si="2064"/>
        <v>0</v>
      </c>
      <c r="AJ627" s="220">
        <f t="shared" si="1902"/>
        <v>0</v>
      </c>
      <c r="AK627" s="216">
        <f t="shared" si="2051"/>
        <v>0</v>
      </c>
      <c r="AL627" s="220">
        <f t="shared" si="2024"/>
        <v>0</v>
      </c>
      <c r="AM627" s="220">
        <f t="shared" si="2025"/>
        <v>0</v>
      </c>
      <c r="AN627" s="221">
        <f t="shared" si="2026"/>
        <v>0</v>
      </c>
      <c r="AO627" s="220">
        <f t="shared" si="2027"/>
        <v>0</v>
      </c>
      <c r="AP627" s="220">
        <f t="shared" si="2028"/>
        <v>0</v>
      </c>
      <c r="AQ627" s="220">
        <f t="shared" si="2029"/>
        <v>0</v>
      </c>
      <c r="AR627" s="220">
        <f t="shared" si="2030"/>
        <v>0</v>
      </c>
      <c r="AS627" s="220">
        <f t="shared" si="2031"/>
        <v>0</v>
      </c>
      <c r="AT627" s="216">
        <f t="shared" si="2032"/>
        <v>0</v>
      </c>
      <c r="AU627" s="222">
        <f t="shared" si="1982"/>
        <v>0</v>
      </c>
      <c r="AV627" s="220"/>
      <c r="AW627" s="220">
        <f t="shared" si="2033"/>
        <v>0</v>
      </c>
      <c r="AX627" s="216">
        <f t="shared" si="2020"/>
        <v>0</v>
      </c>
      <c r="AY627" s="220">
        <f t="shared" si="2034"/>
        <v>0</v>
      </c>
      <c r="AZ627" s="220">
        <f t="shared" si="2035"/>
        <v>0</v>
      </c>
      <c r="BA627" s="220">
        <f t="shared" si="2036"/>
        <v>0</v>
      </c>
      <c r="BB627" s="220">
        <f t="shared" si="2037"/>
        <v>0</v>
      </c>
      <c r="BC627" s="220">
        <f t="shared" si="2038"/>
        <v>0</v>
      </c>
      <c r="BD627" s="216">
        <f t="shared" si="1987"/>
        <v>0</v>
      </c>
      <c r="BE627" s="220">
        <f t="shared" si="2039"/>
        <v>0</v>
      </c>
      <c r="BF627" s="220">
        <f t="shared" si="2040"/>
        <v>0</v>
      </c>
      <c r="BG627" s="220">
        <f t="shared" si="2041"/>
        <v>0</v>
      </c>
      <c r="BH627" s="220">
        <f t="shared" si="2042"/>
        <v>0</v>
      </c>
      <c r="BI627" s="220">
        <f t="shared" si="2043"/>
        <v>0</v>
      </c>
      <c r="BJ627" s="220" t="s">
        <v>1960</v>
      </c>
      <c r="BK627" s="220"/>
      <c r="BL627" s="223">
        <f t="shared" si="2005"/>
        <v>0</v>
      </c>
      <c r="BM627" s="220">
        <v>3.33</v>
      </c>
      <c r="BN627" s="220"/>
      <c r="BO627" s="220">
        <f t="shared" si="2067"/>
        <v>3.33</v>
      </c>
      <c r="BP627" s="220">
        <f>IF(AND(BL627&gt;0,BL627&lt;tiet!$D$1),BL627,IF(BL627&lt;=0,0,IF(BL627&gt;tiet!$C$1,tiet!$C$1)))</f>
        <v>0</v>
      </c>
      <c r="BQ627" s="87">
        <f t="shared" si="1903"/>
        <v>65000</v>
      </c>
      <c r="BR627" s="224">
        <f t="shared" si="1904"/>
        <v>0</v>
      </c>
      <c r="BS627" s="220">
        <f t="shared" si="1933"/>
        <v>0</v>
      </c>
      <c r="BT627" s="224">
        <f>VLOOKUP(N627,ma_dinhmuc!$A$1:$J$31,10,0)</f>
        <v>51000</v>
      </c>
      <c r="BU627" s="224">
        <f>ROUND(IF(BS627&gt;0,VLOOKUP(N627,ma_dinhmuc!$A$1:$J$31,10,0)*BS627,0),0)</f>
        <v>0</v>
      </c>
      <c r="BV627" s="224">
        <f t="shared" si="1905"/>
        <v>0</v>
      </c>
      <c r="BW627" s="224"/>
      <c r="BX627" s="224">
        <v>0</v>
      </c>
      <c r="BY627" s="224"/>
      <c r="BZ627" s="224"/>
      <c r="CA627" s="224"/>
      <c r="CB627" s="224"/>
      <c r="CC627" s="225">
        <f t="shared" si="1968"/>
        <v>0</v>
      </c>
      <c r="CD627" s="224">
        <f t="shared" si="1969"/>
        <v>0</v>
      </c>
      <c r="CE627" s="224"/>
      <c r="CF627" s="226"/>
      <c r="CG627" s="87"/>
      <c r="CH627" s="87">
        <f t="shared" si="2068"/>
        <v>18</v>
      </c>
      <c r="CI627" s="227" t="str">
        <f t="shared" si="2013"/>
        <v>Nguyễn Thị Minh</v>
      </c>
      <c r="CJ627" s="227" t="str">
        <f t="shared" si="2014"/>
        <v>Việt</v>
      </c>
      <c r="CK627" s="87">
        <f t="shared" si="2015"/>
        <v>12</v>
      </c>
      <c r="CL627" s="227" t="str">
        <f t="shared" si="2070"/>
        <v xml:space="preserve">Công nghệ vi sinh </v>
      </c>
      <c r="CM627" s="87" t="str">
        <f t="shared" si="2044"/>
        <v>CS2</v>
      </c>
      <c r="CN627" s="87">
        <f t="shared" si="2071"/>
        <v>270</v>
      </c>
      <c r="CO627" s="87">
        <f t="shared" si="2071"/>
        <v>120</v>
      </c>
      <c r="CP627" s="229">
        <f t="shared" si="1943"/>
        <v>0</v>
      </c>
      <c r="CQ627" s="229">
        <f t="shared" si="1944"/>
        <v>0</v>
      </c>
      <c r="CR627" s="229">
        <f t="shared" si="1945"/>
        <v>0</v>
      </c>
      <c r="CS627" s="229">
        <f t="shared" si="1946"/>
        <v>0</v>
      </c>
      <c r="CT627" s="229">
        <f t="shared" si="1947"/>
        <v>0</v>
      </c>
      <c r="CU627" s="229">
        <f t="shared" si="1948"/>
        <v>0</v>
      </c>
      <c r="CV627" s="229">
        <f t="shared" si="1949"/>
        <v>0</v>
      </c>
      <c r="CW627" s="229">
        <f t="shared" si="1950"/>
        <v>0</v>
      </c>
      <c r="CX627" s="229">
        <f t="shared" si="1951"/>
        <v>0</v>
      </c>
      <c r="CY627" s="229">
        <f t="shared" si="1952"/>
        <v>0</v>
      </c>
      <c r="CZ627" s="229">
        <f t="shared" si="1953"/>
        <v>0</v>
      </c>
      <c r="DA627" s="229">
        <f t="shared" si="1954"/>
        <v>0</v>
      </c>
      <c r="DB627" s="228">
        <f t="shared" si="2045"/>
        <v>0</v>
      </c>
      <c r="DC627" s="229"/>
      <c r="DD627" s="229"/>
      <c r="DE627" s="229"/>
      <c r="DF627" s="229"/>
      <c r="DG627" s="229"/>
      <c r="DH627" s="229"/>
      <c r="DI627" s="229"/>
      <c r="DJ627" s="229"/>
      <c r="DK627" s="229"/>
      <c r="DL627" s="229"/>
      <c r="DM627" s="229"/>
      <c r="DN627" s="229"/>
      <c r="DO627" s="228">
        <f t="shared" si="2046"/>
        <v>0</v>
      </c>
      <c r="DP627" s="228">
        <f t="shared" si="2047"/>
        <v>0</v>
      </c>
      <c r="DQ627" s="229">
        <f t="shared" si="1955"/>
        <v>0</v>
      </c>
      <c r="DR627" s="229">
        <f t="shared" si="1956"/>
        <v>0</v>
      </c>
      <c r="DS627" s="229">
        <f t="shared" si="1957"/>
        <v>0</v>
      </c>
      <c r="DT627" s="229">
        <f t="shared" si="1958"/>
        <v>0</v>
      </c>
      <c r="DU627" s="229">
        <f t="shared" si="1959"/>
        <v>0</v>
      </c>
      <c r="DV627" s="229">
        <f t="shared" si="1960"/>
        <v>0</v>
      </c>
      <c r="DW627" s="229">
        <f t="shared" si="1961"/>
        <v>0</v>
      </c>
      <c r="DX627" s="228">
        <f t="shared" si="2048"/>
        <v>0</v>
      </c>
      <c r="DY627" s="229"/>
      <c r="DZ627" s="229"/>
      <c r="EA627" s="229"/>
      <c r="EB627" s="229"/>
      <c r="EC627" s="229"/>
      <c r="ED627" s="229"/>
      <c r="EE627" s="229"/>
      <c r="EF627" s="228">
        <f t="shared" si="1939"/>
        <v>0</v>
      </c>
      <c r="EG627" s="228">
        <f t="shared" si="2049"/>
        <v>0</v>
      </c>
      <c r="EH627" s="229">
        <f t="shared" si="1940"/>
        <v>0</v>
      </c>
      <c r="EI627" s="229">
        <v>0</v>
      </c>
      <c r="EJ627" s="228">
        <f t="shared" si="2055"/>
        <v>0</v>
      </c>
      <c r="EK627" s="229"/>
      <c r="EL627" s="229"/>
      <c r="EM627" s="228">
        <f t="shared" si="1994"/>
        <v>0</v>
      </c>
      <c r="EN627" s="229">
        <f t="shared" si="1894"/>
        <v>0</v>
      </c>
      <c r="EO627" s="229">
        <f t="shared" si="1983"/>
        <v>0</v>
      </c>
      <c r="EP627" s="228">
        <f t="shared" si="2052"/>
        <v>0</v>
      </c>
      <c r="EQ627" s="173">
        <f t="shared" si="1934"/>
        <v>0</v>
      </c>
      <c r="ER627" s="189">
        <v>0</v>
      </c>
      <c r="ES627" s="189">
        <v>0</v>
      </c>
      <c r="ET627" s="189">
        <v>0</v>
      </c>
      <c r="EU627" s="189">
        <v>0</v>
      </c>
      <c r="EV627" s="189">
        <v>0</v>
      </c>
      <c r="EW627" s="189">
        <v>0</v>
      </c>
      <c r="EX627" s="189">
        <v>0</v>
      </c>
      <c r="EY627" s="189">
        <v>0</v>
      </c>
      <c r="EZ627" s="189">
        <v>0</v>
      </c>
      <c r="FA627" s="189">
        <v>0</v>
      </c>
      <c r="FB627" s="189">
        <v>0</v>
      </c>
      <c r="FC627" s="189">
        <v>0</v>
      </c>
      <c r="FD627" s="189">
        <v>0</v>
      </c>
      <c r="FE627" s="189">
        <v>0</v>
      </c>
      <c r="FF627" s="189">
        <v>0</v>
      </c>
      <c r="FG627" s="189">
        <v>0</v>
      </c>
      <c r="FH627" s="189">
        <v>0</v>
      </c>
      <c r="FI627" s="189">
        <v>0</v>
      </c>
      <c r="FJ627" s="189">
        <v>0</v>
      </c>
      <c r="FK627" s="189">
        <v>0</v>
      </c>
      <c r="FL627" s="189">
        <v>0</v>
      </c>
      <c r="FN627" s="132">
        <v>0</v>
      </c>
    </row>
    <row r="628" spans="1:170" ht="30" customHeight="1">
      <c r="A628" s="88">
        <f>COUNTIF($H$12:H628,H628)</f>
        <v>19</v>
      </c>
      <c r="B628" s="88" t="s">
        <v>2177</v>
      </c>
      <c r="C628" s="88" t="s">
        <v>982</v>
      </c>
      <c r="D628" s="88"/>
      <c r="E628" s="88"/>
      <c r="F628" s="301" t="s">
        <v>2895</v>
      </c>
      <c r="G628" s="303" t="s">
        <v>2088</v>
      </c>
      <c r="H628" s="88">
        <v>12</v>
      </c>
      <c r="I628" s="88">
        <v>12</v>
      </c>
      <c r="J628" s="88">
        <v>12</v>
      </c>
      <c r="K628" s="90" t="s">
        <v>2849</v>
      </c>
      <c r="L628" s="90" t="s">
        <v>2849</v>
      </c>
      <c r="M628" s="214"/>
      <c r="N628" s="88" t="s">
        <v>605</v>
      </c>
      <c r="O628" s="216">
        <f>BO628</f>
        <v>6.2</v>
      </c>
      <c r="P628" s="88" t="str">
        <f t="shared" si="2009"/>
        <v>B1_6</v>
      </c>
      <c r="Q628" s="88">
        <f t="shared" si="1935"/>
        <v>270</v>
      </c>
      <c r="R628" s="88">
        <f t="shared" si="1936"/>
        <v>170</v>
      </c>
      <c r="S628" s="230" t="s">
        <v>689</v>
      </c>
      <c r="T628" s="88" t="s">
        <v>3090</v>
      </c>
      <c r="U628" s="88">
        <f>IF(RIGHT(T628,1)="K",(VLOOKUP(T628,ma_miengiam!$A$3:$B$80,2,0)*100)/2,VLOOKUP(T628,ma_miengiam!$A$3:$B$80,2,0)*100)</f>
        <v>15</v>
      </c>
      <c r="V628" s="88"/>
      <c r="W628" s="220">
        <f>IF(AND(T628="NTS",V628&gt;0),(Q628-(Q628*V628)/12)*VLOOKUP(T628,ma_miengiam!$A$3:$B$80,2,0)+(Q628-(Q628*(12-V628))/12),IF(AND(RIGHT(T628,1)="K",V628&gt;0),(VLOOKUP(T628,ma_miengiam!$A$3:$B$80,2,0)/2)*(Q628*V628)/12,IF(RIGHT(T628,1)="K",(VLOOKUP(T628,ma_miengiam!$A$3:$B$80,2,0)*Q628)/2,IF(V628&gt;0,VLOOKUP(T628,ma_miengiam!$A$3:$B$80,2,0)*Q628*V628/12,VLOOKUP(T628,ma_miengiam!$A$3:$B$80,2,0)*Q628))))</f>
        <v>40.5</v>
      </c>
      <c r="X628" s="220">
        <f>IF(T628="NTS",VLOOKUP(T628,ma_miengiam!$A$3:$B$80,2,0)*R628*V628,IF(AND(T628="NTS",V628=0),0,IF(AND(LEFT(T628,1)="K",V628=0),VLOOKUP(T628,ma_miengiam!$A$3:$B$80,2,0)*R628,IF(LEFT(T628,1)="K",(VLOOKUP(T628,ma_miengiam!$A$3:$B$80,2,0)*R628/12)*V628,IF(AND(LEFT(T628,1)="S",V628&gt;0),(R628/12)*V628,IF(AND(LEFT(T628,1)="S",V628=0),R628,IF(T628="DH",VLOOKUP(T628,ma_miengiam!$A$3:$B$80,2,0)*R628,0)))))))</f>
        <v>0</v>
      </c>
      <c r="Y628" s="220">
        <f t="shared" si="1963"/>
        <v>229.5</v>
      </c>
      <c r="Z628" s="220">
        <f t="shared" si="2065"/>
        <v>170</v>
      </c>
      <c r="AA628" s="220">
        <f t="shared" ref="AA628:AB630" si="2072">Q628</f>
        <v>270</v>
      </c>
      <c r="AB628" s="220">
        <f t="shared" si="2072"/>
        <v>170</v>
      </c>
      <c r="AC628" s="220">
        <f t="shared" ref="AC628:AF629" si="2073">W628</f>
        <v>40.5</v>
      </c>
      <c r="AD628" s="220">
        <f t="shared" si="2073"/>
        <v>0</v>
      </c>
      <c r="AE628" s="220">
        <f t="shared" si="2073"/>
        <v>229.5</v>
      </c>
      <c r="AF628" s="220">
        <f t="shared" si="2073"/>
        <v>170</v>
      </c>
      <c r="AG628" s="220">
        <f>AH628+AI628</f>
        <v>219.94</v>
      </c>
      <c r="AH628" s="220">
        <f>EO628</f>
        <v>98.28</v>
      </c>
      <c r="AI628" s="220">
        <f>EN628</f>
        <v>121.66</v>
      </c>
      <c r="AJ628" s="220">
        <f>IF(AG628-Z628&gt;0,0,AG628-Z628)</f>
        <v>0</v>
      </c>
      <c r="AK628" s="216">
        <f t="shared" si="2051"/>
        <v>229.5</v>
      </c>
      <c r="AL628" s="220">
        <f t="shared" si="2024"/>
        <v>344.79999999999995</v>
      </c>
      <c r="AM628" s="220">
        <f t="shared" si="2025"/>
        <v>113.6</v>
      </c>
      <c r="AN628" s="221">
        <f t="shared" si="2026"/>
        <v>458.4</v>
      </c>
      <c r="AO628" s="220">
        <f t="shared" si="2027"/>
        <v>0</v>
      </c>
      <c r="AP628" s="220">
        <f t="shared" si="2028"/>
        <v>0</v>
      </c>
      <c r="AQ628" s="220">
        <f t="shared" si="2029"/>
        <v>138</v>
      </c>
      <c r="AR628" s="220">
        <f t="shared" si="2030"/>
        <v>12</v>
      </c>
      <c r="AS628" s="220">
        <f t="shared" si="2031"/>
        <v>0</v>
      </c>
      <c r="AT628" s="216">
        <f t="shared" si="2032"/>
        <v>608.4</v>
      </c>
      <c r="AU628" s="222">
        <f t="shared" si="1982"/>
        <v>228.89999999999998</v>
      </c>
      <c r="AV628" s="220"/>
      <c r="AW628" s="220">
        <f t="shared" si="2033"/>
        <v>228.89999999999998</v>
      </c>
      <c r="AX628" s="216">
        <f t="shared" si="2020"/>
        <v>0</v>
      </c>
      <c r="AY628" s="220">
        <f t="shared" si="2034"/>
        <v>0</v>
      </c>
      <c r="AZ628" s="220">
        <f t="shared" si="2035"/>
        <v>0</v>
      </c>
      <c r="BA628" s="220">
        <f t="shared" si="2036"/>
        <v>138</v>
      </c>
      <c r="BB628" s="220">
        <f t="shared" si="2037"/>
        <v>12</v>
      </c>
      <c r="BC628" s="220">
        <f t="shared" si="2038"/>
        <v>0</v>
      </c>
      <c r="BD628" s="216">
        <f t="shared" si="1987"/>
        <v>150</v>
      </c>
      <c r="BE628" s="220">
        <f t="shared" si="2039"/>
        <v>0</v>
      </c>
      <c r="BF628" s="220">
        <f t="shared" si="2040"/>
        <v>0</v>
      </c>
      <c r="BG628" s="220">
        <f t="shared" si="2041"/>
        <v>0</v>
      </c>
      <c r="BH628" s="220">
        <f t="shared" si="2042"/>
        <v>0</v>
      </c>
      <c r="BI628" s="220">
        <f t="shared" si="2043"/>
        <v>0</v>
      </c>
      <c r="BJ628" s="220" t="s">
        <v>1960</v>
      </c>
      <c r="BK628" s="220"/>
      <c r="BL628" s="223">
        <f t="shared" si="2005"/>
        <v>228.89999999999998</v>
      </c>
      <c r="BM628" s="220">
        <v>6.2</v>
      </c>
      <c r="BN628" s="220"/>
      <c r="BO628" s="220">
        <f>ROUND(BM628+(BM628*BN628),2)</f>
        <v>6.2</v>
      </c>
      <c r="BP628" s="220">
        <f>IF(AND(BL628&gt;0,BL628&lt;tiet!$D$1),BL628,IF(BL628&lt;=0,0,IF(BL628&gt;tiet!$C$1,tiet!$C$1)))</f>
        <v>200</v>
      </c>
      <c r="BQ628" s="87">
        <f>VLOOKUP(P628,ma_dinhmuc_moi,4,0)</f>
        <v>75000</v>
      </c>
      <c r="BR628" s="224">
        <f>ROUND(BQ628*BP628,0)</f>
        <v>15000000</v>
      </c>
      <c r="BS628" s="220">
        <f t="shared" si="1933"/>
        <v>28.899999999999977</v>
      </c>
      <c r="BT628" s="224">
        <f>VLOOKUP(N628,ma_dinhmuc!$A$1:$J$31,10,0)</f>
        <v>65000</v>
      </c>
      <c r="BU628" s="224">
        <f>ROUND(IF(BS628&gt;0,VLOOKUP(N628,ma_dinhmuc!$A$1:$J$31,10,0)*BS628,0),0)</f>
        <v>1878500</v>
      </c>
      <c r="BV628" s="224">
        <f>ROUND(BU628+BR628,0)</f>
        <v>16878500</v>
      </c>
      <c r="BW628" s="224"/>
      <c r="BX628" s="224">
        <v>0</v>
      </c>
      <c r="BY628" s="224"/>
      <c r="BZ628" s="224"/>
      <c r="CA628" s="224"/>
      <c r="CB628" s="224"/>
      <c r="CC628" s="225">
        <f t="shared" si="1968"/>
        <v>16878500</v>
      </c>
      <c r="CD628" s="224">
        <f t="shared" si="1969"/>
        <v>0</v>
      </c>
      <c r="CE628" s="224"/>
      <c r="CF628" s="226"/>
      <c r="CG628" s="87"/>
      <c r="CH628" s="87">
        <f>A628</f>
        <v>19</v>
      </c>
      <c r="CI628" s="227" t="str">
        <f>F628</f>
        <v>Nguyễn Văn</v>
      </c>
      <c r="CJ628" s="227" t="str">
        <f>G628</f>
        <v>Giang</v>
      </c>
      <c r="CK628" s="87">
        <f>H628</f>
        <v>12</v>
      </c>
      <c r="CL628" s="227" t="str">
        <f t="shared" si="2070"/>
        <v xml:space="preserve">Công nghệ vi sinh </v>
      </c>
      <c r="CM628" s="87" t="str">
        <f t="shared" si="2044"/>
        <v>CS4</v>
      </c>
      <c r="CN628" s="87">
        <f t="shared" si="2071"/>
        <v>270</v>
      </c>
      <c r="CO628" s="87">
        <f t="shared" si="2071"/>
        <v>170</v>
      </c>
      <c r="CP628" s="229">
        <f t="shared" si="1943"/>
        <v>0</v>
      </c>
      <c r="CQ628" s="229">
        <f t="shared" si="1944"/>
        <v>34.6</v>
      </c>
      <c r="CR628" s="229">
        <f t="shared" si="1945"/>
        <v>14</v>
      </c>
      <c r="CS628" s="229">
        <f t="shared" si="1946"/>
        <v>68.599999999999994</v>
      </c>
      <c r="CT628" s="229">
        <f t="shared" si="1947"/>
        <v>0</v>
      </c>
      <c r="CU628" s="229">
        <f t="shared" si="1948"/>
        <v>227.6</v>
      </c>
      <c r="CV628" s="229">
        <f t="shared" si="1949"/>
        <v>0</v>
      </c>
      <c r="CW628" s="229">
        <f t="shared" si="1950"/>
        <v>0</v>
      </c>
      <c r="CX628" s="229">
        <f t="shared" si="1951"/>
        <v>0</v>
      </c>
      <c r="CY628" s="229">
        <f t="shared" si="1952"/>
        <v>0</v>
      </c>
      <c r="CZ628" s="229">
        <f t="shared" si="1953"/>
        <v>0</v>
      </c>
      <c r="DA628" s="229">
        <f t="shared" si="1954"/>
        <v>138</v>
      </c>
      <c r="DB628" s="228">
        <f t="shared" si="2045"/>
        <v>482.79999999999995</v>
      </c>
      <c r="DC628" s="229"/>
      <c r="DD628" s="229"/>
      <c r="DE628" s="229"/>
      <c r="DF628" s="229"/>
      <c r="DG628" s="229"/>
      <c r="DH628" s="229"/>
      <c r="DI628" s="229"/>
      <c r="DJ628" s="229"/>
      <c r="DK628" s="229"/>
      <c r="DL628" s="229"/>
      <c r="DM628" s="229"/>
      <c r="DN628" s="229"/>
      <c r="DO628" s="228">
        <f t="shared" si="2046"/>
        <v>0</v>
      </c>
      <c r="DP628" s="228">
        <f t="shared" si="2047"/>
        <v>482.79999999999995</v>
      </c>
      <c r="DQ628" s="229">
        <f t="shared" si="1955"/>
        <v>108</v>
      </c>
      <c r="DR628" s="229">
        <f t="shared" si="1956"/>
        <v>4</v>
      </c>
      <c r="DS628" s="229">
        <f t="shared" si="1957"/>
        <v>0</v>
      </c>
      <c r="DT628" s="229">
        <f t="shared" si="1958"/>
        <v>1.6</v>
      </c>
      <c r="DU628" s="229">
        <f t="shared" si="1959"/>
        <v>0</v>
      </c>
      <c r="DV628" s="229">
        <f t="shared" si="1960"/>
        <v>12</v>
      </c>
      <c r="DW628" s="229">
        <f t="shared" si="1961"/>
        <v>0</v>
      </c>
      <c r="DX628" s="228">
        <f t="shared" si="2048"/>
        <v>125.6</v>
      </c>
      <c r="DY628" s="229"/>
      <c r="DZ628" s="229"/>
      <c r="EA628" s="229"/>
      <c r="EB628" s="229"/>
      <c r="EC628" s="229"/>
      <c r="ED628" s="229"/>
      <c r="EE628" s="229"/>
      <c r="EF628" s="228">
        <f t="shared" si="1939"/>
        <v>0</v>
      </c>
      <c r="EG628" s="228">
        <f t="shared" si="2049"/>
        <v>125.6</v>
      </c>
      <c r="EH628" s="229">
        <f t="shared" si="1940"/>
        <v>121.66</v>
      </c>
      <c r="EI628" s="229">
        <v>98.28</v>
      </c>
      <c r="EJ628" s="228">
        <f>SUM(EH628:EI628)</f>
        <v>219.94</v>
      </c>
      <c r="EK628" s="229"/>
      <c r="EL628" s="229"/>
      <c r="EM628" s="228">
        <f t="shared" si="1994"/>
        <v>0</v>
      </c>
      <c r="EN628" s="229">
        <f t="shared" si="1894"/>
        <v>121.66</v>
      </c>
      <c r="EO628" s="229">
        <f t="shared" si="1983"/>
        <v>98.28</v>
      </c>
      <c r="EP628" s="228">
        <f>EM628+EJ628</f>
        <v>219.94</v>
      </c>
      <c r="EQ628" s="173">
        <f t="shared" si="1934"/>
        <v>0</v>
      </c>
      <c r="ER628" s="189">
        <v>0</v>
      </c>
      <c r="ES628" s="189">
        <v>34.6</v>
      </c>
      <c r="ET628" s="189">
        <v>14</v>
      </c>
      <c r="EU628" s="189">
        <v>68.599999999999994</v>
      </c>
      <c r="EV628" s="189">
        <v>0</v>
      </c>
      <c r="EW628" s="189">
        <v>227.6</v>
      </c>
      <c r="EX628" s="189">
        <v>0</v>
      </c>
      <c r="EY628" s="189">
        <v>0</v>
      </c>
      <c r="EZ628" s="189">
        <v>0</v>
      </c>
      <c r="FA628" s="189">
        <v>0</v>
      </c>
      <c r="FB628" s="189">
        <v>0</v>
      </c>
      <c r="FC628" s="189">
        <v>138</v>
      </c>
      <c r="FD628" s="189">
        <v>108</v>
      </c>
      <c r="FE628" s="189">
        <v>4</v>
      </c>
      <c r="FF628" s="189">
        <v>0</v>
      </c>
      <c r="FG628" s="189">
        <v>1.6</v>
      </c>
      <c r="FH628" s="189">
        <v>12</v>
      </c>
      <c r="FI628" s="189">
        <v>0</v>
      </c>
      <c r="FJ628" s="189">
        <v>0</v>
      </c>
      <c r="FK628" s="189">
        <v>608.4</v>
      </c>
      <c r="FL628" s="189">
        <v>519.54999999999995</v>
      </c>
      <c r="FN628" s="132">
        <v>121.66</v>
      </c>
    </row>
    <row r="629" spans="1:170" ht="29.25" customHeight="1">
      <c r="A629" s="88">
        <f>COUNTIF($H$12:H629,H629)</f>
        <v>20</v>
      </c>
      <c r="B629" s="88" t="s">
        <v>2178</v>
      </c>
      <c r="C629" s="88" t="s">
        <v>983</v>
      </c>
      <c r="D629" s="88"/>
      <c r="E629" s="88"/>
      <c r="F629" s="301" t="s">
        <v>2081</v>
      </c>
      <c r="G629" s="89" t="s">
        <v>2883</v>
      </c>
      <c r="H629" s="88">
        <v>12</v>
      </c>
      <c r="I629" s="88">
        <v>12</v>
      </c>
      <c r="J629" s="88">
        <v>12</v>
      </c>
      <c r="K629" s="90" t="s">
        <v>2849</v>
      </c>
      <c r="L629" s="90" t="s">
        <v>2849</v>
      </c>
      <c r="M629" s="214"/>
      <c r="N629" s="88" t="s">
        <v>1804</v>
      </c>
      <c r="O629" s="216">
        <f t="shared" si="2069"/>
        <v>3</v>
      </c>
      <c r="P629" s="88" t="str">
        <f t="shared" si="2009"/>
        <v>B1_3</v>
      </c>
      <c r="Q629" s="88">
        <f t="shared" si="1935"/>
        <v>270</v>
      </c>
      <c r="R629" s="88">
        <f t="shared" si="1936"/>
        <v>100</v>
      </c>
      <c r="S629" s="231"/>
      <c r="T629" s="88" t="s">
        <v>3088</v>
      </c>
      <c r="U629" s="88">
        <f>IF(RIGHT(T629,1)="K",(VLOOKUP(T629,ma_miengiam!$A$3:$B$80,2,0)*100)/2,VLOOKUP(T629,ma_miengiam!$A$3:$B$80,2,0)*100)</f>
        <v>0</v>
      </c>
      <c r="V629" s="88"/>
      <c r="W629" s="220">
        <f>IF(AND(T629="NTS",V629&gt;0),(Q629-(Q629*V629)/12)*VLOOKUP(T629,ma_miengiam!$A$3:$B$80,2,0)+(Q629-(Q629*(12-V629))/12),IF(AND(RIGHT(T629,1)="K",V629&gt;0),(VLOOKUP(T629,ma_miengiam!$A$3:$B$80,2,0)/2)*(Q629*V629)/12,IF(RIGHT(T629,1)="K",(VLOOKUP(T629,ma_miengiam!$A$3:$B$80,2,0)*Q629)/2,IF(V629&gt;0,VLOOKUP(T629,ma_miengiam!$A$3:$B$80,2,0)*Q629*V629/12,VLOOKUP(T629,ma_miengiam!$A$3:$B$80,2,0)*Q629))))</f>
        <v>0</v>
      </c>
      <c r="X629" s="220">
        <f>IF(T629="NTS",VLOOKUP(T629,ma_miengiam!$A$3:$B$80,2,0)*R629*V629,IF(AND(T629="NTS",V629=0),0,IF(AND(LEFT(T629,1)="K",V629=0),VLOOKUP(T629,ma_miengiam!$A$3:$B$80,2,0)*R629,IF(LEFT(T629,1)="K",(VLOOKUP(T629,ma_miengiam!$A$3:$B$80,2,0)*R629/12)*V629,IF(AND(LEFT(T629,1)="S",V629&gt;0),(R629/12)*V629,IF(AND(LEFT(T629,1)="S",V629=0),R629,IF(T629="DH",VLOOKUP(T629,ma_miengiam!$A$3:$B$80,2,0)*R629,0)))))))</f>
        <v>0</v>
      </c>
      <c r="Y629" s="220">
        <f t="shared" si="1963"/>
        <v>270</v>
      </c>
      <c r="Z629" s="220">
        <f t="shared" si="2065"/>
        <v>100</v>
      </c>
      <c r="AA629" s="220">
        <f t="shared" si="2072"/>
        <v>270</v>
      </c>
      <c r="AB629" s="220">
        <f t="shared" si="2072"/>
        <v>100</v>
      </c>
      <c r="AC629" s="220">
        <f t="shared" si="2073"/>
        <v>0</v>
      </c>
      <c r="AD629" s="220">
        <f t="shared" si="2073"/>
        <v>0</v>
      </c>
      <c r="AE629" s="220">
        <f t="shared" si="2073"/>
        <v>270</v>
      </c>
      <c r="AF629" s="220">
        <f t="shared" si="2073"/>
        <v>100</v>
      </c>
      <c r="AG629" s="220">
        <f t="shared" si="2062"/>
        <v>113.65</v>
      </c>
      <c r="AH629" s="220">
        <f t="shared" si="2063"/>
        <v>57.81</v>
      </c>
      <c r="AI629" s="220">
        <f t="shared" si="2064"/>
        <v>55.84</v>
      </c>
      <c r="AJ629" s="220">
        <f t="shared" si="1902"/>
        <v>0</v>
      </c>
      <c r="AK629" s="216">
        <f t="shared" si="2051"/>
        <v>270</v>
      </c>
      <c r="AL629" s="220">
        <f t="shared" si="2024"/>
        <v>407.1</v>
      </c>
      <c r="AM629" s="220">
        <f t="shared" si="2025"/>
        <v>0</v>
      </c>
      <c r="AN629" s="221">
        <f t="shared" si="2026"/>
        <v>407.1</v>
      </c>
      <c r="AO629" s="220">
        <f t="shared" si="2027"/>
        <v>0</v>
      </c>
      <c r="AP629" s="220">
        <f t="shared" si="2028"/>
        <v>0</v>
      </c>
      <c r="AQ629" s="220">
        <f t="shared" si="2029"/>
        <v>102</v>
      </c>
      <c r="AR629" s="220">
        <f t="shared" si="2030"/>
        <v>0</v>
      </c>
      <c r="AS629" s="220">
        <f t="shared" si="2031"/>
        <v>0</v>
      </c>
      <c r="AT629" s="216">
        <f t="shared" si="2032"/>
        <v>509.1</v>
      </c>
      <c r="AU629" s="222">
        <f t="shared" si="1982"/>
        <v>137.10000000000002</v>
      </c>
      <c r="AV629" s="220"/>
      <c r="AW629" s="220">
        <f t="shared" si="2033"/>
        <v>137.10000000000002</v>
      </c>
      <c r="AX629" s="216">
        <f t="shared" si="2020"/>
        <v>0</v>
      </c>
      <c r="AY629" s="220">
        <f t="shared" si="2034"/>
        <v>0</v>
      </c>
      <c r="AZ629" s="220">
        <f t="shared" si="2035"/>
        <v>0</v>
      </c>
      <c r="BA629" s="220">
        <f t="shared" si="2036"/>
        <v>102</v>
      </c>
      <c r="BB629" s="220">
        <f t="shared" si="2037"/>
        <v>0</v>
      </c>
      <c r="BC629" s="220">
        <f t="shared" si="2038"/>
        <v>0</v>
      </c>
      <c r="BD629" s="216">
        <f t="shared" si="1987"/>
        <v>102</v>
      </c>
      <c r="BE629" s="220">
        <f t="shared" si="2039"/>
        <v>0</v>
      </c>
      <c r="BF629" s="220">
        <f t="shared" si="2040"/>
        <v>0</v>
      </c>
      <c r="BG629" s="220">
        <f t="shared" si="2041"/>
        <v>0</v>
      </c>
      <c r="BH629" s="220">
        <f t="shared" si="2042"/>
        <v>0</v>
      </c>
      <c r="BI629" s="220">
        <f t="shared" si="2043"/>
        <v>0</v>
      </c>
      <c r="BJ629" s="220" t="s">
        <v>1960</v>
      </c>
      <c r="BK629" s="220"/>
      <c r="BL629" s="223">
        <f t="shared" si="2005"/>
        <v>137.10000000000002</v>
      </c>
      <c r="BM629" s="220">
        <v>3</v>
      </c>
      <c r="BN629" s="220"/>
      <c r="BO629" s="220">
        <f t="shared" si="2067"/>
        <v>3</v>
      </c>
      <c r="BP629" s="220">
        <f>IF(AND(BL629&gt;0,BL629&lt;tiet!$D$1),BL629,IF(BL629&lt;=0,0,IF(BL629&gt;tiet!$C$1,tiet!$C$1)))</f>
        <v>137.10000000000002</v>
      </c>
      <c r="BQ629" s="87">
        <f t="shared" si="1903"/>
        <v>60000</v>
      </c>
      <c r="BR629" s="224">
        <f t="shared" si="1904"/>
        <v>8226000</v>
      </c>
      <c r="BS629" s="220">
        <f t="shared" si="1933"/>
        <v>0</v>
      </c>
      <c r="BT629" s="224">
        <f>VLOOKUP(N629,ma_dinhmuc!$A$1:$J$31,10,0)</f>
        <v>51000</v>
      </c>
      <c r="BU629" s="224">
        <f>ROUND(IF(BS629&gt;0,VLOOKUP(N629,ma_dinhmuc!$A$1:$J$31,10,0)*BS629,0),0)</f>
        <v>0</v>
      </c>
      <c r="BV629" s="224">
        <f t="shared" si="1905"/>
        <v>8226000</v>
      </c>
      <c r="BW629" s="224"/>
      <c r="BX629" s="224">
        <v>0</v>
      </c>
      <c r="BY629" s="224"/>
      <c r="BZ629" s="224"/>
      <c r="CA629" s="224"/>
      <c r="CB629" s="224"/>
      <c r="CC629" s="225">
        <f t="shared" si="1968"/>
        <v>8226000</v>
      </c>
      <c r="CD629" s="224">
        <f t="shared" si="1969"/>
        <v>0</v>
      </c>
      <c r="CE629" s="224"/>
      <c r="CF629" s="226"/>
      <c r="CG629" s="87"/>
      <c r="CH629" s="87">
        <f t="shared" si="2068"/>
        <v>20</v>
      </c>
      <c r="CI629" s="227" t="str">
        <f t="shared" si="2013"/>
        <v>Nguyễn Thanh</v>
      </c>
      <c r="CJ629" s="227" t="str">
        <f t="shared" si="2014"/>
        <v>Huyền</v>
      </c>
      <c r="CK629" s="87">
        <f t="shared" si="2015"/>
        <v>12</v>
      </c>
      <c r="CL629" s="227" t="str">
        <f t="shared" si="2070"/>
        <v xml:space="preserve">Công nghệ vi sinh </v>
      </c>
      <c r="CM629" s="87" t="str">
        <f t="shared" si="2044"/>
        <v>CS2</v>
      </c>
      <c r="CN629" s="87">
        <f t="shared" ref="CN629:CO632" si="2074">Q629</f>
        <v>270</v>
      </c>
      <c r="CO629" s="87">
        <f t="shared" si="2074"/>
        <v>100</v>
      </c>
      <c r="CP629" s="229">
        <f t="shared" si="1943"/>
        <v>0</v>
      </c>
      <c r="CQ629" s="229">
        <f t="shared" si="1944"/>
        <v>47.5</v>
      </c>
      <c r="CR629" s="229">
        <f t="shared" si="1945"/>
        <v>2.9</v>
      </c>
      <c r="CS629" s="229">
        <f t="shared" si="1946"/>
        <v>99.9</v>
      </c>
      <c r="CT629" s="229">
        <f t="shared" si="1947"/>
        <v>0</v>
      </c>
      <c r="CU629" s="229">
        <f t="shared" si="1948"/>
        <v>16.8</v>
      </c>
      <c r="CV629" s="229">
        <f t="shared" si="1949"/>
        <v>0</v>
      </c>
      <c r="CW629" s="229">
        <f t="shared" si="1950"/>
        <v>240</v>
      </c>
      <c r="CX629" s="229">
        <f t="shared" si="1951"/>
        <v>0</v>
      </c>
      <c r="CY629" s="229">
        <f t="shared" si="1952"/>
        <v>0</v>
      </c>
      <c r="CZ629" s="229">
        <f t="shared" si="1953"/>
        <v>0</v>
      </c>
      <c r="DA629" s="229">
        <f t="shared" si="1954"/>
        <v>102</v>
      </c>
      <c r="DB629" s="228">
        <f t="shared" si="2045"/>
        <v>509.1</v>
      </c>
      <c r="DC629" s="229"/>
      <c r="DD629" s="229"/>
      <c r="DE629" s="229"/>
      <c r="DF629" s="229"/>
      <c r="DG629" s="229"/>
      <c r="DH629" s="229"/>
      <c r="DI629" s="229"/>
      <c r="DJ629" s="229"/>
      <c r="DK629" s="229"/>
      <c r="DL629" s="229"/>
      <c r="DM629" s="229"/>
      <c r="DN629" s="229"/>
      <c r="DO629" s="228">
        <f t="shared" si="2046"/>
        <v>0</v>
      </c>
      <c r="DP629" s="228">
        <f t="shared" si="2047"/>
        <v>509.1</v>
      </c>
      <c r="DQ629" s="229">
        <f t="shared" si="1955"/>
        <v>0</v>
      </c>
      <c r="DR629" s="229">
        <f t="shared" si="1956"/>
        <v>0</v>
      </c>
      <c r="DS629" s="229">
        <f t="shared" si="1957"/>
        <v>0</v>
      </c>
      <c r="DT629" s="229">
        <f t="shared" si="1958"/>
        <v>0</v>
      </c>
      <c r="DU629" s="229">
        <f t="shared" si="1959"/>
        <v>0</v>
      </c>
      <c r="DV629" s="229">
        <f t="shared" si="1960"/>
        <v>0</v>
      </c>
      <c r="DW629" s="229">
        <f t="shared" si="1961"/>
        <v>0</v>
      </c>
      <c r="DX629" s="228">
        <f t="shared" si="2048"/>
        <v>0</v>
      </c>
      <c r="DY629" s="229"/>
      <c r="DZ629" s="229"/>
      <c r="EA629" s="229"/>
      <c r="EB629" s="229"/>
      <c r="EC629" s="229"/>
      <c r="ED629" s="229"/>
      <c r="EE629" s="229"/>
      <c r="EF629" s="228">
        <f t="shared" si="1939"/>
        <v>0</v>
      </c>
      <c r="EG629" s="228">
        <f t="shared" si="2049"/>
        <v>0</v>
      </c>
      <c r="EH629" s="229">
        <f t="shared" si="1940"/>
        <v>55.84</v>
      </c>
      <c r="EI629" s="229">
        <v>57.81</v>
      </c>
      <c r="EJ629" s="228">
        <f t="shared" si="2055"/>
        <v>113.65</v>
      </c>
      <c r="EK629" s="229"/>
      <c r="EL629" s="229"/>
      <c r="EM629" s="228">
        <f t="shared" ref="EM629:EM639" si="2075">SUM(EK629:EL629)</f>
        <v>0</v>
      </c>
      <c r="EN629" s="229">
        <f t="shared" si="1894"/>
        <v>55.84</v>
      </c>
      <c r="EO629" s="229">
        <f t="shared" si="1983"/>
        <v>57.81</v>
      </c>
      <c r="EP629" s="228">
        <f t="shared" si="2052"/>
        <v>113.65</v>
      </c>
      <c r="EQ629" s="173">
        <f t="shared" si="1934"/>
        <v>0</v>
      </c>
      <c r="ER629" s="189">
        <v>0</v>
      </c>
      <c r="ES629" s="189">
        <v>47.5</v>
      </c>
      <c r="ET629" s="189">
        <v>2.9</v>
      </c>
      <c r="EU629" s="189">
        <v>99.9</v>
      </c>
      <c r="EV629" s="189">
        <v>0</v>
      </c>
      <c r="EW629" s="189">
        <v>16.8</v>
      </c>
      <c r="EX629" s="189">
        <v>0</v>
      </c>
      <c r="EY629" s="189">
        <v>240</v>
      </c>
      <c r="EZ629" s="189">
        <v>0</v>
      </c>
      <c r="FA629" s="189">
        <v>0</v>
      </c>
      <c r="FB629" s="189">
        <v>0</v>
      </c>
      <c r="FC629" s="189">
        <v>102</v>
      </c>
      <c r="FD629" s="189">
        <v>0</v>
      </c>
      <c r="FE629" s="189">
        <v>0</v>
      </c>
      <c r="FF629" s="189">
        <v>0</v>
      </c>
      <c r="FG629" s="189">
        <v>0</v>
      </c>
      <c r="FH629" s="189">
        <v>0</v>
      </c>
      <c r="FI629" s="189">
        <v>0</v>
      </c>
      <c r="FJ629" s="189">
        <v>0</v>
      </c>
      <c r="FK629" s="189">
        <v>509.1</v>
      </c>
      <c r="FL629" s="189">
        <v>407.9</v>
      </c>
      <c r="FN629" s="132">
        <v>55.84</v>
      </c>
    </row>
    <row r="630" spans="1:170" ht="30" customHeight="1">
      <c r="A630" s="88">
        <f>COUNTIF($H$12:H630,H630)</f>
        <v>21</v>
      </c>
      <c r="B630" s="88" t="s">
        <v>2179</v>
      </c>
      <c r="C630" s="88" t="s">
        <v>984</v>
      </c>
      <c r="D630" s="88"/>
      <c r="E630" s="88"/>
      <c r="F630" s="301" t="s">
        <v>2856</v>
      </c>
      <c r="G630" s="89" t="s">
        <v>2854</v>
      </c>
      <c r="H630" s="88">
        <v>12</v>
      </c>
      <c r="I630" s="88">
        <v>12</v>
      </c>
      <c r="J630" s="88">
        <v>12</v>
      </c>
      <c r="K630" s="90" t="s">
        <v>2849</v>
      </c>
      <c r="L630" s="90" t="s">
        <v>2849</v>
      </c>
      <c r="M630" s="214"/>
      <c r="N630" s="88" t="s">
        <v>1179</v>
      </c>
      <c r="O630" s="216">
        <f t="shared" ref="O630:O635" si="2076">BO630</f>
        <v>3.66</v>
      </c>
      <c r="P630" s="88" t="str">
        <f t="shared" si="2009"/>
        <v>B1_4</v>
      </c>
      <c r="Q630" s="88">
        <f t="shared" si="1935"/>
        <v>270</v>
      </c>
      <c r="R630" s="88">
        <f t="shared" si="1936"/>
        <v>120</v>
      </c>
      <c r="S630" s="230" t="s">
        <v>1415</v>
      </c>
      <c r="T630" s="88" t="s">
        <v>3092</v>
      </c>
      <c r="U630" s="88">
        <f>IF(RIGHT(T630,1)="K",(VLOOKUP(T630,ma_miengiam!$A$3:$B$80,2,0)*100)/2,VLOOKUP(T630,ma_miengiam!$A$3:$B$80,2,0)*100)</f>
        <v>25</v>
      </c>
      <c r="V630" s="88"/>
      <c r="W630" s="220">
        <f>IF(AND(T630="NTS",V630&gt;0),(Q630-(Q630*V630)/12)*VLOOKUP(T630,ma_miengiam!$A$3:$B$80,2,0)+(Q630-(Q630*(12-V630))/12),IF(AND(RIGHT(T630,1)="K",V630&gt;0),(VLOOKUP(T630,ma_miengiam!$A$3:$B$80,2,0)/2)*(Q630*V630)/12,IF(RIGHT(T630,1)="K",(VLOOKUP(T630,ma_miengiam!$A$3:$B$80,2,0)*Q630)/2,IF(V630&gt;0,VLOOKUP(T630,ma_miengiam!$A$3:$B$80,2,0)*Q630*V630/12,VLOOKUP(T630,ma_miengiam!$A$3:$B$80,2,0)*Q630))))</f>
        <v>67.5</v>
      </c>
      <c r="X630" s="220">
        <f>IF(T630="NTS",VLOOKUP(T630,ma_miengiam!$A$3:$B$80,2,0)*R630*V630,IF(AND(T630="NTS",V630=0),0,IF(AND(LEFT(T630,1)="K",V630=0),VLOOKUP(T630,ma_miengiam!$A$3:$B$80,2,0)*R630,IF(LEFT(T630,1)="K",(VLOOKUP(T630,ma_miengiam!$A$3:$B$80,2,0)*R630/12)*V630,IF(AND(LEFT(T630,1)="S",V630&gt;0),(R630/12)*V630,IF(AND(LEFT(T630,1)="S",V630=0),R630,IF(T630="DH",VLOOKUP(T630,ma_miengiam!$A$3:$B$80,2,0)*R630,0)))))))</f>
        <v>0</v>
      </c>
      <c r="Y630" s="220">
        <f t="shared" si="1963"/>
        <v>202.5</v>
      </c>
      <c r="Z630" s="220">
        <f t="shared" si="2065"/>
        <v>120</v>
      </c>
      <c r="AA630" s="220">
        <f t="shared" si="2072"/>
        <v>270</v>
      </c>
      <c r="AB630" s="220">
        <f t="shared" si="2072"/>
        <v>120</v>
      </c>
      <c r="AC630" s="220">
        <f t="shared" ref="AC630:AF632" si="2077">W630</f>
        <v>67.5</v>
      </c>
      <c r="AD630" s="220">
        <f t="shared" si="2077"/>
        <v>0</v>
      </c>
      <c r="AE630" s="220">
        <f t="shared" si="2077"/>
        <v>202.5</v>
      </c>
      <c r="AF630" s="220">
        <f t="shared" si="2077"/>
        <v>120</v>
      </c>
      <c r="AG630" s="220">
        <f>AH630+AI630</f>
        <v>332.99</v>
      </c>
      <c r="AH630" s="220">
        <f>EO630</f>
        <v>69.37</v>
      </c>
      <c r="AI630" s="220">
        <f>EN630</f>
        <v>263.62</v>
      </c>
      <c r="AJ630" s="220">
        <f>IF(AG630-Z630&gt;0,0,AG630-Z630)</f>
        <v>0</v>
      </c>
      <c r="AK630" s="216">
        <f t="shared" si="2051"/>
        <v>202.5</v>
      </c>
      <c r="AL630" s="220">
        <f t="shared" si="2024"/>
        <v>468.5</v>
      </c>
      <c r="AM630" s="220">
        <f t="shared" si="2025"/>
        <v>56.8</v>
      </c>
      <c r="AN630" s="221">
        <f t="shared" si="2026"/>
        <v>525.29999999999995</v>
      </c>
      <c r="AO630" s="220">
        <f t="shared" si="2027"/>
        <v>0</v>
      </c>
      <c r="AP630" s="220">
        <f t="shared" si="2028"/>
        <v>0</v>
      </c>
      <c r="AQ630" s="220">
        <f t="shared" si="2029"/>
        <v>126</v>
      </c>
      <c r="AR630" s="220">
        <f t="shared" si="2030"/>
        <v>80</v>
      </c>
      <c r="AS630" s="220">
        <f t="shared" si="2031"/>
        <v>0</v>
      </c>
      <c r="AT630" s="216">
        <f t="shared" si="2032"/>
        <v>731.3</v>
      </c>
      <c r="AU630" s="220">
        <f t="shared" si="1982"/>
        <v>322.79999999999995</v>
      </c>
      <c r="AV630" s="220"/>
      <c r="AW630" s="220">
        <f t="shared" si="2033"/>
        <v>322.79999999999995</v>
      </c>
      <c r="AX630" s="216">
        <f t="shared" si="2020"/>
        <v>0</v>
      </c>
      <c r="AY630" s="220">
        <f t="shared" si="2034"/>
        <v>0</v>
      </c>
      <c r="AZ630" s="220">
        <f t="shared" si="2035"/>
        <v>0</v>
      </c>
      <c r="BA630" s="220">
        <f t="shared" si="2036"/>
        <v>126</v>
      </c>
      <c r="BB630" s="220">
        <f t="shared" si="2037"/>
        <v>80</v>
      </c>
      <c r="BC630" s="220">
        <f t="shared" si="2038"/>
        <v>0</v>
      </c>
      <c r="BD630" s="216">
        <f t="shared" si="1987"/>
        <v>206</v>
      </c>
      <c r="BE630" s="220">
        <f t="shared" si="2039"/>
        <v>0</v>
      </c>
      <c r="BF630" s="220">
        <f t="shared" si="2040"/>
        <v>0</v>
      </c>
      <c r="BG630" s="220">
        <f t="shared" si="2041"/>
        <v>0</v>
      </c>
      <c r="BH630" s="220">
        <f t="shared" si="2042"/>
        <v>0</v>
      </c>
      <c r="BI630" s="220">
        <f t="shared" si="2043"/>
        <v>0</v>
      </c>
      <c r="BJ630" s="220" t="s">
        <v>1960</v>
      </c>
      <c r="BK630" s="220"/>
      <c r="BL630" s="223">
        <f t="shared" si="2005"/>
        <v>322.79999999999995</v>
      </c>
      <c r="BM630" s="220">
        <v>3.66</v>
      </c>
      <c r="BN630" s="220"/>
      <c r="BO630" s="220">
        <f t="shared" ref="BO630:BO635" si="2078">ROUND(BM630+(BM630*BN630),2)</f>
        <v>3.66</v>
      </c>
      <c r="BP630" s="220">
        <f>IF(AND(BL630&gt;0,BL630&lt;tiet!$D$1),BL630,IF(BL630&lt;=0,0,IF(BL630&gt;tiet!$C$1,tiet!$C$1)))</f>
        <v>200</v>
      </c>
      <c r="BQ630" s="87">
        <f t="shared" ref="BQ630:BQ635" si="2079">VLOOKUP(P630,ma_dinhmuc_moi,4,0)</f>
        <v>65000</v>
      </c>
      <c r="BR630" s="224">
        <f t="shared" ref="BR630:BR635" si="2080">ROUND(BQ630*BP630,0)</f>
        <v>13000000</v>
      </c>
      <c r="BS630" s="220">
        <f t="shared" si="1933"/>
        <v>122.79999999999995</v>
      </c>
      <c r="BT630" s="224">
        <f>VLOOKUP(N630,ma_dinhmuc!$A$1:$J$31,10,0)</f>
        <v>51000</v>
      </c>
      <c r="BU630" s="224">
        <f>ROUND(IF(BS630&gt;0,VLOOKUP(N630,ma_dinhmuc!$A$1:$J$31,10,0)*BS630,0),0)</f>
        <v>6262800</v>
      </c>
      <c r="BV630" s="224">
        <f t="shared" ref="BV630:BV635" si="2081">ROUND(BU630+BR630,0)</f>
        <v>19262800</v>
      </c>
      <c r="BW630" s="224"/>
      <c r="BX630" s="224">
        <v>0</v>
      </c>
      <c r="BY630" s="224"/>
      <c r="BZ630" s="224"/>
      <c r="CA630" s="224"/>
      <c r="CB630" s="224"/>
      <c r="CC630" s="225">
        <f t="shared" si="1968"/>
        <v>19262800</v>
      </c>
      <c r="CD630" s="224">
        <f t="shared" si="1969"/>
        <v>0</v>
      </c>
      <c r="CE630" s="224"/>
      <c r="CF630" s="226"/>
      <c r="CG630" s="87"/>
      <c r="CH630" s="87">
        <f t="shared" ref="CH630:CH635" si="2082">A630</f>
        <v>21</v>
      </c>
      <c r="CI630" s="227" t="str">
        <f t="shared" ref="CI630:CJ633" si="2083">F630</f>
        <v>Nguyễn Xuân</v>
      </c>
      <c r="CJ630" s="227" t="str">
        <f t="shared" si="2083"/>
        <v>Cảnh</v>
      </c>
      <c r="CK630" s="87">
        <f t="shared" ref="CK630:CK635" si="2084">H630</f>
        <v>12</v>
      </c>
      <c r="CL630" s="227" t="str">
        <f t="shared" si="2070"/>
        <v xml:space="preserve">Công nghệ vi sinh </v>
      </c>
      <c r="CM630" s="87" t="str">
        <f t="shared" si="2044"/>
        <v>CB2</v>
      </c>
      <c r="CN630" s="87">
        <f t="shared" si="2074"/>
        <v>270</v>
      </c>
      <c r="CO630" s="87">
        <f t="shared" si="2074"/>
        <v>120</v>
      </c>
      <c r="CP630" s="229">
        <f t="shared" si="1943"/>
        <v>0</v>
      </c>
      <c r="CQ630" s="229">
        <f t="shared" si="1944"/>
        <v>67.099999999999994</v>
      </c>
      <c r="CR630" s="229">
        <f t="shared" si="1945"/>
        <v>27</v>
      </c>
      <c r="CS630" s="229">
        <f t="shared" si="1946"/>
        <v>99.9</v>
      </c>
      <c r="CT630" s="229">
        <f t="shared" si="1947"/>
        <v>0</v>
      </c>
      <c r="CU630" s="229">
        <f t="shared" si="1948"/>
        <v>274.5</v>
      </c>
      <c r="CV630" s="229">
        <f t="shared" si="1949"/>
        <v>0</v>
      </c>
      <c r="CW630" s="229">
        <f t="shared" si="1950"/>
        <v>0</v>
      </c>
      <c r="CX630" s="229">
        <f t="shared" si="1951"/>
        <v>0</v>
      </c>
      <c r="CY630" s="229">
        <f t="shared" si="1952"/>
        <v>0</v>
      </c>
      <c r="CZ630" s="229">
        <f t="shared" si="1953"/>
        <v>0</v>
      </c>
      <c r="DA630" s="229">
        <f t="shared" si="1954"/>
        <v>126</v>
      </c>
      <c r="DB630" s="228">
        <f t="shared" si="2045"/>
        <v>594.5</v>
      </c>
      <c r="DC630" s="229"/>
      <c r="DD630" s="229"/>
      <c r="DE630" s="229"/>
      <c r="DF630" s="229"/>
      <c r="DG630" s="229"/>
      <c r="DH630" s="229"/>
      <c r="DI630" s="229"/>
      <c r="DJ630" s="229"/>
      <c r="DK630" s="229"/>
      <c r="DL630" s="229"/>
      <c r="DM630" s="229"/>
      <c r="DN630" s="229"/>
      <c r="DO630" s="228">
        <f t="shared" si="2046"/>
        <v>0</v>
      </c>
      <c r="DP630" s="228">
        <f t="shared" si="2047"/>
        <v>594.5</v>
      </c>
      <c r="DQ630" s="229">
        <f t="shared" si="1955"/>
        <v>54</v>
      </c>
      <c r="DR630" s="229">
        <f t="shared" si="1956"/>
        <v>2</v>
      </c>
      <c r="DS630" s="229">
        <f t="shared" si="1957"/>
        <v>0</v>
      </c>
      <c r="DT630" s="229">
        <f t="shared" si="1958"/>
        <v>0.8</v>
      </c>
      <c r="DU630" s="229">
        <f t="shared" si="1959"/>
        <v>0</v>
      </c>
      <c r="DV630" s="229">
        <f t="shared" si="1960"/>
        <v>80</v>
      </c>
      <c r="DW630" s="229">
        <f t="shared" si="1961"/>
        <v>0</v>
      </c>
      <c r="DX630" s="228">
        <f t="shared" si="2048"/>
        <v>136.80000000000001</v>
      </c>
      <c r="DY630" s="229"/>
      <c r="DZ630" s="229"/>
      <c r="EA630" s="229"/>
      <c r="EB630" s="229"/>
      <c r="EC630" s="229"/>
      <c r="ED630" s="229"/>
      <c r="EE630" s="229"/>
      <c r="EF630" s="228">
        <f t="shared" si="1939"/>
        <v>0</v>
      </c>
      <c r="EG630" s="228">
        <f t="shared" si="2049"/>
        <v>136.80000000000001</v>
      </c>
      <c r="EH630" s="229">
        <f t="shared" si="1940"/>
        <v>263.62</v>
      </c>
      <c r="EI630" s="229">
        <v>69.37</v>
      </c>
      <c r="EJ630" s="228">
        <f t="shared" ref="EJ630:EJ635" si="2085">SUM(EH630:EI630)</f>
        <v>332.99</v>
      </c>
      <c r="EK630" s="229"/>
      <c r="EL630" s="229"/>
      <c r="EM630" s="228">
        <f t="shared" si="2075"/>
        <v>0</v>
      </c>
      <c r="EN630" s="229">
        <f t="shared" ref="EN630:EN669" si="2086">EK630+EH630+EL630</f>
        <v>263.62</v>
      </c>
      <c r="EO630" s="229">
        <f t="shared" si="1983"/>
        <v>69.37</v>
      </c>
      <c r="EP630" s="228">
        <f t="shared" ref="EP630:EP635" si="2087">EM630+EJ630</f>
        <v>332.99</v>
      </c>
      <c r="EQ630" s="173">
        <f t="shared" si="1934"/>
        <v>143.62</v>
      </c>
      <c r="ER630" s="189">
        <v>0</v>
      </c>
      <c r="ES630" s="189">
        <v>67.099999999999994</v>
      </c>
      <c r="ET630" s="189">
        <v>27</v>
      </c>
      <c r="EU630" s="189">
        <v>99.9</v>
      </c>
      <c r="EV630" s="189">
        <v>0</v>
      </c>
      <c r="EW630" s="189">
        <v>274.5</v>
      </c>
      <c r="EX630" s="189">
        <v>0</v>
      </c>
      <c r="EY630" s="189">
        <v>0</v>
      </c>
      <c r="EZ630" s="189">
        <v>0</v>
      </c>
      <c r="FA630" s="189">
        <v>0</v>
      </c>
      <c r="FB630" s="189">
        <v>0</v>
      </c>
      <c r="FC630" s="189">
        <v>126</v>
      </c>
      <c r="FD630" s="189">
        <v>54</v>
      </c>
      <c r="FE630" s="189">
        <v>2</v>
      </c>
      <c r="FF630" s="189">
        <v>0</v>
      </c>
      <c r="FG630" s="189">
        <v>0.8</v>
      </c>
      <c r="FH630" s="189">
        <v>80</v>
      </c>
      <c r="FI630" s="189">
        <v>0</v>
      </c>
      <c r="FJ630" s="189">
        <v>0</v>
      </c>
      <c r="FK630" s="189">
        <v>731.3</v>
      </c>
      <c r="FL630" s="189">
        <v>568.9</v>
      </c>
      <c r="FN630" s="132">
        <v>263.62</v>
      </c>
    </row>
    <row r="631" spans="1:170" ht="25.5" customHeight="1">
      <c r="A631" s="88">
        <f>COUNTIF($H$12:H631,H631)</f>
        <v>22</v>
      </c>
      <c r="B631" s="88" t="s">
        <v>2180</v>
      </c>
      <c r="C631" s="88" t="s">
        <v>985</v>
      </c>
      <c r="D631" s="88"/>
      <c r="E631" s="88"/>
      <c r="F631" s="301" t="s">
        <v>280</v>
      </c>
      <c r="G631" s="89" t="s">
        <v>2086</v>
      </c>
      <c r="H631" s="88">
        <v>12</v>
      </c>
      <c r="I631" s="88">
        <v>12</v>
      </c>
      <c r="J631" s="88">
        <v>12</v>
      </c>
      <c r="K631" s="90" t="s">
        <v>2849</v>
      </c>
      <c r="L631" s="90" t="s">
        <v>2849</v>
      </c>
      <c r="M631" s="214"/>
      <c r="N631" s="88" t="s">
        <v>1804</v>
      </c>
      <c r="O631" s="216">
        <f t="shared" si="2076"/>
        <v>3</v>
      </c>
      <c r="P631" s="88" t="str">
        <f t="shared" si="2009"/>
        <v>B1_3</v>
      </c>
      <c r="Q631" s="88">
        <f t="shared" si="1935"/>
        <v>270</v>
      </c>
      <c r="R631" s="88">
        <f t="shared" si="1936"/>
        <v>100</v>
      </c>
      <c r="S631" s="231"/>
      <c r="T631" s="214" t="s">
        <v>3088</v>
      </c>
      <c r="U631" s="88">
        <f>IF(RIGHT(T631,1)="K",(VLOOKUP(T631,ma_miengiam!$A$3:$B$80,2,0)*100)/2,VLOOKUP(T631,ma_miengiam!$A$3:$B$80,2,0)*100)</f>
        <v>0</v>
      </c>
      <c r="V631" s="88"/>
      <c r="W631" s="220">
        <f>IF(AND(T631="NTS",V631&gt;0),(Q631-(Q631*V631)/12)*VLOOKUP(T631,ma_miengiam!$A$3:$B$80,2,0)+(Q631-(Q631*(12-V631))/12),IF(AND(RIGHT(T631,1)="K",V631&gt;0),(VLOOKUP(T631,ma_miengiam!$A$3:$B$80,2,0)/2)*(Q631*V631)/12,IF(RIGHT(T631,1)="K",(VLOOKUP(T631,ma_miengiam!$A$3:$B$80,2,0)*Q631)/2,IF(V631&gt;0,VLOOKUP(T631,ma_miengiam!$A$3:$B$80,2,0)*Q631*V631/12,VLOOKUP(T631,ma_miengiam!$A$3:$B$80,2,0)*Q631))))</f>
        <v>0</v>
      </c>
      <c r="X631" s="220">
        <f>IF(T631="NTS",VLOOKUP(T631,ma_miengiam!$A$3:$B$80,2,0)*R631*V631,IF(AND(T631="NTS",V631=0),0,IF(AND(LEFT(T631,1)="K",V631=0),VLOOKUP(T631,ma_miengiam!$A$3:$B$80,2,0)*R631,IF(LEFT(T631,1)="K",(VLOOKUP(T631,ma_miengiam!$A$3:$B$80,2,0)*R631/12)*V631,IF(AND(LEFT(T631,1)="S",V631&gt;0),(R631/12)*V631,IF(AND(LEFT(T631,1)="S",V631=0),R631,IF(T631="DH",VLOOKUP(T631,ma_miengiam!$A$3:$B$80,2,0)*R631,0)))))))</f>
        <v>0</v>
      </c>
      <c r="Y631" s="220">
        <f t="shared" si="1963"/>
        <v>270</v>
      </c>
      <c r="Z631" s="220">
        <f>IF(AND(T631="SĐH",V631&gt;0),(R631/12)*V631-X631,IF(AND(T631="DH",V631&gt;0),(R631*V631/12),IF(AND(T631&lt;&gt;"NTS",V631&gt;0),(R631*V631/12)-X631,IF(AND(T631="NTS",V631&gt;0),R631-X631,R631-X631))))</f>
        <v>100</v>
      </c>
      <c r="AA631" s="220">
        <f>Q631</f>
        <v>270</v>
      </c>
      <c r="AB631" s="220">
        <f>R631</f>
        <v>100</v>
      </c>
      <c r="AC631" s="220">
        <f t="shared" si="2077"/>
        <v>0</v>
      </c>
      <c r="AD631" s="220">
        <f t="shared" si="2077"/>
        <v>0</v>
      </c>
      <c r="AE631" s="220">
        <f t="shared" si="2077"/>
        <v>270</v>
      </c>
      <c r="AF631" s="220">
        <f t="shared" si="2077"/>
        <v>100</v>
      </c>
      <c r="AG631" s="220">
        <f>AH631+AI631</f>
        <v>144.16999999999999</v>
      </c>
      <c r="AH631" s="220">
        <f>EO631</f>
        <v>0</v>
      </c>
      <c r="AI631" s="220">
        <f>EN631</f>
        <v>144.16999999999999</v>
      </c>
      <c r="AJ631" s="220">
        <f>IF(AG631-Z631&gt;0,0,AG631-Z631)</f>
        <v>0</v>
      </c>
      <c r="AK631" s="216">
        <f t="shared" si="2051"/>
        <v>270</v>
      </c>
      <c r="AL631" s="220">
        <f t="shared" si="2024"/>
        <v>131.9</v>
      </c>
      <c r="AM631" s="220">
        <f t="shared" si="2025"/>
        <v>0</v>
      </c>
      <c r="AN631" s="221">
        <f t="shared" si="2026"/>
        <v>131.9</v>
      </c>
      <c r="AO631" s="220">
        <f t="shared" si="2027"/>
        <v>0</v>
      </c>
      <c r="AP631" s="220">
        <f t="shared" si="2028"/>
        <v>0</v>
      </c>
      <c r="AQ631" s="220">
        <f t="shared" si="2029"/>
        <v>0</v>
      </c>
      <c r="AR631" s="220">
        <f t="shared" si="2030"/>
        <v>0</v>
      </c>
      <c r="AS631" s="220">
        <f t="shared" si="2031"/>
        <v>0</v>
      </c>
      <c r="AT631" s="216">
        <f t="shared" si="2032"/>
        <v>131.9</v>
      </c>
      <c r="AU631" s="222">
        <f>AN631-AK631</f>
        <v>-138.1</v>
      </c>
      <c r="AV631" s="220"/>
      <c r="AW631" s="220">
        <f t="shared" si="2033"/>
        <v>-138.1</v>
      </c>
      <c r="AX631" s="216">
        <f t="shared" si="2020"/>
        <v>-138.1</v>
      </c>
      <c r="AY631" s="220">
        <f t="shared" si="2034"/>
        <v>0</v>
      </c>
      <c r="AZ631" s="220">
        <f t="shared" si="2035"/>
        <v>0</v>
      </c>
      <c r="BA631" s="220">
        <f t="shared" si="2036"/>
        <v>0</v>
      </c>
      <c r="BB631" s="220">
        <f t="shared" si="2037"/>
        <v>0</v>
      </c>
      <c r="BC631" s="220">
        <f t="shared" si="2038"/>
        <v>0</v>
      </c>
      <c r="BD631" s="216">
        <f t="shared" si="1987"/>
        <v>0</v>
      </c>
      <c r="BE631" s="220">
        <f t="shared" si="2039"/>
        <v>0</v>
      </c>
      <c r="BF631" s="220">
        <f t="shared" si="2040"/>
        <v>0</v>
      </c>
      <c r="BG631" s="220">
        <f t="shared" si="2041"/>
        <v>0</v>
      </c>
      <c r="BH631" s="220">
        <f t="shared" si="2042"/>
        <v>0</v>
      </c>
      <c r="BI631" s="220">
        <f t="shared" si="2043"/>
        <v>0</v>
      </c>
      <c r="BJ631" s="220" t="s">
        <v>220</v>
      </c>
      <c r="BK631" s="220"/>
      <c r="BL631" s="223">
        <f t="shared" si="2005"/>
        <v>0</v>
      </c>
      <c r="BM631" s="220">
        <v>3</v>
      </c>
      <c r="BN631" s="220"/>
      <c r="BO631" s="220">
        <f t="shared" si="2078"/>
        <v>3</v>
      </c>
      <c r="BP631" s="220">
        <f>IF(AND(BL631&gt;0,BL631&lt;tiet!$D$1),BL631,IF(BL631&lt;=0,0,IF(BL631&gt;tiet!$C$1,tiet!$C$1)))</f>
        <v>0</v>
      </c>
      <c r="BQ631" s="87">
        <f t="shared" si="2079"/>
        <v>60000</v>
      </c>
      <c r="BR631" s="224">
        <f t="shared" si="2080"/>
        <v>0</v>
      </c>
      <c r="BS631" s="220">
        <f t="shared" si="1933"/>
        <v>0</v>
      </c>
      <c r="BT631" s="224">
        <f>VLOOKUP(N631,ma_dinhmuc!$A$1:$J$31,10,0)</f>
        <v>51000</v>
      </c>
      <c r="BU631" s="224">
        <f>ROUND(IF(BS631&gt;0,VLOOKUP(N631,ma_dinhmuc!$A$1:$J$31,10,0)*BS631,0),0)</f>
        <v>0</v>
      </c>
      <c r="BV631" s="224">
        <f t="shared" si="2081"/>
        <v>0</v>
      </c>
      <c r="BW631" s="224"/>
      <c r="BX631" s="224">
        <v>0</v>
      </c>
      <c r="BY631" s="224"/>
      <c r="BZ631" s="224"/>
      <c r="CA631" s="224"/>
      <c r="CB631" s="224"/>
      <c r="CC631" s="225">
        <f>ROUND(IF(BV631+BW631&gt;BX631+BY631+BZ631+CA631+CB631,(BW631+BV631)-(BX631+BY631+BZ631+CA631+CB631+CB631),0),0)</f>
        <v>0</v>
      </c>
      <c r="CD631" s="224">
        <f>ROUND(IF(BV631+BW631&lt;BX631+BY631+BZ631+CA631-CB631,(BX631+BY631+BZ631+CA631-CB631)-(BW631+BV631),0),0)</f>
        <v>0</v>
      </c>
      <c r="CE631" s="224"/>
      <c r="CF631" s="226"/>
      <c r="CG631" s="87"/>
      <c r="CH631" s="87">
        <f t="shared" si="2082"/>
        <v>22</v>
      </c>
      <c r="CI631" s="227" t="str">
        <f t="shared" si="2083"/>
        <v>Trần Đông</v>
      </c>
      <c r="CJ631" s="227" t="str">
        <f t="shared" si="2083"/>
        <v>Anh</v>
      </c>
      <c r="CK631" s="87">
        <f t="shared" si="2084"/>
        <v>12</v>
      </c>
      <c r="CL631" s="227" t="str">
        <f>L631</f>
        <v xml:space="preserve">Công nghệ vi sinh </v>
      </c>
      <c r="CM631" s="87" t="str">
        <f t="shared" si="2044"/>
        <v>CS2</v>
      </c>
      <c r="CN631" s="87">
        <f t="shared" si="2074"/>
        <v>270</v>
      </c>
      <c r="CO631" s="87">
        <f t="shared" si="2074"/>
        <v>100</v>
      </c>
      <c r="CP631" s="229">
        <f t="shared" si="1943"/>
        <v>0</v>
      </c>
      <c r="CQ631" s="229">
        <f t="shared" si="1944"/>
        <v>5.8</v>
      </c>
      <c r="CR631" s="229">
        <f t="shared" si="1945"/>
        <v>0.8</v>
      </c>
      <c r="CS631" s="229">
        <f t="shared" si="1946"/>
        <v>26.3</v>
      </c>
      <c r="CT631" s="229">
        <f t="shared" si="1947"/>
        <v>0</v>
      </c>
      <c r="CU631" s="229">
        <f t="shared" si="1948"/>
        <v>39</v>
      </c>
      <c r="CV631" s="229">
        <f t="shared" si="1949"/>
        <v>0</v>
      </c>
      <c r="CW631" s="229">
        <f t="shared" si="1950"/>
        <v>60</v>
      </c>
      <c r="CX631" s="229">
        <f t="shared" si="1951"/>
        <v>0</v>
      </c>
      <c r="CY631" s="229">
        <f t="shared" si="1952"/>
        <v>0</v>
      </c>
      <c r="CZ631" s="229">
        <f t="shared" si="1953"/>
        <v>0</v>
      </c>
      <c r="DA631" s="229">
        <f t="shared" si="1954"/>
        <v>0</v>
      </c>
      <c r="DB631" s="228">
        <f t="shared" si="2045"/>
        <v>131.9</v>
      </c>
      <c r="DC631" s="229"/>
      <c r="DD631" s="229"/>
      <c r="DE631" s="229"/>
      <c r="DF631" s="229"/>
      <c r="DG631" s="229"/>
      <c r="DH631" s="229"/>
      <c r="DI631" s="229"/>
      <c r="DJ631" s="229"/>
      <c r="DK631" s="229"/>
      <c r="DL631" s="229"/>
      <c r="DM631" s="229"/>
      <c r="DN631" s="229"/>
      <c r="DO631" s="228">
        <f t="shared" si="2046"/>
        <v>0</v>
      </c>
      <c r="DP631" s="228">
        <f t="shared" si="2047"/>
        <v>131.9</v>
      </c>
      <c r="DQ631" s="229">
        <f t="shared" si="1955"/>
        <v>0</v>
      </c>
      <c r="DR631" s="229">
        <f t="shared" si="1956"/>
        <v>0</v>
      </c>
      <c r="DS631" s="229">
        <f t="shared" si="1957"/>
        <v>0</v>
      </c>
      <c r="DT631" s="229">
        <f t="shared" si="1958"/>
        <v>0</v>
      </c>
      <c r="DU631" s="229">
        <f t="shared" si="1959"/>
        <v>0</v>
      </c>
      <c r="DV631" s="229">
        <f t="shared" si="1960"/>
        <v>0</v>
      </c>
      <c r="DW631" s="229">
        <f t="shared" si="1961"/>
        <v>0</v>
      </c>
      <c r="DX631" s="228">
        <f t="shared" si="2048"/>
        <v>0</v>
      </c>
      <c r="DY631" s="229"/>
      <c r="DZ631" s="229"/>
      <c r="EA631" s="229"/>
      <c r="EB631" s="229"/>
      <c r="EC631" s="229"/>
      <c r="ED631" s="229"/>
      <c r="EE631" s="229"/>
      <c r="EF631" s="228">
        <f t="shared" si="1939"/>
        <v>0</v>
      </c>
      <c r="EG631" s="228">
        <f t="shared" si="2049"/>
        <v>0</v>
      </c>
      <c r="EH631" s="229">
        <f t="shared" si="1940"/>
        <v>144.16999999999999</v>
      </c>
      <c r="EI631" s="229">
        <v>0</v>
      </c>
      <c r="EJ631" s="228">
        <f t="shared" si="2085"/>
        <v>144.16999999999999</v>
      </c>
      <c r="EK631" s="229"/>
      <c r="EL631" s="229"/>
      <c r="EM631" s="228">
        <f t="shared" si="2075"/>
        <v>0</v>
      </c>
      <c r="EN631" s="229">
        <f t="shared" si="2086"/>
        <v>144.16999999999999</v>
      </c>
      <c r="EO631" s="229">
        <f>EI631</f>
        <v>0</v>
      </c>
      <c r="EP631" s="228">
        <f t="shared" si="2087"/>
        <v>144.16999999999999</v>
      </c>
      <c r="EQ631" s="173">
        <f t="shared" si="1934"/>
        <v>44.169999999999987</v>
      </c>
      <c r="ER631" s="189">
        <v>0</v>
      </c>
      <c r="ES631" s="189">
        <v>5.8</v>
      </c>
      <c r="ET631" s="189">
        <v>0.8</v>
      </c>
      <c r="EU631" s="189">
        <v>26.3</v>
      </c>
      <c r="EV631" s="189">
        <v>0</v>
      </c>
      <c r="EW631" s="189">
        <v>39</v>
      </c>
      <c r="EX631" s="189">
        <v>0</v>
      </c>
      <c r="EY631" s="189">
        <v>60</v>
      </c>
      <c r="EZ631" s="189">
        <v>0</v>
      </c>
      <c r="FA631" s="189">
        <v>0</v>
      </c>
      <c r="FB631" s="189">
        <v>0</v>
      </c>
      <c r="FC631" s="189">
        <v>0</v>
      </c>
      <c r="FD631" s="189">
        <v>0</v>
      </c>
      <c r="FE631" s="189">
        <v>0</v>
      </c>
      <c r="FF631" s="189">
        <v>0</v>
      </c>
      <c r="FG631" s="189">
        <v>0</v>
      </c>
      <c r="FH631" s="189">
        <v>0</v>
      </c>
      <c r="FI631" s="189">
        <v>0</v>
      </c>
      <c r="FJ631" s="189">
        <v>0</v>
      </c>
      <c r="FK631" s="189">
        <v>131.9</v>
      </c>
      <c r="FL631" s="189">
        <v>120.25</v>
      </c>
      <c r="FN631" s="132">
        <v>144.16999999999999</v>
      </c>
    </row>
    <row r="632" spans="1:170" ht="30" customHeight="1">
      <c r="A632" s="88">
        <f>COUNTIF($H$12:H632,H632)</f>
        <v>23</v>
      </c>
      <c r="B632" s="88" t="s">
        <v>2181</v>
      </c>
      <c r="C632" s="88" t="s">
        <v>986</v>
      </c>
      <c r="D632" s="88"/>
      <c r="E632" s="88"/>
      <c r="F632" s="301" t="s">
        <v>1504</v>
      </c>
      <c r="G632" s="89" t="s">
        <v>3037</v>
      </c>
      <c r="H632" s="88">
        <v>12</v>
      </c>
      <c r="I632" s="88">
        <v>12</v>
      </c>
      <c r="J632" s="88">
        <v>12</v>
      </c>
      <c r="K632" s="90" t="s">
        <v>2849</v>
      </c>
      <c r="L632" s="90" t="s">
        <v>2849</v>
      </c>
      <c r="M632" s="214"/>
      <c r="N632" s="88" t="s">
        <v>1804</v>
      </c>
      <c r="O632" s="216">
        <f t="shared" si="2076"/>
        <v>4.6500000000000004</v>
      </c>
      <c r="P632" s="88" t="str">
        <f t="shared" si="2009"/>
        <v>B1_5</v>
      </c>
      <c r="Q632" s="88">
        <f t="shared" si="1935"/>
        <v>270</v>
      </c>
      <c r="R632" s="88">
        <f t="shared" si="1936"/>
        <v>150</v>
      </c>
      <c r="S632" s="231"/>
      <c r="T632" s="214" t="s">
        <v>3088</v>
      </c>
      <c r="U632" s="88">
        <f>IF(RIGHT(T632,1)="K",(VLOOKUP(T632,ma_miengiam!$A$3:$B$80,2,0)*100)/2,VLOOKUP(T632,ma_miengiam!$A$3:$B$80,2,0)*100)</f>
        <v>0</v>
      </c>
      <c r="V632" s="88"/>
      <c r="W632" s="220">
        <f>IF(AND(T632="NTS",V632&gt;0),(Q632-(Q632*V632)/12)*VLOOKUP(T632,ma_miengiam!$A$3:$B$80,2,0)+(Q632-(Q632*(12-V632))/12),IF(AND(RIGHT(T632,1)="K",V632&gt;0),(VLOOKUP(T632,ma_miengiam!$A$3:$B$80,2,0)/2)*(Q632*V632)/12,IF(RIGHT(T632,1)="K",(VLOOKUP(T632,ma_miengiam!$A$3:$B$80,2,0)*Q632)/2,IF(V632&gt;0,VLOOKUP(T632,ma_miengiam!$A$3:$B$80,2,0)*Q632*V632/12,VLOOKUP(T632,ma_miengiam!$A$3:$B$80,2,0)*Q632))))</f>
        <v>0</v>
      </c>
      <c r="X632" s="220">
        <f>IF(T632="NTS",VLOOKUP(T632,ma_miengiam!$A$3:$B$80,2,0)*R632*V632,IF(AND(T632="NTS",V632=0),0,IF(AND(LEFT(T632,1)="K",V632=0),VLOOKUP(T632,ma_miengiam!$A$3:$B$80,2,0)*R632,IF(LEFT(T632,1)="K",(VLOOKUP(T632,ma_miengiam!$A$3:$B$80,2,0)*R632/12)*V632,IF(AND(LEFT(T632,1)="S",V632&gt;0),(R632/12)*V632,IF(AND(LEFT(T632,1)="S",V632=0),R632,IF(T632="DH",VLOOKUP(T632,ma_miengiam!$A$3:$B$80,2,0)*R632,0)))))))</f>
        <v>0</v>
      </c>
      <c r="Y632" s="220">
        <f t="shared" si="1963"/>
        <v>270</v>
      </c>
      <c r="Z632" s="220">
        <f>IF(AND(T632="SĐH",V632&gt;0),(R632/12)*V632-X632,IF(AND(T632="DH",V632&gt;0),(R632*V632/12),IF(AND(T632&lt;&gt;"NTS",V632&gt;0),(R632*V632/12)-X632,IF(AND(T632="NTS",V632&gt;0),R632-X632,R632-X632))))</f>
        <v>150</v>
      </c>
      <c r="AA632" s="220">
        <f t="shared" ref="AA632:AB637" si="2088">Q632</f>
        <v>270</v>
      </c>
      <c r="AB632" s="220">
        <f t="shared" si="2088"/>
        <v>150</v>
      </c>
      <c r="AC632" s="220">
        <f t="shared" si="2077"/>
        <v>0</v>
      </c>
      <c r="AD632" s="220">
        <f t="shared" si="2077"/>
        <v>0</v>
      </c>
      <c r="AE632" s="220">
        <f t="shared" si="2077"/>
        <v>270</v>
      </c>
      <c r="AF632" s="220">
        <f t="shared" si="2077"/>
        <v>150</v>
      </c>
      <c r="AG632" s="220">
        <f>AH632+AI632</f>
        <v>291.95999999999998</v>
      </c>
      <c r="AH632" s="220">
        <f>EO632</f>
        <v>86.71</v>
      </c>
      <c r="AI632" s="220">
        <f>EN632</f>
        <v>205.25</v>
      </c>
      <c r="AJ632" s="220">
        <f>IF(AG632-Z632&gt;0,0,AG632-Z632)</f>
        <v>0</v>
      </c>
      <c r="AK632" s="216">
        <f t="shared" si="2051"/>
        <v>270</v>
      </c>
      <c r="AL632" s="220">
        <f t="shared" si="2024"/>
        <v>165.2</v>
      </c>
      <c r="AM632" s="220">
        <f t="shared" si="2025"/>
        <v>0</v>
      </c>
      <c r="AN632" s="221">
        <f t="shared" si="2026"/>
        <v>165.2</v>
      </c>
      <c r="AO632" s="220">
        <f t="shared" si="2027"/>
        <v>0</v>
      </c>
      <c r="AP632" s="220">
        <f t="shared" si="2028"/>
        <v>0</v>
      </c>
      <c r="AQ632" s="220">
        <f t="shared" si="2029"/>
        <v>0</v>
      </c>
      <c r="AR632" s="220">
        <f t="shared" si="2030"/>
        <v>0</v>
      </c>
      <c r="AS632" s="220">
        <f t="shared" si="2031"/>
        <v>0</v>
      </c>
      <c r="AT632" s="216">
        <f t="shared" si="2032"/>
        <v>165.2</v>
      </c>
      <c r="AU632" s="222">
        <f t="shared" si="1982"/>
        <v>-104.80000000000001</v>
      </c>
      <c r="AV632" s="220"/>
      <c r="AW632" s="220">
        <f t="shared" si="2033"/>
        <v>-104.80000000000001</v>
      </c>
      <c r="AX632" s="216">
        <f t="shared" si="2020"/>
        <v>-104.80000000000001</v>
      </c>
      <c r="AY632" s="220">
        <f t="shared" si="2034"/>
        <v>0</v>
      </c>
      <c r="AZ632" s="220">
        <f t="shared" si="2035"/>
        <v>0</v>
      </c>
      <c r="BA632" s="220">
        <f t="shared" si="2036"/>
        <v>0</v>
      </c>
      <c r="BB632" s="220">
        <f t="shared" si="2037"/>
        <v>0</v>
      </c>
      <c r="BC632" s="220">
        <f t="shared" si="2038"/>
        <v>0</v>
      </c>
      <c r="BD632" s="216">
        <f t="shared" si="1987"/>
        <v>0</v>
      </c>
      <c r="BE632" s="220">
        <f t="shared" si="2039"/>
        <v>0</v>
      </c>
      <c r="BF632" s="220">
        <f t="shared" si="2040"/>
        <v>0</v>
      </c>
      <c r="BG632" s="220">
        <f t="shared" si="2041"/>
        <v>0</v>
      </c>
      <c r="BH632" s="220">
        <f t="shared" si="2042"/>
        <v>0</v>
      </c>
      <c r="BI632" s="220">
        <f t="shared" si="2043"/>
        <v>0</v>
      </c>
      <c r="BJ632" s="220" t="s">
        <v>220</v>
      </c>
      <c r="BK632" s="220"/>
      <c r="BL632" s="223">
        <f t="shared" si="2005"/>
        <v>0</v>
      </c>
      <c r="BM632" s="220">
        <v>4.6500000000000004</v>
      </c>
      <c r="BN632" s="220"/>
      <c r="BO632" s="220">
        <f t="shared" si="2078"/>
        <v>4.6500000000000004</v>
      </c>
      <c r="BP632" s="220">
        <f>IF(AND(BL632&gt;0,BL632&lt;tiet!$D$1),BL632,IF(BL632&lt;=0,0,IF(BL632&gt;tiet!$C$1,tiet!$C$1)))</f>
        <v>0</v>
      </c>
      <c r="BQ632" s="87">
        <f t="shared" si="2079"/>
        <v>70000</v>
      </c>
      <c r="BR632" s="224">
        <f t="shared" si="2080"/>
        <v>0</v>
      </c>
      <c r="BS632" s="220">
        <f t="shared" si="1933"/>
        <v>0</v>
      </c>
      <c r="BT632" s="224">
        <f>VLOOKUP(N632,ma_dinhmuc!$A$1:$J$31,10,0)</f>
        <v>51000</v>
      </c>
      <c r="BU632" s="224">
        <f>ROUND(IF(BS632&gt;0,VLOOKUP(N632,ma_dinhmuc!$A$1:$J$31,10,0)*BS632,0),0)</f>
        <v>0</v>
      </c>
      <c r="BV632" s="224">
        <f t="shared" si="2081"/>
        <v>0</v>
      </c>
      <c r="BW632" s="224"/>
      <c r="BX632" s="224">
        <v>0</v>
      </c>
      <c r="BY632" s="224"/>
      <c r="BZ632" s="224"/>
      <c r="CA632" s="224"/>
      <c r="CB632" s="224"/>
      <c r="CC632" s="225">
        <f>ROUND(IF(BV632+BW632&gt;BX632+BY632+BZ632+CA632+CB632,(BW632+BV632)-(BX632+BY632+BZ632+CA632+CB632+CB632),0),0)</f>
        <v>0</v>
      </c>
      <c r="CD632" s="224">
        <f>ROUND(IF(BV632+BW632&lt;BX632+BY632+BZ632+CA632-CB632,(BX632+BY632+BZ632+CA632-CB632)-(BW632+BV632),0),0)</f>
        <v>0</v>
      </c>
      <c r="CE632" s="224"/>
      <c r="CF632" s="226"/>
      <c r="CG632" s="87"/>
      <c r="CH632" s="87">
        <f t="shared" si="2082"/>
        <v>23</v>
      </c>
      <c r="CI632" s="227" t="str">
        <f t="shared" si="2083"/>
        <v>Nguyễn Thị Bích</v>
      </c>
      <c r="CJ632" s="227" t="str">
        <f t="shared" si="2083"/>
        <v>Thùy</v>
      </c>
      <c r="CK632" s="87">
        <f t="shared" si="2084"/>
        <v>12</v>
      </c>
      <c r="CL632" s="227" t="str">
        <f t="shared" si="2070"/>
        <v xml:space="preserve">Công nghệ vi sinh </v>
      </c>
      <c r="CM632" s="87" t="str">
        <f t="shared" si="2044"/>
        <v>CS2</v>
      </c>
      <c r="CN632" s="87">
        <f t="shared" si="2074"/>
        <v>270</v>
      </c>
      <c r="CO632" s="87">
        <f t="shared" si="2074"/>
        <v>150</v>
      </c>
      <c r="CP632" s="229">
        <f t="shared" si="1943"/>
        <v>0</v>
      </c>
      <c r="CQ632" s="229">
        <f t="shared" si="1944"/>
        <v>8.5</v>
      </c>
      <c r="CR632" s="229">
        <f t="shared" si="1945"/>
        <v>2.7</v>
      </c>
      <c r="CS632" s="229">
        <f t="shared" si="1946"/>
        <v>30</v>
      </c>
      <c r="CT632" s="229">
        <f t="shared" si="1947"/>
        <v>0</v>
      </c>
      <c r="CU632" s="229">
        <f t="shared" si="1948"/>
        <v>47</v>
      </c>
      <c r="CV632" s="229">
        <f t="shared" si="1949"/>
        <v>0</v>
      </c>
      <c r="CW632" s="229">
        <f t="shared" si="1950"/>
        <v>77</v>
      </c>
      <c r="CX632" s="229">
        <f t="shared" si="1951"/>
        <v>0</v>
      </c>
      <c r="CY632" s="229">
        <f t="shared" si="1952"/>
        <v>0</v>
      </c>
      <c r="CZ632" s="229">
        <f t="shared" si="1953"/>
        <v>0</v>
      </c>
      <c r="DA632" s="229">
        <f t="shared" si="1954"/>
        <v>0</v>
      </c>
      <c r="DB632" s="228">
        <f t="shared" si="2045"/>
        <v>165.2</v>
      </c>
      <c r="DC632" s="229"/>
      <c r="DD632" s="229"/>
      <c r="DE632" s="229"/>
      <c r="DF632" s="229"/>
      <c r="DG632" s="229"/>
      <c r="DH632" s="229"/>
      <c r="DI632" s="229"/>
      <c r="DJ632" s="229"/>
      <c r="DK632" s="229"/>
      <c r="DL632" s="229"/>
      <c r="DM632" s="229"/>
      <c r="DN632" s="229"/>
      <c r="DO632" s="228">
        <f t="shared" si="2046"/>
        <v>0</v>
      </c>
      <c r="DP632" s="228">
        <f t="shared" si="2047"/>
        <v>165.2</v>
      </c>
      <c r="DQ632" s="229">
        <f t="shared" si="1955"/>
        <v>0</v>
      </c>
      <c r="DR632" s="229">
        <f t="shared" si="1956"/>
        <v>0</v>
      </c>
      <c r="DS632" s="229">
        <f t="shared" si="1957"/>
        <v>0</v>
      </c>
      <c r="DT632" s="229">
        <f t="shared" si="1958"/>
        <v>0</v>
      </c>
      <c r="DU632" s="229">
        <f t="shared" si="1959"/>
        <v>0</v>
      </c>
      <c r="DV632" s="229">
        <f t="shared" si="1960"/>
        <v>0</v>
      </c>
      <c r="DW632" s="229">
        <f t="shared" si="1961"/>
        <v>0</v>
      </c>
      <c r="DX632" s="228">
        <f t="shared" si="2048"/>
        <v>0</v>
      </c>
      <c r="DY632" s="229"/>
      <c r="DZ632" s="229"/>
      <c r="EA632" s="229"/>
      <c r="EB632" s="229"/>
      <c r="EC632" s="229"/>
      <c r="ED632" s="229"/>
      <c r="EE632" s="229"/>
      <c r="EF632" s="228">
        <f t="shared" si="1939"/>
        <v>0</v>
      </c>
      <c r="EG632" s="228">
        <f t="shared" si="2049"/>
        <v>0</v>
      </c>
      <c r="EH632" s="229">
        <f t="shared" si="1940"/>
        <v>205.25</v>
      </c>
      <c r="EI632" s="229">
        <v>86.71</v>
      </c>
      <c r="EJ632" s="228">
        <f t="shared" si="2085"/>
        <v>291.95999999999998</v>
      </c>
      <c r="EK632" s="229"/>
      <c r="EL632" s="229"/>
      <c r="EM632" s="228">
        <f t="shared" si="2075"/>
        <v>0</v>
      </c>
      <c r="EN632" s="229">
        <f t="shared" si="2086"/>
        <v>205.25</v>
      </c>
      <c r="EO632" s="229">
        <f t="shared" si="1983"/>
        <v>86.71</v>
      </c>
      <c r="EP632" s="228">
        <f t="shared" si="2087"/>
        <v>291.95999999999998</v>
      </c>
      <c r="EQ632" s="173">
        <f t="shared" si="1934"/>
        <v>55.25</v>
      </c>
      <c r="ER632" s="189">
        <v>0</v>
      </c>
      <c r="ES632" s="189">
        <v>8.5</v>
      </c>
      <c r="ET632" s="189">
        <v>2.7</v>
      </c>
      <c r="EU632" s="189">
        <v>30</v>
      </c>
      <c r="EV632" s="189">
        <v>0</v>
      </c>
      <c r="EW632" s="189">
        <v>47</v>
      </c>
      <c r="EX632" s="189">
        <v>0</v>
      </c>
      <c r="EY632" s="189">
        <v>77</v>
      </c>
      <c r="EZ632" s="189">
        <v>0</v>
      </c>
      <c r="FA632" s="189">
        <v>0</v>
      </c>
      <c r="FB632" s="189">
        <v>0</v>
      </c>
      <c r="FC632" s="189">
        <v>0</v>
      </c>
      <c r="FD632" s="189">
        <v>0</v>
      </c>
      <c r="FE632" s="189">
        <v>0</v>
      </c>
      <c r="FF632" s="189">
        <v>0</v>
      </c>
      <c r="FG632" s="189">
        <v>0</v>
      </c>
      <c r="FH632" s="189">
        <v>0</v>
      </c>
      <c r="FI632" s="189">
        <v>0</v>
      </c>
      <c r="FJ632" s="189">
        <v>0</v>
      </c>
      <c r="FK632" s="189">
        <v>165.2</v>
      </c>
      <c r="FL632" s="189">
        <v>141</v>
      </c>
      <c r="FN632" s="132">
        <v>205.25</v>
      </c>
    </row>
    <row r="633" spans="1:170" ht="30" customHeight="1">
      <c r="A633" s="88">
        <f>COUNTIF($H$12:H633,H633)</f>
        <v>24</v>
      </c>
      <c r="B633" s="88" t="s">
        <v>2566</v>
      </c>
      <c r="C633" s="88" t="s">
        <v>2567</v>
      </c>
      <c r="D633" s="88"/>
      <c r="E633" s="88"/>
      <c r="F633" s="301" t="s">
        <v>820</v>
      </c>
      <c r="G633" s="89" t="s">
        <v>2568</v>
      </c>
      <c r="H633" s="88">
        <v>12</v>
      </c>
      <c r="I633" s="88"/>
      <c r="J633" s="88">
        <v>12</v>
      </c>
      <c r="K633" s="90"/>
      <c r="L633" s="90" t="s">
        <v>2849</v>
      </c>
      <c r="M633" s="214">
        <v>1</v>
      </c>
      <c r="N633" s="88" t="s">
        <v>608</v>
      </c>
      <c r="O633" s="216">
        <f t="shared" si="2076"/>
        <v>4.6500000000000004</v>
      </c>
      <c r="P633" s="88" t="str">
        <f t="shared" si="2009"/>
        <v>B1_5</v>
      </c>
      <c r="Q633" s="88">
        <f t="shared" si="1935"/>
        <v>135</v>
      </c>
      <c r="R633" s="88">
        <f t="shared" si="1936"/>
        <v>75</v>
      </c>
      <c r="S633" s="231" t="s">
        <v>1416</v>
      </c>
      <c r="T633" s="214" t="s">
        <v>3088</v>
      </c>
      <c r="U633" s="88">
        <f>IF(RIGHT(T633,1)="K",(VLOOKUP(T633,ma_miengiam!$A$3:$B$80,2,0)*100)/2,VLOOKUP(T633,ma_miengiam!$A$3:$B$80,2,0)*100)</f>
        <v>0</v>
      </c>
      <c r="V633" s="88">
        <v>1</v>
      </c>
      <c r="W633" s="220">
        <f>IF(AND(T633="NTS",V633&gt;0),(Q633-(Q633*V633)/12)*VLOOKUP(T633,ma_miengiam!$A$3:$B$80,2,0)+(Q633-(Q633*(12-V633))/12),IF(AND(RIGHT(T633,1)="K",V633&gt;0),(VLOOKUP(T633,ma_miengiam!$A$3:$B$80,2,0)/2)*(Q633*V633)/12,IF(RIGHT(T633,1)="K",(VLOOKUP(T633,ma_miengiam!$A$3:$B$80,2,0)*Q633)/2,IF(V633&gt;0,VLOOKUP(T633,ma_miengiam!$A$3:$B$80,2,0)*Q633*V633/12,VLOOKUP(T633,ma_miengiam!$A$3:$B$80,2,0)*Q633))))</f>
        <v>0</v>
      </c>
      <c r="X633" s="220">
        <f>IF(T633="NTS",VLOOKUP(T633,ma_miengiam!$A$3:$B$80,2,0)*R633*V633,IF(AND(T633="NTS",V633=0),0,IF(AND(LEFT(T633,1)="K",V633=0),VLOOKUP(T633,ma_miengiam!$A$3:$B$80,2,0)*R633,IF(LEFT(T633,1)="K",(VLOOKUP(T633,ma_miengiam!$A$3:$B$80,2,0)*R633/12)*V633,IF(AND(LEFT(T633,1)="S",V633&gt;0),(R633/12)*V633,IF(AND(LEFT(T633,1)="S",V633=0),R633,IF(T633="DH",VLOOKUP(T633,ma_miengiam!$A$3:$B$80,2,0)*R633,0)))))))</f>
        <v>0</v>
      </c>
      <c r="Y633" s="220">
        <f>IF(AND(T633="DH",V633&gt;0),(S633*V633/12),IF(AND(T633&lt;&gt;"NTS",V633&gt;0),(Q633*V633/12)-W633,IF(AND(T633="NTS",V633&gt;0),Q633-W633,Q633-W633)))</f>
        <v>11.25</v>
      </c>
      <c r="Z633" s="220">
        <f>IF(AND(T633="SĐH",V633&gt;0),(R633/12)*V633-X633,IF(AND(T633="DH",V633&gt;0),(R633*V633/12),IF(AND(T633&lt;&gt;"NTS",V633&gt;0),(R633*V633/12)-X633,IF(AND(T633="NTS",V633&gt;0),R633-X633,R633-X633))))</f>
        <v>6.25</v>
      </c>
      <c r="AA633" s="220"/>
      <c r="AB633" s="220"/>
      <c r="AC633" s="220"/>
      <c r="AD633" s="220"/>
      <c r="AE633" s="220"/>
      <c r="AF633" s="220"/>
      <c r="AG633" s="220"/>
      <c r="AH633" s="220"/>
      <c r="AI633" s="220"/>
      <c r="AJ633" s="220"/>
      <c r="AK633" s="216"/>
      <c r="AL633" s="220"/>
      <c r="AM633" s="220"/>
      <c r="AN633" s="221"/>
      <c r="AO633" s="220"/>
      <c r="AP633" s="220"/>
      <c r="AQ633" s="220"/>
      <c r="AR633" s="220"/>
      <c r="AS633" s="220"/>
      <c r="AT633" s="216"/>
      <c r="AU633" s="222"/>
      <c r="AV633" s="220"/>
      <c r="AW633" s="220"/>
      <c r="AX633" s="216"/>
      <c r="AY633" s="220"/>
      <c r="AZ633" s="220"/>
      <c r="BA633" s="220"/>
      <c r="BB633" s="220"/>
      <c r="BC633" s="220"/>
      <c r="BD633" s="216"/>
      <c r="BE633" s="220"/>
      <c r="BF633" s="220"/>
      <c r="BG633" s="220"/>
      <c r="BH633" s="220"/>
      <c r="BI633" s="220"/>
      <c r="BJ633" s="220" t="s">
        <v>220</v>
      </c>
      <c r="BK633" s="220"/>
      <c r="BL633" s="223">
        <f t="shared" si="2005"/>
        <v>0</v>
      </c>
      <c r="BM633" s="220">
        <v>4.6500000000000004</v>
      </c>
      <c r="BN633" s="220"/>
      <c r="BO633" s="220">
        <f t="shared" si="2078"/>
        <v>4.6500000000000004</v>
      </c>
      <c r="BP633" s="220">
        <f>IF(AND(BL633&gt;0,BL633&lt;tiet!$D$1),BL633,IF(BL633&lt;=0,0,IF(BL633&gt;tiet!$C$1,tiet!$C$1)))</f>
        <v>0</v>
      </c>
      <c r="BQ633" s="87">
        <f t="shared" si="2079"/>
        <v>70000</v>
      </c>
      <c r="BR633" s="224">
        <f t="shared" si="2080"/>
        <v>0</v>
      </c>
      <c r="BS633" s="220">
        <f t="shared" si="1933"/>
        <v>0</v>
      </c>
      <c r="BT633" s="224">
        <f>VLOOKUP(N633,ma_dinhmuc!$A$1:$J$31,10,0)</f>
        <v>47000</v>
      </c>
      <c r="BU633" s="224">
        <f>ROUND(IF(BS633&gt;0,VLOOKUP(N633,ma_dinhmuc!$A$1:$J$31,10,0)*BS633,0),0)</f>
        <v>0</v>
      </c>
      <c r="BV633" s="224">
        <f t="shared" si="2081"/>
        <v>0</v>
      </c>
      <c r="BW633" s="224"/>
      <c r="BX633" s="224">
        <v>0</v>
      </c>
      <c r="BY633" s="224"/>
      <c r="BZ633" s="224"/>
      <c r="CA633" s="224"/>
      <c r="CB633" s="224"/>
      <c r="CC633" s="225">
        <f>ROUND(IF(BV633+BW633&gt;BX633+BY633+BZ633+CA633+CB633,(BW633+BV633)-(BX633+BY633+BZ633+CA633+CB633+CB633),0),0)</f>
        <v>0</v>
      </c>
      <c r="CD633" s="224">
        <f>ROUND(IF(BV633+BW633&lt;BX633+BY633+BZ633+CA633-CB633,(BX633+BY633+BZ633+CA633-CB633)-(BW633+BV633),0),0)</f>
        <v>0</v>
      </c>
      <c r="CE633" s="224"/>
      <c r="CF633" s="226"/>
      <c r="CG633" s="87"/>
      <c r="CH633" s="87">
        <f t="shared" si="2082"/>
        <v>24</v>
      </c>
      <c r="CI633" s="227" t="str">
        <f t="shared" si="2083"/>
        <v>Ngô Xuân</v>
      </c>
      <c r="CJ633" s="227" t="str">
        <f t="shared" si="2083"/>
        <v>Nghiễn</v>
      </c>
      <c r="CK633" s="87">
        <f t="shared" si="2084"/>
        <v>12</v>
      </c>
      <c r="CL633" s="227" t="str">
        <f>L633</f>
        <v xml:space="preserve">Công nghệ vi sinh </v>
      </c>
      <c r="CM633" s="87" t="str">
        <f>N633</f>
        <v>CS1</v>
      </c>
      <c r="CN633" s="87">
        <f t="shared" ref="CN633:CO635" si="2089">Q633</f>
        <v>135</v>
      </c>
      <c r="CO633" s="87">
        <f t="shared" si="2089"/>
        <v>75</v>
      </c>
      <c r="CP633" s="229">
        <f t="shared" si="1943"/>
        <v>0</v>
      </c>
      <c r="CQ633" s="229">
        <f t="shared" si="1944"/>
        <v>0</v>
      </c>
      <c r="CR633" s="229">
        <f t="shared" si="1945"/>
        <v>0</v>
      </c>
      <c r="CS633" s="229">
        <f t="shared" si="1946"/>
        <v>0</v>
      </c>
      <c r="CT633" s="229">
        <f t="shared" si="1947"/>
        <v>0</v>
      </c>
      <c r="CU633" s="229">
        <f t="shared" si="1948"/>
        <v>0</v>
      </c>
      <c r="CV633" s="229">
        <f t="shared" si="1949"/>
        <v>0</v>
      </c>
      <c r="CW633" s="229">
        <f t="shared" si="1950"/>
        <v>0</v>
      </c>
      <c r="CX633" s="229">
        <f t="shared" si="1951"/>
        <v>0</v>
      </c>
      <c r="CY633" s="229">
        <f t="shared" si="1952"/>
        <v>0</v>
      </c>
      <c r="CZ633" s="229">
        <f t="shared" si="1953"/>
        <v>0</v>
      </c>
      <c r="DA633" s="229">
        <f t="shared" si="1954"/>
        <v>0</v>
      </c>
      <c r="DB633" s="228">
        <f>SUM(CP633:DA633)</f>
        <v>0</v>
      </c>
      <c r="DC633" s="229"/>
      <c r="DD633" s="229"/>
      <c r="DE633" s="229"/>
      <c r="DF633" s="229"/>
      <c r="DG633" s="229"/>
      <c r="DH633" s="229"/>
      <c r="DI633" s="229"/>
      <c r="DJ633" s="229"/>
      <c r="DK633" s="229"/>
      <c r="DL633" s="229"/>
      <c r="DM633" s="229"/>
      <c r="DN633" s="229"/>
      <c r="DO633" s="228">
        <f>SUM(DC633:DN633)</f>
        <v>0</v>
      </c>
      <c r="DP633" s="228">
        <f>DO633+DB633</f>
        <v>0</v>
      </c>
      <c r="DQ633" s="229">
        <f t="shared" si="1955"/>
        <v>0</v>
      </c>
      <c r="DR633" s="229">
        <f t="shared" si="1956"/>
        <v>0</v>
      </c>
      <c r="DS633" s="229">
        <f t="shared" si="1957"/>
        <v>0</v>
      </c>
      <c r="DT633" s="229">
        <f t="shared" si="1958"/>
        <v>0</v>
      </c>
      <c r="DU633" s="229">
        <f t="shared" si="1959"/>
        <v>0</v>
      </c>
      <c r="DV633" s="229">
        <f t="shared" si="1960"/>
        <v>0</v>
      </c>
      <c r="DW633" s="229">
        <f t="shared" si="1961"/>
        <v>0</v>
      </c>
      <c r="DX633" s="228">
        <f>SUM(DQ633:DW633)</f>
        <v>0</v>
      </c>
      <c r="DY633" s="229"/>
      <c r="DZ633" s="229"/>
      <c r="EA633" s="229"/>
      <c r="EB633" s="229"/>
      <c r="EC633" s="229"/>
      <c r="ED633" s="229"/>
      <c r="EE633" s="229"/>
      <c r="EF633" s="228">
        <f t="shared" si="1939"/>
        <v>0</v>
      </c>
      <c r="EG633" s="228">
        <f>EF633+DX633</f>
        <v>0</v>
      </c>
      <c r="EH633" s="229">
        <f t="shared" si="1940"/>
        <v>0</v>
      </c>
      <c r="EI633" s="229">
        <v>39.69</v>
      </c>
      <c r="EJ633" s="228">
        <f t="shared" si="2085"/>
        <v>39.69</v>
      </c>
      <c r="EK633" s="229"/>
      <c r="EL633" s="229"/>
      <c r="EM633" s="228">
        <f>SUM(EK633:EL633)</f>
        <v>0</v>
      </c>
      <c r="EN633" s="229">
        <f>EK633+EH633+EL633</f>
        <v>0</v>
      </c>
      <c r="EO633" s="229">
        <f>EI633</f>
        <v>39.69</v>
      </c>
      <c r="EP633" s="228">
        <f t="shared" si="2087"/>
        <v>39.69</v>
      </c>
      <c r="EQ633" s="173">
        <f t="shared" si="1934"/>
        <v>0</v>
      </c>
      <c r="ER633" s="189">
        <v>0</v>
      </c>
      <c r="ES633" s="189">
        <v>0</v>
      </c>
      <c r="ET633" s="189">
        <v>0</v>
      </c>
      <c r="EU633" s="189">
        <v>0</v>
      </c>
      <c r="EV633" s="189">
        <v>0</v>
      </c>
      <c r="EW633" s="189">
        <v>0</v>
      </c>
      <c r="EX633" s="189">
        <v>0</v>
      </c>
      <c r="EY633" s="189">
        <v>0</v>
      </c>
      <c r="EZ633" s="189">
        <v>0</v>
      </c>
      <c r="FA633" s="189">
        <v>0</v>
      </c>
      <c r="FB633" s="189">
        <v>0</v>
      </c>
      <c r="FC633" s="189">
        <v>0</v>
      </c>
      <c r="FD633" s="189">
        <v>0</v>
      </c>
      <c r="FE633" s="189">
        <v>0</v>
      </c>
      <c r="FF633" s="189">
        <v>0</v>
      </c>
      <c r="FG633" s="189">
        <v>0</v>
      </c>
      <c r="FH633" s="189">
        <v>0</v>
      </c>
      <c r="FI633" s="189">
        <v>0</v>
      </c>
      <c r="FJ633" s="189">
        <v>0</v>
      </c>
      <c r="FK633" s="189">
        <v>0</v>
      </c>
      <c r="FL633" s="189">
        <v>0</v>
      </c>
      <c r="FN633" s="132">
        <v>0</v>
      </c>
    </row>
    <row r="634" spans="1:170" ht="30" customHeight="1">
      <c r="A634" s="88">
        <f>COUNTIF($H$12:H634,H634)</f>
        <v>25</v>
      </c>
      <c r="B634" s="88" t="s">
        <v>2566</v>
      </c>
      <c r="C634" s="88" t="s">
        <v>2567</v>
      </c>
      <c r="D634" s="88"/>
      <c r="E634" s="88"/>
      <c r="F634" s="301" t="s">
        <v>820</v>
      </c>
      <c r="G634" s="89" t="s">
        <v>2568</v>
      </c>
      <c r="H634" s="88">
        <v>12</v>
      </c>
      <c r="I634" s="88"/>
      <c r="J634" s="88">
        <v>12</v>
      </c>
      <c r="K634" s="90"/>
      <c r="L634" s="90" t="s">
        <v>2849</v>
      </c>
      <c r="M634" s="214"/>
      <c r="N634" s="88" t="s">
        <v>1804</v>
      </c>
      <c r="O634" s="216">
        <f t="shared" si="2076"/>
        <v>4.6500000000000004</v>
      </c>
      <c r="P634" s="88" t="str">
        <f>IF(BO634&lt;3.33,"B1_3",IF(AND(BO634&gt;=3.33,BO634&lt;4.65),"B1_4",IF(AND(BO634&gt;=4.65,BO634&lt;5.42),"B1_5",IF(AND(BO634&gt;=5.42,BO634&lt;6.44),"B1_6",IF(AND(BO634&gt;=6.44,BO634&lt;=6.92),"B1_7","B1_8")))))</f>
        <v>B1_5</v>
      </c>
      <c r="Q634" s="88">
        <f>IF(M634&gt;0,VLOOKUP(P634,ma_dinhmuc_moi,2,0)/2,VLOOKUP(P634,ma_dinhmuc_moi,2,0))</f>
        <v>270</v>
      </c>
      <c r="R634" s="88">
        <f>IF(M634&gt;0,VLOOKUP(P634,ma_dinhmuc_moi,3,0)/2,VLOOKUP(P634,ma_dinhmuc_moi,3,0))</f>
        <v>150</v>
      </c>
      <c r="S634" s="231" t="s">
        <v>1417</v>
      </c>
      <c r="T634" s="214" t="s">
        <v>3088</v>
      </c>
      <c r="U634" s="88">
        <f>IF(RIGHT(T634,1)="K",(VLOOKUP(T634,ma_miengiam!$A$3:$B$80,2,0)*100)/2,VLOOKUP(T634,ma_miengiam!$A$3:$B$80,2,0)*100)</f>
        <v>0</v>
      </c>
      <c r="V634" s="88">
        <v>11</v>
      </c>
      <c r="W634" s="220">
        <f>IF(AND(T634="NTS",V634&gt;0),(Q634-(Q634*V634)/12)*VLOOKUP(T634,ma_miengiam!$A$3:$B$80,2,0)+(Q634-(Q634*(12-V634))/12),IF(AND(RIGHT(T634,1)="K",V634&gt;0),(VLOOKUP(T634,ma_miengiam!$A$3:$B$80,2,0)/2)*(Q634*V634)/12,IF(RIGHT(T634,1)="K",(VLOOKUP(T634,ma_miengiam!$A$3:$B$80,2,0)*Q634)/2,IF(V634&gt;0,VLOOKUP(T634,ma_miengiam!$A$3:$B$80,2,0)*Q634*V634/12,VLOOKUP(T634,ma_miengiam!$A$3:$B$80,2,0)*Q634))))</f>
        <v>0</v>
      </c>
      <c r="X634" s="220">
        <f>IF(T634="NTS",VLOOKUP(T634,ma_miengiam!$A$3:$B$80,2,0)*R634*V634,IF(AND(T634="NTS",V634=0),0,IF(AND(LEFT(T634,1)="K",V634=0),VLOOKUP(T634,ma_miengiam!$A$3:$B$80,2,0)*R634,IF(LEFT(T634,1)="K",(VLOOKUP(T634,ma_miengiam!$A$3:$B$80,2,0)*R634/12)*V634,IF(AND(LEFT(T634,1)="S",V634&gt;0),(R634/12)*V634,IF(AND(LEFT(T634,1)="S",V634=0),R634,IF(T634="DH",VLOOKUP(T634,ma_miengiam!$A$3:$B$80,2,0)*R634,0)))))))</f>
        <v>0</v>
      </c>
      <c r="Y634" s="220">
        <f>IF(AND(T634="DH",V634&gt;0),(S634*V634/12),IF(AND(T634&lt;&gt;"NTS",V634&gt;0),(Q634*V634/12)-W634,IF(AND(T634="NTS",V634&gt;0),Q634-W634,Q634-W634)))</f>
        <v>247.5</v>
      </c>
      <c r="Z634" s="220">
        <f>IF(AND(T634="SĐH",V634&gt;0),(R634/12)*V634-X634,IF(AND(T634="DH",V634&gt;0),(R634*V634/12),IF(AND(T634&lt;&gt;"NTS",V634&gt;0),(R634*V634/12)-X634,IF(AND(T634="NTS",V634&gt;0),R634-X634,R634-X634))))</f>
        <v>137.5</v>
      </c>
      <c r="AA634" s="220"/>
      <c r="AB634" s="220"/>
      <c r="AC634" s="220"/>
      <c r="AD634" s="220"/>
      <c r="AE634" s="220"/>
      <c r="AF634" s="220"/>
      <c r="AG634" s="220"/>
      <c r="AH634" s="220"/>
      <c r="AI634" s="220"/>
      <c r="AJ634" s="220"/>
      <c r="AK634" s="216"/>
      <c r="AL634" s="220"/>
      <c r="AM634" s="220"/>
      <c r="AN634" s="221"/>
      <c r="AO634" s="220"/>
      <c r="AP634" s="220"/>
      <c r="AQ634" s="220"/>
      <c r="AR634" s="220"/>
      <c r="AS634" s="220"/>
      <c r="AT634" s="216"/>
      <c r="AU634" s="222"/>
      <c r="AV634" s="220"/>
      <c r="AW634" s="220"/>
      <c r="AX634" s="216"/>
      <c r="AY634" s="220"/>
      <c r="AZ634" s="220"/>
      <c r="BA634" s="220"/>
      <c r="BB634" s="220"/>
      <c r="BC634" s="220"/>
      <c r="BD634" s="216"/>
      <c r="BE634" s="220"/>
      <c r="BF634" s="220"/>
      <c r="BG634" s="220"/>
      <c r="BH634" s="220"/>
      <c r="BI634" s="220"/>
      <c r="BJ634" s="220" t="s">
        <v>220</v>
      </c>
      <c r="BK634" s="220"/>
      <c r="BL634" s="223">
        <f>IF(AW634&lt;BK634,0,IF(AND(BK634=0,AW634&gt;0),AW634,IF(AW634&lt;0,0,IF(BK634&gt;0,AW634-BK634,IF(BK634&lt;0,0,AW634)))))</f>
        <v>0</v>
      </c>
      <c r="BM634" s="220">
        <v>4.6500000000000004</v>
      </c>
      <c r="BN634" s="220"/>
      <c r="BO634" s="220">
        <f t="shared" si="2078"/>
        <v>4.6500000000000004</v>
      </c>
      <c r="BP634" s="220">
        <f>IF(AND(BL634&gt;0,BL634&lt;tiet!$D$1),BL634,IF(BL634&lt;=0,0,IF(BL634&gt;tiet!$C$1,tiet!$C$1)))</f>
        <v>0</v>
      </c>
      <c r="BQ634" s="87">
        <f t="shared" si="2079"/>
        <v>70000</v>
      </c>
      <c r="BR634" s="224">
        <f t="shared" si="2080"/>
        <v>0</v>
      </c>
      <c r="BS634" s="220">
        <f t="shared" si="1933"/>
        <v>0</v>
      </c>
      <c r="BT634" s="224">
        <f>VLOOKUP(N634,ma_dinhmuc!$A$1:$J$31,10,0)</f>
        <v>51000</v>
      </c>
      <c r="BU634" s="224">
        <f>ROUND(IF(BS634&gt;0,VLOOKUP(N634,ma_dinhmuc!$A$1:$J$31,10,0)*BS634,0),0)</f>
        <v>0</v>
      </c>
      <c r="BV634" s="224">
        <f t="shared" si="2081"/>
        <v>0</v>
      </c>
      <c r="BW634" s="224"/>
      <c r="BX634" s="224">
        <v>0</v>
      </c>
      <c r="BY634" s="224"/>
      <c r="BZ634" s="224"/>
      <c r="CA634" s="224"/>
      <c r="CB634" s="224"/>
      <c r="CC634" s="225">
        <f>ROUND(IF(BV634+BW634&gt;BX634+BY634+BZ634+CA634+CB634,(BW634+BV634)-(BX634+BY634+BZ634+CA634+CB634+CB634),0),0)</f>
        <v>0</v>
      </c>
      <c r="CD634" s="224">
        <f>ROUND(IF(BV634+BW634&lt;BX634+BY634+BZ634+CA634-CB634,(BX634+BY634+BZ634+CA634-CB634)-(BW634+BV634),0),0)</f>
        <v>0</v>
      </c>
      <c r="CE634" s="224"/>
      <c r="CF634" s="226"/>
      <c r="CG634" s="87"/>
      <c r="CH634" s="87">
        <f t="shared" si="2082"/>
        <v>25</v>
      </c>
      <c r="CI634" s="227" t="str">
        <f>F634</f>
        <v>Ngô Xuân</v>
      </c>
      <c r="CJ634" s="227" t="str">
        <f>G634</f>
        <v>Nghiễn</v>
      </c>
      <c r="CK634" s="87">
        <f t="shared" si="2084"/>
        <v>12</v>
      </c>
      <c r="CL634" s="227" t="str">
        <f>L634</f>
        <v xml:space="preserve">Công nghệ vi sinh </v>
      </c>
      <c r="CM634" s="87" t="str">
        <f>N634</f>
        <v>CS2</v>
      </c>
      <c r="CN634" s="87">
        <f t="shared" si="2089"/>
        <v>270</v>
      </c>
      <c r="CO634" s="87">
        <f t="shared" si="2089"/>
        <v>150</v>
      </c>
      <c r="CP634" s="229">
        <f t="shared" si="1943"/>
        <v>0</v>
      </c>
      <c r="CQ634" s="229">
        <f t="shared" si="1944"/>
        <v>0</v>
      </c>
      <c r="CR634" s="229">
        <f t="shared" si="1945"/>
        <v>0</v>
      </c>
      <c r="CS634" s="229">
        <f t="shared" si="1946"/>
        <v>0</v>
      </c>
      <c r="CT634" s="229">
        <f t="shared" si="1947"/>
        <v>0</v>
      </c>
      <c r="CU634" s="229">
        <f t="shared" si="1948"/>
        <v>0</v>
      </c>
      <c r="CV634" s="229">
        <f t="shared" si="1949"/>
        <v>0</v>
      </c>
      <c r="CW634" s="229">
        <f t="shared" si="1950"/>
        <v>0</v>
      </c>
      <c r="CX634" s="229">
        <f t="shared" si="1951"/>
        <v>0</v>
      </c>
      <c r="CY634" s="229">
        <f t="shared" si="1952"/>
        <v>0</v>
      </c>
      <c r="CZ634" s="229">
        <f t="shared" si="1953"/>
        <v>0</v>
      </c>
      <c r="DA634" s="229">
        <f t="shared" si="1954"/>
        <v>0</v>
      </c>
      <c r="DB634" s="228">
        <f>SUM(CP634:DA634)</f>
        <v>0</v>
      </c>
      <c r="DC634" s="229"/>
      <c r="DD634" s="229"/>
      <c r="DE634" s="229"/>
      <c r="DF634" s="229"/>
      <c r="DG634" s="229"/>
      <c r="DH634" s="229"/>
      <c r="DI634" s="229"/>
      <c r="DJ634" s="229"/>
      <c r="DK634" s="229"/>
      <c r="DL634" s="229"/>
      <c r="DM634" s="229"/>
      <c r="DN634" s="229"/>
      <c r="DO634" s="228">
        <f>SUM(DC634:DN634)</f>
        <v>0</v>
      </c>
      <c r="DP634" s="228">
        <f>DO634+DB634</f>
        <v>0</v>
      </c>
      <c r="DQ634" s="229">
        <f t="shared" si="1955"/>
        <v>0</v>
      </c>
      <c r="DR634" s="229">
        <f t="shared" si="1956"/>
        <v>0</v>
      </c>
      <c r="DS634" s="229">
        <f t="shared" si="1957"/>
        <v>0</v>
      </c>
      <c r="DT634" s="229">
        <f t="shared" si="1958"/>
        <v>0</v>
      </c>
      <c r="DU634" s="229">
        <f t="shared" si="1959"/>
        <v>0</v>
      </c>
      <c r="DV634" s="229">
        <f t="shared" si="1960"/>
        <v>0</v>
      </c>
      <c r="DW634" s="229">
        <f t="shared" si="1961"/>
        <v>0</v>
      </c>
      <c r="DX634" s="228">
        <f>SUM(DQ634:DW634)</f>
        <v>0</v>
      </c>
      <c r="DY634" s="229"/>
      <c r="DZ634" s="229"/>
      <c r="EA634" s="229"/>
      <c r="EB634" s="229"/>
      <c r="EC634" s="229"/>
      <c r="ED634" s="229"/>
      <c r="EE634" s="229"/>
      <c r="EF634" s="228">
        <f t="shared" si="1939"/>
        <v>0</v>
      </c>
      <c r="EG634" s="228">
        <f>EF634+DX634</f>
        <v>0</v>
      </c>
      <c r="EH634" s="229">
        <f t="shared" si="1940"/>
        <v>0</v>
      </c>
      <c r="EI634" s="229">
        <v>39.69</v>
      </c>
      <c r="EJ634" s="228">
        <f t="shared" si="2085"/>
        <v>39.69</v>
      </c>
      <c r="EK634" s="229"/>
      <c r="EL634" s="229"/>
      <c r="EM634" s="228">
        <f>SUM(EK634:EL634)</f>
        <v>0</v>
      </c>
      <c r="EN634" s="229">
        <f>EK634+EH634+EL634</f>
        <v>0</v>
      </c>
      <c r="EO634" s="229">
        <f>EI634</f>
        <v>39.69</v>
      </c>
      <c r="EP634" s="228">
        <f t="shared" si="2087"/>
        <v>39.69</v>
      </c>
      <c r="EQ634" s="173">
        <f t="shared" si="1934"/>
        <v>0</v>
      </c>
      <c r="ER634" s="189">
        <v>0</v>
      </c>
      <c r="ES634" s="189">
        <v>0</v>
      </c>
      <c r="ET634" s="189">
        <v>0</v>
      </c>
      <c r="EU634" s="189">
        <v>0</v>
      </c>
      <c r="EV634" s="189">
        <v>0</v>
      </c>
      <c r="EW634" s="189">
        <v>0</v>
      </c>
      <c r="EX634" s="189">
        <v>0</v>
      </c>
      <c r="EY634" s="189">
        <v>0</v>
      </c>
      <c r="EZ634" s="189">
        <v>0</v>
      </c>
      <c r="FA634" s="189">
        <v>0</v>
      </c>
      <c r="FB634" s="189">
        <v>0</v>
      </c>
      <c r="FC634" s="189">
        <v>0</v>
      </c>
      <c r="FD634" s="189">
        <v>0</v>
      </c>
      <c r="FE634" s="189">
        <v>0</v>
      </c>
      <c r="FF634" s="189">
        <v>0</v>
      </c>
      <c r="FG634" s="189">
        <v>0</v>
      </c>
      <c r="FH634" s="189">
        <v>0</v>
      </c>
      <c r="FI634" s="189">
        <v>0</v>
      </c>
      <c r="FJ634" s="189">
        <v>0</v>
      </c>
      <c r="FK634" s="189">
        <v>0</v>
      </c>
      <c r="FL634" s="189">
        <v>0</v>
      </c>
      <c r="FN634" s="132">
        <v>0</v>
      </c>
    </row>
    <row r="635" spans="1:170" ht="30" customHeight="1">
      <c r="A635" s="88">
        <f>COUNTIF($H$12:H635,H635)</f>
        <v>26</v>
      </c>
      <c r="B635" s="88" t="s">
        <v>2566</v>
      </c>
      <c r="C635" s="88" t="s">
        <v>2567</v>
      </c>
      <c r="D635" s="88"/>
      <c r="E635" s="88"/>
      <c r="F635" s="301" t="s">
        <v>820</v>
      </c>
      <c r="G635" s="89" t="s">
        <v>2568</v>
      </c>
      <c r="H635" s="88">
        <v>12</v>
      </c>
      <c r="I635" s="88">
        <v>12</v>
      </c>
      <c r="J635" s="88">
        <v>12</v>
      </c>
      <c r="K635" s="90" t="s">
        <v>2849</v>
      </c>
      <c r="L635" s="90" t="s">
        <v>2849</v>
      </c>
      <c r="M635" s="214"/>
      <c r="N635" s="88" t="s">
        <v>1804</v>
      </c>
      <c r="O635" s="216">
        <f t="shared" si="2076"/>
        <v>4.6500000000000004</v>
      </c>
      <c r="P635" s="88" t="str">
        <f>IF(BO635&lt;3.33,"B1_3",IF(AND(BO635&gt;=3.33,BO635&lt;4.65),"B1_4",IF(AND(BO635&gt;=4.65,BO635&lt;5.42),"B1_5",IF(AND(BO635&gt;=5.42,BO635&lt;6.44),"B1_6",IF(AND(BO635&gt;=6.44,BO635&lt;=6.92),"B1_7","B1_8")))))</f>
        <v>B1_5</v>
      </c>
      <c r="Q635" s="88">
        <f>IF(M635&gt;0,VLOOKUP(P635,ma_dinhmuc_moi,2,0)/2,VLOOKUP(P635,ma_dinhmuc_moi,2,0))</f>
        <v>270</v>
      </c>
      <c r="R635" s="88">
        <f>IF(M635&gt;0,VLOOKUP(P635,ma_dinhmuc_moi,3,0)/2,VLOOKUP(P635,ma_dinhmuc_moi,3,0))</f>
        <v>150</v>
      </c>
      <c r="S635" s="231" t="s">
        <v>1417</v>
      </c>
      <c r="T635" s="214" t="s">
        <v>3088</v>
      </c>
      <c r="U635" s="88">
        <f>IF(RIGHT(T635,1)="K",(VLOOKUP(T635,ma_miengiam!$A$3:$B$80,2,0)*100)/2,VLOOKUP(T635,ma_miengiam!$A$3:$B$80,2,0)*100)</f>
        <v>0</v>
      </c>
      <c r="V635" s="88"/>
      <c r="W635" s="220">
        <f>W634+W633</f>
        <v>0</v>
      </c>
      <c r="X635" s="220">
        <f>X634+X633</f>
        <v>0</v>
      </c>
      <c r="Y635" s="220">
        <f>Y634+Y633</f>
        <v>258.75</v>
      </c>
      <c r="Z635" s="220">
        <f>Z634+Z633</f>
        <v>143.75</v>
      </c>
      <c r="AA635" s="220">
        <f>Q635</f>
        <v>270</v>
      </c>
      <c r="AB635" s="220">
        <f>R635</f>
        <v>150</v>
      </c>
      <c r="AC635" s="220">
        <f>W635</f>
        <v>0</v>
      </c>
      <c r="AD635" s="220">
        <f>X635</f>
        <v>0</v>
      </c>
      <c r="AE635" s="220">
        <f>Y635</f>
        <v>258.75</v>
      </c>
      <c r="AF635" s="220">
        <f>Z635</f>
        <v>143.75</v>
      </c>
      <c r="AG635" s="220">
        <f>AH635+AI635</f>
        <v>191.35999999999999</v>
      </c>
      <c r="AH635" s="220">
        <f>EO635</f>
        <v>39.69</v>
      </c>
      <c r="AI635" s="220">
        <f>EN635</f>
        <v>151.66999999999999</v>
      </c>
      <c r="AJ635" s="220">
        <f>IF(AG635-Z635&gt;0,0,AG635-Z635)</f>
        <v>0</v>
      </c>
      <c r="AK635" s="216">
        <f>IF(AJ635&gt;=0,Y635,Y635-AJ635)</f>
        <v>258.75</v>
      </c>
      <c r="AL635" s="220">
        <f>SUM(CP635:CX635)+SUM(DC635:DK635)</f>
        <v>249.5</v>
      </c>
      <c r="AM635" s="220">
        <f>SUM(DQ635:DU635)+SUM(DY635:EC635)</f>
        <v>0</v>
      </c>
      <c r="AN635" s="221">
        <f>AM635+AL635</f>
        <v>249.5</v>
      </c>
      <c r="AO635" s="220">
        <f>CY635+DL635</f>
        <v>0</v>
      </c>
      <c r="AP635" s="220">
        <f>CZ635+DM635</f>
        <v>0</v>
      </c>
      <c r="AQ635" s="220">
        <f>DA635+DN635</f>
        <v>0</v>
      </c>
      <c r="AR635" s="220">
        <f>DV635+ED635</f>
        <v>0</v>
      </c>
      <c r="AS635" s="220">
        <f>DW635+EE635</f>
        <v>0</v>
      </c>
      <c r="AT635" s="216">
        <f>AN635+SUM(AO635:AS635)</f>
        <v>249.5</v>
      </c>
      <c r="AU635" s="222">
        <f>AN635-AK635</f>
        <v>-9.25</v>
      </c>
      <c r="AV635" s="220"/>
      <c r="AW635" s="220">
        <f>IF(AU635&gt;0,AU635,AV635+AU635)</f>
        <v>-9.25</v>
      </c>
      <c r="AX635" s="216">
        <f>IF(AN635&gt;AK635,0,IF(AW635&lt;0,AN635-AK635+AV635,IF(AW635&gt;=0,0)))</f>
        <v>-9.25</v>
      </c>
      <c r="AY635" s="220">
        <f>IF(AN635&gt;=AK635,AO635,IF(AN635+AO635-AK635&gt;=0,AN635+AO635-AK635,0))</f>
        <v>0</v>
      </c>
      <c r="AZ635" s="220">
        <f>IF(OR(AN635&gt;=AK635,AN635+AO635&gt;=AK635),AP635,IF(AN635+AO635+AP635&gt;AK635,AN635+AO635+AP635-AK635,0))</f>
        <v>0</v>
      </c>
      <c r="BA635" s="220">
        <f>IF(OR(AN635&gt;=AK635,AN635+AO635&gt;=AK635,AN635+AO635+AP635&gt;=AK635),AQ635,IF(AN635+AO635+AP635+AQ635&gt;=AK635,AN635+AO635+AP635+AQ635-AK635,0))</f>
        <v>0</v>
      </c>
      <c r="BB635" s="220">
        <f>IF(OR(AN635&gt;=AK635,AN635+AO635&gt;=AK635,AN635+AO635+AP635&gt;=AK635,AN635+AO635+AP635+AQ635&gt;=AK635),AR635,IF(AN635+AO635+AP635+AQ635+AR635&gt;=AK635,AN635+AO635+AP635+AQ635+AR635-AK635,0))</f>
        <v>0</v>
      </c>
      <c r="BC635" s="220">
        <f>IF(OR(AN635&gt;=AK635,AN635+AO635&gt;=AK635,AN635+AO635+AP635&gt;=AK635,AN635+AO635+AP635+AQ635&gt;=AK635,AN635+AO635+AP635+AQ635+AR635&gt;=AK635),AS635,IF(AN635+AO635+AP635+AQ635+AR635+AS635&gt;=AK635,AN635+AO635+AP635+AQ635+AR635+AS635-AK635,0))</f>
        <v>0</v>
      </c>
      <c r="BD635" s="216">
        <f>SUM(AY635:BC635)</f>
        <v>0</v>
      </c>
      <c r="BE635" s="220">
        <f>AY635-AO635</f>
        <v>0</v>
      </c>
      <c r="BF635" s="220">
        <f>AZ635-AP635</f>
        <v>0</v>
      </c>
      <c r="BG635" s="220">
        <f>BA635-AQ635</f>
        <v>0</v>
      </c>
      <c r="BH635" s="220">
        <f>BB635-AR635</f>
        <v>0</v>
      </c>
      <c r="BI635" s="220">
        <f>BC635-AS635</f>
        <v>0</v>
      </c>
      <c r="BJ635" s="220" t="s">
        <v>220</v>
      </c>
      <c r="BK635" s="220"/>
      <c r="BL635" s="223">
        <f>IF(AW635&lt;BK635,0,IF(AND(BK635=0,AW635&gt;0),AW635,IF(AW635&lt;0,0,IF(BK635&gt;0,AW635-BK635,IF(BK635&lt;0,0,AW635)))))</f>
        <v>0</v>
      </c>
      <c r="BM635" s="220">
        <v>4.6500000000000004</v>
      </c>
      <c r="BN635" s="220"/>
      <c r="BO635" s="220">
        <f t="shared" si="2078"/>
        <v>4.6500000000000004</v>
      </c>
      <c r="BP635" s="220">
        <f>IF(AND(BL635&gt;0,BL635&lt;tiet!$D$1),BL635,IF(BL635&lt;=0,0,IF(BL635&gt;tiet!$C$1,tiet!$C$1)))</f>
        <v>0</v>
      </c>
      <c r="BQ635" s="87">
        <f t="shared" si="2079"/>
        <v>70000</v>
      </c>
      <c r="BR635" s="224">
        <f t="shared" si="2080"/>
        <v>0</v>
      </c>
      <c r="BS635" s="220">
        <f t="shared" si="1933"/>
        <v>0</v>
      </c>
      <c r="BT635" s="224">
        <f>VLOOKUP(N635,ma_dinhmuc!$A$1:$J$31,10,0)</f>
        <v>51000</v>
      </c>
      <c r="BU635" s="224">
        <f>ROUND(IF(BS635&gt;0,VLOOKUP(N635,ma_dinhmuc!$A$1:$J$31,10,0)*BS635,0),0)</f>
        <v>0</v>
      </c>
      <c r="BV635" s="224">
        <f t="shared" si="2081"/>
        <v>0</v>
      </c>
      <c r="BW635" s="224"/>
      <c r="BX635" s="224">
        <v>0</v>
      </c>
      <c r="BY635" s="224"/>
      <c r="BZ635" s="224"/>
      <c r="CA635" s="224"/>
      <c r="CB635" s="224"/>
      <c r="CC635" s="225">
        <f>ROUND(IF(BV635+BW635&gt;BX635+BY635+BZ635+CA635+CB635,(BW635+BV635)-(BX635+BY635+BZ635+CA635+CB635+CB635),0),0)</f>
        <v>0</v>
      </c>
      <c r="CD635" s="224">
        <f>ROUND(IF(BV635+BW635&lt;BX635+BY635+BZ635+CA635-CB635,(BX635+BY635+BZ635+CA635-CB635)-(BW635+BV635),0),0)</f>
        <v>0</v>
      </c>
      <c r="CE635" s="224"/>
      <c r="CF635" s="226"/>
      <c r="CG635" s="87"/>
      <c r="CH635" s="87">
        <f t="shared" si="2082"/>
        <v>26</v>
      </c>
      <c r="CI635" s="227" t="str">
        <f>F635</f>
        <v>Ngô Xuân</v>
      </c>
      <c r="CJ635" s="227" t="str">
        <f>G635</f>
        <v>Nghiễn</v>
      </c>
      <c r="CK635" s="87">
        <f t="shared" si="2084"/>
        <v>12</v>
      </c>
      <c r="CL635" s="227" t="str">
        <f>L635</f>
        <v xml:space="preserve">Công nghệ vi sinh </v>
      </c>
      <c r="CM635" s="87" t="str">
        <f>N635</f>
        <v>CS2</v>
      </c>
      <c r="CN635" s="87">
        <f t="shared" si="2089"/>
        <v>270</v>
      </c>
      <c r="CO635" s="87">
        <f t="shared" si="2089"/>
        <v>150</v>
      </c>
      <c r="CP635" s="229">
        <f t="shared" si="1943"/>
        <v>0</v>
      </c>
      <c r="CQ635" s="229">
        <f t="shared" si="1944"/>
        <v>25.5</v>
      </c>
      <c r="CR635" s="229">
        <f t="shared" si="1945"/>
        <v>6.5</v>
      </c>
      <c r="CS635" s="229">
        <f t="shared" si="1946"/>
        <v>37.5</v>
      </c>
      <c r="CT635" s="229">
        <f t="shared" si="1947"/>
        <v>0</v>
      </c>
      <c r="CU635" s="229">
        <f t="shared" si="1948"/>
        <v>90</v>
      </c>
      <c r="CV635" s="229">
        <f t="shared" si="1949"/>
        <v>0</v>
      </c>
      <c r="CW635" s="229">
        <f t="shared" si="1950"/>
        <v>90</v>
      </c>
      <c r="CX635" s="229">
        <f t="shared" si="1951"/>
        <v>0</v>
      </c>
      <c r="CY635" s="229">
        <f t="shared" si="1952"/>
        <v>0</v>
      </c>
      <c r="CZ635" s="229">
        <f t="shared" si="1953"/>
        <v>0</v>
      </c>
      <c r="DA635" s="229">
        <f t="shared" si="1954"/>
        <v>0</v>
      </c>
      <c r="DB635" s="228">
        <f>SUM(CP635:DA635)</f>
        <v>249.5</v>
      </c>
      <c r="DC635" s="229"/>
      <c r="DD635" s="229"/>
      <c r="DE635" s="229"/>
      <c r="DF635" s="229"/>
      <c r="DG635" s="229"/>
      <c r="DH635" s="229"/>
      <c r="DI635" s="229"/>
      <c r="DJ635" s="229"/>
      <c r="DK635" s="229"/>
      <c r="DL635" s="229"/>
      <c r="DM635" s="229"/>
      <c r="DN635" s="229"/>
      <c r="DO635" s="228">
        <f>SUM(DC635:DN635)</f>
        <v>0</v>
      </c>
      <c r="DP635" s="228">
        <f>DO635+DB635</f>
        <v>249.5</v>
      </c>
      <c r="DQ635" s="229">
        <f t="shared" si="1955"/>
        <v>0</v>
      </c>
      <c r="DR635" s="229">
        <f t="shared" si="1956"/>
        <v>0</v>
      </c>
      <c r="DS635" s="229">
        <f t="shared" si="1957"/>
        <v>0</v>
      </c>
      <c r="DT635" s="229">
        <f t="shared" si="1958"/>
        <v>0</v>
      </c>
      <c r="DU635" s="229">
        <f t="shared" si="1959"/>
        <v>0</v>
      </c>
      <c r="DV635" s="229">
        <f t="shared" si="1960"/>
        <v>0</v>
      </c>
      <c r="DW635" s="229">
        <f t="shared" si="1961"/>
        <v>0</v>
      </c>
      <c r="DX635" s="228">
        <f>SUM(DQ635:DW635)</f>
        <v>0</v>
      </c>
      <c r="DY635" s="229"/>
      <c r="DZ635" s="229"/>
      <c r="EA635" s="229"/>
      <c r="EB635" s="229"/>
      <c r="EC635" s="229"/>
      <c r="ED635" s="229"/>
      <c r="EE635" s="229"/>
      <c r="EF635" s="228">
        <f t="shared" si="1939"/>
        <v>0</v>
      </c>
      <c r="EG635" s="228">
        <f>EF635+DX635</f>
        <v>0</v>
      </c>
      <c r="EH635" s="229">
        <f t="shared" si="1940"/>
        <v>151.66999999999999</v>
      </c>
      <c r="EI635" s="229">
        <v>39.69</v>
      </c>
      <c r="EJ635" s="228">
        <f t="shared" si="2085"/>
        <v>191.35999999999999</v>
      </c>
      <c r="EK635" s="229"/>
      <c r="EL635" s="229"/>
      <c r="EM635" s="228">
        <f>SUM(EK635:EL635)</f>
        <v>0</v>
      </c>
      <c r="EN635" s="229">
        <f>EK635+EH635+EL635</f>
        <v>151.66999999999999</v>
      </c>
      <c r="EO635" s="229">
        <f>EI635</f>
        <v>39.69</v>
      </c>
      <c r="EP635" s="228">
        <f t="shared" si="2087"/>
        <v>191.35999999999999</v>
      </c>
      <c r="EQ635" s="173">
        <f t="shared" si="1934"/>
        <v>7.9199999999999875</v>
      </c>
      <c r="ER635" s="189">
        <v>0</v>
      </c>
      <c r="ES635" s="189">
        <v>25.5</v>
      </c>
      <c r="ET635" s="189">
        <v>6.5</v>
      </c>
      <c r="EU635" s="189">
        <v>37.5</v>
      </c>
      <c r="EV635" s="189">
        <v>0</v>
      </c>
      <c r="EW635" s="189">
        <v>90</v>
      </c>
      <c r="EX635" s="189">
        <v>0</v>
      </c>
      <c r="EY635" s="189">
        <v>90</v>
      </c>
      <c r="EZ635" s="189">
        <v>0</v>
      </c>
      <c r="FA635" s="189">
        <v>0</v>
      </c>
      <c r="FB635" s="189">
        <v>0</v>
      </c>
      <c r="FC635" s="189">
        <v>0</v>
      </c>
      <c r="FD635" s="189">
        <v>0</v>
      </c>
      <c r="FE635" s="189">
        <v>0</v>
      </c>
      <c r="FF635" s="189">
        <v>0</v>
      </c>
      <c r="FG635" s="189">
        <v>0</v>
      </c>
      <c r="FH635" s="189">
        <v>0</v>
      </c>
      <c r="FI635" s="189">
        <v>0</v>
      </c>
      <c r="FJ635" s="189">
        <v>0</v>
      </c>
      <c r="FK635" s="189">
        <v>249.5</v>
      </c>
      <c r="FL635" s="189">
        <v>227.5</v>
      </c>
      <c r="FN635" s="132">
        <v>151.66999999999999</v>
      </c>
    </row>
    <row r="636" spans="1:170" ht="32.25" customHeight="1">
      <c r="A636" s="88">
        <f>COUNTIF($H$12:H636,H636)</f>
        <v>27</v>
      </c>
      <c r="B636" s="88" t="s">
        <v>2182</v>
      </c>
      <c r="C636" s="88" t="s">
        <v>987</v>
      </c>
      <c r="D636" s="88"/>
      <c r="E636" s="88"/>
      <c r="F636" s="301" t="s">
        <v>381</v>
      </c>
      <c r="G636" s="89" t="s">
        <v>1600</v>
      </c>
      <c r="H636" s="88">
        <v>12</v>
      </c>
      <c r="I636" s="88">
        <v>12</v>
      </c>
      <c r="J636" s="88">
        <v>12</v>
      </c>
      <c r="K636" s="91" t="s">
        <v>3084</v>
      </c>
      <c r="L636" s="91" t="s">
        <v>3084</v>
      </c>
      <c r="M636" s="214"/>
      <c r="N636" s="88" t="s">
        <v>1179</v>
      </c>
      <c r="O636" s="216">
        <f t="shared" si="2069"/>
        <v>3.99</v>
      </c>
      <c r="P636" s="88" t="str">
        <f t="shared" ref="P636:P652" si="2090">IF(BO636&lt;3.33,"B11_3",IF(AND(BO636&gt;=3.33,BO636&lt;4.65),"B11_4",IF(AND(BO636&gt;=4.65,BO636&lt;5.42),"B11_5",IF(AND(BO636&gt;=5.42,BO636&lt;6.44),"B11_6",IF(AND(BO636&gt;=6.44,BO636&lt;=6.92),"B11_7","B11_8")))))</f>
        <v>B11_4</v>
      </c>
      <c r="Q636" s="88">
        <f t="shared" si="1935"/>
        <v>270</v>
      </c>
      <c r="R636" s="88">
        <f t="shared" si="1936"/>
        <v>80</v>
      </c>
      <c r="S636" s="218" t="s">
        <v>686</v>
      </c>
      <c r="T636" s="214" t="s">
        <v>3092</v>
      </c>
      <c r="U636" s="88">
        <f>IF(RIGHT(T636,1)="K",(VLOOKUP(T636,ma_miengiam!$A$3:$B$80,2,0)*100)/2,VLOOKUP(T636,ma_miengiam!$A$3:$B$80,2,0)*100)</f>
        <v>25</v>
      </c>
      <c r="V636" s="88"/>
      <c r="W636" s="220">
        <f>IF(AND(T636="NTS",V636&gt;0),(Q636-(Q636*V636)/12)*VLOOKUP(T636,ma_miengiam!$A$3:$B$80,2,0)+(Q636-(Q636*(12-V636))/12),IF(AND(RIGHT(T636,1)="K",V636&gt;0),(VLOOKUP(T636,ma_miengiam!$A$3:$B$80,2,0)/2)*(Q636*V636)/12,IF(RIGHT(T636,1)="K",(VLOOKUP(T636,ma_miengiam!$A$3:$B$80,2,0)*Q636)/2,IF(V636&gt;0,VLOOKUP(T636,ma_miengiam!$A$3:$B$80,2,0)*Q636*V636/12,VLOOKUP(T636,ma_miengiam!$A$3:$B$80,2,0)*Q636))))</f>
        <v>67.5</v>
      </c>
      <c r="X636" s="220">
        <f>IF(T636="NTS",VLOOKUP(T636,ma_miengiam!$A$3:$B$80,2,0)*R636*V636,IF(AND(T636="NTS",V636=0),0,IF(AND(LEFT(T636,1)="K",V636=0),VLOOKUP(T636,ma_miengiam!$A$3:$B$80,2,0)*R636,IF(LEFT(T636,1)="K",(VLOOKUP(T636,ma_miengiam!$A$3:$B$80,2,0)*R636/12)*V636,IF(AND(LEFT(T636,1)="S",V636&gt;0),(R636/12)*V636,IF(AND(LEFT(T636,1)="S",V636=0),R636,IF(T636="DH",VLOOKUP(T636,ma_miengiam!$A$3:$B$80,2,0)*R636,0)))))))</f>
        <v>0</v>
      </c>
      <c r="Y636" s="220">
        <f t="shared" si="1963"/>
        <v>202.5</v>
      </c>
      <c r="Z636" s="220">
        <f t="shared" si="2065"/>
        <v>80</v>
      </c>
      <c r="AA636" s="220">
        <f t="shared" si="2088"/>
        <v>270</v>
      </c>
      <c r="AB636" s="220">
        <f t="shared" si="2088"/>
        <v>80</v>
      </c>
      <c r="AC636" s="220">
        <f t="shared" ref="AC636:AF637" si="2091">W636</f>
        <v>67.5</v>
      </c>
      <c r="AD636" s="220">
        <f t="shared" si="2091"/>
        <v>0</v>
      </c>
      <c r="AE636" s="220">
        <f t="shared" si="2091"/>
        <v>202.5</v>
      </c>
      <c r="AF636" s="220">
        <f t="shared" si="2091"/>
        <v>80</v>
      </c>
      <c r="AG636" s="220">
        <f t="shared" ref="AG636:AG648" si="2092">AH636+AI636</f>
        <v>426.01</v>
      </c>
      <c r="AH636" s="220">
        <f t="shared" ref="AH636:AH648" si="2093">EO636</f>
        <v>214.17</v>
      </c>
      <c r="AI636" s="220">
        <f t="shared" ref="AI636:AI648" si="2094">EN636</f>
        <v>211.84</v>
      </c>
      <c r="AJ636" s="220">
        <f t="shared" si="1902"/>
        <v>0</v>
      </c>
      <c r="AK636" s="216">
        <f t="shared" si="2051"/>
        <v>202.5</v>
      </c>
      <c r="AL636" s="220">
        <f t="shared" si="2024"/>
        <v>496.40000000000003</v>
      </c>
      <c r="AM636" s="220">
        <f t="shared" si="2025"/>
        <v>0</v>
      </c>
      <c r="AN636" s="221">
        <f t="shared" si="2026"/>
        <v>496.40000000000003</v>
      </c>
      <c r="AO636" s="220">
        <f t="shared" si="2027"/>
        <v>0</v>
      </c>
      <c r="AP636" s="220">
        <f t="shared" si="2028"/>
        <v>0</v>
      </c>
      <c r="AQ636" s="220">
        <f t="shared" si="2029"/>
        <v>24</v>
      </c>
      <c r="AR636" s="220">
        <f t="shared" si="2030"/>
        <v>40</v>
      </c>
      <c r="AS636" s="220">
        <f t="shared" si="2031"/>
        <v>0</v>
      </c>
      <c r="AT636" s="216">
        <f t="shared" si="2032"/>
        <v>560.40000000000009</v>
      </c>
      <c r="AU636" s="222">
        <f t="shared" si="1982"/>
        <v>293.90000000000003</v>
      </c>
      <c r="AV636" s="220"/>
      <c r="AW636" s="220">
        <f t="shared" si="2033"/>
        <v>293.90000000000003</v>
      </c>
      <c r="AX636" s="216">
        <f t="shared" si="2020"/>
        <v>0</v>
      </c>
      <c r="AY636" s="220">
        <f t="shared" si="2034"/>
        <v>0</v>
      </c>
      <c r="AZ636" s="220">
        <f t="shared" si="2035"/>
        <v>0</v>
      </c>
      <c r="BA636" s="220">
        <f t="shared" si="2036"/>
        <v>24</v>
      </c>
      <c r="BB636" s="220">
        <f t="shared" si="2037"/>
        <v>40</v>
      </c>
      <c r="BC636" s="220">
        <f t="shared" si="2038"/>
        <v>0</v>
      </c>
      <c r="BD636" s="216">
        <f t="shared" si="1987"/>
        <v>64</v>
      </c>
      <c r="BE636" s="220">
        <f t="shared" si="2039"/>
        <v>0</v>
      </c>
      <c r="BF636" s="220">
        <f t="shared" si="2040"/>
        <v>0</v>
      </c>
      <c r="BG636" s="220">
        <f t="shared" si="2041"/>
        <v>0</v>
      </c>
      <c r="BH636" s="220">
        <f t="shared" si="2042"/>
        <v>0</v>
      </c>
      <c r="BI636" s="220">
        <f t="shared" si="2043"/>
        <v>0</v>
      </c>
      <c r="BJ636" s="220" t="s">
        <v>1791</v>
      </c>
      <c r="BK636" s="220"/>
      <c r="BL636" s="223">
        <f t="shared" si="2005"/>
        <v>293.90000000000003</v>
      </c>
      <c r="BM636" s="220">
        <v>3.99</v>
      </c>
      <c r="BN636" s="220"/>
      <c r="BO636" s="220">
        <f t="shared" si="2067"/>
        <v>3.99</v>
      </c>
      <c r="BP636" s="220">
        <f>IF(AND(BL636&gt;0,BL636&lt;tiet!$D$1),BL636,IF(BL636&lt;=0,0,IF(BL636&gt;tiet!$C$1,tiet!$C$1)))</f>
        <v>200</v>
      </c>
      <c r="BQ636" s="87">
        <f t="shared" si="1903"/>
        <v>65000</v>
      </c>
      <c r="BR636" s="224">
        <f t="shared" si="1904"/>
        <v>13000000</v>
      </c>
      <c r="BS636" s="220">
        <f t="shared" si="1933"/>
        <v>93.900000000000034</v>
      </c>
      <c r="BT636" s="224">
        <f>VLOOKUP(N636,ma_dinhmuc!$A$1:$J$31,10,0)</f>
        <v>51000</v>
      </c>
      <c r="BU636" s="224">
        <f>ROUND(IF(BS636&gt;0,VLOOKUP(N636,ma_dinhmuc!$A$1:$J$31,10,0)*BS636,0),0)</f>
        <v>4788900</v>
      </c>
      <c r="BV636" s="224">
        <f t="shared" si="1905"/>
        <v>17788900</v>
      </c>
      <c r="BW636" s="224"/>
      <c r="BX636" s="224">
        <v>0</v>
      </c>
      <c r="BY636" s="224"/>
      <c r="BZ636" s="224"/>
      <c r="CA636" s="224"/>
      <c r="CB636" s="224"/>
      <c r="CC636" s="225">
        <f t="shared" si="1968"/>
        <v>17788900</v>
      </c>
      <c r="CD636" s="224">
        <f t="shared" si="1969"/>
        <v>0</v>
      </c>
      <c r="CE636" s="224"/>
      <c r="CF636" s="226"/>
      <c r="CG636" s="87"/>
      <c r="CH636" s="87">
        <f t="shared" si="2068"/>
        <v>27</v>
      </c>
      <c r="CI636" s="227" t="str">
        <f t="shared" si="2013"/>
        <v>Nguyễn Thị Thuý</v>
      </c>
      <c r="CJ636" s="227" t="str">
        <f t="shared" si="2014"/>
        <v>Hạnh</v>
      </c>
      <c r="CK636" s="87">
        <f t="shared" ref="CK636:CK643" si="2095">H636</f>
        <v>12</v>
      </c>
      <c r="CL636" s="227" t="str">
        <f t="shared" si="2070"/>
        <v>Sinh học</v>
      </c>
      <c r="CM636" s="87" t="str">
        <f t="shared" si="2044"/>
        <v>CB2</v>
      </c>
      <c r="CN636" s="87">
        <f t="shared" ref="CN636:CO639" si="2096">Q636</f>
        <v>270</v>
      </c>
      <c r="CO636" s="87">
        <f t="shared" si="2096"/>
        <v>80</v>
      </c>
      <c r="CP636" s="229">
        <f t="shared" si="1943"/>
        <v>0</v>
      </c>
      <c r="CQ636" s="229">
        <f t="shared" si="1944"/>
        <v>54.5</v>
      </c>
      <c r="CR636" s="229">
        <f t="shared" si="1945"/>
        <v>22</v>
      </c>
      <c r="CS636" s="229">
        <f t="shared" si="1946"/>
        <v>42.3</v>
      </c>
      <c r="CT636" s="229">
        <f t="shared" si="1947"/>
        <v>0</v>
      </c>
      <c r="CU636" s="229">
        <f t="shared" si="1948"/>
        <v>329.6</v>
      </c>
      <c r="CV636" s="229">
        <f t="shared" si="1949"/>
        <v>0</v>
      </c>
      <c r="CW636" s="229">
        <f t="shared" si="1950"/>
        <v>48</v>
      </c>
      <c r="CX636" s="229">
        <f t="shared" si="1951"/>
        <v>0</v>
      </c>
      <c r="CY636" s="229">
        <f t="shared" si="1952"/>
        <v>0</v>
      </c>
      <c r="CZ636" s="229">
        <f t="shared" si="1953"/>
        <v>0</v>
      </c>
      <c r="DA636" s="229">
        <f t="shared" si="1954"/>
        <v>24</v>
      </c>
      <c r="DB636" s="228">
        <f t="shared" si="2045"/>
        <v>520.40000000000009</v>
      </c>
      <c r="DC636" s="229"/>
      <c r="DD636" s="229"/>
      <c r="DE636" s="229"/>
      <c r="DF636" s="229"/>
      <c r="DG636" s="229"/>
      <c r="DH636" s="229"/>
      <c r="DI636" s="229"/>
      <c r="DJ636" s="229"/>
      <c r="DK636" s="229"/>
      <c r="DL636" s="229"/>
      <c r="DM636" s="229"/>
      <c r="DN636" s="229"/>
      <c r="DO636" s="228">
        <f t="shared" si="2046"/>
        <v>0</v>
      </c>
      <c r="DP636" s="228">
        <f t="shared" si="2047"/>
        <v>520.40000000000009</v>
      </c>
      <c r="DQ636" s="229">
        <f t="shared" si="1955"/>
        <v>0</v>
      </c>
      <c r="DR636" s="229">
        <f t="shared" si="1956"/>
        <v>0</v>
      </c>
      <c r="DS636" s="229">
        <f t="shared" si="1957"/>
        <v>0</v>
      </c>
      <c r="DT636" s="229">
        <f t="shared" si="1958"/>
        <v>0</v>
      </c>
      <c r="DU636" s="229">
        <f t="shared" si="1959"/>
        <v>0</v>
      </c>
      <c r="DV636" s="229">
        <f t="shared" si="1960"/>
        <v>40</v>
      </c>
      <c r="DW636" s="229">
        <f t="shared" si="1961"/>
        <v>0</v>
      </c>
      <c r="DX636" s="228">
        <f t="shared" si="2048"/>
        <v>40</v>
      </c>
      <c r="DY636" s="229"/>
      <c r="DZ636" s="229"/>
      <c r="EA636" s="229"/>
      <c r="EB636" s="229"/>
      <c r="EC636" s="229"/>
      <c r="ED636" s="229"/>
      <c r="EE636" s="229"/>
      <c r="EF636" s="228">
        <f t="shared" si="1939"/>
        <v>0</v>
      </c>
      <c r="EG636" s="228">
        <f t="shared" si="2049"/>
        <v>40</v>
      </c>
      <c r="EH636" s="229">
        <f t="shared" si="1940"/>
        <v>211.84</v>
      </c>
      <c r="EI636" s="229">
        <v>214.17</v>
      </c>
      <c r="EJ636" s="228">
        <f t="shared" si="2055"/>
        <v>426.01</v>
      </c>
      <c r="EK636" s="229"/>
      <c r="EL636" s="229"/>
      <c r="EM636" s="228">
        <f t="shared" si="2075"/>
        <v>0</v>
      </c>
      <c r="EN636" s="229">
        <f t="shared" si="2086"/>
        <v>211.84</v>
      </c>
      <c r="EO636" s="229">
        <f t="shared" si="1983"/>
        <v>214.17</v>
      </c>
      <c r="EP636" s="228">
        <f t="shared" si="2052"/>
        <v>426.01</v>
      </c>
      <c r="EQ636" s="173">
        <f t="shared" si="1934"/>
        <v>131.84</v>
      </c>
      <c r="ER636" s="189">
        <v>0</v>
      </c>
      <c r="ES636" s="189">
        <v>54.5</v>
      </c>
      <c r="ET636" s="189">
        <v>22</v>
      </c>
      <c r="EU636" s="189">
        <v>42.3</v>
      </c>
      <c r="EV636" s="189">
        <v>0</v>
      </c>
      <c r="EW636" s="189">
        <v>329.6</v>
      </c>
      <c r="EX636" s="189">
        <v>0</v>
      </c>
      <c r="EY636" s="189">
        <v>48</v>
      </c>
      <c r="EZ636" s="189">
        <v>0</v>
      </c>
      <c r="FA636" s="189">
        <v>0</v>
      </c>
      <c r="FB636" s="189">
        <v>0</v>
      </c>
      <c r="FC636" s="189">
        <v>24</v>
      </c>
      <c r="FD636" s="189">
        <v>0</v>
      </c>
      <c r="FE636" s="189">
        <v>0</v>
      </c>
      <c r="FF636" s="189">
        <v>0</v>
      </c>
      <c r="FG636" s="189">
        <v>0</v>
      </c>
      <c r="FH636" s="189">
        <v>40</v>
      </c>
      <c r="FI636" s="189">
        <v>0</v>
      </c>
      <c r="FJ636" s="189">
        <v>0</v>
      </c>
      <c r="FK636" s="189">
        <v>560.4</v>
      </c>
      <c r="FL636" s="189">
        <v>405.3</v>
      </c>
      <c r="FN636" s="132">
        <v>211.84</v>
      </c>
    </row>
    <row r="637" spans="1:170" ht="30" customHeight="1">
      <c r="A637" s="88">
        <f>COUNTIF($H$12:H637,H637)</f>
        <v>28</v>
      </c>
      <c r="B637" s="88" t="s">
        <v>2273</v>
      </c>
      <c r="C637" s="88" t="s">
        <v>988</v>
      </c>
      <c r="D637" s="88"/>
      <c r="E637" s="88"/>
      <c r="F637" s="301" t="s">
        <v>2905</v>
      </c>
      <c r="G637" s="89" t="s">
        <v>963</v>
      </c>
      <c r="H637" s="88">
        <v>12</v>
      </c>
      <c r="I637" s="88">
        <v>12</v>
      </c>
      <c r="J637" s="88">
        <v>12</v>
      </c>
      <c r="K637" s="91" t="s">
        <v>3084</v>
      </c>
      <c r="L637" s="91" t="s">
        <v>3084</v>
      </c>
      <c r="M637" s="214"/>
      <c r="N637" s="88" t="s">
        <v>1178</v>
      </c>
      <c r="O637" s="216">
        <f t="shared" si="2069"/>
        <v>4.4000000000000004</v>
      </c>
      <c r="P637" s="88" t="str">
        <f t="shared" si="2090"/>
        <v>B11_4</v>
      </c>
      <c r="Q637" s="88">
        <f t="shared" si="1935"/>
        <v>270</v>
      </c>
      <c r="R637" s="88">
        <f t="shared" si="1936"/>
        <v>80</v>
      </c>
      <c r="S637" s="230" t="s">
        <v>689</v>
      </c>
      <c r="T637" s="88" t="s">
        <v>3090</v>
      </c>
      <c r="U637" s="88">
        <f>IF(RIGHT(T637,1)="K",(VLOOKUP(T637,ma_miengiam!$A$3:$B$80,2,0)*100)/2,VLOOKUP(T637,ma_miengiam!$A$3:$B$80,2,0)*100)</f>
        <v>15</v>
      </c>
      <c r="V637" s="88"/>
      <c r="W637" s="220">
        <f>IF(AND(T637="NTS",V637&gt;0),(Q637-(Q637*V637)/12)*VLOOKUP(T637,ma_miengiam!$A$3:$B$80,2,0)+(Q637-(Q637*(12-V637))/12),IF(AND(RIGHT(T637,1)="K",V637&gt;0),(VLOOKUP(T637,ma_miengiam!$A$3:$B$80,2,0)/2)*(Q637*V637)/12,IF(RIGHT(T637,1)="K",(VLOOKUP(T637,ma_miengiam!$A$3:$B$80,2,0)*Q637)/2,IF(V637&gt;0,VLOOKUP(T637,ma_miengiam!$A$3:$B$80,2,0)*Q637*V637/12,VLOOKUP(T637,ma_miengiam!$A$3:$B$80,2,0)*Q637))))</f>
        <v>40.5</v>
      </c>
      <c r="X637" s="220">
        <f>IF(T637="NTS",VLOOKUP(T637,ma_miengiam!$A$3:$B$80,2,0)*R637*V637,IF(AND(T637="NTS",V637=0),0,IF(AND(LEFT(T637,1)="K",V637=0),VLOOKUP(T637,ma_miengiam!$A$3:$B$80,2,0)*R637,IF(LEFT(T637,1)="K",(VLOOKUP(T637,ma_miengiam!$A$3:$B$80,2,0)*R637/12)*V637,IF(AND(LEFT(T637,1)="S",V637&gt;0),(R637/12)*V637,IF(AND(LEFT(T637,1)="S",V637=0),R637,IF(T637="DH",VLOOKUP(T637,ma_miengiam!$A$3:$B$80,2,0)*R637,0)))))))</f>
        <v>0</v>
      </c>
      <c r="Y637" s="220">
        <f t="shared" si="1963"/>
        <v>229.5</v>
      </c>
      <c r="Z637" s="220">
        <f t="shared" si="2065"/>
        <v>80</v>
      </c>
      <c r="AA637" s="220">
        <f t="shared" si="2088"/>
        <v>270</v>
      </c>
      <c r="AB637" s="220">
        <f t="shared" si="2088"/>
        <v>80</v>
      </c>
      <c r="AC637" s="220">
        <f t="shared" si="2091"/>
        <v>40.5</v>
      </c>
      <c r="AD637" s="220">
        <f t="shared" si="2091"/>
        <v>0</v>
      </c>
      <c r="AE637" s="220">
        <f t="shared" si="2091"/>
        <v>229.5</v>
      </c>
      <c r="AF637" s="220">
        <f t="shared" si="2091"/>
        <v>80</v>
      </c>
      <c r="AG637" s="220">
        <f t="shared" si="2092"/>
        <v>201.84</v>
      </c>
      <c r="AH637" s="220">
        <f t="shared" si="2093"/>
        <v>11.84</v>
      </c>
      <c r="AI637" s="220">
        <f t="shared" si="2094"/>
        <v>190</v>
      </c>
      <c r="AJ637" s="220">
        <f t="shared" si="1902"/>
        <v>0</v>
      </c>
      <c r="AK637" s="216">
        <f t="shared" si="2051"/>
        <v>229.5</v>
      </c>
      <c r="AL637" s="220">
        <f t="shared" si="2024"/>
        <v>332.3</v>
      </c>
      <c r="AM637" s="220">
        <f t="shared" si="2025"/>
        <v>0</v>
      </c>
      <c r="AN637" s="221">
        <f t="shared" si="2026"/>
        <v>332.3</v>
      </c>
      <c r="AO637" s="220">
        <f t="shared" si="2027"/>
        <v>0</v>
      </c>
      <c r="AP637" s="220">
        <f t="shared" si="2028"/>
        <v>0</v>
      </c>
      <c r="AQ637" s="220">
        <f t="shared" si="2029"/>
        <v>40</v>
      </c>
      <c r="AR637" s="220">
        <f t="shared" si="2030"/>
        <v>0</v>
      </c>
      <c r="AS637" s="220">
        <f t="shared" si="2031"/>
        <v>0</v>
      </c>
      <c r="AT637" s="216">
        <f t="shared" si="2032"/>
        <v>372.3</v>
      </c>
      <c r="AU637" s="222">
        <f t="shared" si="1982"/>
        <v>102.80000000000001</v>
      </c>
      <c r="AV637" s="220"/>
      <c r="AW637" s="220">
        <f t="shared" si="2033"/>
        <v>102.80000000000001</v>
      </c>
      <c r="AX637" s="216">
        <f t="shared" si="2020"/>
        <v>0</v>
      </c>
      <c r="AY637" s="220">
        <f t="shared" si="2034"/>
        <v>0</v>
      </c>
      <c r="AZ637" s="220">
        <f t="shared" si="2035"/>
        <v>0</v>
      </c>
      <c r="BA637" s="220">
        <f t="shared" si="2036"/>
        <v>40</v>
      </c>
      <c r="BB637" s="220">
        <f t="shared" si="2037"/>
        <v>0</v>
      </c>
      <c r="BC637" s="220">
        <f t="shared" si="2038"/>
        <v>0</v>
      </c>
      <c r="BD637" s="216">
        <f t="shared" si="1987"/>
        <v>40</v>
      </c>
      <c r="BE637" s="220">
        <f t="shared" si="2039"/>
        <v>0</v>
      </c>
      <c r="BF637" s="220">
        <f t="shared" si="2040"/>
        <v>0</v>
      </c>
      <c r="BG637" s="220">
        <f t="shared" si="2041"/>
        <v>0</v>
      </c>
      <c r="BH637" s="220">
        <f t="shared" si="2042"/>
        <v>0</v>
      </c>
      <c r="BI637" s="220">
        <f t="shared" si="2043"/>
        <v>0</v>
      </c>
      <c r="BJ637" s="220" t="s">
        <v>1791</v>
      </c>
      <c r="BK637" s="220"/>
      <c r="BL637" s="223">
        <f t="shared" si="2005"/>
        <v>102.80000000000001</v>
      </c>
      <c r="BM637" s="220">
        <v>4.4000000000000004</v>
      </c>
      <c r="BN637" s="220"/>
      <c r="BO637" s="220">
        <f t="shared" si="2067"/>
        <v>4.4000000000000004</v>
      </c>
      <c r="BP637" s="220">
        <f>IF(AND(BL637&gt;0,BL637&lt;tiet!$D$1),BL637,IF(BL637&lt;=0,0,IF(BL637&gt;tiet!$C$1,tiet!$C$1)))</f>
        <v>102.80000000000001</v>
      </c>
      <c r="BQ637" s="87">
        <f t="shared" si="1903"/>
        <v>65000</v>
      </c>
      <c r="BR637" s="224">
        <f t="shared" si="1904"/>
        <v>6682000</v>
      </c>
      <c r="BS637" s="220">
        <f t="shared" si="1933"/>
        <v>0</v>
      </c>
      <c r="BT637" s="224">
        <f>VLOOKUP(N637,ma_dinhmuc!$A$1:$J$31,10,0)</f>
        <v>55000</v>
      </c>
      <c r="BU637" s="224">
        <f>ROUND(IF(BS637&gt;0,VLOOKUP(N637,ma_dinhmuc!$A$1:$J$31,10,0)*BS637,0),0)</f>
        <v>0</v>
      </c>
      <c r="BV637" s="224">
        <f t="shared" si="1905"/>
        <v>6682000</v>
      </c>
      <c r="BW637" s="224"/>
      <c r="BX637" s="224">
        <v>0</v>
      </c>
      <c r="BY637" s="224"/>
      <c r="BZ637" s="224"/>
      <c r="CA637" s="224"/>
      <c r="CB637" s="224"/>
      <c r="CC637" s="225">
        <f t="shared" si="1968"/>
        <v>6682000</v>
      </c>
      <c r="CD637" s="224">
        <f t="shared" si="1969"/>
        <v>0</v>
      </c>
      <c r="CE637" s="224"/>
      <c r="CF637" s="226"/>
      <c r="CG637" s="87"/>
      <c r="CH637" s="87">
        <f t="shared" si="2068"/>
        <v>28</v>
      </c>
      <c r="CI637" s="227" t="str">
        <f t="shared" si="2013"/>
        <v>Bùi Thị Thu</v>
      </c>
      <c r="CJ637" s="227" t="str">
        <f t="shared" si="2014"/>
        <v>Hương</v>
      </c>
      <c r="CK637" s="87">
        <f t="shared" si="2095"/>
        <v>12</v>
      </c>
      <c r="CL637" s="227" t="str">
        <f t="shared" si="2070"/>
        <v>Sinh học</v>
      </c>
      <c r="CM637" s="87" t="str">
        <f t="shared" si="2044"/>
        <v>CB3</v>
      </c>
      <c r="CN637" s="87">
        <f t="shared" si="2096"/>
        <v>270</v>
      </c>
      <c r="CO637" s="87">
        <f t="shared" si="2096"/>
        <v>80</v>
      </c>
      <c r="CP637" s="229">
        <f t="shared" si="1943"/>
        <v>0</v>
      </c>
      <c r="CQ637" s="229">
        <f t="shared" si="1944"/>
        <v>39.9</v>
      </c>
      <c r="CR637" s="229">
        <f t="shared" si="1945"/>
        <v>16</v>
      </c>
      <c r="CS637" s="229">
        <f t="shared" si="1946"/>
        <v>0</v>
      </c>
      <c r="CT637" s="229">
        <f t="shared" si="1947"/>
        <v>0</v>
      </c>
      <c r="CU637" s="229">
        <f t="shared" si="1948"/>
        <v>136.4</v>
      </c>
      <c r="CV637" s="229">
        <f t="shared" si="1949"/>
        <v>0</v>
      </c>
      <c r="CW637" s="229">
        <f t="shared" si="1950"/>
        <v>140</v>
      </c>
      <c r="CX637" s="229">
        <f t="shared" si="1951"/>
        <v>0</v>
      </c>
      <c r="CY637" s="229">
        <f t="shared" si="1952"/>
        <v>0</v>
      </c>
      <c r="CZ637" s="229">
        <f t="shared" si="1953"/>
        <v>0</v>
      </c>
      <c r="DA637" s="229">
        <f t="shared" si="1954"/>
        <v>40</v>
      </c>
      <c r="DB637" s="228">
        <f t="shared" si="2045"/>
        <v>372.3</v>
      </c>
      <c r="DC637" s="229"/>
      <c r="DD637" s="229"/>
      <c r="DE637" s="229"/>
      <c r="DF637" s="229"/>
      <c r="DG637" s="229"/>
      <c r="DH637" s="229"/>
      <c r="DI637" s="229"/>
      <c r="DJ637" s="229"/>
      <c r="DK637" s="229"/>
      <c r="DL637" s="229"/>
      <c r="DM637" s="229"/>
      <c r="DN637" s="229"/>
      <c r="DO637" s="228">
        <f t="shared" si="2046"/>
        <v>0</v>
      </c>
      <c r="DP637" s="228">
        <f t="shared" si="2047"/>
        <v>372.3</v>
      </c>
      <c r="DQ637" s="229">
        <f t="shared" si="1955"/>
        <v>0</v>
      </c>
      <c r="DR637" s="229">
        <f t="shared" si="1956"/>
        <v>0</v>
      </c>
      <c r="DS637" s="229">
        <f t="shared" si="1957"/>
        <v>0</v>
      </c>
      <c r="DT637" s="229">
        <f t="shared" si="1958"/>
        <v>0</v>
      </c>
      <c r="DU637" s="229">
        <f t="shared" si="1959"/>
        <v>0</v>
      </c>
      <c r="DV637" s="229">
        <f t="shared" si="1960"/>
        <v>0</v>
      </c>
      <c r="DW637" s="229">
        <f t="shared" si="1961"/>
        <v>0</v>
      </c>
      <c r="DX637" s="228">
        <f t="shared" si="2048"/>
        <v>0</v>
      </c>
      <c r="DY637" s="229"/>
      <c r="DZ637" s="229"/>
      <c r="EA637" s="229"/>
      <c r="EB637" s="229"/>
      <c r="EC637" s="229"/>
      <c r="ED637" s="229"/>
      <c r="EE637" s="229"/>
      <c r="EF637" s="228">
        <f t="shared" si="1939"/>
        <v>0</v>
      </c>
      <c r="EG637" s="228">
        <f t="shared" si="2049"/>
        <v>0</v>
      </c>
      <c r="EH637" s="229">
        <f t="shared" si="1940"/>
        <v>190</v>
      </c>
      <c r="EI637" s="229">
        <v>11.84</v>
      </c>
      <c r="EJ637" s="228">
        <f t="shared" si="2055"/>
        <v>201.84</v>
      </c>
      <c r="EK637" s="229"/>
      <c r="EL637" s="229"/>
      <c r="EM637" s="228">
        <f t="shared" si="2075"/>
        <v>0</v>
      </c>
      <c r="EN637" s="229">
        <f t="shared" si="2086"/>
        <v>190</v>
      </c>
      <c r="EO637" s="229">
        <f t="shared" si="1983"/>
        <v>11.84</v>
      </c>
      <c r="EP637" s="228">
        <f t="shared" si="2052"/>
        <v>201.84</v>
      </c>
      <c r="EQ637" s="173">
        <f t="shared" si="1934"/>
        <v>110</v>
      </c>
      <c r="ER637" s="189">
        <v>0</v>
      </c>
      <c r="ES637" s="189">
        <v>39.9</v>
      </c>
      <c r="ET637" s="189">
        <v>16</v>
      </c>
      <c r="EU637" s="189">
        <v>0</v>
      </c>
      <c r="EV637" s="189">
        <v>0</v>
      </c>
      <c r="EW637" s="189">
        <v>136.4</v>
      </c>
      <c r="EX637" s="189">
        <v>0</v>
      </c>
      <c r="EY637" s="189">
        <v>140</v>
      </c>
      <c r="EZ637" s="189">
        <v>0</v>
      </c>
      <c r="FA637" s="189">
        <v>0</v>
      </c>
      <c r="FB637" s="189">
        <v>0</v>
      </c>
      <c r="FC637" s="189">
        <v>40</v>
      </c>
      <c r="FD637" s="189">
        <v>0</v>
      </c>
      <c r="FE637" s="189">
        <v>0</v>
      </c>
      <c r="FF637" s="189">
        <v>0</v>
      </c>
      <c r="FG637" s="189">
        <v>0</v>
      </c>
      <c r="FH637" s="189">
        <v>0</v>
      </c>
      <c r="FI637" s="189">
        <v>0</v>
      </c>
      <c r="FJ637" s="189">
        <v>0</v>
      </c>
      <c r="FK637" s="189">
        <v>372.3</v>
      </c>
      <c r="FL637" s="189">
        <v>280</v>
      </c>
      <c r="FN637" s="132">
        <v>190</v>
      </c>
    </row>
    <row r="638" spans="1:170" ht="30" customHeight="1">
      <c r="A638" s="88">
        <f>COUNTIF($H$12:H638,H638)</f>
        <v>29</v>
      </c>
      <c r="B638" s="88" t="s">
        <v>2274</v>
      </c>
      <c r="C638" s="88" t="s">
        <v>989</v>
      </c>
      <c r="D638" s="88"/>
      <c r="E638" s="88"/>
      <c r="F638" s="301" t="s">
        <v>382</v>
      </c>
      <c r="G638" s="89" t="s">
        <v>383</v>
      </c>
      <c r="H638" s="88">
        <v>12</v>
      </c>
      <c r="I638" s="88">
        <v>12</v>
      </c>
      <c r="J638" s="88">
        <v>12</v>
      </c>
      <c r="K638" s="91" t="s">
        <v>3084</v>
      </c>
      <c r="L638" s="91" t="s">
        <v>3084</v>
      </c>
      <c r="M638" s="214"/>
      <c r="N638" s="88" t="s">
        <v>1037</v>
      </c>
      <c r="O638" s="216">
        <f t="shared" si="2069"/>
        <v>6.2</v>
      </c>
      <c r="P638" s="88" t="str">
        <f t="shared" si="2090"/>
        <v>B11_6</v>
      </c>
      <c r="Q638" s="88">
        <f t="shared" si="1935"/>
        <v>270</v>
      </c>
      <c r="R638" s="88">
        <f t="shared" si="1936"/>
        <v>120</v>
      </c>
      <c r="S638" s="230" t="s">
        <v>2031</v>
      </c>
      <c r="T638" s="88" t="s">
        <v>3091</v>
      </c>
      <c r="U638" s="88">
        <f>IF(RIGHT(T638,1)="K",(VLOOKUP(T638,ma_miengiam!$A$3:$B$80,2,0)*100)/2,VLOOKUP(T638,ma_miengiam!$A$3:$B$80,2,0)*100)</f>
        <v>20</v>
      </c>
      <c r="V638" s="88"/>
      <c r="W638" s="220">
        <f>IF(AND(T638="NTS",V638&gt;0),(Q638-(Q638*V638)/12)*VLOOKUP(T638,ma_miengiam!$A$3:$B$80,2,0)+(Q638-(Q638*(12-V638))/12),IF(AND(RIGHT(T638,1)="K",V638&gt;0),(VLOOKUP(T638,ma_miengiam!$A$3:$B$80,2,0)/2)*(Q638*V638)/12,IF(RIGHT(T638,1)="K",(VLOOKUP(T638,ma_miengiam!$A$3:$B$80,2,0)*Q638)/2,IF(V638&gt;0,VLOOKUP(T638,ma_miengiam!$A$3:$B$80,2,0)*Q638*V638/12,VLOOKUP(T638,ma_miengiam!$A$3:$B$80,2,0)*Q638))))</f>
        <v>54</v>
      </c>
      <c r="X638" s="220">
        <f>IF(T638="NTS",VLOOKUP(T638,ma_miengiam!$A$3:$B$80,2,0)*R638*V638,IF(AND(T638="NTS",V638=0),0,IF(AND(LEFT(T638,1)="K",V638=0),VLOOKUP(T638,ma_miengiam!$A$3:$B$80,2,0)*R638,IF(LEFT(T638,1)="K",(VLOOKUP(T638,ma_miengiam!$A$3:$B$80,2,0)*R638/12)*V638,IF(AND(LEFT(T638,1)="S",V638&gt;0),(R638/12)*V638,IF(AND(LEFT(T638,1)="S",V638=0),R638,IF(T638="DH",VLOOKUP(T638,ma_miengiam!$A$3:$B$80,2,0)*R638,0)))))))</f>
        <v>0</v>
      </c>
      <c r="Y638" s="220">
        <f t="shared" si="1963"/>
        <v>216</v>
      </c>
      <c r="Z638" s="220">
        <f t="shared" si="2065"/>
        <v>120</v>
      </c>
      <c r="AA638" s="220">
        <f t="shared" ref="AA638:AB640" si="2097">Q638</f>
        <v>270</v>
      </c>
      <c r="AB638" s="220">
        <f t="shared" si="2097"/>
        <v>120</v>
      </c>
      <c r="AC638" s="220">
        <f t="shared" ref="AC638:AF639" si="2098">W638</f>
        <v>54</v>
      </c>
      <c r="AD638" s="220">
        <f t="shared" si="2098"/>
        <v>0</v>
      </c>
      <c r="AE638" s="220">
        <f t="shared" si="2098"/>
        <v>216</v>
      </c>
      <c r="AF638" s="220">
        <f t="shared" si="2098"/>
        <v>120</v>
      </c>
      <c r="AG638" s="220">
        <f t="shared" si="2092"/>
        <v>202.76</v>
      </c>
      <c r="AH638" s="220">
        <f t="shared" si="2093"/>
        <v>17.760000000000002</v>
      </c>
      <c r="AI638" s="220">
        <f t="shared" si="2094"/>
        <v>185</v>
      </c>
      <c r="AJ638" s="220">
        <f t="shared" si="1902"/>
        <v>0</v>
      </c>
      <c r="AK638" s="216">
        <f t="shared" si="2051"/>
        <v>216</v>
      </c>
      <c r="AL638" s="220">
        <f t="shared" si="2024"/>
        <v>415.3</v>
      </c>
      <c r="AM638" s="220">
        <f t="shared" si="2025"/>
        <v>56.8</v>
      </c>
      <c r="AN638" s="221">
        <f t="shared" si="2026"/>
        <v>472.1</v>
      </c>
      <c r="AO638" s="220">
        <f t="shared" si="2027"/>
        <v>0</v>
      </c>
      <c r="AP638" s="220">
        <f t="shared" si="2028"/>
        <v>0</v>
      </c>
      <c r="AQ638" s="220">
        <f t="shared" si="2029"/>
        <v>72</v>
      </c>
      <c r="AR638" s="220">
        <f t="shared" si="2030"/>
        <v>12</v>
      </c>
      <c r="AS638" s="220">
        <f t="shared" si="2031"/>
        <v>0</v>
      </c>
      <c r="AT638" s="216">
        <f t="shared" si="2032"/>
        <v>556.1</v>
      </c>
      <c r="AU638" s="222">
        <f t="shared" si="1982"/>
        <v>256.10000000000002</v>
      </c>
      <c r="AV638" s="220"/>
      <c r="AW638" s="220">
        <f t="shared" si="2033"/>
        <v>256.10000000000002</v>
      </c>
      <c r="AX638" s="216">
        <f t="shared" si="2020"/>
        <v>0</v>
      </c>
      <c r="AY638" s="220">
        <f t="shared" si="2034"/>
        <v>0</v>
      </c>
      <c r="AZ638" s="220">
        <f t="shared" si="2035"/>
        <v>0</v>
      </c>
      <c r="BA638" s="220">
        <f t="shared" si="2036"/>
        <v>72</v>
      </c>
      <c r="BB638" s="220">
        <f t="shared" si="2037"/>
        <v>12</v>
      </c>
      <c r="BC638" s="220">
        <f t="shared" si="2038"/>
        <v>0</v>
      </c>
      <c r="BD638" s="216">
        <f t="shared" si="1987"/>
        <v>84</v>
      </c>
      <c r="BE638" s="220">
        <f t="shared" si="2039"/>
        <v>0</v>
      </c>
      <c r="BF638" s="220">
        <f t="shared" si="2040"/>
        <v>0</v>
      </c>
      <c r="BG638" s="220">
        <f t="shared" si="2041"/>
        <v>0</v>
      </c>
      <c r="BH638" s="220">
        <f t="shared" si="2042"/>
        <v>0</v>
      </c>
      <c r="BI638" s="220">
        <f t="shared" si="2043"/>
        <v>0</v>
      </c>
      <c r="BJ638" s="220" t="s">
        <v>1791</v>
      </c>
      <c r="BK638" s="220"/>
      <c r="BL638" s="223">
        <f t="shared" si="2005"/>
        <v>256.10000000000002</v>
      </c>
      <c r="BM638" s="220">
        <v>6.2</v>
      </c>
      <c r="BN638" s="220"/>
      <c r="BO638" s="220">
        <f t="shared" si="2067"/>
        <v>6.2</v>
      </c>
      <c r="BP638" s="220">
        <f>IF(AND(BL638&gt;0,BL638&lt;tiet!$D$1),BL638,IF(BL638&lt;=0,0,IF(BL638&gt;tiet!$C$1,tiet!$C$1)))</f>
        <v>200</v>
      </c>
      <c r="BQ638" s="87">
        <f t="shared" si="1903"/>
        <v>75000</v>
      </c>
      <c r="BR638" s="224">
        <f t="shared" si="1904"/>
        <v>15000000</v>
      </c>
      <c r="BS638" s="220">
        <f t="shared" si="1933"/>
        <v>56.100000000000023</v>
      </c>
      <c r="BT638" s="224">
        <f>VLOOKUP(N638,ma_dinhmuc!$A$1:$J$31,10,0)</f>
        <v>65000</v>
      </c>
      <c r="BU638" s="224">
        <f>ROUND(IF(BS638&gt;0,VLOOKUP(N638,ma_dinhmuc!$A$1:$J$31,10,0)*BS638,0),0)</f>
        <v>3646500</v>
      </c>
      <c r="BV638" s="224">
        <f t="shared" si="1905"/>
        <v>18646500</v>
      </c>
      <c r="BW638" s="224"/>
      <c r="BX638" s="224">
        <v>0</v>
      </c>
      <c r="BY638" s="224"/>
      <c r="BZ638" s="224"/>
      <c r="CA638" s="224"/>
      <c r="CB638" s="224"/>
      <c r="CC638" s="225">
        <f t="shared" si="1968"/>
        <v>18646500</v>
      </c>
      <c r="CD638" s="224">
        <f t="shared" si="1969"/>
        <v>0</v>
      </c>
      <c r="CE638" s="224"/>
      <c r="CF638" s="226"/>
      <c r="CG638" s="87"/>
      <c r="CH638" s="87">
        <f t="shared" si="2068"/>
        <v>29</v>
      </c>
      <c r="CI638" s="227" t="str">
        <f t="shared" si="2013"/>
        <v>Đồng Huy</v>
      </c>
      <c r="CJ638" s="227" t="str">
        <f t="shared" si="2014"/>
        <v>Giới</v>
      </c>
      <c r="CK638" s="87">
        <f t="shared" si="2095"/>
        <v>12</v>
      </c>
      <c r="CL638" s="227" t="str">
        <f t="shared" si="2070"/>
        <v>Sinh học</v>
      </c>
      <c r="CM638" s="87" t="str">
        <f t="shared" si="2044"/>
        <v>CB4</v>
      </c>
      <c r="CN638" s="87">
        <f t="shared" si="2096"/>
        <v>270</v>
      </c>
      <c r="CO638" s="87">
        <f t="shared" si="2096"/>
        <v>120</v>
      </c>
      <c r="CP638" s="229">
        <f t="shared" si="1943"/>
        <v>0</v>
      </c>
      <c r="CQ638" s="229">
        <f t="shared" si="1944"/>
        <v>58.8</v>
      </c>
      <c r="CR638" s="229">
        <f t="shared" si="1945"/>
        <v>23.6</v>
      </c>
      <c r="CS638" s="229">
        <f t="shared" si="1946"/>
        <v>0</v>
      </c>
      <c r="CT638" s="229">
        <f t="shared" si="1947"/>
        <v>0</v>
      </c>
      <c r="CU638" s="229">
        <f t="shared" si="1948"/>
        <v>204.9</v>
      </c>
      <c r="CV638" s="229">
        <f t="shared" si="1949"/>
        <v>0</v>
      </c>
      <c r="CW638" s="229">
        <f t="shared" si="1950"/>
        <v>128</v>
      </c>
      <c r="CX638" s="229">
        <f t="shared" si="1951"/>
        <v>0</v>
      </c>
      <c r="CY638" s="229">
        <f t="shared" si="1952"/>
        <v>0</v>
      </c>
      <c r="CZ638" s="229">
        <f t="shared" si="1953"/>
        <v>0</v>
      </c>
      <c r="DA638" s="229">
        <f t="shared" si="1954"/>
        <v>72</v>
      </c>
      <c r="DB638" s="228">
        <f t="shared" si="2045"/>
        <v>487.3</v>
      </c>
      <c r="DC638" s="229"/>
      <c r="DD638" s="229"/>
      <c r="DE638" s="229"/>
      <c r="DF638" s="229"/>
      <c r="DG638" s="229"/>
      <c r="DH638" s="229"/>
      <c r="DI638" s="229"/>
      <c r="DJ638" s="229"/>
      <c r="DK638" s="229"/>
      <c r="DL638" s="229"/>
      <c r="DM638" s="229"/>
      <c r="DN638" s="229"/>
      <c r="DO638" s="228">
        <f t="shared" si="2046"/>
        <v>0</v>
      </c>
      <c r="DP638" s="228">
        <f t="shared" si="2047"/>
        <v>487.3</v>
      </c>
      <c r="DQ638" s="229">
        <f t="shared" si="1955"/>
        <v>54</v>
      </c>
      <c r="DR638" s="229">
        <f t="shared" si="1956"/>
        <v>2</v>
      </c>
      <c r="DS638" s="229">
        <f t="shared" si="1957"/>
        <v>0</v>
      </c>
      <c r="DT638" s="229">
        <f t="shared" si="1958"/>
        <v>0.8</v>
      </c>
      <c r="DU638" s="229">
        <f t="shared" si="1959"/>
        <v>0</v>
      </c>
      <c r="DV638" s="229">
        <f t="shared" si="1960"/>
        <v>12</v>
      </c>
      <c r="DW638" s="229">
        <f t="shared" si="1961"/>
        <v>0</v>
      </c>
      <c r="DX638" s="228">
        <f t="shared" si="2048"/>
        <v>68.8</v>
      </c>
      <c r="DY638" s="229"/>
      <c r="DZ638" s="229"/>
      <c r="EA638" s="229"/>
      <c r="EB638" s="229"/>
      <c r="EC638" s="229"/>
      <c r="ED638" s="229"/>
      <c r="EE638" s="229"/>
      <c r="EF638" s="228">
        <f t="shared" si="1939"/>
        <v>0</v>
      </c>
      <c r="EG638" s="228">
        <f t="shared" si="2049"/>
        <v>68.8</v>
      </c>
      <c r="EH638" s="229">
        <f t="shared" si="1940"/>
        <v>185</v>
      </c>
      <c r="EI638" s="229">
        <v>17.760000000000002</v>
      </c>
      <c r="EJ638" s="228">
        <f t="shared" si="2055"/>
        <v>202.76</v>
      </c>
      <c r="EK638" s="229"/>
      <c r="EL638" s="229"/>
      <c r="EM638" s="228">
        <f t="shared" si="2075"/>
        <v>0</v>
      </c>
      <c r="EN638" s="229">
        <f t="shared" si="2086"/>
        <v>185</v>
      </c>
      <c r="EO638" s="229">
        <f t="shared" si="1983"/>
        <v>17.760000000000002</v>
      </c>
      <c r="EP638" s="228">
        <f t="shared" si="2052"/>
        <v>202.76</v>
      </c>
      <c r="EQ638" s="173">
        <f t="shared" si="1934"/>
        <v>65</v>
      </c>
      <c r="ER638" s="189">
        <v>0</v>
      </c>
      <c r="ES638" s="189">
        <v>58.8</v>
      </c>
      <c r="ET638" s="189">
        <v>23.6</v>
      </c>
      <c r="EU638" s="189">
        <v>0</v>
      </c>
      <c r="EV638" s="189">
        <v>0</v>
      </c>
      <c r="EW638" s="189">
        <v>204.9</v>
      </c>
      <c r="EX638" s="189">
        <v>0</v>
      </c>
      <c r="EY638" s="189">
        <v>128</v>
      </c>
      <c r="EZ638" s="189">
        <v>0</v>
      </c>
      <c r="FA638" s="189">
        <v>0</v>
      </c>
      <c r="FB638" s="189">
        <v>0</v>
      </c>
      <c r="FC638" s="189">
        <v>72</v>
      </c>
      <c r="FD638" s="189">
        <v>54</v>
      </c>
      <c r="FE638" s="189">
        <v>2</v>
      </c>
      <c r="FF638" s="189">
        <v>0</v>
      </c>
      <c r="FG638" s="189">
        <v>0.8</v>
      </c>
      <c r="FH638" s="189">
        <v>12</v>
      </c>
      <c r="FI638" s="189">
        <v>0</v>
      </c>
      <c r="FJ638" s="189">
        <v>0</v>
      </c>
      <c r="FK638" s="189">
        <v>556.1</v>
      </c>
      <c r="FL638" s="189">
        <v>421</v>
      </c>
      <c r="FN638" s="132">
        <v>185</v>
      </c>
    </row>
    <row r="639" spans="1:170" ht="30" customHeight="1">
      <c r="A639" s="88">
        <f>COUNTIF($H$12:H639,H639)</f>
        <v>30</v>
      </c>
      <c r="B639" s="88" t="s">
        <v>2275</v>
      </c>
      <c r="C639" s="88" t="s">
        <v>990</v>
      </c>
      <c r="D639" s="88"/>
      <c r="E639" s="88"/>
      <c r="F639" s="301" t="s">
        <v>384</v>
      </c>
      <c r="G639" s="89" t="s">
        <v>385</v>
      </c>
      <c r="H639" s="88">
        <v>12</v>
      </c>
      <c r="I639" s="88">
        <v>12</v>
      </c>
      <c r="J639" s="88">
        <v>12</v>
      </c>
      <c r="K639" s="91" t="s">
        <v>3084</v>
      </c>
      <c r="L639" s="91" t="s">
        <v>3084</v>
      </c>
      <c r="M639" s="214"/>
      <c r="N639" s="88" t="s">
        <v>1179</v>
      </c>
      <c r="O639" s="216">
        <f t="shared" si="2069"/>
        <v>3</v>
      </c>
      <c r="P639" s="88" t="str">
        <f t="shared" si="2090"/>
        <v>B11_3</v>
      </c>
      <c r="Q639" s="88">
        <f t="shared" si="1935"/>
        <v>270</v>
      </c>
      <c r="R639" s="88">
        <f t="shared" si="1936"/>
        <v>60</v>
      </c>
      <c r="S639" s="230" t="s">
        <v>2317</v>
      </c>
      <c r="T639" s="214" t="s">
        <v>1326</v>
      </c>
      <c r="U639" s="88">
        <f>IF(RIGHT(T639,1)="K",(VLOOKUP(T639,ma_miengiam!$A$3:$B$80,2,0)*100)/2,VLOOKUP(T639,ma_miengiam!$A$3:$B$80,2,0)*100)</f>
        <v>65</v>
      </c>
      <c r="V639" s="88"/>
      <c r="W639" s="220">
        <f>IF(AND(T639="NTS",V639&gt;0),(Q639-(Q639*V639)/12)*VLOOKUP(T639,ma_miengiam!$A$3:$B$80,2,0)+(Q639-(Q639*(12-V639))/12),IF(AND(RIGHT(T639,1)="K",V639&gt;0),(VLOOKUP(T639,ma_miengiam!$A$3:$B$80,2,0)/2)*(Q639*V639)/12,IF(RIGHT(T639,1)="K",(VLOOKUP(T639,ma_miengiam!$A$3:$B$80,2,0)*Q639)/2,IF(V639&gt;0,VLOOKUP(T639,ma_miengiam!$A$3:$B$80,2,0)*Q639*V639/12,VLOOKUP(T639,ma_miengiam!$A$3:$B$80,2,0)*Q639))))</f>
        <v>175.5</v>
      </c>
      <c r="X639" s="220">
        <f>IF(T639="NTS",VLOOKUP(T639,ma_miengiam!$A$3:$B$80,2,0)*R639*V639,IF(AND(T639="NTS",V639=0),0,IF(AND(LEFT(T639,1)="K",V639=0),VLOOKUP(T639,ma_miengiam!$A$3:$B$80,2,0)*R639,IF(LEFT(T639,1)="K",(VLOOKUP(T639,ma_miengiam!$A$3:$B$80,2,0)*R639/12)*V639,IF(AND(LEFT(T639,1)="S",V639&gt;0),(R639/12)*V639,IF(AND(LEFT(T639,1)="S",V639=0),R639,IF(T639="DH",VLOOKUP(T639,ma_miengiam!$A$3:$B$80,2,0)*R639,0)))))))</f>
        <v>60</v>
      </c>
      <c r="Y639" s="220">
        <f t="shared" si="1963"/>
        <v>94.5</v>
      </c>
      <c r="Z639" s="220">
        <f t="shared" si="2065"/>
        <v>0</v>
      </c>
      <c r="AA639" s="220">
        <f t="shared" si="2097"/>
        <v>270</v>
      </c>
      <c r="AB639" s="220">
        <f t="shared" si="2097"/>
        <v>60</v>
      </c>
      <c r="AC639" s="220">
        <f t="shared" si="2098"/>
        <v>175.5</v>
      </c>
      <c r="AD639" s="220">
        <f t="shared" si="2098"/>
        <v>60</v>
      </c>
      <c r="AE639" s="220">
        <f t="shared" si="2098"/>
        <v>94.5</v>
      </c>
      <c r="AF639" s="220">
        <f t="shared" si="2098"/>
        <v>0</v>
      </c>
      <c r="AG639" s="220">
        <f t="shared" si="2092"/>
        <v>183.44</v>
      </c>
      <c r="AH639" s="220">
        <f t="shared" si="2093"/>
        <v>60.94</v>
      </c>
      <c r="AI639" s="220">
        <f t="shared" si="2094"/>
        <v>122.5</v>
      </c>
      <c r="AJ639" s="220">
        <f t="shared" si="1902"/>
        <v>0</v>
      </c>
      <c r="AK639" s="216">
        <f t="shared" si="2051"/>
        <v>94.5</v>
      </c>
      <c r="AL639" s="220">
        <f t="shared" si="2024"/>
        <v>210.6</v>
      </c>
      <c r="AM639" s="220">
        <f t="shared" si="2025"/>
        <v>0</v>
      </c>
      <c r="AN639" s="221">
        <f t="shared" si="2026"/>
        <v>210.6</v>
      </c>
      <c r="AO639" s="220">
        <f t="shared" si="2027"/>
        <v>0</v>
      </c>
      <c r="AP639" s="220">
        <f t="shared" si="2028"/>
        <v>0</v>
      </c>
      <c r="AQ639" s="220">
        <f t="shared" si="2029"/>
        <v>20</v>
      </c>
      <c r="AR639" s="220">
        <f t="shared" si="2030"/>
        <v>0</v>
      </c>
      <c r="AS639" s="220">
        <f t="shared" si="2031"/>
        <v>0</v>
      </c>
      <c r="AT639" s="216">
        <f t="shared" si="2032"/>
        <v>230.6</v>
      </c>
      <c r="AU639" s="222">
        <f t="shared" si="1982"/>
        <v>116.1</v>
      </c>
      <c r="AV639" s="220"/>
      <c r="AW639" s="220">
        <f t="shared" si="2033"/>
        <v>116.1</v>
      </c>
      <c r="AX639" s="216">
        <f t="shared" si="2020"/>
        <v>0</v>
      </c>
      <c r="AY639" s="220">
        <f t="shared" si="2034"/>
        <v>0</v>
      </c>
      <c r="AZ639" s="220">
        <f t="shared" si="2035"/>
        <v>0</v>
      </c>
      <c r="BA639" s="220">
        <f t="shared" si="2036"/>
        <v>20</v>
      </c>
      <c r="BB639" s="220">
        <f t="shared" si="2037"/>
        <v>0</v>
      </c>
      <c r="BC639" s="220">
        <f t="shared" si="2038"/>
        <v>0</v>
      </c>
      <c r="BD639" s="216">
        <f t="shared" si="1987"/>
        <v>20</v>
      </c>
      <c r="BE639" s="220">
        <f t="shared" si="2039"/>
        <v>0</v>
      </c>
      <c r="BF639" s="220">
        <f t="shared" si="2040"/>
        <v>0</v>
      </c>
      <c r="BG639" s="220">
        <f t="shared" si="2041"/>
        <v>0</v>
      </c>
      <c r="BH639" s="220">
        <f t="shared" si="2042"/>
        <v>0</v>
      </c>
      <c r="BI639" s="220">
        <f t="shared" si="2043"/>
        <v>0</v>
      </c>
      <c r="BJ639" s="220" t="s">
        <v>1791</v>
      </c>
      <c r="BK639" s="220"/>
      <c r="BL639" s="223">
        <f t="shared" si="2005"/>
        <v>116.1</v>
      </c>
      <c r="BM639" s="220">
        <v>3</v>
      </c>
      <c r="BN639" s="220"/>
      <c r="BO639" s="220">
        <f t="shared" si="2067"/>
        <v>3</v>
      </c>
      <c r="BP639" s="220">
        <f>IF(AND(BL639&gt;0,BL639&lt;tiet!$D$1),BL639,IF(BL639&lt;=0,0,IF(BL639&gt;tiet!$C$1,tiet!$C$1)))</f>
        <v>116.1</v>
      </c>
      <c r="BQ639" s="87">
        <f t="shared" si="1903"/>
        <v>60000</v>
      </c>
      <c r="BR639" s="224">
        <f t="shared" ref="BR639:BR682" si="2099">ROUND(BQ639*BP639,0)</f>
        <v>6966000</v>
      </c>
      <c r="BS639" s="220">
        <f t="shared" si="1933"/>
        <v>0</v>
      </c>
      <c r="BT639" s="224">
        <f>VLOOKUP(N639,ma_dinhmuc!$A$1:$J$31,10,0)</f>
        <v>51000</v>
      </c>
      <c r="BU639" s="224">
        <f>ROUND(IF(BS639&gt;0,VLOOKUP(N639,ma_dinhmuc!$A$1:$J$31,10,0)*BS639,0),0)</f>
        <v>0</v>
      </c>
      <c r="BV639" s="224">
        <f t="shared" ref="BV639:BV682" si="2100">ROUND(BU639+BR639,0)</f>
        <v>6966000</v>
      </c>
      <c r="BW639" s="224"/>
      <c r="BX639" s="224">
        <v>0</v>
      </c>
      <c r="BY639" s="224"/>
      <c r="BZ639" s="224"/>
      <c r="CA639" s="224"/>
      <c r="CB639" s="224"/>
      <c r="CC639" s="225">
        <f t="shared" si="1968"/>
        <v>6966000</v>
      </c>
      <c r="CD639" s="224">
        <f t="shared" si="1969"/>
        <v>0</v>
      </c>
      <c r="CE639" s="224"/>
      <c r="CF639" s="226"/>
      <c r="CG639" s="87"/>
      <c r="CH639" s="87">
        <f t="shared" si="2068"/>
        <v>30</v>
      </c>
      <c r="CI639" s="227" t="str">
        <f t="shared" si="2013"/>
        <v>Phí Thị Cẩm</v>
      </c>
      <c r="CJ639" s="227" t="str">
        <f t="shared" si="2014"/>
        <v>Miện</v>
      </c>
      <c r="CK639" s="87">
        <f t="shared" si="2095"/>
        <v>12</v>
      </c>
      <c r="CL639" s="227" t="str">
        <f t="shared" si="2070"/>
        <v>Sinh học</v>
      </c>
      <c r="CM639" s="87" t="str">
        <f t="shared" si="2044"/>
        <v>CB2</v>
      </c>
      <c r="CN639" s="87">
        <f t="shared" si="2096"/>
        <v>270</v>
      </c>
      <c r="CO639" s="87">
        <f t="shared" si="2096"/>
        <v>60</v>
      </c>
      <c r="CP639" s="229">
        <f t="shared" si="1943"/>
        <v>0</v>
      </c>
      <c r="CQ639" s="229">
        <f t="shared" si="1944"/>
        <v>19.5</v>
      </c>
      <c r="CR639" s="229">
        <f t="shared" si="1945"/>
        <v>7.8</v>
      </c>
      <c r="CS639" s="229">
        <f t="shared" si="1946"/>
        <v>42.3</v>
      </c>
      <c r="CT639" s="229">
        <f t="shared" si="1947"/>
        <v>0</v>
      </c>
      <c r="CU639" s="229">
        <f t="shared" si="1948"/>
        <v>49</v>
      </c>
      <c r="CV639" s="229">
        <f t="shared" si="1949"/>
        <v>0</v>
      </c>
      <c r="CW639" s="229">
        <f t="shared" si="1950"/>
        <v>92</v>
      </c>
      <c r="CX639" s="229">
        <f t="shared" si="1951"/>
        <v>0</v>
      </c>
      <c r="CY639" s="229">
        <f t="shared" si="1952"/>
        <v>0</v>
      </c>
      <c r="CZ639" s="229">
        <f t="shared" si="1953"/>
        <v>0</v>
      </c>
      <c r="DA639" s="229">
        <f t="shared" si="1954"/>
        <v>20</v>
      </c>
      <c r="DB639" s="228">
        <f t="shared" si="2045"/>
        <v>230.6</v>
      </c>
      <c r="DC639" s="229"/>
      <c r="DD639" s="229"/>
      <c r="DE639" s="229"/>
      <c r="DF639" s="229"/>
      <c r="DG639" s="229"/>
      <c r="DH639" s="229"/>
      <c r="DI639" s="229"/>
      <c r="DJ639" s="229"/>
      <c r="DK639" s="229"/>
      <c r="DL639" s="229"/>
      <c r="DM639" s="229"/>
      <c r="DN639" s="229"/>
      <c r="DO639" s="228">
        <f t="shared" si="2046"/>
        <v>0</v>
      </c>
      <c r="DP639" s="228">
        <f t="shared" si="2047"/>
        <v>230.6</v>
      </c>
      <c r="DQ639" s="229">
        <f t="shared" si="1955"/>
        <v>0</v>
      </c>
      <c r="DR639" s="229">
        <f t="shared" si="1956"/>
        <v>0</v>
      </c>
      <c r="DS639" s="229">
        <f t="shared" si="1957"/>
        <v>0</v>
      </c>
      <c r="DT639" s="229">
        <f t="shared" si="1958"/>
        <v>0</v>
      </c>
      <c r="DU639" s="229">
        <f t="shared" si="1959"/>
        <v>0</v>
      </c>
      <c r="DV639" s="229">
        <f t="shared" si="1960"/>
        <v>0</v>
      </c>
      <c r="DW639" s="229">
        <f t="shared" si="1961"/>
        <v>0</v>
      </c>
      <c r="DX639" s="228">
        <f t="shared" si="2048"/>
        <v>0</v>
      </c>
      <c r="DY639" s="229"/>
      <c r="DZ639" s="229"/>
      <c r="EA639" s="229"/>
      <c r="EB639" s="229"/>
      <c r="EC639" s="229"/>
      <c r="ED639" s="229"/>
      <c r="EE639" s="229"/>
      <c r="EF639" s="228">
        <f t="shared" si="1939"/>
        <v>0</v>
      </c>
      <c r="EG639" s="228">
        <f t="shared" si="2049"/>
        <v>0</v>
      </c>
      <c r="EH639" s="229">
        <f t="shared" si="1940"/>
        <v>122.5</v>
      </c>
      <c r="EI639" s="229">
        <v>60.94</v>
      </c>
      <c r="EJ639" s="228">
        <f t="shared" si="2055"/>
        <v>183.44</v>
      </c>
      <c r="EK639" s="229"/>
      <c r="EL639" s="229"/>
      <c r="EM639" s="228">
        <f t="shared" si="2075"/>
        <v>0</v>
      </c>
      <c r="EN639" s="229">
        <f t="shared" si="2086"/>
        <v>122.5</v>
      </c>
      <c r="EO639" s="229">
        <f t="shared" si="1983"/>
        <v>60.94</v>
      </c>
      <c r="EP639" s="228">
        <f t="shared" si="2052"/>
        <v>183.44</v>
      </c>
      <c r="EQ639" s="173">
        <f t="shared" si="1934"/>
        <v>122.5</v>
      </c>
      <c r="ER639" s="189">
        <v>0</v>
      </c>
      <c r="ES639" s="189">
        <v>19.5</v>
      </c>
      <c r="ET639" s="189">
        <v>7.8</v>
      </c>
      <c r="EU639" s="189">
        <v>42.3</v>
      </c>
      <c r="EV639" s="189">
        <v>0</v>
      </c>
      <c r="EW639" s="189">
        <v>49</v>
      </c>
      <c r="EX639" s="189">
        <v>0</v>
      </c>
      <c r="EY639" s="189">
        <v>92</v>
      </c>
      <c r="EZ639" s="189">
        <v>0</v>
      </c>
      <c r="FA639" s="189">
        <v>0</v>
      </c>
      <c r="FB639" s="189">
        <v>0</v>
      </c>
      <c r="FC639" s="189">
        <v>20</v>
      </c>
      <c r="FD639" s="189">
        <v>0</v>
      </c>
      <c r="FE639" s="189">
        <v>0</v>
      </c>
      <c r="FF639" s="189">
        <v>0</v>
      </c>
      <c r="FG639" s="189">
        <v>0</v>
      </c>
      <c r="FH639" s="189">
        <v>0</v>
      </c>
      <c r="FI639" s="189">
        <v>0</v>
      </c>
      <c r="FJ639" s="189">
        <v>0</v>
      </c>
      <c r="FK639" s="189">
        <v>230.6</v>
      </c>
      <c r="FL639" s="189">
        <v>198.3</v>
      </c>
      <c r="FN639" s="132">
        <v>122.5</v>
      </c>
    </row>
    <row r="640" spans="1:170" ht="30" customHeight="1">
      <c r="A640" s="88">
        <f>COUNTIF($H$12:H640,H640)</f>
        <v>31</v>
      </c>
      <c r="B640" s="88" t="s">
        <v>2276</v>
      </c>
      <c r="C640" s="88" t="s">
        <v>991</v>
      </c>
      <c r="D640" s="88"/>
      <c r="E640" s="88"/>
      <c r="F640" s="301" t="s">
        <v>2081</v>
      </c>
      <c r="G640" s="89" t="s">
        <v>2902</v>
      </c>
      <c r="H640" s="88">
        <v>12</v>
      </c>
      <c r="I640" s="88">
        <v>12</v>
      </c>
      <c r="J640" s="88">
        <v>12</v>
      </c>
      <c r="K640" s="91" t="s">
        <v>3084</v>
      </c>
      <c r="L640" s="91" t="s">
        <v>3084</v>
      </c>
      <c r="M640" s="214"/>
      <c r="N640" s="88" t="s">
        <v>1179</v>
      </c>
      <c r="O640" s="216">
        <f>BO640</f>
        <v>3</v>
      </c>
      <c r="P640" s="88" t="str">
        <f t="shared" si="2090"/>
        <v>B11_3</v>
      </c>
      <c r="Q640" s="88">
        <f t="shared" si="1935"/>
        <v>270</v>
      </c>
      <c r="R640" s="88">
        <f t="shared" si="1936"/>
        <v>60</v>
      </c>
      <c r="S640" s="218" t="s">
        <v>2988</v>
      </c>
      <c r="T640" s="88" t="s">
        <v>2961</v>
      </c>
      <c r="U640" s="88">
        <f>IF(RIGHT(T640,1)="K",(VLOOKUP(T640,ma_miengiam!$A$3:$B$80,2,0)*100)/2,VLOOKUP(T640,ma_miengiam!$A$3:$B$80,2,0)*100)</f>
        <v>100</v>
      </c>
      <c r="V640" s="88"/>
      <c r="W640" s="220">
        <f>IF(AND(T640="NTS",V640&gt;0),(Q640-(Q640*V640)/12)*VLOOKUP(T640,ma_miengiam!$A$3:$B$80,2,0)+(Q640-(Q640*(12-V640))/12),IF(AND(RIGHT(T640,1)="K",V640&gt;0),(VLOOKUP(T640,ma_miengiam!$A$3:$B$80,2,0)/2)*(Q640*V640)/12,IF(RIGHT(T640,1)="K",(VLOOKUP(T640,ma_miengiam!$A$3:$B$80,2,0)*Q640)/2,IF(V640&gt;0,VLOOKUP(T640,ma_miengiam!$A$3:$B$80,2,0)*Q640*V640/12,VLOOKUP(T640,ma_miengiam!$A$3:$B$80,2,0)*Q640))))</f>
        <v>270</v>
      </c>
      <c r="X640" s="220">
        <f>IF(T640="NTS",VLOOKUP(T640,ma_miengiam!$A$3:$B$80,2,0)*R640*V640,IF(AND(T640="NTS",V640=0),0,IF(AND(LEFT(T640,1)="K",V640=0),VLOOKUP(T640,ma_miengiam!$A$3:$B$80,2,0)*R640,IF(LEFT(T640,1)="K",(VLOOKUP(T640,ma_miengiam!$A$3:$B$80,2,0)*R640/12)*V640,IF(AND(LEFT(T640,1)="S",V640&gt;0),(R640/12)*V640,IF(AND(LEFT(T640,1)="S",V640=0),R640,IF(T640="DH",VLOOKUP(T640,ma_miengiam!$A$3:$B$80,2,0)*R640,0)))))))</f>
        <v>60</v>
      </c>
      <c r="Y640" s="220">
        <f t="shared" si="1963"/>
        <v>0</v>
      </c>
      <c r="Z640" s="220">
        <f t="shared" si="2065"/>
        <v>0</v>
      </c>
      <c r="AA640" s="220">
        <f t="shared" si="2097"/>
        <v>270</v>
      </c>
      <c r="AB640" s="220">
        <f t="shared" si="2097"/>
        <v>60</v>
      </c>
      <c r="AC640" s="220">
        <f>W640</f>
        <v>270</v>
      </c>
      <c r="AD640" s="220">
        <f>X640</f>
        <v>60</v>
      </c>
      <c r="AE640" s="220">
        <f>Y640</f>
        <v>0</v>
      </c>
      <c r="AF640" s="220">
        <f>Z640</f>
        <v>0</v>
      </c>
      <c r="AG640" s="220">
        <f>AH640+AI640</f>
        <v>68.88</v>
      </c>
      <c r="AH640" s="220">
        <f>EO640</f>
        <v>68.88</v>
      </c>
      <c r="AI640" s="220">
        <f>EN640</f>
        <v>0</v>
      </c>
      <c r="AJ640" s="220">
        <f t="shared" ref="AJ640:AJ683" si="2101">IF(AG640-Z640&gt;0,0,AG640-Z640)</f>
        <v>0</v>
      </c>
      <c r="AK640" s="216">
        <f t="shared" si="2051"/>
        <v>0</v>
      </c>
      <c r="AL640" s="220">
        <f t="shared" si="2024"/>
        <v>0</v>
      </c>
      <c r="AM640" s="220">
        <f t="shared" si="2025"/>
        <v>0</v>
      </c>
      <c r="AN640" s="221">
        <f t="shared" si="2026"/>
        <v>0</v>
      </c>
      <c r="AO640" s="220">
        <f t="shared" si="2027"/>
        <v>0</v>
      </c>
      <c r="AP640" s="220">
        <f t="shared" si="2028"/>
        <v>0</v>
      </c>
      <c r="AQ640" s="220">
        <f t="shared" si="2029"/>
        <v>0</v>
      </c>
      <c r="AR640" s="220">
        <f t="shared" si="2030"/>
        <v>0</v>
      </c>
      <c r="AS640" s="220">
        <f t="shared" si="2031"/>
        <v>0</v>
      </c>
      <c r="AT640" s="216">
        <f t="shared" si="2032"/>
        <v>0</v>
      </c>
      <c r="AU640" s="222">
        <f t="shared" si="1982"/>
        <v>0</v>
      </c>
      <c r="AV640" s="220"/>
      <c r="AW640" s="220">
        <f t="shared" si="2033"/>
        <v>0</v>
      </c>
      <c r="AX640" s="216">
        <f t="shared" si="2020"/>
        <v>0</v>
      </c>
      <c r="AY640" s="220">
        <f t="shared" si="2034"/>
        <v>0</v>
      </c>
      <c r="AZ640" s="220">
        <f t="shared" si="2035"/>
        <v>0</v>
      </c>
      <c r="BA640" s="220">
        <f t="shared" si="2036"/>
        <v>0</v>
      </c>
      <c r="BB640" s="220">
        <f t="shared" si="2037"/>
        <v>0</v>
      </c>
      <c r="BC640" s="220">
        <f t="shared" si="2038"/>
        <v>0</v>
      </c>
      <c r="BD640" s="216">
        <f t="shared" si="1987"/>
        <v>0</v>
      </c>
      <c r="BE640" s="220">
        <f t="shared" si="2039"/>
        <v>0</v>
      </c>
      <c r="BF640" s="220">
        <f t="shared" si="2040"/>
        <v>0</v>
      </c>
      <c r="BG640" s="220">
        <f t="shared" si="2041"/>
        <v>0</v>
      </c>
      <c r="BH640" s="220">
        <f t="shared" si="2042"/>
        <v>0</v>
      </c>
      <c r="BI640" s="220">
        <f t="shared" si="2043"/>
        <v>0</v>
      </c>
      <c r="BJ640" s="220" t="s">
        <v>1791</v>
      </c>
      <c r="BK640" s="220"/>
      <c r="BL640" s="223">
        <f t="shared" si="2005"/>
        <v>0</v>
      </c>
      <c r="BM640" s="220">
        <v>3</v>
      </c>
      <c r="BN640" s="220"/>
      <c r="BO640" s="220">
        <f>ROUND(BM640+(BM640*BN640),2)</f>
        <v>3</v>
      </c>
      <c r="BP640" s="220">
        <f>IF(AND(BL640&gt;0,BL640&lt;tiet!$D$1),BL640,IF(BL640&lt;=0,0,IF(BL640&gt;tiet!$C$1,tiet!$C$1)))</f>
        <v>0</v>
      </c>
      <c r="BQ640" s="87">
        <f t="shared" ref="BQ640:BQ685" si="2102">VLOOKUP(P640,ma_dinhmuc_moi,4,0)</f>
        <v>60000</v>
      </c>
      <c r="BR640" s="224">
        <f t="shared" si="2099"/>
        <v>0</v>
      </c>
      <c r="BS640" s="220">
        <f t="shared" si="1933"/>
        <v>0</v>
      </c>
      <c r="BT640" s="224">
        <f>VLOOKUP(N640,ma_dinhmuc!$A$1:$J$31,10,0)</f>
        <v>51000</v>
      </c>
      <c r="BU640" s="224">
        <f>ROUND(IF(BS640&gt;0,VLOOKUP(N640,ma_dinhmuc!$A$1:$J$31,10,0)*BS640,0),0)</f>
        <v>0</v>
      </c>
      <c r="BV640" s="224">
        <f t="shared" si="2100"/>
        <v>0</v>
      </c>
      <c r="BW640" s="224"/>
      <c r="BX640" s="224">
        <v>0</v>
      </c>
      <c r="BY640" s="224"/>
      <c r="BZ640" s="224"/>
      <c r="CA640" s="224"/>
      <c r="CB640" s="224"/>
      <c r="CC640" s="225">
        <f t="shared" si="1968"/>
        <v>0</v>
      </c>
      <c r="CD640" s="224">
        <f t="shared" si="1969"/>
        <v>0</v>
      </c>
      <c r="CE640" s="224"/>
      <c r="CF640" s="226"/>
      <c r="CG640" s="87"/>
      <c r="CH640" s="87">
        <f>A640</f>
        <v>31</v>
      </c>
      <c r="CI640" s="227" t="str">
        <f>F640</f>
        <v>Nguyễn Thanh</v>
      </c>
      <c r="CJ640" s="227" t="str">
        <f>G640</f>
        <v>Hảo</v>
      </c>
      <c r="CK640" s="87">
        <f t="shared" si="2095"/>
        <v>12</v>
      </c>
      <c r="CL640" s="227" t="str">
        <f t="shared" si="2070"/>
        <v>Sinh học</v>
      </c>
      <c r="CM640" s="87" t="str">
        <f t="shared" si="2044"/>
        <v>CB2</v>
      </c>
      <c r="CN640" s="87">
        <f t="shared" ref="CN640:CO645" si="2103">Q640</f>
        <v>270</v>
      </c>
      <c r="CO640" s="87">
        <f t="shared" si="2103"/>
        <v>60</v>
      </c>
      <c r="CP640" s="229">
        <f t="shared" si="1943"/>
        <v>0</v>
      </c>
      <c r="CQ640" s="229">
        <f t="shared" si="1944"/>
        <v>0</v>
      </c>
      <c r="CR640" s="229">
        <f t="shared" si="1945"/>
        <v>0</v>
      </c>
      <c r="CS640" s="229">
        <f t="shared" si="1946"/>
        <v>0</v>
      </c>
      <c r="CT640" s="229">
        <f t="shared" si="1947"/>
        <v>0</v>
      </c>
      <c r="CU640" s="229">
        <f t="shared" si="1948"/>
        <v>0</v>
      </c>
      <c r="CV640" s="229">
        <f t="shared" si="1949"/>
        <v>0</v>
      </c>
      <c r="CW640" s="229">
        <f t="shared" si="1950"/>
        <v>0</v>
      </c>
      <c r="CX640" s="229">
        <f t="shared" si="1951"/>
        <v>0</v>
      </c>
      <c r="CY640" s="229">
        <f t="shared" si="1952"/>
        <v>0</v>
      </c>
      <c r="CZ640" s="229">
        <f t="shared" si="1953"/>
        <v>0</v>
      </c>
      <c r="DA640" s="229">
        <f t="shared" si="1954"/>
        <v>0</v>
      </c>
      <c r="DB640" s="228">
        <f t="shared" si="2045"/>
        <v>0</v>
      </c>
      <c r="DC640" s="229"/>
      <c r="DD640" s="229"/>
      <c r="DE640" s="229"/>
      <c r="DF640" s="229"/>
      <c r="DG640" s="229"/>
      <c r="DH640" s="229"/>
      <c r="DI640" s="229"/>
      <c r="DJ640" s="229"/>
      <c r="DK640" s="229"/>
      <c r="DL640" s="229"/>
      <c r="DM640" s="229"/>
      <c r="DN640" s="229"/>
      <c r="DO640" s="228">
        <f t="shared" si="2046"/>
        <v>0</v>
      </c>
      <c r="DP640" s="228">
        <f t="shared" si="2047"/>
        <v>0</v>
      </c>
      <c r="DQ640" s="229">
        <f t="shared" si="1955"/>
        <v>0</v>
      </c>
      <c r="DR640" s="229">
        <f t="shared" si="1956"/>
        <v>0</v>
      </c>
      <c r="DS640" s="229">
        <f t="shared" si="1957"/>
        <v>0</v>
      </c>
      <c r="DT640" s="229">
        <f t="shared" si="1958"/>
        <v>0</v>
      </c>
      <c r="DU640" s="229">
        <f t="shared" si="1959"/>
        <v>0</v>
      </c>
      <c r="DV640" s="229">
        <f t="shared" si="1960"/>
        <v>0</v>
      </c>
      <c r="DW640" s="229">
        <f t="shared" si="1961"/>
        <v>0</v>
      </c>
      <c r="DX640" s="228">
        <f t="shared" si="2048"/>
        <v>0</v>
      </c>
      <c r="DY640" s="229"/>
      <c r="DZ640" s="229"/>
      <c r="EA640" s="229"/>
      <c r="EB640" s="229"/>
      <c r="EC640" s="229"/>
      <c r="ED640" s="229"/>
      <c r="EE640" s="229"/>
      <c r="EF640" s="228">
        <f t="shared" si="1939"/>
        <v>0</v>
      </c>
      <c r="EG640" s="228">
        <f t="shared" si="2049"/>
        <v>0</v>
      </c>
      <c r="EH640" s="229">
        <f t="shared" si="1940"/>
        <v>0</v>
      </c>
      <c r="EI640" s="229">
        <v>68.88</v>
      </c>
      <c r="EJ640" s="228">
        <f>SUM(EH640:EI640)</f>
        <v>68.88</v>
      </c>
      <c r="EK640" s="229"/>
      <c r="EL640" s="229"/>
      <c r="EM640" s="228">
        <f t="shared" ref="EM640:EM664" si="2104">SUM(EK640:EL640)</f>
        <v>0</v>
      </c>
      <c r="EN640" s="229">
        <f t="shared" si="2086"/>
        <v>0</v>
      </c>
      <c r="EO640" s="229">
        <f t="shared" si="1983"/>
        <v>68.88</v>
      </c>
      <c r="EP640" s="228">
        <f>EM640+EJ640</f>
        <v>68.88</v>
      </c>
      <c r="EQ640" s="173">
        <f t="shared" si="1934"/>
        <v>0</v>
      </c>
      <c r="ER640" s="189">
        <v>0</v>
      </c>
      <c r="ES640" s="189">
        <v>0</v>
      </c>
      <c r="ET640" s="189">
        <v>0</v>
      </c>
      <c r="EU640" s="189">
        <v>0</v>
      </c>
      <c r="EV640" s="189">
        <v>0</v>
      </c>
      <c r="EW640" s="189">
        <v>0</v>
      </c>
      <c r="EX640" s="189">
        <v>0</v>
      </c>
      <c r="EY640" s="189">
        <v>0</v>
      </c>
      <c r="EZ640" s="189">
        <v>0</v>
      </c>
      <c r="FA640" s="189">
        <v>0</v>
      </c>
      <c r="FB640" s="189">
        <v>0</v>
      </c>
      <c r="FC640" s="189">
        <v>0</v>
      </c>
      <c r="FD640" s="189">
        <v>0</v>
      </c>
      <c r="FE640" s="189">
        <v>0</v>
      </c>
      <c r="FF640" s="189">
        <v>0</v>
      </c>
      <c r="FG640" s="189">
        <v>0</v>
      </c>
      <c r="FH640" s="189">
        <v>0</v>
      </c>
      <c r="FI640" s="189">
        <v>0</v>
      </c>
      <c r="FJ640" s="189">
        <v>0</v>
      </c>
      <c r="FK640" s="189">
        <v>0</v>
      </c>
      <c r="FL640" s="189">
        <v>0</v>
      </c>
      <c r="FN640" s="132">
        <v>0</v>
      </c>
    </row>
    <row r="641" spans="1:170" ht="28.5" customHeight="1">
      <c r="A641" s="88">
        <f>COUNTIF($H$12:H641,H641)</f>
        <v>1</v>
      </c>
      <c r="B641" s="88" t="s">
        <v>2277</v>
      </c>
      <c r="C641" s="88" t="s">
        <v>114</v>
      </c>
      <c r="D641" s="88"/>
      <c r="E641" s="88"/>
      <c r="F641" s="301" t="s">
        <v>1139</v>
      </c>
      <c r="G641" s="89" t="s">
        <v>2904</v>
      </c>
      <c r="H641" s="88">
        <v>13</v>
      </c>
      <c r="I641" s="88">
        <v>13</v>
      </c>
      <c r="J641" s="88">
        <v>13</v>
      </c>
      <c r="K641" s="90" t="s">
        <v>1617</v>
      </c>
      <c r="L641" s="90" t="s">
        <v>1617</v>
      </c>
      <c r="M641" s="214"/>
      <c r="N641" s="88" t="s">
        <v>1179</v>
      </c>
      <c r="O641" s="216">
        <f t="shared" si="2069"/>
        <v>3.33</v>
      </c>
      <c r="P641" s="88" t="str">
        <f t="shared" si="2090"/>
        <v>B11_4</v>
      </c>
      <c r="Q641" s="88">
        <f t="shared" si="1935"/>
        <v>270</v>
      </c>
      <c r="R641" s="88">
        <f t="shared" si="1936"/>
        <v>80</v>
      </c>
      <c r="S641" s="233"/>
      <c r="T641" s="88" t="s">
        <v>3088</v>
      </c>
      <c r="U641" s="88">
        <f>IF(RIGHT(T641,1)="K",(VLOOKUP(T641,ma_miengiam!$A$3:$B$80,2,0)*100)/2,VLOOKUP(T641,ma_miengiam!$A$3:$B$80,2,0)*100)</f>
        <v>0</v>
      </c>
      <c r="V641" s="88"/>
      <c r="W641" s="220">
        <f>IF(AND(T641="NTS",V641&gt;0),(Q641-(Q641*V641)/12)*VLOOKUP(T641,ma_miengiam!$A$3:$B$80,2,0)+(Q641-(Q641*(12-V641))/12),IF(AND(RIGHT(T641,1)="K",V641&gt;0),(VLOOKUP(T641,ma_miengiam!$A$3:$B$80,2,0)/2)*(Q641*V641)/12,IF(RIGHT(T641,1)="K",(VLOOKUP(T641,ma_miengiam!$A$3:$B$80,2,0)*Q641)/2,IF(V641&gt;0,VLOOKUP(T641,ma_miengiam!$A$3:$B$80,2,0)*Q641*V641/12,VLOOKUP(T641,ma_miengiam!$A$3:$B$80,2,0)*Q641))))</f>
        <v>0</v>
      </c>
      <c r="X641" s="220">
        <f>IF(T641="NTS",VLOOKUP(T641,ma_miengiam!$A$3:$B$80,2,0)*R641*V641,IF(AND(T641="NTS",V641=0),0,IF(AND(LEFT(T641,1)="K",V641=0),VLOOKUP(T641,ma_miengiam!$A$3:$B$80,2,0)*R641,IF(LEFT(T641,1)="K",(VLOOKUP(T641,ma_miengiam!$A$3:$B$80,2,0)*R641/12)*V641,IF(AND(LEFT(T641,1)="S",V641&gt;0),(R641/12)*V641,IF(AND(LEFT(T641,1)="S",V641=0),R641,IF(T641="DH",VLOOKUP(T641,ma_miengiam!$A$3:$B$80,2,0)*R641,0)))))))</f>
        <v>0</v>
      </c>
      <c r="Y641" s="220">
        <f t="shared" si="1963"/>
        <v>270</v>
      </c>
      <c r="Z641" s="220">
        <f t="shared" si="2065"/>
        <v>80</v>
      </c>
      <c r="AA641" s="220">
        <f t="shared" ref="AA641:AA646" si="2105">Q641</f>
        <v>270</v>
      </c>
      <c r="AB641" s="220">
        <f t="shared" ref="AB641:AB646" si="2106">R641</f>
        <v>80</v>
      </c>
      <c r="AC641" s="220">
        <f t="shared" ref="AC641:AC646" si="2107">W641</f>
        <v>0</v>
      </c>
      <c r="AD641" s="220">
        <f t="shared" ref="AD641:AD646" si="2108">X641</f>
        <v>0</v>
      </c>
      <c r="AE641" s="220">
        <f t="shared" ref="AE641:AE646" si="2109">Y641</f>
        <v>270</v>
      </c>
      <c r="AF641" s="220">
        <f t="shared" ref="AF641:AF646" si="2110">Z641</f>
        <v>80</v>
      </c>
      <c r="AG641" s="220">
        <f t="shared" si="2092"/>
        <v>204.58</v>
      </c>
      <c r="AH641" s="220">
        <f t="shared" si="2093"/>
        <v>14.58</v>
      </c>
      <c r="AI641" s="220">
        <f t="shared" si="2094"/>
        <v>190</v>
      </c>
      <c r="AJ641" s="220">
        <f t="shared" si="2101"/>
        <v>0</v>
      </c>
      <c r="AK641" s="216">
        <f t="shared" si="2051"/>
        <v>270</v>
      </c>
      <c r="AL641" s="220">
        <f t="shared" si="2024"/>
        <v>577.1</v>
      </c>
      <c r="AM641" s="220">
        <f t="shared" si="2025"/>
        <v>0</v>
      </c>
      <c r="AN641" s="221">
        <f t="shared" si="2026"/>
        <v>577.1</v>
      </c>
      <c r="AO641" s="220">
        <f t="shared" si="2027"/>
        <v>0</v>
      </c>
      <c r="AP641" s="220">
        <f t="shared" si="2028"/>
        <v>0</v>
      </c>
      <c r="AQ641" s="220">
        <f t="shared" si="2029"/>
        <v>0</v>
      </c>
      <c r="AR641" s="220">
        <f t="shared" si="2030"/>
        <v>0</v>
      </c>
      <c r="AS641" s="220">
        <f t="shared" si="2031"/>
        <v>0</v>
      </c>
      <c r="AT641" s="216">
        <f t="shared" si="2032"/>
        <v>577.1</v>
      </c>
      <c r="AU641" s="222">
        <f t="shared" si="1982"/>
        <v>307.10000000000002</v>
      </c>
      <c r="AV641" s="220"/>
      <c r="AW641" s="220">
        <f t="shared" si="2033"/>
        <v>307.10000000000002</v>
      </c>
      <c r="AX641" s="216">
        <f t="shared" si="2020"/>
        <v>0</v>
      </c>
      <c r="AY641" s="220">
        <f t="shared" si="2034"/>
        <v>0</v>
      </c>
      <c r="AZ641" s="220">
        <f t="shared" si="2035"/>
        <v>0</v>
      </c>
      <c r="BA641" s="220">
        <f t="shared" si="2036"/>
        <v>0</v>
      </c>
      <c r="BB641" s="220">
        <f t="shared" si="2037"/>
        <v>0</v>
      </c>
      <c r="BC641" s="220">
        <f t="shared" si="2038"/>
        <v>0</v>
      </c>
      <c r="BD641" s="216">
        <f t="shared" si="1987"/>
        <v>0</v>
      </c>
      <c r="BE641" s="220">
        <f t="shared" si="2039"/>
        <v>0</v>
      </c>
      <c r="BF641" s="220">
        <f t="shared" si="2040"/>
        <v>0</v>
      </c>
      <c r="BG641" s="220">
        <f t="shared" si="2041"/>
        <v>0</v>
      </c>
      <c r="BH641" s="220">
        <f t="shared" si="2042"/>
        <v>0</v>
      </c>
      <c r="BI641" s="220">
        <f t="shared" si="2043"/>
        <v>0</v>
      </c>
      <c r="BJ641" s="220" t="s">
        <v>1126</v>
      </c>
      <c r="BK641" s="220"/>
      <c r="BL641" s="223">
        <f t="shared" si="2005"/>
        <v>307.10000000000002</v>
      </c>
      <c r="BM641" s="220">
        <v>3.33</v>
      </c>
      <c r="BN641" s="220"/>
      <c r="BO641" s="220">
        <f t="shared" si="2067"/>
        <v>3.33</v>
      </c>
      <c r="BP641" s="220">
        <f>IF(AND(BL641&gt;0,BL641&lt;tiet!$D$1),BL641,IF(BL641&lt;=0,0,IF(BL641&gt;tiet!$C$1,tiet!$C$1)))</f>
        <v>200</v>
      </c>
      <c r="BQ641" s="87">
        <f t="shared" si="2102"/>
        <v>65000</v>
      </c>
      <c r="BR641" s="224">
        <f t="shared" si="2099"/>
        <v>13000000</v>
      </c>
      <c r="BS641" s="220">
        <f t="shared" si="1933"/>
        <v>107.10000000000002</v>
      </c>
      <c r="BT641" s="224">
        <f>VLOOKUP(N641,ma_dinhmuc!$A$1:$J$31,10,0)</f>
        <v>51000</v>
      </c>
      <c r="BU641" s="224">
        <f>ROUND(IF(BS641&gt;0,VLOOKUP(N641,ma_dinhmuc!$A$1:$J$31,10,0)*BS641,0),0)</f>
        <v>5462100</v>
      </c>
      <c r="BV641" s="224">
        <f t="shared" si="2100"/>
        <v>18462100</v>
      </c>
      <c r="BW641" s="224"/>
      <c r="BX641" s="224">
        <v>0</v>
      </c>
      <c r="BY641" s="224"/>
      <c r="BZ641" s="224"/>
      <c r="CA641" s="224"/>
      <c r="CB641" s="224"/>
      <c r="CC641" s="225">
        <f t="shared" si="1968"/>
        <v>18462100</v>
      </c>
      <c r="CD641" s="224">
        <f t="shared" si="1969"/>
        <v>0</v>
      </c>
      <c r="CE641" s="224"/>
      <c r="CF641" s="226"/>
      <c r="CG641" s="87"/>
      <c r="CH641" s="87">
        <f t="shared" si="2068"/>
        <v>1</v>
      </c>
      <c r="CI641" s="227" t="str">
        <f t="shared" si="2013"/>
        <v>Nguyễn Thị</v>
      </c>
      <c r="CJ641" s="227" t="str">
        <f t="shared" si="2014"/>
        <v>Hiển</v>
      </c>
      <c r="CK641" s="87">
        <f t="shared" si="2095"/>
        <v>13</v>
      </c>
      <c r="CL641" s="227" t="str">
        <f t="shared" si="2070"/>
        <v>Hoá học</v>
      </c>
      <c r="CM641" s="87" t="str">
        <f t="shared" si="2044"/>
        <v>CB2</v>
      </c>
      <c r="CN641" s="87">
        <f t="shared" si="2103"/>
        <v>270</v>
      </c>
      <c r="CO641" s="87">
        <f t="shared" si="2103"/>
        <v>80</v>
      </c>
      <c r="CP641" s="229">
        <f t="shared" si="1943"/>
        <v>0</v>
      </c>
      <c r="CQ641" s="229">
        <f t="shared" si="1944"/>
        <v>120</v>
      </c>
      <c r="CR641" s="229">
        <f t="shared" si="1945"/>
        <v>29.1</v>
      </c>
      <c r="CS641" s="229">
        <f t="shared" si="1946"/>
        <v>0</v>
      </c>
      <c r="CT641" s="229">
        <f t="shared" si="1947"/>
        <v>0</v>
      </c>
      <c r="CU641" s="229">
        <f t="shared" si="1948"/>
        <v>269</v>
      </c>
      <c r="CV641" s="229">
        <f t="shared" si="1949"/>
        <v>0</v>
      </c>
      <c r="CW641" s="229">
        <f t="shared" si="1950"/>
        <v>159</v>
      </c>
      <c r="CX641" s="229">
        <f t="shared" si="1951"/>
        <v>0</v>
      </c>
      <c r="CY641" s="229">
        <f t="shared" si="1952"/>
        <v>0</v>
      </c>
      <c r="CZ641" s="229">
        <f t="shared" si="1953"/>
        <v>0</v>
      </c>
      <c r="DA641" s="229">
        <f t="shared" si="1954"/>
        <v>0</v>
      </c>
      <c r="DB641" s="228">
        <f t="shared" si="2045"/>
        <v>577.1</v>
      </c>
      <c r="DC641" s="229"/>
      <c r="DD641" s="229"/>
      <c r="DE641" s="229"/>
      <c r="DF641" s="229"/>
      <c r="DG641" s="229"/>
      <c r="DH641" s="229"/>
      <c r="DI641" s="229"/>
      <c r="DJ641" s="229"/>
      <c r="DK641" s="229"/>
      <c r="DL641" s="229"/>
      <c r="DM641" s="229"/>
      <c r="DN641" s="229"/>
      <c r="DO641" s="228">
        <f t="shared" si="2046"/>
        <v>0</v>
      </c>
      <c r="DP641" s="228">
        <f t="shared" si="2047"/>
        <v>577.1</v>
      </c>
      <c r="DQ641" s="229">
        <f t="shared" si="1955"/>
        <v>0</v>
      </c>
      <c r="DR641" s="229">
        <f t="shared" si="1956"/>
        <v>0</v>
      </c>
      <c r="DS641" s="229">
        <f t="shared" si="1957"/>
        <v>0</v>
      </c>
      <c r="DT641" s="229">
        <f t="shared" si="1958"/>
        <v>0</v>
      </c>
      <c r="DU641" s="229">
        <f t="shared" si="1959"/>
        <v>0</v>
      </c>
      <c r="DV641" s="229">
        <f t="shared" si="1960"/>
        <v>0</v>
      </c>
      <c r="DW641" s="229">
        <f t="shared" si="1961"/>
        <v>0</v>
      </c>
      <c r="DX641" s="228">
        <f t="shared" si="2048"/>
        <v>0</v>
      </c>
      <c r="DY641" s="229"/>
      <c r="DZ641" s="229"/>
      <c r="EA641" s="229"/>
      <c r="EB641" s="229"/>
      <c r="EC641" s="229"/>
      <c r="ED641" s="229"/>
      <c r="EE641" s="229"/>
      <c r="EF641" s="228">
        <f t="shared" si="1939"/>
        <v>0</v>
      </c>
      <c r="EG641" s="228">
        <f t="shared" si="2049"/>
        <v>0</v>
      </c>
      <c r="EH641" s="229">
        <f t="shared" si="1940"/>
        <v>190</v>
      </c>
      <c r="EI641" s="229">
        <v>14.58</v>
      </c>
      <c r="EJ641" s="228">
        <f t="shared" si="2055"/>
        <v>204.58</v>
      </c>
      <c r="EK641" s="229"/>
      <c r="EL641" s="229"/>
      <c r="EM641" s="228">
        <f t="shared" si="2104"/>
        <v>0</v>
      </c>
      <c r="EN641" s="229">
        <f t="shared" si="2086"/>
        <v>190</v>
      </c>
      <c r="EO641" s="229">
        <f t="shared" si="1983"/>
        <v>14.58</v>
      </c>
      <c r="EP641" s="228">
        <f t="shared" si="2052"/>
        <v>204.58</v>
      </c>
      <c r="EQ641" s="173">
        <f t="shared" si="1934"/>
        <v>110</v>
      </c>
      <c r="ER641" s="189">
        <v>0</v>
      </c>
      <c r="ES641" s="189">
        <v>120</v>
      </c>
      <c r="ET641" s="189">
        <v>29.1</v>
      </c>
      <c r="EU641" s="189">
        <v>0</v>
      </c>
      <c r="EV641" s="189">
        <v>0</v>
      </c>
      <c r="EW641" s="189">
        <v>269</v>
      </c>
      <c r="EX641" s="189">
        <v>0</v>
      </c>
      <c r="EY641" s="189">
        <v>159</v>
      </c>
      <c r="EZ641" s="189">
        <v>0</v>
      </c>
      <c r="FA641" s="189">
        <v>0</v>
      </c>
      <c r="FB641" s="189">
        <v>0</v>
      </c>
      <c r="FC641" s="189">
        <v>0</v>
      </c>
      <c r="FD641" s="189">
        <v>0</v>
      </c>
      <c r="FE641" s="189">
        <v>0</v>
      </c>
      <c r="FF641" s="189">
        <v>0</v>
      </c>
      <c r="FG641" s="189">
        <v>0</v>
      </c>
      <c r="FH641" s="189">
        <v>0</v>
      </c>
      <c r="FI641" s="189">
        <v>0</v>
      </c>
      <c r="FJ641" s="189">
        <v>0</v>
      </c>
      <c r="FK641" s="189">
        <v>577.1</v>
      </c>
      <c r="FL641" s="189">
        <v>353</v>
      </c>
      <c r="FN641" s="132">
        <v>190</v>
      </c>
    </row>
    <row r="642" spans="1:170" ht="27" customHeight="1">
      <c r="A642" s="88">
        <f>COUNTIF($H$12:H642,H642)</f>
        <v>2</v>
      </c>
      <c r="B642" s="88" t="s">
        <v>2278</v>
      </c>
      <c r="C642" s="88" t="s">
        <v>115</v>
      </c>
      <c r="D642" s="88"/>
      <c r="E642" s="88"/>
      <c r="F642" s="301" t="s">
        <v>2906</v>
      </c>
      <c r="G642" s="89" t="s">
        <v>2985</v>
      </c>
      <c r="H642" s="88">
        <v>13</v>
      </c>
      <c r="I642" s="88">
        <v>13</v>
      </c>
      <c r="J642" s="88">
        <v>13</v>
      </c>
      <c r="K642" s="90" t="s">
        <v>1617</v>
      </c>
      <c r="L642" s="90" t="s">
        <v>1617</v>
      </c>
      <c r="M642" s="214"/>
      <c r="N642" s="88" t="s">
        <v>1179</v>
      </c>
      <c r="O642" s="216">
        <f>BO642</f>
        <v>3.99</v>
      </c>
      <c r="P642" s="88" t="str">
        <f t="shared" si="2090"/>
        <v>B11_4</v>
      </c>
      <c r="Q642" s="88">
        <f t="shared" si="1935"/>
        <v>270</v>
      </c>
      <c r="R642" s="88">
        <f t="shared" si="1936"/>
        <v>80</v>
      </c>
      <c r="S642" s="233"/>
      <c r="T642" s="88" t="s">
        <v>3088</v>
      </c>
      <c r="U642" s="88">
        <f>IF(RIGHT(T642,1)="K",(VLOOKUP(T642,ma_miengiam!$A$3:$B$80,2,0)*100)/2,VLOOKUP(T642,ma_miengiam!$A$3:$B$80,2,0)*100)</f>
        <v>0</v>
      </c>
      <c r="V642" s="88"/>
      <c r="W642" s="220">
        <f>IF(AND(T642="NTS",V642&gt;0),(Q642-(Q642*V642)/12)*VLOOKUP(T642,ma_miengiam!$A$3:$B$80,2,0)+(Q642-(Q642*(12-V642))/12),IF(AND(RIGHT(T642,1)="K",V642&gt;0),(VLOOKUP(T642,ma_miengiam!$A$3:$B$80,2,0)/2)*(Q642*V642)/12,IF(RIGHT(T642,1)="K",(VLOOKUP(T642,ma_miengiam!$A$3:$B$80,2,0)*Q642)/2,IF(V642&gt;0,VLOOKUP(T642,ma_miengiam!$A$3:$B$80,2,0)*Q642*V642/12,VLOOKUP(T642,ma_miengiam!$A$3:$B$80,2,0)*Q642))))</f>
        <v>0</v>
      </c>
      <c r="X642" s="220">
        <f>IF(T642="NTS",VLOOKUP(T642,ma_miengiam!$A$3:$B$80,2,0)*R642*V642,IF(AND(T642="NTS",V642=0),0,IF(AND(LEFT(T642,1)="K",V642=0),VLOOKUP(T642,ma_miengiam!$A$3:$B$80,2,0)*R642,IF(LEFT(T642,1)="K",(VLOOKUP(T642,ma_miengiam!$A$3:$B$80,2,0)*R642/12)*V642,IF(AND(LEFT(T642,1)="S",V642&gt;0),(R642/12)*V642,IF(AND(LEFT(T642,1)="S",V642=0),R642,IF(T642="DH",VLOOKUP(T642,ma_miengiam!$A$3:$B$80,2,0)*R642,0)))))))</f>
        <v>0</v>
      </c>
      <c r="Y642" s="220">
        <f t="shared" si="1963"/>
        <v>270</v>
      </c>
      <c r="Z642" s="220">
        <f>IF(AND(T642="SĐH",V642&gt;0),(R642/12)*V642-X642,IF(AND(T642="DH",V642&gt;0),(R642*V642/12),IF(AND(T642&lt;&gt;"NTS",V642&gt;0),(R642*V642/12)-X642,IF(AND(T642="NTS",V642&gt;0),R642-X642,R642-X642))))</f>
        <v>80</v>
      </c>
      <c r="AA642" s="220">
        <f>Q642</f>
        <v>270</v>
      </c>
      <c r="AB642" s="220">
        <f>R642</f>
        <v>80</v>
      </c>
      <c r="AC642" s="220">
        <f>W642</f>
        <v>0</v>
      </c>
      <c r="AD642" s="220">
        <f>X642</f>
        <v>0</v>
      </c>
      <c r="AE642" s="220">
        <f>Y642</f>
        <v>270</v>
      </c>
      <c r="AF642" s="220">
        <f>Z642</f>
        <v>80</v>
      </c>
      <c r="AG642" s="220">
        <f>AH642+AI642</f>
        <v>131.12</v>
      </c>
      <c r="AH642" s="220">
        <f>EO642</f>
        <v>19.45</v>
      </c>
      <c r="AI642" s="220">
        <f>EN642</f>
        <v>111.67</v>
      </c>
      <c r="AJ642" s="220">
        <f>IF(AG642-Z642&gt;0,0,AG642-Z642)</f>
        <v>0</v>
      </c>
      <c r="AK642" s="216">
        <f t="shared" si="2051"/>
        <v>270</v>
      </c>
      <c r="AL642" s="220">
        <f t="shared" si="2024"/>
        <v>244</v>
      </c>
      <c r="AM642" s="220">
        <f t="shared" si="2025"/>
        <v>0</v>
      </c>
      <c r="AN642" s="221">
        <f t="shared" si="2026"/>
        <v>244</v>
      </c>
      <c r="AO642" s="220">
        <f t="shared" si="2027"/>
        <v>0</v>
      </c>
      <c r="AP642" s="220">
        <f t="shared" si="2028"/>
        <v>0</v>
      </c>
      <c r="AQ642" s="220">
        <f t="shared" si="2029"/>
        <v>6</v>
      </c>
      <c r="AR642" s="220">
        <f t="shared" si="2030"/>
        <v>0</v>
      </c>
      <c r="AS642" s="220">
        <f t="shared" si="2031"/>
        <v>0</v>
      </c>
      <c r="AT642" s="216">
        <f t="shared" si="2032"/>
        <v>250</v>
      </c>
      <c r="AU642" s="222">
        <f t="shared" si="1982"/>
        <v>-26</v>
      </c>
      <c r="AV642" s="220"/>
      <c r="AW642" s="220">
        <f t="shared" si="2033"/>
        <v>-26</v>
      </c>
      <c r="AX642" s="216">
        <f t="shared" si="2020"/>
        <v>-26</v>
      </c>
      <c r="AY642" s="220">
        <f t="shared" si="2034"/>
        <v>0</v>
      </c>
      <c r="AZ642" s="220">
        <f t="shared" si="2035"/>
        <v>0</v>
      </c>
      <c r="BA642" s="220">
        <f t="shared" si="2036"/>
        <v>0</v>
      </c>
      <c r="BB642" s="220">
        <f t="shared" si="2037"/>
        <v>0</v>
      </c>
      <c r="BC642" s="220">
        <f t="shared" si="2038"/>
        <v>0</v>
      </c>
      <c r="BD642" s="216">
        <f t="shared" si="1987"/>
        <v>0</v>
      </c>
      <c r="BE642" s="220">
        <f t="shared" si="2039"/>
        <v>0</v>
      </c>
      <c r="BF642" s="220">
        <f t="shared" si="2040"/>
        <v>0</v>
      </c>
      <c r="BG642" s="220">
        <f t="shared" si="2041"/>
        <v>-6</v>
      </c>
      <c r="BH642" s="220">
        <f t="shared" si="2042"/>
        <v>0</v>
      </c>
      <c r="BI642" s="220">
        <f t="shared" si="2043"/>
        <v>0</v>
      </c>
      <c r="BJ642" s="220" t="s">
        <v>1126</v>
      </c>
      <c r="BK642" s="220"/>
      <c r="BL642" s="223">
        <f t="shared" si="2005"/>
        <v>0</v>
      </c>
      <c r="BM642" s="220">
        <v>3.99</v>
      </c>
      <c r="BN642" s="220"/>
      <c r="BO642" s="220">
        <f>ROUND(BM642+(BM642*BN642),2)</f>
        <v>3.99</v>
      </c>
      <c r="BP642" s="220">
        <f>IF(AND(BL642&gt;0,BL642&lt;tiet!$D$1),BL642,IF(BL642&lt;=0,0,IF(BL642&gt;tiet!$C$1,tiet!$C$1)))</f>
        <v>0</v>
      </c>
      <c r="BQ642" s="87">
        <f>VLOOKUP(P642,ma_dinhmuc_moi,4,0)</f>
        <v>65000</v>
      </c>
      <c r="BR642" s="224">
        <f>ROUND(BQ642*BP642,0)</f>
        <v>0</v>
      </c>
      <c r="BS642" s="220">
        <f t="shared" si="1933"/>
        <v>0</v>
      </c>
      <c r="BT642" s="224">
        <f>VLOOKUP(N642,ma_dinhmuc!$A$1:$J$31,10,0)</f>
        <v>51000</v>
      </c>
      <c r="BU642" s="224">
        <f>ROUND(IF(BS642&gt;0,VLOOKUP(N642,ma_dinhmuc!$A$1:$J$31,10,0)*BS642,0),0)</f>
        <v>0</v>
      </c>
      <c r="BV642" s="224">
        <f>ROUND(BU642+BR642,0)</f>
        <v>0</v>
      </c>
      <c r="BW642" s="224"/>
      <c r="BX642" s="224">
        <v>0</v>
      </c>
      <c r="BY642" s="224"/>
      <c r="BZ642" s="224"/>
      <c r="CA642" s="224"/>
      <c r="CB642" s="224"/>
      <c r="CC642" s="225">
        <f>ROUND(IF(BV642+BW642&gt;BX642+BY642+BZ642+CA642+CB642,(BW642+BV642)-(BX642+BY642+BZ642+CA642+CB642+CB642),0),0)</f>
        <v>0</v>
      </c>
      <c r="CD642" s="224">
        <f>ROUND(IF(BV642+BW642&lt;BX642+BY642+BZ642+CA642-CB642,(BX642+BY642+BZ642+CA642-CB642)-(BW642+BV642),0),0)</f>
        <v>0</v>
      </c>
      <c r="CE642" s="224"/>
      <c r="CF642" s="226"/>
      <c r="CG642" s="87"/>
      <c r="CH642" s="87">
        <f>A642</f>
        <v>2</v>
      </c>
      <c r="CI642" s="227" t="str">
        <f>F642</f>
        <v>Đoàn Thị Thuý</v>
      </c>
      <c r="CJ642" s="227" t="str">
        <f>G642</f>
        <v>Ái</v>
      </c>
      <c r="CK642" s="87">
        <f t="shared" si="2095"/>
        <v>13</v>
      </c>
      <c r="CL642" s="227" t="str">
        <f t="shared" si="2070"/>
        <v>Hoá học</v>
      </c>
      <c r="CM642" s="87" t="str">
        <f t="shared" si="2044"/>
        <v>CB2</v>
      </c>
      <c r="CN642" s="87">
        <f t="shared" si="2103"/>
        <v>270</v>
      </c>
      <c r="CO642" s="87">
        <f t="shared" si="2103"/>
        <v>80</v>
      </c>
      <c r="CP642" s="229">
        <f t="shared" si="1943"/>
        <v>0</v>
      </c>
      <c r="CQ642" s="229">
        <f t="shared" si="1944"/>
        <v>23.4</v>
      </c>
      <c r="CR642" s="229">
        <f t="shared" si="1945"/>
        <v>9.5</v>
      </c>
      <c r="CS642" s="229">
        <f t="shared" si="1946"/>
        <v>0</v>
      </c>
      <c r="CT642" s="229">
        <f t="shared" si="1947"/>
        <v>0</v>
      </c>
      <c r="CU642" s="229">
        <f t="shared" si="1948"/>
        <v>75.099999999999994</v>
      </c>
      <c r="CV642" s="229">
        <f t="shared" si="1949"/>
        <v>0</v>
      </c>
      <c r="CW642" s="229">
        <f t="shared" si="1950"/>
        <v>136</v>
      </c>
      <c r="CX642" s="229">
        <f t="shared" si="1951"/>
        <v>0</v>
      </c>
      <c r="CY642" s="229">
        <f t="shared" si="1952"/>
        <v>0</v>
      </c>
      <c r="CZ642" s="229">
        <f t="shared" si="1953"/>
        <v>0</v>
      </c>
      <c r="DA642" s="229">
        <f t="shared" si="1954"/>
        <v>6</v>
      </c>
      <c r="DB642" s="228">
        <f t="shared" si="2045"/>
        <v>250</v>
      </c>
      <c r="DC642" s="229"/>
      <c r="DD642" s="229"/>
      <c r="DE642" s="229"/>
      <c r="DF642" s="229"/>
      <c r="DG642" s="229"/>
      <c r="DH642" s="229"/>
      <c r="DI642" s="229"/>
      <c r="DJ642" s="229"/>
      <c r="DK642" s="229"/>
      <c r="DL642" s="229"/>
      <c r="DM642" s="229"/>
      <c r="DN642" s="229"/>
      <c r="DO642" s="228">
        <f t="shared" si="2046"/>
        <v>0</v>
      </c>
      <c r="DP642" s="228">
        <f t="shared" si="2047"/>
        <v>250</v>
      </c>
      <c r="DQ642" s="229">
        <f t="shared" si="1955"/>
        <v>0</v>
      </c>
      <c r="DR642" s="229">
        <f t="shared" si="1956"/>
        <v>0</v>
      </c>
      <c r="DS642" s="229">
        <f t="shared" si="1957"/>
        <v>0</v>
      </c>
      <c r="DT642" s="229">
        <f t="shared" si="1958"/>
        <v>0</v>
      </c>
      <c r="DU642" s="229">
        <f t="shared" si="1959"/>
        <v>0</v>
      </c>
      <c r="DV642" s="229">
        <f t="shared" si="1960"/>
        <v>0</v>
      </c>
      <c r="DW642" s="229">
        <f t="shared" si="1961"/>
        <v>0</v>
      </c>
      <c r="DX642" s="228">
        <f t="shared" si="2048"/>
        <v>0</v>
      </c>
      <c r="DY642" s="229"/>
      <c r="DZ642" s="229"/>
      <c r="EA642" s="229"/>
      <c r="EB642" s="229"/>
      <c r="EC642" s="229"/>
      <c r="ED642" s="229"/>
      <c r="EE642" s="229"/>
      <c r="EF642" s="228">
        <f t="shared" si="1939"/>
        <v>0</v>
      </c>
      <c r="EG642" s="228">
        <f t="shared" si="2049"/>
        <v>0</v>
      </c>
      <c r="EH642" s="229">
        <f t="shared" si="1940"/>
        <v>111.67</v>
      </c>
      <c r="EI642" s="229">
        <v>19.45</v>
      </c>
      <c r="EJ642" s="228">
        <f>SUM(EH642:EI642)</f>
        <v>131.12</v>
      </c>
      <c r="EK642" s="229"/>
      <c r="EL642" s="229"/>
      <c r="EM642" s="228">
        <f t="shared" si="2104"/>
        <v>0</v>
      </c>
      <c r="EN642" s="229">
        <f t="shared" si="2086"/>
        <v>111.67</v>
      </c>
      <c r="EO642" s="229">
        <f t="shared" si="1983"/>
        <v>19.45</v>
      </c>
      <c r="EP642" s="228">
        <f>EM642+EJ642</f>
        <v>131.12</v>
      </c>
      <c r="EQ642" s="173">
        <f t="shared" si="1934"/>
        <v>31.67</v>
      </c>
      <c r="ER642" s="189">
        <v>0</v>
      </c>
      <c r="ES642" s="189">
        <v>23.4</v>
      </c>
      <c r="ET642" s="189">
        <v>9.5</v>
      </c>
      <c r="EU642" s="189">
        <v>0</v>
      </c>
      <c r="EV642" s="189">
        <v>0</v>
      </c>
      <c r="EW642" s="189">
        <v>75.099999999999994</v>
      </c>
      <c r="EX642" s="189">
        <v>0</v>
      </c>
      <c r="EY642" s="189">
        <v>136</v>
      </c>
      <c r="EZ642" s="189">
        <v>0</v>
      </c>
      <c r="FA642" s="189">
        <v>0</v>
      </c>
      <c r="FB642" s="189">
        <v>0</v>
      </c>
      <c r="FC642" s="189">
        <v>6</v>
      </c>
      <c r="FD642" s="189">
        <v>0</v>
      </c>
      <c r="FE642" s="189">
        <v>0</v>
      </c>
      <c r="FF642" s="189">
        <v>0</v>
      </c>
      <c r="FG642" s="189">
        <v>0</v>
      </c>
      <c r="FH642" s="189">
        <v>0</v>
      </c>
      <c r="FI642" s="189">
        <v>0</v>
      </c>
      <c r="FJ642" s="189">
        <v>0</v>
      </c>
      <c r="FK642" s="189">
        <v>250</v>
      </c>
      <c r="FL642" s="189">
        <v>198</v>
      </c>
      <c r="FN642" s="132">
        <v>111.67</v>
      </c>
    </row>
    <row r="643" spans="1:170" ht="30" customHeight="1">
      <c r="A643" s="88">
        <f>COUNTIF($H$12:H643,H643)</f>
        <v>3</v>
      </c>
      <c r="B643" s="88" t="s">
        <v>2279</v>
      </c>
      <c r="C643" s="88" t="s">
        <v>116</v>
      </c>
      <c r="D643" s="88"/>
      <c r="E643" s="88"/>
      <c r="F643" s="301" t="s">
        <v>1877</v>
      </c>
      <c r="G643" s="89" t="s">
        <v>1161</v>
      </c>
      <c r="H643" s="88">
        <v>13</v>
      </c>
      <c r="I643" s="88">
        <v>13</v>
      </c>
      <c r="J643" s="88">
        <v>13</v>
      </c>
      <c r="K643" s="90" t="s">
        <v>1617</v>
      </c>
      <c r="L643" s="90" t="s">
        <v>1617</v>
      </c>
      <c r="M643" s="214"/>
      <c r="N643" s="88" t="s">
        <v>1179</v>
      </c>
      <c r="O643" s="216">
        <f t="shared" si="2069"/>
        <v>3.66</v>
      </c>
      <c r="P643" s="88" t="str">
        <f t="shared" si="2090"/>
        <v>B11_4</v>
      </c>
      <c r="Q643" s="88">
        <f t="shared" si="1935"/>
        <v>270</v>
      </c>
      <c r="R643" s="88">
        <f t="shared" si="1936"/>
        <v>80</v>
      </c>
      <c r="S643" s="233"/>
      <c r="T643" s="88" t="s">
        <v>3088</v>
      </c>
      <c r="U643" s="88">
        <f>IF(RIGHT(T643,1)="K",(VLOOKUP(T643,ma_miengiam!$A$3:$B$80,2,0)*100)/2,VLOOKUP(T643,ma_miengiam!$A$3:$B$80,2,0)*100)</f>
        <v>0</v>
      </c>
      <c r="V643" s="88"/>
      <c r="W643" s="220">
        <f>IF(AND(T643="NTS",V643&gt;0),(Q643-(Q643*V643)/12)*VLOOKUP(T643,ma_miengiam!$A$3:$B$80,2,0)+(Q643-(Q643*(12-V643))/12),IF(AND(RIGHT(T643,1)="K",V643&gt;0),(VLOOKUP(T643,ma_miengiam!$A$3:$B$80,2,0)/2)*(Q643*V643)/12,IF(RIGHT(T643,1)="K",(VLOOKUP(T643,ma_miengiam!$A$3:$B$80,2,0)*Q643)/2,IF(V643&gt;0,VLOOKUP(T643,ma_miengiam!$A$3:$B$80,2,0)*Q643*V643/12,VLOOKUP(T643,ma_miengiam!$A$3:$B$80,2,0)*Q643))))</f>
        <v>0</v>
      </c>
      <c r="X643" s="220">
        <f>IF(T643="NTS",VLOOKUP(T643,ma_miengiam!$A$3:$B$80,2,0)*R643*V643,IF(AND(T643="NTS",V643=0),0,IF(AND(LEFT(T643,1)="K",V643=0),VLOOKUP(T643,ma_miengiam!$A$3:$B$80,2,0)*R643,IF(LEFT(T643,1)="K",(VLOOKUP(T643,ma_miengiam!$A$3:$B$80,2,0)*R643/12)*V643,IF(AND(LEFT(T643,1)="S",V643&gt;0),(R643/12)*V643,IF(AND(LEFT(T643,1)="S",V643=0),R643,IF(T643="DH",VLOOKUP(T643,ma_miengiam!$A$3:$B$80,2,0)*R643,0)))))))</f>
        <v>0</v>
      </c>
      <c r="Y643" s="220">
        <f t="shared" si="1963"/>
        <v>270</v>
      </c>
      <c r="Z643" s="220">
        <f t="shared" si="2065"/>
        <v>80</v>
      </c>
      <c r="AA643" s="220">
        <f t="shared" si="2105"/>
        <v>270</v>
      </c>
      <c r="AB643" s="220">
        <f t="shared" si="2106"/>
        <v>80</v>
      </c>
      <c r="AC643" s="220">
        <f t="shared" si="2107"/>
        <v>0</v>
      </c>
      <c r="AD643" s="220">
        <f t="shared" si="2108"/>
        <v>0</v>
      </c>
      <c r="AE643" s="220">
        <f t="shared" si="2109"/>
        <v>270</v>
      </c>
      <c r="AF643" s="220">
        <f t="shared" si="2110"/>
        <v>80</v>
      </c>
      <c r="AG643" s="220">
        <f t="shared" si="2092"/>
        <v>95</v>
      </c>
      <c r="AH643" s="220">
        <f t="shared" si="2093"/>
        <v>5</v>
      </c>
      <c r="AI643" s="220">
        <f t="shared" si="2094"/>
        <v>90</v>
      </c>
      <c r="AJ643" s="220">
        <f t="shared" si="2101"/>
        <v>0</v>
      </c>
      <c r="AK643" s="216">
        <f t="shared" si="2051"/>
        <v>270</v>
      </c>
      <c r="AL643" s="220">
        <f t="shared" si="2024"/>
        <v>227.8</v>
      </c>
      <c r="AM643" s="220">
        <f t="shared" si="2025"/>
        <v>0</v>
      </c>
      <c r="AN643" s="221">
        <f t="shared" si="2026"/>
        <v>227.8</v>
      </c>
      <c r="AO643" s="220">
        <f t="shared" si="2027"/>
        <v>0</v>
      </c>
      <c r="AP643" s="220">
        <f t="shared" si="2028"/>
        <v>0</v>
      </c>
      <c r="AQ643" s="220">
        <f t="shared" si="2029"/>
        <v>0</v>
      </c>
      <c r="AR643" s="220">
        <f t="shared" si="2030"/>
        <v>0</v>
      </c>
      <c r="AS643" s="220">
        <f t="shared" si="2031"/>
        <v>0</v>
      </c>
      <c r="AT643" s="216">
        <f t="shared" si="2032"/>
        <v>227.8</v>
      </c>
      <c r="AU643" s="222">
        <f t="shared" si="1982"/>
        <v>-42.199999999999989</v>
      </c>
      <c r="AV643" s="220"/>
      <c r="AW643" s="220">
        <f t="shared" si="2033"/>
        <v>-42.199999999999989</v>
      </c>
      <c r="AX643" s="216">
        <f t="shared" si="2020"/>
        <v>-42.199999999999989</v>
      </c>
      <c r="AY643" s="220">
        <f t="shared" si="2034"/>
        <v>0</v>
      </c>
      <c r="AZ643" s="220">
        <f t="shared" si="2035"/>
        <v>0</v>
      </c>
      <c r="BA643" s="220">
        <f t="shared" si="2036"/>
        <v>0</v>
      </c>
      <c r="BB643" s="220">
        <f t="shared" si="2037"/>
        <v>0</v>
      </c>
      <c r="BC643" s="220">
        <f t="shared" si="2038"/>
        <v>0</v>
      </c>
      <c r="BD643" s="216">
        <f t="shared" si="1987"/>
        <v>0</v>
      </c>
      <c r="BE643" s="220">
        <f t="shared" si="2039"/>
        <v>0</v>
      </c>
      <c r="BF643" s="220">
        <f t="shared" si="2040"/>
        <v>0</v>
      </c>
      <c r="BG643" s="220">
        <f t="shared" si="2041"/>
        <v>0</v>
      </c>
      <c r="BH643" s="220">
        <f t="shared" si="2042"/>
        <v>0</v>
      </c>
      <c r="BI643" s="220">
        <f t="shared" si="2043"/>
        <v>0</v>
      </c>
      <c r="BJ643" s="220" t="s">
        <v>1126</v>
      </c>
      <c r="BK643" s="220"/>
      <c r="BL643" s="223">
        <f t="shared" si="2005"/>
        <v>0</v>
      </c>
      <c r="BM643" s="220">
        <v>3.66</v>
      </c>
      <c r="BN643" s="220"/>
      <c r="BO643" s="220">
        <f t="shared" si="2067"/>
        <v>3.66</v>
      </c>
      <c r="BP643" s="220">
        <f>IF(AND(BL643&gt;0,BL643&lt;tiet!$D$1),BL643,IF(BL643&lt;=0,0,IF(BL643&gt;tiet!$C$1,tiet!$C$1)))</f>
        <v>0</v>
      </c>
      <c r="BQ643" s="87">
        <f t="shared" si="2102"/>
        <v>65000</v>
      </c>
      <c r="BR643" s="224">
        <f t="shared" si="2099"/>
        <v>0</v>
      </c>
      <c r="BS643" s="220">
        <f t="shared" si="1933"/>
        <v>0</v>
      </c>
      <c r="BT643" s="224">
        <f>VLOOKUP(N643,ma_dinhmuc!$A$1:$J$31,10,0)</f>
        <v>51000</v>
      </c>
      <c r="BU643" s="224">
        <f>ROUND(IF(BS643&gt;0,VLOOKUP(N643,ma_dinhmuc!$A$1:$J$31,10,0)*BS643,0),0)</f>
        <v>0</v>
      </c>
      <c r="BV643" s="224">
        <f t="shared" si="2100"/>
        <v>0</v>
      </c>
      <c r="BW643" s="224"/>
      <c r="BX643" s="224">
        <v>0</v>
      </c>
      <c r="BY643" s="224"/>
      <c r="BZ643" s="224"/>
      <c r="CA643" s="224"/>
      <c r="CB643" s="224"/>
      <c r="CC643" s="225">
        <f t="shared" si="1968"/>
        <v>0</v>
      </c>
      <c r="CD643" s="224">
        <f t="shared" si="1969"/>
        <v>0</v>
      </c>
      <c r="CE643" s="224"/>
      <c r="CF643" s="226"/>
      <c r="CG643" s="87"/>
      <c r="CH643" s="87">
        <f t="shared" si="2068"/>
        <v>3</v>
      </c>
      <c r="CI643" s="227" t="str">
        <f t="shared" si="2013"/>
        <v>Nguyễn Ngọc</v>
      </c>
      <c r="CJ643" s="227" t="str">
        <f t="shared" si="2014"/>
        <v>Kiên</v>
      </c>
      <c r="CK643" s="87">
        <f t="shared" si="2095"/>
        <v>13</v>
      </c>
      <c r="CL643" s="227" t="str">
        <f t="shared" si="2070"/>
        <v>Hoá học</v>
      </c>
      <c r="CM643" s="87" t="str">
        <f t="shared" si="2044"/>
        <v>CB2</v>
      </c>
      <c r="CN643" s="87">
        <f t="shared" si="2103"/>
        <v>270</v>
      </c>
      <c r="CO643" s="87">
        <f t="shared" si="2103"/>
        <v>80</v>
      </c>
      <c r="CP643" s="229">
        <f t="shared" si="1943"/>
        <v>0</v>
      </c>
      <c r="CQ643" s="229">
        <f t="shared" si="1944"/>
        <v>19</v>
      </c>
      <c r="CR643" s="229">
        <f t="shared" si="1945"/>
        <v>7.7</v>
      </c>
      <c r="CS643" s="229">
        <f t="shared" si="1946"/>
        <v>0</v>
      </c>
      <c r="CT643" s="229">
        <f t="shared" si="1947"/>
        <v>0</v>
      </c>
      <c r="CU643" s="229">
        <f t="shared" si="1948"/>
        <v>69.099999999999994</v>
      </c>
      <c r="CV643" s="229">
        <f t="shared" si="1949"/>
        <v>0</v>
      </c>
      <c r="CW643" s="229">
        <f t="shared" si="1950"/>
        <v>132</v>
      </c>
      <c r="CX643" s="229">
        <f t="shared" si="1951"/>
        <v>0</v>
      </c>
      <c r="CY643" s="229">
        <f t="shared" si="1952"/>
        <v>0</v>
      </c>
      <c r="CZ643" s="229">
        <f t="shared" si="1953"/>
        <v>0</v>
      </c>
      <c r="DA643" s="229">
        <f t="shared" si="1954"/>
        <v>0</v>
      </c>
      <c r="DB643" s="228">
        <f t="shared" si="2045"/>
        <v>227.8</v>
      </c>
      <c r="DC643" s="229"/>
      <c r="DD643" s="229"/>
      <c r="DE643" s="229"/>
      <c r="DF643" s="229"/>
      <c r="DG643" s="229"/>
      <c r="DH643" s="229"/>
      <c r="DI643" s="229"/>
      <c r="DJ643" s="229"/>
      <c r="DK643" s="229"/>
      <c r="DL643" s="229"/>
      <c r="DM643" s="229"/>
      <c r="DN643" s="229"/>
      <c r="DO643" s="228">
        <f t="shared" si="2046"/>
        <v>0</v>
      </c>
      <c r="DP643" s="228">
        <f t="shared" si="2047"/>
        <v>227.8</v>
      </c>
      <c r="DQ643" s="229">
        <f t="shared" si="1955"/>
        <v>0</v>
      </c>
      <c r="DR643" s="229">
        <f t="shared" si="1956"/>
        <v>0</v>
      </c>
      <c r="DS643" s="229">
        <f t="shared" si="1957"/>
        <v>0</v>
      </c>
      <c r="DT643" s="229">
        <f t="shared" si="1958"/>
        <v>0</v>
      </c>
      <c r="DU643" s="229">
        <f t="shared" si="1959"/>
        <v>0</v>
      </c>
      <c r="DV643" s="229">
        <f t="shared" si="1960"/>
        <v>0</v>
      </c>
      <c r="DW643" s="229">
        <f t="shared" si="1961"/>
        <v>0</v>
      </c>
      <c r="DX643" s="228">
        <f t="shared" si="2048"/>
        <v>0</v>
      </c>
      <c r="DY643" s="229"/>
      <c r="DZ643" s="229"/>
      <c r="EA643" s="229"/>
      <c r="EB643" s="229"/>
      <c r="EC643" s="229"/>
      <c r="ED643" s="229"/>
      <c r="EE643" s="229"/>
      <c r="EF643" s="228">
        <f t="shared" si="1939"/>
        <v>0</v>
      </c>
      <c r="EG643" s="228">
        <f t="shared" si="2049"/>
        <v>0</v>
      </c>
      <c r="EH643" s="229">
        <f t="shared" si="1940"/>
        <v>90</v>
      </c>
      <c r="EI643" s="229">
        <v>5</v>
      </c>
      <c r="EJ643" s="228">
        <f t="shared" si="2055"/>
        <v>95</v>
      </c>
      <c r="EK643" s="229"/>
      <c r="EL643" s="229"/>
      <c r="EM643" s="228">
        <f t="shared" si="2104"/>
        <v>0</v>
      </c>
      <c r="EN643" s="229">
        <f t="shared" si="2086"/>
        <v>90</v>
      </c>
      <c r="EO643" s="229">
        <f t="shared" si="1983"/>
        <v>5</v>
      </c>
      <c r="EP643" s="228">
        <f t="shared" si="2052"/>
        <v>95</v>
      </c>
      <c r="EQ643" s="173">
        <f t="shared" si="1934"/>
        <v>10</v>
      </c>
      <c r="ER643" s="189">
        <v>0</v>
      </c>
      <c r="ES643" s="189">
        <v>19</v>
      </c>
      <c r="ET643" s="189">
        <v>7.7</v>
      </c>
      <c r="EU643" s="189">
        <v>0</v>
      </c>
      <c r="EV643" s="189">
        <v>0</v>
      </c>
      <c r="EW643" s="189">
        <v>69.099999999999994</v>
      </c>
      <c r="EX643" s="189">
        <v>0</v>
      </c>
      <c r="EY643" s="189">
        <v>132</v>
      </c>
      <c r="EZ643" s="189">
        <v>0</v>
      </c>
      <c r="FA643" s="189">
        <v>0</v>
      </c>
      <c r="FB643" s="189">
        <v>0</v>
      </c>
      <c r="FC643" s="189">
        <v>0</v>
      </c>
      <c r="FD643" s="189">
        <v>0</v>
      </c>
      <c r="FE643" s="189">
        <v>0</v>
      </c>
      <c r="FF643" s="189">
        <v>0</v>
      </c>
      <c r="FG643" s="189">
        <v>0</v>
      </c>
      <c r="FH643" s="189">
        <v>0</v>
      </c>
      <c r="FI643" s="189">
        <v>0</v>
      </c>
      <c r="FJ643" s="189">
        <v>0</v>
      </c>
      <c r="FK643" s="189">
        <v>227.8</v>
      </c>
      <c r="FL643" s="189">
        <v>200</v>
      </c>
      <c r="FN643" s="132">
        <v>90</v>
      </c>
    </row>
    <row r="644" spans="1:170" ht="33" customHeight="1">
      <c r="A644" s="88">
        <f>COUNTIF($H$12:H644,H644)</f>
        <v>4</v>
      </c>
      <c r="B644" s="88" t="s">
        <v>2144</v>
      </c>
      <c r="C644" s="88" t="s">
        <v>117</v>
      </c>
      <c r="D644" s="88"/>
      <c r="E644" s="88"/>
      <c r="F644" s="301" t="s">
        <v>2406</v>
      </c>
      <c r="G644" s="89" t="s">
        <v>1600</v>
      </c>
      <c r="H644" s="88">
        <v>13</v>
      </c>
      <c r="I644" s="88">
        <v>13</v>
      </c>
      <c r="J644" s="88">
        <v>13</v>
      </c>
      <c r="K644" s="90" t="s">
        <v>1617</v>
      </c>
      <c r="L644" s="90" t="s">
        <v>1617</v>
      </c>
      <c r="M644" s="214"/>
      <c r="N644" s="88" t="s">
        <v>1037</v>
      </c>
      <c r="O644" s="216">
        <f>BO644</f>
        <v>6.2</v>
      </c>
      <c r="P644" s="88" t="str">
        <f t="shared" si="2090"/>
        <v>B11_6</v>
      </c>
      <c r="Q644" s="88">
        <f t="shared" si="1935"/>
        <v>270</v>
      </c>
      <c r="R644" s="88">
        <f t="shared" si="1936"/>
        <v>120</v>
      </c>
      <c r="S644" s="230" t="s">
        <v>2031</v>
      </c>
      <c r="T644" s="88" t="s">
        <v>3091</v>
      </c>
      <c r="U644" s="88">
        <f>IF(RIGHT(T644,1)="K",(VLOOKUP(T644,ma_miengiam!$A$3:$B$80,2,0)*100)/2,VLOOKUP(T644,ma_miengiam!$A$3:$B$80,2,0)*100)</f>
        <v>20</v>
      </c>
      <c r="V644" s="88"/>
      <c r="W644" s="220">
        <f>IF(AND(T644="NTS",V644&gt;0),(Q644-(Q644*V644)/12)*VLOOKUP(T644,ma_miengiam!$A$3:$B$80,2,0)+(Q644-(Q644*(12-V644))/12),IF(AND(RIGHT(T644,1)="K",V644&gt;0),(VLOOKUP(T644,ma_miengiam!$A$3:$B$80,2,0)/2)*(Q644*V644)/12,IF(RIGHT(T644,1)="K",(VLOOKUP(T644,ma_miengiam!$A$3:$B$80,2,0)*Q644)/2,IF(V644&gt;0,VLOOKUP(T644,ma_miengiam!$A$3:$B$80,2,0)*Q644*V644/12,VLOOKUP(T644,ma_miengiam!$A$3:$B$80,2,0)*Q644))))</f>
        <v>54</v>
      </c>
      <c r="X644" s="220">
        <f>IF(T644="NTS",VLOOKUP(T644,ma_miengiam!$A$3:$B$80,2,0)*R644*V644,IF(AND(T644="NTS",V644=0),0,IF(AND(LEFT(T644,1)="K",V644=0),VLOOKUP(T644,ma_miengiam!$A$3:$B$80,2,0)*R644,IF(LEFT(T644,1)="K",(VLOOKUP(T644,ma_miengiam!$A$3:$B$80,2,0)*R644/12)*V644,IF(AND(LEFT(T644,1)="S",V644&gt;0),(R644/12)*V644,IF(AND(LEFT(T644,1)="S",V644=0),R644,IF(T644="DH",VLOOKUP(T644,ma_miengiam!$A$3:$B$80,2,0)*R644,0)))))))</f>
        <v>0</v>
      </c>
      <c r="Y644" s="220">
        <f t="shared" si="1963"/>
        <v>216</v>
      </c>
      <c r="Z644" s="220">
        <f t="shared" si="2065"/>
        <v>120</v>
      </c>
      <c r="AA644" s="220">
        <f>Q644</f>
        <v>270</v>
      </c>
      <c r="AB644" s="220">
        <f>R644</f>
        <v>120</v>
      </c>
      <c r="AC644" s="220">
        <f t="shared" ref="AC644:AF645" si="2111">W644</f>
        <v>54</v>
      </c>
      <c r="AD644" s="220">
        <f t="shared" si="2111"/>
        <v>0</v>
      </c>
      <c r="AE644" s="220">
        <f t="shared" si="2111"/>
        <v>216</v>
      </c>
      <c r="AF644" s="220">
        <f t="shared" si="2111"/>
        <v>120</v>
      </c>
      <c r="AG644" s="220">
        <f>AH644+AI644</f>
        <v>81.67</v>
      </c>
      <c r="AH644" s="220">
        <f>EO644</f>
        <v>29.17</v>
      </c>
      <c r="AI644" s="220">
        <f>EN644</f>
        <v>52.5</v>
      </c>
      <c r="AJ644" s="220">
        <f t="shared" si="2101"/>
        <v>-38.33</v>
      </c>
      <c r="AK644" s="216">
        <f t="shared" si="2051"/>
        <v>254.32999999999998</v>
      </c>
      <c r="AL644" s="220">
        <f t="shared" si="2024"/>
        <v>270.2</v>
      </c>
      <c r="AM644" s="220">
        <f t="shared" si="2025"/>
        <v>0</v>
      </c>
      <c r="AN644" s="221">
        <f t="shared" si="2026"/>
        <v>270.2</v>
      </c>
      <c r="AO644" s="220">
        <f t="shared" si="2027"/>
        <v>0</v>
      </c>
      <c r="AP644" s="220">
        <f t="shared" si="2028"/>
        <v>0</v>
      </c>
      <c r="AQ644" s="220">
        <f t="shared" si="2029"/>
        <v>86</v>
      </c>
      <c r="AR644" s="220">
        <f t="shared" si="2030"/>
        <v>0</v>
      </c>
      <c r="AS644" s="220">
        <f t="shared" si="2031"/>
        <v>0</v>
      </c>
      <c r="AT644" s="216">
        <f t="shared" si="2032"/>
        <v>356.2</v>
      </c>
      <c r="AU644" s="222">
        <f t="shared" si="1982"/>
        <v>15.870000000000005</v>
      </c>
      <c r="AV644" s="220"/>
      <c r="AW644" s="220">
        <f t="shared" si="2033"/>
        <v>15.870000000000005</v>
      </c>
      <c r="AX644" s="216">
        <f t="shared" si="2020"/>
        <v>0</v>
      </c>
      <c r="AY644" s="220">
        <f t="shared" si="2034"/>
        <v>0</v>
      </c>
      <c r="AZ644" s="220">
        <f t="shared" si="2035"/>
        <v>0</v>
      </c>
      <c r="BA644" s="220">
        <f t="shared" si="2036"/>
        <v>86</v>
      </c>
      <c r="BB644" s="220">
        <f t="shared" si="2037"/>
        <v>0</v>
      </c>
      <c r="BC644" s="220">
        <f t="shared" si="2038"/>
        <v>0</v>
      </c>
      <c r="BD644" s="216">
        <f t="shared" si="1987"/>
        <v>86</v>
      </c>
      <c r="BE644" s="220">
        <f t="shared" si="2039"/>
        <v>0</v>
      </c>
      <c r="BF644" s="220">
        <f t="shared" si="2040"/>
        <v>0</v>
      </c>
      <c r="BG644" s="220">
        <f t="shared" si="2041"/>
        <v>0</v>
      </c>
      <c r="BH644" s="220">
        <f t="shared" si="2042"/>
        <v>0</v>
      </c>
      <c r="BI644" s="220">
        <f t="shared" si="2043"/>
        <v>0</v>
      </c>
      <c r="BJ644" s="220" t="s">
        <v>1126</v>
      </c>
      <c r="BK644" s="220"/>
      <c r="BL644" s="223">
        <f t="shared" si="2005"/>
        <v>15.870000000000005</v>
      </c>
      <c r="BM644" s="220">
        <v>6.2</v>
      </c>
      <c r="BN644" s="220"/>
      <c r="BO644" s="220">
        <f>ROUND(BM644+(BM644*BN644),2)</f>
        <v>6.2</v>
      </c>
      <c r="BP644" s="220">
        <f>IF(AND(BL644&gt;0,BL644&lt;tiet!$D$1),BL644,IF(BL644&lt;=0,0,IF(BL644&gt;tiet!$C$1,tiet!$C$1)))</f>
        <v>15.870000000000005</v>
      </c>
      <c r="BQ644" s="87">
        <f t="shared" si="2102"/>
        <v>75000</v>
      </c>
      <c r="BR644" s="224">
        <f t="shared" si="2099"/>
        <v>1190250</v>
      </c>
      <c r="BS644" s="220">
        <f t="shared" si="1933"/>
        <v>0</v>
      </c>
      <c r="BT644" s="224">
        <f>VLOOKUP(N644,ma_dinhmuc!$A$1:$J$31,10,0)</f>
        <v>65000</v>
      </c>
      <c r="BU644" s="224">
        <f>ROUND(IF(BS644&gt;0,VLOOKUP(N644,ma_dinhmuc!$A$1:$J$31,10,0)*BS644,0),0)</f>
        <v>0</v>
      </c>
      <c r="BV644" s="224">
        <f t="shared" si="2100"/>
        <v>1190250</v>
      </c>
      <c r="BW644" s="224"/>
      <c r="BX644" s="224">
        <v>0</v>
      </c>
      <c r="BY644" s="224"/>
      <c r="BZ644" s="224"/>
      <c r="CA644" s="224"/>
      <c r="CB644" s="224"/>
      <c r="CC644" s="225">
        <f t="shared" ref="CC644:CC708" si="2112">ROUND(IF(BV644+BW644&gt;BX644+BY644+BZ644+CA644+CB644,(BW644+BV644)-(BX644+BY644+BZ644+CA644+CB644+CB644),0),0)</f>
        <v>1190250</v>
      </c>
      <c r="CD644" s="224">
        <f t="shared" ref="CD644:CD708" si="2113">ROUND(IF(BV644+BW644&lt;BX644+BY644+BZ644+CA644-CB644,(BX644+BY644+BZ644+CA644-CB644)-(BW644+BV644),0),0)</f>
        <v>0</v>
      </c>
      <c r="CE644" s="224"/>
      <c r="CF644" s="226"/>
      <c r="CG644" s="87"/>
      <c r="CH644" s="87">
        <f>A644</f>
        <v>4</v>
      </c>
      <c r="CI644" s="227" t="str">
        <f t="shared" ref="CI644:CK645" si="2114">F644</f>
        <v>Nguyễn Thị Hồng</v>
      </c>
      <c r="CJ644" s="227" t="str">
        <f t="shared" si="2114"/>
        <v>Hạnh</v>
      </c>
      <c r="CK644" s="87">
        <f t="shared" si="2114"/>
        <v>13</v>
      </c>
      <c r="CL644" s="227" t="str">
        <f t="shared" si="2070"/>
        <v>Hoá học</v>
      </c>
      <c r="CM644" s="87" t="str">
        <f t="shared" si="2044"/>
        <v>CB4</v>
      </c>
      <c r="CN644" s="87">
        <f t="shared" si="2103"/>
        <v>270</v>
      </c>
      <c r="CO644" s="87">
        <f t="shared" si="2103"/>
        <v>120</v>
      </c>
      <c r="CP644" s="229">
        <f t="shared" si="1943"/>
        <v>0</v>
      </c>
      <c r="CQ644" s="229">
        <f t="shared" si="1944"/>
        <v>42.1</v>
      </c>
      <c r="CR644" s="229">
        <f t="shared" si="1945"/>
        <v>16.899999999999999</v>
      </c>
      <c r="CS644" s="229">
        <f t="shared" si="1946"/>
        <v>0</v>
      </c>
      <c r="CT644" s="229">
        <f t="shared" si="1947"/>
        <v>0</v>
      </c>
      <c r="CU644" s="229">
        <f t="shared" si="1948"/>
        <v>123.2</v>
      </c>
      <c r="CV644" s="229">
        <f t="shared" si="1949"/>
        <v>0</v>
      </c>
      <c r="CW644" s="229">
        <f t="shared" si="1950"/>
        <v>88</v>
      </c>
      <c r="CX644" s="229">
        <f t="shared" si="1951"/>
        <v>0</v>
      </c>
      <c r="CY644" s="229">
        <f t="shared" si="1952"/>
        <v>0</v>
      </c>
      <c r="CZ644" s="229">
        <f t="shared" si="1953"/>
        <v>0</v>
      </c>
      <c r="DA644" s="229">
        <f t="shared" si="1954"/>
        <v>86</v>
      </c>
      <c r="DB644" s="228">
        <f t="shared" si="2045"/>
        <v>356.2</v>
      </c>
      <c r="DC644" s="229"/>
      <c r="DD644" s="229"/>
      <c r="DE644" s="229"/>
      <c r="DF644" s="229"/>
      <c r="DG644" s="229"/>
      <c r="DH644" s="229"/>
      <c r="DI644" s="229"/>
      <c r="DJ644" s="229"/>
      <c r="DK644" s="229"/>
      <c r="DL644" s="229"/>
      <c r="DM644" s="229"/>
      <c r="DN644" s="229"/>
      <c r="DO644" s="228">
        <f t="shared" si="2046"/>
        <v>0</v>
      </c>
      <c r="DP644" s="228">
        <f t="shared" si="2047"/>
        <v>356.2</v>
      </c>
      <c r="DQ644" s="229">
        <f t="shared" si="1955"/>
        <v>0</v>
      </c>
      <c r="DR644" s="229">
        <f t="shared" si="1956"/>
        <v>0</v>
      </c>
      <c r="DS644" s="229">
        <f t="shared" si="1957"/>
        <v>0</v>
      </c>
      <c r="DT644" s="229">
        <f t="shared" si="1958"/>
        <v>0</v>
      </c>
      <c r="DU644" s="229">
        <f t="shared" si="1959"/>
        <v>0</v>
      </c>
      <c r="DV644" s="229">
        <f t="shared" si="1960"/>
        <v>0</v>
      </c>
      <c r="DW644" s="229">
        <f t="shared" si="1961"/>
        <v>0</v>
      </c>
      <c r="DX644" s="228">
        <f t="shared" si="2048"/>
        <v>0</v>
      </c>
      <c r="DY644" s="229"/>
      <c r="DZ644" s="229"/>
      <c r="EA644" s="229"/>
      <c r="EB644" s="229"/>
      <c r="EC644" s="229"/>
      <c r="ED644" s="229"/>
      <c r="EE644" s="229"/>
      <c r="EF644" s="228">
        <f t="shared" si="1939"/>
        <v>0</v>
      </c>
      <c r="EG644" s="228">
        <f t="shared" si="2049"/>
        <v>0</v>
      </c>
      <c r="EH644" s="229">
        <f t="shared" si="1940"/>
        <v>52.5</v>
      </c>
      <c r="EI644" s="229">
        <v>29.17</v>
      </c>
      <c r="EJ644" s="228">
        <f>SUM(EH644:EI644)</f>
        <v>81.67</v>
      </c>
      <c r="EK644" s="229"/>
      <c r="EL644" s="229"/>
      <c r="EM644" s="228">
        <f t="shared" si="2104"/>
        <v>0</v>
      </c>
      <c r="EN644" s="229">
        <f t="shared" si="2086"/>
        <v>52.5</v>
      </c>
      <c r="EO644" s="229">
        <f t="shared" si="1983"/>
        <v>29.17</v>
      </c>
      <c r="EP644" s="228">
        <f>EM644+EJ644</f>
        <v>81.67</v>
      </c>
      <c r="EQ644" s="173">
        <f t="shared" si="1934"/>
        <v>0</v>
      </c>
      <c r="ER644" s="189">
        <v>0</v>
      </c>
      <c r="ES644" s="189">
        <v>42.1</v>
      </c>
      <c r="ET644" s="189">
        <v>16.899999999999999</v>
      </c>
      <c r="EU644" s="189">
        <v>0</v>
      </c>
      <c r="EV644" s="189">
        <v>0</v>
      </c>
      <c r="EW644" s="189">
        <v>123.2</v>
      </c>
      <c r="EX644" s="189">
        <v>0</v>
      </c>
      <c r="EY644" s="189">
        <v>88</v>
      </c>
      <c r="EZ644" s="189">
        <v>0</v>
      </c>
      <c r="FA644" s="189">
        <v>0</v>
      </c>
      <c r="FB644" s="189">
        <v>0</v>
      </c>
      <c r="FC644" s="189">
        <v>86</v>
      </c>
      <c r="FD644" s="189">
        <v>0</v>
      </c>
      <c r="FE644" s="189">
        <v>0</v>
      </c>
      <c r="FF644" s="189">
        <v>0</v>
      </c>
      <c r="FG644" s="189">
        <v>0</v>
      </c>
      <c r="FH644" s="189">
        <v>0</v>
      </c>
      <c r="FI644" s="189">
        <v>0</v>
      </c>
      <c r="FJ644" s="189">
        <v>0</v>
      </c>
      <c r="FK644" s="189">
        <v>356.2</v>
      </c>
      <c r="FL644" s="189">
        <v>286</v>
      </c>
      <c r="FN644" s="132">
        <v>52.5</v>
      </c>
    </row>
    <row r="645" spans="1:170" ht="30" customHeight="1">
      <c r="A645" s="88">
        <f>COUNTIF($H$12:H645,H645)</f>
        <v>5</v>
      </c>
      <c r="B645" s="88" t="s">
        <v>2145</v>
      </c>
      <c r="C645" s="88" t="s">
        <v>118</v>
      </c>
      <c r="D645" s="88"/>
      <c r="E645" s="88"/>
      <c r="F645" s="301" t="s">
        <v>2907</v>
      </c>
      <c r="G645" s="89" t="s">
        <v>24</v>
      </c>
      <c r="H645" s="88">
        <v>13</v>
      </c>
      <c r="I645" s="88">
        <v>13</v>
      </c>
      <c r="J645" s="88">
        <v>13</v>
      </c>
      <c r="K645" s="90" t="s">
        <v>1617</v>
      </c>
      <c r="L645" s="90" t="s">
        <v>1617</v>
      </c>
      <c r="M645" s="214"/>
      <c r="N645" s="88" t="s">
        <v>1179</v>
      </c>
      <c r="O645" s="216">
        <f>BO645</f>
        <v>4.6500000000000004</v>
      </c>
      <c r="P645" s="88" t="str">
        <f t="shared" si="2090"/>
        <v>B11_5</v>
      </c>
      <c r="Q645" s="88">
        <f t="shared" si="1935"/>
        <v>270</v>
      </c>
      <c r="R645" s="88">
        <f t="shared" si="1936"/>
        <v>100</v>
      </c>
      <c r="S645" s="230" t="s">
        <v>689</v>
      </c>
      <c r="T645" s="88" t="s">
        <v>3090</v>
      </c>
      <c r="U645" s="88">
        <f>IF(RIGHT(T645,1)="K",(VLOOKUP(T645,ma_miengiam!$A$3:$B$80,2,0)*100)/2,VLOOKUP(T645,ma_miengiam!$A$3:$B$80,2,0)*100)</f>
        <v>15</v>
      </c>
      <c r="V645" s="88"/>
      <c r="W645" s="220">
        <f>IF(AND(T645="NTS",V645&gt;0),(Q645-(Q645*V645)/12)*VLOOKUP(T645,ma_miengiam!$A$3:$B$80,2,0)+(Q645-(Q645*(12-V645))/12),IF(AND(RIGHT(T645,1)="K",V645&gt;0),(VLOOKUP(T645,ma_miengiam!$A$3:$B$80,2,0)/2)*(Q645*V645)/12,IF(RIGHT(T645,1)="K",(VLOOKUP(T645,ma_miengiam!$A$3:$B$80,2,0)*Q645)/2,IF(V645&gt;0,VLOOKUP(T645,ma_miengiam!$A$3:$B$80,2,0)*Q645*V645/12,VLOOKUP(T645,ma_miengiam!$A$3:$B$80,2,0)*Q645))))</f>
        <v>40.5</v>
      </c>
      <c r="X645" s="220">
        <f>IF(T645="NTS",VLOOKUP(T645,ma_miengiam!$A$3:$B$80,2,0)*R645*V645,IF(AND(T645="NTS",V645=0),0,IF(AND(LEFT(T645,1)="K",V645=0),VLOOKUP(T645,ma_miengiam!$A$3:$B$80,2,0)*R645,IF(LEFT(T645,1)="K",(VLOOKUP(T645,ma_miengiam!$A$3:$B$80,2,0)*R645/12)*V645,IF(AND(LEFT(T645,1)="S",V645&gt;0),(R645/12)*V645,IF(AND(LEFT(T645,1)="S",V645=0),R645,IF(T645="DH",VLOOKUP(T645,ma_miengiam!$A$3:$B$80,2,0)*R645,0)))))))</f>
        <v>0</v>
      </c>
      <c r="Y645" s="220">
        <f t="shared" si="1963"/>
        <v>229.5</v>
      </c>
      <c r="Z645" s="220">
        <f>IF(AND(T645="SĐH",V645&gt;0),(R645/12)*V645-X645,IF(AND(T645="DH",V645&gt;0),(R645*V645/12),IF(AND(T645&lt;&gt;"NTS",V645&gt;0),(R645*V645/12)-X645,IF(AND(T645="NTS",V645&gt;0),R645-X645,R645-X645))))</f>
        <v>100</v>
      </c>
      <c r="AA645" s="220">
        <f>Q645</f>
        <v>270</v>
      </c>
      <c r="AB645" s="220">
        <f>R645</f>
        <v>100</v>
      </c>
      <c r="AC645" s="220">
        <f t="shared" si="2111"/>
        <v>40.5</v>
      </c>
      <c r="AD645" s="220">
        <f t="shared" si="2111"/>
        <v>0</v>
      </c>
      <c r="AE645" s="220">
        <f t="shared" si="2111"/>
        <v>229.5</v>
      </c>
      <c r="AF645" s="220">
        <f t="shared" si="2111"/>
        <v>100</v>
      </c>
      <c r="AG645" s="220">
        <f>AH645+AI645</f>
        <v>133.32999999999998</v>
      </c>
      <c r="AH645" s="220">
        <f>EO645</f>
        <v>45.83</v>
      </c>
      <c r="AI645" s="220">
        <f>EN645</f>
        <v>87.5</v>
      </c>
      <c r="AJ645" s="220">
        <f>IF(AG645-Z645&gt;0,0,AG645-Z645)</f>
        <v>0</v>
      </c>
      <c r="AK645" s="216">
        <f t="shared" si="2051"/>
        <v>229.5</v>
      </c>
      <c r="AL645" s="220">
        <f t="shared" si="2024"/>
        <v>211.1</v>
      </c>
      <c r="AM645" s="220">
        <f t="shared" si="2025"/>
        <v>0</v>
      </c>
      <c r="AN645" s="221">
        <f t="shared" si="2026"/>
        <v>211.1</v>
      </c>
      <c r="AO645" s="220">
        <f t="shared" si="2027"/>
        <v>0</v>
      </c>
      <c r="AP645" s="220">
        <f t="shared" si="2028"/>
        <v>0</v>
      </c>
      <c r="AQ645" s="220">
        <f t="shared" si="2029"/>
        <v>60</v>
      </c>
      <c r="AR645" s="220">
        <f t="shared" si="2030"/>
        <v>0</v>
      </c>
      <c r="AS645" s="220">
        <f t="shared" si="2031"/>
        <v>0</v>
      </c>
      <c r="AT645" s="216">
        <f t="shared" si="2032"/>
        <v>271.10000000000002</v>
      </c>
      <c r="AU645" s="222">
        <f t="shared" si="1982"/>
        <v>-18.400000000000006</v>
      </c>
      <c r="AV645" s="220"/>
      <c r="AW645" s="220">
        <f t="shared" si="2033"/>
        <v>-18.400000000000006</v>
      </c>
      <c r="AX645" s="216">
        <f t="shared" si="2020"/>
        <v>-18.400000000000006</v>
      </c>
      <c r="AY645" s="220">
        <f t="shared" si="2034"/>
        <v>0</v>
      </c>
      <c r="AZ645" s="220">
        <f t="shared" si="2035"/>
        <v>0</v>
      </c>
      <c r="BA645" s="220">
        <f t="shared" si="2036"/>
        <v>41.600000000000023</v>
      </c>
      <c r="BB645" s="220">
        <f t="shared" si="2037"/>
        <v>0</v>
      </c>
      <c r="BC645" s="220">
        <f t="shared" si="2038"/>
        <v>0</v>
      </c>
      <c r="BD645" s="216">
        <f t="shared" si="1987"/>
        <v>41.600000000000023</v>
      </c>
      <c r="BE645" s="220">
        <f t="shared" si="2039"/>
        <v>0</v>
      </c>
      <c r="BF645" s="220">
        <f t="shared" si="2040"/>
        <v>0</v>
      </c>
      <c r="BG645" s="220">
        <f t="shared" si="2041"/>
        <v>-18.399999999999977</v>
      </c>
      <c r="BH645" s="220">
        <f t="shared" si="2042"/>
        <v>0</v>
      </c>
      <c r="BI645" s="220">
        <f t="shared" si="2043"/>
        <v>0</v>
      </c>
      <c r="BJ645" s="220" t="s">
        <v>1126</v>
      </c>
      <c r="BK645" s="220"/>
      <c r="BL645" s="223">
        <f t="shared" si="2005"/>
        <v>0</v>
      </c>
      <c r="BM645" s="220">
        <v>4.6500000000000004</v>
      </c>
      <c r="BN645" s="220"/>
      <c r="BO645" s="220">
        <f>ROUND(BM645+(BM645*BN645),2)</f>
        <v>4.6500000000000004</v>
      </c>
      <c r="BP645" s="220">
        <f>IF(AND(BL645&gt;0,BL645&lt;tiet!$D$1),BL645,IF(BL645&lt;=0,0,IF(BL645&gt;tiet!$C$1,tiet!$C$1)))</f>
        <v>0</v>
      </c>
      <c r="BQ645" s="87">
        <f>VLOOKUP(P645,ma_dinhmuc_moi,4,0)</f>
        <v>70000</v>
      </c>
      <c r="BR645" s="224">
        <f>ROUND(BQ645*BP645,0)</f>
        <v>0</v>
      </c>
      <c r="BS645" s="220">
        <f t="shared" si="1933"/>
        <v>0</v>
      </c>
      <c r="BT645" s="224">
        <f>VLOOKUP(N645,ma_dinhmuc!$A$1:$J$31,10,0)</f>
        <v>51000</v>
      </c>
      <c r="BU645" s="224">
        <f>ROUND(IF(BS645&gt;0,VLOOKUP(N645,ma_dinhmuc!$A$1:$J$31,10,0)*BS645,0),0)</f>
        <v>0</v>
      </c>
      <c r="BV645" s="224">
        <f>ROUND(BU645+BR645,0)</f>
        <v>0</v>
      </c>
      <c r="BW645" s="224"/>
      <c r="BX645" s="224">
        <v>0</v>
      </c>
      <c r="BY645" s="224"/>
      <c r="BZ645" s="224"/>
      <c r="CA645" s="224"/>
      <c r="CB645" s="224"/>
      <c r="CC645" s="225">
        <f>ROUND(IF(BV645+BW645&gt;BX645+BY645+BZ645+CA645+CB645,(BW645+BV645)-(BX645+BY645+BZ645+CA645+CB645+CB645),0),0)</f>
        <v>0</v>
      </c>
      <c r="CD645" s="224">
        <f>ROUND(IF(BV645+BW645&lt;BX645+BY645+BZ645+CA645-CB645,(BX645+BY645+BZ645+CA645-CB645)-(BW645+BV645),0),0)</f>
        <v>0</v>
      </c>
      <c r="CE645" s="224"/>
      <c r="CF645" s="226"/>
      <c r="CG645" s="87"/>
      <c r="CH645" s="87">
        <f>A645</f>
        <v>5</v>
      </c>
      <c r="CI645" s="227" t="str">
        <f t="shared" si="2114"/>
        <v>Trần Thanh</v>
      </c>
      <c r="CJ645" s="227" t="str">
        <f t="shared" si="2114"/>
        <v>Hải</v>
      </c>
      <c r="CK645" s="87">
        <f t="shared" si="2114"/>
        <v>13</v>
      </c>
      <c r="CL645" s="227" t="str">
        <f t="shared" si="2070"/>
        <v>Hoá học</v>
      </c>
      <c r="CM645" s="87" t="str">
        <f t="shared" si="2044"/>
        <v>CB2</v>
      </c>
      <c r="CN645" s="87">
        <f t="shared" si="2103"/>
        <v>270</v>
      </c>
      <c r="CO645" s="87">
        <f t="shared" si="2103"/>
        <v>100</v>
      </c>
      <c r="CP645" s="229">
        <f t="shared" si="1943"/>
        <v>0</v>
      </c>
      <c r="CQ645" s="229">
        <f t="shared" si="1944"/>
        <v>10</v>
      </c>
      <c r="CR645" s="229">
        <f t="shared" si="1945"/>
        <v>4</v>
      </c>
      <c r="CS645" s="229">
        <f t="shared" si="1946"/>
        <v>0</v>
      </c>
      <c r="CT645" s="229">
        <f t="shared" si="1947"/>
        <v>0</v>
      </c>
      <c r="CU645" s="229">
        <f t="shared" si="1948"/>
        <v>25.1</v>
      </c>
      <c r="CV645" s="229">
        <f t="shared" si="1949"/>
        <v>0</v>
      </c>
      <c r="CW645" s="229">
        <f t="shared" si="1950"/>
        <v>172</v>
      </c>
      <c r="CX645" s="229">
        <f t="shared" si="1951"/>
        <v>0</v>
      </c>
      <c r="CY645" s="229">
        <f t="shared" si="1952"/>
        <v>0</v>
      </c>
      <c r="CZ645" s="229">
        <f t="shared" si="1953"/>
        <v>0</v>
      </c>
      <c r="DA645" s="229">
        <f t="shared" si="1954"/>
        <v>60</v>
      </c>
      <c r="DB645" s="228">
        <f t="shared" si="2045"/>
        <v>271.10000000000002</v>
      </c>
      <c r="DC645" s="229"/>
      <c r="DD645" s="229"/>
      <c r="DE645" s="229"/>
      <c r="DF645" s="229"/>
      <c r="DG645" s="229"/>
      <c r="DH645" s="229"/>
      <c r="DI645" s="229"/>
      <c r="DJ645" s="229"/>
      <c r="DK645" s="229"/>
      <c r="DL645" s="229"/>
      <c r="DM645" s="229"/>
      <c r="DN645" s="229"/>
      <c r="DO645" s="228">
        <f t="shared" si="2046"/>
        <v>0</v>
      </c>
      <c r="DP645" s="228">
        <f t="shared" si="2047"/>
        <v>271.10000000000002</v>
      </c>
      <c r="DQ645" s="229">
        <f t="shared" si="1955"/>
        <v>0</v>
      </c>
      <c r="DR645" s="229">
        <f t="shared" si="1956"/>
        <v>0</v>
      </c>
      <c r="DS645" s="229">
        <f t="shared" si="1957"/>
        <v>0</v>
      </c>
      <c r="DT645" s="229">
        <f t="shared" si="1958"/>
        <v>0</v>
      </c>
      <c r="DU645" s="229">
        <f t="shared" si="1959"/>
        <v>0</v>
      </c>
      <c r="DV645" s="229">
        <f t="shared" si="1960"/>
        <v>0</v>
      </c>
      <c r="DW645" s="229">
        <f t="shared" si="1961"/>
        <v>0</v>
      </c>
      <c r="DX645" s="228">
        <f t="shared" si="2048"/>
        <v>0</v>
      </c>
      <c r="DY645" s="229"/>
      <c r="DZ645" s="229"/>
      <c r="EA645" s="229"/>
      <c r="EB645" s="229"/>
      <c r="EC645" s="229"/>
      <c r="ED645" s="229"/>
      <c r="EE645" s="229"/>
      <c r="EF645" s="228">
        <f t="shared" si="1939"/>
        <v>0</v>
      </c>
      <c r="EG645" s="228">
        <f t="shared" si="2049"/>
        <v>0</v>
      </c>
      <c r="EH645" s="229">
        <f t="shared" si="1940"/>
        <v>87.5</v>
      </c>
      <c r="EI645" s="229">
        <v>45.83</v>
      </c>
      <c r="EJ645" s="228">
        <f>SUM(EH645:EI645)</f>
        <v>133.32999999999998</v>
      </c>
      <c r="EK645" s="229"/>
      <c r="EL645" s="229"/>
      <c r="EM645" s="228">
        <f t="shared" si="2104"/>
        <v>0</v>
      </c>
      <c r="EN645" s="229">
        <f t="shared" si="2086"/>
        <v>87.5</v>
      </c>
      <c r="EO645" s="229">
        <f t="shared" si="1983"/>
        <v>45.83</v>
      </c>
      <c r="EP645" s="228">
        <f>EM645+EJ645</f>
        <v>133.32999999999998</v>
      </c>
      <c r="EQ645" s="173">
        <f t="shared" si="1934"/>
        <v>0</v>
      </c>
      <c r="ER645" s="189">
        <v>0</v>
      </c>
      <c r="ES645" s="189">
        <v>10</v>
      </c>
      <c r="ET645" s="189">
        <v>4</v>
      </c>
      <c r="EU645" s="189">
        <v>0</v>
      </c>
      <c r="EV645" s="189">
        <v>0</v>
      </c>
      <c r="EW645" s="189">
        <v>25.1</v>
      </c>
      <c r="EX645" s="189">
        <v>0</v>
      </c>
      <c r="EY645" s="189">
        <v>172</v>
      </c>
      <c r="EZ645" s="189">
        <v>0</v>
      </c>
      <c r="FA645" s="189">
        <v>0</v>
      </c>
      <c r="FB645" s="189">
        <v>0</v>
      </c>
      <c r="FC645" s="189">
        <v>60</v>
      </c>
      <c r="FD645" s="189">
        <v>0</v>
      </c>
      <c r="FE645" s="189">
        <v>0</v>
      </c>
      <c r="FF645" s="189">
        <v>0</v>
      </c>
      <c r="FG645" s="189">
        <v>0</v>
      </c>
      <c r="FH645" s="189">
        <v>0</v>
      </c>
      <c r="FI645" s="189">
        <v>0</v>
      </c>
      <c r="FJ645" s="189">
        <v>0</v>
      </c>
      <c r="FK645" s="189">
        <v>271.10000000000002</v>
      </c>
      <c r="FL645" s="189">
        <v>236</v>
      </c>
      <c r="FN645" s="132">
        <v>87.5</v>
      </c>
    </row>
    <row r="646" spans="1:170" ht="30">
      <c r="A646" s="88">
        <f>COUNTIF($H$12:H646,H646)</f>
        <v>6</v>
      </c>
      <c r="B646" s="88" t="s">
        <v>2146</v>
      </c>
      <c r="C646" s="88" t="s">
        <v>119</v>
      </c>
      <c r="D646" s="88"/>
      <c r="E646" s="88"/>
      <c r="F646" s="301" t="s">
        <v>2908</v>
      </c>
      <c r="G646" s="89" t="s">
        <v>963</v>
      </c>
      <c r="H646" s="88">
        <v>13</v>
      </c>
      <c r="I646" s="88">
        <v>13</v>
      </c>
      <c r="J646" s="88">
        <v>13</v>
      </c>
      <c r="K646" s="90" t="s">
        <v>1617</v>
      </c>
      <c r="L646" s="90" t="s">
        <v>1617</v>
      </c>
      <c r="M646" s="214"/>
      <c r="N646" s="88" t="s">
        <v>1179</v>
      </c>
      <c r="O646" s="216">
        <f t="shared" si="2069"/>
        <v>3.33</v>
      </c>
      <c r="P646" s="88" t="str">
        <f t="shared" si="2090"/>
        <v>B11_4</v>
      </c>
      <c r="Q646" s="88">
        <f t="shared" si="1935"/>
        <v>270</v>
      </c>
      <c r="R646" s="88">
        <f t="shared" si="1936"/>
        <v>80</v>
      </c>
      <c r="S646" s="233" t="s">
        <v>2676</v>
      </c>
      <c r="T646" s="88" t="s">
        <v>3094</v>
      </c>
      <c r="U646" s="88">
        <f>IF(RIGHT(T646,1)="K",(VLOOKUP(T646,ma_miengiam!$A$3:$B$80,2,0)*100)/2,VLOOKUP(T646,ma_miengiam!$A$3:$B$80,2,0)*100)</f>
        <v>35</v>
      </c>
      <c r="V646" s="88"/>
      <c r="W646" s="220">
        <f>IF(AND(T646="NTS",V646&gt;0),(Q646-(Q646*V646)/12)*VLOOKUP(T646,ma_miengiam!$A$3:$B$80,2,0)+(Q646-(Q646*(12-V646))/12),IF(AND(RIGHT(T646,1)="K",V646&gt;0),(VLOOKUP(T646,ma_miengiam!$A$3:$B$80,2,0)/2)*(Q646*V646)/12,IF(RIGHT(T646,1)="K",(VLOOKUP(T646,ma_miengiam!$A$3:$B$80,2,0)*Q646)/2,IF(V646&gt;0,VLOOKUP(T646,ma_miengiam!$A$3:$B$80,2,0)*Q646*V646/12,VLOOKUP(T646,ma_miengiam!$A$3:$B$80,2,0)*Q646))))</f>
        <v>94.5</v>
      </c>
      <c r="X646" s="220">
        <f>IF(T646="NTS",VLOOKUP(T646,ma_miengiam!$A$3:$B$80,2,0)*R646*V646,IF(AND(T646="NTS",V646=0),0,IF(AND(LEFT(T646,1)="K",V646=0),VLOOKUP(T646,ma_miengiam!$A$3:$B$80,2,0)*R646,IF(LEFT(T646,1)="K",(VLOOKUP(T646,ma_miengiam!$A$3:$B$80,2,0)*R646/12)*V646,IF(AND(LEFT(T646,1)="S",V646&gt;0),(R646/12)*V646,IF(AND(LEFT(T646,1)="S",V646=0),R646,IF(T646="DH",VLOOKUP(T646,ma_miengiam!$A$3:$B$80,2,0)*R646,0)))))))</f>
        <v>0</v>
      </c>
      <c r="Y646" s="220">
        <f t="shared" si="1963"/>
        <v>175.5</v>
      </c>
      <c r="Z646" s="220">
        <f t="shared" si="2065"/>
        <v>80</v>
      </c>
      <c r="AA646" s="220">
        <f t="shared" si="2105"/>
        <v>270</v>
      </c>
      <c r="AB646" s="220">
        <f t="shared" si="2106"/>
        <v>80</v>
      </c>
      <c r="AC646" s="220">
        <f t="shared" si="2107"/>
        <v>94.5</v>
      </c>
      <c r="AD646" s="220">
        <f t="shared" si="2108"/>
        <v>0</v>
      </c>
      <c r="AE646" s="220">
        <f t="shared" si="2109"/>
        <v>175.5</v>
      </c>
      <c r="AF646" s="220">
        <f t="shared" si="2110"/>
        <v>80</v>
      </c>
      <c r="AG646" s="220">
        <f t="shared" si="2092"/>
        <v>415.33</v>
      </c>
      <c r="AH646" s="220">
        <f t="shared" si="2093"/>
        <v>295.83</v>
      </c>
      <c r="AI646" s="220">
        <f t="shared" si="2094"/>
        <v>119.5</v>
      </c>
      <c r="AJ646" s="220">
        <f t="shared" si="2101"/>
        <v>0</v>
      </c>
      <c r="AK646" s="216">
        <f t="shared" si="2051"/>
        <v>175.5</v>
      </c>
      <c r="AL646" s="220">
        <f t="shared" si="2024"/>
        <v>182.9</v>
      </c>
      <c r="AM646" s="220">
        <f t="shared" si="2025"/>
        <v>0</v>
      </c>
      <c r="AN646" s="221">
        <f t="shared" si="2026"/>
        <v>182.9</v>
      </c>
      <c r="AO646" s="220">
        <f t="shared" si="2027"/>
        <v>0</v>
      </c>
      <c r="AP646" s="220">
        <f t="shared" si="2028"/>
        <v>0</v>
      </c>
      <c r="AQ646" s="220">
        <f t="shared" si="2029"/>
        <v>26</v>
      </c>
      <c r="AR646" s="220">
        <f t="shared" si="2030"/>
        <v>0</v>
      </c>
      <c r="AS646" s="220">
        <f t="shared" si="2031"/>
        <v>0</v>
      </c>
      <c r="AT646" s="216">
        <f t="shared" si="2032"/>
        <v>208.9</v>
      </c>
      <c r="AU646" s="222">
        <f t="shared" si="1982"/>
        <v>7.4000000000000057</v>
      </c>
      <c r="AV646" s="220"/>
      <c r="AW646" s="220">
        <f t="shared" si="2033"/>
        <v>7.4000000000000057</v>
      </c>
      <c r="AX646" s="216">
        <f t="shared" si="2020"/>
        <v>0</v>
      </c>
      <c r="AY646" s="220">
        <f t="shared" si="2034"/>
        <v>0</v>
      </c>
      <c r="AZ646" s="220">
        <f t="shared" si="2035"/>
        <v>0</v>
      </c>
      <c r="BA646" s="220">
        <f t="shared" si="2036"/>
        <v>26</v>
      </c>
      <c r="BB646" s="220">
        <f t="shared" si="2037"/>
        <v>0</v>
      </c>
      <c r="BC646" s="220">
        <f t="shared" si="2038"/>
        <v>0</v>
      </c>
      <c r="BD646" s="216">
        <f t="shared" si="1987"/>
        <v>26</v>
      </c>
      <c r="BE646" s="220">
        <f t="shared" si="2039"/>
        <v>0</v>
      </c>
      <c r="BF646" s="220">
        <f t="shared" si="2040"/>
        <v>0</v>
      </c>
      <c r="BG646" s="220">
        <f t="shared" si="2041"/>
        <v>0</v>
      </c>
      <c r="BH646" s="220">
        <f t="shared" si="2042"/>
        <v>0</v>
      </c>
      <c r="BI646" s="220">
        <f t="shared" si="2043"/>
        <v>0</v>
      </c>
      <c r="BJ646" s="220" t="s">
        <v>1126</v>
      </c>
      <c r="BK646" s="220"/>
      <c r="BL646" s="223">
        <f t="shared" si="2005"/>
        <v>7.4000000000000057</v>
      </c>
      <c r="BM646" s="220">
        <v>3.33</v>
      </c>
      <c r="BN646" s="220"/>
      <c r="BO646" s="220">
        <f t="shared" si="2067"/>
        <v>3.33</v>
      </c>
      <c r="BP646" s="220">
        <f>IF(AND(BL646&gt;0,BL646&lt;tiet!$D$1),BL646,IF(BL646&lt;=0,0,IF(BL646&gt;tiet!$C$1,tiet!$C$1)))</f>
        <v>7.4000000000000057</v>
      </c>
      <c r="BQ646" s="87">
        <f t="shared" si="2102"/>
        <v>65000</v>
      </c>
      <c r="BR646" s="224">
        <f t="shared" si="2099"/>
        <v>481000</v>
      </c>
      <c r="BS646" s="220">
        <f t="shared" si="1933"/>
        <v>0</v>
      </c>
      <c r="BT646" s="224">
        <f>VLOOKUP(N646,ma_dinhmuc!$A$1:$J$31,10,0)</f>
        <v>51000</v>
      </c>
      <c r="BU646" s="224">
        <f>ROUND(IF(BS646&gt;0,VLOOKUP(N646,ma_dinhmuc!$A$1:$J$31,10,0)*BS646,0),0)</f>
        <v>0</v>
      </c>
      <c r="BV646" s="224">
        <f t="shared" si="2100"/>
        <v>481000</v>
      </c>
      <c r="BW646" s="224"/>
      <c r="BX646" s="224">
        <v>0</v>
      </c>
      <c r="BY646" s="224"/>
      <c r="BZ646" s="224"/>
      <c r="CA646" s="224"/>
      <c r="CB646" s="224"/>
      <c r="CC646" s="225">
        <f t="shared" si="2112"/>
        <v>481000</v>
      </c>
      <c r="CD646" s="224">
        <f t="shared" si="2113"/>
        <v>0</v>
      </c>
      <c r="CE646" s="224"/>
      <c r="CF646" s="226"/>
      <c r="CG646" s="87"/>
      <c r="CH646" s="87">
        <f t="shared" si="2068"/>
        <v>6</v>
      </c>
      <c r="CI646" s="227" t="str">
        <f t="shared" ref="CI646:CJ648" si="2115">F646</f>
        <v>Lê Thị Thu</v>
      </c>
      <c r="CJ646" s="227" t="str">
        <f t="shared" si="2115"/>
        <v>Hương</v>
      </c>
      <c r="CK646" s="87">
        <f t="shared" ref="CK646:CK655" si="2116">H646</f>
        <v>13</v>
      </c>
      <c r="CL646" s="227" t="str">
        <f t="shared" si="2070"/>
        <v>Hoá học</v>
      </c>
      <c r="CM646" s="87" t="str">
        <f t="shared" si="2044"/>
        <v>CB2</v>
      </c>
      <c r="CN646" s="87">
        <f t="shared" ref="CN646:CO648" si="2117">Q646</f>
        <v>270</v>
      </c>
      <c r="CO646" s="87">
        <f t="shared" si="2117"/>
        <v>80</v>
      </c>
      <c r="CP646" s="229">
        <f t="shared" si="1943"/>
        <v>0</v>
      </c>
      <c r="CQ646" s="229">
        <f t="shared" si="1944"/>
        <v>14.9</v>
      </c>
      <c r="CR646" s="229">
        <f t="shared" si="1945"/>
        <v>6</v>
      </c>
      <c r="CS646" s="229">
        <f t="shared" si="1946"/>
        <v>0</v>
      </c>
      <c r="CT646" s="229">
        <f t="shared" si="1947"/>
        <v>0</v>
      </c>
      <c r="CU646" s="229">
        <f t="shared" si="1948"/>
        <v>66</v>
      </c>
      <c r="CV646" s="229">
        <f t="shared" si="1949"/>
        <v>0</v>
      </c>
      <c r="CW646" s="229">
        <f t="shared" si="1950"/>
        <v>96</v>
      </c>
      <c r="CX646" s="229">
        <f t="shared" si="1951"/>
        <v>0</v>
      </c>
      <c r="CY646" s="229">
        <f t="shared" si="1952"/>
        <v>0</v>
      </c>
      <c r="CZ646" s="229">
        <f t="shared" si="1953"/>
        <v>0</v>
      </c>
      <c r="DA646" s="229">
        <f t="shared" si="1954"/>
        <v>26</v>
      </c>
      <c r="DB646" s="228">
        <f t="shared" si="2045"/>
        <v>208.9</v>
      </c>
      <c r="DC646" s="229"/>
      <c r="DD646" s="229"/>
      <c r="DE646" s="229"/>
      <c r="DF646" s="229"/>
      <c r="DG646" s="229"/>
      <c r="DH646" s="229"/>
      <c r="DI646" s="229"/>
      <c r="DJ646" s="229"/>
      <c r="DK646" s="229"/>
      <c r="DL646" s="229"/>
      <c r="DM646" s="229"/>
      <c r="DN646" s="229"/>
      <c r="DO646" s="228">
        <f t="shared" si="2046"/>
        <v>0</v>
      </c>
      <c r="DP646" s="228">
        <f t="shared" si="2047"/>
        <v>208.9</v>
      </c>
      <c r="DQ646" s="229">
        <f t="shared" si="1955"/>
        <v>0</v>
      </c>
      <c r="DR646" s="229">
        <f t="shared" si="1956"/>
        <v>0</v>
      </c>
      <c r="DS646" s="229">
        <f t="shared" si="1957"/>
        <v>0</v>
      </c>
      <c r="DT646" s="229">
        <f t="shared" si="1958"/>
        <v>0</v>
      </c>
      <c r="DU646" s="229">
        <f t="shared" si="1959"/>
        <v>0</v>
      </c>
      <c r="DV646" s="229">
        <f t="shared" si="1960"/>
        <v>0</v>
      </c>
      <c r="DW646" s="229">
        <f t="shared" si="1961"/>
        <v>0</v>
      </c>
      <c r="DX646" s="228">
        <f t="shared" si="2048"/>
        <v>0</v>
      </c>
      <c r="DY646" s="229"/>
      <c r="DZ646" s="229"/>
      <c r="EA646" s="229"/>
      <c r="EB646" s="229"/>
      <c r="EC646" s="229"/>
      <c r="ED646" s="229"/>
      <c r="EE646" s="229"/>
      <c r="EF646" s="228">
        <f t="shared" si="1939"/>
        <v>0</v>
      </c>
      <c r="EG646" s="228">
        <f t="shared" si="2049"/>
        <v>0</v>
      </c>
      <c r="EH646" s="229">
        <f t="shared" si="1940"/>
        <v>119.5</v>
      </c>
      <c r="EI646" s="229">
        <v>295.83</v>
      </c>
      <c r="EJ646" s="228">
        <f t="shared" si="2055"/>
        <v>415.33</v>
      </c>
      <c r="EK646" s="229"/>
      <c r="EL646" s="229"/>
      <c r="EM646" s="228">
        <f t="shared" si="2104"/>
        <v>0</v>
      </c>
      <c r="EN646" s="229">
        <f t="shared" si="2086"/>
        <v>119.5</v>
      </c>
      <c r="EO646" s="229">
        <f t="shared" si="1983"/>
        <v>295.83</v>
      </c>
      <c r="EP646" s="228">
        <f t="shared" ref="EP646:EP666" si="2118">EM646+EJ646</f>
        <v>415.33</v>
      </c>
      <c r="EQ646" s="173">
        <f t="shared" si="1934"/>
        <v>39.5</v>
      </c>
      <c r="ER646" s="189">
        <v>0</v>
      </c>
      <c r="ES646" s="189">
        <v>14.9</v>
      </c>
      <c r="ET646" s="189">
        <v>6</v>
      </c>
      <c r="EU646" s="189">
        <v>0</v>
      </c>
      <c r="EV646" s="189">
        <v>0</v>
      </c>
      <c r="EW646" s="189">
        <v>66</v>
      </c>
      <c r="EX646" s="189">
        <v>0</v>
      </c>
      <c r="EY646" s="189">
        <v>96</v>
      </c>
      <c r="EZ646" s="189">
        <v>0</v>
      </c>
      <c r="FA646" s="189">
        <v>0</v>
      </c>
      <c r="FB646" s="189">
        <v>0</v>
      </c>
      <c r="FC646" s="189">
        <v>26</v>
      </c>
      <c r="FD646" s="189">
        <v>0</v>
      </c>
      <c r="FE646" s="189">
        <v>0</v>
      </c>
      <c r="FF646" s="189">
        <v>0</v>
      </c>
      <c r="FG646" s="189">
        <v>0</v>
      </c>
      <c r="FH646" s="189">
        <v>0</v>
      </c>
      <c r="FI646" s="189">
        <v>0</v>
      </c>
      <c r="FJ646" s="189">
        <v>0</v>
      </c>
      <c r="FK646" s="189">
        <v>208.9</v>
      </c>
      <c r="FL646" s="189">
        <v>154</v>
      </c>
      <c r="FN646" s="132">
        <v>119.5</v>
      </c>
    </row>
    <row r="647" spans="1:170" ht="30" customHeight="1">
      <c r="A647" s="88">
        <f>COUNTIF($H$12:H647,H647)</f>
        <v>7</v>
      </c>
      <c r="B647" s="88" t="s">
        <v>2147</v>
      </c>
      <c r="C647" s="88" t="s">
        <v>120</v>
      </c>
      <c r="D647" s="88"/>
      <c r="E647" s="88"/>
      <c r="F647" s="301" t="s">
        <v>2893</v>
      </c>
      <c r="G647" s="89" t="s">
        <v>2887</v>
      </c>
      <c r="H647" s="88">
        <v>13</v>
      </c>
      <c r="I647" s="88">
        <v>13</v>
      </c>
      <c r="J647" s="88">
        <v>13</v>
      </c>
      <c r="K647" s="90" t="s">
        <v>1617</v>
      </c>
      <c r="L647" s="90" t="s">
        <v>1617</v>
      </c>
      <c r="M647" s="214"/>
      <c r="N647" s="88" t="s">
        <v>1179</v>
      </c>
      <c r="O647" s="216">
        <f t="shared" si="2069"/>
        <v>3.99</v>
      </c>
      <c r="P647" s="88" t="str">
        <f t="shared" si="2090"/>
        <v>B11_4</v>
      </c>
      <c r="Q647" s="88">
        <f t="shared" si="1935"/>
        <v>270</v>
      </c>
      <c r="R647" s="88">
        <f t="shared" si="1936"/>
        <v>80</v>
      </c>
      <c r="S647" s="218" t="s">
        <v>369</v>
      </c>
      <c r="T647" s="88" t="s">
        <v>3091</v>
      </c>
      <c r="U647" s="88">
        <f>IF(RIGHT(T647,1)="K",(VLOOKUP(T647,ma_miengiam!$A$3:$B$80,2,0)*100)/2,VLOOKUP(T647,ma_miengiam!$A$3:$B$80,2,0)*100)</f>
        <v>20</v>
      </c>
      <c r="V647" s="88"/>
      <c r="W647" s="220">
        <f>IF(AND(T647="NTS",V647&gt;0),(Q647-(Q647*V647)/12)*VLOOKUP(T647,ma_miengiam!$A$3:$B$80,2,0)+(Q647-(Q647*(12-V647))/12),IF(AND(RIGHT(T647,1)="K",V647&gt;0),(VLOOKUP(T647,ma_miengiam!$A$3:$B$80,2,0)/2)*(Q647*V647)/12,IF(RIGHT(T647,1)="K",(VLOOKUP(T647,ma_miengiam!$A$3:$B$80,2,0)*Q647)/2,IF(V647&gt;0,VLOOKUP(T647,ma_miengiam!$A$3:$B$80,2,0)*Q647*V647/12,VLOOKUP(T647,ma_miengiam!$A$3:$B$80,2,0)*Q647))))</f>
        <v>54</v>
      </c>
      <c r="X647" s="220">
        <f>IF(T647="NTS",VLOOKUP(T647,ma_miengiam!$A$3:$B$80,2,0)*R647*V647,IF(AND(T647="NTS",V647=0),0,IF(AND(LEFT(T647,1)="K",V647=0),VLOOKUP(T647,ma_miengiam!$A$3:$B$80,2,0)*R647,IF(LEFT(T647,1)="K",(VLOOKUP(T647,ma_miengiam!$A$3:$B$80,2,0)*R647/12)*V647,IF(AND(LEFT(T647,1)="S",V647&gt;0),(R647/12)*V647,IF(AND(LEFT(T647,1)="S",V647=0),R647,IF(T647="DH",VLOOKUP(T647,ma_miengiam!$A$3:$B$80,2,0)*R647,0)))))))</f>
        <v>0</v>
      </c>
      <c r="Y647" s="220">
        <f t="shared" si="1963"/>
        <v>216</v>
      </c>
      <c r="Z647" s="220">
        <f t="shared" si="2065"/>
        <v>80</v>
      </c>
      <c r="AA647" s="220">
        <f t="shared" ref="AA647:AB649" si="2119">Q647</f>
        <v>270</v>
      </c>
      <c r="AB647" s="220">
        <f t="shared" si="2119"/>
        <v>80</v>
      </c>
      <c r="AC647" s="220">
        <f t="shared" ref="AC647:AF648" si="2120">W647</f>
        <v>54</v>
      </c>
      <c r="AD647" s="220">
        <f t="shared" si="2120"/>
        <v>0</v>
      </c>
      <c r="AE647" s="220">
        <f t="shared" si="2120"/>
        <v>216</v>
      </c>
      <c r="AF647" s="220">
        <f t="shared" si="2120"/>
        <v>80</v>
      </c>
      <c r="AG647" s="220">
        <f t="shared" si="2092"/>
        <v>341.90999999999997</v>
      </c>
      <c r="AH647" s="220">
        <f t="shared" si="2093"/>
        <v>185.25</v>
      </c>
      <c r="AI647" s="220">
        <f t="shared" si="2094"/>
        <v>156.66</v>
      </c>
      <c r="AJ647" s="220">
        <f t="shared" si="2101"/>
        <v>0</v>
      </c>
      <c r="AK647" s="216">
        <f t="shared" si="2051"/>
        <v>216</v>
      </c>
      <c r="AL647" s="220">
        <f t="shared" si="2024"/>
        <v>423.6</v>
      </c>
      <c r="AM647" s="220">
        <f t="shared" si="2025"/>
        <v>0</v>
      </c>
      <c r="AN647" s="221">
        <f t="shared" si="2026"/>
        <v>423.6</v>
      </c>
      <c r="AO647" s="220">
        <f t="shared" si="2027"/>
        <v>0</v>
      </c>
      <c r="AP647" s="220">
        <f t="shared" si="2028"/>
        <v>0</v>
      </c>
      <c r="AQ647" s="220">
        <f t="shared" si="2029"/>
        <v>0</v>
      </c>
      <c r="AR647" s="220">
        <f t="shared" si="2030"/>
        <v>28</v>
      </c>
      <c r="AS647" s="220">
        <f t="shared" si="2031"/>
        <v>0</v>
      </c>
      <c r="AT647" s="216">
        <f t="shared" si="2032"/>
        <v>451.6</v>
      </c>
      <c r="AU647" s="222">
        <f t="shared" si="1982"/>
        <v>207.60000000000002</v>
      </c>
      <c r="AV647" s="220"/>
      <c r="AW647" s="220">
        <f t="shared" si="2033"/>
        <v>207.60000000000002</v>
      </c>
      <c r="AX647" s="216">
        <f t="shared" si="2020"/>
        <v>0</v>
      </c>
      <c r="AY647" s="220">
        <f t="shared" si="2034"/>
        <v>0</v>
      </c>
      <c r="AZ647" s="220">
        <f t="shared" si="2035"/>
        <v>0</v>
      </c>
      <c r="BA647" s="220">
        <f t="shared" si="2036"/>
        <v>0</v>
      </c>
      <c r="BB647" s="220">
        <f t="shared" si="2037"/>
        <v>28</v>
      </c>
      <c r="BC647" s="220">
        <f t="shared" si="2038"/>
        <v>0</v>
      </c>
      <c r="BD647" s="216">
        <f t="shared" si="1987"/>
        <v>28</v>
      </c>
      <c r="BE647" s="220">
        <f t="shared" si="2039"/>
        <v>0</v>
      </c>
      <c r="BF647" s="220">
        <f t="shared" si="2040"/>
        <v>0</v>
      </c>
      <c r="BG647" s="220">
        <f t="shared" si="2041"/>
        <v>0</v>
      </c>
      <c r="BH647" s="220">
        <f t="shared" si="2042"/>
        <v>0</v>
      </c>
      <c r="BI647" s="220">
        <f t="shared" si="2043"/>
        <v>0</v>
      </c>
      <c r="BJ647" s="220" t="s">
        <v>1126</v>
      </c>
      <c r="BK647" s="220"/>
      <c r="BL647" s="223">
        <f t="shared" si="2005"/>
        <v>207.60000000000002</v>
      </c>
      <c r="BM647" s="220">
        <v>3.99</v>
      </c>
      <c r="BN647" s="220"/>
      <c r="BO647" s="220">
        <f t="shared" ref="BO647:BO652" si="2121">ROUND(BM647+(BM647*BN647),2)</f>
        <v>3.99</v>
      </c>
      <c r="BP647" s="220">
        <f>IF(AND(BL647&gt;0,BL647&lt;tiet!$D$1),BL647,IF(BL647&lt;=0,0,IF(BL647&gt;tiet!$C$1,tiet!$C$1)))</f>
        <v>200</v>
      </c>
      <c r="BQ647" s="87">
        <f t="shared" si="2102"/>
        <v>65000</v>
      </c>
      <c r="BR647" s="224">
        <f t="shared" si="2099"/>
        <v>13000000</v>
      </c>
      <c r="BS647" s="220">
        <f t="shared" si="1933"/>
        <v>7.6000000000000227</v>
      </c>
      <c r="BT647" s="224">
        <f>VLOOKUP(N647,ma_dinhmuc!$A$1:$J$31,10,0)</f>
        <v>51000</v>
      </c>
      <c r="BU647" s="224">
        <f>ROUND(IF(BS647&gt;0,VLOOKUP(N647,ma_dinhmuc!$A$1:$J$31,10,0)*BS647,0),0)</f>
        <v>387600</v>
      </c>
      <c r="BV647" s="224">
        <f t="shared" si="2100"/>
        <v>13387600</v>
      </c>
      <c r="BW647" s="224"/>
      <c r="BX647" s="224">
        <v>0</v>
      </c>
      <c r="BY647" s="224"/>
      <c r="BZ647" s="224"/>
      <c r="CA647" s="224"/>
      <c r="CB647" s="224"/>
      <c r="CC647" s="225">
        <f t="shared" si="2112"/>
        <v>13387600</v>
      </c>
      <c r="CD647" s="224">
        <f t="shared" si="2113"/>
        <v>0</v>
      </c>
      <c r="CE647" s="224"/>
      <c r="CF647" s="226"/>
      <c r="CG647" s="87"/>
      <c r="CH647" s="87">
        <f t="shared" si="2068"/>
        <v>7</v>
      </c>
      <c r="CI647" s="227" t="str">
        <f t="shared" si="2115"/>
        <v>Hoàng</v>
      </c>
      <c r="CJ647" s="227" t="str">
        <f t="shared" si="2115"/>
        <v>Hiệp</v>
      </c>
      <c r="CK647" s="87">
        <f t="shared" si="2116"/>
        <v>13</v>
      </c>
      <c r="CL647" s="227" t="str">
        <f t="shared" si="2070"/>
        <v>Hoá học</v>
      </c>
      <c r="CM647" s="87" t="str">
        <f t="shared" si="2044"/>
        <v>CB2</v>
      </c>
      <c r="CN647" s="87">
        <f t="shared" si="2117"/>
        <v>270</v>
      </c>
      <c r="CO647" s="87">
        <f t="shared" si="2117"/>
        <v>80</v>
      </c>
      <c r="CP647" s="229">
        <f t="shared" si="1943"/>
        <v>0</v>
      </c>
      <c r="CQ647" s="229">
        <f t="shared" si="1944"/>
        <v>73.599999999999994</v>
      </c>
      <c r="CR647" s="229">
        <f t="shared" si="1945"/>
        <v>29.5</v>
      </c>
      <c r="CS647" s="229">
        <f t="shared" si="1946"/>
        <v>0</v>
      </c>
      <c r="CT647" s="229">
        <f t="shared" si="1947"/>
        <v>0</v>
      </c>
      <c r="CU647" s="229">
        <f t="shared" si="1948"/>
        <v>204.5</v>
      </c>
      <c r="CV647" s="229">
        <f t="shared" si="1949"/>
        <v>0</v>
      </c>
      <c r="CW647" s="229">
        <f t="shared" si="1950"/>
        <v>116</v>
      </c>
      <c r="CX647" s="229">
        <f t="shared" si="1951"/>
        <v>0</v>
      </c>
      <c r="CY647" s="229">
        <f t="shared" si="1952"/>
        <v>0</v>
      </c>
      <c r="CZ647" s="229">
        <f t="shared" si="1953"/>
        <v>0</v>
      </c>
      <c r="DA647" s="229">
        <f t="shared" si="1954"/>
        <v>0</v>
      </c>
      <c r="DB647" s="228">
        <f t="shared" si="2045"/>
        <v>423.6</v>
      </c>
      <c r="DC647" s="229"/>
      <c r="DD647" s="229"/>
      <c r="DE647" s="229"/>
      <c r="DF647" s="229"/>
      <c r="DG647" s="229"/>
      <c r="DH647" s="229"/>
      <c r="DI647" s="229"/>
      <c r="DJ647" s="229"/>
      <c r="DK647" s="229"/>
      <c r="DL647" s="229"/>
      <c r="DM647" s="229"/>
      <c r="DN647" s="229"/>
      <c r="DO647" s="228">
        <f t="shared" si="2046"/>
        <v>0</v>
      </c>
      <c r="DP647" s="228">
        <f t="shared" si="2047"/>
        <v>423.6</v>
      </c>
      <c r="DQ647" s="229">
        <f t="shared" si="1955"/>
        <v>0</v>
      </c>
      <c r="DR647" s="229">
        <f t="shared" si="1956"/>
        <v>0</v>
      </c>
      <c r="DS647" s="229">
        <f t="shared" si="1957"/>
        <v>0</v>
      </c>
      <c r="DT647" s="229">
        <f t="shared" si="1958"/>
        <v>0</v>
      </c>
      <c r="DU647" s="229">
        <f t="shared" si="1959"/>
        <v>0</v>
      </c>
      <c r="DV647" s="229">
        <f t="shared" si="1960"/>
        <v>28</v>
      </c>
      <c r="DW647" s="229">
        <f t="shared" si="1961"/>
        <v>0</v>
      </c>
      <c r="DX647" s="228">
        <f t="shared" si="2048"/>
        <v>28</v>
      </c>
      <c r="DY647" s="229"/>
      <c r="DZ647" s="229"/>
      <c r="EA647" s="229"/>
      <c r="EB647" s="229"/>
      <c r="EC647" s="229"/>
      <c r="ED647" s="229"/>
      <c r="EE647" s="229"/>
      <c r="EF647" s="228">
        <f t="shared" si="1939"/>
        <v>0</v>
      </c>
      <c r="EG647" s="228">
        <f t="shared" si="2049"/>
        <v>28</v>
      </c>
      <c r="EH647" s="229">
        <f t="shared" si="1940"/>
        <v>156.66</v>
      </c>
      <c r="EI647" s="229">
        <v>185.25</v>
      </c>
      <c r="EJ647" s="228">
        <f t="shared" si="2055"/>
        <v>341.90999999999997</v>
      </c>
      <c r="EK647" s="229"/>
      <c r="EL647" s="229"/>
      <c r="EM647" s="228">
        <f t="shared" si="2104"/>
        <v>0</v>
      </c>
      <c r="EN647" s="229">
        <f t="shared" si="2086"/>
        <v>156.66</v>
      </c>
      <c r="EO647" s="229">
        <f t="shared" si="1983"/>
        <v>185.25</v>
      </c>
      <c r="EP647" s="228">
        <f t="shared" si="2118"/>
        <v>341.90999999999997</v>
      </c>
      <c r="EQ647" s="173">
        <f t="shared" si="1934"/>
        <v>76.66</v>
      </c>
      <c r="ER647" s="189">
        <v>0</v>
      </c>
      <c r="ES647" s="189">
        <v>73.599999999999994</v>
      </c>
      <c r="ET647" s="189">
        <v>29.5</v>
      </c>
      <c r="EU647" s="189">
        <v>0</v>
      </c>
      <c r="EV647" s="189">
        <v>0</v>
      </c>
      <c r="EW647" s="189">
        <v>204.5</v>
      </c>
      <c r="EX647" s="189">
        <v>0</v>
      </c>
      <c r="EY647" s="189">
        <v>116</v>
      </c>
      <c r="EZ647" s="189">
        <v>0</v>
      </c>
      <c r="FA647" s="189">
        <v>0</v>
      </c>
      <c r="FB647" s="189">
        <v>0</v>
      </c>
      <c r="FC647" s="189">
        <v>0</v>
      </c>
      <c r="FD647" s="189">
        <v>0</v>
      </c>
      <c r="FE647" s="189">
        <v>0</v>
      </c>
      <c r="FF647" s="189">
        <v>0</v>
      </c>
      <c r="FG647" s="189">
        <v>0</v>
      </c>
      <c r="FH647" s="189">
        <v>28</v>
      </c>
      <c r="FI647" s="189">
        <v>0</v>
      </c>
      <c r="FJ647" s="189">
        <v>0</v>
      </c>
      <c r="FK647" s="189">
        <v>451.6</v>
      </c>
      <c r="FL647" s="189">
        <v>317</v>
      </c>
      <c r="FN647" s="132">
        <v>156.66</v>
      </c>
    </row>
    <row r="648" spans="1:170" ht="30" customHeight="1">
      <c r="A648" s="88">
        <f>COUNTIF($H$12:H648,H648)</f>
        <v>8</v>
      </c>
      <c r="B648" s="88" t="s">
        <v>2148</v>
      </c>
      <c r="C648" s="88" t="s">
        <v>121</v>
      </c>
      <c r="D648" s="88"/>
      <c r="E648" s="88"/>
      <c r="F648" s="301" t="s">
        <v>724</v>
      </c>
      <c r="G648" s="89" t="s">
        <v>2883</v>
      </c>
      <c r="H648" s="88">
        <v>13</v>
      </c>
      <c r="I648" s="88">
        <v>13</v>
      </c>
      <c r="J648" s="88">
        <v>13</v>
      </c>
      <c r="K648" s="90" t="s">
        <v>1617</v>
      </c>
      <c r="L648" s="90" t="s">
        <v>1617</v>
      </c>
      <c r="M648" s="214"/>
      <c r="N648" s="88" t="s">
        <v>1179</v>
      </c>
      <c r="O648" s="216">
        <f t="shared" si="2069"/>
        <v>3.99</v>
      </c>
      <c r="P648" s="88" t="str">
        <f t="shared" si="2090"/>
        <v>B11_4</v>
      </c>
      <c r="Q648" s="88">
        <f t="shared" si="1935"/>
        <v>270</v>
      </c>
      <c r="R648" s="88">
        <f t="shared" si="1936"/>
        <v>80</v>
      </c>
      <c r="S648" s="218"/>
      <c r="T648" s="88" t="s">
        <v>3088</v>
      </c>
      <c r="U648" s="88">
        <f>IF(RIGHT(T648,1)="K",(VLOOKUP(T648,ma_miengiam!$A$3:$B$80,2,0)*100)/2,VLOOKUP(T648,ma_miengiam!$A$3:$B$80,2,0)*100)</f>
        <v>0</v>
      </c>
      <c r="V648" s="88"/>
      <c r="W648" s="220">
        <f>IF(AND(T648="NTS",V648&gt;0),(Q648-(Q648*V648)/12)*VLOOKUP(T648,ma_miengiam!$A$3:$B$80,2,0)+(Q648-(Q648*(12-V648))/12),IF(AND(RIGHT(T648,1)="K",V648&gt;0),(VLOOKUP(T648,ma_miengiam!$A$3:$B$80,2,0)/2)*(Q648*V648)/12,IF(RIGHT(T648,1)="K",(VLOOKUP(T648,ma_miengiam!$A$3:$B$80,2,0)*Q648)/2,IF(V648&gt;0,VLOOKUP(T648,ma_miengiam!$A$3:$B$80,2,0)*Q648*V648/12,VLOOKUP(T648,ma_miengiam!$A$3:$B$80,2,0)*Q648))))</f>
        <v>0</v>
      </c>
      <c r="X648" s="220">
        <f>IF(T648="NTS",VLOOKUP(T648,ma_miengiam!$A$3:$B$80,2,0)*R648*V648,IF(AND(T648="NTS",V648=0),0,IF(AND(LEFT(T648,1)="K",V648=0),VLOOKUP(T648,ma_miengiam!$A$3:$B$80,2,0)*R648,IF(LEFT(T648,1)="K",(VLOOKUP(T648,ma_miengiam!$A$3:$B$80,2,0)*R648/12)*V648,IF(AND(LEFT(T648,1)="S",V648&gt;0),(R648/12)*V648,IF(AND(LEFT(T648,1)="S",V648=0),R648,IF(T648="DH",VLOOKUP(T648,ma_miengiam!$A$3:$B$80,2,0)*R648,0)))))))</f>
        <v>0</v>
      </c>
      <c r="Y648" s="220">
        <f t="shared" si="1963"/>
        <v>270</v>
      </c>
      <c r="Z648" s="220">
        <f t="shared" si="2065"/>
        <v>80</v>
      </c>
      <c r="AA648" s="220">
        <f t="shared" si="2119"/>
        <v>270</v>
      </c>
      <c r="AB648" s="220">
        <f t="shared" si="2119"/>
        <v>80</v>
      </c>
      <c r="AC648" s="220">
        <f t="shared" si="2120"/>
        <v>0</v>
      </c>
      <c r="AD648" s="220">
        <f t="shared" si="2120"/>
        <v>0</v>
      </c>
      <c r="AE648" s="220">
        <f t="shared" si="2120"/>
        <v>270</v>
      </c>
      <c r="AF648" s="220">
        <f t="shared" si="2120"/>
        <v>80</v>
      </c>
      <c r="AG648" s="220">
        <f t="shared" si="2092"/>
        <v>92.07</v>
      </c>
      <c r="AH648" s="220">
        <f t="shared" si="2093"/>
        <v>55.4</v>
      </c>
      <c r="AI648" s="220">
        <f t="shared" si="2094"/>
        <v>36.67</v>
      </c>
      <c r="AJ648" s="220">
        <f t="shared" si="2101"/>
        <v>0</v>
      </c>
      <c r="AK648" s="216">
        <f t="shared" si="2051"/>
        <v>270</v>
      </c>
      <c r="AL648" s="220">
        <f t="shared" si="2024"/>
        <v>525.6</v>
      </c>
      <c r="AM648" s="220">
        <f t="shared" si="2025"/>
        <v>57.7</v>
      </c>
      <c r="AN648" s="221">
        <f t="shared" si="2026"/>
        <v>583.30000000000007</v>
      </c>
      <c r="AO648" s="220">
        <f t="shared" si="2027"/>
        <v>0</v>
      </c>
      <c r="AP648" s="220">
        <f t="shared" si="2028"/>
        <v>0</v>
      </c>
      <c r="AQ648" s="220">
        <f t="shared" si="2029"/>
        <v>14</v>
      </c>
      <c r="AR648" s="220">
        <f t="shared" si="2030"/>
        <v>40</v>
      </c>
      <c r="AS648" s="220">
        <f t="shared" si="2031"/>
        <v>0</v>
      </c>
      <c r="AT648" s="216">
        <f t="shared" si="2032"/>
        <v>637.30000000000007</v>
      </c>
      <c r="AU648" s="222">
        <f t="shared" ref="AU648:AU703" si="2122">AN648-AK648</f>
        <v>313.30000000000007</v>
      </c>
      <c r="AV648" s="220"/>
      <c r="AW648" s="220">
        <f t="shared" si="2033"/>
        <v>313.30000000000007</v>
      </c>
      <c r="AX648" s="216">
        <f t="shared" si="2020"/>
        <v>0</v>
      </c>
      <c r="AY648" s="220">
        <f t="shared" si="2034"/>
        <v>0</v>
      </c>
      <c r="AZ648" s="220">
        <f t="shared" si="2035"/>
        <v>0</v>
      </c>
      <c r="BA648" s="220">
        <f t="shared" si="2036"/>
        <v>14</v>
      </c>
      <c r="BB648" s="220">
        <f t="shared" si="2037"/>
        <v>40</v>
      </c>
      <c r="BC648" s="220">
        <f t="shared" si="2038"/>
        <v>0</v>
      </c>
      <c r="BD648" s="216">
        <f t="shared" si="1987"/>
        <v>54</v>
      </c>
      <c r="BE648" s="220">
        <f t="shared" si="2039"/>
        <v>0</v>
      </c>
      <c r="BF648" s="220">
        <f t="shared" si="2040"/>
        <v>0</v>
      </c>
      <c r="BG648" s="220">
        <f t="shared" si="2041"/>
        <v>0</v>
      </c>
      <c r="BH648" s="220">
        <f t="shared" si="2042"/>
        <v>0</v>
      </c>
      <c r="BI648" s="220">
        <f t="shared" si="2043"/>
        <v>0</v>
      </c>
      <c r="BJ648" s="220" t="s">
        <v>1126</v>
      </c>
      <c r="BK648" s="220"/>
      <c r="BL648" s="223">
        <f t="shared" si="2005"/>
        <v>313.30000000000007</v>
      </c>
      <c r="BM648" s="220">
        <v>3.99</v>
      </c>
      <c r="BN648" s="220"/>
      <c r="BO648" s="220">
        <f t="shared" si="2121"/>
        <v>3.99</v>
      </c>
      <c r="BP648" s="220">
        <f>IF(AND(BL648&gt;0,BL648&lt;tiet!$D$1),BL648,IF(BL648&lt;=0,0,IF(BL648&gt;tiet!$C$1,tiet!$C$1)))</f>
        <v>200</v>
      </c>
      <c r="BQ648" s="87">
        <f t="shared" si="2102"/>
        <v>65000</v>
      </c>
      <c r="BR648" s="224">
        <f t="shared" si="2099"/>
        <v>13000000</v>
      </c>
      <c r="BS648" s="220">
        <f t="shared" si="1933"/>
        <v>113.30000000000007</v>
      </c>
      <c r="BT648" s="224">
        <f>VLOOKUP(N648,ma_dinhmuc!$A$1:$J$31,10,0)</f>
        <v>51000</v>
      </c>
      <c r="BU648" s="224">
        <f>ROUND(IF(BS648&gt;0,VLOOKUP(N648,ma_dinhmuc!$A$1:$J$31,10,0)*BS648,0),0)</f>
        <v>5778300</v>
      </c>
      <c r="BV648" s="224">
        <f t="shared" si="2100"/>
        <v>18778300</v>
      </c>
      <c r="BW648" s="224"/>
      <c r="BX648" s="224">
        <v>0</v>
      </c>
      <c r="BY648" s="224"/>
      <c r="BZ648" s="224"/>
      <c r="CA648" s="224"/>
      <c r="CB648" s="224"/>
      <c r="CC648" s="225">
        <f t="shared" si="2112"/>
        <v>18778300</v>
      </c>
      <c r="CD648" s="224">
        <f t="shared" si="2113"/>
        <v>0</v>
      </c>
      <c r="CE648" s="224"/>
      <c r="CF648" s="226"/>
      <c r="CG648" s="87"/>
      <c r="CH648" s="87">
        <f t="shared" si="2068"/>
        <v>8</v>
      </c>
      <c r="CI648" s="227" t="str">
        <f t="shared" si="2115"/>
        <v>Vũ Thị</v>
      </c>
      <c r="CJ648" s="227" t="str">
        <f t="shared" si="2115"/>
        <v>Huyền</v>
      </c>
      <c r="CK648" s="87">
        <f t="shared" si="2116"/>
        <v>13</v>
      </c>
      <c r="CL648" s="227" t="str">
        <f t="shared" si="2070"/>
        <v>Hoá học</v>
      </c>
      <c r="CM648" s="87" t="str">
        <f t="shared" si="2044"/>
        <v>CB2</v>
      </c>
      <c r="CN648" s="87">
        <f t="shared" si="2117"/>
        <v>270</v>
      </c>
      <c r="CO648" s="87">
        <f t="shared" si="2117"/>
        <v>80</v>
      </c>
      <c r="CP648" s="229">
        <f t="shared" si="1943"/>
        <v>0</v>
      </c>
      <c r="CQ648" s="229">
        <f t="shared" si="1944"/>
        <v>142.69999999999999</v>
      </c>
      <c r="CR648" s="229">
        <f t="shared" si="1945"/>
        <v>39.4</v>
      </c>
      <c r="CS648" s="229">
        <f t="shared" si="1946"/>
        <v>0</v>
      </c>
      <c r="CT648" s="229">
        <f t="shared" si="1947"/>
        <v>0</v>
      </c>
      <c r="CU648" s="229">
        <f t="shared" si="1948"/>
        <v>255.5</v>
      </c>
      <c r="CV648" s="229">
        <f t="shared" si="1949"/>
        <v>0</v>
      </c>
      <c r="CW648" s="229">
        <f t="shared" si="1950"/>
        <v>88</v>
      </c>
      <c r="CX648" s="229">
        <f t="shared" si="1951"/>
        <v>0</v>
      </c>
      <c r="CY648" s="229">
        <f t="shared" si="1952"/>
        <v>0</v>
      </c>
      <c r="CZ648" s="229">
        <f t="shared" si="1953"/>
        <v>0</v>
      </c>
      <c r="DA648" s="229">
        <f t="shared" si="1954"/>
        <v>14</v>
      </c>
      <c r="DB648" s="228">
        <f t="shared" si="2045"/>
        <v>539.6</v>
      </c>
      <c r="DC648" s="229"/>
      <c r="DD648" s="229"/>
      <c r="DE648" s="229"/>
      <c r="DF648" s="229"/>
      <c r="DG648" s="229"/>
      <c r="DH648" s="229"/>
      <c r="DI648" s="229"/>
      <c r="DJ648" s="229"/>
      <c r="DK648" s="229"/>
      <c r="DL648" s="229"/>
      <c r="DM648" s="229"/>
      <c r="DN648" s="229"/>
      <c r="DO648" s="228">
        <f t="shared" si="2046"/>
        <v>0</v>
      </c>
      <c r="DP648" s="228">
        <f t="shared" si="2047"/>
        <v>539.6</v>
      </c>
      <c r="DQ648" s="229">
        <f t="shared" si="1955"/>
        <v>54</v>
      </c>
      <c r="DR648" s="229">
        <f t="shared" si="1956"/>
        <v>2.6</v>
      </c>
      <c r="DS648" s="229">
        <f t="shared" si="1957"/>
        <v>0</v>
      </c>
      <c r="DT648" s="229">
        <f t="shared" si="1958"/>
        <v>1.1000000000000001</v>
      </c>
      <c r="DU648" s="229">
        <f t="shared" si="1959"/>
        <v>0</v>
      </c>
      <c r="DV648" s="229">
        <f t="shared" si="1960"/>
        <v>40</v>
      </c>
      <c r="DW648" s="229">
        <f t="shared" si="1961"/>
        <v>0</v>
      </c>
      <c r="DX648" s="228">
        <f t="shared" si="2048"/>
        <v>97.7</v>
      </c>
      <c r="DY648" s="229"/>
      <c r="DZ648" s="229"/>
      <c r="EA648" s="229"/>
      <c r="EB648" s="229"/>
      <c r="EC648" s="229"/>
      <c r="ED648" s="229"/>
      <c r="EE648" s="229"/>
      <c r="EF648" s="228">
        <f t="shared" si="1939"/>
        <v>0</v>
      </c>
      <c r="EG648" s="228">
        <f t="shared" si="2049"/>
        <v>97.7</v>
      </c>
      <c r="EH648" s="229">
        <f t="shared" si="1940"/>
        <v>36.67</v>
      </c>
      <c r="EI648" s="229">
        <v>55.4</v>
      </c>
      <c r="EJ648" s="228">
        <f t="shared" si="2055"/>
        <v>92.07</v>
      </c>
      <c r="EK648" s="229"/>
      <c r="EL648" s="229"/>
      <c r="EM648" s="228">
        <f t="shared" si="2104"/>
        <v>0</v>
      </c>
      <c r="EN648" s="229">
        <f t="shared" si="2086"/>
        <v>36.67</v>
      </c>
      <c r="EO648" s="229">
        <f t="shared" ref="EO648:EO703" si="2123">EI648</f>
        <v>55.4</v>
      </c>
      <c r="EP648" s="228">
        <f t="shared" si="2118"/>
        <v>92.07</v>
      </c>
      <c r="EQ648" s="173">
        <f t="shared" si="1934"/>
        <v>0</v>
      </c>
      <c r="ER648" s="189">
        <v>0</v>
      </c>
      <c r="ES648" s="189">
        <v>142.69999999999999</v>
      </c>
      <c r="ET648" s="189">
        <v>39.4</v>
      </c>
      <c r="EU648" s="189">
        <v>0</v>
      </c>
      <c r="EV648" s="189">
        <v>0</v>
      </c>
      <c r="EW648" s="189">
        <v>255.5</v>
      </c>
      <c r="EX648" s="189">
        <v>0</v>
      </c>
      <c r="EY648" s="189">
        <v>88</v>
      </c>
      <c r="EZ648" s="189">
        <v>0</v>
      </c>
      <c r="FA648" s="189">
        <v>0</v>
      </c>
      <c r="FB648" s="189">
        <v>0</v>
      </c>
      <c r="FC648" s="189">
        <v>14</v>
      </c>
      <c r="FD648" s="189">
        <v>54</v>
      </c>
      <c r="FE648" s="189">
        <v>2.6</v>
      </c>
      <c r="FF648" s="189">
        <v>0</v>
      </c>
      <c r="FG648" s="189">
        <v>1.1000000000000001</v>
      </c>
      <c r="FH648" s="189">
        <v>40</v>
      </c>
      <c r="FI648" s="189">
        <v>0</v>
      </c>
      <c r="FJ648" s="189">
        <v>0</v>
      </c>
      <c r="FK648" s="189">
        <v>637.29999999999995</v>
      </c>
      <c r="FL648" s="189">
        <v>386</v>
      </c>
      <c r="FN648" s="132">
        <v>36.67</v>
      </c>
    </row>
    <row r="649" spans="1:170" ht="30" customHeight="1">
      <c r="A649" s="88">
        <f>COUNTIF($H$12:H649,H649)</f>
        <v>9</v>
      </c>
      <c r="B649" s="88" t="s">
        <v>2149</v>
      </c>
      <c r="C649" s="88" t="s">
        <v>122</v>
      </c>
      <c r="D649" s="88"/>
      <c r="E649" s="88"/>
      <c r="F649" s="301" t="s">
        <v>3157</v>
      </c>
      <c r="G649" s="303" t="s">
        <v>1177</v>
      </c>
      <c r="H649" s="88">
        <v>13</v>
      </c>
      <c r="I649" s="88">
        <v>13</v>
      </c>
      <c r="J649" s="88">
        <v>13</v>
      </c>
      <c r="K649" s="90" t="s">
        <v>1617</v>
      </c>
      <c r="L649" s="90" t="s">
        <v>1617</v>
      </c>
      <c r="M649" s="214"/>
      <c r="N649" s="88" t="s">
        <v>1179</v>
      </c>
      <c r="O649" s="216">
        <f t="shared" si="2069"/>
        <v>3.33</v>
      </c>
      <c r="P649" s="88" t="str">
        <f t="shared" si="2090"/>
        <v>B11_4</v>
      </c>
      <c r="Q649" s="88">
        <f t="shared" si="1935"/>
        <v>270</v>
      </c>
      <c r="R649" s="88">
        <f t="shared" si="1936"/>
        <v>80</v>
      </c>
      <c r="S649" s="218"/>
      <c r="T649" s="88" t="s">
        <v>3088</v>
      </c>
      <c r="U649" s="88">
        <f>IF(RIGHT(T649,1)="K",(VLOOKUP(T649,ma_miengiam!$A$3:$B$80,2,0)*100)/2,VLOOKUP(T649,ma_miengiam!$A$3:$B$80,2,0)*100)</f>
        <v>0</v>
      </c>
      <c r="V649" s="88"/>
      <c r="W649" s="220">
        <f>IF(AND(T649="NTS",V649&gt;0),(Q649-(Q649*V649)/12)*VLOOKUP(T649,ma_miengiam!$A$3:$B$80,2,0)+(Q649-(Q649*(12-V649))/12),IF(AND(RIGHT(T649,1)="K",V649&gt;0),(VLOOKUP(T649,ma_miengiam!$A$3:$B$80,2,0)/2)*(Q649*V649)/12,IF(RIGHT(T649,1)="K",(VLOOKUP(T649,ma_miengiam!$A$3:$B$80,2,0)*Q649)/2,IF(V649&gt;0,VLOOKUP(T649,ma_miengiam!$A$3:$B$80,2,0)*Q649*V649/12,VLOOKUP(T649,ma_miengiam!$A$3:$B$80,2,0)*Q649))))</f>
        <v>0</v>
      </c>
      <c r="X649" s="220">
        <f>IF(T649="NTS",VLOOKUP(T649,ma_miengiam!$A$3:$B$80,2,0)*R649*V649,IF(AND(T649="NTS",V649=0),0,IF(AND(LEFT(T649,1)="K",V649=0),VLOOKUP(T649,ma_miengiam!$A$3:$B$80,2,0)*R649,IF(LEFT(T649,1)="K",(VLOOKUP(T649,ma_miengiam!$A$3:$B$80,2,0)*R649/12)*V649,IF(AND(LEFT(T649,1)="S",V649&gt;0),(R649/12)*V649,IF(AND(LEFT(T649,1)="S",V649=0),R649,IF(T649="DH",VLOOKUP(T649,ma_miengiam!$A$3:$B$80,2,0)*R649,0)))))))</f>
        <v>0</v>
      </c>
      <c r="Y649" s="220">
        <f t="shared" si="1963"/>
        <v>270</v>
      </c>
      <c r="Z649" s="220">
        <f t="shared" si="2065"/>
        <v>80</v>
      </c>
      <c r="AA649" s="220">
        <f t="shared" si="2119"/>
        <v>270</v>
      </c>
      <c r="AB649" s="220">
        <f t="shared" si="2119"/>
        <v>80</v>
      </c>
      <c r="AC649" s="220">
        <f t="shared" ref="AC649:AF650" si="2124">W649</f>
        <v>0</v>
      </c>
      <c r="AD649" s="220">
        <f t="shared" si="2124"/>
        <v>0</v>
      </c>
      <c r="AE649" s="220">
        <f t="shared" si="2124"/>
        <v>270</v>
      </c>
      <c r="AF649" s="220">
        <f t="shared" si="2124"/>
        <v>80</v>
      </c>
      <c r="AG649" s="220">
        <f t="shared" ref="AG649:AG655" si="2125">AH649+AI649</f>
        <v>126.66</v>
      </c>
      <c r="AH649" s="220">
        <f t="shared" ref="AH649:AH655" si="2126">EO649</f>
        <v>68.33</v>
      </c>
      <c r="AI649" s="220">
        <f t="shared" ref="AI649:AI655" si="2127">EN649</f>
        <v>58.33</v>
      </c>
      <c r="AJ649" s="220">
        <f t="shared" si="2101"/>
        <v>0</v>
      </c>
      <c r="AK649" s="216">
        <f t="shared" si="2051"/>
        <v>270</v>
      </c>
      <c r="AL649" s="220">
        <f t="shared" si="2024"/>
        <v>209.8</v>
      </c>
      <c r="AM649" s="220">
        <f t="shared" si="2025"/>
        <v>0</v>
      </c>
      <c r="AN649" s="221">
        <f t="shared" si="2026"/>
        <v>209.8</v>
      </c>
      <c r="AO649" s="220">
        <f t="shared" si="2027"/>
        <v>0</v>
      </c>
      <c r="AP649" s="220">
        <f t="shared" si="2028"/>
        <v>0</v>
      </c>
      <c r="AQ649" s="220">
        <f t="shared" si="2029"/>
        <v>0</v>
      </c>
      <c r="AR649" s="220">
        <f t="shared" si="2030"/>
        <v>0</v>
      </c>
      <c r="AS649" s="220">
        <f t="shared" si="2031"/>
        <v>0</v>
      </c>
      <c r="AT649" s="216">
        <f t="shared" si="2032"/>
        <v>209.8</v>
      </c>
      <c r="AU649" s="222">
        <f t="shared" si="2122"/>
        <v>-60.199999999999989</v>
      </c>
      <c r="AV649" s="220"/>
      <c r="AW649" s="220">
        <f t="shared" si="2033"/>
        <v>-60.199999999999989</v>
      </c>
      <c r="AX649" s="216">
        <f t="shared" si="2020"/>
        <v>-60.199999999999989</v>
      </c>
      <c r="AY649" s="220">
        <f t="shared" si="2034"/>
        <v>0</v>
      </c>
      <c r="AZ649" s="220">
        <f t="shared" si="2035"/>
        <v>0</v>
      </c>
      <c r="BA649" s="220">
        <f t="shared" si="2036"/>
        <v>0</v>
      </c>
      <c r="BB649" s="220">
        <f t="shared" si="2037"/>
        <v>0</v>
      </c>
      <c r="BC649" s="220">
        <f t="shared" si="2038"/>
        <v>0</v>
      </c>
      <c r="BD649" s="216">
        <f t="shared" si="1987"/>
        <v>0</v>
      </c>
      <c r="BE649" s="220">
        <f t="shared" si="2039"/>
        <v>0</v>
      </c>
      <c r="BF649" s="220">
        <f t="shared" si="2040"/>
        <v>0</v>
      </c>
      <c r="BG649" s="220">
        <f t="shared" si="2041"/>
        <v>0</v>
      </c>
      <c r="BH649" s="220">
        <f t="shared" si="2042"/>
        <v>0</v>
      </c>
      <c r="BI649" s="220">
        <f t="shared" si="2043"/>
        <v>0</v>
      </c>
      <c r="BJ649" s="220" t="s">
        <v>1126</v>
      </c>
      <c r="BK649" s="220"/>
      <c r="BL649" s="223">
        <f t="shared" si="2005"/>
        <v>0</v>
      </c>
      <c r="BM649" s="220">
        <v>3.33</v>
      </c>
      <c r="BN649" s="220"/>
      <c r="BO649" s="220">
        <f t="shared" si="2121"/>
        <v>3.33</v>
      </c>
      <c r="BP649" s="220">
        <f>IF(AND(BL649&gt;0,BL649&lt;tiet!$D$1),BL649,IF(BL649&lt;=0,0,IF(BL649&gt;tiet!$C$1,tiet!$C$1)))</f>
        <v>0</v>
      </c>
      <c r="BQ649" s="87">
        <f t="shared" si="2102"/>
        <v>65000</v>
      </c>
      <c r="BR649" s="224">
        <f t="shared" si="2099"/>
        <v>0</v>
      </c>
      <c r="BS649" s="220">
        <f t="shared" si="1933"/>
        <v>0</v>
      </c>
      <c r="BT649" s="224">
        <f>VLOOKUP(N649,ma_dinhmuc!$A$1:$J$31,10,0)</f>
        <v>51000</v>
      </c>
      <c r="BU649" s="224">
        <f>ROUND(IF(BS649&gt;0,VLOOKUP(N649,ma_dinhmuc!$A$1:$J$31,10,0)*BS649,0),0)</f>
        <v>0</v>
      </c>
      <c r="BV649" s="224">
        <f t="shared" si="2100"/>
        <v>0</v>
      </c>
      <c r="BW649" s="224"/>
      <c r="BX649" s="224">
        <v>0</v>
      </c>
      <c r="BY649" s="224"/>
      <c r="BZ649" s="224"/>
      <c r="CA649" s="224"/>
      <c r="CB649" s="224"/>
      <c r="CC649" s="225">
        <f t="shared" si="2112"/>
        <v>0</v>
      </c>
      <c r="CD649" s="224">
        <f t="shared" si="2113"/>
        <v>0</v>
      </c>
      <c r="CE649" s="224"/>
      <c r="CF649" s="226"/>
      <c r="CG649" s="87"/>
      <c r="CH649" s="87">
        <f t="shared" si="2068"/>
        <v>9</v>
      </c>
      <c r="CI649" s="227" t="str">
        <f t="shared" ref="CI649:CJ652" si="2128">F649</f>
        <v>Hán Thị Phương</v>
      </c>
      <c r="CJ649" s="227" t="str">
        <f t="shared" si="2128"/>
        <v>Nga</v>
      </c>
      <c r="CK649" s="87">
        <f t="shared" si="2116"/>
        <v>13</v>
      </c>
      <c r="CL649" s="227" t="str">
        <f t="shared" si="2070"/>
        <v>Hoá học</v>
      </c>
      <c r="CM649" s="87" t="str">
        <f t="shared" si="2044"/>
        <v>CB2</v>
      </c>
      <c r="CN649" s="87">
        <f t="shared" ref="CN649:CO652" si="2129">Q649</f>
        <v>270</v>
      </c>
      <c r="CO649" s="87">
        <f t="shared" si="2129"/>
        <v>80</v>
      </c>
      <c r="CP649" s="229">
        <f t="shared" si="1943"/>
        <v>0</v>
      </c>
      <c r="CQ649" s="229">
        <f t="shared" si="1944"/>
        <v>11.3</v>
      </c>
      <c r="CR649" s="229">
        <f t="shared" si="1945"/>
        <v>4.5</v>
      </c>
      <c r="CS649" s="229">
        <f t="shared" si="1946"/>
        <v>0</v>
      </c>
      <c r="CT649" s="229">
        <f t="shared" si="1947"/>
        <v>0</v>
      </c>
      <c r="CU649" s="229">
        <f t="shared" si="1948"/>
        <v>82</v>
      </c>
      <c r="CV649" s="229">
        <f t="shared" si="1949"/>
        <v>0</v>
      </c>
      <c r="CW649" s="229">
        <f t="shared" si="1950"/>
        <v>112</v>
      </c>
      <c r="CX649" s="229">
        <f t="shared" si="1951"/>
        <v>0</v>
      </c>
      <c r="CY649" s="229">
        <f t="shared" si="1952"/>
        <v>0</v>
      </c>
      <c r="CZ649" s="229">
        <f t="shared" si="1953"/>
        <v>0</v>
      </c>
      <c r="DA649" s="229">
        <f t="shared" si="1954"/>
        <v>0</v>
      </c>
      <c r="DB649" s="228">
        <f t="shared" si="2045"/>
        <v>209.8</v>
      </c>
      <c r="DC649" s="229"/>
      <c r="DD649" s="229"/>
      <c r="DE649" s="229"/>
      <c r="DF649" s="229"/>
      <c r="DG649" s="229"/>
      <c r="DH649" s="229"/>
      <c r="DI649" s="229"/>
      <c r="DJ649" s="229"/>
      <c r="DK649" s="229"/>
      <c r="DL649" s="229"/>
      <c r="DM649" s="229"/>
      <c r="DN649" s="229"/>
      <c r="DO649" s="228">
        <f t="shared" si="2046"/>
        <v>0</v>
      </c>
      <c r="DP649" s="228">
        <f t="shared" si="2047"/>
        <v>209.8</v>
      </c>
      <c r="DQ649" s="229">
        <f t="shared" si="1955"/>
        <v>0</v>
      </c>
      <c r="DR649" s="229">
        <f t="shared" si="1956"/>
        <v>0</v>
      </c>
      <c r="DS649" s="229">
        <f t="shared" si="1957"/>
        <v>0</v>
      </c>
      <c r="DT649" s="229">
        <f t="shared" si="1958"/>
        <v>0</v>
      </c>
      <c r="DU649" s="229">
        <f t="shared" si="1959"/>
        <v>0</v>
      </c>
      <c r="DV649" s="229">
        <f t="shared" si="1960"/>
        <v>0</v>
      </c>
      <c r="DW649" s="229">
        <f t="shared" si="1961"/>
        <v>0</v>
      </c>
      <c r="DX649" s="228">
        <f t="shared" si="2048"/>
        <v>0</v>
      </c>
      <c r="DY649" s="229"/>
      <c r="DZ649" s="229"/>
      <c r="EA649" s="229"/>
      <c r="EB649" s="229"/>
      <c r="EC649" s="229"/>
      <c r="ED649" s="229"/>
      <c r="EE649" s="229"/>
      <c r="EF649" s="228">
        <f t="shared" si="1939"/>
        <v>0</v>
      </c>
      <c r="EG649" s="228">
        <f t="shared" si="2049"/>
        <v>0</v>
      </c>
      <c r="EH649" s="229">
        <f t="shared" si="1940"/>
        <v>58.33</v>
      </c>
      <c r="EI649" s="229">
        <v>68.33</v>
      </c>
      <c r="EJ649" s="228">
        <f t="shared" ref="EJ649:EJ666" si="2130">SUM(EH649:EI649)</f>
        <v>126.66</v>
      </c>
      <c r="EK649" s="229"/>
      <c r="EL649" s="229"/>
      <c r="EM649" s="228">
        <f t="shared" si="2104"/>
        <v>0</v>
      </c>
      <c r="EN649" s="229">
        <f t="shared" si="2086"/>
        <v>58.33</v>
      </c>
      <c r="EO649" s="229">
        <f t="shared" si="2123"/>
        <v>68.33</v>
      </c>
      <c r="EP649" s="228">
        <f t="shared" si="2118"/>
        <v>126.66</v>
      </c>
      <c r="EQ649" s="173">
        <f t="shared" si="1934"/>
        <v>0</v>
      </c>
      <c r="ER649" s="189">
        <v>0</v>
      </c>
      <c r="ES649" s="189">
        <v>11.3</v>
      </c>
      <c r="ET649" s="189">
        <v>4.5</v>
      </c>
      <c r="EU649" s="189">
        <v>0</v>
      </c>
      <c r="EV649" s="189">
        <v>0</v>
      </c>
      <c r="EW649" s="189">
        <v>82</v>
      </c>
      <c r="EX649" s="189">
        <v>0</v>
      </c>
      <c r="EY649" s="189">
        <v>112</v>
      </c>
      <c r="EZ649" s="189">
        <v>0</v>
      </c>
      <c r="FA649" s="189">
        <v>0</v>
      </c>
      <c r="FB649" s="189">
        <v>0</v>
      </c>
      <c r="FC649" s="189">
        <v>0</v>
      </c>
      <c r="FD649" s="189">
        <v>0</v>
      </c>
      <c r="FE649" s="189">
        <v>0</v>
      </c>
      <c r="FF649" s="189">
        <v>0</v>
      </c>
      <c r="FG649" s="189">
        <v>0</v>
      </c>
      <c r="FH649" s="189">
        <v>0</v>
      </c>
      <c r="FI649" s="189">
        <v>0</v>
      </c>
      <c r="FJ649" s="189">
        <v>0</v>
      </c>
      <c r="FK649" s="189">
        <v>209.8</v>
      </c>
      <c r="FL649" s="189">
        <v>168</v>
      </c>
      <c r="FN649" s="132">
        <v>58.33</v>
      </c>
    </row>
    <row r="650" spans="1:170" ht="25.5" customHeight="1">
      <c r="A650" s="88">
        <f>COUNTIF($H$12:H650,H650)</f>
        <v>10</v>
      </c>
      <c r="B650" s="88" t="s">
        <v>2150</v>
      </c>
      <c r="C650" s="88" t="s">
        <v>123</v>
      </c>
      <c r="D650" s="88"/>
      <c r="E650" s="88"/>
      <c r="F650" s="301" t="s">
        <v>2899</v>
      </c>
      <c r="G650" s="89" t="s">
        <v>1277</v>
      </c>
      <c r="H650" s="88">
        <v>13</v>
      </c>
      <c r="I650" s="88">
        <v>13</v>
      </c>
      <c r="J650" s="88">
        <v>13</v>
      </c>
      <c r="K650" s="90" t="s">
        <v>1617</v>
      </c>
      <c r="L650" s="90" t="s">
        <v>1617</v>
      </c>
      <c r="M650" s="214"/>
      <c r="N650" s="88" t="s">
        <v>1179</v>
      </c>
      <c r="O650" s="216">
        <f t="shared" ref="O650:O666" si="2131">BO650</f>
        <v>3</v>
      </c>
      <c r="P650" s="88" t="str">
        <f t="shared" si="2090"/>
        <v>B11_3</v>
      </c>
      <c r="Q650" s="88">
        <f t="shared" si="1935"/>
        <v>270</v>
      </c>
      <c r="R650" s="88">
        <f t="shared" si="1936"/>
        <v>60</v>
      </c>
      <c r="S650" s="231"/>
      <c r="T650" s="214" t="s">
        <v>3088</v>
      </c>
      <c r="U650" s="88">
        <f>IF(RIGHT(T650,1)="K",(VLOOKUP(T650,ma_miengiam!$A$3:$B$80,2,0)*100)/2,VLOOKUP(T650,ma_miengiam!$A$3:$B$80,2,0)*100)</f>
        <v>0</v>
      </c>
      <c r="V650" s="88"/>
      <c r="W650" s="220">
        <f>IF(AND(T650="NTS",V650&gt;0),(Q650-(Q650*V650)/12)*VLOOKUP(T650,ma_miengiam!$A$3:$B$80,2,0)+(Q650-(Q650*(12-V650))/12),IF(AND(RIGHT(T650,1)="K",V650&gt;0),(VLOOKUP(T650,ma_miengiam!$A$3:$B$80,2,0)/2)*(Q650*V650)/12,IF(RIGHT(T650,1)="K",(VLOOKUP(T650,ma_miengiam!$A$3:$B$80,2,0)*Q650)/2,IF(V650&gt;0,VLOOKUP(T650,ma_miengiam!$A$3:$B$80,2,0)*Q650*V650/12,VLOOKUP(T650,ma_miengiam!$A$3:$B$80,2,0)*Q650))))</f>
        <v>0</v>
      </c>
      <c r="X650" s="220">
        <f>IF(T650="NTS",VLOOKUP(T650,ma_miengiam!$A$3:$B$80,2,0)*R650*V650,IF(AND(T650="NTS",V650=0),0,IF(AND(LEFT(T650,1)="K",V650=0),VLOOKUP(T650,ma_miengiam!$A$3:$B$80,2,0)*R650,IF(LEFT(T650,1)="K",(VLOOKUP(T650,ma_miengiam!$A$3:$B$80,2,0)*R650/12)*V650,IF(AND(LEFT(T650,1)="S",V650&gt;0),(R650/12)*V650,IF(AND(LEFT(T650,1)="S",V650=0),R650,IF(T650="DH",VLOOKUP(T650,ma_miengiam!$A$3:$B$80,2,0)*R650,0)))))))</f>
        <v>0</v>
      </c>
      <c r="Y650" s="220">
        <f t="shared" si="1963"/>
        <v>270</v>
      </c>
      <c r="Z650" s="220">
        <f t="shared" si="2065"/>
        <v>60</v>
      </c>
      <c r="AA650" s="220">
        <f t="shared" ref="AA650:AB652" si="2132">Q650</f>
        <v>270</v>
      </c>
      <c r="AB650" s="220">
        <f t="shared" si="2132"/>
        <v>60</v>
      </c>
      <c r="AC650" s="220">
        <f t="shared" si="2124"/>
        <v>0</v>
      </c>
      <c r="AD650" s="220">
        <f t="shared" si="2124"/>
        <v>0</v>
      </c>
      <c r="AE650" s="220">
        <f t="shared" si="2124"/>
        <v>270</v>
      </c>
      <c r="AF650" s="220">
        <f t="shared" si="2124"/>
        <v>60</v>
      </c>
      <c r="AG650" s="220">
        <f t="shared" si="2125"/>
        <v>270</v>
      </c>
      <c r="AH650" s="220">
        <f t="shared" si="2126"/>
        <v>132.5</v>
      </c>
      <c r="AI650" s="220">
        <f t="shared" si="2127"/>
        <v>137.5</v>
      </c>
      <c r="AJ650" s="220">
        <f t="shared" si="2101"/>
        <v>0</v>
      </c>
      <c r="AK650" s="216">
        <f t="shared" si="2051"/>
        <v>270</v>
      </c>
      <c r="AL650" s="220">
        <f t="shared" si="2024"/>
        <v>337.3</v>
      </c>
      <c r="AM650" s="220">
        <f t="shared" si="2025"/>
        <v>0</v>
      </c>
      <c r="AN650" s="221">
        <f t="shared" si="2026"/>
        <v>337.3</v>
      </c>
      <c r="AO650" s="220">
        <f t="shared" si="2027"/>
        <v>0</v>
      </c>
      <c r="AP650" s="220">
        <f t="shared" si="2028"/>
        <v>0</v>
      </c>
      <c r="AQ650" s="220">
        <f t="shared" si="2029"/>
        <v>46</v>
      </c>
      <c r="AR650" s="220">
        <f t="shared" si="2030"/>
        <v>0</v>
      </c>
      <c r="AS650" s="220">
        <f t="shared" si="2031"/>
        <v>0</v>
      </c>
      <c r="AT650" s="216">
        <f t="shared" si="2032"/>
        <v>383.3</v>
      </c>
      <c r="AU650" s="222">
        <f t="shared" si="2122"/>
        <v>67.300000000000011</v>
      </c>
      <c r="AV650" s="220"/>
      <c r="AW650" s="220">
        <f t="shared" si="2033"/>
        <v>67.300000000000011</v>
      </c>
      <c r="AX650" s="216">
        <f t="shared" si="2020"/>
        <v>0</v>
      </c>
      <c r="AY650" s="220">
        <f t="shared" si="2034"/>
        <v>0</v>
      </c>
      <c r="AZ650" s="220">
        <f t="shared" si="2035"/>
        <v>0</v>
      </c>
      <c r="BA650" s="220">
        <f t="shared" si="2036"/>
        <v>46</v>
      </c>
      <c r="BB650" s="220">
        <f t="shared" si="2037"/>
        <v>0</v>
      </c>
      <c r="BC650" s="220">
        <f t="shared" si="2038"/>
        <v>0</v>
      </c>
      <c r="BD650" s="216">
        <f t="shared" si="1987"/>
        <v>46</v>
      </c>
      <c r="BE650" s="220">
        <f t="shared" si="2039"/>
        <v>0</v>
      </c>
      <c r="BF650" s="220">
        <f t="shared" si="2040"/>
        <v>0</v>
      </c>
      <c r="BG650" s="220">
        <f t="shared" si="2041"/>
        <v>0</v>
      </c>
      <c r="BH650" s="220">
        <f t="shared" si="2042"/>
        <v>0</v>
      </c>
      <c r="BI650" s="220">
        <f t="shared" si="2043"/>
        <v>0</v>
      </c>
      <c r="BJ650" s="220" t="s">
        <v>1126</v>
      </c>
      <c r="BK650" s="220"/>
      <c r="BL650" s="223">
        <f t="shared" si="2005"/>
        <v>67.300000000000011</v>
      </c>
      <c r="BM650" s="220">
        <v>3</v>
      </c>
      <c r="BN650" s="220"/>
      <c r="BO650" s="220">
        <f t="shared" si="2121"/>
        <v>3</v>
      </c>
      <c r="BP650" s="220">
        <f>IF(AND(BL650&gt;0,BL650&lt;tiet!$D$1),BL650,IF(BL650&lt;=0,0,IF(BL650&gt;tiet!$C$1,tiet!$C$1)))</f>
        <v>67.300000000000011</v>
      </c>
      <c r="BQ650" s="87">
        <f t="shared" si="2102"/>
        <v>60000</v>
      </c>
      <c r="BR650" s="224">
        <f t="shared" si="2099"/>
        <v>4038000</v>
      </c>
      <c r="BS650" s="220">
        <f t="shared" si="1933"/>
        <v>0</v>
      </c>
      <c r="BT650" s="224">
        <f>VLOOKUP(N650,ma_dinhmuc!$A$1:$J$31,10,0)</f>
        <v>51000</v>
      </c>
      <c r="BU650" s="224">
        <f>ROUND(IF(BS650&gt;0,VLOOKUP(N650,ma_dinhmuc!$A$1:$J$31,10,0)*BS650,0),0)</f>
        <v>0</v>
      </c>
      <c r="BV650" s="224">
        <f t="shared" si="2100"/>
        <v>4038000</v>
      </c>
      <c r="BW650" s="224"/>
      <c r="BX650" s="224">
        <v>0</v>
      </c>
      <c r="BY650" s="224"/>
      <c r="BZ650" s="224"/>
      <c r="CA650" s="224"/>
      <c r="CB650" s="224"/>
      <c r="CC650" s="225">
        <f t="shared" si="2112"/>
        <v>4038000</v>
      </c>
      <c r="CD650" s="224">
        <f t="shared" si="2113"/>
        <v>0</v>
      </c>
      <c r="CE650" s="224"/>
      <c r="CF650" s="226"/>
      <c r="CG650" s="87"/>
      <c r="CH650" s="87">
        <f>A650</f>
        <v>10</v>
      </c>
      <c r="CI650" s="227" t="str">
        <f t="shared" si="2128"/>
        <v>Ngô Thị</v>
      </c>
      <c r="CJ650" s="227" t="str">
        <f t="shared" si="2128"/>
        <v>Thương</v>
      </c>
      <c r="CK650" s="87">
        <f t="shared" si="2116"/>
        <v>13</v>
      </c>
      <c r="CL650" s="227" t="str">
        <f t="shared" si="2070"/>
        <v>Hoá học</v>
      </c>
      <c r="CM650" s="87" t="str">
        <f t="shared" si="2044"/>
        <v>CB2</v>
      </c>
      <c r="CN650" s="87">
        <f t="shared" si="2129"/>
        <v>270</v>
      </c>
      <c r="CO650" s="87">
        <f t="shared" si="2129"/>
        <v>60</v>
      </c>
      <c r="CP650" s="229">
        <f t="shared" si="1943"/>
        <v>0</v>
      </c>
      <c r="CQ650" s="229">
        <f t="shared" si="1944"/>
        <v>12.4</v>
      </c>
      <c r="CR650" s="229">
        <f t="shared" si="1945"/>
        <v>5</v>
      </c>
      <c r="CS650" s="229">
        <f t="shared" si="1946"/>
        <v>0</v>
      </c>
      <c r="CT650" s="229">
        <f t="shared" si="1947"/>
        <v>0</v>
      </c>
      <c r="CU650" s="229">
        <f t="shared" si="1948"/>
        <v>45.9</v>
      </c>
      <c r="CV650" s="229">
        <f t="shared" si="1949"/>
        <v>0</v>
      </c>
      <c r="CW650" s="229">
        <f t="shared" si="1950"/>
        <v>274</v>
      </c>
      <c r="CX650" s="229">
        <f t="shared" si="1951"/>
        <v>0</v>
      </c>
      <c r="CY650" s="229">
        <f t="shared" si="1952"/>
        <v>0</v>
      </c>
      <c r="CZ650" s="229">
        <f t="shared" si="1953"/>
        <v>0</v>
      </c>
      <c r="DA650" s="229">
        <f t="shared" si="1954"/>
        <v>46</v>
      </c>
      <c r="DB650" s="228">
        <f t="shared" si="2045"/>
        <v>383.3</v>
      </c>
      <c r="DC650" s="229"/>
      <c r="DD650" s="229"/>
      <c r="DE650" s="229"/>
      <c r="DF650" s="229"/>
      <c r="DG650" s="229"/>
      <c r="DH650" s="229"/>
      <c r="DI650" s="229"/>
      <c r="DJ650" s="229"/>
      <c r="DK650" s="229"/>
      <c r="DL650" s="229"/>
      <c r="DM650" s="229"/>
      <c r="DN650" s="229"/>
      <c r="DO650" s="228">
        <f t="shared" si="2046"/>
        <v>0</v>
      </c>
      <c r="DP650" s="228">
        <f t="shared" si="2047"/>
        <v>383.3</v>
      </c>
      <c r="DQ650" s="229">
        <f t="shared" si="1955"/>
        <v>0</v>
      </c>
      <c r="DR650" s="229">
        <f t="shared" si="1956"/>
        <v>0</v>
      </c>
      <c r="DS650" s="229">
        <f t="shared" si="1957"/>
        <v>0</v>
      </c>
      <c r="DT650" s="229">
        <f t="shared" si="1958"/>
        <v>0</v>
      </c>
      <c r="DU650" s="229">
        <f t="shared" si="1959"/>
        <v>0</v>
      </c>
      <c r="DV650" s="229">
        <f t="shared" si="1960"/>
        <v>0</v>
      </c>
      <c r="DW650" s="229">
        <f t="shared" si="1961"/>
        <v>0</v>
      </c>
      <c r="DX650" s="228">
        <f t="shared" si="2048"/>
        <v>0</v>
      </c>
      <c r="DY650" s="229"/>
      <c r="DZ650" s="229"/>
      <c r="EA650" s="229"/>
      <c r="EB650" s="229"/>
      <c r="EC650" s="229"/>
      <c r="ED650" s="229"/>
      <c r="EE650" s="229"/>
      <c r="EF650" s="228">
        <f t="shared" si="1939"/>
        <v>0</v>
      </c>
      <c r="EG650" s="228">
        <f t="shared" si="2049"/>
        <v>0</v>
      </c>
      <c r="EH650" s="229">
        <f t="shared" si="1940"/>
        <v>137.5</v>
      </c>
      <c r="EI650" s="229">
        <v>132.5</v>
      </c>
      <c r="EJ650" s="228">
        <f t="shared" si="2130"/>
        <v>270</v>
      </c>
      <c r="EK650" s="229"/>
      <c r="EL650" s="229"/>
      <c r="EM650" s="228">
        <f t="shared" si="2104"/>
        <v>0</v>
      </c>
      <c r="EN650" s="229">
        <f t="shared" si="2086"/>
        <v>137.5</v>
      </c>
      <c r="EO650" s="229">
        <f t="shared" si="2123"/>
        <v>132.5</v>
      </c>
      <c r="EP650" s="228">
        <f t="shared" si="2118"/>
        <v>270</v>
      </c>
      <c r="EQ650" s="173">
        <f t="shared" si="1934"/>
        <v>77.5</v>
      </c>
      <c r="ER650" s="189">
        <v>0</v>
      </c>
      <c r="ES650" s="189">
        <v>12.4</v>
      </c>
      <c r="ET650" s="189">
        <v>5</v>
      </c>
      <c r="EU650" s="189">
        <v>0</v>
      </c>
      <c r="EV650" s="189">
        <v>0</v>
      </c>
      <c r="EW650" s="189">
        <v>45.9</v>
      </c>
      <c r="EX650" s="189">
        <v>0</v>
      </c>
      <c r="EY650" s="189">
        <v>274</v>
      </c>
      <c r="EZ650" s="189">
        <v>0</v>
      </c>
      <c r="FA650" s="189">
        <v>0</v>
      </c>
      <c r="FB650" s="189">
        <v>0</v>
      </c>
      <c r="FC650" s="189">
        <v>46</v>
      </c>
      <c r="FD650" s="189">
        <v>0</v>
      </c>
      <c r="FE650" s="189">
        <v>0</v>
      </c>
      <c r="FF650" s="189">
        <v>0</v>
      </c>
      <c r="FG650" s="189">
        <v>0</v>
      </c>
      <c r="FH650" s="189">
        <v>0</v>
      </c>
      <c r="FI650" s="189">
        <v>0</v>
      </c>
      <c r="FJ650" s="189">
        <v>0</v>
      </c>
      <c r="FK650" s="189">
        <v>383.3</v>
      </c>
      <c r="FL650" s="189">
        <v>333</v>
      </c>
      <c r="FN650" s="132">
        <v>137.5</v>
      </c>
    </row>
    <row r="651" spans="1:170" ht="25.5" customHeight="1">
      <c r="A651" s="88">
        <f>COUNTIF($H$12:H651,H651)</f>
        <v>11</v>
      </c>
      <c r="B651" s="88" t="s">
        <v>2151</v>
      </c>
      <c r="C651" s="88" t="s">
        <v>124</v>
      </c>
      <c r="D651" s="88"/>
      <c r="E651" s="88"/>
      <c r="F651" s="301" t="s">
        <v>635</v>
      </c>
      <c r="G651" s="89" t="s">
        <v>1772</v>
      </c>
      <c r="H651" s="88">
        <v>13</v>
      </c>
      <c r="I651" s="88">
        <v>13</v>
      </c>
      <c r="J651" s="88">
        <v>13</v>
      </c>
      <c r="K651" s="90" t="s">
        <v>1617</v>
      </c>
      <c r="L651" s="90" t="s">
        <v>1617</v>
      </c>
      <c r="M651" s="214"/>
      <c r="N651" s="88" t="s">
        <v>1179</v>
      </c>
      <c r="O651" s="216">
        <f t="shared" si="2131"/>
        <v>2.67</v>
      </c>
      <c r="P651" s="88" t="str">
        <f t="shared" si="2090"/>
        <v>B11_3</v>
      </c>
      <c r="Q651" s="88">
        <f t="shared" si="1935"/>
        <v>270</v>
      </c>
      <c r="R651" s="88">
        <f t="shared" si="1936"/>
        <v>60</v>
      </c>
      <c r="S651" s="231"/>
      <c r="T651" s="214" t="s">
        <v>3088</v>
      </c>
      <c r="U651" s="88">
        <f>IF(RIGHT(T651,1)="K",(VLOOKUP(T651,ma_miengiam!$A$3:$B$80,2,0)*100)/2,VLOOKUP(T651,ma_miengiam!$A$3:$B$80,2,0)*100)</f>
        <v>0</v>
      </c>
      <c r="V651" s="88"/>
      <c r="W651" s="220">
        <f>IF(AND(T651="NTS",V651&gt;0),(Q651-(Q651*V651)/12)*VLOOKUP(T651,ma_miengiam!$A$3:$B$80,2,0)+(Q651-(Q651*(12-V651))/12),IF(AND(RIGHT(T651,1)="K",V651&gt;0),(VLOOKUP(T651,ma_miengiam!$A$3:$B$80,2,0)/2)*(Q651*V651)/12,IF(RIGHT(T651,1)="K",(VLOOKUP(T651,ma_miengiam!$A$3:$B$80,2,0)*Q651)/2,IF(V651&gt;0,VLOOKUP(T651,ma_miengiam!$A$3:$B$80,2,0)*Q651*V651/12,VLOOKUP(T651,ma_miengiam!$A$3:$B$80,2,0)*Q651))))</f>
        <v>0</v>
      </c>
      <c r="X651" s="220">
        <f>IF(T651="NTS",VLOOKUP(T651,ma_miengiam!$A$3:$B$80,2,0)*R651*V651,IF(AND(T651="NTS",V651=0),0,IF(AND(LEFT(T651,1)="K",V651=0),VLOOKUP(T651,ma_miengiam!$A$3:$B$80,2,0)*R651,IF(LEFT(T651,1)="K",(VLOOKUP(T651,ma_miengiam!$A$3:$B$80,2,0)*R651/12)*V651,IF(AND(LEFT(T651,1)="S",V651&gt;0),(R651/12)*V651,IF(AND(LEFT(T651,1)="S",V651=0),R651,IF(T651="DH",VLOOKUP(T651,ma_miengiam!$A$3:$B$80,2,0)*R651,0)))))))</f>
        <v>0</v>
      </c>
      <c r="Y651" s="220">
        <f t="shared" si="1963"/>
        <v>270</v>
      </c>
      <c r="Z651" s="220">
        <f t="shared" si="2065"/>
        <v>60</v>
      </c>
      <c r="AA651" s="220">
        <f t="shared" si="2132"/>
        <v>270</v>
      </c>
      <c r="AB651" s="220">
        <f t="shared" si="2132"/>
        <v>60</v>
      </c>
      <c r="AC651" s="220">
        <f t="shared" ref="AC651:AF652" si="2133">W651</f>
        <v>0</v>
      </c>
      <c r="AD651" s="220">
        <f t="shared" si="2133"/>
        <v>0</v>
      </c>
      <c r="AE651" s="220">
        <f t="shared" si="2133"/>
        <v>270</v>
      </c>
      <c r="AF651" s="220">
        <f t="shared" si="2133"/>
        <v>60</v>
      </c>
      <c r="AG651" s="220">
        <f t="shared" si="2125"/>
        <v>332</v>
      </c>
      <c r="AH651" s="220">
        <f t="shared" si="2126"/>
        <v>237</v>
      </c>
      <c r="AI651" s="220">
        <f t="shared" si="2127"/>
        <v>95</v>
      </c>
      <c r="AJ651" s="220">
        <f t="shared" si="2101"/>
        <v>0</v>
      </c>
      <c r="AK651" s="216">
        <f t="shared" si="2051"/>
        <v>270</v>
      </c>
      <c r="AL651" s="220">
        <f t="shared" si="2024"/>
        <v>293.39999999999998</v>
      </c>
      <c r="AM651" s="220">
        <f t="shared" si="2025"/>
        <v>0</v>
      </c>
      <c r="AN651" s="221">
        <f t="shared" si="2026"/>
        <v>293.39999999999998</v>
      </c>
      <c r="AO651" s="220">
        <f t="shared" si="2027"/>
        <v>0</v>
      </c>
      <c r="AP651" s="220">
        <f t="shared" si="2028"/>
        <v>0</v>
      </c>
      <c r="AQ651" s="220">
        <f t="shared" si="2029"/>
        <v>0</v>
      </c>
      <c r="AR651" s="220">
        <f t="shared" si="2030"/>
        <v>0</v>
      </c>
      <c r="AS651" s="220">
        <f t="shared" si="2031"/>
        <v>0</v>
      </c>
      <c r="AT651" s="216">
        <f t="shared" si="2032"/>
        <v>293.39999999999998</v>
      </c>
      <c r="AU651" s="222">
        <f t="shared" si="2122"/>
        <v>23.399999999999977</v>
      </c>
      <c r="AV651" s="220"/>
      <c r="AW651" s="220">
        <f t="shared" si="2033"/>
        <v>23.399999999999977</v>
      </c>
      <c r="AX651" s="216">
        <f t="shared" si="2020"/>
        <v>0</v>
      </c>
      <c r="AY651" s="220">
        <f t="shared" si="2034"/>
        <v>0</v>
      </c>
      <c r="AZ651" s="220">
        <f t="shared" si="2035"/>
        <v>0</v>
      </c>
      <c r="BA651" s="220">
        <f t="shared" si="2036"/>
        <v>0</v>
      </c>
      <c r="BB651" s="220">
        <f t="shared" si="2037"/>
        <v>0</v>
      </c>
      <c r="BC651" s="220">
        <f t="shared" si="2038"/>
        <v>0</v>
      </c>
      <c r="BD651" s="216">
        <f t="shared" si="1987"/>
        <v>0</v>
      </c>
      <c r="BE651" s="220">
        <f t="shared" si="2039"/>
        <v>0</v>
      </c>
      <c r="BF651" s="220">
        <f t="shared" si="2040"/>
        <v>0</v>
      </c>
      <c r="BG651" s="220">
        <f t="shared" si="2041"/>
        <v>0</v>
      </c>
      <c r="BH651" s="220">
        <f t="shared" si="2042"/>
        <v>0</v>
      </c>
      <c r="BI651" s="220">
        <f t="shared" si="2043"/>
        <v>0</v>
      </c>
      <c r="BJ651" s="220" t="s">
        <v>1126</v>
      </c>
      <c r="BK651" s="220"/>
      <c r="BL651" s="223">
        <f t="shared" si="2005"/>
        <v>23.399999999999977</v>
      </c>
      <c r="BM651" s="220">
        <v>2.67</v>
      </c>
      <c r="BN651" s="220"/>
      <c r="BO651" s="220">
        <f t="shared" si="2121"/>
        <v>2.67</v>
      </c>
      <c r="BP651" s="220">
        <f>IF(AND(BL651&gt;0,BL651&lt;tiet!$D$1),BL651,IF(BL651&lt;=0,0,IF(BL651&gt;tiet!$C$1,tiet!$C$1)))</f>
        <v>23.399999999999977</v>
      </c>
      <c r="BQ651" s="87">
        <f t="shared" si="2102"/>
        <v>60000</v>
      </c>
      <c r="BR651" s="224">
        <f t="shared" si="2099"/>
        <v>1404000</v>
      </c>
      <c r="BS651" s="220">
        <f t="shared" ref="BS651:BS714" si="2134">BL651-BP651</f>
        <v>0</v>
      </c>
      <c r="BT651" s="224">
        <f>VLOOKUP(N651,ma_dinhmuc!$A$1:$J$31,10,0)</f>
        <v>51000</v>
      </c>
      <c r="BU651" s="224">
        <f>ROUND(IF(BS651&gt;0,VLOOKUP(N651,ma_dinhmuc!$A$1:$J$31,10,0)*BS651,0),0)</f>
        <v>0</v>
      </c>
      <c r="BV651" s="224">
        <f t="shared" si="2100"/>
        <v>1404000</v>
      </c>
      <c r="BW651" s="224"/>
      <c r="BX651" s="224">
        <v>0</v>
      </c>
      <c r="BY651" s="224"/>
      <c r="BZ651" s="224"/>
      <c r="CA651" s="224"/>
      <c r="CB651" s="224"/>
      <c r="CC651" s="225">
        <f t="shared" si="2112"/>
        <v>1404000</v>
      </c>
      <c r="CD651" s="224">
        <f t="shared" si="2113"/>
        <v>0</v>
      </c>
      <c r="CE651" s="224"/>
      <c r="CF651" s="226"/>
      <c r="CG651" s="87"/>
      <c r="CH651" s="87">
        <f>A651</f>
        <v>11</v>
      </c>
      <c r="CI651" s="227" t="str">
        <f t="shared" si="2128"/>
        <v>Chu Thị</v>
      </c>
      <c r="CJ651" s="227" t="str">
        <f t="shared" si="2128"/>
        <v>Thanh</v>
      </c>
      <c r="CK651" s="87">
        <f t="shared" si="2116"/>
        <v>13</v>
      </c>
      <c r="CL651" s="227" t="str">
        <f t="shared" si="2070"/>
        <v>Hoá học</v>
      </c>
      <c r="CM651" s="87" t="str">
        <f t="shared" si="2044"/>
        <v>CB2</v>
      </c>
      <c r="CN651" s="87">
        <f t="shared" si="2129"/>
        <v>270</v>
      </c>
      <c r="CO651" s="87">
        <f t="shared" si="2129"/>
        <v>60</v>
      </c>
      <c r="CP651" s="229">
        <f t="shared" si="1943"/>
        <v>0</v>
      </c>
      <c r="CQ651" s="229">
        <f t="shared" si="1944"/>
        <v>0</v>
      </c>
      <c r="CR651" s="229">
        <f t="shared" si="1945"/>
        <v>37.200000000000003</v>
      </c>
      <c r="CS651" s="229">
        <f t="shared" si="1946"/>
        <v>0</v>
      </c>
      <c r="CT651" s="229">
        <f t="shared" si="1947"/>
        <v>0</v>
      </c>
      <c r="CU651" s="229">
        <f t="shared" si="1948"/>
        <v>232.2</v>
      </c>
      <c r="CV651" s="229">
        <f t="shared" si="1949"/>
        <v>0</v>
      </c>
      <c r="CW651" s="229">
        <f t="shared" si="1950"/>
        <v>24</v>
      </c>
      <c r="CX651" s="229">
        <f t="shared" si="1951"/>
        <v>0</v>
      </c>
      <c r="CY651" s="229">
        <f t="shared" si="1952"/>
        <v>0</v>
      </c>
      <c r="CZ651" s="229">
        <f t="shared" si="1953"/>
        <v>0</v>
      </c>
      <c r="DA651" s="229">
        <f t="shared" si="1954"/>
        <v>0</v>
      </c>
      <c r="DB651" s="228">
        <f t="shared" si="2045"/>
        <v>293.39999999999998</v>
      </c>
      <c r="DC651" s="229"/>
      <c r="DD651" s="229"/>
      <c r="DE651" s="229"/>
      <c r="DF651" s="229"/>
      <c r="DG651" s="229"/>
      <c r="DH651" s="229"/>
      <c r="DI651" s="229"/>
      <c r="DJ651" s="229"/>
      <c r="DK651" s="229"/>
      <c r="DL651" s="229"/>
      <c r="DM651" s="229"/>
      <c r="DN651" s="229"/>
      <c r="DO651" s="228">
        <f t="shared" si="2046"/>
        <v>0</v>
      </c>
      <c r="DP651" s="228">
        <f t="shared" si="2047"/>
        <v>293.39999999999998</v>
      </c>
      <c r="DQ651" s="229">
        <f t="shared" si="1955"/>
        <v>0</v>
      </c>
      <c r="DR651" s="229">
        <f t="shared" si="1956"/>
        <v>0</v>
      </c>
      <c r="DS651" s="229">
        <f t="shared" si="1957"/>
        <v>0</v>
      </c>
      <c r="DT651" s="229">
        <f t="shared" si="1958"/>
        <v>0</v>
      </c>
      <c r="DU651" s="229">
        <f t="shared" si="1959"/>
        <v>0</v>
      </c>
      <c r="DV651" s="229">
        <f t="shared" si="1960"/>
        <v>0</v>
      </c>
      <c r="DW651" s="229">
        <f t="shared" si="1961"/>
        <v>0</v>
      </c>
      <c r="DX651" s="228">
        <f t="shared" si="2048"/>
        <v>0</v>
      </c>
      <c r="DY651" s="229"/>
      <c r="DZ651" s="229"/>
      <c r="EA651" s="229"/>
      <c r="EB651" s="229"/>
      <c r="EC651" s="229"/>
      <c r="ED651" s="229"/>
      <c r="EE651" s="229"/>
      <c r="EF651" s="228">
        <f t="shared" si="1939"/>
        <v>0</v>
      </c>
      <c r="EG651" s="228">
        <f t="shared" si="2049"/>
        <v>0</v>
      </c>
      <c r="EH651" s="229">
        <f t="shared" si="1940"/>
        <v>95</v>
      </c>
      <c r="EI651" s="229">
        <v>237</v>
      </c>
      <c r="EJ651" s="228">
        <f t="shared" si="2130"/>
        <v>332</v>
      </c>
      <c r="EK651" s="229"/>
      <c r="EL651" s="229"/>
      <c r="EM651" s="228">
        <f t="shared" si="2104"/>
        <v>0</v>
      </c>
      <c r="EN651" s="229">
        <f t="shared" si="2086"/>
        <v>95</v>
      </c>
      <c r="EO651" s="229">
        <f t="shared" si="2123"/>
        <v>237</v>
      </c>
      <c r="EP651" s="228">
        <f t="shared" si="2118"/>
        <v>332</v>
      </c>
      <c r="EQ651" s="173">
        <f t="shared" ref="EQ651:EQ714" si="2135">IF(EN651&gt;Z651,EN651-Z651,0)</f>
        <v>35</v>
      </c>
      <c r="ER651" s="189">
        <v>0</v>
      </c>
      <c r="ES651" s="189">
        <v>0</v>
      </c>
      <c r="ET651" s="189">
        <v>37.200000000000003</v>
      </c>
      <c r="EU651" s="189">
        <v>0</v>
      </c>
      <c r="EV651" s="189">
        <v>0</v>
      </c>
      <c r="EW651" s="189">
        <v>232.2</v>
      </c>
      <c r="EX651" s="189">
        <v>0</v>
      </c>
      <c r="EY651" s="189">
        <v>24</v>
      </c>
      <c r="EZ651" s="189">
        <v>0</v>
      </c>
      <c r="FA651" s="189">
        <v>0</v>
      </c>
      <c r="FB651" s="189">
        <v>0</v>
      </c>
      <c r="FC651" s="189">
        <v>0</v>
      </c>
      <c r="FD651" s="189">
        <v>0</v>
      </c>
      <c r="FE651" s="189">
        <v>0</v>
      </c>
      <c r="FF651" s="189">
        <v>0</v>
      </c>
      <c r="FG651" s="189">
        <v>0</v>
      </c>
      <c r="FH651" s="189">
        <v>0</v>
      </c>
      <c r="FI651" s="189">
        <v>0</v>
      </c>
      <c r="FJ651" s="189">
        <v>0</v>
      </c>
      <c r="FK651" s="189">
        <v>293.39999999999998</v>
      </c>
      <c r="FL651" s="189">
        <v>208</v>
      </c>
      <c r="FN651" s="132">
        <v>95</v>
      </c>
    </row>
    <row r="652" spans="1:170" ht="25.5" customHeight="1">
      <c r="A652" s="88">
        <f>COUNTIF($H$12:H652,H652)</f>
        <v>12</v>
      </c>
      <c r="B652" s="88" t="s">
        <v>2152</v>
      </c>
      <c r="C652" s="88" t="s">
        <v>125</v>
      </c>
      <c r="D652" s="88" t="s">
        <v>621</v>
      </c>
      <c r="E652" s="88"/>
      <c r="F652" s="301" t="s">
        <v>49</v>
      </c>
      <c r="G652" s="89" t="s">
        <v>1115</v>
      </c>
      <c r="H652" s="88">
        <v>13</v>
      </c>
      <c r="I652" s="88">
        <v>13</v>
      </c>
      <c r="J652" s="88">
        <v>13</v>
      </c>
      <c r="K652" s="90" t="s">
        <v>1617</v>
      </c>
      <c r="L652" s="90" t="s">
        <v>1617</v>
      </c>
      <c r="M652" s="214"/>
      <c r="N652" s="88" t="s">
        <v>1179</v>
      </c>
      <c r="O652" s="216">
        <f t="shared" si="2131"/>
        <v>2.67</v>
      </c>
      <c r="P652" s="88" t="str">
        <f t="shared" si="2090"/>
        <v>B11_3</v>
      </c>
      <c r="Q652" s="88">
        <f t="shared" ref="Q652:Q708" si="2136">IF(M652&gt;0,VLOOKUP(P652,ma_dinhmuc_moi,2,0)/2,VLOOKUP(P652,ma_dinhmuc_moi,2,0))</f>
        <v>270</v>
      </c>
      <c r="R652" s="88">
        <f t="shared" ref="R652:R708" si="2137">IF(M652&gt;0,VLOOKUP(P652,ma_dinhmuc_moi,3,0)/2,VLOOKUP(P652,ma_dinhmuc_moi,3,0))</f>
        <v>60</v>
      </c>
      <c r="S652" s="231"/>
      <c r="T652" s="214" t="s">
        <v>3088</v>
      </c>
      <c r="U652" s="88">
        <f>IF(RIGHT(T652,1)="K",(VLOOKUP(T652,ma_miengiam!$A$3:$B$80,2,0)*100)/2,VLOOKUP(T652,ma_miengiam!$A$3:$B$80,2,0)*100)</f>
        <v>0</v>
      </c>
      <c r="V652" s="88"/>
      <c r="W652" s="220">
        <f>IF(AND(T652="NTS",V652&gt;0),(Q652-(Q652*V652)/12)*VLOOKUP(T652,ma_miengiam!$A$3:$B$80,2,0)+(Q652-(Q652*(12-V652))/12),IF(AND(RIGHT(T652,1)="K",V652&gt;0),(VLOOKUP(T652,ma_miengiam!$A$3:$B$80,2,0)/2)*(Q652*V652)/12,IF(RIGHT(T652,1)="K",(VLOOKUP(T652,ma_miengiam!$A$3:$B$80,2,0)*Q652)/2,IF(V652&gt;0,VLOOKUP(T652,ma_miengiam!$A$3:$B$80,2,0)*Q652*V652/12,VLOOKUP(T652,ma_miengiam!$A$3:$B$80,2,0)*Q652))))</f>
        <v>0</v>
      </c>
      <c r="X652" s="220">
        <f>IF(T652="NTS",VLOOKUP(T652,ma_miengiam!$A$3:$B$80,2,0)*R652*V652,IF(AND(T652="NTS",V652=0),0,IF(AND(LEFT(T652,1)="K",V652=0),VLOOKUP(T652,ma_miengiam!$A$3:$B$80,2,0)*R652,IF(LEFT(T652,1)="K",(VLOOKUP(T652,ma_miengiam!$A$3:$B$80,2,0)*R652/12)*V652,IF(AND(LEFT(T652,1)="S",V652&gt;0),(R652/12)*V652,IF(AND(LEFT(T652,1)="S",V652=0),R652,IF(T652="DH",VLOOKUP(T652,ma_miengiam!$A$3:$B$80,2,0)*R652,0)))))))</f>
        <v>0</v>
      </c>
      <c r="Y652" s="220">
        <f t="shared" si="1963"/>
        <v>270</v>
      </c>
      <c r="Z652" s="220">
        <f t="shared" si="2065"/>
        <v>60</v>
      </c>
      <c r="AA652" s="220">
        <f t="shared" si="2132"/>
        <v>270</v>
      </c>
      <c r="AB652" s="220">
        <f t="shared" si="2132"/>
        <v>60</v>
      </c>
      <c r="AC652" s="220">
        <f t="shared" si="2133"/>
        <v>0</v>
      </c>
      <c r="AD652" s="220">
        <f t="shared" si="2133"/>
        <v>0</v>
      </c>
      <c r="AE652" s="220">
        <f t="shared" si="2133"/>
        <v>270</v>
      </c>
      <c r="AF652" s="220">
        <f t="shared" si="2133"/>
        <v>60</v>
      </c>
      <c r="AG652" s="220">
        <f t="shared" si="2125"/>
        <v>106.55</v>
      </c>
      <c r="AH652" s="220">
        <f t="shared" si="2126"/>
        <v>41.55</v>
      </c>
      <c r="AI652" s="220">
        <f t="shared" si="2127"/>
        <v>65</v>
      </c>
      <c r="AJ652" s="220">
        <f>IF(AG652-Z652&gt;0,0,AG652-Z652)</f>
        <v>0</v>
      </c>
      <c r="AK652" s="216">
        <f t="shared" si="2051"/>
        <v>270</v>
      </c>
      <c r="AL652" s="220">
        <f t="shared" si="2024"/>
        <v>493.9</v>
      </c>
      <c r="AM652" s="220">
        <f t="shared" si="2025"/>
        <v>0</v>
      </c>
      <c r="AN652" s="221">
        <f t="shared" si="2026"/>
        <v>493.9</v>
      </c>
      <c r="AO652" s="220">
        <f t="shared" si="2027"/>
        <v>0</v>
      </c>
      <c r="AP652" s="220">
        <f t="shared" si="2028"/>
        <v>0</v>
      </c>
      <c r="AQ652" s="220">
        <f t="shared" si="2029"/>
        <v>0</v>
      </c>
      <c r="AR652" s="220">
        <f t="shared" si="2030"/>
        <v>0</v>
      </c>
      <c r="AS652" s="220">
        <f t="shared" si="2031"/>
        <v>0</v>
      </c>
      <c r="AT652" s="216">
        <f t="shared" si="2032"/>
        <v>493.9</v>
      </c>
      <c r="AU652" s="222">
        <f t="shared" si="2122"/>
        <v>223.89999999999998</v>
      </c>
      <c r="AV652" s="220"/>
      <c r="AW652" s="220">
        <f t="shared" si="2033"/>
        <v>223.89999999999998</v>
      </c>
      <c r="AX652" s="216">
        <f t="shared" si="2020"/>
        <v>0</v>
      </c>
      <c r="AY652" s="220">
        <f t="shared" si="2034"/>
        <v>0</v>
      </c>
      <c r="AZ652" s="220">
        <f t="shared" si="2035"/>
        <v>0</v>
      </c>
      <c r="BA652" s="220">
        <f t="shared" si="2036"/>
        <v>0</v>
      </c>
      <c r="BB652" s="220">
        <f t="shared" si="2037"/>
        <v>0</v>
      </c>
      <c r="BC652" s="220">
        <f t="shared" si="2038"/>
        <v>0</v>
      </c>
      <c r="BD652" s="216">
        <f t="shared" si="1987"/>
        <v>0</v>
      </c>
      <c r="BE652" s="220">
        <f t="shared" si="2039"/>
        <v>0</v>
      </c>
      <c r="BF652" s="220">
        <f t="shared" si="2040"/>
        <v>0</v>
      </c>
      <c r="BG652" s="220">
        <f t="shared" si="2041"/>
        <v>0</v>
      </c>
      <c r="BH652" s="220">
        <f t="shared" si="2042"/>
        <v>0</v>
      </c>
      <c r="BI652" s="220">
        <f t="shared" si="2043"/>
        <v>0</v>
      </c>
      <c r="BJ652" s="220" t="s">
        <v>1126</v>
      </c>
      <c r="BK652" s="220"/>
      <c r="BL652" s="223">
        <f t="shared" si="2005"/>
        <v>223.89999999999998</v>
      </c>
      <c r="BM652" s="220">
        <v>2.67</v>
      </c>
      <c r="BN652" s="220"/>
      <c r="BO652" s="220">
        <f t="shared" si="2121"/>
        <v>2.67</v>
      </c>
      <c r="BP652" s="220">
        <f>IF(AND(BL652&gt;0,BL652&lt;tiet!$D$1),BL652,IF(BL652&lt;=0,0,IF(BL652&gt;tiet!$C$1,tiet!$C$1)))</f>
        <v>200</v>
      </c>
      <c r="BQ652" s="87">
        <f>VLOOKUP(P652,ma_dinhmuc_moi,4,0)</f>
        <v>60000</v>
      </c>
      <c r="BR652" s="224">
        <f>ROUND(BQ652*BP652,0)</f>
        <v>12000000</v>
      </c>
      <c r="BS652" s="220">
        <f t="shared" si="2134"/>
        <v>23.899999999999977</v>
      </c>
      <c r="BT652" s="224">
        <f>VLOOKUP(N652,ma_dinhmuc!$A$1:$J$31,10,0)</f>
        <v>51000</v>
      </c>
      <c r="BU652" s="224">
        <f>ROUND(IF(BS652&gt;0,VLOOKUP(N652,ma_dinhmuc!$A$1:$J$31,10,0)*BS652,0),0)</f>
        <v>1218900</v>
      </c>
      <c r="BV652" s="224">
        <f>ROUND(BU652+BR652,0)</f>
        <v>13218900</v>
      </c>
      <c r="BW652" s="224"/>
      <c r="BX652" s="224">
        <v>0</v>
      </c>
      <c r="BY652" s="224"/>
      <c r="BZ652" s="224"/>
      <c r="CA652" s="224"/>
      <c r="CB652" s="224"/>
      <c r="CC652" s="225">
        <f t="shared" si="2112"/>
        <v>13218900</v>
      </c>
      <c r="CD652" s="224">
        <f t="shared" si="2113"/>
        <v>0</v>
      </c>
      <c r="CE652" s="224"/>
      <c r="CF652" s="226"/>
      <c r="CG652" s="87"/>
      <c r="CH652" s="87">
        <f>A652</f>
        <v>12</v>
      </c>
      <c r="CI652" s="227" t="str">
        <f t="shared" si="2128"/>
        <v>Lê Thị Mai</v>
      </c>
      <c r="CJ652" s="227" t="str">
        <f t="shared" si="2128"/>
        <v>Linh</v>
      </c>
      <c r="CK652" s="87">
        <f t="shared" si="2116"/>
        <v>13</v>
      </c>
      <c r="CL652" s="227" t="str">
        <f t="shared" si="2070"/>
        <v>Hoá học</v>
      </c>
      <c r="CM652" s="87" t="str">
        <f t="shared" si="2044"/>
        <v>CB2</v>
      </c>
      <c r="CN652" s="87">
        <f t="shared" si="2129"/>
        <v>270</v>
      </c>
      <c r="CO652" s="87">
        <f t="shared" si="2129"/>
        <v>60</v>
      </c>
      <c r="CP652" s="229">
        <f t="shared" si="1943"/>
        <v>0</v>
      </c>
      <c r="CQ652" s="229">
        <f t="shared" si="1944"/>
        <v>48.8</v>
      </c>
      <c r="CR652" s="229">
        <f t="shared" si="1945"/>
        <v>19.5</v>
      </c>
      <c r="CS652" s="229">
        <f t="shared" si="1946"/>
        <v>0</v>
      </c>
      <c r="CT652" s="229">
        <f t="shared" si="1947"/>
        <v>0</v>
      </c>
      <c r="CU652" s="229">
        <f t="shared" si="1948"/>
        <v>163.1</v>
      </c>
      <c r="CV652" s="229">
        <f t="shared" si="1949"/>
        <v>0</v>
      </c>
      <c r="CW652" s="229">
        <f t="shared" si="1950"/>
        <v>262.5</v>
      </c>
      <c r="CX652" s="229">
        <f t="shared" si="1951"/>
        <v>0</v>
      </c>
      <c r="CY652" s="229">
        <f t="shared" si="1952"/>
        <v>0</v>
      </c>
      <c r="CZ652" s="229">
        <f t="shared" si="1953"/>
        <v>0</v>
      </c>
      <c r="DA652" s="229">
        <f t="shared" si="1954"/>
        <v>0</v>
      </c>
      <c r="DB652" s="228">
        <f t="shared" si="2045"/>
        <v>493.9</v>
      </c>
      <c r="DC652" s="229"/>
      <c r="DD652" s="229"/>
      <c r="DE652" s="229"/>
      <c r="DF652" s="229"/>
      <c r="DG652" s="229"/>
      <c r="DH652" s="229"/>
      <c r="DI652" s="229"/>
      <c r="DJ652" s="229"/>
      <c r="DK652" s="229"/>
      <c r="DL652" s="229"/>
      <c r="DM652" s="229"/>
      <c r="DN652" s="229"/>
      <c r="DO652" s="228">
        <f t="shared" si="2046"/>
        <v>0</v>
      </c>
      <c r="DP652" s="228">
        <f t="shared" si="2047"/>
        <v>493.9</v>
      </c>
      <c r="DQ652" s="229">
        <f t="shared" si="1955"/>
        <v>0</v>
      </c>
      <c r="DR652" s="229">
        <f t="shared" si="1956"/>
        <v>0</v>
      </c>
      <c r="DS652" s="229">
        <f t="shared" si="1957"/>
        <v>0</v>
      </c>
      <c r="DT652" s="229">
        <f t="shared" si="1958"/>
        <v>0</v>
      </c>
      <c r="DU652" s="229">
        <f t="shared" si="1959"/>
        <v>0</v>
      </c>
      <c r="DV652" s="229">
        <f t="shared" si="1960"/>
        <v>0</v>
      </c>
      <c r="DW652" s="229">
        <f t="shared" si="1961"/>
        <v>0</v>
      </c>
      <c r="DX652" s="228">
        <f t="shared" si="2048"/>
        <v>0</v>
      </c>
      <c r="DY652" s="229"/>
      <c r="DZ652" s="229"/>
      <c r="EA652" s="229"/>
      <c r="EB652" s="229"/>
      <c r="EC652" s="229"/>
      <c r="ED652" s="229"/>
      <c r="EE652" s="229"/>
      <c r="EF652" s="228">
        <f t="shared" ref="EF652:EF715" si="2138">SUM(DY652:EE652)</f>
        <v>0</v>
      </c>
      <c r="EG652" s="228">
        <f t="shared" si="2049"/>
        <v>0</v>
      </c>
      <c r="EH652" s="229">
        <f t="shared" ref="EH652:EH715" si="2139">FN652</f>
        <v>65</v>
      </c>
      <c r="EI652" s="229">
        <v>41.55</v>
      </c>
      <c r="EJ652" s="228">
        <f t="shared" si="2130"/>
        <v>106.55</v>
      </c>
      <c r="EK652" s="229"/>
      <c r="EL652" s="229"/>
      <c r="EM652" s="228">
        <f t="shared" si="2104"/>
        <v>0</v>
      </c>
      <c r="EN652" s="229">
        <f t="shared" si="2086"/>
        <v>65</v>
      </c>
      <c r="EO652" s="229">
        <f t="shared" si="2123"/>
        <v>41.55</v>
      </c>
      <c r="EP652" s="228">
        <f t="shared" si="2118"/>
        <v>106.55</v>
      </c>
      <c r="EQ652" s="173">
        <f t="shared" si="2135"/>
        <v>5</v>
      </c>
      <c r="ER652" s="189">
        <v>0</v>
      </c>
      <c r="ES652" s="189">
        <v>48.8</v>
      </c>
      <c r="ET652" s="189">
        <v>19.5</v>
      </c>
      <c r="EU652" s="189">
        <v>0</v>
      </c>
      <c r="EV652" s="189">
        <v>0</v>
      </c>
      <c r="EW652" s="189">
        <v>163.1</v>
      </c>
      <c r="EX652" s="189">
        <v>0</v>
      </c>
      <c r="EY652" s="189">
        <v>262.5</v>
      </c>
      <c r="EZ652" s="189">
        <v>0</v>
      </c>
      <c r="FA652" s="189">
        <v>0</v>
      </c>
      <c r="FB652" s="189">
        <v>0</v>
      </c>
      <c r="FC652" s="189">
        <v>0</v>
      </c>
      <c r="FD652" s="189">
        <v>0</v>
      </c>
      <c r="FE652" s="189">
        <v>0</v>
      </c>
      <c r="FF652" s="189">
        <v>0</v>
      </c>
      <c r="FG652" s="189">
        <v>0</v>
      </c>
      <c r="FH652" s="189">
        <v>0</v>
      </c>
      <c r="FI652" s="189">
        <v>0</v>
      </c>
      <c r="FJ652" s="189">
        <v>0</v>
      </c>
      <c r="FK652" s="189">
        <v>493.9</v>
      </c>
      <c r="FL652" s="189">
        <v>352</v>
      </c>
      <c r="FN652" s="132">
        <v>65</v>
      </c>
    </row>
    <row r="653" spans="1:170" ht="31.5" customHeight="1">
      <c r="A653" s="88">
        <f>COUNTIF($H$12:H653,H653)</f>
        <v>13</v>
      </c>
      <c r="B653" s="88" t="s">
        <v>2153</v>
      </c>
      <c r="C653" s="88" t="s">
        <v>1395</v>
      </c>
      <c r="D653" s="88"/>
      <c r="E653" s="88"/>
      <c r="F653" s="301" t="s">
        <v>31</v>
      </c>
      <c r="G653" s="89" t="s">
        <v>2852</v>
      </c>
      <c r="H653" s="88">
        <v>13</v>
      </c>
      <c r="I653" s="88">
        <v>13</v>
      </c>
      <c r="J653" s="88">
        <v>13</v>
      </c>
      <c r="K653" s="90" t="s">
        <v>1619</v>
      </c>
      <c r="L653" s="90" t="s">
        <v>1619</v>
      </c>
      <c r="M653" s="214"/>
      <c r="N653" s="88" t="s">
        <v>1804</v>
      </c>
      <c r="O653" s="216">
        <f t="shared" si="2131"/>
        <v>3.66</v>
      </c>
      <c r="P653" s="88" t="str">
        <f t="shared" ref="P653:P686" si="2140">IF(BO653&lt;3.33,"B1_3",IF(AND(BO653&gt;=3.33,BO653&lt;4.65),"B1_4",IF(AND(BO653&gt;=4.65,BO653&lt;5.42),"B1_5",IF(AND(BO653&gt;=5.42,BO653&lt;6.44),"B1_6",IF(AND(BO653&gt;=6.44,BO653&lt;=6.92),"B1_7","B1_8")))))</f>
        <v>B1_4</v>
      </c>
      <c r="Q653" s="88">
        <f t="shared" si="2136"/>
        <v>270</v>
      </c>
      <c r="R653" s="88">
        <f t="shared" si="2137"/>
        <v>120</v>
      </c>
      <c r="S653" s="231" t="s">
        <v>348</v>
      </c>
      <c r="T653" s="88" t="s">
        <v>3090</v>
      </c>
      <c r="U653" s="88">
        <f>IF(RIGHT(T653,1)="K",(VLOOKUP(T653,ma_miengiam!$A$3:$B$80,2,0)*100)/2,VLOOKUP(T653,ma_miengiam!$A$3:$B$80,2,0)*100)</f>
        <v>15</v>
      </c>
      <c r="V653" s="88"/>
      <c r="W653" s="220">
        <f>IF(AND(T653="NTS",V653&gt;0),(Q653-(Q653*V653)/12)*VLOOKUP(T653,ma_miengiam!$A$3:$B$80,2,0)+(Q653-(Q653*(12-V653))/12),IF(AND(RIGHT(T653,1)="K",V653&gt;0),(VLOOKUP(T653,ma_miengiam!$A$3:$B$80,2,0)/2)*(Q653*V653)/12,IF(RIGHT(T653,1)="K",(VLOOKUP(T653,ma_miengiam!$A$3:$B$80,2,0)*Q653)/2,IF(V653&gt;0,VLOOKUP(T653,ma_miengiam!$A$3:$B$80,2,0)*Q653*V653/12,VLOOKUP(T653,ma_miengiam!$A$3:$B$80,2,0)*Q653))))</f>
        <v>40.5</v>
      </c>
      <c r="X653" s="220">
        <f>IF(T653="NTS",VLOOKUP(T653,ma_miengiam!$A$3:$B$80,2,0)*R653*V653,IF(AND(T653="NTS",V653=0),0,IF(AND(LEFT(T653,1)="K",V653=0),VLOOKUP(T653,ma_miengiam!$A$3:$B$80,2,0)*R653,IF(LEFT(T653,1)="K",(VLOOKUP(T653,ma_miengiam!$A$3:$B$80,2,0)*R653/12)*V653,IF(AND(LEFT(T653,1)="S",V653&gt;0),(R653/12)*V653,IF(AND(LEFT(T653,1)="S",V653=0),R653,IF(T653="DH",VLOOKUP(T653,ma_miengiam!$A$3:$B$80,2,0)*R653,0)))))))</f>
        <v>0</v>
      </c>
      <c r="Y653" s="220">
        <f t="shared" si="1963"/>
        <v>229.5</v>
      </c>
      <c r="Z653" s="220">
        <f>IF(AND(T653="SĐH",V653&gt;0),(R653/12)*V653-X653,IF(AND(T653="DH",V653&gt;0),(R653*V653/12),IF(AND(T653&lt;&gt;"NTS",V653&gt;0),(R653*V653/12)-X653,IF(AND(T653="NTS",V653&gt;0),R653-X653,R653-X653))))</f>
        <v>120</v>
      </c>
      <c r="AA653" s="220">
        <f>Q653</f>
        <v>270</v>
      </c>
      <c r="AB653" s="220">
        <f>R653</f>
        <v>120</v>
      </c>
      <c r="AC653" s="220">
        <f>W653</f>
        <v>40.5</v>
      </c>
      <c r="AD653" s="220">
        <f>X653</f>
        <v>0</v>
      </c>
      <c r="AE653" s="220">
        <f>Y653</f>
        <v>229.5</v>
      </c>
      <c r="AF653" s="220">
        <f>Z653</f>
        <v>120</v>
      </c>
      <c r="AG653" s="220">
        <f>AH653+AI653</f>
        <v>137.5</v>
      </c>
      <c r="AH653" s="220">
        <f>EO653</f>
        <v>29.17</v>
      </c>
      <c r="AI653" s="220">
        <f>EN653</f>
        <v>108.33</v>
      </c>
      <c r="AJ653" s="220">
        <f>IF(AG653-Z653&gt;0,0,AG653-Z653)</f>
        <v>0</v>
      </c>
      <c r="AK653" s="216">
        <f t="shared" si="2051"/>
        <v>229.5</v>
      </c>
      <c r="AL653" s="220">
        <f t="shared" si="2024"/>
        <v>25.1</v>
      </c>
      <c r="AM653" s="220">
        <f t="shared" si="2025"/>
        <v>0</v>
      </c>
      <c r="AN653" s="221">
        <f t="shared" si="2026"/>
        <v>25.1</v>
      </c>
      <c r="AO653" s="220">
        <f t="shared" si="2027"/>
        <v>0</v>
      </c>
      <c r="AP653" s="220">
        <f t="shared" si="2028"/>
        <v>0</v>
      </c>
      <c r="AQ653" s="220">
        <f t="shared" si="2029"/>
        <v>20</v>
      </c>
      <c r="AR653" s="220">
        <f t="shared" si="2030"/>
        <v>40</v>
      </c>
      <c r="AS653" s="220">
        <f t="shared" si="2031"/>
        <v>0</v>
      </c>
      <c r="AT653" s="216">
        <f t="shared" si="2032"/>
        <v>85.1</v>
      </c>
      <c r="AU653" s="222">
        <f>AN653-AK653</f>
        <v>-204.4</v>
      </c>
      <c r="AV653" s="220"/>
      <c r="AW653" s="220">
        <f t="shared" si="2033"/>
        <v>-204.4</v>
      </c>
      <c r="AX653" s="216">
        <f t="shared" si="2020"/>
        <v>-204.4</v>
      </c>
      <c r="AY653" s="220">
        <f t="shared" si="2034"/>
        <v>0</v>
      </c>
      <c r="AZ653" s="220">
        <f t="shared" si="2035"/>
        <v>0</v>
      </c>
      <c r="BA653" s="220">
        <f t="shared" si="2036"/>
        <v>0</v>
      </c>
      <c r="BB653" s="220">
        <f t="shared" si="2037"/>
        <v>0</v>
      </c>
      <c r="BC653" s="220">
        <f t="shared" si="2038"/>
        <v>0</v>
      </c>
      <c r="BD653" s="216">
        <f t="shared" si="1987"/>
        <v>0</v>
      </c>
      <c r="BE653" s="220">
        <f t="shared" si="2039"/>
        <v>0</v>
      </c>
      <c r="BF653" s="220">
        <f t="shared" si="2040"/>
        <v>0</v>
      </c>
      <c r="BG653" s="220">
        <f t="shared" si="2041"/>
        <v>-20</v>
      </c>
      <c r="BH653" s="220">
        <f t="shared" si="2042"/>
        <v>-40</v>
      </c>
      <c r="BI653" s="220">
        <f t="shared" si="2043"/>
        <v>0</v>
      </c>
      <c r="BJ653" s="220" t="s">
        <v>41</v>
      </c>
      <c r="BK653" s="220"/>
      <c r="BL653" s="223">
        <f t="shared" si="2005"/>
        <v>0</v>
      </c>
      <c r="BM653" s="220">
        <v>3.66</v>
      </c>
      <c r="BN653" s="220"/>
      <c r="BO653" s="220">
        <f>ROUND(BM653+(BM653*BN653),2)</f>
        <v>3.66</v>
      </c>
      <c r="BP653" s="220">
        <f>IF(AND(BL653&gt;0,BL653&lt;tiet!$D$1),BL653,IF(BL653&lt;=0,0,IF(BL653&gt;tiet!$C$1,tiet!$C$1)))</f>
        <v>0</v>
      </c>
      <c r="BQ653" s="87">
        <f>VLOOKUP(P653,ma_dinhmuc_moi,4,0)</f>
        <v>65000</v>
      </c>
      <c r="BR653" s="224">
        <f>ROUND(BQ653*BP653,0)</f>
        <v>0</v>
      </c>
      <c r="BS653" s="220">
        <f t="shared" si="2134"/>
        <v>0</v>
      </c>
      <c r="BT653" s="224">
        <f>VLOOKUP(N653,ma_dinhmuc!$A$1:$J$31,10,0)</f>
        <v>51000</v>
      </c>
      <c r="BU653" s="224">
        <f>ROUND(IF(BS653&gt;0,VLOOKUP(N653,ma_dinhmuc!$A$1:$J$31,10,0)*BS653,0),0)</f>
        <v>0</v>
      </c>
      <c r="BV653" s="224">
        <f>ROUND(BU653+BR653,0)</f>
        <v>0</v>
      </c>
      <c r="BW653" s="224"/>
      <c r="BX653" s="224">
        <v>29500</v>
      </c>
      <c r="BY653" s="224"/>
      <c r="BZ653" s="224"/>
      <c r="CA653" s="224"/>
      <c r="CB653" s="224"/>
      <c r="CC653" s="225">
        <f>ROUND(IF(BV653+BW653&gt;BX653+BY653+BZ653+CA653+CB653,(BW653+BV653)-(BX653+BY653+BZ653+CA653+CB653+CB653),0),0)</f>
        <v>0</v>
      </c>
      <c r="CD653" s="224">
        <f>ROUND(IF(BV653+BW653&lt;BX653+BY653+BZ653+CA653-CB653,(BX653+BY653+BZ653+CA653-CB653)-(BW653+BV653),0),0)</f>
        <v>29500</v>
      </c>
      <c r="CE653" s="224"/>
      <c r="CF653" s="226"/>
      <c r="CG653" s="87"/>
      <c r="CH653" s="87">
        <f>A653</f>
        <v>13</v>
      </c>
      <c r="CI653" s="227" t="str">
        <f t="shared" ref="CI653:CJ655" si="2141">F653</f>
        <v>Nguyễn Thế</v>
      </c>
      <c r="CJ653" s="227" t="str">
        <f t="shared" si="2141"/>
        <v>Bình</v>
      </c>
      <c r="CK653" s="87">
        <f t="shared" si="2116"/>
        <v>13</v>
      </c>
      <c r="CL653" s="227" t="str">
        <f t="shared" si="2070"/>
        <v>Vi sinh vật</v>
      </c>
      <c r="CM653" s="87" t="str">
        <f t="shared" si="2044"/>
        <v>CS2</v>
      </c>
      <c r="CN653" s="87">
        <f>Q653</f>
        <v>270</v>
      </c>
      <c r="CO653" s="87">
        <f>R653</f>
        <v>120</v>
      </c>
      <c r="CP653" s="229">
        <f t="shared" ref="CP653:CP716" si="2142">ER653</f>
        <v>0</v>
      </c>
      <c r="CQ653" s="229">
        <f t="shared" ref="CQ653:CQ716" si="2143">ES653</f>
        <v>3.1</v>
      </c>
      <c r="CR653" s="229">
        <f t="shared" ref="CR653:CR716" si="2144">ET653</f>
        <v>0</v>
      </c>
      <c r="CS653" s="229">
        <f t="shared" ref="CS653:CS716" si="2145">EU653</f>
        <v>7</v>
      </c>
      <c r="CT653" s="229">
        <f t="shared" ref="CT653:CT716" si="2146">EV653</f>
        <v>0</v>
      </c>
      <c r="CU653" s="229">
        <f t="shared" ref="CU653:CU716" si="2147">EW653</f>
        <v>0</v>
      </c>
      <c r="CV653" s="229">
        <f t="shared" ref="CV653:CV716" si="2148">EX653</f>
        <v>0</v>
      </c>
      <c r="CW653" s="229">
        <f t="shared" ref="CW653:CW716" si="2149">EY653</f>
        <v>15</v>
      </c>
      <c r="CX653" s="229">
        <f t="shared" ref="CX653:CX716" si="2150">EZ653</f>
        <v>0</v>
      </c>
      <c r="CY653" s="229">
        <f t="shared" ref="CY653:CY716" si="2151">FA653</f>
        <v>0</v>
      </c>
      <c r="CZ653" s="229">
        <f t="shared" ref="CZ653:CZ716" si="2152">FB653</f>
        <v>0</v>
      </c>
      <c r="DA653" s="229">
        <f t="shared" ref="DA653:DA716" si="2153">FC653</f>
        <v>20</v>
      </c>
      <c r="DB653" s="228">
        <f t="shared" si="2045"/>
        <v>45.1</v>
      </c>
      <c r="DC653" s="229"/>
      <c r="DD653" s="229"/>
      <c r="DE653" s="229"/>
      <c r="DF653" s="229"/>
      <c r="DG653" s="229"/>
      <c r="DH653" s="229"/>
      <c r="DI653" s="229"/>
      <c r="DJ653" s="229"/>
      <c r="DK653" s="229"/>
      <c r="DL653" s="229"/>
      <c r="DM653" s="229"/>
      <c r="DN653" s="229"/>
      <c r="DO653" s="228">
        <f t="shared" si="2046"/>
        <v>0</v>
      </c>
      <c r="DP653" s="228">
        <f t="shared" si="2047"/>
        <v>45.1</v>
      </c>
      <c r="DQ653" s="229">
        <f t="shared" ref="DQ653:DQ716" si="2154">FD653</f>
        <v>0</v>
      </c>
      <c r="DR653" s="229">
        <f t="shared" ref="DR653:DR716" si="2155">FE653</f>
        <v>0</v>
      </c>
      <c r="DS653" s="229">
        <f t="shared" ref="DS653:DS716" si="2156">FF653</f>
        <v>0</v>
      </c>
      <c r="DT653" s="229">
        <f t="shared" ref="DT653:DT716" si="2157">FG653</f>
        <v>0</v>
      </c>
      <c r="DU653" s="229">
        <f t="shared" ref="DU653:DU716" si="2158">FI653</f>
        <v>0</v>
      </c>
      <c r="DV653" s="229">
        <f t="shared" ref="DV653:DV716" si="2159">FH653</f>
        <v>40</v>
      </c>
      <c r="DW653" s="229">
        <f t="shared" ref="DW653:DW716" si="2160">FJ653</f>
        <v>0</v>
      </c>
      <c r="DX653" s="228">
        <f t="shared" si="2048"/>
        <v>40</v>
      </c>
      <c r="DY653" s="229"/>
      <c r="DZ653" s="229"/>
      <c r="EA653" s="229"/>
      <c r="EB653" s="229"/>
      <c r="EC653" s="229"/>
      <c r="ED653" s="229"/>
      <c r="EE653" s="229"/>
      <c r="EF653" s="228">
        <f t="shared" si="2138"/>
        <v>0</v>
      </c>
      <c r="EG653" s="228">
        <f t="shared" si="2049"/>
        <v>40</v>
      </c>
      <c r="EH653" s="229">
        <f t="shared" si="2139"/>
        <v>108.33</v>
      </c>
      <c r="EI653" s="229">
        <v>29.17</v>
      </c>
      <c r="EJ653" s="228">
        <f>SUM(EH653:EI653)</f>
        <v>137.5</v>
      </c>
      <c r="EK653" s="229"/>
      <c r="EL653" s="229"/>
      <c r="EM653" s="228">
        <f t="shared" si="2104"/>
        <v>0</v>
      </c>
      <c r="EN653" s="229">
        <f t="shared" si="2086"/>
        <v>108.33</v>
      </c>
      <c r="EO653" s="229">
        <f>EI653</f>
        <v>29.17</v>
      </c>
      <c r="EP653" s="228">
        <f>EM653+EJ653</f>
        <v>137.5</v>
      </c>
      <c r="EQ653" s="173">
        <f t="shared" si="2135"/>
        <v>0</v>
      </c>
      <c r="ER653" s="189">
        <v>0</v>
      </c>
      <c r="ES653" s="189">
        <v>3.1</v>
      </c>
      <c r="ET653" s="189">
        <v>0</v>
      </c>
      <c r="EU653" s="189">
        <v>7</v>
      </c>
      <c r="EV653" s="189">
        <v>0</v>
      </c>
      <c r="EW653" s="189">
        <v>0</v>
      </c>
      <c r="EX653" s="189">
        <v>0</v>
      </c>
      <c r="EY653" s="189">
        <v>15</v>
      </c>
      <c r="EZ653" s="189">
        <v>0</v>
      </c>
      <c r="FA653" s="189">
        <v>0</v>
      </c>
      <c r="FB653" s="189">
        <v>0</v>
      </c>
      <c r="FC653" s="189">
        <v>20</v>
      </c>
      <c r="FD653" s="189">
        <v>0</v>
      </c>
      <c r="FE653" s="189">
        <v>0</v>
      </c>
      <c r="FF653" s="189">
        <v>0</v>
      </c>
      <c r="FG653" s="189">
        <v>0</v>
      </c>
      <c r="FH653" s="189">
        <v>40</v>
      </c>
      <c r="FI653" s="189">
        <v>0</v>
      </c>
      <c r="FJ653" s="189">
        <v>0</v>
      </c>
      <c r="FK653" s="189">
        <v>85.1</v>
      </c>
      <c r="FL653" s="189">
        <v>83</v>
      </c>
      <c r="FN653" s="132">
        <v>108.33</v>
      </c>
    </row>
    <row r="654" spans="1:170" ht="30" customHeight="1">
      <c r="A654" s="88">
        <f>COUNTIF($H$12:H654,H654)</f>
        <v>14</v>
      </c>
      <c r="B654" s="88" t="s">
        <v>2154</v>
      </c>
      <c r="C654" s="88" t="s">
        <v>1396</v>
      </c>
      <c r="D654" s="88"/>
      <c r="E654" s="88"/>
      <c r="F654" s="301" t="s">
        <v>1783</v>
      </c>
      <c r="G654" s="89" t="s">
        <v>1784</v>
      </c>
      <c r="H654" s="88">
        <v>13</v>
      </c>
      <c r="I654" s="88">
        <v>13</v>
      </c>
      <c r="J654" s="88">
        <v>13</v>
      </c>
      <c r="K654" s="90" t="s">
        <v>1619</v>
      </c>
      <c r="L654" s="90" t="s">
        <v>1619</v>
      </c>
      <c r="M654" s="214"/>
      <c r="N654" s="88" t="s">
        <v>606</v>
      </c>
      <c r="O654" s="216">
        <f t="shared" si="2131"/>
        <v>4.4000000000000004</v>
      </c>
      <c r="P654" s="88" t="str">
        <f t="shared" si="2140"/>
        <v>B1_4</v>
      </c>
      <c r="Q654" s="88">
        <f t="shared" si="2136"/>
        <v>270</v>
      </c>
      <c r="R654" s="88">
        <f t="shared" si="2137"/>
        <v>120</v>
      </c>
      <c r="S654" s="218" t="s">
        <v>2984</v>
      </c>
      <c r="T654" s="214" t="s">
        <v>3091</v>
      </c>
      <c r="U654" s="88">
        <f>IF(RIGHT(T654,1)="K",(VLOOKUP(T654,ma_miengiam!$A$3:$B$80,2,0)*100)/2,VLOOKUP(T654,ma_miengiam!$A$3:$B$80,2,0)*100)</f>
        <v>20</v>
      </c>
      <c r="V654" s="88"/>
      <c r="W654" s="220">
        <f>IF(AND(T654="NTS",V654&gt;0),(Q654-(Q654*V654)/12)*VLOOKUP(T654,ma_miengiam!$A$3:$B$80,2,0)+(Q654-(Q654*(12-V654))/12),IF(AND(RIGHT(T654,1)="K",V654&gt;0),(VLOOKUP(T654,ma_miengiam!$A$3:$B$80,2,0)/2)*(Q654*V654)/12,IF(RIGHT(T654,1)="K",(VLOOKUP(T654,ma_miengiam!$A$3:$B$80,2,0)*Q654)/2,IF(V654&gt;0,VLOOKUP(T654,ma_miengiam!$A$3:$B$80,2,0)*Q654*V654/12,VLOOKUP(T654,ma_miengiam!$A$3:$B$80,2,0)*Q654))))</f>
        <v>54</v>
      </c>
      <c r="X654" s="220">
        <f>IF(T654="NTS",VLOOKUP(T654,ma_miengiam!$A$3:$B$80,2,0)*R654*V654,IF(AND(T654="NTS",V654=0),0,IF(AND(LEFT(T654,1)="K",V654=0),VLOOKUP(T654,ma_miengiam!$A$3:$B$80,2,0)*R654,IF(LEFT(T654,1)="K",(VLOOKUP(T654,ma_miengiam!$A$3:$B$80,2,0)*R654/12)*V654,IF(AND(LEFT(T654,1)="S",V654&gt;0),(R654/12)*V654,IF(AND(LEFT(T654,1)="S",V654=0),R654,IF(T654="DH",VLOOKUP(T654,ma_miengiam!$A$3:$B$80,2,0)*R654,0)))))))</f>
        <v>0</v>
      </c>
      <c r="Y654" s="220">
        <f t="shared" ref="Y654:Y679" si="2161">IF(AND(T654="DH",V654&gt;0),(S654*V654/12),IF(AND(T654&lt;&gt;"NTS",V654&gt;0),(Q654*V654/12)-W654,IF(AND(T654="NTS",V654&gt;0),Q654-W654,Q654-W654)))</f>
        <v>216</v>
      </c>
      <c r="Z654" s="220">
        <f t="shared" si="2065"/>
        <v>120</v>
      </c>
      <c r="AA654" s="220">
        <f t="shared" ref="AA654:AB659" si="2162">Q654</f>
        <v>270</v>
      </c>
      <c r="AB654" s="220">
        <f t="shared" si="2162"/>
        <v>120</v>
      </c>
      <c r="AC654" s="220">
        <f t="shared" ref="AC654:AF655" si="2163">W654</f>
        <v>54</v>
      </c>
      <c r="AD654" s="220">
        <f t="shared" si="2163"/>
        <v>0</v>
      </c>
      <c r="AE654" s="220">
        <f t="shared" si="2163"/>
        <v>216</v>
      </c>
      <c r="AF654" s="220">
        <f t="shared" si="2163"/>
        <v>120</v>
      </c>
      <c r="AG654" s="220">
        <f t="shared" si="2125"/>
        <v>84.17</v>
      </c>
      <c r="AH654" s="220">
        <f t="shared" si="2126"/>
        <v>29.17</v>
      </c>
      <c r="AI654" s="220">
        <f t="shared" si="2127"/>
        <v>55</v>
      </c>
      <c r="AJ654" s="220">
        <f>IF(AG654-Z654&gt;0,0,AG654-Z654)</f>
        <v>-35.83</v>
      </c>
      <c r="AK654" s="216">
        <f t="shared" si="2051"/>
        <v>251.82999999999998</v>
      </c>
      <c r="AL654" s="220">
        <f t="shared" si="2024"/>
        <v>46.5</v>
      </c>
      <c r="AM654" s="220">
        <f t="shared" si="2025"/>
        <v>0</v>
      </c>
      <c r="AN654" s="221">
        <f t="shared" si="2026"/>
        <v>46.5</v>
      </c>
      <c r="AO654" s="220">
        <f t="shared" si="2027"/>
        <v>0</v>
      </c>
      <c r="AP654" s="220">
        <f t="shared" si="2028"/>
        <v>0</v>
      </c>
      <c r="AQ654" s="220">
        <f t="shared" si="2029"/>
        <v>40</v>
      </c>
      <c r="AR654" s="220">
        <f t="shared" si="2030"/>
        <v>80</v>
      </c>
      <c r="AS654" s="220">
        <f t="shared" si="2031"/>
        <v>0</v>
      </c>
      <c r="AT654" s="216">
        <f t="shared" si="2032"/>
        <v>166.5</v>
      </c>
      <c r="AU654" s="222">
        <f t="shared" si="2122"/>
        <v>-205.32999999999998</v>
      </c>
      <c r="AV654" s="220"/>
      <c r="AW654" s="220">
        <f t="shared" si="2033"/>
        <v>-205.32999999999998</v>
      </c>
      <c r="AX654" s="216">
        <f t="shared" si="2020"/>
        <v>-205.32999999999998</v>
      </c>
      <c r="AY654" s="220">
        <f t="shared" si="2034"/>
        <v>0</v>
      </c>
      <c r="AZ654" s="220">
        <f t="shared" si="2035"/>
        <v>0</v>
      </c>
      <c r="BA654" s="220">
        <f t="shared" si="2036"/>
        <v>0</v>
      </c>
      <c r="BB654" s="220">
        <f t="shared" si="2037"/>
        <v>0</v>
      </c>
      <c r="BC654" s="220">
        <f t="shared" si="2038"/>
        <v>0</v>
      </c>
      <c r="BD654" s="216">
        <f t="shared" si="1987"/>
        <v>0</v>
      </c>
      <c r="BE654" s="220">
        <f t="shared" si="2039"/>
        <v>0</v>
      </c>
      <c r="BF654" s="220">
        <f t="shared" si="2040"/>
        <v>0</v>
      </c>
      <c r="BG654" s="220">
        <f t="shared" si="2041"/>
        <v>-40</v>
      </c>
      <c r="BH654" s="220">
        <f t="shared" si="2042"/>
        <v>-80</v>
      </c>
      <c r="BI654" s="220">
        <f t="shared" si="2043"/>
        <v>0</v>
      </c>
      <c r="BJ654" s="220" t="s">
        <v>41</v>
      </c>
      <c r="BK654" s="220"/>
      <c r="BL654" s="223">
        <f t="shared" si="2005"/>
        <v>0</v>
      </c>
      <c r="BM654" s="220">
        <v>4.4000000000000004</v>
      </c>
      <c r="BN654" s="220"/>
      <c r="BO654" s="220">
        <f t="shared" ref="BO654:BO666" si="2164">ROUND(BM654+(BM654*BN654),2)</f>
        <v>4.4000000000000004</v>
      </c>
      <c r="BP654" s="220">
        <f>IF(AND(BL654&gt;0,BL654&lt;tiet!$D$1),BL654,IF(BL654&lt;=0,0,IF(BL654&gt;tiet!$C$1,tiet!$C$1)))</f>
        <v>0</v>
      </c>
      <c r="BQ654" s="87">
        <f>VLOOKUP(P654,ma_dinhmuc_moi,4,0)</f>
        <v>65000</v>
      </c>
      <c r="BR654" s="224">
        <f>ROUND(BQ654*BP654,0)</f>
        <v>0</v>
      </c>
      <c r="BS654" s="220">
        <f t="shared" si="2134"/>
        <v>0</v>
      </c>
      <c r="BT654" s="224">
        <f>VLOOKUP(N654,ma_dinhmuc!$A$1:$J$31,10,0)</f>
        <v>55000</v>
      </c>
      <c r="BU654" s="224">
        <f>ROUND(IF(BS654&gt;0,VLOOKUP(N654,ma_dinhmuc!$A$1:$J$31,10,0)*BS654,0),0)</f>
        <v>0</v>
      </c>
      <c r="BV654" s="224">
        <f>ROUND(BU654+BR654,0)</f>
        <v>0</v>
      </c>
      <c r="BW654" s="224"/>
      <c r="BX654" s="224">
        <v>0</v>
      </c>
      <c r="BY654" s="224"/>
      <c r="BZ654" s="224"/>
      <c r="CA654" s="224"/>
      <c r="CB654" s="224"/>
      <c r="CC654" s="225">
        <f t="shared" si="2112"/>
        <v>0</v>
      </c>
      <c r="CD654" s="224">
        <f t="shared" si="2113"/>
        <v>0</v>
      </c>
      <c r="CE654" s="224"/>
      <c r="CF654" s="226"/>
      <c r="CG654" s="87"/>
      <c r="CH654" s="87">
        <f>A654</f>
        <v>14</v>
      </c>
      <c r="CI654" s="227" t="str">
        <f t="shared" si="2141"/>
        <v>Đinh Hồng</v>
      </c>
      <c r="CJ654" s="227" t="str">
        <f t="shared" si="2141"/>
        <v>Duyên</v>
      </c>
      <c r="CK654" s="87">
        <f t="shared" si="2116"/>
        <v>13</v>
      </c>
      <c r="CL654" s="227" t="str">
        <f t="shared" si="2070"/>
        <v>Vi sinh vật</v>
      </c>
      <c r="CM654" s="87" t="str">
        <f t="shared" si="2044"/>
        <v>CS3</v>
      </c>
      <c r="CN654" s="87">
        <f t="shared" ref="CN654:CN659" si="2165">Q654</f>
        <v>270</v>
      </c>
      <c r="CO654" s="87">
        <f t="shared" ref="CO654:CO659" si="2166">R654</f>
        <v>120</v>
      </c>
      <c r="CP654" s="229">
        <f t="shared" si="2142"/>
        <v>0</v>
      </c>
      <c r="CQ654" s="229">
        <f t="shared" si="2143"/>
        <v>3.9</v>
      </c>
      <c r="CR654" s="229">
        <f t="shared" si="2144"/>
        <v>1.6</v>
      </c>
      <c r="CS654" s="229">
        <f t="shared" si="2145"/>
        <v>11</v>
      </c>
      <c r="CT654" s="229">
        <f t="shared" si="2146"/>
        <v>0</v>
      </c>
      <c r="CU654" s="229">
        <f t="shared" si="2147"/>
        <v>30</v>
      </c>
      <c r="CV654" s="229">
        <f t="shared" si="2148"/>
        <v>0</v>
      </c>
      <c r="CW654" s="229">
        <f t="shared" si="2149"/>
        <v>0</v>
      </c>
      <c r="CX654" s="229">
        <f t="shared" si="2150"/>
        <v>0</v>
      </c>
      <c r="CY654" s="229">
        <f t="shared" si="2151"/>
        <v>0</v>
      </c>
      <c r="CZ654" s="229">
        <f t="shared" si="2152"/>
        <v>0</v>
      </c>
      <c r="DA654" s="229">
        <f t="shared" si="2153"/>
        <v>40</v>
      </c>
      <c r="DB654" s="228">
        <f t="shared" si="2045"/>
        <v>86.5</v>
      </c>
      <c r="DC654" s="229"/>
      <c r="DD654" s="229"/>
      <c r="DE654" s="229"/>
      <c r="DF654" s="229"/>
      <c r="DG654" s="229"/>
      <c r="DH654" s="229"/>
      <c r="DI654" s="229"/>
      <c r="DJ654" s="229"/>
      <c r="DK654" s="229"/>
      <c r="DL654" s="229"/>
      <c r="DM654" s="229"/>
      <c r="DN654" s="229"/>
      <c r="DO654" s="228">
        <f t="shared" si="2046"/>
        <v>0</v>
      </c>
      <c r="DP654" s="228">
        <f t="shared" si="2047"/>
        <v>86.5</v>
      </c>
      <c r="DQ654" s="229">
        <f t="shared" si="2154"/>
        <v>0</v>
      </c>
      <c r="DR654" s="229">
        <f t="shared" si="2155"/>
        <v>0</v>
      </c>
      <c r="DS654" s="229">
        <f t="shared" si="2156"/>
        <v>0</v>
      </c>
      <c r="DT654" s="229">
        <f t="shared" si="2157"/>
        <v>0</v>
      </c>
      <c r="DU654" s="229">
        <f t="shared" si="2158"/>
        <v>0</v>
      </c>
      <c r="DV654" s="229">
        <f t="shared" si="2159"/>
        <v>80</v>
      </c>
      <c r="DW654" s="229">
        <f t="shared" si="2160"/>
        <v>0</v>
      </c>
      <c r="DX654" s="228">
        <f t="shared" si="2048"/>
        <v>80</v>
      </c>
      <c r="DY654" s="229"/>
      <c r="DZ654" s="229"/>
      <c r="EA654" s="229"/>
      <c r="EB654" s="229"/>
      <c r="EC654" s="229"/>
      <c r="ED654" s="229"/>
      <c r="EE654" s="229"/>
      <c r="EF654" s="228">
        <f t="shared" si="2138"/>
        <v>0</v>
      </c>
      <c r="EG654" s="228">
        <f t="shared" si="2049"/>
        <v>80</v>
      </c>
      <c r="EH654" s="229">
        <f t="shared" si="2139"/>
        <v>55</v>
      </c>
      <c r="EI654" s="229">
        <v>29.17</v>
      </c>
      <c r="EJ654" s="228">
        <f t="shared" si="2130"/>
        <v>84.17</v>
      </c>
      <c r="EK654" s="229"/>
      <c r="EL654" s="229"/>
      <c r="EM654" s="228">
        <f t="shared" si="2104"/>
        <v>0</v>
      </c>
      <c r="EN654" s="229">
        <f t="shared" si="2086"/>
        <v>55</v>
      </c>
      <c r="EO654" s="229">
        <f t="shared" si="2123"/>
        <v>29.17</v>
      </c>
      <c r="EP654" s="228">
        <f t="shared" si="2118"/>
        <v>84.17</v>
      </c>
      <c r="EQ654" s="173">
        <f t="shared" si="2135"/>
        <v>0</v>
      </c>
      <c r="ER654" s="189">
        <v>0</v>
      </c>
      <c r="ES654" s="189">
        <v>3.9</v>
      </c>
      <c r="ET654" s="189">
        <v>1.6</v>
      </c>
      <c r="EU654" s="189">
        <v>11</v>
      </c>
      <c r="EV654" s="189">
        <v>0</v>
      </c>
      <c r="EW654" s="189">
        <v>30</v>
      </c>
      <c r="EX654" s="189">
        <v>0</v>
      </c>
      <c r="EY654" s="189">
        <v>0</v>
      </c>
      <c r="EZ654" s="189">
        <v>0</v>
      </c>
      <c r="FA654" s="189">
        <v>0</v>
      </c>
      <c r="FB654" s="189">
        <v>0</v>
      </c>
      <c r="FC654" s="189">
        <v>40</v>
      </c>
      <c r="FD654" s="189">
        <v>0</v>
      </c>
      <c r="FE654" s="189">
        <v>0</v>
      </c>
      <c r="FF654" s="189">
        <v>0</v>
      </c>
      <c r="FG654" s="189">
        <v>0</v>
      </c>
      <c r="FH654" s="189">
        <v>80</v>
      </c>
      <c r="FI654" s="189">
        <v>0</v>
      </c>
      <c r="FJ654" s="189">
        <v>0</v>
      </c>
      <c r="FK654" s="189">
        <v>166.5</v>
      </c>
      <c r="FL654" s="189">
        <v>163</v>
      </c>
      <c r="FN654" s="132">
        <v>55</v>
      </c>
    </row>
    <row r="655" spans="1:170" ht="30" customHeight="1">
      <c r="A655" s="88">
        <f>COUNTIF($H$12:H655,H655)</f>
        <v>15</v>
      </c>
      <c r="B655" s="88" t="s">
        <v>2155</v>
      </c>
      <c r="C655" s="88" t="s">
        <v>1397</v>
      </c>
      <c r="D655" s="88"/>
      <c r="E655" s="88"/>
      <c r="F655" s="301" t="s">
        <v>1786</v>
      </c>
      <c r="G655" s="89" t="s">
        <v>1787</v>
      </c>
      <c r="H655" s="88">
        <v>13</v>
      </c>
      <c r="I655" s="88">
        <v>13</v>
      </c>
      <c r="J655" s="88">
        <v>13</v>
      </c>
      <c r="K655" s="90" t="s">
        <v>1619</v>
      </c>
      <c r="L655" s="90" t="s">
        <v>1619</v>
      </c>
      <c r="M655" s="214"/>
      <c r="N655" s="88" t="s">
        <v>1804</v>
      </c>
      <c r="O655" s="216">
        <f t="shared" si="2131"/>
        <v>3</v>
      </c>
      <c r="P655" s="88" t="str">
        <f t="shared" si="2140"/>
        <v>B1_3</v>
      </c>
      <c r="Q655" s="88">
        <f t="shared" si="2136"/>
        <v>270</v>
      </c>
      <c r="R655" s="88">
        <f t="shared" si="2137"/>
        <v>100</v>
      </c>
      <c r="S655" s="218"/>
      <c r="T655" s="88" t="s">
        <v>3088</v>
      </c>
      <c r="U655" s="88">
        <f>IF(RIGHT(T655,1)="K",(VLOOKUP(T655,ma_miengiam!$A$3:$B$80,2,0)*100)/2,VLOOKUP(T655,ma_miengiam!$A$3:$B$80,2,0)*100)</f>
        <v>0</v>
      </c>
      <c r="V655" s="88"/>
      <c r="W655" s="220">
        <f>IF(AND(T655="NTS",V655&gt;0),(Q655-(Q655*V655)/12)*VLOOKUP(T655,ma_miengiam!$A$3:$B$80,2,0)+(Q655-(Q655*(12-V655))/12),IF(AND(RIGHT(T655,1)="K",V655&gt;0),(VLOOKUP(T655,ma_miengiam!$A$3:$B$80,2,0)/2)*(Q655*V655)/12,IF(RIGHT(T655,1)="K",(VLOOKUP(T655,ma_miengiam!$A$3:$B$80,2,0)*Q655)/2,IF(V655&gt;0,VLOOKUP(T655,ma_miengiam!$A$3:$B$80,2,0)*Q655*V655/12,VLOOKUP(T655,ma_miengiam!$A$3:$B$80,2,0)*Q655))))</f>
        <v>0</v>
      </c>
      <c r="X655" s="220">
        <f>IF(T655="NTS",VLOOKUP(T655,ma_miengiam!$A$3:$B$80,2,0)*R655*V655,IF(AND(T655="NTS",V655=0),0,IF(AND(LEFT(T655,1)="K",V655=0),VLOOKUP(T655,ma_miengiam!$A$3:$B$80,2,0)*R655,IF(LEFT(T655,1)="K",(VLOOKUP(T655,ma_miengiam!$A$3:$B$80,2,0)*R655/12)*V655,IF(AND(LEFT(T655,1)="S",V655&gt;0),(R655/12)*V655,IF(AND(LEFT(T655,1)="S",V655=0),R655,IF(T655="DH",VLOOKUP(T655,ma_miengiam!$A$3:$B$80,2,0)*R655,0)))))))</f>
        <v>0</v>
      </c>
      <c r="Y655" s="220">
        <f t="shared" si="2161"/>
        <v>270</v>
      </c>
      <c r="Z655" s="220">
        <f t="shared" si="2065"/>
        <v>100</v>
      </c>
      <c r="AA655" s="220">
        <f t="shared" si="2162"/>
        <v>270</v>
      </c>
      <c r="AB655" s="220">
        <f t="shared" si="2162"/>
        <v>100</v>
      </c>
      <c r="AC655" s="220">
        <f t="shared" si="2163"/>
        <v>0</v>
      </c>
      <c r="AD655" s="220">
        <f t="shared" si="2163"/>
        <v>0</v>
      </c>
      <c r="AE655" s="220">
        <f t="shared" si="2163"/>
        <v>270</v>
      </c>
      <c r="AF655" s="220">
        <f t="shared" si="2163"/>
        <v>100</v>
      </c>
      <c r="AG655" s="220">
        <f t="shared" si="2125"/>
        <v>33.33</v>
      </c>
      <c r="AH655" s="220">
        <f t="shared" si="2126"/>
        <v>33.33</v>
      </c>
      <c r="AI655" s="220">
        <f t="shared" si="2127"/>
        <v>0</v>
      </c>
      <c r="AJ655" s="220">
        <f t="shared" si="2101"/>
        <v>-66.67</v>
      </c>
      <c r="AK655" s="216">
        <f t="shared" si="2051"/>
        <v>336.67</v>
      </c>
      <c r="AL655" s="220">
        <f t="shared" si="2024"/>
        <v>32.6</v>
      </c>
      <c r="AM655" s="220">
        <f t="shared" si="2025"/>
        <v>0</v>
      </c>
      <c r="AN655" s="221">
        <f t="shared" si="2026"/>
        <v>32.6</v>
      </c>
      <c r="AO655" s="220">
        <f t="shared" si="2027"/>
        <v>0</v>
      </c>
      <c r="AP655" s="220">
        <f t="shared" si="2028"/>
        <v>0</v>
      </c>
      <c r="AQ655" s="220">
        <f t="shared" si="2029"/>
        <v>40</v>
      </c>
      <c r="AR655" s="220">
        <f t="shared" si="2030"/>
        <v>0</v>
      </c>
      <c r="AS655" s="220">
        <f t="shared" si="2031"/>
        <v>0</v>
      </c>
      <c r="AT655" s="216">
        <f t="shared" si="2032"/>
        <v>72.599999999999994</v>
      </c>
      <c r="AU655" s="222">
        <f t="shared" si="2122"/>
        <v>-304.07</v>
      </c>
      <c r="AV655" s="220"/>
      <c r="AW655" s="220">
        <f t="shared" si="2033"/>
        <v>-304.07</v>
      </c>
      <c r="AX655" s="216">
        <f t="shared" si="2020"/>
        <v>-304.07</v>
      </c>
      <c r="AY655" s="220">
        <f t="shared" si="2034"/>
        <v>0</v>
      </c>
      <c r="AZ655" s="220">
        <f t="shared" si="2035"/>
        <v>0</v>
      </c>
      <c r="BA655" s="220">
        <f t="shared" si="2036"/>
        <v>0</v>
      </c>
      <c r="BB655" s="220">
        <f t="shared" si="2037"/>
        <v>0</v>
      </c>
      <c r="BC655" s="220">
        <f t="shared" si="2038"/>
        <v>0</v>
      </c>
      <c r="BD655" s="216">
        <f t="shared" si="1987"/>
        <v>0</v>
      </c>
      <c r="BE655" s="220">
        <f t="shared" si="2039"/>
        <v>0</v>
      </c>
      <c r="BF655" s="220">
        <f t="shared" si="2040"/>
        <v>0</v>
      </c>
      <c r="BG655" s="220">
        <f t="shared" si="2041"/>
        <v>-40</v>
      </c>
      <c r="BH655" s="220">
        <f t="shared" si="2042"/>
        <v>0</v>
      </c>
      <c r="BI655" s="220">
        <f t="shared" si="2043"/>
        <v>0</v>
      </c>
      <c r="BJ655" s="220" t="s">
        <v>41</v>
      </c>
      <c r="BK655" s="220"/>
      <c r="BL655" s="223">
        <f t="shared" si="2005"/>
        <v>0</v>
      </c>
      <c r="BM655" s="220">
        <v>3</v>
      </c>
      <c r="BN655" s="220"/>
      <c r="BO655" s="220">
        <f t="shared" si="2164"/>
        <v>3</v>
      </c>
      <c r="BP655" s="220">
        <f>IF(AND(BL655&gt;0,BL655&lt;tiet!$D$1),BL655,IF(BL655&lt;=0,0,IF(BL655&gt;tiet!$C$1,tiet!$C$1)))</f>
        <v>0</v>
      </c>
      <c r="BQ655" s="87">
        <f t="shared" si="2102"/>
        <v>60000</v>
      </c>
      <c r="BR655" s="224">
        <f t="shared" si="2099"/>
        <v>0</v>
      </c>
      <c r="BS655" s="220">
        <f t="shared" si="2134"/>
        <v>0</v>
      </c>
      <c r="BT655" s="224">
        <f>VLOOKUP(N655,ma_dinhmuc!$A$1:$J$31,10,0)</f>
        <v>51000</v>
      </c>
      <c r="BU655" s="224">
        <f>ROUND(IF(BS655&gt;0,VLOOKUP(N655,ma_dinhmuc!$A$1:$J$31,10,0)*BS655,0),0)</f>
        <v>0</v>
      </c>
      <c r="BV655" s="224">
        <f t="shared" si="2100"/>
        <v>0</v>
      </c>
      <c r="BW655" s="224"/>
      <c r="BX655" s="224">
        <v>0</v>
      </c>
      <c r="BY655" s="224"/>
      <c r="BZ655" s="224"/>
      <c r="CA655" s="224"/>
      <c r="CB655" s="224"/>
      <c r="CC655" s="225">
        <f t="shared" si="2112"/>
        <v>0</v>
      </c>
      <c r="CD655" s="224">
        <f t="shared" si="2113"/>
        <v>0</v>
      </c>
      <c r="CE655" s="224"/>
      <c r="CF655" s="226"/>
      <c r="CG655" s="87"/>
      <c r="CH655" s="87">
        <f t="shared" si="2068"/>
        <v>15</v>
      </c>
      <c r="CI655" s="227" t="str">
        <f t="shared" si="2141"/>
        <v>Nguyễn Tú</v>
      </c>
      <c r="CJ655" s="227" t="str">
        <f t="shared" si="2141"/>
        <v>Điệp</v>
      </c>
      <c r="CK655" s="87">
        <f t="shared" si="2116"/>
        <v>13</v>
      </c>
      <c r="CL655" s="227" t="str">
        <f t="shared" si="2070"/>
        <v>Vi sinh vật</v>
      </c>
      <c r="CM655" s="87" t="str">
        <f t="shared" si="2044"/>
        <v>CS2</v>
      </c>
      <c r="CN655" s="87">
        <f t="shared" si="2165"/>
        <v>270</v>
      </c>
      <c r="CO655" s="87">
        <f t="shared" si="2166"/>
        <v>100</v>
      </c>
      <c r="CP655" s="229">
        <f t="shared" si="2142"/>
        <v>0</v>
      </c>
      <c r="CQ655" s="229">
        <f t="shared" si="2143"/>
        <v>3.1</v>
      </c>
      <c r="CR655" s="229">
        <f t="shared" si="2144"/>
        <v>0</v>
      </c>
      <c r="CS655" s="229">
        <f t="shared" si="2145"/>
        <v>7</v>
      </c>
      <c r="CT655" s="229">
        <f t="shared" si="2146"/>
        <v>0</v>
      </c>
      <c r="CU655" s="229">
        <f t="shared" si="2147"/>
        <v>0</v>
      </c>
      <c r="CV655" s="229">
        <f t="shared" si="2148"/>
        <v>0</v>
      </c>
      <c r="CW655" s="229">
        <f t="shared" si="2149"/>
        <v>22.5</v>
      </c>
      <c r="CX655" s="229">
        <f t="shared" si="2150"/>
        <v>0</v>
      </c>
      <c r="CY655" s="229">
        <f t="shared" si="2151"/>
        <v>0</v>
      </c>
      <c r="CZ655" s="229">
        <f t="shared" si="2152"/>
        <v>0</v>
      </c>
      <c r="DA655" s="229">
        <f t="shared" si="2153"/>
        <v>40</v>
      </c>
      <c r="DB655" s="228">
        <f t="shared" si="2045"/>
        <v>72.599999999999994</v>
      </c>
      <c r="DC655" s="229"/>
      <c r="DD655" s="229"/>
      <c r="DE655" s="229"/>
      <c r="DF655" s="229"/>
      <c r="DG655" s="229"/>
      <c r="DH655" s="229"/>
      <c r="DI655" s="229"/>
      <c r="DJ655" s="229"/>
      <c r="DK655" s="229"/>
      <c r="DL655" s="229"/>
      <c r="DM655" s="229"/>
      <c r="DN655" s="229"/>
      <c r="DO655" s="228">
        <f t="shared" si="2046"/>
        <v>0</v>
      </c>
      <c r="DP655" s="228">
        <f t="shared" si="2047"/>
        <v>72.599999999999994</v>
      </c>
      <c r="DQ655" s="229">
        <f t="shared" si="2154"/>
        <v>0</v>
      </c>
      <c r="DR655" s="229">
        <f t="shared" si="2155"/>
        <v>0</v>
      </c>
      <c r="DS655" s="229">
        <f t="shared" si="2156"/>
        <v>0</v>
      </c>
      <c r="DT655" s="229">
        <f t="shared" si="2157"/>
        <v>0</v>
      </c>
      <c r="DU655" s="229">
        <f t="shared" si="2158"/>
        <v>0</v>
      </c>
      <c r="DV655" s="229">
        <f t="shared" si="2159"/>
        <v>0</v>
      </c>
      <c r="DW655" s="229">
        <f t="shared" si="2160"/>
        <v>0</v>
      </c>
      <c r="DX655" s="228">
        <f t="shared" si="2048"/>
        <v>0</v>
      </c>
      <c r="DY655" s="229"/>
      <c r="DZ655" s="229"/>
      <c r="EA655" s="229"/>
      <c r="EB655" s="229"/>
      <c r="EC655" s="229"/>
      <c r="ED655" s="229"/>
      <c r="EE655" s="229"/>
      <c r="EF655" s="228">
        <f t="shared" si="2138"/>
        <v>0</v>
      </c>
      <c r="EG655" s="228">
        <f t="shared" si="2049"/>
        <v>0</v>
      </c>
      <c r="EH655" s="229">
        <f t="shared" si="2139"/>
        <v>0</v>
      </c>
      <c r="EI655" s="229">
        <v>33.33</v>
      </c>
      <c r="EJ655" s="228">
        <f t="shared" si="2130"/>
        <v>33.33</v>
      </c>
      <c r="EK655" s="229"/>
      <c r="EL655" s="229"/>
      <c r="EM655" s="228">
        <f t="shared" si="2104"/>
        <v>0</v>
      </c>
      <c r="EN655" s="229">
        <f t="shared" si="2086"/>
        <v>0</v>
      </c>
      <c r="EO655" s="229">
        <f t="shared" si="2123"/>
        <v>33.33</v>
      </c>
      <c r="EP655" s="228">
        <f t="shared" si="2118"/>
        <v>33.33</v>
      </c>
      <c r="EQ655" s="173">
        <f t="shared" si="2135"/>
        <v>0</v>
      </c>
      <c r="ER655" s="189">
        <v>0</v>
      </c>
      <c r="ES655" s="189">
        <v>3.1</v>
      </c>
      <c r="ET655" s="189">
        <v>0</v>
      </c>
      <c r="EU655" s="189">
        <v>7</v>
      </c>
      <c r="EV655" s="189">
        <v>0</v>
      </c>
      <c r="EW655" s="189">
        <v>0</v>
      </c>
      <c r="EX655" s="189">
        <v>0</v>
      </c>
      <c r="EY655" s="189">
        <v>22.5</v>
      </c>
      <c r="EZ655" s="189">
        <v>0</v>
      </c>
      <c r="FA655" s="189">
        <v>0</v>
      </c>
      <c r="FB655" s="189">
        <v>0</v>
      </c>
      <c r="FC655" s="189">
        <v>40</v>
      </c>
      <c r="FD655" s="189">
        <v>0</v>
      </c>
      <c r="FE655" s="189">
        <v>0</v>
      </c>
      <c r="FF655" s="189">
        <v>0</v>
      </c>
      <c r="FG655" s="189">
        <v>0</v>
      </c>
      <c r="FH655" s="189">
        <v>0</v>
      </c>
      <c r="FI655" s="189">
        <v>0</v>
      </c>
      <c r="FJ655" s="189">
        <v>0</v>
      </c>
      <c r="FK655" s="189">
        <v>72.599999999999994</v>
      </c>
      <c r="FL655" s="189">
        <v>63</v>
      </c>
      <c r="FN655" s="132">
        <v>0</v>
      </c>
    </row>
    <row r="656" spans="1:170" ht="30" customHeight="1">
      <c r="A656" s="88">
        <f>COUNTIF($H$12:H656,H656)</f>
        <v>16</v>
      </c>
      <c r="B656" s="88" t="s">
        <v>2156</v>
      </c>
      <c r="C656" s="88" t="s">
        <v>1398</v>
      </c>
      <c r="D656" s="88"/>
      <c r="E656" s="88"/>
      <c r="F656" s="301" t="s">
        <v>1150</v>
      </c>
      <c r="G656" s="89" t="s">
        <v>2883</v>
      </c>
      <c r="H656" s="88">
        <v>13</v>
      </c>
      <c r="I656" s="88">
        <v>13</v>
      </c>
      <c r="J656" s="88">
        <v>13</v>
      </c>
      <c r="K656" s="90" t="s">
        <v>1619</v>
      </c>
      <c r="L656" s="90" t="s">
        <v>1619</v>
      </c>
      <c r="M656" s="214"/>
      <c r="N656" s="88" t="s">
        <v>1804</v>
      </c>
      <c r="O656" s="216">
        <f t="shared" si="2131"/>
        <v>2.67</v>
      </c>
      <c r="P656" s="88" t="str">
        <f t="shared" si="2140"/>
        <v>B1_3</v>
      </c>
      <c r="Q656" s="88">
        <f t="shared" si="2136"/>
        <v>270</v>
      </c>
      <c r="R656" s="88">
        <f t="shared" si="2137"/>
        <v>100</v>
      </c>
      <c r="S656" s="218" t="s">
        <v>2008</v>
      </c>
      <c r="T656" s="88" t="s">
        <v>3095</v>
      </c>
      <c r="U656" s="88">
        <f>IF(RIGHT(T656,1)="K",(VLOOKUP(T656,ma_miengiam!$A$3:$B$80,2,0)*100)/2,VLOOKUP(T656,ma_miengiam!$A$3:$B$80,2,0)*100)</f>
        <v>40</v>
      </c>
      <c r="V656" s="88"/>
      <c r="W656" s="220">
        <f>IF(AND(T656="NTS",V656&gt;0),(Q656-(Q656*V656)/12)*VLOOKUP(T656,ma_miengiam!$A$3:$B$80,2,0)+(Q656-(Q656*(12-V656))/12),IF(AND(RIGHT(T656,1)="K",V656&gt;0),(VLOOKUP(T656,ma_miengiam!$A$3:$B$80,2,0)/2)*(Q656*V656)/12,IF(RIGHT(T656,1)="K",(VLOOKUP(T656,ma_miengiam!$A$3:$B$80,2,0)*Q656)/2,IF(V656&gt;0,VLOOKUP(T656,ma_miengiam!$A$3:$B$80,2,0)*Q656*V656/12,VLOOKUP(T656,ma_miengiam!$A$3:$B$80,2,0)*Q656))))</f>
        <v>108</v>
      </c>
      <c r="X656" s="220">
        <f>IF(T656="NTS",VLOOKUP(T656,ma_miengiam!$A$3:$B$80,2,0)*R656*V656,IF(AND(T656="NTS",V656=0),0,IF(AND(LEFT(T656,1)="K",V656=0),VLOOKUP(T656,ma_miengiam!$A$3:$B$80,2,0)*R656,IF(LEFT(T656,1)="K",(VLOOKUP(T656,ma_miengiam!$A$3:$B$80,2,0)*R656/12)*V656,IF(AND(LEFT(T656,1)="S",V656&gt;0),(R656/12)*V656,IF(AND(LEFT(T656,1)="S",V656=0),R656,IF(T656="DH",VLOOKUP(T656,ma_miengiam!$A$3:$B$80,2,0)*R656,0)))))))</f>
        <v>0</v>
      </c>
      <c r="Y656" s="220">
        <f>IF(AND(T656="DH",V656&gt;0),(S656*V656/12),IF(AND(T656&lt;&gt;"NTS",V656&gt;0),(Q656*V656/12)-W656,IF(AND(T656="NTS",V656&gt;0),Q656-W656,Q656-W656)))</f>
        <v>162</v>
      </c>
      <c r="Z656" s="220">
        <f>IF(AND(T656="SĐH",V656&gt;0),(R656/12)*V656-X656,IF(AND(T656="DH",V656&gt;0),(R656*V656/12),IF(AND(T656&lt;&gt;"NTS",V656&gt;0),(R656*V656/12)-X656,IF(AND(T656="NTS",V656&gt;0),R656-X656,R656-X656))))</f>
        <v>100</v>
      </c>
      <c r="AA656" s="220">
        <f>Q656</f>
        <v>270</v>
      </c>
      <c r="AB656" s="220">
        <f>R656</f>
        <v>100</v>
      </c>
      <c r="AC656" s="220">
        <f t="shared" ref="AC656:AF657" si="2167">W656</f>
        <v>108</v>
      </c>
      <c r="AD656" s="220">
        <f t="shared" si="2167"/>
        <v>0</v>
      </c>
      <c r="AE656" s="220">
        <f t="shared" si="2167"/>
        <v>162</v>
      </c>
      <c r="AF656" s="220">
        <f t="shared" si="2167"/>
        <v>100</v>
      </c>
      <c r="AG656" s="220">
        <f t="shared" ref="AG656:AG662" si="2168">AH656+AI656</f>
        <v>165.41</v>
      </c>
      <c r="AH656" s="220">
        <f t="shared" ref="AH656:AH662" si="2169">EO656</f>
        <v>23.75</v>
      </c>
      <c r="AI656" s="220">
        <f t="shared" ref="AI656:AI662" si="2170">EN656</f>
        <v>141.66</v>
      </c>
      <c r="AJ656" s="220">
        <f>IF(AG656-Z656&gt;0,0,AG656-Z656)</f>
        <v>0</v>
      </c>
      <c r="AK656" s="216">
        <f t="shared" si="2051"/>
        <v>162</v>
      </c>
      <c r="AL656" s="220">
        <f>SUM(CP656:CX656)+SUM(DC656:DK656)</f>
        <v>36.6</v>
      </c>
      <c r="AM656" s="220">
        <f>SUM(DQ656:DU656)+SUM(DY656:EC656)</f>
        <v>0</v>
      </c>
      <c r="AN656" s="221">
        <f>AM656+AL656</f>
        <v>36.6</v>
      </c>
      <c r="AO656" s="220">
        <f>CY656+DL656</f>
        <v>0</v>
      </c>
      <c r="AP656" s="220">
        <f>CZ656+DM656</f>
        <v>0</v>
      </c>
      <c r="AQ656" s="220">
        <f>DA656+DN656</f>
        <v>0</v>
      </c>
      <c r="AR656" s="220">
        <f>DV656+ED656</f>
        <v>0</v>
      </c>
      <c r="AS656" s="220">
        <f>DW656+EE656</f>
        <v>0</v>
      </c>
      <c r="AT656" s="216">
        <f>AN656+SUM(AO656:AS656)</f>
        <v>36.6</v>
      </c>
      <c r="AU656" s="220">
        <f>AN656-AK656</f>
        <v>-125.4</v>
      </c>
      <c r="AV656" s="220"/>
      <c r="AW656" s="220">
        <f>IF(AU656&gt;0,AU656,AV656+AU656)</f>
        <v>-125.4</v>
      </c>
      <c r="AX656" s="216">
        <f t="shared" si="2020"/>
        <v>-125.4</v>
      </c>
      <c r="AY656" s="220">
        <f>IF(AN656&gt;=AK656,AO656,IF(AN656+AO656-AK656&gt;=0,AN656+AO656-AK656,0))</f>
        <v>0</v>
      </c>
      <c r="AZ656" s="220">
        <f>IF(OR(AN656&gt;=AK656,AN656+AO656&gt;=AK656),AP656,IF(AN656+AO656+AP656&gt;AK656,AN656+AO656+AP656-AK656,0))</f>
        <v>0</v>
      </c>
      <c r="BA656" s="220">
        <f>IF(OR(AN656&gt;=AK656,AN656+AO656&gt;=AK656,AN656+AO656+AP656&gt;=AK656),AQ656,IF(AN656+AO656+AP656+AQ656&gt;=AK656,AN656+AO656+AP656+AQ656-AK656,0))</f>
        <v>0</v>
      </c>
      <c r="BB656" s="220">
        <f>IF(OR(AN656&gt;=AK656,AN656+AO656&gt;=AK656,AN656+AO656+AP656&gt;=AK656,AN656+AO656+AP656+AQ656&gt;=AK656),AR656,IF(AN656+AO656+AP656+AQ656+AR656&gt;=AK656,AN656+AO656+AP656+AQ656+AR656-AK656,0))</f>
        <v>0</v>
      </c>
      <c r="BC656" s="220">
        <f>IF(OR(AN656&gt;=AK656,AN656+AO656&gt;=AK656,AN656+AO656+AP656&gt;=AK656,AN656+AO656+AP656+AQ656&gt;=AK656,AN656+AO656+AP656+AQ656+AR656&gt;=AK656),AS656,IF(AN656+AO656+AP656+AQ656+AR656+AS656&gt;=AK656,AN656+AO656+AP656+AQ656+AR656+AS656-AK656,0))</f>
        <v>0</v>
      </c>
      <c r="BD656" s="216">
        <f t="shared" si="1987"/>
        <v>0</v>
      </c>
      <c r="BE656" s="220">
        <f>AY656-AO656</f>
        <v>0</v>
      </c>
      <c r="BF656" s="220">
        <f>AZ656-AP656</f>
        <v>0</v>
      </c>
      <c r="BG656" s="220">
        <f>BA656-AQ656</f>
        <v>0</v>
      </c>
      <c r="BH656" s="220">
        <f>BB656-AR656</f>
        <v>0</v>
      </c>
      <c r="BI656" s="220">
        <f>BC656-AS656</f>
        <v>0</v>
      </c>
      <c r="BJ656" s="220" t="s">
        <v>41</v>
      </c>
      <c r="BK656" s="220"/>
      <c r="BL656" s="223">
        <f t="shared" si="2005"/>
        <v>0</v>
      </c>
      <c r="BM656" s="220">
        <v>2.67</v>
      </c>
      <c r="BN656" s="220"/>
      <c r="BO656" s="220">
        <f>ROUND(BM656+(BM656*BN656),2)</f>
        <v>2.67</v>
      </c>
      <c r="BP656" s="220">
        <f>IF(AND(BL656&gt;0,BL656&lt;tiet!$D$1),BL656,IF(BL656&lt;=0,0,IF(BL656&gt;tiet!$C$1,tiet!$C$1)))</f>
        <v>0</v>
      </c>
      <c r="BQ656" s="87">
        <f>VLOOKUP(P656,ma_dinhmuc_moi,4,0)</f>
        <v>60000</v>
      </c>
      <c r="BR656" s="224">
        <f>ROUND(BQ656*BP656,0)</f>
        <v>0</v>
      </c>
      <c r="BS656" s="220">
        <f t="shared" si="2134"/>
        <v>0</v>
      </c>
      <c r="BT656" s="224">
        <f>VLOOKUP(N656,ma_dinhmuc!$A$1:$J$31,10,0)</f>
        <v>51000</v>
      </c>
      <c r="BU656" s="224">
        <f>ROUND(IF(BS656&gt;0,VLOOKUP(N656,ma_dinhmuc!$A$1:$J$31,10,0)*BS656,0),0)</f>
        <v>0</v>
      </c>
      <c r="BV656" s="224">
        <f>ROUND(BU656+BR656,0)</f>
        <v>0</v>
      </c>
      <c r="BW656" s="224"/>
      <c r="BX656" s="224">
        <v>0</v>
      </c>
      <c r="BY656" s="224"/>
      <c r="BZ656" s="224"/>
      <c r="CA656" s="224"/>
      <c r="CB656" s="224"/>
      <c r="CC656" s="225">
        <f>ROUND(IF(BV656+BW656&gt;BX656+BY656+BZ656+CA656+CB656,(BW656+BV656)-(BX656+BY656+BZ656+CA656+CB656+CB656),0),0)</f>
        <v>0</v>
      </c>
      <c r="CD656" s="224">
        <f>ROUND(IF(BV656+BW656&lt;BX656+BY656+BZ656+CA656-CB656,(BX656+BY656+BZ656+CA656-CB656)-(BW656+BV656),0),0)</f>
        <v>0</v>
      </c>
      <c r="CE656" s="224"/>
      <c r="CF656" s="226"/>
      <c r="CG656" s="87"/>
      <c r="CH656" s="87">
        <f>A656</f>
        <v>16</v>
      </c>
      <c r="CI656" s="227" t="str">
        <f t="shared" ref="CI656:CJ659" si="2171">F656</f>
        <v>Nguyễn Thị Khánh</v>
      </c>
      <c r="CJ656" s="227" t="str">
        <f t="shared" si="2171"/>
        <v>Huyền</v>
      </c>
      <c r="CK656" s="87">
        <f>H656</f>
        <v>13</v>
      </c>
      <c r="CL656" s="227" t="str">
        <f>L656</f>
        <v>Vi sinh vật</v>
      </c>
      <c r="CM656" s="87" t="str">
        <f>N656</f>
        <v>CS2</v>
      </c>
      <c r="CN656" s="87">
        <f>Q656</f>
        <v>270</v>
      </c>
      <c r="CO656" s="87">
        <f>R656</f>
        <v>100</v>
      </c>
      <c r="CP656" s="229">
        <f t="shared" si="2142"/>
        <v>0</v>
      </c>
      <c r="CQ656" s="229">
        <f t="shared" si="2143"/>
        <v>3.1</v>
      </c>
      <c r="CR656" s="229">
        <f t="shared" si="2144"/>
        <v>0</v>
      </c>
      <c r="CS656" s="229">
        <f t="shared" si="2145"/>
        <v>11</v>
      </c>
      <c r="CT656" s="229">
        <f t="shared" si="2146"/>
        <v>0</v>
      </c>
      <c r="CU656" s="229">
        <f t="shared" si="2147"/>
        <v>0</v>
      </c>
      <c r="CV656" s="229">
        <f t="shared" si="2148"/>
        <v>0</v>
      </c>
      <c r="CW656" s="229">
        <f t="shared" si="2149"/>
        <v>22.5</v>
      </c>
      <c r="CX656" s="229">
        <f t="shared" si="2150"/>
        <v>0</v>
      </c>
      <c r="CY656" s="229">
        <f t="shared" si="2151"/>
        <v>0</v>
      </c>
      <c r="CZ656" s="229">
        <f t="shared" si="2152"/>
        <v>0</v>
      </c>
      <c r="DA656" s="229">
        <f t="shared" si="2153"/>
        <v>0</v>
      </c>
      <c r="DB656" s="228">
        <f>SUM(CP656:DA656)</f>
        <v>36.6</v>
      </c>
      <c r="DC656" s="229"/>
      <c r="DD656" s="229"/>
      <c r="DE656" s="229"/>
      <c r="DF656" s="229"/>
      <c r="DG656" s="229"/>
      <c r="DH656" s="229"/>
      <c r="DI656" s="229"/>
      <c r="DJ656" s="229"/>
      <c r="DK656" s="229"/>
      <c r="DL656" s="229"/>
      <c r="DM656" s="229"/>
      <c r="DN656" s="229"/>
      <c r="DO656" s="228">
        <f>SUM(DC656:DN656)</f>
        <v>0</v>
      </c>
      <c r="DP656" s="228">
        <f>DO656+DB656</f>
        <v>36.6</v>
      </c>
      <c r="DQ656" s="229">
        <f t="shared" si="2154"/>
        <v>0</v>
      </c>
      <c r="DR656" s="229">
        <f t="shared" si="2155"/>
        <v>0</v>
      </c>
      <c r="DS656" s="229">
        <f t="shared" si="2156"/>
        <v>0</v>
      </c>
      <c r="DT656" s="229">
        <f t="shared" si="2157"/>
        <v>0</v>
      </c>
      <c r="DU656" s="229">
        <f t="shared" si="2158"/>
        <v>0</v>
      </c>
      <c r="DV656" s="229">
        <f t="shared" si="2159"/>
        <v>0</v>
      </c>
      <c r="DW656" s="229">
        <f t="shared" si="2160"/>
        <v>0</v>
      </c>
      <c r="DX656" s="228">
        <f>SUM(DQ656:DW656)</f>
        <v>0</v>
      </c>
      <c r="DY656" s="229"/>
      <c r="DZ656" s="229"/>
      <c r="EA656" s="229"/>
      <c r="EB656" s="229"/>
      <c r="EC656" s="229"/>
      <c r="ED656" s="229"/>
      <c r="EE656" s="229"/>
      <c r="EF656" s="228">
        <f t="shared" si="2138"/>
        <v>0</v>
      </c>
      <c r="EG656" s="228">
        <f>EF656+DX656</f>
        <v>0</v>
      </c>
      <c r="EH656" s="229">
        <f t="shared" si="2139"/>
        <v>141.66</v>
      </c>
      <c r="EI656" s="229">
        <v>23.75</v>
      </c>
      <c r="EJ656" s="228">
        <f>SUM(EH656:EI656)</f>
        <v>165.41</v>
      </c>
      <c r="EK656" s="229"/>
      <c r="EL656" s="229"/>
      <c r="EM656" s="228">
        <f>SUM(EK656:EL656)</f>
        <v>0</v>
      </c>
      <c r="EN656" s="229">
        <f>EK656+EH656+EL656</f>
        <v>141.66</v>
      </c>
      <c r="EO656" s="229">
        <f>EI656</f>
        <v>23.75</v>
      </c>
      <c r="EP656" s="228">
        <f>EM656+EJ656</f>
        <v>165.41</v>
      </c>
      <c r="EQ656" s="173">
        <f t="shared" si="2135"/>
        <v>41.66</v>
      </c>
      <c r="ER656" s="189">
        <v>0</v>
      </c>
      <c r="ES656" s="189">
        <v>3.1</v>
      </c>
      <c r="ET656" s="189">
        <v>0</v>
      </c>
      <c r="EU656" s="189">
        <v>11</v>
      </c>
      <c r="EV656" s="189">
        <v>0</v>
      </c>
      <c r="EW656" s="189">
        <v>0</v>
      </c>
      <c r="EX656" s="189">
        <v>0</v>
      </c>
      <c r="EY656" s="189">
        <v>22.5</v>
      </c>
      <c r="EZ656" s="189">
        <v>0</v>
      </c>
      <c r="FA656" s="189">
        <v>0</v>
      </c>
      <c r="FB656" s="189">
        <v>0</v>
      </c>
      <c r="FC656" s="189">
        <v>0</v>
      </c>
      <c r="FD656" s="189">
        <v>0</v>
      </c>
      <c r="FE656" s="189">
        <v>0</v>
      </c>
      <c r="FF656" s="189">
        <v>0</v>
      </c>
      <c r="FG656" s="189">
        <v>0</v>
      </c>
      <c r="FH656" s="189">
        <v>0</v>
      </c>
      <c r="FI656" s="189">
        <v>0</v>
      </c>
      <c r="FJ656" s="189">
        <v>0</v>
      </c>
      <c r="FK656" s="189">
        <v>36.6</v>
      </c>
      <c r="FL656" s="189">
        <v>27</v>
      </c>
      <c r="FN656" s="132">
        <v>141.66</v>
      </c>
    </row>
    <row r="657" spans="1:170" ht="30" customHeight="1">
      <c r="A657" s="88">
        <f>COUNTIF($H$12:H657,H657)</f>
        <v>17</v>
      </c>
      <c r="B657" s="88" t="s">
        <v>2157</v>
      </c>
      <c r="C657" s="88" t="s">
        <v>1399</v>
      </c>
      <c r="D657" s="88"/>
      <c r="E657" s="88"/>
      <c r="F657" s="301" t="s">
        <v>2909</v>
      </c>
      <c r="G657" s="89" t="s">
        <v>1140</v>
      </c>
      <c r="H657" s="88">
        <v>13</v>
      </c>
      <c r="I657" s="88">
        <v>13</v>
      </c>
      <c r="J657" s="88">
        <v>13</v>
      </c>
      <c r="K657" s="90" t="s">
        <v>1619</v>
      </c>
      <c r="L657" s="90" t="s">
        <v>1619</v>
      </c>
      <c r="M657" s="214"/>
      <c r="N657" s="88" t="s">
        <v>1804</v>
      </c>
      <c r="O657" s="216">
        <f t="shared" si="2131"/>
        <v>3</v>
      </c>
      <c r="P657" s="88" t="str">
        <f t="shared" si="2140"/>
        <v>B1_3</v>
      </c>
      <c r="Q657" s="88">
        <f t="shared" si="2136"/>
        <v>270</v>
      </c>
      <c r="R657" s="88">
        <f t="shared" si="2137"/>
        <v>100</v>
      </c>
      <c r="S657" s="231" t="s">
        <v>521</v>
      </c>
      <c r="T657" s="88" t="s">
        <v>3088</v>
      </c>
      <c r="U657" s="88">
        <f>IF(RIGHT(T657,1)="K",(VLOOKUP(T657,ma_miengiam!$A$3:$B$80,2,0)*100)/2,VLOOKUP(T657,ma_miengiam!$A$3:$B$80,2,0)*100)</f>
        <v>0</v>
      </c>
      <c r="V657" s="88"/>
      <c r="W657" s="220">
        <f>IF(AND(T657="NTS",V657&gt;0),(Q657-(Q657*V657)/12)*VLOOKUP(T657,ma_miengiam!$A$3:$B$80,2,0)+(Q657-(Q657*(12-V657))/12),IF(AND(RIGHT(T657,1)="K",V657&gt;0),(VLOOKUP(T657,ma_miengiam!$A$3:$B$80,2,0)/2)*(Q657*V657)/12,IF(RIGHT(T657,1)="K",(VLOOKUP(T657,ma_miengiam!$A$3:$B$80,2,0)*Q657)/2,IF(V657&gt;0,VLOOKUP(T657,ma_miengiam!$A$3:$B$80,2,0)*Q657*V657/12,VLOOKUP(T657,ma_miengiam!$A$3:$B$80,2,0)*Q657))))</f>
        <v>0</v>
      </c>
      <c r="X657" s="220">
        <f>IF(T657="NTS",VLOOKUP(T657,ma_miengiam!$A$3:$B$80,2,0)*R657*V657,IF(AND(T657="NTS",V657=0),0,IF(AND(LEFT(T657,1)="K",V657=0),VLOOKUP(T657,ma_miengiam!$A$3:$B$80,2,0)*R657,IF(LEFT(T657,1)="K",(VLOOKUP(T657,ma_miengiam!$A$3:$B$80,2,0)*R657/12)*V657,IF(AND(LEFT(T657,1)="S",V657&gt;0),(R657/12)*V657,IF(AND(LEFT(T657,1)="S",V657=0),R657,IF(T657="DH",VLOOKUP(T657,ma_miengiam!$A$3:$B$80,2,0)*R657,0)))))))</f>
        <v>0</v>
      </c>
      <c r="Y657" s="220">
        <f t="shared" si="2161"/>
        <v>270</v>
      </c>
      <c r="Z657" s="220">
        <f t="shared" si="2065"/>
        <v>100</v>
      </c>
      <c r="AA657" s="220">
        <f t="shared" si="2162"/>
        <v>270</v>
      </c>
      <c r="AB657" s="220">
        <f t="shared" si="2162"/>
        <v>100</v>
      </c>
      <c r="AC657" s="220">
        <f t="shared" si="2167"/>
        <v>0</v>
      </c>
      <c r="AD657" s="220">
        <f t="shared" si="2167"/>
        <v>0</v>
      </c>
      <c r="AE657" s="220">
        <f t="shared" si="2167"/>
        <v>270</v>
      </c>
      <c r="AF657" s="220">
        <f t="shared" si="2167"/>
        <v>100</v>
      </c>
      <c r="AG657" s="220">
        <f t="shared" si="2168"/>
        <v>119.76</v>
      </c>
      <c r="AH657" s="220">
        <f t="shared" si="2169"/>
        <v>53.33</v>
      </c>
      <c r="AI657" s="220">
        <f t="shared" si="2170"/>
        <v>66.430000000000007</v>
      </c>
      <c r="AJ657" s="220">
        <f t="shared" si="2101"/>
        <v>0</v>
      </c>
      <c r="AK657" s="216">
        <f t="shared" si="2051"/>
        <v>270</v>
      </c>
      <c r="AL657" s="220">
        <f t="shared" si="2024"/>
        <v>25.1</v>
      </c>
      <c r="AM657" s="220">
        <f t="shared" si="2025"/>
        <v>0</v>
      </c>
      <c r="AN657" s="221">
        <f t="shared" si="2026"/>
        <v>25.1</v>
      </c>
      <c r="AO657" s="220">
        <f t="shared" si="2027"/>
        <v>0</v>
      </c>
      <c r="AP657" s="220">
        <f t="shared" si="2028"/>
        <v>0</v>
      </c>
      <c r="AQ657" s="220">
        <f t="shared" si="2029"/>
        <v>20</v>
      </c>
      <c r="AR657" s="220">
        <f t="shared" si="2030"/>
        <v>0</v>
      </c>
      <c r="AS657" s="220">
        <f t="shared" si="2031"/>
        <v>0</v>
      </c>
      <c r="AT657" s="216">
        <f t="shared" si="2032"/>
        <v>45.1</v>
      </c>
      <c r="AU657" s="220">
        <f t="shared" si="2122"/>
        <v>-244.9</v>
      </c>
      <c r="AV657" s="220"/>
      <c r="AW657" s="220">
        <f t="shared" si="2033"/>
        <v>-244.9</v>
      </c>
      <c r="AX657" s="216">
        <f t="shared" si="2020"/>
        <v>-244.9</v>
      </c>
      <c r="AY657" s="220">
        <f t="shared" si="2034"/>
        <v>0</v>
      </c>
      <c r="AZ657" s="220">
        <f t="shared" si="2035"/>
        <v>0</v>
      </c>
      <c r="BA657" s="220">
        <f t="shared" si="2036"/>
        <v>0</v>
      </c>
      <c r="BB657" s="220">
        <f t="shared" si="2037"/>
        <v>0</v>
      </c>
      <c r="BC657" s="220">
        <f t="shared" si="2038"/>
        <v>0</v>
      </c>
      <c r="BD657" s="216">
        <f t="shared" si="1987"/>
        <v>0</v>
      </c>
      <c r="BE657" s="220">
        <f t="shared" si="2039"/>
        <v>0</v>
      </c>
      <c r="BF657" s="220">
        <f t="shared" si="2040"/>
        <v>0</v>
      </c>
      <c r="BG657" s="220">
        <f t="shared" si="2041"/>
        <v>-20</v>
      </c>
      <c r="BH657" s="220">
        <f t="shared" si="2042"/>
        <v>0</v>
      </c>
      <c r="BI657" s="220">
        <f t="shared" si="2043"/>
        <v>0</v>
      </c>
      <c r="BJ657" s="220" t="s">
        <v>41</v>
      </c>
      <c r="BK657" s="220"/>
      <c r="BL657" s="223">
        <f t="shared" si="2005"/>
        <v>0</v>
      </c>
      <c r="BM657" s="220">
        <v>3</v>
      </c>
      <c r="BN657" s="220"/>
      <c r="BO657" s="220">
        <f t="shared" si="2164"/>
        <v>3</v>
      </c>
      <c r="BP657" s="220">
        <f>IF(AND(BL657&gt;0,BL657&lt;tiet!$D$1),BL657,IF(BL657&lt;=0,0,IF(BL657&gt;tiet!$C$1,tiet!$C$1)))</f>
        <v>0</v>
      </c>
      <c r="BQ657" s="87">
        <f t="shared" si="2102"/>
        <v>60000</v>
      </c>
      <c r="BR657" s="224">
        <f t="shared" si="2099"/>
        <v>0</v>
      </c>
      <c r="BS657" s="220">
        <f t="shared" si="2134"/>
        <v>0</v>
      </c>
      <c r="BT657" s="224">
        <f>VLOOKUP(N657,ma_dinhmuc!$A$1:$J$31,10,0)</f>
        <v>51000</v>
      </c>
      <c r="BU657" s="224">
        <f>ROUND(IF(BS657&gt;0,VLOOKUP(N657,ma_dinhmuc!$A$1:$J$31,10,0)*BS657,0),0)</f>
        <v>0</v>
      </c>
      <c r="BV657" s="224">
        <f t="shared" si="2100"/>
        <v>0</v>
      </c>
      <c r="BW657" s="224"/>
      <c r="BX657" s="224">
        <v>0</v>
      </c>
      <c r="BY657" s="224"/>
      <c r="BZ657" s="224"/>
      <c r="CA657" s="224"/>
      <c r="CB657" s="224"/>
      <c r="CC657" s="225">
        <f t="shared" si="2112"/>
        <v>0</v>
      </c>
      <c r="CD657" s="224">
        <f t="shared" si="2113"/>
        <v>0</v>
      </c>
      <c r="CE657" s="224"/>
      <c r="CF657" s="226"/>
      <c r="CG657" s="87"/>
      <c r="CH657" s="87">
        <f>A657</f>
        <v>17</v>
      </c>
      <c r="CI657" s="227" t="str">
        <f t="shared" si="2171"/>
        <v>Nguyên Xuân</v>
      </c>
      <c r="CJ657" s="227" t="str">
        <f t="shared" si="2171"/>
        <v>Hòa</v>
      </c>
      <c r="CK657" s="87">
        <f>H657</f>
        <v>13</v>
      </c>
      <c r="CL657" s="227" t="str">
        <f t="shared" si="2070"/>
        <v>Vi sinh vật</v>
      </c>
      <c r="CM657" s="87" t="str">
        <f t="shared" si="2044"/>
        <v>CS2</v>
      </c>
      <c r="CN657" s="87">
        <f t="shared" si="2165"/>
        <v>270</v>
      </c>
      <c r="CO657" s="87">
        <f t="shared" si="2166"/>
        <v>100</v>
      </c>
      <c r="CP657" s="229">
        <f t="shared" si="2142"/>
        <v>0</v>
      </c>
      <c r="CQ657" s="229">
        <f t="shared" si="2143"/>
        <v>3.1</v>
      </c>
      <c r="CR657" s="229">
        <f t="shared" si="2144"/>
        <v>0</v>
      </c>
      <c r="CS657" s="229">
        <f t="shared" si="2145"/>
        <v>7</v>
      </c>
      <c r="CT657" s="229">
        <f t="shared" si="2146"/>
        <v>0</v>
      </c>
      <c r="CU657" s="229">
        <f t="shared" si="2147"/>
        <v>0</v>
      </c>
      <c r="CV657" s="229">
        <f t="shared" si="2148"/>
        <v>0</v>
      </c>
      <c r="CW657" s="229">
        <f t="shared" si="2149"/>
        <v>15</v>
      </c>
      <c r="CX657" s="229">
        <f t="shared" si="2150"/>
        <v>0</v>
      </c>
      <c r="CY657" s="229">
        <f t="shared" si="2151"/>
        <v>0</v>
      </c>
      <c r="CZ657" s="229">
        <f t="shared" si="2152"/>
        <v>0</v>
      </c>
      <c r="DA657" s="229">
        <f t="shared" si="2153"/>
        <v>20</v>
      </c>
      <c r="DB657" s="228">
        <f t="shared" si="2045"/>
        <v>45.1</v>
      </c>
      <c r="DC657" s="229"/>
      <c r="DD657" s="229"/>
      <c r="DE657" s="229"/>
      <c r="DF657" s="229"/>
      <c r="DG657" s="229"/>
      <c r="DH657" s="229"/>
      <c r="DI657" s="229"/>
      <c r="DJ657" s="229"/>
      <c r="DK657" s="229"/>
      <c r="DL657" s="229"/>
      <c r="DM657" s="229"/>
      <c r="DN657" s="229"/>
      <c r="DO657" s="228">
        <f t="shared" si="2046"/>
        <v>0</v>
      </c>
      <c r="DP657" s="228">
        <f t="shared" si="2047"/>
        <v>45.1</v>
      </c>
      <c r="DQ657" s="229">
        <f t="shared" si="2154"/>
        <v>0</v>
      </c>
      <c r="DR657" s="229">
        <f t="shared" si="2155"/>
        <v>0</v>
      </c>
      <c r="DS657" s="229">
        <f t="shared" si="2156"/>
        <v>0</v>
      </c>
      <c r="DT657" s="229">
        <f t="shared" si="2157"/>
        <v>0</v>
      </c>
      <c r="DU657" s="229">
        <f t="shared" si="2158"/>
        <v>0</v>
      </c>
      <c r="DV657" s="229">
        <f t="shared" si="2159"/>
        <v>0</v>
      </c>
      <c r="DW657" s="229">
        <f t="shared" si="2160"/>
        <v>0</v>
      </c>
      <c r="DX657" s="228">
        <f t="shared" si="2048"/>
        <v>0</v>
      </c>
      <c r="DY657" s="229"/>
      <c r="DZ657" s="229"/>
      <c r="EA657" s="229"/>
      <c r="EB657" s="229"/>
      <c r="EC657" s="229"/>
      <c r="ED657" s="229"/>
      <c r="EE657" s="229"/>
      <c r="EF657" s="228">
        <f t="shared" si="2138"/>
        <v>0</v>
      </c>
      <c r="EG657" s="228">
        <f t="shared" si="2049"/>
        <v>0</v>
      </c>
      <c r="EH657" s="229">
        <f t="shared" si="2139"/>
        <v>66.430000000000007</v>
      </c>
      <c r="EI657" s="229">
        <v>53.33</v>
      </c>
      <c r="EJ657" s="228">
        <f t="shared" si="2130"/>
        <v>119.76</v>
      </c>
      <c r="EK657" s="229"/>
      <c r="EL657" s="229"/>
      <c r="EM657" s="228">
        <f t="shared" si="2104"/>
        <v>0</v>
      </c>
      <c r="EN657" s="229">
        <f t="shared" si="2086"/>
        <v>66.430000000000007</v>
      </c>
      <c r="EO657" s="229">
        <f t="shared" si="2123"/>
        <v>53.33</v>
      </c>
      <c r="EP657" s="228">
        <f t="shared" si="2118"/>
        <v>119.76</v>
      </c>
      <c r="EQ657" s="173">
        <f t="shared" si="2135"/>
        <v>0</v>
      </c>
      <c r="ER657" s="189">
        <v>0</v>
      </c>
      <c r="ES657" s="189">
        <v>3.1</v>
      </c>
      <c r="ET657" s="189">
        <v>0</v>
      </c>
      <c r="EU657" s="189">
        <v>7</v>
      </c>
      <c r="EV657" s="189">
        <v>0</v>
      </c>
      <c r="EW657" s="189">
        <v>0</v>
      </c>
      <c r="EX657" s="189">
        <v>0</v>
      </c>
      <c r="EY657" s="189">
        <v>15</v>
      </c>
      <c r="EZ657" s="189">
        <v>0</v>
      </c>
      <c r="FA657" s="189">
        <v>0</v>
      </c>
      <c r="FB657" s="189">
        <v>0</v>
      </c>
      <c r="FC657" s="189">
        <v>20</v>
      </c>
      <c r="FD657" s="189">
        <v>0</v>
      </c>
      <c r="FE657" s="189">
        <v>0</v>
      </c>
      <c r="FF657" s="189">
        <v>0</v>
      </c>
      <c r="FG657" s="189">
        <v>0</v>
      </c>
      <c r="FH657" s="189">
        <v>0</v>
      </c>
      <c r="FI657" s="189">
        <v>0</v>
      </c>
      <c r="FJ657" s="189">
        <v>0</v>
      </c>
      <c r="FK657" s="189">
        <v>45.1</v>
      </c>
      <c r="FL657" s="189">
        <v>43</v>
      </c>
      <c r="FN657" s="132">
        <v>66.430000000000007</v>
      </c>
    </row>
    <row r="658" spans="1:170" ht="30.75" customHeight="1">
      <c r="A658" s="88">
        <f>COUNTIF($H$12:H658,H658)</f>
        <v>18</v>
      </c>
      <c r="B658" s="88" t="s">
        <v>2158</v>
      </c>
      <c r="C658" s="88" t="s">
        <v>1400</v>
      </c>
      <c r="D658" s="88"/>
      <c r="E658" s="88"/>
      <c r="F658" s="301" t="s">
        <v>724</v>
      </c>
      <c r="G658" s="89" t="s">
        <v>1785</v>
      </c>
      <c r="H658" s="88">
        <v>13</v>
      </c>
      <c r="I658" s="88">
        <v>13</v>
      </c>
      <c r="J658" s="88">
        <v>13</v>
      </c>
      <c r="K658" s="90" t="s">
        <v>1619</v>
      </c>
      <c r="L658" s="90" t="s">
        <v>1619</v>
      </c>
      <c r="M658" s="214"/>
      <c r="N658" s="88" t="s">
        <v>1804</v>
      </c>
      <c r="O658" s="216">
        <f t="shared" si="2131"/>
        <v>3.33</v>
      </c>
      <c r="P658" s="88" t="str">
        <f t="shared" si="2140"/>
        <v>B1_4</v>
      </c>
      <c r="Q658" s="88">
        <f t="shared" si="2136"/>
        <v>270</v>
      </c>
      <c r="R658" s="88">
        <f t="shared" si="2137"/>
        <v>120</v>
      </c>
      <c r="S658" s="230" t="s">
        <v>689</v>
      </c>
      <c r="T658" s="88" t="s">
        <v>3090</v>
      </c>
      <c r="U658" s="88">
        <f>IF(RIGHT(T658,1)="K",(VLOOKUP(T658,ma_miengiam!$A$3:$B$80,2,0)*100)/2,VLOOKUP(T658,ma_miengiam!$A$3:$B$80,2,0)*100)</f>
        <v>15</v>
      </c>
      <c r="V658" s="88"/>
      <c r="W658" s="220">
        <f>IF(AND(T658="NTS",V658&gt;0),(Q658-(Q658*V658)/12)*VLOOKUP(T658,ma_miengiam!$A$3:$B$80,2,0)+(Q658-(Q658*(12-V658))/12),IF(AND(RIGHT(T658,1)="K",V658&gt;0),(VLOOKUP(T658,ma_miengiam!$A$3:$B$80,2,0)/2)*(Q658*V658)/12,IF(RIGHT(T658,1)="K",(VLOOKUP(T658,ma_miengiam!$A$3:$B$80,2,0)*Q658)/2,IF(V658&gt;0,VLOOKUP(T658,ma_miengiam!$A$3:$B$80,2,0)*Q658*V658/12,VLOOKUP(T658,ma_miengiam!$A$3:$B$80,2,0)*Q658))))</f>
        <v>40.5</v>
      </c>
      <c r="X658" s="220">
        <f>IF(T658="NTS",VLOOKUP(T658,ma_miengiam!$A$3:$B$80,2,0)*R658*V658,IF(AND(T658="NTS",V658=0),0,IF(AND(LEFT(T658,1)="K",V658=0),VLOOKUP(T658,ma_miengiam!$A$3:$B$80,2,0)*R658,IF(LEFT(T658,1)="K",(VLOOKUP(T658,ma_miengiam!$A$3:$B$80,2,0)*R658/12)*V658,IF(AND(LEFT(T658,1)="S",V658&gt;0),(R658/12)*V658,IF(AND(LEFT(T658,1)="S",V658=0),R658,IF(T658="DH",VLOOKUP(T658,ma_miengiam!$A$3:$B$80,2,0)*R658,0)))))))</f>
        <v>0</v>
      </c>
      <c r="Y658" s="220">
        <f t="shared" si="2161"/>
        <v>229.5</v>
      </c>
      <c r="Z658" s="220">
        <f>IF(AND(T658="SĐH",V658&gt;0),(R658/12)*V658-X658,IF(AND(T658="DH",V658&gt;0),(R658*V658/12),IF(AND(T658&lt;&gt;"NTS",V658&gt;0),(R658*V658/12)-X658,IF(AND(T658="NTS",V658&gt;0),R658-X658,R658-X658))))</f>
        <v>120</v>
      </c>
      <c r="AA658" s="220">
        <f>Q658</f>
        <v>270</v>
      </c>
      <c r="AB658" s="220">
        <f>R658</f>
        <v>120</v>
      </c>
      <c r="AC658" s="220">
        <f t="shared" ref="AC658:AF659" si="2172">W658</f>
        <v>40.5</v>
      </c>
      <c r="AD658" s="220">
        <f t="shared" si="2172"/>
        <v>0</v>
      </c>
      <c r="AE658" s="220">
        <f t="shared" si="2172"/>
        <v>229.5</v>
      </c>
      <c r="AF658" s="220">
        <f t="shared" si="2172"/>
        <v>120</v>
      </c>
      <c r="AG658" s="220">
        <f t="shared" si="2168"/>
        <v>69.25</v>
      </c>
      <c r="AH658" s="220">
        <f t="shared" si="2169"/>
        <v>69.25</v>
      </c>
      <c r="AI658" s="220">
        <f t="shared" si="2170"/>
        <v>0</v>
      </c>
      <c r="AJ658" s="220">
        <f>IF(AG658-Z658&gt;0,0,AG658-Z658)</f>
        <v>-50.75</v>
      </c>
      <c r="AK658" s="216">
        <f t="shared" si="2051"/>
        <v>280.25</v>
      </c>
      <c r="AL658" s="220">
        <f t="shared" si="2024"/>
        <v>25.1</v>
      </c>
      <c r="AM658" s="220">
        <f t="shared" si="2025"/>
        <v>37.4</v>
      </c>
      <c r="AN658" s="221">
        <f t="shared" si="2026"/>
        <v>62.5</v>
      </c>
      <c r="AO658" s="220">
        <f t="shared" si="2027"/>
        <v>0</v>
      </c>
      <c r="AP658" s="220">
        <f t="shared" si="2028"/>
        <v>0</v>
      </c>
      <c r="AQ658" s="220">
        <f t="shared" si="2029"/>
        <v>100</v>
      </c>
      <c r="AR658" s="220">
        <f t="shared" si="2030"/>
        <v>80</v>
      </c>
      <c r="AS658" s="220">
        <f t="shared" si="2031"/>
        <v>0</v>
      </c>
      <c r="AT658" s="216">
        <f t="shared" si="2032"/>
        <v>242.5</v>
      </c>
      <c r="AU658" s="222">
        <f>AN658-AK658</f>
        <v>-217.75</v>
      </c>
      <c r="AV658" s="220"/>
      <c r="AW658" s="220">
        <f t="shared" si="2033"/>
        <v>-217.75</v>
      </c>
      <c r="AX658" s="216">
        <f t="shared" si="2020"/>
        <v>-217.75</v>
      </c>
      <c r="AY658" s="220">
        <f t="shared" si="2034"/>
        <v>0</v>
      </c>
      <c r="AZ658" s="220">
        <f t="shared" si="2035"/>
        <v>0</v>
      </c>
      <c r="BA658" s="220">
        <f t="shared" si="2036"/>
        <v>0</v>
      </c>
      <c r="BB658" s="220">
        <f t="shared" si="2037"/>
        <v>0</v>
      </c>
      <c r="BC658" s="220">
        <f t="shared" si="2038"/>
        <v>0</v>
      </c>
      <c r="BD658" s="216">
        <f t="shared" si="1987"/>
        <v>0</v>
      </c>
      <c r="BE658" s="220">
        <f t="shared" si="2039"/>
        <v>0</v>
      </c>
      <c r="BF658" s="220">
        <f t="shared" si="2040"/>
        <v>0</v>
      </c>
      <c r="BG658" s="220">
        <f t="shared" si="2041"/>
        <v>-100</v>
      </c>
      <c r="BH658" s="220">
        <f t="shared" si="2042"/>
        <v>-80</v>
      </c>
      <c r="BI658" s="220">
        <f t="shared" si="2043"/>
        <v>0</v>
      </c>
      <c r="BJ658" s="220" t="s">
        <v>41</v>
      </c>
      <c r="BK658" s="220"/>
      <c r="BL658" s="223">
        <f t="shared" si="2005"/>
        <v>0</v>
      </c>
      <c r="BM658" s="220">
        <v>3.33</v>
      </c>
      <c r="BN658" s="220"/>
      <c r="BO658" s="220">
        <f>ROUND(BM658+(BM658*BN658),2)</f>
        <v>3.33</v>
      </c>
      <c r="BP658" s="220">
        <f>IF(AND(BL658&gt;0,BL658&lt;tiet!$D$1),BL658,IF(BL658&lt;=0,0,IF(BL658&gt;tiet!$C$1,tiet!$C$1)))</f>
        <v>0</v>
      </c>
      <c r="BQ658" s="87">
        <f>VLOOKUP(P658,ma_dinhmuc_moi,4,0)</f>
        <v>65000</v>
      </c>
      <c r="BR658" s="224">
        <f>ROUND(BQ658*BP658,0)</f>
        <v>0</v>
      </c>
      <c r="BS658" s="220">
        <f t="shared" si="2134"/>
        <v>0</v>
      </c>
      <c r="BT658" s="224">
        <f>VLOOKUP(N658,ma_dinhmuc!$A$1:$J$31,10,0)</f>
        <v>51000</v>
      </c>
      <c r="BU658" s="224">
        <f>ROUND(IF(BS658&gt;0,VLOOKUP(N658,ma_dinhmuc!$A$1:$J$31,10,0)*BS658,0),0)</f>
        <v>0</v>
      </c>
      <c r="BV658" s="224">
        <f>ROUND(BU658+BR658,0)</f>
        <v>0</v>
      </c>
      <c r="BW658" s="224"/>
      <c r="BX658" s="224">
        <v>0</v>
      </c>
      <c r="BY658" s="224"/>
      <c r="BZ658" s="224"/>
      <c r="CA658" s="224"/>
      <c r="CB658" s="224"/>
      <c r="CC658" s="225">
        <f>ROUND(IF(BV658+BW658&gt;BX658+BY658+BZ658+CA658+CB658,(BW658+BV658)-(BX658+BY658+BZ658+CA658+CB658+CB658),0),0)</f>
        <v>0</v>
      </c>
      <c r="CD658" s="224">
        <f>ROUND(IF(BV658+BW658&lt;BX658+BY658+BZ658+CA658-CB658,(BX658+BY658+BZ658+CA658-CB658)-(BW658+BV658),0),0)</f>
        <v>0</v>
      </c>
      <c r="CE658" s="224"/>
      <c r="CF658" s="226"/>
      <c r="CG658" s="87"/>
      <c r="CH658" s="87">
        <f>A658</f>
        <v>18</v>
      </c>
      <c r="CI658" s="227" t="str">
        <f t="shared" si="2171"/>
        <v>Vũ Thị</v>
      </c>
      <c r="CJ658" s="227" t="str">
        <f t="shared" si="2171"/>
        <v>Hoàn</v>
      </c>
      <c r="CK658" s="87">
        <f>H658</f>
        <v>13</v>
      </c>
      <c r="CL658" s="227" t="str">
        <f t="shared" ref="CL658:CL683" si="2173">L658</f>
        <v>Vi sinh vật</v>
      </c>
      <c r="CM658" s="87" t="str">
        <f t="shared" si="2044"/>
        <v>CS2</v>
      </c>
      <c r="CN658" s="87">
        <f>Q658</f>
        <v>270</v>
      </c>
      <c r="CO658" s="87">
        <f>R658</f>
        <v>120</v>
      </c>
      <c r="CP658" s="229">
        <f t="shared" si="2142"/>
        <v>0</v>
      </c>
      <c r="CQ658" s="229">
        <f t="shared" si="2143"/>
        <v>3.1</v>
      </c>
      <c r="CR658" s="229">
        <f t="shared" si="2144"/>
        <v>0</v>
      </c>
      <c r="CS658" s="229">
        <f t="shared" si="2145"/>
        <v>7</v>
      </c>
      <c r="CT658" s="229">
        <f t="shared" si="2146"/>
        <v>0</v>
      </c>
      <c r="CU658" s="229">
        <f t="shared" si="2147"/>
        <v>0</v>
      </c>
      <c r="CV658" s="229">
        <f t="shared" si="2148"/>
        <v>0</v>
      </c>
      <c r="CW658" s="229">
        <f t="shared" si="2149"/>
        <v>15</v>
      </c>
      <c r="CX658" s="229">
        <f t="shared" si="2150"/>
        <v>0</v>
      </c>
      <c r="CY658" s="229">
        <f t="shared" si="2151"/>
        <v>0</v>
      </c>
      <c r="CZ658" s="229">
        <f t="shared" si="2152"/>
        <v>0</v>
      </c>
      <c r="DA658" s="229">
        <f t="shared" si="2153"/>
        <v>100</v>
      </c>
      <c r="DB658" s="228">
        <f t="shared" si="2045"/>
        <v>125.1</v>
      </c>
      <c r="DC658" s="229"/>
      <c r="DD658" s="229"/>
      <c r="DE658" s="229"/>
      <c r="DF658" s="229"/>
      <c r="DG658" s="229"/>
      <c r="DH658" s="229"/>
      <c r="DI658" s="229"/>
      <c r="DJ658" s="229"/>
      <c r="DK658" s="229"/>
      <c r="DL658" s="229"/>
      <c r="DM658" s="229"/>
      <c r="DN658" s="229"/>
      <c r="DO658" s="228">
        <f t="shared" si="2046"/>
        <v>0</v>
      </c>
      <c r="DP658" s="228">
        <f t="shared" si="2047"/>
        <v>125.1</v>
      </c>
      <c r="DQ658" s="229">
        <f t="shared" si="2154"/>
        <v>36</v>
      </c>
      <c r="DR658" s="229">
        <f t="shared" si="2155"/>
        <v>1</v>
      </c>
      <c r="DS658" s="229">
        <f t="shared" si="2156"/>
        <v>0</v>
      </c>
      <c r="DT658" s="229">
        <f t="shared" si="2157"/>
        <v>0.4</v>
      </c>
      <c r="DU658" s="229">
        <f t="shared" si="2158"/>
        <v>0</v>
      </c>
      <c r="DV658" s="229">
        <f t="shared" si="2159"/>
        <v>80</v>
      </c>
      <c r="DW658" s="229">
        <f t="shared" si="2160"/>
        <v>0</v>
      </c>
      <c r="DX658" s="228">
        <f t="shared" si="2048"/>
        <v>117.4</v>
      </c>
      <c r="DY658" s="229"/>
      <c r="DZ658" s="229"/>
      <c r="EA658" s="229"/>
      <c r="EB658" s="229"/>
      <c r="EC658" s="229"/>
      <c r="ED658" s="229"/>
      <c r="EE658" s="229"/>
      <c r="EF658" s="228">
        <f t="shared" si="2138"/>
        <v>0</v>
      </c>
      <c r="EG658" s="228">
        <f t="shared" si="2049"/>
        <v>117.4</v>
      </c>
      <c r="EH658" s="229">
        <f t="shared" si="2139"/>
        <v>0</v>
      </c>
      <c r="EI658" s="229">
        <v>69.25</v>
      </c>
      <c r="EJ658" s="228">
        <f>SUM(EH658:EI658)</f>
        <v>69.25</v>
      </c>
      <c r="EK658" s="229"/>
      <c r="EL658" s="229"/>
      <c r="EM658" s="228">
        <f t="shared" si="2104"/>
        <v>0</v>
      </c>
      <c r="EN658" s="229">
        <f t="shared" si="2086"/>
        <v>0</v>
      </c>
      <c r="EO658" s="229">
        <f>EI658</f>
        <v>69.25</v>
      </c>
      <c r="EP658" s="228">
        <f>EM658+EJ658</f>
        <v>69.25</v>
      </c>
      <c r="EQ658" s="173">
        <f t="shared" si="2135"/>
        <v>0</v>
      </c>
      <c r="ER658" s="189">
        <v>0</v>
      </c>
      <c r="ES658" s="189">
        <v>3.1</v>
      </c>
      <c r="ET658" s="189">
        <v>0</v>
      </c>
      <c r="EU658" s="189">
        <v>7</v>
      </c>
      <c r="EV658" s="189">
        <v>0</v>
      </c>
      <c r="EW658" s="189">
        <v>0</v>
      </c>
      <c r="EX658" s="189">
        <v>0</v>
      </c>
      <c r="EY658" s="189">
        <v>15</v>
      </c>
      <c r="EZ658" s="189">
        <v>0</v>
      </c>
      <c r="FA658" s="189">
        <v>0</v>
      </c>
      <c r="FB658" s="189">
        <v>0</v>
      </c>
      <c r="FC658" s="189">
        <v>100</v>
      </c>
      <c r="FD658" s="189">
        <v>36</v>
      </c>
      <c r="FE658" s="189">
        <v>1</v>
      </c>
      <c r="FF658" s="189">
        <v>0</v>
      </c>
      <c r="FG658" s="189">
        <v>0.4</v>
      </c>
      <c r="FH658" s="189">
        <v>80</v>
      </c>
      <c r="FI658" s="189">
        <v>0</v>
      </c>
      <c r="FJ658" s="189">
        <v>0</v>
      </c>
      <c r="FK658" s="189">
        <v>242.5</v>
      </c>
      <c r="FL658" s="189">
        <v>225</v>
      </c>
      <c r="FN658" s="132">
        <v>0</v>
      </c>
    </row>
    <row r="659" spans="1:170" ht="30" customHeight="1">
      <c r="A659" s="88">
        <f>COUNTIF($H$12:H659,H659)</f>
        <v>19</v>
      </c>
      <c r="B659" s="88" t="s">
        <v>2159</v>
      </c>
      <c r="C659" s="88" t="s">
        <v>1401</v>
      </c>
      <c r="D659" s="88"/>
      <c r="E659" s="88"/>
      <c r="F659" s="301" t="s">
        <v>1139</v>
      </c>
      <c r="G659" s="303" t="s">
        <v>2089</v>
      </c>
      <c r="H659" s="88">
        <v>13</v>
      </c>
      <c r="I659" s="88">
        <v>13</v>
      </c>
      <c r="J659" s="88">
        <v>13</v>
      </c>
      <c r="K659" s="90" t="s">
        <v>1619</v>
      </c>
      <c r="L659" s="90" t="s">
        <v>1619</v>
      </c>
      <c r="M659" s="214"/>
      <c r="N659" s="88" t="s">
        <v>605</v>
      </c>
      <c r="O659" s="216">
        <f t="shared" si="2131"/>
        <v>6.2</v>
      </c>
      <c r="P659" s="88" t="str">
        <f t="shared" si="2140"/>
        <v>B1_6</v>
      </c>
      <c r="Q659" s="88">
        <f t="shared" si="2136"/>
        <v>270</v>
      </c>
      <c r="R659" s="88">
        <f t="shared" si="2137"/>
        <v>170</v>
      </c>
      <c r="S659" s="218"/>
      <c r="T659" s="219" t="s">
        <v>3088</v>
      </c>
      <c r="U659" s="88">
        <f>IF(RIGHT(T659,1)="K",(VLOOKUP(T659,ma_miengiam!$A$3:$B$80,2,0)*100)/2,VLOOKUP(T659,ma_miengiam!$A$3:$B$80,2,0)*100)</f>
        <v>0</v>
      </c>
      <c r="V659" s="88"/>
      <c r="W659" s="220">
        <f>IF(AND(T659="NTS",V659&gt;0),(Q659-(Q659*V659)/12)*VLOOKUP(T659,ma_miengiam!$A$3:$B$80,2,0)+(Q659-(Q659*(12-V659))/12),IF(AND(RIGHT(T659,1)="K",V659&gt;0),(VLOOKUP(T659,ma_miengiam!$A$3:$B$80,2,0)/2)*(Q659*V659)/12,IF(RIGHT(T659,1)="K",(VLOOKUP(T659,ma_miengiam!$A$3:$B$80,2,0)*Q659)/2,IF(V659&gt;0,VLOOKUP(T659,ma_miengiam!$A$3:$B$80,2,0)*Q659*V659/12,VLOOKUP(T659,ma_miengiam!$A$3:$B$80,2,0)*Q659))))</f>
        <v>0</v>
      </c>
      <c r="X659" s="220">
        <f>IF(T659="NTS",VLOOKUP(T659,ma_miengiam!$A$3:$B$80,2,0)*R659*V659,IF(AND(T659="NTS",V659=0),0,IF(AND(LEFT(T659,1)="K",V659=0),VLOOKUP(T659,ma_miengiam!$A$3:$B$80,2,0)*R659,IF(LEFT(T659,1)="K",(VLOOKUP(T659,ma_miengiam!$A$3:$B$80,2,0)*R659/12)*V659,IF(AND(LEFT(T659,1)="S",V659&gt;0),(R659/12)*V659,IF(AND(LEFT(T659,1)="S",V659=0),R659,IF(T659="DH",VLOOKUP(T659,ma_miengiam!$A$3:$B$80,2,0)*R659,0)))))))</f>
        <v>0</v>
      </c>
      <c r="Y659" s="220">
        <f t="shared" si="2161"/>
        <v>270</v>
      </c>
      <c r="Z659" s="220">
        <f t="shared" si="2065"/>
        <v>170</v>
      </c>
      <c r="AA659" s="220">
        <f t="shared" si="2162"/>
        <v>270</v>
      </c>
      <c r="AB659" s="220">
        <f t="shared" si="2162"/>
        <v>170</v>
      </c>
      <c r="AC659" s="220">
        <f t="shared" si="2172"/>
        <v>0</v>
      </c>
      <c r="AD659" s="220">
        <f t="shared" si="2172"/>
        <v>0</v>
      </c>
      <c r="AE659" s="220">
        <f t="shared" si="2172"/>
        <v>270</v>
      </c>
      <c r="AF659" s="220">
        <f t="shared" si="2172"/>
        <v>170</v>
      </c>
      <c r="AG659" s="220">
        <f t="shared" si="2168"/>
        <v>352.98</v>
      </c>
      <c r="AH659" s="220">
        <f t="shared" si="2169"/>
        <v>41.32</v>
      </c>
      <c r="AI659" s="220">
        <f t="shared" si="2170"/>
        <v>311.66000000000003</v>
      </c>
      <c r="AJ659" s="220">
        <f t="shared" si="2101"/>
        <v>0</v>
      </c>
      <c r="AK659" s="216">
        <f t="shared" si="2051"/>
        <v>270</v>
      </c>
      <c r="AL659" s="220">
        <f t="shared" si="2024"/>
        <v>49.4</v>
      </c>
      <c r="AM659" s="220">
        <f t="shared" si="2025"/>
        <v>46.6</v>
      </c>
      <c r="AN659" s="221">
        <f t="shared" si="2026"/>
        <v>96</v>
      </c>
      <c r="AO659" s="220">
        <f t="shared" si="2027"/>
        <v>0</v>
      </c>
      <c r="AP659" s="220">
        <f t="shared" si="2028"/>
        <v>0</v>
      </c>
      <c r="AQ659" s="220">
        <f t="shared" si="2029"/>
        <v>0</v>
      </c>
      <c r="AR659" s="220">
        <f t="shared" si="2030"/>
        <v>160</v>
      </c>
      <c r="AS659" s="220">
        <f t="shared" si="2031"/>
        <v>0</v>
      </c>
      <c r="AT659" s="216">
        <f t="shared" si="2032"/>
        <v>256</v>
      </c>
      <c r="AU659" s="222">
        <f t="shared" si="2122"/>
        <v>-174</v>
      </c>
      <c r="AV659" s="220"/>
      <c r="AW659" s="220">
        <f t="shared" ref="AW659:AW714" si="2174">IF(AU659&gt;0,AU659,AV659+AU659)</f>
        <v>-174</v>
      </c>
      <c r="AX659" s="216">
        <f t="shared" si="2020"/>
        <v>-174</v>
      </c>
      <c r="AY659" s="220">
        <f t="shared" si="2034"/>
        <v>0</v>
      </c>
      <c r="AZ659" s="220">
        <f t="shared" si="2035"/>
        <v>0</v>
      </c>
      <c r="BA659" s="220">
        <f t="shared" si="2036"/>
        <v>0</v>
      </c>
      <c r="BB659" s="220">
        <f t="shared" si="2037"/>
        <v>0</v>
      </c>
      <c r="BC659" s="220">
        <f t="shared" si="2038"/>
        <v>0</v>
      </c>
      <c r="BD659" s="216">
        <f t="shared" si="1987"/>
        <v>0</v>
      </c>
      <c r="BE659" s="220">
        <f t="shared" ref="BE659:BE714" si="2175">AY659-AO659</f>
        <v>0</v>
      </c>
      <c r="BF659" s="220">
        <f t="shared" ref="BF659:BF714" si="2176">AZ659-AP659</f>
        <v>0</v>
      </c>
      <c r="BG659" s="220">
        <f t="shared" ref="BG659:BG714" si="2177">BA659-AQ659</f>
        <v>0</v>
      </c>
      <c r="BH659" s="220">
        <f t="shared" ref="BH659:BH714" si="2178">BB659-AR659</f>
        <v>-160</v>
      </c>
      <c r="BI659" s="220">
        <f t="shared" ref="BI659:BI714" si="2179">BC659-AS659</f>
        <v>0</v>
      </c>
      <c r="BJ659" s="220" t="s">
        <v>41</v>
      </c>
      <c r="BK659" s="220"/>
      <c r="BL659" s="223">
        <f t="shared" si="2005"/>
        <v>0</v>
      </c>
      <c r="BM659" s="220">
        <v>6.2</v>
      </c>
      <c r="BN659" s="220"/>
      <c r="BO659" s="220">
        <f t="shared" si="2164"/>
        <v>6.2</v>
      </c>
      <c r="BP659" s="220">
        <f>IF(AND(BL659&gt;0,BL659&lt;tiet!$D$1),BL659,IF(BL659&lt;=0,0,IF(BL659&gt;tiet!$C$1,tiet!$C$1)))</f>
        <v>0</v>
      </c>
      <c r="BQ659" s="87">
        <f t="shared" si="2102"/>
        <v>75000</v>
      </c>
      <c r="BR659" s="224">
        <f t="shared" si="2099"/>
        <v>0</v>
      </c>
      <c r="BS659" s="220">
        <f t="shared" si="2134"/>
        <v>0</v>
      </c>
      <c r="BT659" s="224">
        <f>VLOOKUP(N659,ma_dinhmuc!$A$1:$J$31,10,0)</f>
        <v>65000</v>
      </c>
      <c r="BU659" s="224">
        <f>ROUND(IF(BS659&gt;0,VLOOKUP(N659,ma_dinhmuc!$A$1:$J$31,10,0)*BS659,0),0)</f>
        <v>0</v>
      </c>
      <c r="BV659" s="224">
        <f t="shared" si="2100"/>
        <v>0</v>
      </c>
      <c r="BW659" s="224"/>
      <c r="BX659" s="224">
        <v>0</v>
      </c>
      <c r="BY659" s="224"/>
      <c r="BZ659" s="224"/>
      <c r="CA659" s="224"/>
      <c r="CB659" s="224"/>
      <c r="CC659" s="225">
        <f t="shared" si="2112"/>
        <v>0</v>
      </c>
      <c r="CD659" s="224">
        <f t="shared" si="2113"/>
        <v>0</v>
      </c>
      <c r="CE659" s="224"/>
      <c r="CF659" s="226"/>
      <c r="CG659" s="87"/>
      <c r="CH659" s="87">
        <f t="shared" si="2068"/>
        <v>19</v>
      </c>
      <c r="CI659" s="227" t="str">
        <f t="shared" si="2171"/>
        <v>Nguyễn Thị</v>
      </c>
      <c r="CJ659" s="227" t="str">
        <f t="shared" si="2171"/>
        <v>Minh</v>
      </c>
      <c r="CK659" s="87">
        <f>H659</f>
        <v>13</v>
      </c>
      <c r="CL659" s="227" t="str">
        <f t="shared" si="2173"/>
        <v>Vi sinh vật</v>
      </c>
      <c r="CM659" s="87" t="str">
        <f t="shared" ref="CM659:CM714" si="2180">N659</f>
        <v>CS4</v>
      </c>
      <c r="CN659" s="87">
        <f t="shared" si="2165"/>
        <v>270</v>
      </c>
      <c r="CO659" s="87">
        <f t="shared" si="2166"/>
        <v>170</v>
      </c>
      <c r="CP659" s="229">
        <f t="shared" si="2142"/>
        <v>0</v>
      </c>
      <c r="CQ659" s="229">
        <f t="shared" si="2143"/>
        <v>6</v>
      </c>
      <c r="CR659" s="229">
        <f t="shared" si="2144"/>
        <v>2.4</v>
      </c>
      <c r="CS659" s="229">
        <f t="shared" si="2145"/>
        <v>11</v>
      </c>
      <c r="CT659" s="229">
        <f t="shared" si="2146"/>
        <v>0</v>
      </c>
      <c r="CU659" s="229">
        <f t="shared" si="2147"/>
        <v>30</v>
      </c>
      <c r="CV659" s="229">
        <f t="shared" si="2148"/>
        <v>0</v>
      </c>
      <c r="CW659" s="229">
        <f t="shared" si="2149"/>
        <v>0</v>
      </c>
      <c r="CX659" s="229">
        <f t="shared" si="2150"/>
        <v>0</v>
      </c>
      <c r="CY659" s="229">
        <f t="shared" si="2151"/>
        <v>0</v>
      </c>
      <c r="CZ659" s="229">
        <f t="shared" si="2152"/>
        <v>0</v>
      </c>
      <c r="DA659" s="229">
        <f t="shared" si="2153"/>
        <v>0</v>
      </c>
      <c r="DB659" s="228">
        <f t="shared" si="2045"/>
        <v>49.4</v>
      </c>
      <c r="DC659" s="229"/>
      <c r="DD659" s="229"/>
      <c r="DE659" s="229"/>
      <c r="DF659" s="229"/>
      <c r="DG659" s="229"/>
      <c r="DH659" s="229"/>
      <c r="DI659" s="229"/>
      <c r="DJ659" s="229"/>
      <c r="DK659" s="229"/>
      <c r="DL659" s="229"/>
      <c r="DM659" s="229"/>
      <c r="DN659" s="229"/>
      <c r="DO659" s="228">
        <f t="shared" si="2046"/>
        <v>0</v>
      </c>
      <c r="DP659" s="228">
        <f t="shared" si="2047"/>
        <v>49.4</v>
      </c>
      <c r="DQ659" s="229">
        <f t="shared" si="2154"/>
        <v>45</v>
      </c>
      <c r="DR659" s="229">
        <f t="shared" si="2155"/>
        <v>1.1000000000000001</v>
      </c>
      <c r="DS659" s="229">
        <f t="shared" si="2156"/>
        <v>0</v>
      </c>
      <c r="DT659" s="229">
        <f t="shared" si="2157"/>
        <v>0.5</v>
      </c>
      <c r="DU659" s="229">
        <f t="shared" si="2158"/>
        <v>0</v>
      </c>
      <c r="DV659" s="229">
        <f t="shared" si="2159"/>
        <v>160</v>
      </c>
      <c r="DW659" s="229">
        <f t="shared" si="2160"/>
        <v>0</v>
      </c>
      <c r="DX659" s="228">
        <f t="shared" si="2048"/>
        <v>206.6</v>
      </c>
      <c r="DY659" s="229"/>
      <c r="DZ659" s="229"/>
      <c r="EA659" s="229"/>
      <c r="EB659" s="229"/>
      <c r="EC659" s="229"/>
      <c r="ED659" s="229"/>
      <c r="EE659" s="229"/>
      <c r="EF659" s="228">
        <f t="shared" si="2138"/>
        <v>0</v>
      </c>
      <c r="EG659" s="228">
        <f t="shared" si="2049"/>
        <v>206.6</v>
      </c>
      <c r="EH659" s="229">
        <f t="shared" si="2139"/>
        <v>311.66000000000003</v>
      </c>
      <c r="EI659" s="229">
        <v>41.32</v>
      </c>
      <c r="EJ659" s="228">
        <f t="shared" si="2130"/>
        <v>352.98</v>
      </c>
      <c r="EK659" s="229"/>
      <c r="EL659" s="229"/>
      <c r="EM659" s="228">
        <f t="shared" si="2104"/>
        <v>0</v>
      </c>
      <c r="EN659" s="229">
        <f t="shared" si="2086"/>
        <v>311.66000000000003</v>
      </c>
      <c r="EO659" s="229">
        <f t="shared" si="2123"/>
        <v>41.32</v>
      </c>
      <c r="EP659" s="228">
        <f t="shared" si="2118"/>
        <v>352.98</v>
      </c>
      <c r="EQ659" s="173">
        <f t="shared" si="2135"/>
        <v>141.66000000000003</v>
      </c>
      <c r="ER659" s="189">
        <v>0</v>
      </c>
      <c r="ES659" s="189">
        <v>6</v>
      </c>
      <c r="ET659" s="189">
        <v>2.4</v>
      </c>
      <c r="EU659" s="189">
        <v>11</v>
      </c>
      <c r="EV659" s="189">
        <v>0</v>
      </c>
      <c r="EW659" s="189">
        <v>30</v>
      </c>
      <c r="EX659" s="189">
        <v>0</v>
      </c>
      <c r="EY659" s="189">
        <v>0</v>
      </c>
      <c r="EZ659" s="189">
        <v>0</v>
      </c>
      <c r="FA659" s="189">
        <v>0</v>
      </c>
      <c r="FB659" s="189">
        <v>0</v>
      </c>
      <c r="FC659" s="189">
        <v>0</v>
      </c>
      <c r="FD659" s="189">
        <v>45</v>
      </c>
      <c r="FE659" s="189">
        <v>1.1000000000000001</v>
      </c>
      <c r="FF659" s="189">
        <v>0</v>
      </c>
      <c r="FG659" s="189">
        <v>0.5</v>
      </c>
      <c r="FH659" s="189">
        <v>160</v>
      </c>
      <c r="FI659" s="189">
        <v>0</v>
      </c>
      <c r="FJ659" s="189">
        <v>0</v>
      </c>
      <c r="FK659" s="189">
        <v>256</v>
      </c>
      <c r="FL659" s="189">
        <v>230</v>
      </c>
      <c r="FN659" s="132">
        <v>311.66000000000003</v>
      </c>
    </row>
    <row r="660" spans="1:170" ht="30" customHeight="1">
      <c r="A660" s="88">
        <f>COUNTIF($H$12:H660,H660)</f>
        <v>20</v>
      </c>
      <c r="B660" s="88" t="s">
        <v>2160</v>
      </c>
      <c r="C660" s="88" t="s">
        <v>1402</v>
      </c>
      <c r="D660" s="88"/>
      <c r="E660" s="88"/>
      <c r="F660" s="301" t="s">
        <v>1501</v>
      </c>
      <c r="G660" s="89" t="s">
        <v>2883</v>
      </c>
      <c r="H660" s="88">
        <v>13</v>
      </c>
      <c r="I660" s="88">
        <v>13</v>
      </c>
      <c r="J660" s="88">
        <v>13</v>
      </c>
      <c r="K660" s="90" t="s">
        <v>2443</v>
      </c>
      <c r="L660" s="90" t="s">
        <v>2443</v>
      </c>
      <c r="M660" s="214"/>
      <c r="N660" s="88" t="s">
        <v>1804</v>
      </c>
      <c r="O660" s="216">
        <f t="shared" si="2131"/>
        <v>3.33</v>
      </c>
      <c r="P660" s="88" t="str">
        <f t="shared" si="2140"/>
        <v>B1_4</v>
      </c>
      <c r="Q660" s="88">
        <f t="shared" si="2136"/>
        <v>270</v>
      </c>
      <c r="R660" s="88">
        <f t="shared" si="2137"/>
        <v>120</v>
      </c>
      <c r="S660" s="233" t="s">
        <v>2661</v>
      </c>
      <c r="T660" s="88" t="s">
        <v>3091</v>
      </c>
      <c r="U660" s="88">
        <f>IF(RIGHT(T660,1)="K",(VLOOKUP(T660,ma_miengiam!$A$3:$B$80,2,0)*100)/2,VLOOKUP(T660,ma_miengiam!$A$3:$B$80,2,0)*100)</f>
        <v>20</v>
      </c>
      <c r="V660" s="88">
        <v>2</v>
      </c>
      <c r="W660" s="220">
        <f>IF(AND(T660="NTS",V660&gt;0),(Q660-(Q660*V660)/12)*VLOOKUP(T660,ma_miengiam!$A$3:$B$80,2,0)+(Q660-(Q660*(12-V660))/12),IF(AND(RIGHT(T660,1)="K",V660&gt;0),(VLOOKUP(T660,ma_miengiam!$A$3:$B$80,2,0)/2)*(Q660*V660)/12,IF(RIGHT(T660,1)="K",(VLOOKUP(T660,ma_miengiam!$A$3:$B$80,2,0)*Q660)/2,IF(V660&gt;0,VLOOKUP(T660,ma_miengiam!$A$3:$B$80,2,0)*Q660*V660/12,VLOOKUP(T660,ma_miengiam!$A$3:$B$80,2,0)*Q660))))</f>
        <v>9</v>
      </c>
      <c r="X660" s="220">
        <f>IF(T660="NTS",VLOOKUP(T660,ma_miengiam!$A$3:$B$80,2,0)*R660*V660,IF(AND(T660="NTS",V660=0),0,IF(AND(LEFT(T660,1)="K",V660=0),VLOOKUP(T660,ma_miengiam!$A$3:$B$80,2,0)*R660,IF(LEFT(T660,1)="K",(VLOOKUP(T660,ma_miengiam!$A$3:$B$80,2,0)*R660/12)*V660,IF(AND(LEFT(T660,1)="S",V660&gt;0),(R660/12)*V660,IF(AND(LEFT(T660,1)="S",V660=0),R660,IF(T660="DH",VLOOKUP(T660,ma_miengiam!$A$3:$B$80,2,0)*R660,0)))))))</f>
        <v>0</v>
      </c>
      <c r="Y660" s="220">
        <f t="shared" si="2161"/>
        <v>36</v>
      </c>
      <c r="Z660" s="220">
        <f t="shared" si="2065"/>
        <v>20</v>
      </c>
      <c r="AA660" s="220">
        <f>Q660</f>
        <v>270</v>
      </c>
      <c r="AB660" s="220">
        <f>R660</f>
        <v>120</v>
      </c>
      <c r="AC660" s="220">
        <f t="shared" ref="AC660:AF661" si="2181">W660</f>
        <v>9</v>
      </c>
      <c r="AD660" s="220">
        <f t="shared" si="2181"/>
        <v>0</v>
      </c>
      <c r="AE660" s="220">
        <f t="shared" si="2181"/>
        <v>36</v>
      </c>
      <c r="AF660" s="220">
        <f t="shared" si="2181"/>
        <v>20</v>
      </c>
      <c r="AG660" s="220">
        <f t="shared" si="2168"/>
        <v>154.88</v>
      </c>
      <c r="AH660" s="220">
        <f t="shared" si="2169"/>
        <v>66.55</v>
      </c>
      <c r="AI660" s="220">
        <f t="shared" si="2170"/>
        <v>88.33</v>
      </c>
      <c r="AJ660" s="220">
        <f t="shared" si="2101"/>
        <v>0</v>
      </c>
      <c r="AK660" s="216">
        <f t="shared" si="2051"/>
        <v>36</v>
      </c>
      <c r="AL660" s="220">
        <f t="shared" si="2024"/>
        <v>0</v>
      </c>
      <c r="AM660" s="220">
        <f t="shared" si="2025"/>
        <v>0</v>
      </c>
      <c r="AN660" s="221">
        <f t="shared" si="2026"/>
        <v>0</v>
      </c>
      <c r="AO660" s="220">
        <f t="shared" si="2027"/>
        <v>0</v>
      </c>
      <c r="AP660" s="220">
        <f t="shared" si="2028"/>
        <v>0</v>
      </c>
      <c r="AQ660" s="220">
        <f t="shared" si="2029"/>
        <v>0</v>
      </c>
      <c r="AR660" s="220">
        <f t="shared" si="2030"/>
        <v>0</v>
      </c>
      <c r="AS660" s="220">
        <f t="shared" si="2031"/>
        <v>0</v>
      </c>
      <c r="AT660" s="216">
        <f t="shared" si="2032"/>
        <v>0</v>
      </c>
      <c r="AU660" s="222">
        <f t="shared" si="2122"/>
        <v>-36</v>
      </c>
      <c r="AV660" s="220"/>
      <c r="AW660" s="220">
        <f t="shared" si="2174"/>
        <v>-36</v>
      </c>
      <c r="AX660" s="216">
        <f t="shared" si="2020"/>
        <v>-36</v>
      </c>
      <c r="AY660" s="220">
        <f t="shared" ref="AY660:AY715" si="2182">IF(AN660&gt;=AK660,AO660,IF(AN660+AO660-AK660&gt;=0,AN660+AO660-AK660,0))</f>
        <v>0</v>
      </c>
      <c r="AZ660" s="220">
        <f t="shared" ref="AZ660:AZ715" si="2183">IF(OR(AN660&gt;=AK660,AN660+AO660&gt;=AK660),AP660,IF(AN660+AO660+AP660&gt;AK660,AN660+AO660+AP660-AK660,0))</f>
        <v>0</v>
      </c>
      <c r="BA660" s="220">
        <f t="shared" ref="BA660:BA715" si="2184">IF(OR(AN660&gt;=AK660,AN660+AO660&gt;=AK660,AN660+AO660+AP660&gt;=AK660),AQ660,IF(AN660+AO660+AP660+AQ660&gt;=AK660,AN660+AO660+AP660+AQ660-AK660,0))</f>
        <v>0</v>
      </c>
      <c r="BB660" s="220">
        <f t="shared" ref="BB660:BB715" si="2185">IF(OR(AN660&gt;=AK660,AN660+AO660&gt;=AK660,AN660+AO660+AP660&gt;=AK660,AN660+AO660+AP660+AQ660&gt;=AK660),AR660,IF(AN660+AO660+AP660+AQ660+AR660&gt;=AK660,AN660+AO660+AP660+AQ660+AR660-AK660,0))</f>
        <v>0</v>
      </c>
      <c r="BC660" s="220">
        <f t="shared" ref="BC660:BC715" si="2186">IF(OR(AN660&gt;=AK660,AN660+AO660&gt;=AK660,AN660+AO660+AP660&gt;=AK660,AN660+AO660+AP660+AQ660&gt;=AK660,AN660+AO660+AP660+AQ660+AR660&gt;=AK660),AS660,IF(AN660+AO660+AP660+AQ660+AR660+AS660&gt;=AK660,AN660+AO660+AP660+AQ660+AR660+AS660-AK660,0))</f>
        <v>0</v>
      </c>
      <c r="BD660" s="216">
        <f t="shared" si="1987"/>
        <v>0</v>
      </c>
      <c r="BE660" s="220">
        <f t="shared" si="2175"/>
        <v>0</v>
      </c>
      <c r="BF660" s="220">
        <f t="shared" si="2176"/>
        <v>0</v>
      </c>
      <c r="BG660" s="220">
        <f t="shared" si="2177"/>
        <v>0</v>
      </c>
      <c r="BH660" s="220">
        <f t="shared" si="2178"/>
        <v>0</v>
      </c>
      <c r="BI660" s="220">
        <f t="shared" si="2179"/>
        <v>0</v>
      </c>
      <c r="BJ660" s="220" t="s">
        <v>1807</v>
      </c>
      <c r="BK660" s="220"/>
      <c r="BL660" s="223">
        <f t="shared" si="2005"/>
        <v>0</v>
      </c>
      <c r="BM660" s="220">
        <v>3.33</v>
      </c>
      <c r="BN660" s="220"/>
      <c r="BO660" s="220">
        <f t="shared" si="2164"/>
        <v>3.33</v>
      </c>
      <c r="BP660" s="220">
        <f>IF(AND(BL660&gt;0,BL660&lt;tiet!$D$1),BL660,IF(BL660&lt;=0,0,IF(BL660&gt;tiet!$C$1,tiet!$C$1)))</f>
        <v>0</v>
      </c>
      <c r="BQ660" s="87">
        <f t="shared" si="2102"/>
        <v>65000</v>
      </c>
      <c r="BR660" s="224">
        <f t="shared" si="2099"/>
        <v>0</v>
      </c>
      <c r="BS660" s="220">
        <f t="shared" si="2134"/>
        <v>0</v>
      </c>
      <c r="BT660" s="224">
        <f>VLOOKUP(N660,ma_dinhmuc!$A$1:$J$31,10,0)</f>
        <v>51000</v>
      </c>
      <c r="BU660" s="224">
        <f>ROUND(IF(BS660&gt;0,VLOOKUP(N660,ma_dinhmuc!$A$1:$J$31,10,0)*BS660,0),0)</f>
        <v>0</v>
      </c>
      <c r="BV660" s="224">
        <f t="shared" si="2100"/>
        <v>0</v>
      </c>
      <c r="BW660" s="224"/>
      <c r="BX660" s="224">
        <v>0</v>
      </c>
      <c r="BY660" s="224"/>
      <c r="BZ660" s="224"/>
      <c r="CA660" s="224"/>
      <c r="CB660" s="224"/>
      <c r="CC660" s="225">
        <f t="shared" si="2112"/>
        <v>0</v>
      </c>
      <c r="CD660" s="224">
        <f t="shared" si="2113"/>
        <v>0</v>
      </c>
      <c r="CE660" s="224"/>
      <c r="CF660" s="226"/>
      <c r="CG660" s="87"/>
      <c r="CH660" s="87">
        <f t="shared" si="2068"/>
        <v>20</v>
      </c>
      <c r="CI660" s="227" t="str">
        <f t="shared" ref="CI660:CI666" si="2187">F660</f>
        <v>Dương Thị</v>
      </c>
      <c r="CJ660" s="227" t="str">
        <f t="shared" ref="CJ660:CJ666" si="2188">G660</f>
        <v>Huyền</v>
      </c>
      <c r="CK660" s="87">
        <f t="shared" ref="CK660:CK666" si="2189">H660</f>
        <v>13</v>
      </c>
      <c r="CL660" s="227" t="str">
        <f t="shared" si="2173"/>
        <v>Sinh thái nông nghiệp</v>
      </c>
      <c r="CM660" s="87" t="str">
        <f t="shared" si="2180"/>
        <v>CS2</v>
      </c>
      <c r="CN660" s="87">
        <f t="shared" ref="CN660:CO662" si="2190">Q660</f>
        <v>270</v>
      </c>
      <c r="CO660" s="87">
        <f t="shared" si="2190"/>
        <v>120</v>
      </c>
      <c r="CP660" s="229">
        <f t="shared" si="2142"/>
        <v>0</v>
      </c>
      <c r="CQ660" s="229">
        <f t="shared" si="2143"/>
        <v>0</v>
      </c>
      <c r="CR660" s="229">
        <f t="shared" si="2144"/>
        <v>0</v>
      </c>
      <c r="CS660" s="229">
        <f t="shared" si="2145"/>
        <v>0</v>
      </c>
      <c r="CT660" s="229">
        <f t="shared" si="2146"/>
        <v>0</v>
      </c>
      <c r="CU660" s="229">
        <f t="shared" si="2147"/>
        <v>0</v>
      </c>
      <c r="CV660" s="229">
        <f t="shared" si="2148"/>
        <v>0</v>
      </c>
      <c r="CW660" s="229">
        <f t="shared" si="2149"/>
        <v>0</v>
      </c>
      <c r="CX660" s="229">
        <f t="shared" si="2150"/>
        <v>0</v>
      </c>
      <c r="CY660" s="229">
        <f t="shared" si="2151"/>
        <v>0</v>
      </c>
      <c r="CZ660" s="229">
        <f t="shared" si="2152"/>
        <v>0</v>
      </c>
      <c r="DA660" s="229">
        <f t="shared" si="2153"/>
        <v>0</v>
      </c>
      <c r="DB660" s="228">
        <f t="shared" si="2045"/>
        <v>0</v>
      </c>
      <c r="DC660" s="229"/>
      <c r="DD660" s="229"/>
      <c r="DE660" s="229"/>
      <c r="DF660" s="229"/>
      <c r="DG660" s="229"/>
      <c r="DH660" s="229"/>
      <c r="DI660" s="229"/>
      <c r="DJ660" s="229"/>
      <c r="DK660" s="229"/>
      <c r="DL660" s="229"/>
      <c r="DM660" s="229"/>
      <c r="DN660" s="229"/>
      <c r="DO660" s="228">
        <f t="shared" si="2046"/>
        <v>0</v>
      </c>
      <c r="DP660" s="228">
        <f t="shared" si="2047"/>
        <v>0</v>
      </c>
      <c r="DQ660" s="229">
        <f t="shared" si="2154"/>
        <v>0</v>
      </c>
      <c r="DR660" s="229">
        <f t="shared" si="2155"/>
        <v>0</v>
      </c>
      <c r="DS660" s="229">
        <f t="shared" si="2156"/>
        <v>0</v>
      </c>
      <c r="DT660" s="229">
        <f t="shared" si="2157"/>
        <v>0</v>
      </c>
      <c r="DU660" s="229">
        <f t="shared" si="2158"/>
        <v>0</v>
      </c>
      <c r="DV660" s="229">
        <f t="shared" si="2159"/>
        <v>0</v>
      </c>
      <c r="DW660" s="229">
        <f t="shared" si="2160"/>
        <v>0</v>
      </c>
      <c r="DX660" s="228">
        <f t="shared" si="2048"/>
        <v>0</v>
      </c>
      <c r="DY660" s="229"/>
      <c r="DZ660" s="229"/>
      <c r="EA660" s="229"/>
      <c r="EB660" s="229"/>
      <c r="EC660" s="229"/>
      <c r="ED660" s="229"/>
      <c r="EE660" s="229"/>
      <c r="EF660" s="228">
        <f t="shared" si="2138"/>
        <v>0</v>
      </c>
      <c r="EG660" s="228">
        <f t="shared" si="2049"/>
        <v>0</v>
      </c>
      <c r="EH660" s="229">
        <f t="shared" si="2139"/>
        <v>88.33</v>
      </c>
      <c r="EI660" s="229">
        <v>66.55</v>
      </c>
      <c r="EJ660" s="228">
        <f t="shared" si="2130"/>
        <v>154.88</v>
      </c>
      <c r="EK660" s="229"/>
      <c r="EL660" s="229"/>
      <c r="EM660" s="228">
        <f t="shared" si="2104"/>
        <v>0</v>
      </c>
      <c r="EN660" s="229">
        <f t="shared" si="2086"/>
        <v>88.33</v>
      </c>
      <c r="EO660" s="229">
        <f t="shared" si="2123"/>
        <v>66.55</v>
      </c>
      <c r="EP660" s="228">
        <f t="shared" si="2118"/>
        <v>154.88</v>
      </c>
      <c r="EQ660" s="173">
        <f t="shared" si="2135"/>
        <v>68.33</v>
      </c>
      <c r="ER660" s="189">
        <v>0</v>
      </c>
      <c r="ES660" s="189">
        <v>0</v>
      </c>
      <c r="ET660" s="189">
        <v>0</v>
      </c>
      <c r="EU660" s="189">
        <v>0</v>
      </c>
      <c r="EV660" s="189">
        <v>0</v>
      </c>
      <c r="EW660" s="189">
        <v>0</v>
      </c>
      <c r="EX660" s="189">
        <v>0</v>
      </c>
      <c r="EY660" s="189">
        <v>0</v>
      </c>
      <c r="EZ660" s="189">
        <v>0</v>
      </c>
      <c r="FA660" s="189">
        <v>0</v>
      </c>
      <c r="FB660" s="189">
        <v>0</v>
      </c>
      <c r="FC660" s="189">
        <v>0</v>
      </c>
      <c r="FD660" s="189">
        <v>0</v>
      </c>
      <c r="FE660" s="189">
        <v>0</v>
      </c>
      <c r="FF660" s="189">
        <v>0</v>
      </c>
      <c r="FG660" s="189">
        <v>0</v>
      </c>
      <c r="FH660" s="189">
        <v>0</v>
      </c>
      <c r="FI660" s="189">
        <v>0</v>
      </c>
      <c r="FJ660" s="189">
        <v>0</v>
      </c>
      <c r="FK660" s="189">
        <v>0</v>
      </c>
      <c r="FL660" s="189">
        <v>0</v>
      </c>
      <c r="FN660" s="132">
        <v>88.33</v>
      </c>
    </row>
    <row r="661" spans="1:170" ht="30" customHeight="1">
      <c r="A661" s="88">
        <f>COUNTIF($H$12:H661,H661)</f>
        <v>21</v>
      </c>
      <c r="B661" s="88" t="s">
        <v>2161</v>
      </c>
      <c r="C661" s="88" t="s">
        <v>1403</v>
      </c>
      <c r="D661" s="88"/>
      <c r="E661" s="88"/>
      <c r="F661" s="301" t="s">
        <v>1502</v>
      </c>
      <c r="G661" s="89" t="s">
        <v>2998</v>
      </c>
      <c r="H661" s="88">
        <v>13</v>
      </c>
      <c r="I661" s="88">
        <v>13</v>
      </c>
      <c r="J661" s="88">
        <v>13</v>
      </c>
      <c r="K661" s="90" t="s">
        <v>2443</v>
      </c>
      <c r="L661" s="90" t="s">
        <v>2443</v>
      </c>
      <c r="M661" s="214"/>
      <c r="N661" s="88" t="s">
        <v>1804</v>
      </c>
      <c r="O661" s="216">
        <f t="shared" si="2131"/>
        <v>3.33</v>
      </c>
      <c r="P661" s="88" t="str">
        <f t="shared" si="2140"/>
        <v>B1_4</v>
      </c>
      <c r="Q661" s="88">
        <f t="shared" si="2136"/>
        <v>270</v>
      </c>
      <c r="R661" s="88">
        <f t="shared" si="2137"/>
        <v>120</v>
      </c>
      <c r="S661" s="233" t="s">
        <v>3131</v>
      </c>
      <c r="T661" s="88" t="s">
        <v>3088</v>
      </c>
      <c r="U661" s="88">
        <f>IF(RIGHT(T661,1)="K",(VLOOKUP(T661,ma_miengiam!$A$3:$B$80,2,0)*100)/2,VLOOKUP(T661,ma_miengiam!$A$3:$B$80,2,0)*100)</f>
        <v>0</v>
      </c>
      <c r="V661" s="88"/>
      <c r="W661" s="220">
        <f>IF(AND(T661="NTS",V661&gt;0),(Q661-(Q661*V661)/12)*VLOOKUP(T661,ma_miengiam!$A$3:$B$80,2,0)+(Q661-(Q661*(12-V661))/12),IF(AND(RIGHT(T661,1)="K",V661&gt;0),(VLOOKUP(T661,ma_miengiam!$A$3:$B$80,2,0)/2)*(Q661*V661)/12,IF(RIGHT(T661,1)="K",(VLOOKUP(T661,ma_miengiam!$A$3:$B$80,2,0)*Q661)/2,IF(V661&gt;0,VLOOKUP(T661,ma_miengiam!$A$3:$B$80,2,0)*Q661*V661/12,VLOOKUP(T661,ma_miengiam!$A$3:$B$80,2,0)*Q661))))</f>
        <v>0</v>
      </c>
      <c r="X661" s="220">
        <f>IF(T661="NTS",VLOOKUP(T661,ma_miengiam!$A$3:$B$80,2,0)*R661*V661,IF(AND(T661="NTS",V661=0),0,IF(AND(LEFT(T661,1)="K",V661=0),VLOOKUP(T661,ma_miengiam!$A$3:$B$80,2,0)*R661,IF(LEFT(T661,1)="K",(VLOOKUP(T661,ma_miengiam!$A$3:$B$80,2,0)*R661/12)*V661,IF(AND(LEFT(T661,1)="S",V661&gt;0),(R661/12)*V661,IF(AND(LEFT(T661,1)="S",V661=0),R661,IF(T661="DH",VLOOKUP(T661,ma_miengiam!$A$3:$B$80,2,0)*R661,0)))))))</f>
        <v>0</v>
      </c>
      <c r="Y661" s="220">
        <f t="shared" si="2161"/>
        <v>270</v>
      </c>
      <c r="Z661" s="220">
        <f t="shared" si="2065"/>
        <v>120</v>
      </c>
      <c r="AA661" s="220">
        <f>Q661</f>
        <v>270</v>
      </c>
      <c r="AB661" s="220">
        <f>R661</f>
        <v>120</v>
      </c>
      <c r="AC661" s="220">
        <f t="shared" si="2181"/>
        <v>0</v>
      </c>
      <c r="AD661" s="220">
        <f t="shared" si="2181"/>
        <v>0</v>
      </c>
      <c r="AE661" s="220">
        <f t="shared" si="2181"/>
        <v>270</v>
      </c>
      <c r="AF661" s="220">
        <f t="shared" si="2181"/>
        <v>120</v>
      </c>
      <c r="AG661" s="220">
        <f t="shared" si="2168"/>
        <v>231.67</v>
      </c>
      <c r="AH661" s="220">
        <f t="shared" si="2169"/>
        <v>50</v>
      </c>
      <c r="AI661" s="220">
        <f t="shared" si="2170"/>
        <v>181.67</v>
      </c>
      <c r="AJ661" s="220">
        <f t="shared" si="2101"/>
        <v>0</v>
      </c>
      <c r="AK661" s="216">
        <f t="shared" si="2051"/>
        <v>270</v>
      </c>
      <c r="AL661" s="220">
        <f t="shared" si="2024"/>
        <v>109.5</v>
      </c>
      <c r="AM661" s="220">
        <f t="shared" si="2025"/>
        <v>0</v>
      </c>
      <c r="AN661" s="216">
        <f t="shared" si="2026"/>
        <v>109.5</v>
      </c>
      <c r="AO661" s="220">
        <f t="shared" si="2027"/>
        <v>0</v>
      </c>
      <c r="AP661" s="220">
        <f t="shared" si="2028"/>
        <v>0</v>
      </c>
      <c r="AQ661" s="220">
        <f t="shared" si="2029"/>
        <v>40</v>
      </c>
      <c r="AR661" s="220">
        <f t="shared" si="2030"/>
        <v>0</v>
      </c>
      <c r="AS661" s="220">
        <f t="shared" si="2031"/>
        <v>0</v>
      </c>
      <c r="AT661" s="216">
        <f t="shared" si="2032"/>
        <v>149.5</v>
      </c>
      <c r="AU661" s="220">
        <f t="shared" si="2122"/>
        <v>-160.5</v>
      </c>
      <c r="AV661" s="220"/>
      <c r="AW661" s="220">
        <f t="shared" si="2174"/>
        <v>-160.5</v>
      </c>
      <c r="AX661" s="216">
        <f t="shared" si="2020"/>
        <v>-160.5</v>
      </c>
      <c r="AY661" s="220">
        <f t="shared" si="2182"/>
        <v>0</v>
      </c>
      <c r="AZ661" s="220">
        <f t="shared" si="2183"/>
        <v>0</v>
      </c>
      <c r="BA661" s="220">
        <f t="shared" si="2184"/>
        <v>0</v>
      </c>
      <c r="BB661" s="220">
        <f t="shared" si="2185"/>
        <v>0</v>
      </c>
      <c r="BC661" s="220">
        <f t="shared" si="2186"/>
        <v>0</v>
      </c>
      <c r="BD661" s="216">
        <f t="shared" si="1987"/>
        <v>0</v>
      </c>
      <c r="BE661" s="220">
        <f t="shared" si="2175"/>
        <v>0</v>
      </c>
      <c r="BF661" s="220">
        <f t="shared" si="2176"/>
        <v>0</v>
      </c>
      <c r="BG661" s="220">
        <f t="shared" si="2177"/>
        <v>-40</v>
      </c>
      <c r="BH661" s="220">
        <f t="shared" si="2178"/>
        <v>0</v>
      </c>
      <c r="BI661" s="220">
        <f t="shared" si="2179"/>
        <v>0</v>
      </c>
      <c r="BJ661" s="220" t="s">
        <v>1807</v>
      </c>
      <c r="BK661" s="220"/>
      <c r="BL661" s="223">
        <f t="shared" si="2005"/>
        <v>0</v>
      </c>
      <c r="BM661" s="220">
        <v>3.33</v>
      </c>
      <c r="BN661" s="220"/>
      <c r="BO661" s="220">
        <f t="shared" si="2164"/>
        <v>3.33</v>
      </c>
      <c r="BP661" s="220">
        <f>IF(AND(BL661&gt;0,BL661&lt;tiet!$D$1),BL661,IF(BL661&lt;=0,0,IF(BL661&gt;tiet!$C$1,tiet!$C$1)))</f>
        <v>0</v>
      </c>
      <c r="BQ661" s="87">
        <f t="shared" si="2102"/>
        <v>65000</v>
      </c>
      <c r="BR661" s="224">
        <f t="shared" si="2099"/>
        <v>0</v>
      </c>
      <c r="BS661" s="220">
        <f t="shared" si="2134"/>
        <v>0</v>
      </c>
      <c r="BT661" s="224">
        <f>VLOOKUP(N661,ma_dinhmuc!$A$1:$J$31,10,0)</f>
        <v>51000</v>
      </c>
      <c r="BU661" s="224">
        <f>ROUND(IF(BS661&gt;0,VLOOKUP(N661,ma_dinhmuc!$A$1:$J$31,10,0)*BS661,0),0)</f>
        <v>0</v>
      </c>
      <c r="BV661" s="224">
        <f t="shared" si="2100"/>
        <v>0</v>
      </c>
      <c r="BW661" s="224"/>
      <c r="BX661" s="224">
        <v>0</v>
      </c>
      <c r="BY661" s="224"/>
      <c r="BZ661" s="224"/>
      <c r="CA661" s="224"/>
      <c r="CB661" s="224"/>
      <c r="CC661" s="225">
        <f t="shared" si="2112"/>
        <v>0</v>
      </c>
      <c r="CD661" s="224">
        <f t="shared" si="2113"/>
        <v>0</v>
      </c>
      <c r="CE661" s="224"/>
      <c r="CF661" s="226"/>
      <c r="CG661" s="87"/>
      <c r="CH661" s="87">
        <f t="shared" si="2068"/>
        <v>21</v>
      </c>
      <c r="CI661" s="227" t="str">
        <f t="shared" si="2187"/>
        <v>Nguyễn Thu</v>
      </c>
      <c r="CJ661" s="227" t="str">
        <f t="shared" si="2188"/>
        <v>Thuỳ</v>
      </c>
      <c r="CK661" s="87">
        <f t="shared" si="2189"/>
        <v>13</v>
      </c>
      <c r="CL661" s="227" t="str">
        <f t="shared" si="2173"/>
        <v>Sinh thái nông nghiệp</v>
      </c>
      <c r="CM661" s="87" t="str">
        <f t="shared" si="2180"/>
        <v>CS2</v>
      </c>
      <c r="CN661" s="87">
        <f t="shared" si="2190"/>
        <v>270</v>
      </c>
      <c r="CO661" s="87">
        <f t="shared" si="2190"/>
        <v>120</v>
      </c>
      <c r="CP661" s="229">
        <f t="shared" si="2142"/>
        <v>0</v>
      </c>
      <c r="CQ661" s="229">
        <f t="shared" si="2143"/>
        <v>18.3</v>
      </c>
      <c r="CR661" s="229">
        <f t="shared" si="2144"/>
        <v>7.3</v>
      </c>
      <c r="CS661" s="229">
        <f t="shared" si="2145"/>
        <v>11</v>
      </c>
      <c r="CT661" s="229">
        <f t="shared" si="2146"/>
        <v>0</v>
      </c>
      <c r="CU661" s="229">
        <f t="shared" si="2147"/>
        <v>72.900000000000006</v>
      </c>
      <c r="CV661" s="229">
        <f t="shared" si="2148"/>
        <v>0</v>
      </c>
      <c r="CW661" s="229">
        <f t="shared" si="2149"/>
        <v>0</v>
      </c>
      <c r="CX661" s="229">
        <f t="shared" si="2150"/>
        <v>0</v>
      </c>
      <c r="CY661" s="229">
        <f t="shared" si="2151"/>
        <v>0</v>
      </c>
      <c r="CZ661" s="229">
        <f t="shared" si="2152"/>
        <v>0</v>
      </c>
      <c r="DA661" s="229">
        <f t="shared" si="2153"/>
        <v>40</v>
      </c>
      <c r="DB661" s="228">
        <f t="shared" si="2045"/>
        <v>149.5</v>
      </c>
      <c r="DC661" s="229"/>
      <c r="DD661" s="229"/>
      <c r="DE661" s="229"/>
      <c r="DF661" s="229"/>
      <c r="DG661" s="229"/>
      <c r="DH661" s="229"/>
      <c r="DI661" s="229"/>
      <c r="DJ661" s="229"/>
      <c r="DK661" s="229"/>
      <c r="DL661" s="229"/>
      <c r="DM661" s="229"/>
      <c r="DN661" s="229"/>
      <c r="DO661" s="228">
        <f t="shared" si="2046"/>
        <v>0</v>
      </c>
      <c r="DP661" s="228">
        <f t="shared" si="2047"/>
        <v>149.5</v>
      </c>
      <c r="DQ661" s="229">
        <f t="shared" si="2154"/>
        <v>0</v>
      </c>
      <c r="DR661" s="229">
        <f t="shared" si="2155"/>
        <v>0</v>
      </c>
      <c r="DS661" s="229">
        <f t="shared" si="2156"/>
        <v>0</v>
      </c>
      <c r="DT661" s="229">
        <f t="shared" si="2157"/>
        <v>0</v>
      </c>
      <c r="DU661" s="229">
        <f t="shared" si="2158"/>
        <v>0</v>
      </c>
      <c r="DV661" s="229">
        <f t="shared" si="2159"/>
        <v>0</v>
      </c>
      <c r="DW661" s="229">
        <f t="shared" si="2160"/>
        <v>0</v>
      </c>
      <c r="DX661" s="228">
        <f t="shared" si="2048"/>
        <v>0</v>
      </c>
      <c r="DY661" s="229"/>
      <c r="DZ661" s="229"/>
      <c r="EA661" s="229"/>
      <c r="EB661" s="229"/>
      <c r="EC661" s="229"/>
      <c r="ED661" s="229"/>
      <c r="EE661" s="229"/>
      <c r="EF661" s="228">
        <f t="shared" si="2138"/>
        <v>0</v>
      </c>
      <c r="EG661" s="228">
        <f t="shared" si="2049"/>
        <v>0</v>
      </c>
      <c r="EH661" s="229">
        <f t="shared" si="2139"/>
        <v>181.67</v>
      </c>
      <c r="EI661" s="229">
        <v>50</v>
      </c>
      <c r="EJ661" s="228">
        <f t="shared" si="2130"/>
        <v>231.67</v>
      </c>
      <c r="EK661" s="229"/>
      <c r="EL661" s="229"/>
      <c r="EM661" s="228">
        <f t="shared" si="2104"/>
        <v>0</v>
      </c>
      <c r="EN661" s="229">
        <f t="shared" si="2086"/>
        <v>181.67</v>
      </c>
      <c r="EO661" s="229">
        <f t="shared" si="2123"/>
        <v>50</v>
      </c>
      <c r="EP661" s="228">
        <f t="shared" si="2118"/>
        <v>231.67</v>
      </c>
      <c r="EQ661" s="173">
        <f t="shared" si="2135"/>
        <v>61.669999999999987</v>
      </c>
      <c r="ER661" s="189">
        <v>0</v>
      </c>
      <c r="ES661" s="189">
        <v>18.3</v>
      </c>
      <c r="ET661" s="189">
        <v>7.3</v>
      </c>
      <c r="EU661" s="189">
        <v>11</v>
      </c>
      <c r="EV661" s="189">
        <v>0</v>
      </c>
      <c r="EW661" s="189">
        <v>72.900000000000006</v>
      </c>
      <c r="EX661" s="189">
        <v>0</v>
      </c>
      <c r="EY661" s="189">
        <v>0</v>
      </c>
      <c r="EZ661" s="189">
        <v>0</v>
      </c>
      <c r="FA661" s="189">
        <v>0</v>
      </c>
      <c r="FB661" s="189">
        <v>0</v>
      </c>
      <c r="FC661" s="189">
        <v>40</v>
      </c>
      <c r="FD661" s="189">
        <v>0</v>
      </c>
      <c r="FE661" s="189">
        <v>0</v>
      </c>
      <c r="FF661" s="189">
        <v>0</v>
      </c>
      <c r="FG661" s="189">
        <v>0</v>
      </c>
      <c r="FH661" s="189">
        <v>0</v>
      </c>
      <c r="FI661" s="189">
        <v>0</v>
      </c>
      <c r="FJ661" s="189">
        <v>0</v>
      </c>
      <c r="FK661" s="189">
        <v>149.5</v>
      </c>
      <c r="FL661" s="189">
        <v>115</v>
      </c>
      <c r="FN661" s="132">
        <v>181.67</v>
      </c>
    </row>
    <row r="662" spans="1:170" ht="30.75" customHeight="1">
      <c r="A662" s="88">
        <f>COUNTIF($H$12:H662,H662)</f>
        <v>22</v>
      </c>
      <c r="B662" s="88" t="s">
        <v>2162</v>
      </c>
      <c r="C662" s="88" t="s">
        <v>1520</v>
      </c>
      <c r="D662" s="88"/>
      <c r="E662" s="88"/>
      <c r="F662" s="301" t="s">
        <v>2431</v>
      </c>
      <c r="G662" s="89" t="s">
        <v>1503</v>
      </c>
      <c r="H662" s="88">
        <v>13</v>
      </c>
      <c r="I662" s="88">
        <v>13</v>
      </c>
      <c r="J662" s="88">
        <v>13</v>
      </c>
      <c r="K662" s="90" t="s">
        <v>2443</v>
      </c>
      <c r="L662" s="90" t="s">
        <v>2443</v>
      </c>
      <c r="M662" s="214"/>
      <c r="N662" s="88" t="s">
        <v>1804</v>
      </c>
      <c r="O662" s="216">
        <f t="shared" si="2131"/>
        <v>3.99</v>
      </c>
      <c r="P662" s="88" t="str">
        <f t="shared" si="2140"/>
        <v>B1_4</v>
      </c>
      <c r="Q662" s="88">
        <f t="shared" si="2136"/>
        <v>270</v>
      </c>
      <c r="R662" s="88">
        <f t="shared" si="2137"/>
        <v>120</v>
      </c>
      <c r="S662" s="230" t="s">
        <v>689</v>
      </c>
      <c r="T662" s="88" t="s">
        <v>3090</v>
      </c>
      <c r="U662" s="88">
        <f>IF(RIGHT(T662,1)="K",(VLOOKUP(T662,ma_miengiam!$A$3:$B$80,2,0)*100)/2,VLOOKUP(T662,ma_miengiam!$A$3:$B$80,2,0)*100)</f>
        <v>15</v>
      </c>
      <c r="V662" s="88"/>
      <c r="W662" s="220">
        <f>IF(AND(T662="NTS",V662&gt;0),(Q662-(Q662*V662)/12)*VLOOKUP(T662,ma_miengiam!$A$3:$B$80,2,0)+(Q662-(Q662*(12-V662))/12),IF(AND(RIGHT(T662,1)="K",V662&gt;0),(VLOOKUP(T662,ma_miengiam!$A$3:$B$80,2,0)/2)*(Q662*V662)/12,IF(RIGHT(T662,1)="K",(VLOOKUP(T662,ma_miengiam!$A$3:$B$80,2,0)*Q662)/2,IF(V662&gt;0,VLOOKUP(T662,ma_miengiam!$A$3:$B$80,2,0)*Q662*V662/12,VLOOKUP(T662,ma_miengiam!$A$3:$B$80,2,0)*Q662))))</f>
        <v>40.5</v>
      </c>
      <c r="X662" s="220">
        <f>IF(T662="NTS",VLOOKUP(T662,ma_miengiam!$A$3:$B$80,2,0)*R662*V662,IF(AND(T662="NTS",V662=0),0,IF(AND(LEFT(T662,1)="K",V662=0),VLOOKUP(T662,ma_miengiam!$A$3:$B$80,2,0)*R662,IF(LEFT(T662,1)="K",(VLOOKUP(T662,ma_miengiam!$A$3:$B$80,2,0)*R662/12)*V662,IF(AND(LEFT(T662,1)="S",V662&gt;0),(R662/12)*V662,IF(AND(LEFT(T662,1)="S",V662=0),R662,IF(T662="DH",VLOOKUP(T662,ma_miengiam!$A$3:$B$80,2,0)*R662,0)))))))</f>
        <v>0</v>
      </c>
      <c r="Y662" s="220">
        <f t="shared" si="2161"/>
        <v>229.5</v>
      </c>
      <c r="Z662" s="220">
        <f>IF(AND(T662="SĐH",V662&gt;0),(R662/12)*V662-X662,IF(AND(T662="DH",V662&gt;0),(R662*V662/12),IF(AND(T662&lt;&gt;"NTS",V662&gt;0),(R662*V662/12)-X662,IF(AND(T662="NTS",V662&gt;0),R662-X662,R662-X662))))</f>
        <v>120</v>
      </c>
      <c r="AA662" s="220">
        <f t="shared" ref="AA662:AB664" si="2191">Q662</f>
        <v>270</v>
      </c>
      <c r="AB662" s="220">
        <f t="shared" si="2191"/>
        <v>120</v>
      </c>
      <c r="AC662" s="220">
        <f t="shared" ref="AC662:AF663" si="2192">W662</f>
        <v>40.5</v>
      </c>
      <c r="AD662" s="220">
        <f t="shared" si="2192"/>
        <v>0</v>
      </c>
      <c r="AE662" s="220">
        <f t="shared" si="2192"/>
        <v>229.5</v>
      </c>
      <c r="AF662" s="220">
        <f t="shared" si="2192"/>
        <v>120</v>
      </c>
      <c r="AG662" s="220">
        <f t="shared" si="2168"/>
        <v>104.86</v>
      </c>
      <c r="AH662" s="220">
        <f t="shared" si="2169"/>
        <v>79.86</v>
      </c>
      <c r="AI662" s="220">
        <f t="shared" si="2170"/>
        <v>25</v>
      </c>
      <c r="AJ662" s="220">
        <f>IF(AG662-Z662&gt;0,0,AG662-Z662)</f>
        <v>-15.14</v>
      </c>
      <c r="AK662" s="216">
        <f t="shared" si="2051"/>
        <v>244.64</v>
      </c>
      <c r="AL662" s="220">
        <f t="shared" si="2024"/>
        <v>83.3</v>
      </c>
      <c r="AM662" s="220">
        <f t="shared" si="2025"/>
        <v>272.8</v>
      </c>
      <c r="AN662" s="221">
        <f t="shared" si="2026"/>
        <v>356.1</v>
      </c>
      <c r="AO662" s="220">
        <f t="shared" si="2027"/>
        <v>0</v>
      </c>
      <c r="AP662" s="220">
        <f t="shared" si="2028"/>
        <v>0</v>
      </c>
      <c r="AQ662" s="220">
        <f t="shared" si="2029"/>
        <v>40</v>
      </c>
      <c r="AR662" s="220">
        <f t="shared" si="2030"/>
        <v>0</v>
      </c>
      <c r="AS662" s="220">
        <f t="shared" si="2031"/>
        <v>0</v>
      </c>
      <c r="AT662" s="216">
        <f t="shared" si="2032"/>
        <v>396.1</v>
      </c>
      <c r="AU662" s="222">
        <f t="shared" si="2122"/>
        <v>111.46000000000004</v>
      </c>
      <c r="AV662" s="220"/>
      <c r="AW662" s="220">
        <f t="shared" si="2174"/>
        <v>111.46000000000004</v>
      </c>
      <c r="AX662" s="216">
        <f t="shared" si="2020"/>
        <v>0</v>
      </c>
      <c r="AY662" s="220">
        <f t="shared" si="2182"/>
        <v>0</v>
      </c>
      <c r="AZ662" s="220">
        <f t="shared" si="2183"/>
        <v>0</v>
      </c>
      <c r="BA662" s="220">
        <f t="shared" si="2184"/>
        <v>40</v>
      </c>
      <c r="BB662" s="220">
        <f t="shared" si="2185"/>
        <v>0</v>
      </c>
      <c r="BC662" s="220">
        <f t="shared" si="2186"/>
        <v>0</v>
      </c>
      <c r="BD662" s="216">
        <f t="shared" si="1987"/>
        <v>40</v>
      </c>
      <c r="BE662" s="220">
        <f t="shared" si="2175"/>
        <v>0</v>
      </c>
      <c r="BF662" s="220">
        <f t="shared" si="2176"/>
        <v>0</v>
      </c>
      <c r="BG662" s="220">
        <f t="shared" si="2177"/>
        <v>0</v>
      </c>
      <c r="BH662" s="220">
        <f t="shared" si="2178"/>
        <v>0</v>
      </c>
      <c r="BI662" s="220">
        <f t="shared" si="2179"/>
        <v>0</v>
      </c>
      <c r="BJ662" s="220" t="s">
        <v>1807</v>
      </c>
      <c r="BK662" s="220"/>
      <c r="BL662" s="223">
        <f t="shared" si="2005"/>
        <v>111.46000000000004</v>
      </c>
      <c r="BM662" s="220">
        <v>3.99</v>
      </c>
      <c r="BN662" s="220"/>
      <c r="BO662" s="220">
        <f t="shared" si="2164"/>
        <v>3.99</v>
      </c>
      <c r="BP662" s="220">
        <f>IF(AND(BL662&gt;0,BL662&lt;tiet!$D$1),BL662,IF(BL662&lt;=0,0,IF(BL662&gt;tiet!$C$1,tiet!$C$1)))</f>
        <v>111.46000000000004</v>
      </c>
      <c r="BQ662" s="87">
        <f>VLOOKUP(P662,ma_dinhmuc_moi,4,0)</f>
        <v>65000</v>
      </c>
      <c r="BR662" s="224">
        <f>ROUND(BQ662*BP662,0)</f>
        <v>7244900</v>
      </c>
      <c r="BS662" s="220">
        <f t="shared" si="2134"/>
        <v>0</v>
      </c>
      <c r="BT662" s="224">
        <f>VLOOKUP(N662,ma_dinhmuc!$A$1:$J$31,10,0)</f>
        <v>51000</v>
      </c>
      <c r="BU662" s="224">
        <f>ROUND(IF(BS662&gt;0,VLOOKUP(N662,ma_dinhmuc!$A$1:$J$31,10,0)*BS662,0),0)</f>
        <v>0</v>
      </c>
      <c r="BV662" s="224">
        <f>ROUND(BU662+BR662,0)</f>
        <v>7244900</v>
      </c>
      <c r="BW662" s="224"/>
      <c r="BX662" s="224">
        <v>0</v>
      </c>
      <c r="BY662" s="224"/>
      <c r="BZ662" s="224"/>
      <c r="CA662" s="224"/>
      <c r="CB662" s="224"/>
      <c r="CC662" s="225">
        <f>ROUND(IF(BV662+BW662&gt;BX662+BY662+BZ662+CA662+CB662,(BW662+BV662)-(BX662+BY662+BZ662+CA662+CB662+CB662),0),0)</f>
        <v>7244900</v>
      </c>
      <c r="CD662" s="224">
        <f>ROUND(IF(BV662+BW662&lt;BX662+BY662+BZ662+CA662-CB662,(BX662+BY662+BZ662+CA662-CB662)-(BW662+BV662),0),0)</f>
        <v>0</v>
      </c>
      <c r="CE662" s="224"/>
      <c r="CF662" s="226"/>
      <c r="CG662" s="87"/>
      <c r="CH662" s="87">
        <f>A662</f>
        <v>22</v>
      </c>
      <c r="CI662" s="227" t="str">
        <f t="shared" ref="CI662:CJ664" si="2193">F662</f>
        <v>Phan Thị</v>
      </c>
      <c r="CJ662" s="227" t="str">
        <f t="shared" si="2193"/>
        <v>Thúy</v>
      </c>
      <c r="CK662" s="87">
        <f>H662</f>
        <v>13</v>
      </c>
      <c r="CL662" s="227" t="str">
        <f t="shared" si="2173"/>
        <v>Sinh thái nông nghiệp</v>
      </c>
      <c r="CM662" s="87" t="str">
        <f t="shared" si="2180"/>
        <v>CS2</v>
      </c>
      <c r="CN662" s="87">
        <f t="shared" si="2190"/>
        <v>270</v>
      </c>
      <c r="CO662" s="87">
        <f t="shared" si="2190"/>
        <v>120</v>
      </c>
      <c r="CP662" s="229">
        <f t="shared" si="2142"/>
        <v>0</v>
      </c>
      <c r="CQ662" s="229">
        <f t="shared" si="2143"/>
        <v>8.6999999999999993</v>
      </c>
      <c r="CR662" s="229">
        <f t="shared" si="2144"/>
        <v>3.6</v>
      </c>
      <c r="CS662" s="229">
        <f t="shared" si="2145"/>
        <v>11</v>
      </c>
      <c r="CT662" s="229">
        <f t="shared" si="2146"/>
        <v>0</v>
      </c>
      <c r="CU662" s="229">
        <f t="shared" si="2147"/>
        <v>60</v>
      </c>
      <c r="CV662" s="229">
        <f t="shared" si="2148"/>
        <v>0</v>
      </c>
      <c r="CW662" s="229">
        <f t="shared" si="2149"/>
        <v>0</v>
      </c>
      <c r="CX662" s="229">
        <f t="shared" si="2150"/>
        <v>0</v>
      </c>
      <c r="CY662" s="229">
        <f t="shared" si="2151"/>
        <v>0</v>
      </c>
      <c r="CZ662" s="229">
        <f t="shared" si="2152"/>
        <v>0</v>
      </c>
      <c r="DA662" s="229">
        <f t="shared" si="2153"/>
        <v>40</v>
      </c>
      <c r="DB662" s="228">
        <f t="shared" si="2045"/>
        <v>123.3</v>
      </c>
      <c r="DC662" s="229"/>
      <c r="DD662" s="229"/>
      <c r="DE662" s="229"/>
      <c r="DF662" s="229"/>
      <c r="DG662" s="229"/>
      <c r="DH662" s="229"/>
      <c r="DI662" s="229"/>
      <c r="DJ662" s="229"/>
      <c r="DK662" s="229"/>
      <c r="DL662" s="229"/>
      <c r="DM662" s="229"/>
      <c r="DN662" s="229"/>
      <c r="DO662" s="228">
        <f t="shared" si="2046"/>
        <v>0</v>
      </c>
      <c r="DP662" s="228">
        <f t="shared" si="2047"/>
        <v>123.3</v>
      </c>
      <c r="DQ662" s="229">
        <f t="shared" si="2154"/>
        <v>261</v>
      </c>
      <c r="DR662" s="229">
        <f t="shared" si="2155"/>
        <v>8.3000000000000007</v>
      </c>
      <c r="DS662" s="229">
        <f t="shared" si="2156"/>
        <v>0</v>
      </c>
      <c r="DT662" s="229">
        <f t="shared" si="2157"/>
        <v>3.5</v>
      </c>
      <c r="DU662" s="229">
        <f t="shared" si="2158"/>
        <v>0</v>
      </c>
      <c r="DV662" s="229">
        <f t="shared" si="2159"/>
        <v>0</v>
      </c>
      <c r="DW662" s="229">
        <f t="shared" si="2160"/>
        <v>0</v>
      </c>
      <c r="DX662" s="228">
        <f t="shared" si="2048"/>
        <v>272.8</v>
      </c>
      <c r="DY662" s="229"/>
      <c r="DZ662" s="229"/>
      <c r="EA662" s="229"/>
      <c r="EB662" s="229"/>
      <c r="EC662" s="229"/>
      <c r="ED662" s="229"/>
      <c r="EE662" s="229"/>
      <c r="EF662" s="228">
        <f t="shared" si="2138"/>
        <v>0</v>
      </c>
      <c r="EG662" s="228">
        <f t="shared" si="2049"/>
        <v>272.8</v>
      </c>
      <c r="EH662" s="229">
        <f t="shared" si="2139"/>
        <v>25</v>
      </c>
      <c r="EI662" s="229">
        <v>79.86</v>
      </c>
      <c r="EJ662" s="228">
        <f t="shared" si="2130"/>
        <v>104.86</v>
      </c>
      <c r="EK662" s="229"/>
      <c r="EL662" s="229"/>
      <c r="EM662" s="228">
        <f t="shared" si="2104"/>
        <v>0</v>
      </c>
      <c r="EN662" s="229">
        <f t="shared" si="2086"/>
        <v>25</v>
      </c>
      <c r="EO662" s="229">
        <f t="shared" si="2123"/>
        <v>79.86</v>
      </c>
      <c r="EP662" s="228">
        <f>EM662+EJ662</f>
        <v>104.86</v>
      </c>
      <c r="EQ662" s="173">
        <f t="shared" si="2135"/>
        <v>0</v>
      </c>
      <c r="ER662" s="189">
        <v>0</v>
      </c>
      <c r="ES662" s="189">
        <v>8.6999999999999993</v>
      </c>
      <c r="ET662" s="189">
        <v>3.6</v>
      </c>
      <c r="EU662" s="189">
        <v>11</v>
      </c>
      <c r="EV662" s="189">
        <v>0</v>
      </c>
      <c r="EW662" s="189">
        <v>60</v>
      </c>
      <c r="EX662" s="189">
        <v>0</v>
      </c>
      <c r="EY662" s="189">
        <v>0</v>
      </c>
      <c r="EZ662" s="189">
        <v>0</v>
      </c>
      <c r="FA662" s="189">
        <v>0</v>
      </c>
      <c r="FB662" s="189">
        <v>0</v>
      </c>
      <c r="FC662" s="189">
        <v>40</v>
      </c>
      <c r="FD662" s="189">
        <v>261</v>
      </c>
      <c r="FE662" s="189">
        <v>8.3000000000000007</v>
      </c>
      <c r="FF662" s="189">
        <v>0</v>
      </c>
      <c r="FG662" s="189">
        <v>3.5</v>
      </c>
      <c r="FH662" s="189">
        <v>0</v>
      </c>
      <c r="FI662" s="189">
        <v>0</v>
      </c>
      <c r="FJ662" s="189">
        <v>0</v>
      </c>
      <c r="FK662" s="189">
        <v>396.1</v>
      </c>
      <c r="FL662" s="189">
        <v>272</v>
      </c>
      <c r="FN662" s="132">
        <v>25</v>
      </c>
    </row>
    <row r="663" spans="1:170" ht="28.9" customHeight="1">
      <c r="A663" s="88">
        <f>COUNTIF($H$12:H663,H663)</f>
        <v>23</v>
      </c>
      <c r="B663" s="88" t="s">
        <v>2163</v>
      </c>
      <c r="C663" s="88" t="s">
        <v>1521</v>
      </c>
      <c r="D663" s="88"/>
      <c r="E663" s="88"/>
      <c r="F663" s="301" t="s">
        <v>1504</v>
      </c>
      <c r="G663" s="89" t="s">
        <v>1505</v>
      </c>
      <c r="H663" s="88">
        <v>13</v>
      </c>
      <c r="I663" s="88">
        <v>13</v>
      </c>
      <c r="J663" s="88">
        <v>13</v>
      </c>
      <c r="K663" s="90" t="s">
        <v>2443</v>
      </c>
      <c r="L663" s="90" t="s">
        <v>2443</v>
      </c>
      <c r="M663" s="214"/>
      <c r="N663" s="88" t="s">
        <v>606</v>
      </c>
      <c r="O663" s="216">
        <f t="shared" si="2131"/>
        <v>4.4000000000000004</v>
      </c>
      <c r="P663" s="88" t="str">
        <f t="shared" si="2140"/>
        <v>B1_4</v>
      </c>
      <c r="Q663" s="88">
        <f t="shared" si="2136"/>
        <v>270</v>
      </c>
      <c r="R663" s="88">
        <f t="shared" si="2137"/>
        <v>120</v>
      </c>
      <c r="S663" s="230" t="s">
        <v>2031</v>
      </c>
      <c r="T663" s="88" t="s">
        <v>3091</v>
      </c>
      <c r="U663" s="88">
        <f>IF(RIGHT(T663,1)="K",(VLOOKUP(T663,ma_miengiam!$A$3:$B$80,2,0)*100)/2,VLOOKUP(T663,ma_miengiam!$A$3:$B$80,2,0)*100)</f>
        <v>20</v>
      </c>
      <c r="V663" s="88"/>
      <c r="W663" s="220">
        <f>IF(AND(T663="NTS",V663&gt;0),(Q663-(Q663*V663)/12)*VLOOKUP(T663,ma_miengiam!$A$3:$B$80,2,0)+(Q663-(Q663*(12-V663))/12),IF(AND(RIGHT(T663,1)="K",V663&gt;0),(VLOOKUP(T663,ma_miengiam!$A$3:$B$80,2,0)/2)*(Q663*V663)/12,IF(RIGHT(T663,1)="K",(VLOOKUP(T663,ma_miengiam!$A$3:$B$80,2,0)*Q663)/2,IF(V663&gt;0,VLOOKUP(T663,ma_miengiam!$A$3:$B$80,2,0)*Q663*V663/12,VLOOKUP(T663,ma_miengiam!$A$3:$B$80,2,0)*Q663))))</f>
        <v>54</v>
      </c>
      <c r="X663" s="220">
        <f>IF(T663="NTS",VLOOKUP(T663,ma_miengiam!$A$3:$B$80,2,0)*R663*V663,IF(AND(T663="NTS",V663=0),0,IF(AND(LEFT(T663,1)="K",V663=0),VLOOKUP(T663,ma_miengiam!$A$3:$B$80,2,0)*R663,IF(LEFT(T663,1)="K",(VLOOKUP(T663,ma_miengiam!$A$3:$B$80,2,0)*R663/12)*V663,IF(AND(LEFT(T663,1)="S",V663&gt;0),(R663/12)*V663,IF(AND(LEFT(T663,1)="S",V663=0),R663,IF(T663="DH",VLOOKUP(T663,ma_miengiam!$A$3:$B$80,2,0)*R663,0)))))))</f>
        <v>0</v>
      </c>
      <c r="Y663" s="220">
        <f t="shared" si="2161"/>
        <v>216</v>
      </c>
      <c r="Z663" s="220">
        <f t="shared" si="2065"/>
        <v>120</v>
      </c>
      <c r="AA663" s="220">
        <f t="shared" si="2191"/>
        <v>270</v>
      </c>
      <c r="AB663" s="220">
        <f t="shared" si="2191"/>
        <v>120</v>
      </c>
      <c r="AC663" s="220">
        <f t="shared" si="2192"/>
        <v>54</v>
      </c>
      <c r="AD663" s="220">
        <f t="shared" si="2192"/>
        <v>0</v>
      </c>
      <c r="AE663" s="220">
        <f t="shared" si="2192"/>
        <v>216</v>
      </c>
      <c r="AF663" s="220">
        <f t="shared" si="2192"/>
        <v>120</v>
      </c>
      <c r="AG663" s="220">
        <f t="shared" ref="AG663:AG668" si="2194">AH663+AI663</f>
        <v>149.86000000000001</v>
      </c>
      <c r="AH663" s="220">
        <f t="shared" ref="AH663:AH668" si="2195">EO663</f>
        <v>79.86</v>
      </c>
      <c r="AI663" s="220">
        <f t="shared" ref="AI663:AI668" si="2196">EN663</f>
        <v>70</v>
      </c>
      <c r="AJ663" s="220">
        <f t="shared" si="2101"/>
        <v>0</v>
      </c>
      <c r="AK663" s="216">
        <f t="shared" si="2051"/>
        <v>216</v>
      </c>
      <c r="AL663" s="220">
        <f t="shared" si="2024"/>
        <v>81.900000000000006</v>
      </c>
      <c r="AM663" s="220">
        <f t="shared" si="2025"/>
        <v>161.69999999999999</v>
      </c>
      <c r="AN663" s="221">
        <f t="shared" si="2026"/>
        <v>243.6</v>
      </c>
      <c r="AO663" s="220">
        <f t="shared" si="2027"/>
        <v>0</v>
      </c>
      <c r="AP663" s="220">
        <f t="shared" si="2028"/>
        <v>0</v>
      </c>
      <c r="AQ663" s="220">
        <f t="shared" si="2029"/>
        <v>40</v>
      </c>
      <c r="AR663" s="220">
        <f t="shared" si="2030"/>
        <v>12</v>
      </c>
      <c r="AS663" s="220">
        <f t="shared" si="2031"/>
        <v>0</v>
      </c>
      <c r="AT663" s="216">
        <f t="shared" si="2032"/>
        <v>295.60000000000002</v>
      </c>
      <c r="AU663" s="222">
        <f t="shared" si="2122"/>
        <v>27.599999999999994</v>
      </c>
      <c r="AV663" s="220"/>
      <c r="AW663" s="220">
        <f t="shared" si="2174"/>
        <v>27.599999999999994</v>
      </c>
      <c r="AX663" s="216">
        <f t="shared" si="2020"/>
        <v>0</v>
      </c>
      <c r="AY663" s="220">
        <f t="shared" si="2182"/>
        <v>0</v>
      </c>
      <c r="AZ663" s="220">
        <f t="shared" si="2183"/>
        <v>0</v>
      </c>
      <c r="BA663" s="220">
        <f t="shared" si="2184"/>
        <v>40</v>
      </c>
      <c r="BB663" s="220">
        <f t="shared" si="2185"/>
        <v>12</v>
      </c>
      <c r="BC663" s="220">
        <f t="shared" si="2186"/>
        <v>0</v>
      </c>
      <c r="BD663" s="216">
        <f t="shared" ref="BD663:BD721" si="2197">SUM(AY663:BC663)</f>
        <v>52</v>
      </c>
      <c r="BE663" s="220">
        <f t="shared" si="2175"/>
        <v>0</v>
      </c>
      <c r="BF663" s="220">
        <f t="shared" si="2176"/>
        <v>0</v>
      </c>
      <c r="BG663" s="220">
        <f t="shared" si="2177"/>
        <v>0</v>
      </c>
      <c r="BH663" s="220">
        <f t="shared" si="2178"/>
        <v>0</v>
      </c>
      <c r="BI663" s="220">
        <f t="shared" si="2179"/>
        <v>0</v>
      </c>
      <c r="BJ663" s="220" t="s">
        <v>1807</v>
      </c>
      <c r="BK663" s="220"/>
      <c r="BL663" s="223">
        <f t="shared" si="2005"/>
        <v>27.599999999999994</v>
      </c>
      <c r="BM663" s="220">
        <v>4.4000000000000004</v>
      </c>
      <c r="BN663" s="220"/>
      <c r="BO663" s="220">
        <f t="shared" si="2164"/>
        <v>4.4000000000000004</v>
      </c>
      <c r="BP663" s="220">
        <f>IF(AND(BL663&gt;0,BL663&lt;tiet!$D$1),BL663,IF(BL663&lt;=0,0,IF(BL663&gt;tiet!$C$1,tiet!$C$1)))</f>
        <v>27.599999999999994</v>
      </c>
      <c r="BQ663" s="87">
        <f t="shared" si="2102"/>
        <v>65000</v>
      </c>
      <c r="BR663" s="224">
        <f t="shared" si="2099"/>
        <v>1794000</v>
      </c>
      <c r="BS663" s="220">
        <f t="shared" si="2134"/>
        <v>0</v>
      </c>
      <c r="BT663" s="224">
        <f>VLOOKUP(N663,ma_dinhmuc!$A$1:$J$31,10,0)</f>
        <v>55000</v>
      </c>
      <c r="BU663" s="224">
        <f>ROUND(IF(BS663&gt;0,VLOOKUP(N663,ma_dinhmuc!$A$1:$J$31,10,0)*BS663,0),0)</f>
        <v>0</v>
      </c>
      <c r="BV663" s="224">
        <f t="shared" si="2100"/>
        <v>1794000</v>
      </c>
      <c r="BW663" s="224"/>
      <c r="BX663" s="224">
        <v>0</v>
      </c>
      <c r="BY663" s="224"/>
      <c r="BZ663" s="224"/>
      <c r="CA663" s="224"/>
      <c r="CB663" s="224"/>
      <c r="CC663" s="225">
        <f t="shared" si="2112"/>
        <v>1794000</v>
      </c>
      <c r="CD663" s="224">
        <f t="shared" si="2113"/>
        <v>0</v>
      </c>
      <c r="CE663" s="224"/>
      <c r="CF663" s="226"/>
      <c r="CG663" s="87"/>
      <c r="CH663" s="87">
        <f t="shared" ref="CH663:CH669" si="2198">A663</f>
        <v>23</v>
      </c>
      <c r="CI663" s="227" t="str">
        <f t="shared" si="2193"/>
        <v>Nguyễn Thị Bích</v>
      </c>
      <c r="CJ663" s="227" t="str">
        <f t="shared" si="2193"/>
        <v>Yên</v>
      </c>
      <c r="CK663" s="87">
        <f>H663</f>
        <v>13</v>
      </c>
      <c r="CL663" s="227" t="str">
        <f t="shared" si="2173"/>
        <v>Sinh thái nông nghiệp</v>
      </c>
      <c r="CM663" s="87" t="str">
        <f t="shared" si="2180"/>
        <v>CS3</v>
      </c>
      <c r="CN663" s="87">
        <f t="shared" ref="CN663:CO666" si="2199">Q663</f>
        <v>270</v>
      </c>
      <c r="CO663" s="87">
        <f t="shared" si="2199"/>
        <v>120</v>
      </c>
      <c r="CP663" s="229">
        <f t="shared" si="2142"/>
        <v>0</v>
      </c>
      <c r="CQ663" s="229">
        <f t="shared" si="2143"/>
        <v>7.1</v>
      </c>
      <c r="CR663" s="229">
        <f t="shared" si="2144"/>
        <v>2.8</v>
      </c>
      <c r="CS663" s="229">
        <f t="shared" si="2145"/>
        <v>0</v>
      </c>
      <c r="CT663" s="229">
        <f t="shared" si="2146"/>
        <v>0</v>
      </c>
      <c r="CU663" s="229">
        <f t="shared" si="2147"/>
        <v>44</v>
      </c>
      <c r="CV663" s="229">
        <f t="shared" si="2148"/>
        <v>0</v>
      </c>
      <c r="CW663" s="229">
        <f t="shared" si="2149"/>
        <v>28</v>
      </c>
      <c r="CX663" s="229">
        <f t="shared" si="2150"/>
        <v>0</v>
      </c>
      <c r="CY663" s="229">
        <f t="shared" si="2151"/>
        <v>0</v>
      </c>
      <c r="CZ663" s="229">
        <f t="shared" si="2152"/>
        <v>0</v>
      </c>
      <c r="DA663" s="229">
        <f t="shared" si="2153"/>
        <v>40</v>
      </c>
      <c r="DB663" s="228">
        <f t="shared" si="2045"/>
        <v>121.9</v>
      </c>
      <c r="DC663" s="229"/>
      <c r="DD663" s="229"/>
      <c r="DE663" s="229"/>
      <c r="DF663" s="229"/>
      <c r="DG663" s="229"/>
      <c r="DH663" s="229"/>
      <c r="DI663" s="229"/>
      <c r="DJ663" s="229"/>
      <c r="DK663" s="229"/>
      <c r="DL663" s="229"/>
      <c r="DM663" s="229"/>
      <c r="DN663" s="229"/>
      <c r="DO663" s="228">
        <f t="shared" si="2046"/>
        <v>0</v>
      </c>
      <c r="DP663" s="228">
        <f t="shared" si="2047"/>
        <v>121.9</v>
      </c>
      <c r="DQ663" s="229">
        <f t="shared" si="2154"/>
        <v>155</v>
      </c>
      <c r="DR663" s="229">
        <f t="shared" si="2155"/>
        <v>4.7</v>
      </c>
      <c r="DS663" s="229">
        <f t="shared" si="2156"/>
        <v>0</v>
      </c>
      <c r="DT663" s="229">
        <f t="shared" si="2157"/>
        <v>2</v>
      </c>
      <c r="DU663" s="229">
        <f t="shared" si="2158"/>
        <v>0</v>
      </c>
      <c r="DV663" s="229">
        <f t="shared" si="2159"/>
        <v>12</v>
      </c>
      <c r="DW663" s="229">
        <f t="shared" si="2160"/>
        <v>0</v>
      </c>
      <c r="DX663" s="228">
        <f t="shared" si="2048"/>
        <v>173.7</v>
      </c>
      <c r="DY663" s="229"/>
      <c r="DZ663" s="229"/>
      <c r="EA663" s="229"/>
      <c r="EB663" s="229"/>
      <c r="EC663" s="229"/>
      <c r="ED663" s="229"/>
      <c r="EE663" s="229"/>
      <c r="EF663" s="228">
        <f t="shared" si="2138"/>
        <v>0</v>
      </c>
      <c r="EG663" s="228">
        <f t="shared" si="2049"/>
        <v>173.7</v>
      </c>
      <c r="EH663" s="229">
        <f t="shared" si="2139"/>
        <v>70</v>
      </c>
      <c r="EI663" s="229">
        <v>79.86</v>
      </c>
      <c r="EJ663" s="228">
        <f t="shared" si="2130"/>
        <v>149.86000000000001</v>
      </c>
      <c r="EK663" s="229"/>
      <c r="EL663" s="229"/>
      <c r="EM663" s="228">
        <f t="shared" si="2104"/>
        <v>0</v>
      </c>
      <c r="EN663" s="229">
        <f t="shared" si="2086"/>
        <v>70</v>
      </c>
      <c r="EO663" s="229">
        <f t="shared" si="2123"/>
        <v>79.86</v>
      </c>
      <c r="EP663" s="228">
        <f t="shared" si="2118"/>
        <v>149.86000000000001</v>
      </c>
      <c r="EQ663" s="173">
        <f t="shared" si="2135"/>
        <v>0</v>
      </c>
      <c r="ER663" s="189">
        <v>0</v>
      </c>
      <c r="ES663" s="189">
        <v>7.1</v>
      </c>
      <c r="ET663" s="189">
        <v>2.8</v>
      </c>
      <c r="EU663" s="189">
        <v>0</v>
      </c>
      <c r="EV663" s="189">
        <v>0</v>
      </c>
      <c r="EW663" s="189">
        <v>44</v>
      </c>
      <c r="EX663" s="189">
        <v>0</v>
      </c>
      <c r="EY663" s="189">
        <v>28</v>
      </c>
      <c r="EZ663" s="189">
        <v>0</v>
      </c>
      <c r="FA663" s="189">
        <v>0</v>
      </c>
      <c r="FB663" s="189">
        <v>0</v>
      </c>
      <c r="FC663" s="189">
        <v>40</v>
      </c>
      <c r="FD663" s="189">
        <v>155</v>
      </c>
      <c r="FE663" s="189">
        <v>4.7</v>
      </c>
      <c r="FF663" s="189">
        <v>0</v>
      </c>
      <c r="FG663" s="189">
        <v>2</v>
      </c>
      <c r="FH663" s="189">
        <v>12</v>
      </c>
      <c r="FI663" s="189">
        <v>0</v>
      </c>
      <c r="FJ663" s="189">
        <v>0</v>
      </c>
      <c r="FK663" s="189">
        <v>295.60000000000002</v>
      </c>
      <c r="FL663" s="189">
        <v>215</v>
      </c>
      <c r="FN663" s="132">
        <v>70</v>
      </c>
    </row>
    <row r="664" spans="1:170" ht="30" customHeight="1">
      <c r="A664" s="88">
        <f>COUNTIF($H$12:H664,H664)</f>
        <v>24</v>
      </c>
      <c r="B664" s="88" t="s">
        <v>2164</v>
      </c>
      <c r="C664" s="88" t="s">
        <v>1522</v>
      </c>
      <c r="D664" s="88"/>
      <c r="E664" s="88"/>
      <c r="F664" s="301" t="s">
        <v>1601</v>
      </c>
      <c r="G664" s="89" t="s">
        <v>1506</v>
      </c>
      <c r="H664" s="88">
        <v>13</v>
      </c>
      <c r="I664" s="88">
        <v>13</v>
      </c>
      <c r="J664" s="88">
        <v>13</v>
      </c>
      <c r="K664" s="90" t="s">
        <v>2443</v>
      </c>
      <c r="L664" s="90" t="s">
        <v>2443</v>
      </c>
      <c r="M664" s="214"/>
      <c r="N664" s="88" t="s">
        <v>1804</v>
      </c>
      <c r="O664" s="216">
        <f t="shared" si="2131"/>
        <v>4.32</v>
      </c>
      <c r="P664" s="88" t="str">
        <f t="shared" si="2140"/>
        <v>B1_4</v>
      </c>
      <c r="Q664" s="88">
        <f t="shared" si="2136"/>
        <v>270</v>
      </c>
      <c r="R664" s="88">
        <f t="shared" si="2137"/>
        <v>120</v>
      </c>
      <c r="S664" s="233" t="s">
        <v>370</v>
      </c>
      <c r="T664" s="88" t="s">
        <v>3091</v>
      </c>
      <c r="U664" s="88">
        <f>IF(RIGHT(T664,1)="K",(VLOOKUP(T664,ma_miengiam!$A$3:$B$80,2,0)*100)/2,VLOOKUP(T664,ma_miengiam!$A$3:$B$80,2,0)*100)</f>
        <v>20</v>
      </c>
      <c r="V664" s="88"/>
      <c r="W664" s="220">
        <f>IF(AND(T664="NTS",V664&gt;0),(Q664-(Q664*V664)/12)*VLOOKUP(T664,ma_miengiam!$A$3:$B$80,2,0)+(Q664-(Q664*(12-V664))/12),IF(AND(RIGHT(T664,1)="K",V664&gt;0),(VLOOKUP(T664,ma_miengiam!$A$3:$B$80,2,0)/2)*(Q664*V664)/12,IF(RIGHT(T664,1)="K",(VLOOKUP(T664,ma_miengiam!$A$3:$B$80,2,0)*Q664)/2,IF(V664&gt;0,VLOOKUP(T664,ma_miengiam!$A$3:$B$80,2,0)*Q664*V664/12,VLOOKUP(T664,ma_miengiam!$A$3:$B$80,2,0)*Q664))))</f>
        <v>54</v>
      </c>
      <c r="X664" s="220">
        <f>IF(T664="NTS",VLOOKUP(T664,ma_miengiam!$A$3:$B$80,2,0)*R664*V664,IF(AND(T664="NTS",V664=0),0,IF(AND(LEFT(T664,1)="K",V664=0),VLOOKUP(T664,ma_miengiam!$A$3:$B$80,2,0)*R664,IF(LEFT(T664,1)="K",(VLOOKUP(T664,ma_miengiam!$A$3:$B$80,2,0)*R664/12)*V664,IF(AND(LEFT(T664,1)="S",V664&gt;0),(R664/12)*V664,IF(AND(LEFT(T664,1)="S",V664=0),R664,IF(T664="DH",VLOOKUP(T664,ma_miengiam!$A$3:$B$80,2,0)*R664,0)))))))</f>
        <v>0</v>
      </c>
      <c r="Y664" s="220">
        <f t="shared" si="2161"/>
        <v>216</v>
      </c>
      <c r="Z664" s="220">
        <f>IF(AND(T664="SĐH",V664&gt;0),(R664/12)*V664-X664,IF(AND(T664="DH",V664&gt;0),(R664*V664/12),IF(AND(T664&lt;&gt;"NTS",V664&gt;0),(R664*V664/12)-X664,IF(AND(T664="NTS",V664&gt;0),R664-X664,R664-X664))))</f>
        <v>120</v>
      </c>
      <c r="AA664" s="220">
        <f t="shared" si="2191"/>
        <v>270</v>
      </c>
      <c r="AB664" s="220">
        <f t="shared" si="2191"/>
        <v>120</v>
      </c>
      <c r="AC664" s="220">
        <f>W664</f>
        <v>54</v>
      </c>
      <c r="AD664" s="220">
        <f>X664</f>
        <v>0</v>
      </c>
      <c r="AE664" s="220">
        <f>Y664</f>
        <v>216</v>
      </c>
      <c r="AF664" s="220">
        <f>Z664</f>
        <v>120</v>
      </c>
      <c r="AG664" s="220">
        <f>AH664+AI664</f>
        <v>334.5</v>
      </c>
      <c r="AH664" s="220">
        <f>EO664</f>
        <v>82</v>
      </c>
      <c r="AI664" s="220">
        <f>EN664</f>
        <v>252.5</v>
      </c>
      <c r="AJ664" s="220">
        <f>IF(AG664-Z664&gt;0,0,AG664-Z664)</f>
        <v>0</v>
      </c>
      <c r="AK664" s="216">
        <f t="shared" si="2051"/>
        <v>216</v>
      </c>
      <c r="AL664" s="220">
        <f t="shared" si="2024"/>
        <v>99.5</v>
      </c>
      <c r="AM664" s="220">
        <f t="shared" si="2025"/>
        <v>84.699999999999989</v>
      </c>
      <c r="AN664" s="221">
        <f t="shared" si="2026"/>
        <v>184.2</v>
      </c>
      <c r="AO664" s="220">
        <f t="shared" si="2027"/>
        <v>0</v>
      </c>
      <c r="AP664" s="220">
        <f t="shared" si="2028"/>
        <v>0</v>
      </c>
      <c r="AQ664" s="220">
        <f t="shared" si="2029"/>
        <v>0</v>
      </c>
      <c r="AR664" s="220">
        <f t="shared" si="2030"/>
        <v>0</v>
      </c>
      <c r="AS664" s="220">
        <f t="shared" si="2031"/>
        <v>0</v>
      </c>
      <c r="AT664" s="216">
        <f t="shared" si="2032"/>
        <v>184.2</v>
      </c>
      <c r="AU664" s="222">
        <f>AN664-AK664</f>
        <v>-31.800000000000011</v>
      </c>
      <c r="AV664" s="220"/>
      <c r="AW664" s="220">
        <f t="shared" si="2174"/>
        <v>-31.800000000000011</v>
      </c>
      <c r="AX664" s="216">
        <f t="shared" si="2020"/>
        <v>-31.800000000000011</v>
      </c>
      <c r="AY664" s="220">
        <f t="shared" si="2182"/>
        <v>0</v>
      </c>
      <c r="AZ664" s="220">
        <f t="shared" si="2183"/>
        <v>0</v>
      </c>
      <c r="BA664" s="220">
        <f t="shared" si="2184"/>
        <v>0</v>
      </c>
      <c r="BB664" s="220">
        <f t="shared" si="2185"/>
        <v>0</v>
      </c>
      <c r="BC664" s="220">
        <f t="shared" si="2186"/>
        <v>0</v>
      </c>
      <c r="BD664" s="216">
        <f t="shared" si="2197"/>
        <v>0</v>
      </c>
      <c r="BE664" s="220">
        <f t="shared" si="2175"/>
        <v>0</v>
      </c>
      <c r="BF664" s="220">
        <f t="shared" si="2176"/>
        <v>0</v>
      </c>
      <c r="BG664" s="220">
        <f t="shared" si="2177"/>
        <v>0</v>
      </c>
      <c r="BH664" s="220">
        <f t="shared" si="2178"/>
        <v>0</v>
      </c>
      <c r="BI664" s="220">
        <f t="shared" si="2179"/>
        <v>0</v>
      </c>
      <c r="BJ664" s="220" t="s">
        <v>1807</v>
      </c>
      <c r="BK664" s="220"/>
      <c r="BL664" s="223">
        <f t="shared" si="2005"/>
        <v>0</v>
      </c>
      <c r="BM664" s="220">
        <v>4.32</v>
      </c>
      <c r="BN664" s="220"/>
      <c r="BO664" s="220">
        <f>ROUND(BM664+(BM664*BN664),2)</f>
        <v>4.32</v>
      </c>
      <c r="BP664" s="220">
        <f>IF(AND(BL664&gt;0,BL664&lt;tiet!$D$1),BL664,IF(BL664&lt;=0,0,IF(BL664&gt;tiet!$C$1,tiet!$C$1)))</f>
        <v>0</v>
      </c>
      <c r="BQ664" s="87">
        <f>VLOOKUP(P664,ma_dinhmuc_moi,4,0)</f>
        <v>65000</v>
      </c>
      <c r="BR664" s="224">
        <f>ROUND(BQ664*BP664,0)</f>
        <v>0</v>
      </c>
      <c r="BS664" s="220">
        <f t="shared" si="2134"/>
        <v>0</v>
      </c>
      <c r="BT664" s="224">
        <f>VLOOKUP(N664,ma_dinhmuc!$A$1:$J$31,10,0)</f>
        <v>51000</v>
      </c>
      <c r="BU664" s="224">
        <f>ROUND(IF(BS664&gt;0,VLOOKUP(N664,ma_dinhmuc!$A$1:$J$31,10,0)*BS664,0),0)</f>
        <v>0</v>
      </c>
      <c r="BV664" s="224">
        <f>ROUND(BU664+BR664,0)</f>
        <v>0</v>
      </c>
      <c r="BW664" s="224"/>
      <c r="BX664" s="224">
        <v>0</v>
      </c>
      <c r="BY664" s="224"/>
      <c r="BZ664" s="224"/>
      <c r="CA664" s="224"/>
      <c r="CB664" s="224"/>
      <c r="CC664" s="225">
        <f>ROUND(IF(BV664+BW664&gt;BX664+BY664+BZ664+CA664+CB664,(BW664+BV664)-(BX664+BY664+BZ664+CA664+CB664+CB664),0),0)</f>
        <v>0</v>
      </c>
      <c r="CD664" s="224">
        <f>ROUND(IF(BV664+BW664&lt;BX664+BY664+BZ664+CA664-CB664,(BX664+BY664+BZ664+CA664-CB664)-(BW664+BV664),0),0)</f>
        <v>0</v>
      </c>
      <c r="CE664" s="224"/>
      <c r="CF664" s="226"/>
      <c r="CG664" s="87"/>
      <c r="CH664" s="87">
        <f>A664</f>
        <v>24</v>
      </c>
      <c r="CI664" s="227" t="str">
        <f t="shared" si="2193"/>
        <v>Phạm Văn</v>
      </c>
      <c r="CJ664" s="227" t="str">
        <f t="shared" si="2193"/>
        <v>Hội</v>
      </c>
      <c r="CK664" s="87">
        <f>H664</f>
        <v>13</v>
      </c>
      <c r="CL664" s="227" t="str">
        <f t="shared" si="2173"/>
        <v>Sinh thái nông nghiệp</v>
      </c>
      <c r="CM664" s="87" t="str">
        <f t="shared" si="2180"/>
        <v>CS2</v>
      </c>
      <c r="CN664" s="87">
        <f>Q664</f>
        <v>270</v>
      </c>
      <c r="CO664" s="87">
        <f>R664</f>
        <v>120</v>
      </c>
      <c r="CP664" s="229">
        <f t="shared" si="2142"/>
        <v>0</v>
      </c>
      <c r="CQ664" s="229">
        <f t="shared" si="2143"/>
        <v>6.8</v>
      </c>
      <c r="CR664" s="229">
        <f t="shared" si="2144"/>
        <v>2.7</v>
      </c>
      <c r="CS664" s="229">
        <f t="shared" si="2145"/>
        <v>0</v>
      </c>
      <c r="CT664" s="229">
        <f t="shared" si="2146"/>
        <v>0</v>
      </c>
      <c r="CU664" s="229">
        <f t="shared" si="2147"/>
        <v>60</v>
      </c>
      <c r="CV664" s="229">
        <f t="shared" si="2148"/>
        <v>0</v>
      </c>
      <c r="CW664" s="229">
        <f t="shared" si="2149"/>
        <v>30</v>
      </c>
      <c r="CX664" s="229">
        <f t="shared" si="2150"/>
        <v>0</v>
      </c>
      <c r="CY664" s="229">
        <f t="shared" si="2151"/>
        <v>0</v>
      </c>
      <c r="CZ664" s="229">
        <f t="shared" si="2152"/>
        <v>0</v>
      </c>
      <c r="DA664" s="229">
        <f t="shared" si="2153"/>
        <v>0</v>
      </c>
      <c r="DB664" s="228">
        <f t="shared" si="2045"/>
        <v>99.5</v>
      </c>
      <c r="DC664" s="229"/>
      <c r="DD664" s="229"/>
      <c r="DE664" s="229"/>
      <c r="DF664" s="229"/>
      <c r="DG664" s="229"/>
      <c r="DH664" s="229"/>
      <c r="DI664" s="229"/>
      <c r="DJ664" s="229"/>
      <c r="DK664" s="229"/>
      <c r="DL664" s="229"/>
      <c r="DM664" s="229"/>
      <c r="DN664" s="229"/>
      <c r="DO664" s="228">
        <f t="shared" si="2046"/>
        <v>0</v>
      </c>
      <c r="DP664" s="228">
        <f t="shared" si="2047"/>
        <v>99.5</v>
      </c>
      <c r="DQ664" s="229">
        <f t="shared" si="2154"/>
        <v>81</v>
      </c>
      <c r="DR664" s="229">
        <f t="shared" si="2155"/>
        <v>2.6</v>
      </c>
      <c r="DS664" s="229">
        <f t="shared" si="2156"/>
        <v>0</v>
      </c>
      <c r="DT664" s="229">
        <f t="shared" si="2157"/>
        <v>1.1000000000000001</v>
      </c>
      <c r="DU664" s="229">
        <f t="shared" si="2158"/>
        <v>0</v>
      </c>
      <c r="DV664" s="229">
        <f t="shared" si="2159"/>
        <v>0</v>
      </c>
      <c r="DW664" s="229">
        <f t="shared" si="2160"/>
        <v>0</v>
      </c>
      <c r="DX664" s="228">
        <f t="shared" si="2048"/>
        <v>84.699999999999989</v>
      </c>
      <c r="DY664" s="229"/>
      <c r="DZ664" s="229"/>
      <c r="EA664" s="229"/>
      <c r="EB664" s="229"/>
      <c r="EC664" s="229"/>
      <c r="ED664" s="229"/>
      <c r="EE664" s="229"/>
      <c r="EF664" s="228">
        <f t="shared" si="2138"/>
        <v>0</v>
      </c>
      <c r="EG664" s="228">
        <f t="shared" si="2049"/>
        <v>84.699999999999989</v>
      </c>
      <c r="EH664" s="229">
        <f t="shared" si="2139"/>
        <v>252.5</v>
      </c>
      <c r="EI664" s="229">
        <v>82</v>
      </c>
      <c r="EJ664" s="228">
        <f>SUM(EH664:EI664)</f>
        <v>334.5</v>
      </c>
      <c r="EK664" s="229"/>
      <c r="EL664" s="229"/>
      <c r="EM664" s="228">
        <f t="shared" si="2104"/>
        <v>0</v>
      </c>
      <c r="EN664" s="229">
        <f t="shared" si="2086"/>
        <v>252.5</v>
      </c>
      <c r="EO664" s="229">
        <f>EI664</f>
        <v>82</v>
      </c>
      <c r="EP664" s="228">
        <f>EM664+EJ664</f>
        <v>334.5</v>
      </c>
      <c r="EQ664" s="173">
        <f t="shared" si="2135"/>
        <v>132.5</v>
      </c>
      <c r="ER664" s="189">
        <v>0</v>
      </c>
      <c r="ES664" s="189">
        <v>6.8</v>
      </c>
      <c r="ET664" s="189">
        <v>2.7</v>
      </c>
      <c r="EU664" s="189">
        <v>0</v>
      </c>
      <c r="EV664" s="189">
        <v>0</v>
      </c>
      <c r="EW664" s="189">
        <v>60</v>
      </c>
      <c r="EX664" s="189">
        <v>0</v>
      </c>
      <c r="EY664" s="189">
        <v>30</v>
      </c>
      <c r="EZ664" s="189">
        <v>0</v>
      </c>
      <c r="FA664" s="189">
        <v>0</v>
      </c>
      <c r="FB664" s="189">
        <v>0</v>
      </c>
      <c r="FC664" s="189">
        <v>0</v>
      </c>
      <c r="FD664" s="189">
        <v>81</v>
      </c>
      <c r="FE664" s="189">
        <v>2.6</v>
      </c>
      <c r="FF664" s="189">
        <v>0</v>
      </c>
      <c r="FG664" s="189">
        <v>1.1000000000000001</v>
      </c>
      <c r="FH664" s="189">
        <v>0</v>
      </c>
      <c r="FI664" s="189">
        <v>0</v>
      </c>
      <c r="FJ664" s="189">
        <v>0</v>
      </c>
      <c r="FK664" s="189">
        <v>184.2</v>
      </c>
      <c r="FL664" s="189">
        <v>94</v>
      </c>
      <c r="FN664" s="132">
        <v>252.5</v>
      </c>
    </row>
    <row r="665" spans="1:170" ht="30" customHeight="1">
      <c r="A665" s="88">
        <f>COUNTIF($H$12:H665,H665)</f>
        <v>25</v>
      </c>
      <c r="B665" s="88" t="s">
        <v>2166</v>
      </c>
      <c r="C665" s="88" t="s">
        <v>1524</v>
      </c>
      <c r="D665" s="88"/>
      <c r="E665" s="88"/>
      <c r="F665" s="301" t="s">
        <v>2012</v>
      </c>
      <c r="G665" s="303" t="s">
        <v>1773</v>
      </c>
      <c r="H665" s="88">
        <v>13</v>
      </c>
      <c r="I665" s="88">
        <v>13</v>
      </c>
      <c r="J665" s="88">
        <v>13</v>
      </c>
      <c r="K665" s="90" t="s">
        <v>2443</v>
      </c>
      <c r="L665" s="90" t="s">
        <v>2443</v>
      </c>
      <c r="M665" s="214"/>
      <c r="N665" s="88" t="s">
        <v>1804</v>
      </c>
      <c r="O665" s="216">
        <f t="shared" si="2131"/>
        <v>3</v>
      </c>
      <c r="P665" s="88" t="str">
        <f t="shared" si="2140"/>
        <v>B1_3</v>
      </c>
      <c r="Q665" s="88">
        <f t="shared" si="2136"/>
        <v>270</v>
      </c>
      <c r="R665" s="88">
        <f t="shared" si="2137"/>
        <v>100</v>
      </c>
      <c r="S665" s="218" t="s">
        <v>2872</v>
      </c>
      <c r="T665" s="88" t="s">
        <v>3091</v>
      </c>
      <c r="U665" s="88">
        <f>IF(RIGHT(T665,1)="K",(VLOOKUP(T665,ma_miengiam!$A$3:$B$80,2,0)*100)/2,VLOOKUP(T665,ma_miengiam!$A$3:$B$80,2,0)*100)</f>
        <v>20</v>
      </c>
      <c r="V665" s="88"/>
      <c r="W665" s="220">
        <f>IF(AND(T665="NTS",V665&gt;0),(Q665-(Q665*V665)/12)*VLOOKUP(T665,ma_miengiam!$A$3:$B$80,2,0)+(Q665-(Q665*(12-V665))/12),IF(AND(RIGHT(T665,1)="K",V665&gt;0),(VLOOKUP(T665,ma_miengiam!$A$3:$B$80,2,0)/2)*(Q665*V665)/12,IF(RIGHT(T665,1)="K",(VLOOKUP(T665,ma_miengiam!$A$3:$B$80,2,0)*Q665)/2,IF(V665&gt;0,VLOOKUP(T665,ma_miengiam!$A$3:$B$80,2,0)*Q665*V665/12,VLOOKUP(T665,ma_miengiam!$A$3:$B$80,2,0)*Q665))))</f>
        <v>54</v>
      </c>
      <c r="X665" s="220">
        <f>IF(T665="NTS",VLOOKUP(T665,ma_miengiam!$A$3:$B$80,2,0)*R665*V665,IF(AND(T665="NTS",V665=0),0,IF(AND(LEFT(T665,1)="K",V665=0),VLOOKUP(T665,ma_miengiam!$A$3:$B$80,2,0)*R665,IF(LEFT(T665,1)="K",(VLOOKUP(T665,ma_miengiam!$A$3:$B$80,2,0)*R665/12)*V665,IF(AND(LEFT(T665,1)="S",V665&gt;0),(R665/12)*V665,IF(AND(LEFT(T665,1)="S",V665=0),R665,IF(T665="DH",VLOOKUP(T665,ma_miengiam!$A$3:$B$80,2,0)*R665,0)))))))</f>
        <v>0</v>
      </c>
      <c r="Y665" s="220">
        <f t="shared" si="2161"/>
        <v>216</v>
      </c>
      <c r="Z665" s="220">
        <f t="shared" si="2065"/>
        <v>100</v>
      </c>
      <c r="AA665" s="220">
        <f t="shared" ref="AA665:AB668" si="2200">Q665</f>
        <v>270</v>
      </c>
      <c r="AB665" s="220">
        <f t="shared" si="2200"/>
        <v>100</v>
      </c>
      <c r="AC665" s="220">
        <f t="shared" ref="AC665:AF666" si="2201">W665</f>
        <v>54</v>
      </c>
      <c r="AD665" s="220">
        <f t="shared" si="2201"/>
        <v>0</v>
      </c>
      <c r="AE665" s="220">
        <f t="shared" si="2201"/>
        <v>216</v>
      </c>
      <c r="AF665" s="220">
        <f t="shared" si="2201"/>
        <v>100</v>
      </c>
      <c r="AG665" s="220">
        <f t="shared" si="2194"/>
        <v>149.33000000000001</v>
      </c>
      <c r="AH665" s="220">
        <f t="shared" si="2195"/>
        <v>21</v>
      </c>
      <c r="AI665" s="220">
        <f t="shared" si="2196"/>
        <v>128.33000000000001</v>
      </c>
      <c r="AJ665" s="220">
        <f t="shared" si="2101"/>
        <v>0</v>
      </c>
      <c r="AK665" s="216">
        <f t="shared" si="2051"/>
        <v>216</v>
      </c>
      <c r="AL665" s="220">
        <f t="shared" si="2024"/>
        <v>109.5</v>
      </c>
      <c r="AM665" s="220">
        <f t="shared" si="2025"/>
        <v>0</v>
      </c>
      <c r="AN665" s="221">
        <f t="shared" si="2026"/>
        <v>109.5</v>
      </c>
      <c r="AO665" s="220">
        <f t="shared" si="2027"/>
        <v>0</v>
      </c>
      <c r="AP665" s="220">
        <f t="shared" si="2028"/>
        <v>0</v>
      </c>
      <c r="AQ665" s="220">
        <f t="shared" si="2029"/>
        <v>20</v>
      </c>
      <c r="AR665" s="220">
        <f t="shared" si="2030"/>
        <v>0</v>
      </c>
      <c r="AS665" s="220">
        <f t="shared" si="2031"/>
        <v>0</v>
      </c>
      <c r="AT665" s="216">
        <f t="shared" si="2032"/>
        <v>129.5</v>
      </c>
      <c r="AU665" s="222">
        <f t="shared" si="2122"/>
        <v>-106.5</v>
      </c>
      <c r="AV665" s="220"/>
      <c r="AW665" s="220">
        <f t="shared" si="2174"/>
        <v>-106.5</v>
      </c>
      <c r="AX665" s="216">
        <f t="shared" si="2020"/>
        <v>-106.5</v>
      </c>
      <c r="AY665" s="220">
        <f t="shared" si="2182"/>
        <v>0</v>
      </c>
      <c r="AZ665" s="220">
        <f t="shared" si="2183"/>
        <v>0</v>
      </c>
      <c r="BA665" s="220">
        <f t="shared" si="2184"/>
        <v>0</v>
      </c>
      <c r="BB665" s="220">
        <f t="shared" si="2185"/>
        <v>0</v>
      </c>
      <c r="BC665" s="220">
        <f t="shared" si="2186"/>
        <v>0</v>
      </c>
      <c r="BD665" s="216">
        <f t="shared" si="2197"/>
        <v>0</v>
      </c>
      <c r="BE665" s="220">
        <f t="shared" si="2175"/>
        <v>0</v>
      </c>
      <c r="BF665" s="220">
        <f t="shared" si="2176"/>
        <v>0</v>
      </c>
      <c r="BG665" s="220">
        <f t="shared" si="2177"/>
        <v>-20</v>
      </c>
      <c r="BH665" s="220">
        <f t="shared" si="2178"/>
        <v>0</v>
      </c>
      <c r="BI665" s="220">
        <f t="shared" si="2179"/>
        <v>0</v>
      </c>
      <c r="BJ665" s="220" t="s">
        <v>1807</v>
      </c>
      <c r="BK665" s="220"/>
      <c r="BL665" s="223">
        <f t="shared" si="2005"/>
        <v>0</v>
      </c>
      <c r="BM665" s="220">
        <v>3</v>
      </c>
      <c r="BN665" s="220"/>
      <c r="BO665" s="220">
        <f t="shared" si="2164"/>
        <v>3</v>
      </c>
      <c r="BP665" s="220">
        <f>IF(AND(BL665&gt;0,BL665&lt;tiet!$D$1),BL665,IF(BL665&lt;=0,0,IF(BL665&gt;tiet!$C$1,tiet!$C$1)))</f>
        <v>0</v>
      </c>
      <c r="BQ665" s="87">
        <f t="shared" si="2102"/>
        <v>60000</v>
      </c>
      <c r="BR665" s="224">
        <f t="shared" si="2099"/>
        <v>0</v>
      </c>
      <c r="BS665" s="220">
        <f t="shared" si="2134"/>
        <v>0</v>
      </c>
      <c r="BT665" s="224">
        <f>VLOOKUP(N665,ma_dinhmuc!$A$1:$J$31,10,0)</f>
        <v>51000</v>
      </c>
      <c r="BU665" s="224">
        <f>ROUND(IF(BS665&gt;0,VLOOKUP(N665,ma_dinhmuc!$A$1:$J$31,10,0)*BS665,0),0)</f>
        <v>0</v>
      </c>
      <c r="BV665" s="224">
        <f t="shared" si="2100"/>
        <v>0</v>
      </c>
      <c r="BW665" s="224"/>
      <c r="BX665" s="224">
        <v>0</v>
      </c>
      <c r="BY665" s="224"/>
      <c r="BZ665" s="224"/>
      <c r="CA665" s="224"/>
      <c r="CB665" s="224"/>
      <c r="CC665" s="225">
        <f t="shared" si="2112"/>
        <v>0</v>
      </c>
      <c r="CD665" s="224">
        <f t="shared" si="2113"/>
        <v>0</v>
      </c>
      <c r="CE665" s="224"/>
      <c r="CF665" s="226"/>
      <c r="CG665" s="87"/>
      <c r="CH665" s="87">
        <f t="shared" si="2198"/>
        <v>25</v>
      </c>
      <c r="CI665" s="227" t="str">
        <f t="shared" si="2187"/>
        <v>Nguyễn Tuyết</v>
      </c>
      <c r="CJ665" s="227" t="str">
        <f t="shared" si="2188"/>
        <v>Lan</v>
      </c>
      <c r="CK665" s="87">
        <f t="shared" si="2189"/>
        <v>13</v>
      </c>
      <c r="CL665" s="227" t="str">
        <f t="shared" si="2173"/>
        <v>Sinh thái nông nghiệp</v>
      </c>
      <c r="CM665" s="87" t="str">
        <f t="shared" si="2180"/>
        <v>CS2</v>
      </c>
      <c r="CN665" s="87">
        <f t="shared" si="2199"/>
        <v>270</v>
      </c>
      <c r="CO665" s="87">
        <f t="shared" si="2199"/>
        <v>100</v>
      </c>
      <c r="CP665" s="229">
        <f t="shared" si="2142"/>
        <v>0</v>
      </c>
      <c r="CQ665" s="229">
        <f t="shared" si="2143"/>
        <v>13.9</v>
      </c>
      <c r="CR665" s="229">
        <f t="shared" si="2144"/>
        <v>5.6</v>
      </c>
      <c r="CS665" s="229">
        <f t="shared" si="2145"/>
        <v>0</v>
      </c>
      <c r="CT665" s="229">
        <f t="shared" si="2146"/>
        <v>0</v>
      </c>
      <c r="CU665" s="229">
        <f t="shared" si="2147"/>
        <v>90</v>
      </c>
      <c r="CV665" s="229">
        <f t="shared" si="2148"/>
        <v>0</v>
      </c>
      <c r="CW665" s="229">
        <f t="shared" si="2149"/>
        <v>0</v>
      </c>
      <c r="CX665" s="229">
        <f t="shared" si="2150"/>
        <v>0</v>
      </c>
      <c r="CY665" s="229">
        <f t="shared" si="2151"/>
        <v>0</v>
      </c>
      <c r="CZ665" s="229">
        <f t="shared" si="2152"/>
        <v>0</v>
      </c>
      <c r="DA665" s="229">
        <f t="shared" si="2153"/>
        <v>20</v>
      </c>
      <c r="DB665" s="228">
        <f t="shared" si="2045"/>
        <v>129.5</v>
      </c>
      <c r="DC665" s="229"/>
      <c r="DD665" s="229"/>
      <c r="DE665" s="229"/>
      <c r="DF665" s="229"/>
      <c r="DG665" s="229"/>
      <c r="DH665" s="229"/>
      <c r="DI665" s="229"/>
      <c r="DJ665" s="229"/>
      <c r="DK665" s="229"/>
      <c r="DL665" s="229"/>
      <c r="DM665" s="229"/>
      <c r="DN665" s="229"/>
      <c r="DO665" s="228">
        <f t="shared" si="2046"/>
        <v>0</v>
      </c>
      <c r="DP665" s="228">
        <f t="shared" si="2047"/>
        <v>129.5</v>
      </c>
      <c r="DQ665" s="229">
        <f t="shared" si="2154"/>
        <v>0</v>
      </c>
      <c r="DR665" s="229">
        <f t="shared" si="2155"/>
        <v>0</v>
      </c>
      <c r="DS665" s="229">
        <f t="shared" si="2156"/>
        <v>0</v>
      </c>
      <c r="DT665" s="229">
        <f t="shared" si="2157"/>
        <v>0</v>
      </c>
      <c r="DU665" s="229">
        <f t="shared" si="2158"/>
        <v>0</v>
      </c>
      <c r="DV665" s="229">
        <f t="shared" si="2159"/>
        <v>0</v>
      </c>
      <c r="DW665" s="229">
        <f t="shared" si="2160"/>
        <v>0</v>
      </c>
      <c r="DX665" s="228">
        <f t="shared" si="2048"/>
        <v>0</v>
      </c>
      <c r="DY665" s="229"/>
      <c r="DZ665" s="229"/>
      <c r="EA665" s="229"/>
      <c r="EB665" s="229"/>
      <c r="EC665" s="229"/>
      <c r="ED665" s="229"/>
      <c r="EE665" s="229"/>
      <c r="EF665" s="228">
        <f t="shared" si="2138"/>
        <v>0</v>
      </c>
      <c r="EG665" s="228">
        <f t="shared" si="2049"/>
        <v>0</v>
      </c>
      <c r="EH665" s="229">
        <f t="shared" si="2139"/>
        <v>128.33000000000001</v>
      </c>
      <c r="EI665" s="229">
        <v>21</v>
      </c>
      <c r="EJ665" s="228">
        <f t="shared" si="2130"/>
        <v>149.33000000000001</v>
      </c>
      <c r="EK665" s="229"/>
      <c r="EL665" s="229"/>
      <c r="EM665" s="228">
        <f t="shared" ref="EM665:EM686" si="2202">SUM(EK665:EL665)</f>
        <v>0</v>
      </c>
      <c r="EN665" s="229">
        <f t="shared" si="2086"/>
        <v>128.33000000000001</v>
      </c>
      <c r="EO665" s="229">
        <f t="shared" si="2123"/>
        <v>21</v>
      </c>
      <c r="EP665" s="228">
        <f t="shared" si="2118"/>
        <v>149.33000000000001</v>
      </c>
      <c r="EQ665" s="173">
        <f t="shared" si="2135"/>
        <v>28.330000000000013</v>
      </c>
      <c r="ER665" s="189">
        <v>0</v>
      </c>
      <c r="ES665" s="189">
        <v>13.9</v>
      </c>
      <c r="ET665" s="189">
        <v>5.6</v>
      </c>
      <c r="EU665" s="189">
        <v>0</v>
      </c>
      <c r="EV665" s="189">
        <v>0</v>
      </c>
      <c r="EW665" s="189">
        <v>90</v>
      </c>
      <c r="EX665" s="189">
        <v>0</v>
      </c>
      <c r="EY665" s="189">
        <v>0</v>
      </c>
      <c r="EZ665" s="189">
        <v>0</v>
      </c>
      <c r="FA665" s="189">
        <v>0</v>
      </c>
      <c r="FB665" s="189">
        <v>0</v>
      </c>
      <c r="FC665" s="189">
        <v>20</v>
      </c>
      <c r="FD665" s="189">
        <v>0</v>
      </c>
      <c r="FE665" s="189">
        <v>0</v>
      </c>
      <c r="FF665" s="189">
        <v>0</v>
      </c>
      <c r="FG665" s="189">
        <v>0</v>
      </c>
      <c r="FH665" s="189">
        <v>0</v>
      </c>
      <c r="FI665" s="189">
        <v>0</v>
      </c>
      <c r="FJ665" s="189">
        <v>0</v>
      </c>
      <c r="FK665" s="189">
        <v>129.5</v>
      </c>
      <c r="FL665" s="189">
        <v>116</v>
      </c>
      <c r="FN665" s="132">
        <v>128.33000000000001</v>
      </c>
    </row>
    <row r="666" spans="1:170" ht="30" customHeight="1">
      <c r="A666" s="88">
        <f>COUNTIF($H$12:H666,H666)</f>
        <v>26</v>
      </c>
      <c r="B666" s="88" t="s">
        <v>2167</v>
      </c>
      <c r="C666" s="88" t="s">
        <v>1525</v>
      </c>
      <c r="D666" s="88"/>
      <c r="E666" s="88"/>
      <c r="F666" s="301" t="s">
        <v>20</v>
      </c>
      <c r="G666" s="303" t="s">
        <v>3009</v>
      </c>
      <c r="H666" s="88">
        <v>13</v>
      </c>
      <c r="I666" s="88">
        <v>13</v>
      </c>
      <c r="J666" s="88">
        <v>13</v>
      </c>
      <c r="K666" s="90" t="s">
        <v>2443</v>
      </c>
      <c r="L666" s="90" t="s">
        <v>2443</v>
      </c>
      <c r="M666" s="214"/>
      <c r="N666" s="88" t="s">
        <v>1804</v>
      </c>
      <c r="O666" s="216">
        <f t="shared" si="2131"/>
        <v>4.9800000000000004</v>
      </c>
      <c r="P666" s="88" t="str">
        <f t="shared" si="2140"/>
        <v>B1_5</v>
      </c>
      <c r="Q666" s="88">
        <f t="shared" si="2136"/>
        <v>270</v>
      </c>
      <c r="R666" s="88">
        <f t="shared" si="2137"/>
        <v>150</v>
      </c>
      <c r="S666" s="232" t="s">
        <v>812</v>
      </c>
      <c r="T666" s="88" t="s">
        <v>1753</v>
      </c>
      <c r="U666" s="88">
        <f>IF(RIGHT(T666,1)="K",(VLOOKUP(T666,ma_miengiam!$A$3:$B$80,2,0)*100)/2,VLOOKUP(T666,ma_miengiam!$A$3:$B$80,2,0)*100)</f>
        <v>70</v>
      </c>
      <c r="V666" s="88"/>
      <c r="W666" s="220">
        <f>IF(AND(T666="NTS",V666&gt;0),(Q666-(Q666*V666)/12)*VLOOKUP(T666,ma_miengiam!$A$3:$B$80,2,0)+(Q666-(Q666*(12-V666))/12),IF(AND(RIGHT(T666,1)="K",V666&gt;0),(VLOOKUP(T666,ma_miengiam!$A$3:$B$80,2,0)/2)*(Q666*V666)/12,IF(RIGHT(T666,1)="K",(VLOOKUP(T666,ma_miengiam!$A$3:$B$80,2,0)*Q666)/2,IF(V666&gt;0,VLOOKUP(T666,ma_miengiam!$A$3:$B$80,2,0)*Q666*V666/12,VLOOKUP(T666,ma_miengiam!$A$3:$B$80,2,0)*Q666))))</f>
        <v>189</v>
      </c>
      <c r="X666" s="220">
        <f>IF(T666="NTS",VLOOKUP(T666,ma_miengiam!$A$3:$B$80,2,0)*R666*V666,IF(AND(T666="NTS",V666=0),0,IF(AND(LEFT(T666,1)="K",V666=0),VLOOKUP(T666,ma_miengiam!$A$3:$B$80,2,0)*R666,IF(LEFT(T666,1)="K",(VLOOKUP(T666,ma_miengiam!$A$3:$B$80,2,0)*R666/12)*V666,IF(AND(LEFT(T666,1)="S",V666&gt;0),(R666/12)*V666,IF(AND(LEFT(T666,1)="S",V666=0),R666,IF(T666="DH",VLOOKUP(T666,ma_miengiam!$A$3:$B$80,2,0)*R666,0)))))))</f>
        <v>105</v>
      </c>
      <c r="Y666" s="220">
        <f t="shared" si="2161"/>
        <v>81</v>
      </c>
      <c r="Z666" s="220">
        <f t="shared" si="2065"/>
        <v>45</v>
      </c>
      <c r="AA666" s="220">
        <f t="shared" si="2200"/>
        <v>270</v>
      </c>
      <c r="AB666" s="220">
        <f t="shared" si="2200"/>
        <v>150</v>
      </c>
      <c r="AC666" s="220">
        <f t="shared" si="2201"/>
        <v>189</v>
      </c>
      <c r="AD666" s="220">
        <f t="shared" si="2201"/>
        <v>105</v>
      </c>
      <c r="AE666" s="220">
        <f t="shared" si="2201"/>
        <v>81</v>
      </c>
      <c r="AF666" s="220">
        <f t="shared" si="2201"/>
        <v>45</v>
      </c>
      <c r="AG666" s="220">
        <f t="shared" si="2194"/>
        <v>242.96</v>
      </c>
      <c r="AH666" s="220">
        <f t="shared" si="2195"/>
        <v>204.83</v>
      </c>
      <c r="AI666" s="220">
        <f t="shared" si="2196"/>
        <v>38.130000000000003</v>
      </c>
      <c r="AJ666" s="220">
        <f t="shared" si="2101"/>
        <v>0</v>
      </c>
      <c r="AK666" s="216">
        <f t="shared" si="2051"/>
        <v>81</v>
      </c>
      <c r="AL666" s="220">
        <f t="shared" si="2024"/>
        <v>59.8</v>
      </c>
      <c r="AM666" s="220">
        <f t="shared" si="2025"/>
        <v>0</v>
      </c>
      <c r="AN666" s="221">
        <f t="shared" si="2026"/>
        <v>59.8</v>
      </c>
      <c r="AO666" s="220">
        <f t="shared" si="2027"/>
        <v>0</v>
      </c>
      <c r="AP666" s="220">
        <f t="shared" si="2028"/>
        <v>0</v>
      </c>
      <c r="AQ666" s="220">
        <f t="shared" si="2029"/>
        <v>12</v>
      </c>
      <c r="AR666" s="220">
        <f t="shared" si="2030"/>
        <v>40</v>
      </c>
      <c r="AS666" s="220">
        <f t="shared" si="2031"/>
        <v>0</v>
      </c>
      <c r="AT666" s="216">
        <f t="shared" si="2032"/>
        <v>111.8</v>
      </c>
      <c r="AU666" s="222">
        <f t="shared" si="2122"/>
        <v>-21.200000000000003</v>
      </c>
      <c r="AV666" s="220"/>
      <c r="AW666" s="220">
        <f t="shared" si="2174"/>
        <v>-21.200000000000003</v>
      </c>
      <c r="AX666" s="216">
        <f t="shared" si="2020"/>
        <v>-21.200000000000003</v>
      </c>
      <c r="AY666" s="220">
        <f t="shared" si="2182"/>
        <v>0</v>
      </c>
      <c r="AZ666" s="220">
        <f t="shared" si="2183"/>
        <v>0</v>
      </c>
      <c r="BA666" s="220">
        <f t="shared" si="2184"/>
        <v>0</v>
      </c>
      <c r="BB666" s="220">
        <f t="shared" si="2185"/>
        <v>30.799999999999997</v>
      </c>
      <c r="BC666" s="220">
        <f t="shared" si="2186"/>
        <v>0</v>
      </c>
      <c r="BD666" s="216">
        <f t="shared" si="2197"/>
        <v>30.799999999999997</v>
      </c>
      <c r="BE666" s="220">
        <f t="shared" si="2175"/>
        <v>0</v>
      </c>
      <c r="BF666" s="220">
        <f t="shared" si="2176"/>
        <v>0</v>
      </c>
      <c r="BG666" s="220">
        <f t="shared" si="2177"/>
        <v>-12</v>
      </c>
      <c r="BH666" s="220">
        <f t="shared" si="2178"/>
        <v>-9.2000000000000028</v>
      </c>
      <c r="BI666" s="220">
        <f t="shared" si="2179"/>
        <v>0</v>
      </c>
      <c r="BJ666" s="220" t="s">
        <v>1807</v>
      </c>
      <c r="BK666" s="220"/>
      <c r="BL666" s="223">
        <f t="shared" si="2005"/>
        <v>0</v>
      </c>
      <c r="BM666" s="220">
        <v>4.9800000000000004</v>
      </c>
      <c r="BN666" s="220"/>
      <c r="BO666" s="220">
        <f t="shared" si="2164"/>
        <v>4.9800000000000004</v>
      </c>
      <c r="BP666" s="220">
        <f>IF(AND(BL666&gt;0,BL666&lt;tiet!$D$1),BL666,IF(BL666&lt;=0,0,IF(BL666&gt;tiet!$C$1,tiet!$C$1)))</f>
        <v>0</v>
      </c>
      <c r="BQ666" s="87">
        <f t="shared" si="2102"/>
        <v>70000</v>
      </c>
      <c r="BR666" s="224">
        <f t="shared" si="2099"/>
        <v>0</v>
      </c>
      <c r="BS666" s="220">
        <f t="shared" si="2134"/>
        <v>0</v>
      </c>
      <c r="BT666" s="224">
        <f>VLOOKUP(N666,ma_dinhmuc!$A$1:$J$31,10,0)</f>
        <v>51000</v>
      </c>
      <c r="BU666" s="224">
        <f>ROUND(IF(BS666&gt;0,VLOOKUP(N666,ma_dinhmuc!$A$1:$J$31,10,0)*BS666,0),0)</f>
        <v>0</v>
      </c>
      <c r="BV666" s="224">
        <f t="shared" si="2100"/>
        <v>0</v>
      </c>
      <c r="BW666" s="224"/>
      <c r="BX666" s="224">
        <v>0</v>
      </c>
      <c r="BY666" s="224"/>
      <c r="BZ666" s="224"/>
      <c r="CA666" s="224"/>
      <c r="CB666" s="224"/>
      <c r="CC666" s="225">
        <f t="shared" si="2112"/>
        <v>0</v>
      </c>
      <c r="CD666" s="224">
        <f t="shared" si="2113"/>
        <v>0</v>
      </c>
      <c r="CE666" s="224"/>
      <c r="CF666" s="226"/>
      <c r="CG666" s="87"/>
      <c r="CH666" s="87">
        <f t="shared" si="2198"/>
        <v>26</v>
      </c>
      <c r="CI666" s="227" t="str">
        <f t="shared" si="2187"/>
        <v>Nguyễn Đình</v>
      </c>
      <c r="CJ666" s="227" t="str">
        <f t="shared" si="2188"/>
        <v>Thi</v>
      </c>
      <c r="CK666" s="87">
        <f t="shared" si="2189"/>
        <v>13</v>
      </c>
      <c r="CL666" s="227" t="str">
        <f t="shared" si="2173"/>
        <v>Sinh thái nông nghiệp</v>
      </c>
      <c r="CM666" s="87" t="str">
        <f t="shared" si="2180"/>
        <v>CS2</v>
      </c>
      <c r="CN666" s="87">
        <f t="shared" si="2199"/>
        <v>270</v>
      </c>
      <c r="CO666" s="87">
        <f t="shared" si="2199"/>
        <v>150</v>
      </c>
      <c r="CP666" s="229">
        <f t="shared" si="2142"/>
        <v>0</v>
      </c>
      <c r="CQ666" s="229">
        <f t="shared" si="2143"/>
        <v>12.4</v>
      </c>
      <c r="CR666" s="229">
        <f t="shared" si="2144"/>
        <v>5</v>
      </c>
      <c r="CS666" s="229">
        <f t="shared" si="2145"/>
        <v>0</v>
      </c>
      <c r="CT666" s="229">
        <f t="shared" si="2146"/>
        <v>0</v>
      </c>
      <c r="CU666" s="229">
        <f t="shared" si="2147"/>
        <v>42.4</v>
      </c>
      <c r="CV666" s="229">
        <f t="shared" si="2148"/>
        <v>0</v>
      </c>
      <c r="CW666" s="229">
        <f t="shared" si="2149"/>
        <v>0</v>
      </c>
      <c r="CX666" s="229">
        <f t="shared" si="2150"/>
        <v>0</v>
      </c>
      <c r="CY666" s="229">
        <f t="shared" si="2151"/>
        <v>0</v>
      </c>
      <c r="CZ666" s="229">
        <f t="shared" si="2152"/>
        <v>0</v>
      </c>
      <c r="DA666" s="229">
        <f t="shared" si="2153"/>
        <v>12</v>
      </c>
      <c r="DB666" s="228">
        <f t="shared" si="2045"/>
        <v>71.8</v>
      </c>
      <c r="DC666" s="229"/>
      <c r="DD666" s="229"/>
      <c r="DE666" s="229"/>
      <c r="DF666" s="229"/>
      <c r="DG666" s="229"/>
      <c r="DH666" s="229"/>
      <c r="DI666" s="229"/>
      <c r="DJ666" s="229"/>
      <c r="DK666" s="229"/>
      <c r="DL666" s="229"/>
      <c r="DM666" s="229"/>
      <c r="DN666" s="229"/>
      <c r="DO666" s="228">
        <f t="shared" si="2046"/>
        <v>0</v>
      </c>
      <c r="DP666" s="228">
        <f t="shared" si="2047"/>
        <v>71.8</v>
      </c>
      <c r="DQ666" s="229">
        <f t="shared" si="2154"/>
        <v>0</v>
      </c>
      <c r="DR666" s="229">
        <f t="shared" si="2155"/>
        <v>0</v>
      </c>
      <c r="DS666" s="229">
        <f t="shared" si="2156"/>
        <v>0</v>
      </c>
      <c r="DT666" s="229">
        <f t="shared" si="2157"/>
        <v>0</v>
      </c>
      <c r="DU666" s="229">
        <f t="shared" si="2158"/>
        <v>0</v>
      </c>
      <c r="DV666" s="229">
        <f t="shared" si="2159"/>
        <v>40</v>
      </c>
      <c r="DW666" s="229">
        <f t="shared" si="2160"/>
        <v>0</v>
      </c>
      <c r="DX666" s="228">
        <f t="shared" si="2048"/>
        <v>40</v>
      </c>
      <c r="DY666" s="229"/>
      <c r="DZ666" s="229"/>
      <c r="EA666" s="229"/>
      <c r="EB666" s="229"/>
      <c r="EC666" s="229"/>
      <c r="ED666" s="229"/>
      <c r="EE666" s="229"/>
      <c r="EF666" s="228">
        <f t="shared" si="2138"/>
        <v>0</v>
      </c>
      <c r="EG666" s="228">
        <f t="shared" si="2049"/>
        <v>40</v>
      </c>
      <c r="EH666" s="229">
        <f t="shared" si="2139"/>
        <v>38.130000000000003</v>
      </c>
      <c r="EI666" s="229">
        <v>204.83</v>
      </c>
      <c r="EJ666" s="228">
        <f t="shared" si="2130"/>
        <v>242.96</v>
      </c>
      <c r="EK666" s="229"/>
      <c r="EL666" s="229"/>
      <c r="EM666" s="228">
        <f t="shared" si="2202"/>
        <v>0</v>
      </c>
      <c r="EN666" s="229">
        <f t="shared" si="2086"/>
        <v>38.130000000000003</v>
      </c>
      <c r="EO666" s="229">
        <f t="shared" si="2123"/>
        <v>204.83</v>
      </c>
      <c r="EP666" s="228">
        <f t="shared" si="2118"/>
        <v>242.96</v>
      </c>
      <c r="EQ666" s="173">
        <f t="shared" si="2135"/>
        <v>0</v>
      </c>
      <c r="ER666" s="189">
        <v>0</v>
      </c>
      <c r="ES666" s="189">
        <v>12.4</v>
      </c>
      <c r="ET666" s="189">
        <v>5</v>
      </c>
      <c r="EU666" s="189">
        <v>0</v>
      </c>
      <c r="EV666" s="189">
        <v>0</v>
      </c>
      <c r="EW666" s="189">
        <v>42.4</v>
      </c>
      <c r="EX666" s="189">
        <v>0</v>
      </c>
      <c r="EY666" s="189">
        <v>0</v>
      </c>
      <c r="EZ666" s="189">
        <v>0</v>
      </c>
      <c r="FA666" s="189">
        <v>0</v>
      </c>
      <c r="FB666" s="189">
        <v>0</v>
      </c>
      <c r="FC666" s="189">
        <v>12</v>
      </c>
      <c r="FD666" s="189">
        <v>0</v>
      </c>
      <c r="FE666" s="189">
        <v>0</v>
      </c>
      <c r="FF666" s="189">
        <v>0</v>
      </c>
      <c r="FG666" s="189">
        <v>0</v>
      </c>
      <c r="FH666" s="189">
        <v>40</v>
      </c>
      <c r="FI666" s="189">
        <v>0</v>
      </c>
      <c r="FJ666" s="189">
        <v>0</v>
      </c>
      <c r="FK666" s="189">
        <v>111.8</v>
      </c>
      <c r="FL666" s="189">
        <v>84</v>
      </c>
      <c r="FN666" s="132">
        <v>38.130000000000003</v>
      </c>
    </row>
    <row r="667" spans="1:170" ht="26.25" customHeight="1">
      <c r="A667" s="88">
        <f>COUNTIF($H$12:H667,H667)</f>
        <v>27</v>
      </c>
      <c r="B667" s="88" t="s">
        <v>2168</v>
      </c>
      <c r="C667" s="88" t="s">
        <v>1526</v>
      </c>
      <c r="D667" s="88"/>
      <c r="E667" s="88"/>
      <c r="F667" s="301" t="s">
        <v>2013</v>
      </c>
      <c r="G667" s="89" t="s">
        <v>1050</v>
      </c>
      <c r="H667" s="88">
        <v>13</v>
      </c>
      <c r="I667" s="88">
        <v>13</v>
      </c>
      <c r="J667" s="88">
        <v>13</v>
      </c>
      <c r="K667" s="90" t="s">
        <v>2443</v>
      </c>
      <c r="L667" s="90" t="s">
        <v>2443</v>
      </c>
      <c r="M667" s="214"/>
      <c r="N667" s="88" t="s">
        <v>605</v>
      </c>
      <c r="O667" s="216">
        <f t="shared" ref="O667:O673" si="2203">BO667</f>
        <v>6.2</v>
      </c>
      <c r="P667" s="88" t="str">
        <f t="shared" si="2140"/>
        <v>B1_6</v>
      </c>
      <c r="Q667" s="88">
        <f t="shared" si="2136"/>
        <v>270</v>
      </c>
      <c r="R667" s="88">
        <f t="shared" si="2137"/>
        <v>170</v>
      </c>
      <c r="S667" s="218" t="s">
        <v>682</v>
      </c>
      <c r="T667" s="219" t="s">
        <v>3093</v>
      </c>
      <c r="U667" s="88">
        <f>IF(RIGHT(T667,1)="K",(VLOOKUP(T667,ma_miengiam!$A$3:$B$80,2,0)*100)/2,VLOOKUP(T667,ma_miengiam!$A$3:$B$80,2,0)*100)</f>
        <v>30</v>
      </c>
      <c r="V667" s="88"/>
      <c r="W667" s="220">
        <f>IF(AND(T667="NTS",V667&gt;0),(Q667-(Q667*V667)/12)*VLOOKUP(T667,ma_miengiam!$A$3:$B$80,2,0)+(Q667-(Q667*(12-V667))/12),IF(AND(RIGHT(T667,1)="K",V667&gt;0),(VLOOKUP(T667,ma_miengiam!$A$3:$B$80,2,0)/2)*(Q667*V667)/12,IF(RIGHT(T667,1)="K",(VLOOKUP(T667,ma_miengiam!$A$3:$B$80,2,0)*Q667)/2,IF(V667&gt;0,VLOOKUP(T667,ma_miengiam!$A$3:$B$80,2,0)*Q667*V667/12,VLOOKUP(T667,ma_miengiam!$A$3:$B$80,2,0)*Q667))))</f>
        <v>81</v>
      </c>
      <c r="X667" s="220">
        <f>IF(T667="NTS",VLOOKUP(T667,ma_miengiam!$A$3:$B$80,2,0)*R667*V667,IF(AND(T667="NTS",V667=0),0,IF(AND(LEFT(T667,1)="K",V667=0),VLOOKUP(T667,ma_miengiam!$A$3:$B$80,2,0)*R667,IF(LEFT(T667,1)="K",(VLOOKUP(T667,ma_miengiam!$A$3:$B$80,2,0)*R667/12)*V667,IF(AND(LEFT(T667,1)="S",V667&gt;0),(R667/12)*V667,IF(AND(LEFT(T667,1)="S",V667=0),R667,IF(T667="DH",VLOOKUP(T667,ma_miengiam!$A$3:$B$80,2,0)*R667,0)))))))</f>
        <v>0</v>
      </c>
      <c r="Y667" s="220">
        <f t="shared" si="2161"/>
        <v>189</v>
      </c>
      <c r="Z667" s="220">
        <f>IF(AND(T667="SĐH",V667&gt;0),(R667/12)*V667-X667,IF(AND(T667="DH",V667&gt;0),(R667*V667/12),IF(AND(T667&lt;&gt;"NTS",V667&gt;0),(R667*V667/12)-X667,IF(AND(T667="NTS",V667&gt;0),R667-X667,R667-X667))))</f>
        <v>170</v>
      </c>
      <c r="AA667" s="220">
        <f t="shared" si="2200"/>
        <v>270</v>
      </c>
      <c r="AB667" s="220">
        <f t="shared" si="2200"/>
        <v>170</v>
      </c>
      <c r="AC667" s="220">
        <f t="shared" ref="AC667:AF668" si="2204">W667</f>
        <v>81</v>
      </c>
      <c r="AD667" s="220">
        <f t="shared" si="2204"/>
        <v>0</v>
      </c>
      <c r="AE667" s="220">
        <f t="shared" si="2204"/>
        <v>189</v>
      </c>
      <c r="AF667" s="220">
        <f t="shared" si="2204"/>
        <v>170</v>
      </c>
      <c r="AG667" s="220">
        <f>AH667+AI667</f>
        <v>123.14</v>
      </c>
      <c r="AH667" s="220">
        <f>EO667</f>
        <v>113.14</v>
      </c>
      <c r="AI667" s="220">
        <f>EN667</f>
        <v>10</v>
      </c>
      <c r="AJ667" s="220">
        <f>IF(AG667-Z667&gt;0,0,AG667-Z667)</f>
        <v>-46.86</v>
      </c>
      <c r="AK667" s="216">
        <f t="shared" si="2051"/>
        <v>235.86</v>
      </c>
      <c r="AL667" s="220">
        <f t="shared" si="2024"/>
        <v>0</v>
      </c>
      <c r="AM667" s="220">
        <f t="shared" si="2025"/>
        <v>56.2</v>
      </c>
      <c r="AN667" s="221">
        <f t="shared" si="2026"/>
        <v>56.2</v>
      </c>
      <c r="AO667" s="220">
        <f t="shared" si="2027"/>
        <v>0</v>
      </c>
      <c r="AP667" s="220">
        <f t="shared" si="2028"/>
        <v>0</v>
      </c>
      <c r="AQ667" s="220">
        <f t="shared" si="2029"/>
        <v>40</v>
      </c>
      <c r="AR667" s="220">
        <f t="shared" si="2030"/>
        <v>148</v>
      </c>
      <c r="AS667" s="220">
        <f t="shared" si="2031"/>
        <v>50</v>
      </c>
      <c r="AT667" s="216">
        <f t="shared" si="2032"/>
        <v>294.2</v>
      </c>
      <c r="AU667" s="222">
        <f t="shared" si="2122"/>
        <v>-179.66000000000003</v>
      </c>
      <c r="AV667" s="220"/>
      <c r="AW667" s="220">
        <f t="shared" si="2174"/>
        <v>-179.66000000000003</v>
      </c>
      <c r="AX667" s="216">
        <f t="shared" si="2020"/>
        <v>-179.66000000000003</v>
      </c>
      <c r="AY667" s="220">
        <f t="shared" si="2182"/>
        <v>0</v>
      </c>
      <c r="AZ667" s="220">
        <f t="shared" si="2183"/>
        <v>0</v>
      </c>
      <c r="BA667" s="220">
        <f t="shared" si="2184"/>
        <v>0</v>
      </c>
      <c r="BB667" s="220">
        <f t="shared" si="2185"/>
        <v>8.339999999999975</v>
      </c>
      <c r="BC667" s="220">
        <f t="shared" si="2186"/>
        <v>50</v>
      </c>
      <c r="BD667" s="216">
        <f t="shared" si="2197"/>
        <v>58.339999999999975</v>
      </c>
      <c r="BE667" s="220">
        <f t="shared" si="2175"/>
        <v>0</v>
      </c>
      <c r="BF667" s="220">
        <f t="shared" si="2176"/>
        <v>0</v>
      </c>
      <c r="BG667" s="220">
        <f t="shared" si="2177"/>
        <v>-40</v>
      </c>
      <c r="BH667" s="220">
        <f t="shared" si="2178"/>
        <v>-139.66000000000003</v>
      </c>
      <c r="BI667" s="220">
        <f t="shared" si="2179"/>
        <v>0</v>
      </c>
      <c r="BJ667" s="220" t="s">
        <v>1807</v>
      </c>
      <c r="BK667" s="220"/>
      <c r="BL667" s="223">
        <f t="shared" si="2005"/>
        <v>0</v>
      </c>
      <c r="BM667" s="220">
        <v>6.2</v>
      </c>
      <c r="BN667" s="220"/>
      <c r="BO667" s="220">
        <f t="shared" ref="BO667:BO673" si="2205">ROUND(BM667+(BM667*BN667),2)</f>
        <v>6.2</v>
      </c>
      <c r="BP667" s="220">
        <f>IF(AND(BL667&gt;0,BL667&lt;tiet!$D$1),BL667,IF(BL667&lt;=0,0,IF(BL667&gt;tiet!$C$1,tiet!$C$1)))</f>
        <v>0</v>
      </c>
      <c r="BQ667" s="87">
        <f>VLOOKUP(P667,ma_dinhmuc_moi,4,0)</f>
        <v>75000</v>
      </c>
      <c r="BR667" s="224">
        <f>ROUND(BQ667*BP667,0)</f>
        <v>0</v>
      </c>
      <c r="BS667" s="220">
        <f t="shared" si="2134"/>
        <v>0</v>
      </c>
      <c r="BT667" s="224">
        <f>VLOOKUP(N667,ma_dinhmuc!$A$1:$J$31,10,0)</f>
        <v>65000</v>
      </c>
      <c r="BU667" s="224">
        <f>ROUND(IF(BS667&gt;0,VLOOKUP(N667,ma_dinhmuc!$A$1:$J$31,10,0)*BS667,0),0)</f>
        <v>0</v>
      </c>
      <c r="BV667" s="224">
        <f>ROUND(BU667+BR667,0)</f>
        <v>0</v>
      </c>
      <c r="BW667" s="224"/>
      <c r="BX667" s="224">
        <v>0</v>
      </c>
      <c r="BY667" s="224"/>
      <c r="BZ667" s="224"/>
      <c r="CA667" s="224"/>
      <c r="CB667" s="224"/>
      <c r="CC667" s="225">
        <f t="shared" si="2112"/>
        <v>0</v>
      </c>
      <c r="CD667" s="224">
        <f t="shared" si="2113"/>
        <v>0</v>
      </c>
      <c r="CE667" s="224"/>
      <c r="CF667" s="226"/>
      <c r="CG667" s="87"/>
      <c r="CH667" s="87">
        <f>A667</f>
        <v>27</v>
      </c>
      <c r="CI667" s="227" t="str">
        <f t="shared" ref="CI667:CK668" si="2206">F667</f>
        <v>Ngô Thế</v>
      </c>
      <c r="CJ667" s="227" t="str">
        <f t="shared" si="2206"/>
        <v>Ân</v>
      </c>
      <c r="CK667" s="87">
        <f t="shared" si="2206"/>
        <v>13</v>
      </c>
      <c r="CL667" s="227" t="str">
        <f t="shared" si="2173"/>
        <v>Sinh thái nông nghiệp</v>
      </c>
      <c r="CM667" s="87" t="str">
        <f t="shared" si="2180"/>
        <v>CS4</v>
      </c>
      <c r="CN667" s="87">
        <f t="shared" ref="CN667:CO669" si="2207">Q667</f>
        <v>270</v>
      </c>
      <c r="CO667" s="87">
        <f t="shared" si="2207"/>
        <v>170</v>
      </c>
      <c r="CP667" s="229">
        <f t="shared" si="2142"/>
        <v>0</v>
      </c>
      <c r="CQ667" s="229">
        <f t="shared" si="2143"/>
        <v>0</v>
      </c>
      <c r="CR667" s="229">
        <f t="shared" si="2144"/>
        <v>0</v>
      </c>
      <c r="CS667" s="229">
        <f t="shared" si="2145"/>
        <v>0</v>
      </c>
      <c r="CT667" s="229">
        <f t="shared" si="2146"/>
        <v>0</v>
      </c>
      <c r="CU667" s="229">
        <f t="shared" si="2147"/>
        <v>0</v>
      </c>
      <c r="CV667" s="229">
        <f t="shared" si="2148"/>
        <v>0</v>
      </c>
      <c r="CW667" s="229">
        <f t="shared" si="2149"/>
        <v>0</v>
      </c>
      <c r="CX667" s="229">
        <f t="shared" si="2150"/>
        <v>0</v>
      </c>
      <c r="CY667" s="229">
        <f t="shared" si="2151"/>
        <v>0</v>
      </c>
      <c r="CZ667" s="229">
        <f t="shared" si="2152"/>
        <v>0</v>
      </c>
      <c r="DA667" s="229">
        <f t="shared" si="2153"/>
        <v>40</v>
      </c>
      <c r="DB667" s="228">
        <f t="shared" si="2045"/>
        <v>40</v>
      </c>
      <c r="DC667" s="229"/>
      <c r="DD667" s="229"/>
      <c r="DE667" s="229"/>
      <c r="DF667" s="229"/>
      <c r="DG667" s="229"/>
      <c r="DH667" s="229"/>
      <c r="DI667" s="229"/>
      <c r="DJ667" s="229"/>
      <c r="DK667" s="229"/>
      <c r="DL667" s="229"/>
      <c r="DM667" s="229"/>
      <c r="DN667" s="229"/>
      <c r="DO667" s="228">
        <f t="shared" si="2046"/>
        <v>0</v>
      </c>
      <c r="DP667" s="228">
        <f t="shared" si="2047"/>
        <v>40</v>
      </c>
      <c r="DQ667" s="229">
        <f t="shared" si="2154"/>
        <v>54</v>
      </c>
      <c r="DR667" s="229">
        <f t="shared" si="2155"/>
        <v>1.5</v>
      </c>
      <c r="DS667" s="229">
        <f t="shared" si="2156"/>
        <v>0</v>
      </c>
      <c r="DT667" s="229">
        <f t="shared" si="2157"/>
        <v>0.7</v>
      </c>
      <c r="DU667" s="229">
        <f t="shared" si="2158"/>
        <v>0</v>
      </c>
      <c r="DV667" s="229">
        <f t="shared" si="2159"/>
        <v>148</v>
      </c>
      <c r="DW667" s="229">
        <f t="shared" si="2160"/>
        <v>50</v>
      </c>
      <c r="DX667" s="228">
        <f t="shared" si="2048"/>
        <v>254.2</v>
      </c>
      <c r="DY667" s="229"/>
      <c r="DZ667" s="229"/>
      <c r="EA667" s="229"/>
      <c r="EB667" s="229"/>
      <c r="EC667" s="229"/>
      <c r="ED667" s="229"/>
      <c r="EE667" s="229"/>
      <c r="EF667" s="228">
        <f t="shared" si="2138"/>
        <v>0</v>
      </c>
      <c r="EG667" s="228">
        <f t="shared" si="2049"/>
        <v>254.2</v>
      </c>
      <c r="EH667" s="229">
        <f t="shared" si="2139"/>
        <v>10</v>
      </c>
      <c r="EI667" s="229">
        <v>113.14</v>
      </c>
      <c r="EJ667" s="228">
        <f t="shared" ref="EJ667:EJ673" si="2208">SUM(EH667:EI667)</f>
        <v>123.14</v>
      </c>
      <c r="EK667" s="229"/>
      <c r="EL667" s="229"/>
      <c r="EM667" s="228">
        <f t="shared" ref="EM667:EM673" si="2209">SUM(EK667:EL667)</f>
        <v>0</v>
      </c>
      <c r="EN667" s="229">
        <f t="shared" si="2086"/>
        <v>10</v>
      </c>
      <c r="EO667" s="229">
        <f t="shared" si="2123"/>
        <v>113.14</v>
      </c>
      <c r="EP667" s="228">
        <f>EM667+EJ667</f>
        <v>123.14</v>
      </c>
      <c r="EQ667" s="173">
        <f t="shared" si="2135"/>
        <v>0</v>
      </c>
      <c r="ER667" s="189">
        <v>0</v>
      </c>
      <c r="ES667" s="189">
        <v>0</v>
      </c>
      <c r="ET667" s="189">
        <v>0</v>
      </c>
      <c r="EU667" s="189">
        <v>0</v>
      </c>
      <c r="EV667" s="189">
        <v>0</v>
      </c>
      <c r="EW667" s="189">
        <v>0</v>
      </c>
      <c r="EX667" s="189">
        <v>0</v>
      </c>
      <c r="EY667" s="189">
        <v>0</v>
      </c>
      <c r="EZ667" s="189">
        <v>0</v>
      </c>
      <c r="FA667" s="189">
        <v>0</v>
      </c>
      <c r="FB667" s="189">
        <v>0</v>
      </c>
      <c r="FC667" s="189">
        <v>40</v>
      </c>
      <c r="FD667" s="189">
        <v>54</v>
      </c>
      <c r="FE667" s="189">
        <v>1.5</v>
      </c>
      <c r="FF667" s="189">
        <v>0</v>
      </c>
      <c r="FG667" s="189">
        <v>0.7</v>
      </c>
      <c r="FH667" s="189">
        <v>148</v>
      </c>
      <c r="FI667" s="189">
        <v>0</v>
      </c>
      <c r="FJ667" s="189">
        <v>50</v>
      </c>
      <c r="FK667" s="189">
        <v>294.2</v>
      </c>
      <c r="FL667" s="189">
        <v>272</v>
      </c>
      <c r="FN667" s="132">
        <v>10</v>
      </c>
    </row>
    <row r="668" spans="1:170" ht="30" customHeight="1">
      <c r="A668" s="88">
        <f>COUNTIF($H$12:H668,H668)</f>
        <v>28</v>
      </c>
      <c r="B668" s="88" t="s">
        <v>2169</v>
      </c>
      <c r="C668" s="88" t="s">
        <v>1527</v>
      </c>
      <c r="D668" s="88"/>
      <c r="E668" s="88"/>
      <c r="F668" s="301" t="s">
        <v>180</v>
      </c>
      <c r="G668" s="89" t="s">
        <v>2896</v>
      </c>
      <c r="H668" s="88">
        <v>13</v>
      </c>
      <c r="I668" s="88">
        <v>13</v>
      </c>
      <c r="J668" s="88">
        <v>13</v>
      </c>
      <c r="K668" s="90" t="s">
        <v>2443</v>
      </c>
      <c r="L668" s="90" t="s">
        <v>2443</v>
      </c>
      <c r="M668" s="214"/>
      <c r="N668" s="88" t="s">
        <v>605</v>
      </c>
      <c r="O668" s="216">
        <f t="shared" si="2203"/>
        <v>7.28</v>
      </c>
      <c r="P668" s="88" t="str">
        <f t="shared" si="2140"/>
        <v>B1_8</v>
      </c>
      <c r="Q668" s="88">
        <f t="shared" si="2136"/>
        <v>270</v>
      </c>
      <c r="R668" s="88">
        <f t="shared" si="2137"/>
        <v>280</v>
      </c>
      <c r="S668" s="218" t="s">
        <v>372</v>
      </c>
      <c r="T668" s="219" t="s">
        <v>371</v>
      </c>
      <c r="U668" s="88">
        <f>IF(RIGHT(T668,1)="K",(VLOOKUP(T668,ma_miengiam!$A$3:$B$80,2,0)*100)/2,VLOOKUP(T668,ma_miengiam!$A$3:$B$80,2,0)*100)</f>
        <v>80</v>
      </c>
      <c r="V668" s="88"/>
      <c r="W668" s="220">
        <f>IF(AND(T668="NTS",V668&gt;0),(Q668-(Q668*V668)/12)*VLOOKUP(T668,ma_miengiam!$A$3:$B$80,2,0)+(Q668-(Q668*(12-V668))/12),IF(AND(RIGHT(T668,1)="K",V668&gt;0),(VLOOKUP(T668,ma_miengiam!$A$3:$B$80,2,0)/2)*(Q668*V668)/12,IF(RIGHT(T668,1)="K",(VLOOKUP(T668,ma_miengiam!$A$3:$B$80,2,0)*Q668)/2,IF(V668&gt;0,VLOOKUP(T668,ma_miengiam!$A$3:$B$80,2,0)*Q668*V668/12,VLOOKUP(T668,ma_miengiam!$A$3:$B$80,2,0)*Q668))))</f>
        <v>216</v>
      </c>
      <c r="X668" s="220">
        <f>IF(T668="NTS",VLOOKUP(T668,ma_miengiam!$A$3:$B$80,2,0)*R668*V668,IF(AND(T668="NTS",V668=0),0,IF(AND(LEFT(T668,1)="K",V668=0),VLOOKUP(T668,ma_miengiam!$A$3:$B$80,2,0)*R668,IF(LEFT(T668,1)="K",(VLOOKUP(T668,ma_miengiam!$A$3:$B$80,2,0)*R668/12)*V668,IF(AND(LEFT(T668,1)="S",V668&gt;0),(R668/12)*V668,IF(AND(LEFT(T668,1)="S",V668=0),R668,IF(T668="DH",VLOOKUP(T668,ma_miengiam!$A$3:$B$80,2,0)*R668,0)))))))</f>
        <v>224</v>
      </c>
      <c r="Y668" s="220">
        <f t="shared" si="2161"/>
        <v>54</v>
      </c>
      <c r="Z668" s="220">
        <f t="shared" si="2065"/>
        <v>56</v>
      </c>
      <c r="AA668" s="220">
        <f t="shared" si="2200"/>
        <v>270</v>
      </c>
      <c r="AB668" s="220">
        <f t="shared" si="2200"/>
        <v>280</v>
      </c>
      <c r="AC668" s="220">
        <f t="shared" si="2204"/>
        <v>216</v>
      </c>
      <c r="AD668" s="220">
        <f t="shared" si="2204"/>
        <v>224</v>
      </c>
      <c r="AE668" s="220">
        <f t="shared" si="2204"/>
        <v>54</v>
      </c>
      <c r="AF668" s="220">
        <f t="shared" si="2204"/>
        <v>56</v>
      </c>
      <c r="AG668" s="220">
        <f t="shared" si="2194"/>
        <v>492.47999999999996</v>
      </c>
      <c r="AH668" s="220">
        <f t="shared" si="2195"/>
        <v>410.34</v>
      </c>
      <c r="AI668" s="220">
        <f t="shared" si="2196"/>
        <v>82.14</v>
      </c>
      <c r="AJ668" s="220">
        <f t="shared" si="2101"/>
        <v>0</v>
      </c>
      <c r="AK668" s="216">
        <f t="shared" si="2051"/>
        <v>54</v>
      </c>
      <c r="AL668" s="220">
        <f t="shared" si="2024"/>
        <v>0</v>
      </c>
      <c r="AM668" s="220">
        <f t="shared" si="2025"/>
        <v>0</v>
      </c>
      <c r="AN668" s="221">
        <f t="shared" si="2026"/>
        <v>0</v>
      </c>
      <c r="AO668" s="220">
        <f t="shared" si="2027"/>
        <v>0</v>
      </c>
      <c r="AP668" s="220">
        <f t="shared" si="2028"/>
        <v>0</v>
      </c>
      <c r="AQ668" s="220">
        <f t="shared" si="2029"/>
        <v>28</v>
      </c>
      <c r="AR668" s="220">
        <f t="shared" si="2030"/>
        <v>0</v>
      </c>
      <c r="AS668" s="220">
        <f t="shared" si="2031"/>
        <v>0</v>
      </c>
      <c r="AT668" s="216">
        <f t="shared" si="2032"/>
        <v>28</v>
      </c>
      <c r="AU668" s="222">
        <f t="shared" si="2122"/>
        <v>-54</v>
      </c>
      <c r="AV668" s="220"/>
      <c r="AW668" s="220">
        <f t="shared" si="2174"/>
        <v>-54</v>
      </c>
      <c r="AX668" s="216">
        <f t="shared" si="2020"/>
        <v>-54</v>
      </c>
      <c r="AY668" s="220">
        <f t="shared" si="2182"/>
        <v>0</v>
      </c>
      <c r="AZ668" s="220">
        <f t="shared" si="2183"/>
        <v>0</v>
      </c>
      <c r="BA668" s="220">
        <f t="shared" si="2184"/>
        <v>0</v>
      </c>
      <c r="BB668" s="220">
        <f t="shared" si="2185"/>
        <v>0</v>
      </c>
      <c r="BC668" s="220">
        <f t="shared" si="2186"/>
        <v>0</v>
      </c>
      <c r="BD668" s="216">
        <f t="shared" si="2197"/>
        <v>0</v>
      </c>
      <c r="BE668" s="220">
        <f t="shared" si="2175"/>
        <v>0</v>
      </c>
      <c r="BF668" s="220">
        <f t="shared" si="2176"/>
        <v>0</v>
      </c>
      <c r="BG668" s="220">
        <f t="shared" si="2177"/>
        <v>-28</v>
      </c>
      <c r="BH668" s="220">
        <f t="shared" si="2178"/>
        <v>0</v>
      </c>
      <c r="BI668" s="220">
        <f t="shared" si="2179"/>
        <v>0</v>
      </c>
      <c r="BJ668" s="220" t="s">
        <v>1807</v>
      </c>
      <c r="BK668" s="220"/>
      <c r="BL668" s="223">
        <f t="shared" ref="BL668:BL726" si="2210">IF(AW668&lt;BK668,0,IF(AND(BK668=0,AW668&gt;0),AW668,IF(AW668&lt;0,0,IF(BK668&gt;0,AW668-BK668,IF(BK668&lt;0,0,AW668)))))</f>
        <v>0</v>
      </c>
      <c r="BM668" s="220">
        <v>7.28</v>
      </c>
      <c r="BN668" s="220"/>
      <c r="BO668" s="220">
        <f t="shared" si="2205"/>
        <v>7.28</v>
      </c>
      <c r="BP668" s="220">
        <f>IF(AND(BL668&gt;0,BL668&lt;tiet!$D$1),BL668,IF(BL668&lt;=0,0,IF(BL668&gt;tiet!$C$1,tiet!$C$1)))</f>
        <v>0</v>
      </c>
      <c r="BQ668" s="87">
        <f t="shared" si="2102"/>
        <v>85000</v>
      </c>
      <c r="BR668" s="224">
        <f t="shared" si="2099"/>
        <v>0</v>
      </c>
      <c r="BS668" s="220">
        <f t="shared" si="2134"/>
        <v>0</v>
      </c>
      <c r="BT668" s="224">
        <f>VLOOKUP(N668,ma_dinhmuc!$A$1:$J$31,10,0)</f>
        <v>65000</v>
      </c>
      <c r="BU668" s="224">
        <f>ROUND(IF(BS668&gt;0,VLOOKUP(N668,ma_dinhmuc!$A$1:$J$31,10,0)*BS668,0),0)</f>
        <v>0</v>
      </c>
      <c r="BV668" s="224">
        <f t="shared" si="2100"/>
        <v>0</v>
      </c>
      <c r="BW668" s="224"/>
      <c r="BX668" s="224">
        <v>0</v>
      </c>
      <c r="BY668" s="224"/>
      <c r="BZ668" s="224"/>
      <c r="CA668" s="224"/>
      <c r="CB668" s="224"/>
      <c r="CC668" s="225">
        <f t="shared" si="2112"/>
        <v>0</v>
      </c>
      <c r="CD668" s="224">
        <f t="shared" si="2113"/>
        <v>0</v>
      </c>
      <c r="CE668" s="224"/>
      <c r="CF668" s="226"/>
      <c r="CG668" s="87"/>
      <c r="CH668" s="87">
        <f t="shared" si="2198"/>
        <v>28</v>
      </c>
      <c r="CI668" s="227" t="str">
        <f t="shared" si="2206"/>
        <v>Trần Đức</v>
      </c>
      <c r="CJ668" s="227" t="str">
        <f t="shared" si="2206"/>
        <v>Viên</v>
      </c>
      <c r="CK668" s="87">
        <f t="shared" si="2206"/>
        <v>13</v>
      </c>
      <c r="CL668" s="227" t="str">
        <f t="shared" si="2173"/>
        <v>Sinh thái nông nghiệp</v>
      </c>
      <c r="CM668" s="87" t="str">
        <f t="shared" si="2180"/>
        <v>CS4</v>
      </c>
      <c r="CN668" s="87">
        <f t="shared" si="2207"/>
        <v>270</v>
      </c>
      <c r="CO668" s="87">
        <f t="shared" si="2207"/>
        <v>280</v>
      </c>
      <c r="CP668" s="229">
        <f t="shared" si="2142"/>
        <v>0</v>
      </c>
      <c r="CQ668" s="229">
        <f t="shared" si="2143"/>
        <v>0</v>
      </c>
      <c r="CR668" s="229">
        <f t="shared" si="2144"/>
        <v>0</v>
      </c>
      <c r="CS668" s="229">
        <f t="shared" si="2145"/>
        <v>0</v>
      </c>
      <c r="CT668" s="229">
        <f t="shared" si="2146"/>
        <v>0</v>
      </c>
      <c r="CU668" s="229">
        <f t="shared" si="2147"/>
        <v>0</v>
      </c>
      <c r="CV668" s="229">
        <f t="shared" si="2148"/>
        <v>0</v>
      </c>
      <c r="CW668" s="229">
        <f t="shared" si="2149"/>
        <v>0</v>
      </c>
      <c r="CX668" s="229">
        <f t="shared" si="2150"/>
        <v>0</v>
      </c>
      <c r="CY668" s="229">
        <f t="shared" si="2151"/>
        <v>0</v>
      </c>
      <c r="CZ668" s="229">
        <f t="shared" si="2152"/>
        <v>0</v>
      </c>
      <c r="DA668" s="229">
        <f t="shared" si="2153"/>
        <v>28</v>
      </c>
      <c r="DB668" s="228">
        <f t="shared" si="2045"/>
        <v>28</v>
      </c>
      <c r="DC668" s="229"/>
      <c r="DD668" s="229"/>
      <c r="DE668" s="229"/>
      <c r="DF668" s="229"/>
      <c r="DG668" s="229"/>
      <c r="DH668" s="229"/>
      <c r="DI668" s="229"/>
      <c r="DJ668" s="229"/>
      <c r="DK668" s="229"/>
      <c r="DL668" s="229"/>
      <c r="DM668" s="229"/>
      <c r="DN668" s="229"/>
      <c r="DO668" s="228">
        <f t="shared" si="2046"/>
        <v>0</v>
      </c>
      <c r="DP668" s="228">
        <f t="shared" si="2047"/>
        <v>28</v>
      </c>
      <c r="DQ668" s="229">
        <f t="shared" si="2154"/>
        <v>0</v>
      </c>
      <c r="DR668" s="229">
        <f t="shared" si="2155"/>
        <v>0</v>
      </c>
      <c r="DS668" s="229">
        <f t="shared" si="2156"/>
        <v>0</v>
      </c>
      <c r="DT668" s="229">
        <f t="shared" si="2157"/>
        <v>0</v>
      </c>
      <c r="DU668" s="229">
        <f t="shared" si="2158"/>
        <v>0</v>
      </c>
      <c r="DV668" s="229">
        <f t="shared" si="2159"/>
        <v>0</v>
      </c>
      <c r="DW668" s="229">
        <f t="shared" si="2160"/>
        <v>0</v>
      </c>
      <c r="DX668" s="228">
        <f t="shared" si="2048"/>
        <v>0</v>
      </c>
      <c r="DY668" s="229"/>
      <c r="DZ668" s="229"/>
      <c r="EA668" s="229"/>
      <c r="EB668" s="229"/>
      <c r="EC668" s="229"/>
      <c r="ED668" s="229"/>
      <c r="EE668" s="229"/>
      <c r="EF668" s="228">
        <f t="shared" si="2138"/>
        <v>0</v>
      </c>
      <c r="EG668" s="228">
        <f t="shared" si="2049"/>
        <v>0</v>
      </c>
      <c r="EH668" s="229">
        <f t="shared" si="2139"/>
        <v>82.14</v>
      </c>
      <c r="EI668" s="229">
        <v>410.34</v>
      </c>
      <c r="EJ668" s="228">
        <f t="shared" si="2208"/>
        <v>492.47999999999996</v>
      </c>
      <c r="EK668" s="229"/>
      <c r="EL668" s="229"/>
      <c r="EM668" s="228">
        <f t="shared" si="2209"/>
        <v>0</v>
      </c>
      <c r="EN668" s="229">
        <f t="shared" si="2086"/>
        <v>82.14</v>
      </c>
      <c r="EO668" s="229">
        <f t="shared" si="2123"/>
        <v>410.34</v>
      </c>
      <c r="EP668" s="228">
        <f t="shared" ref="EP668:EP676" si="2211">EM668+EJ668</f>
        <v>492.47999999999996</v>
      </c>
      <c r="EQ668" s="173">
        <f t="shared" si="2135"/>
        <v>26.14</v>
      </c>
      <c r="ER668" s="189">
        <v>0</v>
      </c>
      <c r="ES668" s="189">
        <v>0</v>
      </c>
      <c r="ET668" s="189">
        <v>0</v>
      </c>
      <c r="EU668" s="189">
        <v>0</v>
      </c>
      <c r="EV668" s="189">
        <v>0</v>
      </c>
      <c r="EW668" s="189">
        <v>0</v>
      </c>
      <c r="EX668" s="189">
        <v>0</v>
      </c>
      <c r="EY668" s="189">
        <v>0</v>
      </c>
      <c r="EZ668" s="189">
        <v>0</v>
      </c>
      <c r="FA668" s="189">
        <v>0</v>
      </c>
      <c r="FB668" s="189">
        <v>0</v>
      </c>
      <c r="FC668" s="189">
        <v>28</v>
      </c>
      <c r="FD668" s="189">
        <v>0</v>
      </c>
      <c r="FE668" s="189">
        <v>0</v>
      </c>
      <c r="FF668" s="189">
        <v>0</v>
      </c>
      <c r="FG668" s="189">
        <v>0</v>
      </c>
      <c r="FH668" s="189">
        <v>0</v>
      </c>
      <c r="FI668" s="189">
        <v>0</v>
      </c>
      <c r="FJ668" s="189">
        <v>0</v>
      </c>
      <c r="FK668" s="189">
        <v>28</v>
      </c>
      <c r="FL668" s="189">
        <v>28</v>
      </c>
      <c r="FN668" s="132">
        <v>82.14</v>
      </c>
    </row>
    <row r="669" spans="1:170" ht="30" customHeight="1">
      <c r="A669" s="88">
        <f>COUNTIF($H$12:H757,H669)</f>
        <v>49</v>
      </c>
      <c r="B669" s="88" t="s">
        <v>310</v>
      </c>
      <c r="C669" s="88" t="s">
        <v>1530</v>
      </c>
      <c r="D669" s="88"/>
      <c r="E669" s="88"/>
      <c r="F669" s="301" t="s">
        <v>2912</v>
      </c>
      <c r="G669" s="89" t="s">
        <v>17</v>
      </c>
      <c r="H669" s="88">
        <v>13</v>
      </c>
      <c r="I669" s="88">
        <v>13</v>
      </c>
      <c r="J669" s="88">
        <v>13</v>
      </c>
      <c r="K669" s="90" t="s">
        <v>2443</v>
      </c>
      <c r="L669" s="90" t="s">
        <v>2443</v>
      </c>
      <c r="M669" s="214"/>
      <c r="N669" s="88" t="s">
        <v>1804</v>
      </c>
      <c r="O669" s="216">
        <f t="shared" si="2203"/>
        <v>3.99</v>
      </c>
      <c r="P669" s="88" t="str">
        <f t="shared" si="2140"/>
        <v>B1_4</v>
      </c>
      <c r="Q669" s="88">
        <f t="shared" si="2136"/>
        <v>270</v>
      </c>
      <c r="R669" s="88">
        <f t="shared" si="2137"/>
        <v>120</v>
      </c>
      <c r="S669" s="233" t="s">
        <v>348</v>
      </c>
      <c r="T669" s="88" t="s">
        <v>3090</v>
      </c>
      <c r="U669" s="88">
        <f>IF(RIGHT(T669,1)="K",(VLOOKUP(T669,ma_miengiam!$A$3:$B$80,2,0)*100)/2,VLOOKUP(T669,ma_miengiam!$A$3:$B$80,2,0)*100)</f>
        <v>15</v>
      </c>
      <c r="V669" s="88"/>
      <c r="W669" s="220">
        <f>IF(AND(T669="NTS",V669&gt;0),(Q669-(Q669*V669)/12)*VLOOKUP(T669,ma_miengiam!$A$3:$B$80,2,0)+(Q669-(Q669*(12-V669))/12),IF(AND(RIGHT(T669,1)="K",V669&gt;0),(VLOOKUP(T669,ma_miengiam!$A$3:$B$80,2,0)/2)*(Q669*V669)/12,IF(RIGHT(T669,1)="K",(VLOOKUP(T669,ma_miengiam!$A$3:$B$80,2,0)*Q669)/2,IF(V669&gt;0,VLOOKUP(T669,ma_miengiam!$A$3:$B$80,2,0)*Q669*V669/12,VLOOKUP(T669,ma_miengiam!$A$3:$B$80,2,0)*Q669))))</f>
        <v>40.5</v>
      </c>
      <c r="X669" s="220">
        <f>IF(T669="NTS",VLOOKUP(T669,ma_miengiam!$A$3:$B$80,2,0)*R669*V669,IF(AND(T669="NTS",V669=0),0,IF(AND(LEFT(T669,1)="K",V669=0),VLOOKUP(T669,ma_miengiam!$A$3:$B$80,2,0)*R669,IF(LEFT(T669,1)="K",(VLOOKUP(T669,ma_miengiam!$A$3:$B$80,2,0)*R669/12)*V669,IF(AND(LEFT(T669,1)="S",V669&gt;0),(R669/12)*V669,IF(AND(LEFT(T669,1)="S",V669=0),R669,IF(T669="DH",VLOOKUP(T669,ma_miengiam!$A$3:$B$80,2,0)*R669,0)))))))</f>
        <v>0</v>
      </c>
      <c r="Y669" s="220">
        <f t="shared" si="2161"/>
        <v>229.5</v>
      </c>
      <c r="Z669" s="220">
        <f t="shared" si="2065"/>
        <v>120</v>
      </c>
      <c r="AA669" s="220">
        <f t="shared" ref="AA669:AB673" si="2212">Q669</f>
        <v>270</v>
      </c>
      <c r="AB669" s="220">
        <f t="shared" si="2212"/>
        <v>120</v>
      </c>
      <c r="AC669" s="220">
        <f t="shared" ref="AC669:AF670" si="2213">W669</f>
        <v>40.5</v>
      </c>
      <c r="AD669" s="220">
        <f t="shared" si="2213"/>
        <v>0</v>
      </c>
      <c r="AE669" s="220">
        <f t="shared" si="2213"/>
        <v>229.5</v>
      </c>
      <c r="AF669" s="220">
        <f t="shared" si="2213"/>
        <v>120</v>
      </c>
      <c r="AG669" s="220">
        <f t="shared" ref="AG669:AG681" si="2214">AH669+AI669</f>
        <v>99.29</v>
      </c>
      <c r="AH669" s="220">
        <f t="shared" ref="AH669:AH681" si="2215">EO669</f>
        <v>0</v>
      </c>
      <c r="AI669" s="220">
        <f t="shared" ref="AI669:AI681" si="2216">EN669</f>
        <v>99.29</v>
      </c>
      <c r="AJ669" s="220">
        <f>IF(AG669-Z669&gt;0,0,AG669-Z669)</f>
        <v>-20.709999999999994</v>
      </c>
      <c r="AK669" s="216">
        <f t="shared" si="2051"/>
        <v>250.20999999999998</v>
      </c>
      <c r="AL669" s="220">
        <f t="shared" si="2024"/>
        <v>75.400000000000006</v>
      </c>
      <c r="AM669" s="220">
        <f t="shared" si="2025"/>
        <v>28.4</v>
      </c>
      <c r="AN669" s="221">
        <f t="shared" si="2026"/>
        <v>103.80000000000001</v>
      </c>
      <c r="AO669" s="220">
        <f t="shared" si="2027"/>
        <v>0</v>
      </c>
      <c r="AP669" s="220">
        <f t="shared" si="2028"/>
        <v>0</v>
      </c>
      <c r="AQ669" s="220">
        <f t="shared" si="2029"/>
        <v>40</v>
      </c>
      <c r="AR669" s="220">
        <f t="shared" si="2030"/>
        <v>40</v>
      </c>
      <c r="AS669" s="220">
        <f t="shared" si="2031"/>
        <v>0</v>
      </c>
      <c r="AT669" s="216">
        <f t="shared" si="2032"/>
        <v>183.8</v>
      </c>
      <c r="AU669" s="222">
        <f t="shared" si="2122"/>
        <v>-146.40999999999997</v>
      </c>
      <c r="AV669" s="220"/>
      <c r="AW669" s="220">
        <f t="shared" si="2174"/>
        <v>-146.40999999999997</v>
      </c>
      <c r="AX669" s="216">
        <f t="shared" si="2020"/>
        <v>-146.40999999999997</v>
      </c>
      <c r="AY669" s="220">
        <f t="shared" si="2182"/>
        <v>0</v>
      </c>
      <c r="AZ669" s="220">
        <f t="shared" si="2183"/>
        <v>0</v>
      </c>
      <c r="BA669" s="220">
        <f t="shared" si="2184"/>
        <v>0</v>
      </c>
      <c r="BB669" s="220">
        <f t="shared" si="2185"/>
        <v>0</v>
      </c>
      <c r="BC669" s="220">
        <f t="shared" si="2186"/>
        <v>0</v>
      </c>
      <c r="BD669" s="216">
        <f t="shared" si="2197"/>
        <v>0</v>
      </c>
      <c r="BE669" s="220">
        <f t="shared" si="2175"/>
        <v>0</v>
      </c>
      <c r="BF669" s="220">
        <f t="shared" si="2176"/>
        <v>0</v>
      </c>
      <c r="BG669" s="220">
        <f t="shared" si="2177"/>
        <v>-40</v>
      </c>
      <c r="BH669" s="220">
        <f t="shared" si="2178"/>
        <v>-40</v>
      </c>
      <c r="BI669" s="220">
        <f t="shared" si="2179"/>
        <v>0</v>
      </c>
      <c r="BJ669" s="220" t="s">
        <v>1807</v>
      </c>
      <c r="BK669" s="220"/>
      <c r="BL669" s="223">
        <f t="shared" si="2210"/>
        <v>0</v>
      </c>
      <c r="BM669" s="220">
        <v>3.99</v>
      </c>
      <c r="BN669" s="220"/>
      <c r="BO669" s="220">
        <f t="shared" si="2205"/>
        <v>3.99</v>
      </c>
      <c r="BP669" s="220">
        <f>IF(AND(BL669&gt;0,BL669&lt;tiet!$D$1),BL669,IF(BL669&lt;=0,0,IF(BL669&gt;tiet!$C$1,tiet!$C$1)))</f>
        <v>0</v>
      </c>
      <c r="BQ669" s="87">
        <f>VLOOKUP(P669,ma_dinhmuc_moi,4,0)</f>
        <v>65000</v>
      </c>
      <c r="BR669" s="224">
        <f>ROUND(BQ669*BP669,0)</f>
        <v>0</v>
      </c>
      <c r="BS669" s="220">
        <f t="shared" si="2134"/>
        <v>0</v>
      </c>
      <c r="BT669" s="224">
        <f>VLOOKUP(N669,ma_dinhmuc!$A$1:$J$31,10,0)</f>
        <v>51000</v>
      </c>
      <c r="BU669" s="224">
        <f>ROUND(IF(BS669&gt;0,VLOOKUP(N669,ma_dinhmuc!$A$1:$J$31,10,0)*BS669,0),0)</f>
        <v>0</v>
      </c>
      <c r="BV669" s="224">
        <f>ROUND(BU669+BR669,0)</f>
        <v>0</v>
      </c>
      <c r="BW669" s="224"/>
      <c r="BX669" s="224">
        <v>0</v>
      </c>
      <c r="BY669" s="224"/>
      <c r="BZ669" s="224"/>
      <c r="CA669" s="224"/>
      <c r="CB669" s="224"/>
      <c r="CC669" s="225">
        <f t="shared" si="2112"/>
        <v>0</v>
      </c>
      <c r="CD669" s="224">
        <f t="shared" si="2113"/>
        <v>0</v>
      </c>
      <c r="CE669" s="224"/>
      <c r="CF669" s="226"/>
      <c r="CG669" s="87"/>
      <c r="CH669" s="87">
        <f t="shared" si="2198"/>
        <v>49</v>
      </c>
      <c r="CI669" s="227" t="str">
        <f t="shared" ref="CI669:CJ673" si="2217">F669</f>
        <v>Nguyễn Thị Thu</v>
      </c>
      <c r="CJ669" s="227" t="str">
        <f t="shared" si="2217"/>
        <v>Hà</v>
      </c>
      <c r="CK669" s="87">
        <f t="shared" ref="CK669:CK678" si="2218">H669</f>
        <v>13</v>
      </c>
      <c r="CL669" s="227" t="str">
        <f t="shared" si="2173"/>
        <v>Sinh thái nông nghiệp</v>
      </c>
      <c r="CM669" s="87" t="str">
        <f t="shared" si="2180"/>
        <v>CS2</v>
      </c>
      <c r="CN669" s="87">
        <f t="shared" si="2207"/>
        <v>270</v>
      </c>
      <c r="CO669" s="87">
        <f t="shared" si="2207"/>
        <v>120</v>
      </c>
      <c r="CP669" s="229">
        <f t="shared" si="2142"/>
        <v>0</v>
      </c>
      <c r="CQ669" s="229">
        <f t="shared" si="2143"/>
        <v>9.8000000000000007</v>
      </c>
      <c r="CR669" s="229">
        <f t="shared" si="2144"/>
        <v>3.9</v>
      </c>
      <c r="CS669" s="229">
        <f t="shared" si="2145"/>
        <v>0</v>
      </c>
      <c r="CT669" s="229">
        <f t="shared" si="2146"/>
        <v>0</v>
      </c>
      <c r="CU669" s="229">
        <f t="shared" si="2147"/>
        <v>16.7</v>
      </c>
      <c r="CV669" s="229">
        <f t="shared" si="2148"/>
        <v>0</v>
      </c>
      <c r="CW669" s="229">
        <f t="shared" si="2149"/>
        <v>45</v>
      </c>
      <c r="CX669" s="229">
        <f t="shared" si="2150"/>
        <v>0</v>
      </c>
      <c r="CY669" s="229">
        <f t="shared" si="2151"/>
        <v>0</v>
      </c>
      <c r="CZ669" s="229">
        <f t="shared" si="2152"/>
        <v>0</v>
      </c>
      <c r="DA669" s="229">
        <f t="shared" si="2153"/>
        <v>40</v>
      </c>
      <c r="DB669" s="228">
        <f t="shared" si="2045"/>
        <v>115.4</v>
      </c>
      <c r="DC669" s="229"/>
      <c r="DD669" s="229"/>
      <c r="DE669" s="229"/>
      <c r="DF669" s="229"/>
      <c r="DG669" s="229"/>
      <c r="DH669" s="229"/>
      <c r="DI669" s="229"/>
      <c r="DJ669" s="229"/>
      <c r="DK669" s="229"/>
      <c r="DL669" s="229"/>
      <c r="DM669" s="229"/>
      <c r="DN669" s="229"/>
      <c r="DO669" s="228">
        <f t="shared" si="2046"/>
        <v>0</v>
      </c>
      <c r="DP669" s="228">
        <f t="shared" si="2047"/>
        <v>115.4</v>
      </c>
      <c r="DQ669" s="229">
        <f t="shared" si="2154"/>
        <v>27</v>
      </c>
      <c r="DR669" s="229">
        <f t="shared" si="2155"/>
        <v>1</v>
      </c>
      <c r="DS669" s="229">
        <f t="shared" si="2156"/>
        <v>0</v>
      </c>
      <c r="DT669" s="229">
        <f t="shared" si="2157"/>
        <v>0.4</v>
      </c>
      <c r="DU669" s="229">
        <f t="shared" si="2158"/>
        <v>0</v>
      </c>
      <c r="DV669" s="229">
        <f t="shared" si="2159"/>
        <v>40</v>
      </c>
      <c r="DW669" s="229">
        <f t="shared" si="2160"/>
        <v>0</v>
      </c>
      <c r="DX669" s="228">
        <f t="shared" si="2048"/>
        <v>68.400000000000006</v>
      </c>
      <c r="DY669" s="229"/>
      <c r="DZ669" s="229"/>
      <c r="EA669" s="229"/>
      <c r="EB669" s="229"/>
      <c r="EC669" s="229"/>
      <c r="ED669" s="229"/>
      <c r="EE669" s="229"/>
      <c r="EF669" s="228">
        <f t="shared" si="2138"/>
        <v>0</v>
      </c>
      <c r="EG669" s="228">
        <f t="shared" si="2049"/>
        <v>68.400000000000006</v>
      </c>
      <c r="EH669" s="229">
        <f t="shared" si="2139"/>
        <v>99.29</v>
      </c>
      <c r="EI669" s="229">
        <v>0</v>
      </c>
      <c r="EJ669" s="228">
        <f t="shared" si="2208"/>
        <v>99.29</v>
      </c>
      <c r="EK669" s="229"/>
      <c r="EL669" s="229"/>
      <c r="EM669" s="228">
        <f t="shared" si="2209"/>
        <v>0</v>
      </c>
      <c r="EN669" s="229">
        <f t="shared" si="2086"/>
        <v>99.29</v>
      </c>
      <c r="EO669" s="229">
        <f t="shared" si="2123"/>
        <v>0</v>
      </c>
      <c r="EP669" s="228">
        <f t="shared" si="2211"/>
        <v>99.29</v>
      </c>
      <c r="EQ669" s="173">
        <f t="shared" si="2135"/>
        <v>0</v>
      </c>
      <c r="ER669" s="189">
        <v>0</v>
      </c>
      <c r="ES669" s="189">
        <v>9.8000000000000007</v>
      </c>
      <c r="ET669" s="189">
        <v>3.9</v>
      </c>
      <c r="EU669" s="189">
        <v>0</v>
      </c>
      <c r="EV669" s="189">
        <v>0</v>
      </c>
      <c r="EW669" s="189">
        <v>16.7</v>
      </c>
      <c r="EX669" s="189">
        <v>0</v>
      </c>
      <c r="EY669" s="189">
        <v>45</v>
      </c>
      <c r="EZ669" s="189">
        <v>0</v>
      </c>
      <c r="FA669" s="189">
        <v>0</v>
      </c>
      <c r="FB669" s="189">
        <v>0</v>
      </c>
      <c r="FC669" s="189">
        <v>40</v>
      </c>
      <c r="FD669" s="189">
        <v>27</v>
      </c>
      <c r="FE669" s="189">
        <v>1</v>
      </c>
      <c r="FF669" s="189">
        <v>0</v>
      </c>
      <c r="FG669" s="189">
        <v>0.4</v>
      </c>
      <c r="FH669" s="189">
        <v>40</v>
      </c>
      <c r="FI669" s="189">
        <v>0</v>
      </c>
      <c r="FJ669" s="189">
        <v>0</v>
      </c>
      <c r="FK669" s="189">
        <v>183.8</v>
      </c>
      <c r="FL669" s="189">
        <v>159</v>
      </c>
      <c r="FN669" s="132">
        <v>99.29</v>
      </c>
    </row>
    <row r="670" spans="1:170" ht="30" customHeight="1">
      <c r="A670" s="88">
        <f>COUNTIF($H$12:H670,H670)</f>
        <v>30</v>
      </c>
      <c r="B670" s="88" t="s">
        <v>311</v>
      </c>
      <c r="C670" s="88" t="s">
        <v>1531</v>
      </c>
      <c r="D670" s="88"/>
      <c r="E670" s="88"/>
      <c r="F670" s="302" t="s">
        <v>657</v>
      </c>
      <c r="G670" s="89" t="s">
        <v>3200</v>
      </c>
      <c r="H670" s="88">
        <v>13</v>
      </c>
      <c r="I670" s="88">
        <v>13</v>
      </c>
      <c r="J670" s="88">
        <v>13</v>
      </c>
      <c r="K670" s="90" t="s">
        <v>2443</v>
      </c>
      <c r="L670" s="90" t="s">
        <v>2443</v>
      </c>
      <c r="M670" s="214"/>
      <c r="N670" s="88" t="s">
        <v>1804</v>
      </c>
      <c r="O670" s="216">
        <f t="shared" si="2203"/>
        <v>3.33</v>
      </c>
      <c r="P670" s="88" t="str">
        <f t="shared" si="2140"/>
        <v>B1_4</v>
      </c>
      <c r="Q670" s="88">
        <f t="shared" si="2136"/>
        <v>270</v>
      </c>
      <c r="R670" s="88">
        <f t="shared" si="2137"/>
        <v>120</v>
      </c>
      <c r="S670" s="230"/>
      <c r="T670" s="88" t="s">
        <v>3088</v>
      </c>
      <c r="U670" s="88">
        <f>IF(RIGHT(T670,1)="K",(VLOOKUP(T670,ma_miengiam!$A$3:$B$80,2,0)*100)/2,VLOOKUP(T670,ma_miengiam!$A$3:$B$80,2,0)*100)</f>
        <v>0</v>
      </c>
      <c r="V670" s="88"/>
      <c r="W670" s="220">
        <f>IF(AND(T670="NTS",V670&gt;0),(Q670-(Q670*V670)/12)*VLOOKUP(T670,ma_miengiam!$A$3:$B$80,2,0)+(Q670-(Q670*(12-V670))/12),IF(AND(RIGHT(T670,1)="K",V670&gt;0),(VLOOKUP(T670,ma_miengiam!$A$3:$B$80,2,0)/2)*(Q670*V670)/12,IF(RIGHT(T670,1)="K",(VLOOKUP(T670,ma_miengiam!$A$3:$B$80,2,0)*Q670)/2,IF(V670&gt;0,VLOOKUP(T670,ma_miengiam!$A$3:$B$80,2,0)*Q670*V670/12,VLOOKUP(T670,ma_miengiam!$A$3:$B$80,2,0)*Q670))))</f>
        <v>0</v>
      </c>
      <c r="X670" s="220">
        <f>IF(T670="NTS",VLOOKUP(T670,ma_miengiam!$A$3:$B$80,2,0)*R670*V670,IF(AND(T670="NTS",V670=0),0,IF(AND(LEFT(T670,1)="K",V670=0),VLOOKUP(T670,ma_miengiam!$A$3:$B$80,2,0)*R670,IF(LEFT(T670,1)="K",(VLOOKUP(T670,ma_miengiam!$A$3:$B$80,2,0)*R670/12)*V670,IF(AND(LEFT(T670,1)="S",V670&gt;0),(R670/12)*V670,IF(AND(LEFT(T670,1)="S",V670=0),R670,IF(T670="DH",VLOOKUP(T670,ma_miengiam!$A$3:$B$80,2,0)*R670,0)))))))</f>
        <v>0</v>
      </c>
      <c r="Y670" s="220">
        <f t="shared" si="2161"/>
        <v>270</v>
      </c>
      <c r="Z670" s="220">
        <f t="shared" si="2065"/>
        <v>120</v>
      </c>
      <c r="AA670" s="220">
        <f t="shared" si="2212"/>
        <v>270</v>
      </c>
      <c r="AB670" s="220">
        <f t="shared" si="2212"/>
        <v>120</v>
      </c>
      <c r="AC670" s="220">
        <f t="shared" si="2213"/>
        <v>0</v>
      </c>
      <c r="AD670" s="220">
        <f t="shared" si="2213"/>
        <v>0</v>
      </c>
      <c r="AE670" s="220">
        <f t="shared" si="2213"/>
        <v>270</v>
      </c>
      <c r="AF670" s="220">
        <f t="shared" si="2213"/>
        <v>120</v>
      </c>
      <c r="AG670" s="220">
        <f t="shared" si="2214"/>
        <v>201.55</v>
      </c>
      <c r="AH670" s="220">
        <f t="shared" si="2215"/>
        <v>66.55</v>
      </c>
      <c r="AI670" s="220">
        <f t="shared" si="2216"/>
        <v>135</v>
      </c>
      <c r="AJ670" s="220">
        <f>IF(AG670-Z670&gt;0,0,AG670-Z670)</f>
        <v>0</v>
      </c>
      <c r="AK670" s="216">
        <f t="shared" si="2051"/>
        <v>270</v>
      </c>
      <c r="AL670" s="220">
        <f t="shared" si="2024"/>
        <v>65.3</v>
      </c>
      <c r="AM670" s="220">
        <f t="shared" si="2025"/>
        <v>42.1</v>
      </c>
      <c r="AN670" s="216">
        <f t="shared" si="2026"/>
        <v>107.4</v>
      </c>
      <c r="AO670" s="220">
        <f t="shared" si="2027"/>
        <v>0</v>
      </c>
      <c r="AP670" s="220">
        <f t="shared" si="2028"/>
        <v>0</v>
      </c>
      <c r="AQ670" s="220">
        <f t="shared" si="2029"/>
        <v>40</v>
      </c>
      <c r="AR670" s="220">
        <f t="shared" si="2030"/>
        <v>24</v>
      </c>
      <c r="AS670" s="220">
        <f t="shared" si="2031"/>
        <v>0</v>
      </c>
      <c r="AT670" s="216">
        <f t="shared" si="2032"/>
        <v>171.4</v>
      </c>
      <c r="AU670" s="220">
        <f t="shared" si="2122"/>
        <v>-162.6</v>
      </c>
      <c r="AV670" s="220"/>
      <c r="AW670" s="220">
        <f t="shared" si="2174"/>
        <v>-162.6</v>
      </c>
      <c r="AX670" s="216">
        <f t="shared" si="2020"/>
        <v>-162.6</v>
      </c>
      <c r="AY670" s="220">
        <f t="shared" si="2182"/>
        <v>0</v>
      </c>
      <c r="AZ670" s="220">
        <f t="shared" si="2183"/>
        <v>0</v>
      </c>
      <c r="BA670" s="220">
        <f t="shared" si="2184"/>
        <v>0</v>
      </c>
      <c r="BB670" s="220">
        <f t="shared" si="2185"/>
        <v>0</v>
      </c>
      <c r="BC670" s="220">
        <f t="shared" si="2186"/>
        <v>0</v>
      </c>
      <c r="BD670" s="216">
        <f t="shared" si="2197"/>
        <v>0</v>
      </c>
      <c r="BE670" s="220">
        <f t="shared" si="2175"/>
        <v>0</v>
      </c>
      <c r="BF670" s="220">
        <f t="shared" si="2176"/>
        <v>0</v>
      </c>
      <c r="BG670" s="220">
        <f t="shared" si="2177"/>
        <v>-40</v>
      </c>
      <c r="BH670" s="220">
        <f t="shared" si="2178"/>
        <v>-24</v>
      </c>
      <c r="BI670" s="220">
        <f t="shared" si="2179"/>
        <v>0</v>
      </c>
      <c r="BJ670" s="220" t="s">
        <v>1807</v>
      </c>
      <c r="BK670" s="220"/>
      <c r="BL670" s="223">
        <f t="shared" si="2210"/>
        <v>0</v>
      </c>
      <c r="BM670" s="220">
        <v>3.33</v>
      </c>
      <c r="BN670" s="220"/>
      <c r="BO670" s="220">
        <f t="shared" si="2205"/>
        <v>3.33</v>
      </c>
      <c r="BP670" s="220">
        <f>IF(AND(BL670&gt;0,BL670&lt;tiet!$D$1),BL670,IF(BL670&lt;=0,0,IF(BL670&gt;tiet!$C$1,tiet!$C$1)))</f>
        <v>0</v>
      </c>
      <c r="BQ670" s="87">
        <f>VLOOKUP(P670,ma_dinhmuc_moi,4,0)</f>
        <v>65000</v>
      </c>
      <c r="BR670" s="224">
        <f>ROUND(BQ670*BP670,0)</f>
        <v>0</v>
      </c>
      <c r="BS670" s="220">
        <f t="shared" si="2134"/>
        <v>0</v>
      </c>
      <c r="BT670" s="224">
        <f>VLOOKUP(N670,ma_dinhmuc!$A$1:$J$31,10,0)</f>
        <v>51000</v>
      </c>
      <c r="BU670" s="224">
        <f>ROUND(IF(BS670&gt;0,VLOOKUP(N670,ma_dinhmuc!$A$1:$J$31,10,0)*BS670,0),0)</f>
        <v>0</v>
      </c>
      <c r="BV670" s="224">
        <f>ROUND(BU670+BR670,0)</f>
        <v>0</v>
      </c>
      <c r="BW670" s="224"/>
      <c r="BX670" s="224">
        <v>0</v>
      </c>
      <c r="BY670" s="224"/>
      <c r="BZ670" s="224"/>
      <c r="CA670" s="224"/>
      <c r="CB670" s="224"/>
      <c r="CC670" s="225">
        <f t="shared" si="2112"/>
        <v>0</v>
      </c>
      <c r="CD670" s="224">
        <f t="shared" si="2113"/>
        <v>0</v>
      </c>
      <c r="CE670" s="224"/>
      <c r="CF670" s="226"/>
      <c r="CG670" s="87"/>
      <c r="CH670" s="87">
        <f>A670</f>
        <v>30</v>
      </c>
      <c r="CI670" s="227" t="str">
        <f t="shared" si="2217"/>
        <v>Nông Hữu</v>
      </c>
      <c r="CJ670" s="227" t="str">
        <f t="shared" si="2217"/>
        <v>Dương</v>
      </c>
      <c r="CK670" s="87">
        <f t="shared" si="2218"/>
        <v>13</v>
      </c>
      <c r="CL670" s="227" t="str">
        <f t="shared" si="2173"/>
        <v>Sinh thái nông nghiệp</v>
      </c>
      <c r="CM670" s="87" t="str">
        <f t="shared" si="2180"/>
        <v>CS2</v>
      </c>
      <c r="CN670" s="87">
        <f t="shared" ref="CN670:CO675" si="2219">Q670</f>
        <v>270</v>
      </c>
      <c r="CO670" s="87">
        <f t="shared" si="2219"/>
        <v>120</v>
      </c>
      <c r="CP670" s="229">
        <f t="shared" si="2142"/>
        <v>0</v>
      </c>
      <c r="CQ670" s="229">
        <f t="shared" si="2143"/>
        <v>6.6</v>
      </c>
      <c r="CR670" s="229">
        <f t="shared" si="2144"/>
        <v>2.7</v>
      </c>
      <c r="CS670" s="229">
        <f t="shared" si="2145"/>
        <v>11</v>
      </c>
      <c r="CT670" s="229">
        <f t="shared" si="2146"/>
        <v>0</v>
      </c>
      <c r="CU670" s="229">
        <f t="shared" si="2147"/>
        <v>30</v>
      </c>
      <c r="CV670" s="229">
        <f t="shared" si="2148"/>
        <v>0</v>
      </c>
      <c r="CW670" s="229">
        <f t="shared" si="2149"/>
        <v>15</v>
      </c>
      <c r="CX670" s="229">
        <f t="shared" si="2150"/>
        <v>0</v>
      </c>
      <c r="CY670" s="229">
        <f t="shared" si="2151"/>
        <v>0</v>
      </c>
      <c r="CZ670" s="229">
        <f t="shared" si="2152"/>
        <v>0</v>
      </c>
      <c r="DA670" s="229">
        <f t="shared" si="2153"/>
        <v>40</v>
      </c>
      <c r="DB670" s="228">
        <f t="shared" si="2045"/>
        <v>105.3</v>
      </c>
      <c r="DC670" s="229"/>
      <c r="DD670" s="229"/>
      <c r="DE670" s="229"/>
      <c r="DF670" s="229"/>
      <c r="DG670" s="229"/>
      <c r="DH670" s="229"/>
      <c r="DI670" s="229"/>
      <c r="DJ670" s="229"/>
      <c r="DK670" s="229"/>
      <c r="DL670" s="229"/>
      <c r="DM670" s="229"/>
      <c r="DN670" s="229"/>
      <c r="DO670" s="228">
        <f t="shared" si="2046"/>
        <v>0</v>
      </c>
      <c r="DP670" s="228">
        <f t="shared" si="2047"/>
        <v>105.3</v>
      </c>
      <c r="DQ670" s="229">
        <f t="shared" si="2154"/>
        <v>38</v>
      </c>
      <c r="DR670" s="229">
        <f t="shared" si="2155"/>
        <v>2.9</v>
      </c>
      <c r="DS670" s="229">
        <f t="shared" si="2156"/>
        <v>0</v>
      </c>
      <c r="DT670" s="229">
        <f t="shared" si="2157"/>
        <v>1.2</v>
      </c>
      <c r="DU670" s="229">
        <f t="shared" si="2158"/>
        <v>0</v>
      </c>
      <c r="DV670" s="229">
        <f t="shared" si="2159"/>
        <v>24</v>
      </c>
      <c r="DW670" s="229">
        <f t="shared" si="2160"/>
        <v>0</v>
      </c>
      <c r="DX670" s="228">
        <f t="shared" si="2048"/>
        <v>66.099999999999994</v>
      </c>
      <c r="DY670" s="229"/>
      <c r="DZ670" s="229"/>
      <c r="EA670" s="229"/>
      <c r="EB670" s="229"/>
      <c r="EC670" s="229"/>
      <c r="ED670" s="229"/>
      <c r="EE670" s="229"/>
      <c r="EF670" s="228">
        <f t="shared" si="2138"/>
        <v>0</v>
      </c>
      <c r="EG670" s="228">
        <f t="shared" si="2049"/>
        <v>66.099999999999994</v>
      </c>
      <c r="EH670" s="229">
        <f t="shared" si="2139"/>
        <v>135</v>
      </c>
      <c r="EI670" s="229">
        <v>66.55</v>
      </c>
      <c r="EJ670" s="228">
        <f t="shared" si="2208"/>
        <v>201.55</v>
      </c>
      <c r="EK670" s="229"/>
      <c r="EL670" s="229"/>
      <c r="EM670" s="228">
        <f t="shared" si="2209"/>
        <v>0</v>
      </c>
      <c r="EN670" s="229">
        <f t="shared" ref="EN670:EN725" si="2220">EK670+EH670+EL670</f>
        <v>135</v>
      </c>
      <c r="EO670" s="229">
        <f t="shared" si="2123"/>
        <v>66.55</v>
      </c>
      <c r="EP670" s="228">
        <f t="shared" si="2211"/>
        <v>201.55</v>
      </c>
      <c r="EQ670" s="173">
        <f t="shared" si="2135"/>
        <v>15</v>
      </c>
      <c r="ER670" s="189">
        <v>0</v>
      </c>
      <c r="ES670" s="189">
        <v>6.6</v>
      </c>
      <c r="ET670" s="189">
        <v>2.7</v>
      </c>
      <c r="EU670" s="189">
        <v>11</v>
      </c>
      <c r="EV670" s="189">
        <v>0</v>
      </c>
      <c r="EW670" s="189">
        <v>30</v>
      </c>
      <c r="EX670" s="189">
        <v>0</v>
      </c>
      <c r="EY670" s="189">
        <v>15</v>
      </c>
      <c r="EZ670" s="189">
        <v>0</v>
      </c>
      <c r="FA670" s="189">
        <v>0</v>
      </c>
      <c r="FB670" s="189">
        <v>0</v>
      </c>
      <c r="FC670" s="189">
        <v>40</v>
      </c>
      <c r="FD670" s="189">
        <v>38</v>
      </c>
      <c r="FE670" s="189">
        <v>2.9</v>
      </c>
      <c r="FF670" s="189">
        <v>0</v>
      </c>
      <c r="FG670" s="189">
        <v>1.2</v>
      </c>
      <c r="FH670" s="189">
        <v>24</v>
      </c>
      <c r="FI670" s="189">
        <v>0</v>
      </c>
      <c r="FJ670" s="189">
        <v>0</v>
      </c>
      <c r="FK670" s="189">
        <v>171.4</v>
      </c>
      <c r="FL670" s="189">
        <v>146</v>
      </c>
      <c r="FN670" s="132">
        <v>135</v>
      </c>
    </row>
    <row r="671" spans="1:170" ht="30" customHeight="1">
      <c r="A671" s="88">
        <f>COUNTIF($H$12:H671,H671)</f>
        <v>31</v>
      </c>
      <c r="B671" s="88" t="s">
        <v>2165</v>
      </c>
      <c r="C671" s="88" t="s">
        <v>1523</v>
      </c>
      <c r="D671" s="88"/>
      <c r="E671" s="88"/>
      <c r="F671" s="301" t="s">
        <v>1507</v>
      </c>
      <c r="G671" s="89" t="s">
        <v>1508</v>
      </c>
      <c r="H671" s="88">
        <v>13</v>
      </c>
      <c r="I671" s="88">
        <v>13</v>
      </c>
      <c r="J671" s="88">
        <v>13</v>
      </c>
      <c r="K671" s="90" t="s">
        <v>2443</v>
      </c>
      <c r="L671" s="90" t="s">
        <v>2443</v>
      </c>
      <c r="M671" s="214"/>
      <c r="N671" s="88" t="s">
        <v>1804</v>
      </c>
      <c r="O671" s="216">
        <f t="shared" si="2203"/>
        <v>3</v>
      </c>
      <c r="P671" s="88" t="str">
        <f>IF(BO671&lt;3.33,"B1_3",IF(AND(BO671&gt;=3.33,BO671&lt;4.65),"B1_4",IF(AND(BO671&gt;=4.65,BO671&lt;5.42),"B1_5",IF(AND(BO671&gt;=5.42,BO671&lt;6.44),"B1_6",IF(AND(BO671&gt;=6.44,BO671&lt;=6.92),"B1_7","B1_8")))))</f>
        <v>B1_3</v>
      </c>
      <c r="Q671" s="88">
        <f>IF(M671&gt;0,VLOOKUP(P671,ma_dinhmuc_moi,2,0)/2,VLOOKUP(P671,ma_dinhmuc_moi,2,0))</f>
        <v>270</v>
      </c>
      <c r="R671" s="88">
        <f>IF(M671&gt;0,VLOOKUP(P671,ma_dinhmuc_moi,3,0)/2,VLOOKUP(P671,ma_dinhmuc_moi,3,0))</f>
        <v>100</v>
      </c>
      <c r="S671" s="233" t="s">
        <v>2950</v>
      </c>
      <c r="T671" s="88" t="s">
        <v>2961</v>
      </c>
      <c r="U671" s="88">
        <f>IF(RIGHT(T671,1)="K",(VLOOKUP(T671,ma_miengiam!$A$3:$B$80,2,0)*100)/2,VLOOKUP(T671,ma_miengiam!$A$3:$B$80,2,0)*100)</f>
        <v>100</v>
      </c>
      <c r="V671" s="88"/>
      <c r="W671" s="220">
        <f>IF(AND(T671="NTS",V671&gt;0),(Q671-(Q671*V671)/12)*VLOOKUP(T671,ma_miengiam!$A$3:$B$80,2,0)+(Q671-(Q671*(12-V671))/12),IF(AND(RIGHT(T671,1)="K",V671&gt;0),(VLOOKUP(T671,ma_miengiam!$A$3:$B$80,2,0)/2)*(Q671*V671)/12,IF(RIGHT(T671,1)="K",(VLOOKUP(T671,ma_miengiam!$A$3:$B$80,2,0)*Q671)/2,IF(V671&gt;0,VLOOKUP(T671,ma_miengiam!$A$3:$B$80,2,0)*Q671*V671/12,VLOOKUP(T671,ma_miengiam!$A$3:$B$80,2,0)*Q671))))</f>
        <v>270</v>
      </c>
      <c r="X671" s="220">
        <f>IF(T671="NTS",VLOOKUP(T671,ma_miengiam!$A$3:$B$80,2,0)*R671*V671,IF(AND(T671="NTS",V671=0),0,IF(AND(LEFT(T671,1)="K",V671=0),VLOOKUP(T671,ma_miengiam!$A$3:$B$80,2,0)*R671,IF(LEFT(T671,1)="K",(VLOOKUP(T671,ma_miengiam!$A$3:$B$80,2,0)*R671/12)*V671,IF(AND(LEFT(T671,1)="S",V671&gt;0),(R671/12)*V671,IF(AND(LEFT(T671,1)="S",V671=0),R671,IF(T671="DH",VLOOKUP(T671,ma_miengiam!$A$3:$B$80,2,0)*R671,0)))))))</f>
        <v>100</v>
      </c>
      <c r="Y671" s="220">
        <f>IF(AND(T671="DH",V671&gt;0),(S671*V671/12),IF(AND(T671&lt;&gt;"NTS",V671&gt;0),(Q671*V671/12)-W671,IF(AND(T671="NTS",V671&gt;0),Q671-W671,Q671-W671)))</f>
        <v>0</v>
      </c>
      <c r="Z671" s="220">
        <f>IF(AND(T671="SĐH",V671&gt;0),(R671/12)*V671-X671,IF(AND(T671="DH",V671&gt;0),(R671*V671/12),IF(AND(T671&lt;&gt;"NTS",V671&gt;0),(R671*V671/12)-X671,IF(AND(T671="NTS",V671&gt;0),R671-X671,R671-X671))))</f>
        <v>0</v>
      </c>
      <c r="AA671" s="220">
        <f t="shared" si="2212"/>
        <v>270</v>
      </c>
      <c r="AB671" s="220">
        <f t="shared" si="2212"/>
        <v>100</v>
      </c>
      <c r="AC671" s="220">
        <f t="shared" ref="AC671:AF673" si="2221">W671</f>
        <v>270</v>
      </c>
      <c r="AD671" s="220">
        <f t="shared" si="2221"/>
        <v>100</v>
      </c>
      <c r="AE671" s="220">
        <f t="shared" si="2221"/>
        <v>0</v>
      </c>
      <c r="AF671" s="220">
        <f t="shared" si="2221"/>
        <v>0</v>
      </c>
      <c r="AG671" s="220">
        <f>AH671+AI671</f>
        <v>25</v>
      </c>
      <c r="AH671" s="220">
        <f>EO671</f>
        <v>25</v>
      </c>
      <c r="AI671" s="220">
        <f>EN671</f>
        <v>0</v>
      </c>
      <c r="AJ671" s="220">
        <f>IF(AG671-Z671&gt;0,0,AG671-Z671)</f>
        <v>0</v>
      </c>
      <c r="AK671" s="216">
        <f>IF(AJ671&gt;=0,Y671,Y671-AJ671)</f>
        <v>0</v>
      </c>
      <c r="AL671" s="220">
        <f>SUM(CP671:CX671)+SUM(DC671:DK671)</f>
        <v>0</v>
      </c>
      <c r="AM671" s="220">
        <f>SUM(DQ671:DU671)+SUM(DY671:EC671)</f>
        <v>0</v>
      </c>
      <c r="AN671" s="221">
        <f>AM671+AL671</f>
        <v>0</v>
      </c>
      <c r="AO671" s="220">
        <f t="shared" ref="AO671:AQ673" si="2222">CY671+DL671</f>
        <v>0</v>
      </c>
      <c r="AP671" s="220">
        <f t="shared" si="2222"/>
        <v>0</v>
      </c>
      <c r="AQ671" s="220">
        <f t="shared" si="2222"/>
        <v>0</v>
      </c>
      <c r="AR671" s="220">
        <f t="shared" ref="AR671:AS673" si="2223">DV671+ED671</f>
        <v>0</v>
      </c>
      <c r="AS671" s="220">
        <f t="shared" si="2223"/>
        <v>0</v>
      </c>
      <c r="AT671" s="216">
        <f>AN671+SUM(AO671:AS671)</f>
        <v>0</v>
      </c>
      <c r="AU671" s="222">
        <f>AN671-AK671</f>
        <v>0</v>
      </c>
      <c r="AV671" s="220"/>
      <c r="AW671" s="220">
        <f>IF(AU671&gt;0,AU671,AV671+AU671)</f>
        <v>0</v>
      </c>
      <c r="AX671" s="216">
        <f>IF(AN671&gt;AK671,0,IF(AW671&lt;0,AN671-AK671+AV671,IF(AW671&gt;=0,0)))</f>
        <v>0</v>
      </c>
      <c r="AY671" s="220">
        <f>IF(AN671&gt;=AK671,AO671,IF(AN671+AO671-AK671&gt;=0,AN671+AO671-AK671,0))</f>
        <v>0</v>
      </c>
      <c r="AZ671" s="220">
        <f>IF(OR(AN671&gt;=AK671,AN671+AO671&gt;=AK671),AP671,IF(AN671+AO671+AP671&gt;AK671,AN671+AO671+AP671-AK671,0))</f>
        <v>0</v>
      </c>
      <c r="BA671" s="220">
        <f>IF(OR(AN671&gt;=AK671,AN671+AO671&gt;=AK671,AN671+AO671+AP671&gt;=AK671),AQ671,IF(AN671+AO671+AP671+AQ671&gt;=AK671,AN671+AO671+AP671+AQ671-AK671,0))</f>
        <v>0</v>
      </c>
      <c r="BB671" s="220">
        <f>IF(OR(AN671&gt;=AK671,AN671+AO671&gt;=AK671,AN671+AO671+AP671&gt;=AK671,AN671+AO671+AP671+AQ671&gt;=AK671),AR671,IF(AN671+AO671+AP671+AQ671+AR671&gt;=AK671,AN671+AO671+AP671+AQ671+AR671-AK671,0))</f>
        <v>0</v>
      </c>
      <c r="BC671" s="220">
        <f>IF(OR(AN671&gt;=AK671,AN671+AO671&gt;=AK671,AN671+AO671+AP671&gt;=AK671,AN671+AO671+AP671+AQ671&gt;=AK671,AN671+AO671+AP671+AQ671+AR671&gt;=AK671),AS671,IF(AN671+AO671+AP671+AQ671+AR671+AS671&gt;=AK671,AN671+AO671+AP671+AQ671+AR671+AS671-AK671,0))</f>
        <v>0</v>
      </c>
      <c r="BD671" s="216">
        <f>SUM(AY671:BC671)</f>
        <v>0</v>
      </c>
      <c r="BE671" s="220">
        <f t="shared" ref="BE671:BI673" si="2224">AY671-AO671</f>
        <v>0</v>
      </c>
      <c r="BF671" s="220">
        <f t="shared" si="2224"/>
        <v>0</v>
      </c>
      <c r="BG671" s="220">
        <f t="shared" si="2224"/>
        <v>0</v>
      </c>
      <c r="BH671" s="220">
        <f t="shared" si="2224"/>
        <v>0</v>
      </c>
      <c r="BI671" s="220">
        <f t="shared" si="2224"/>
        <v>0</v>
      </c>
      <c r="BJ671" s="220" t="s">
        <v>1807</v>
      </c>
      <c r="BK671" s="220"/>
      <c r="BL671" s="223">
        <f>IF(AW671&lt;BK671,0,IF(AND(BK671=0,AW671&gt;0),AW671,IF(AW671&lt;0,0,IF(BK671&gt;0,AW671-BK671,IF(BK671&lt;0,0,AW671)))))</f>
        <v>0</v>
      </c>
      <c r="BM671" s="220">
        <v>3</v>
      </c>
      <c r="BN671" s="220"/>
      <c r="BO671" s="220">
        <f t="shared" si="2205"/>
        <v>3</v>
      </c>
      <c r="BP671" s="220">
        <f>IF(AND(BL671&gt;0,BL671&lt;tiet!$D$1),BL671,IF(BL671&lt;=0,0,IF(BL671&gt;tiet!$C$1,tiet!$C$1)))</f>
        <v>0</v>
      </c>
      <c r="BQ671" s="87">
        <f>VLOOKUP(P671,ma_dinhmuc_moi,4,0)</f>
        <v>60000</v>
      </c>
      <c r="BR671" s="224">
        <f>ROUND(BQ671*BP671,0)</f>
        <v>0</v>
      </c>
      <c r="BS671" s="220">
        <f t="shared" si="2134"/>
        <v>0</v>
      </c>
      <c r="BT671" s="224">
        <f>VLOOKUP(N671,ma_dinhmuc!$A$1:$J$31,10,0)</f>
        <v>51000</v>
      </c>
      <c r="BU671" s="224">
        <f>ROUND(IF(BS671&gt;0,VLOOKUP(N671,ma_dinhmuc!$A$1:$J$31,10,0)*BS671,0),0)</f>
        <v>0</v>
      </c>
      <c r="BV671" s="224">
        <f>ROUND(BU671+BR671,0)</f>
        <v>0</v>
      </c>
      <c r="BW671" s="224"/>
      <c r="BX671" s="224">
        <v>0</v>
      </c>
      <c r="BY671" s="224"/>
      <c r="BZ671" s="224"/>
      <c r="CA671" s="224"/>
      <c r="CB671" s="224"/>
      <c r="CC671" s="225">
        <f>ROUND(IF(BV671+BW671&gt;BX671+BY671+BZ671+CA671+CB671,(BW671+BV671)-(BX671+BY671+BZ671+CA671+CB671+CB671),0),0)</f>
        <v>0</v>
      </c>
      <c r="CD671" s="224">
        <f>ROUND(IF(BV671+BW671&lt;BX671+BY671+BZ671+CA671-CB671,(BX671+BY671+BZ671+CA671-CB671)-(BW671+BV671),0),0)</f>
        <v>0</v>
      </c>
      <c r="CE671" s="224"/>
      <c r="CF671" s="226"/>
      <c r="CG671" s="87"/>
      <c r="CH671" s="87">
        <f>A671</f>
        <v>31</v>
      </c>
      <c r="CI671" s="227" t="str">
        <f t="shared" si="2217"/>
        <v>Phan Thị Hải</v>
      </c>
      <c r="CJ671" s="227" t="str">
        <f t="shared" si="2217"/>
        <v>Luyến</v>
      </c>
      <c r="CK671" s="87">
        <f>H671</f>
        <v>13</v>
      </c>
      <c r="CL671" s="227" t="str">
        <f t="shared" si="2173"/>
        <v>Sinh thái nông nghiệp</v>
      </c>
      <c r="CM671" s="87" t="str">
        <f>N671</f>
        <v>CS2</v>
      </c>
      <c r="CN671" s="87">
        <f t="shared" ref="CN671:CO673" si="2225">Q671</f>
        <v>270</v>
      </c>
      <c r="CO671" s="87">
        <f t="shared" si="2225"/>
        <v>100</v>
      </c>
      <c r="CP671" s="229">
        <f t="shared" si="2142"/>
        <v>0</v>
      </c>
      <c r="CQ671" s="229">
        <f t="shared" si="2143"/>
        <v>0</v>
      </c>
      <c r="CR671" s="229">
        <f t="shared" si="2144"/>
        <v>0</v>
      </c>
      <c r="CS671" s="229">
        <f t="shared" si="2145"/>
        <v>0</v>
      </c>
      <c r="CT671" s="229">
        <f t="shared" si="2146"/>
        <v>0</v>
      </c>
      <c r="CU671" s="229">
        <f t="shared" si="2147"/>
        <v>0</v>
      </c>
      <c r="CV671" s="229">
        <f t="shared" si="2148"/>
        <v>0</v>
      </c>
      <c r="CW671" s="229">
        <f t="shared" si="2149"/>
        <v>0</v>
      </c>
      <c r="CX671" s="229">
        <f t="shared" si="2150"/>
        <v>0</v>
      </c>
      <c r="CY671" s="229">
        <f t="shared" si="2151"/>
        <v>0</v>
      </c>
      <c r="CZ671" s="229">
        <f t="shared" si="2152"/>
        <v>0</v>
      </c>
      <c r="DA671" s="229">
        <f t="shared" si="2153"/>
        <v>0</v>
      </c>
      <c r="DB671" s="228">
        <f>SUM(CP671:DA671)</f>
        <v>0</v>
      </c>
      <c r="DC671" s="229"/>
      <c r="DD671" s="229"/>
      <c r="DE671" s="229"/>
      <c r="DF671" s="229"/>
      <c r="DG671" s="229"/>
      <c r="DH671" s="229"/>
      <c r="DI671" s="229"/>
      <c r="DJ671" s="229"/>
      <c r="DK671" s="229"/>
      <c r="DL671" s="229"/>
      <c r="DM671" s="229"/>
      <c r="DN671" s="229"/>
      <c r="DO671" s="228">
        <f>SUM(DC671:DN671)</f>
        <v>0</v>
      </c>
      <c r="DP671" s="228">
        <f>DO671+DB671</f>
        <v>0</v>
      </c>
      <c r="DQ671" s="229">
        <f t="shared" si="2154"/>
        <v>0</v>
      </c>
      <c r="DR671" s="229">
        <f t="shared" si="2155"/>
        <v>0</v>
      </c>
      <c r="DS671" s="229">
        <f t="shared" si="2156"/>
        <v>0</v>
      </c>
      <c r="DT671" s="229">
        <f t="shared" si="2157"/>
        <v>0</v>
      </c>
      <c r="DU671" s="229">
        <f t="shared" si="2158"/>
        <v>0</v>
      </c>
      <c r="DV671" s="229">
        <f t="shared" si="2159"/>
        <v>0</v>
      </c>
      <c r="DW671" s="229">
        <f t="shared" si="2160"/>
        <v>0</v>
      </c>
      <c r="DX671" s="228">
        <f>SUM(DQ671:DW671)</f>
        <v>0</v>
      </c>
      <c r="DY671" s="229"/>
      <c r="DZ671" s="229"/>
      <c r="EA671" s="229"/>
      <c r="EB671" s="229"/>
      <c r="EC671" s="229"/>
      <c r="ED671" s="229"/>
      <c r="EE671" s="229"/>
      <c r="EF671" s="228">
        <f t="shared" si="2138"/>
        <v>0</v>
      </c>
      <c r="EG671" s="228">
        <f>EF671+DX671</f>
        <v>0</v>
      </c>
      <c r="EH671" s="229">
        <f t="shared" si="2139"/>
        <v>0</v>
      </c>
      <c r="EI671" s="229">
        <v>25</v>
      </c>
      <c r="EJ671" s="228">
        <f t="shared" si="2208"/>
        <v>25</v>
      </c>
      <c r="EK671" s="229"/>
      <c r="EL671" s="229"/>
      <c r="EM671" s="228">
        <f t="shared" si="2209"/>
        <v>0</v>
      </c>
      <c r="EN671" s="229">
        <f>EK671+EH671+EL671</f>
        <v>0</v>
      </c>
      <c r="EO671" s="229">
        <f>EI671</f>
        <v>25</v>
      </c>
      <c r="EP671" s="228">
        <f>EM671+EJ671</f>
        <v>25</v>
      </c>
      <c r="EQ671" s="173">
        <f t="shared" si="2135"/>
        <v>0</v>
      </c>
      <c r="ER671" s="189">
        <v>0</v>
      </c>
      <c r="ES671" s="189">
        <v>0</v>
      </c>
      <c r="ET671" s="189">
        <v>0</v>
      </c>
      <c r="EU671" s="189">
        <v>0</v>
      </c>
      <c r="EV671" s="189">
        <v>0</v>
      </c>
      <c r="EW671" s="189">
        <v>0</v>
      </c>
      <c r="EX671" s="189">
        <v>0</v>
      </c>
      <c r="EY671" s="189">
        <v>0</v>
      </c>
      <c r="EZ671" s="189">
        <v>0</v>
      </c>
      <c r="FA671" s="189">
        <v>0</v>
      </c>
      <c r="FB671" s="189">
        <v>0</v>
      </c>
      <c r="FC671" s="189">
        <v>0</v>
      </c>
      <c r="FD671" s="189">
        <v>0</v>
      </c>
      <c r="FE671" s="189">
        <v>0</v>
      </c>
      <c r="FF671" s="189">
        <v>0</v>
      </c>
      <c r="FG671" s="189">
        <v>0</v>
      </c>
      <c r="FH671" s="189">
        <v>0</v>
      </c>
      <c r="FI671" s="189">
        <v>0</v>
      </c>
      <c r="FJ671" s="189">
        <v>0</v>
      </c>
      <c r="FK671" s="189">
        <v>0</v>
      </c>
      <c r="FL671" s="189">
        <v>0</v>
      </c>
      <c r="FN671" s="132">
        <v>0</v>
      </c>
    </row>
    <row r="672" spans="1:170" ht="30" customHeight="1">
      <c r="A672" s="88">
        <f>COUNTIF($H$12:H672,H672)</f>
        <v>32</v>
      </c>
      <c r="B672" s="88" t="s">
        <v>308</v>
      </c>
      <c r="C672" s="88" t="s">
        <v>1528</v>
      </c>
      <c r="D672" s="88"/>
      <c r="E672" s="88"/>
      <c r="F672" s="301" t="s">
        <v>2907</v>
      </c>
      <c r="G672" s="89" t="s">
        <v>1789</v>
      </c>
      <c r="H672" s="88">
        <v>13</v>
      </c>
      <c r="I672" s="88">
        <v>13</v>
      </c>
      <c r="J672" s="88">
        <v>13</v>
      </c>
      <c r="K672" s="90" t="s">
        <v>2443</v>
      </c>
      <c r="L672" s="90" t="s">
        <v>2443</v>
      </c>
      <c r="M672" s="214"/>
      <c r="N672" s="88" t="s">
        <v>1804</v>
      </c>
      <c r="O672" s="216">
        <f t="shared" si="2203"/>
        <v>3.66</v>
      </c>
      <c r="P672" s="88" t="str">
        <f>IF(BO672&lt;3.33,"B1_3",IF(AND(BO672&gt;=3.33,BO672&lt;4.65),"B1_4",IF(AND(BO672&gt;=4.65,BO672&lt;5.42),"B1_5",IF(AND(BO672&gt;=5.42,BO672&lt;6.44),"B1_6",IF(AND(BO672&gt;=6.44,BO672&lt;=6.92),"B1_7","B1_8")))))</f>
        <v>B1_4</v>
      </c>
      <c r="Q672" s="88">
        <f>IF(M672&gt;0,VLOOKUP(P672,ma_dinhmuc_moi,2,0)/2,VLOOKUP(P672,ma_dinhmuc_moi,2,0))</f>
        <v>270</v>
      </c>
      <c r="R672" s="88">
        <f>IF(M672&gt;0,VLOOKUP(P672,ma_dinhmuc_moi,3,0)/2,VLOOKUP(P672,ma_dinhmuc_moi,3,0))</f>
        <v>120</v>
      </c>
      <c r="S672" s="231" t="s">
        <v>427</v>
      </c>
      <c r="T672" s="88" t="s">
        <v>2961</v>
      </c>
      <c r="U672" s="88">
        <f>IF(RIGHT(T672,1)="K",(VLOOKUP(T672,ma_miengiam!$A$3:$B$80,2,0)*100)/2,VLOOKUP(T672,ma_miengiam!$A$3:$B$80,2,0)*100)</f>
        <v>100</v>
      </c>
      <c r="V672" s="88"/>
      <c r="W672" s="220">
        <f>IF(AND(T672="NTS",V672&gt;0),(Q672-(Q672*V672)/12)*VLOOKUP(T672,ma_miengiam!$A$3:$B$80,2,0)+(Q672-(Q672*(12-V672))/12),IF(AND(RIGHT(T672,1)="K",V672&gt;0),(VLOOKUP(T672,ma_miengiam!$A$3:$B$80,2,0)/2)*(Q672*V672)/12,IF(RIGHT(T672,1)="K",(VLOOKUP(T672,ma_miengiam!$A$3:$B$80,2,0)*Q672)/2,IF(V672&gt;0,VLOOKUP(T672,ma_miengiam!$A$3:$B$80,2,0)*Q672*V672/12,VLOOKUP(T672,ma_miengiam!$A$3:$B$80,2,0)*Q672))))</f>
        <v>270</v>
      </c>
      <c r="X672" s="220">
        <f>IF(T672="NTS",VLOOKUP(T672,ma_miengiam!$A$3:$B$80,2,0)*R672*V672,IF(AND(T672="NTS",V672=0),0,IF(AND(LEFT(T672,1)="K",V672=0),VLOOKUP(T672,ma_miengiam!$A$3:$B$80,2,0)*R672,IF(LEFT(T672,1)="K",(VLOOKUP(T672,ma_miengiam!$A$3:$B$80,2,0)*R672/12)*V672,IF(AND(LEFT(T672,1)="S",V672&gt;0),(R672/12)*V672,IF(AND(LEFT(T672,1)="S",V672=0),R672,IF(T672="DH",VLOOKUP(T672,ma_miengiam!$A$3:$B$80,2,0)*R672,0)))))))</f>
        <v>120</v>
      </c>
      <c r="Y672" s="220">
        <f>IF(AND(T672="DH",V672&gt;0),(S672*V672/12),IF(AND(T672&lt;&gt;"NTS",V672&gt;0),(Q672*V672/12)-W672,IF(AND(T672="NTS",V672&gt;0),Q672-W672,Q672-W672)))</f>
        <v>0</v>
      </c>
      <c r="Z672" s="220">
        <f>IF(AND(T672="SĐH",V672&gt;0),(R672/12)*V672-X672,IF(AND(T672="DH",V672&gt;0),(R672*V672/12),IF(AND(T672&lt;&gt;"NTS",V672&gt;0),(R672*V672/12)-X672,IF(AND(T672="NTS",V672&gt;0),R672-X672,R672-X672))))</f>
        <v>0</v>
      </c>
      <c r="AA672" s="220">
        <f t="shared" si="2212"/>
        <v>270</v>
      </c>
      <c r="AB672" s="220">
        <f t="shared" si="2212"/>
        <v>120</v>
      </c>
      <c r="AC672" s="220">
        <f t="shared" si="2221"/>
        <v>270</v>
      </c>
      <c r="AD672" s="220">
        <f t="shared" si="2221"/>
        <v>120</v>
      </c>
      <c r="AE672" s="220">
        <f t="shared" si="2221"/>
        <v>0</v>
      </c>
      <c r="AF672" s="220">
        <f t="shared" si="2221"/>
        <v>0</v>
      </c>
      <c r="AG672" s="220">
        <f>AH672+AI672</f>
        <v>0</v>
      </c>
      <c r="AH672" s="220">
        <f>EO672</f>
        <v>0</v>
      </c>
      <c r="AI672" s="220">
        <f>EN672</f>
        <v>0</v>
      </c>
      <c r="AJ672" s="220">
        <f>IF(AG672-Z672&gt;0,0,AG672-Z672)</f>
        <v>0</v>
      </c>
      <c r="AK672" s="216">
        <f>IF(AJ672&gt;=0,Y672,Y672-AJ672)</f>
        <v>0</v>
      </c>
      <c r="AL672" s="220">
        <f>SUM(CP672:CX672)+SUM(DC672:DK672)</f>
        <v>0</v>
      </c>
      <c r="AM672" s="220">
        <f>SUM(DQ672:DU672)+SUM(DY672:EC672)</f>
        <v>0</v>
      </c>
      <c r="AN672" s="221">
        <f>AM672+AL672</f>
        <v>0</v>
      </c>
      <c r="AO672" s="220">
        <f t="shared" si="2222"/>
        <v>0</v>
      </c>
      <c r="AP672" s="220">
        <f t="shared" si="2222"/>
        <v>0</v>
      </c>
      <c r="AQ672" s="220">
        <f t="shared" si="2222"/>
        <v>0</v>
      </c>
      <c r="AR672" s="220">
        <f t="shared" si="2223"/>
        <v>0</v>
      </c>
      <c r="AS672" s="220">
        <f t="shared" si="2223"/>
        <v>0</v>
      </c>
      <c r="AT672" s="216">
        <f>AN672+SUM(AO672:AS672)</f>
        <v>0</v>
      </c>
      <c r="AU672" s="220">
        <f>AN672-AK672</f>
        <v>0</v>
      </c>
      <c r="AV672" s="220"/>
      <c r="AW672" s="220">
        <f>IF(AU672&gt;0,AU672,AV672+AU672)</f>
        <v>0</v>
      </c>
      <c r="AX672" s="216">
        <f>IF(AN672&gt;AK672,0,IF(AW672&lt;0,AN672-AK672+AV672,IF(AW672&gt;=0,0)))</f>
        <v>0</v>
      </c>
      <c r="AY672" s="220">
        <f>IF(AN672&gt;=AK672,AO672,IF(AN672+AO672-AK672&gt;=0,AN672+AO672-AK672,0))</f>
        <v>0</v>
      </c>
      <c r="AZ672" s="220">
        <f>IF(OR(AN672&gt;=AK672,AN672+AO672&gt;=AK672),AP672,IF(AN672+AO672+AP672&gt;AK672,AN672+AO672+AP672-AK672,0))</f>
        <v>0</v>
      </c>
      <c r="BA672" s="220">
        <f>IF(OR(AN672&gt;=AK672,AN672+AO672&gt;=AK672,AN672+AO672+AP672&gt;=AK672),AQ672,IF(AN672+AO672+AP672+AQ672&gt;=AK672,AN672+AO672+AP672+AQ672-AK672,0))</f>
        <v>0</v>
      </c>
      <c r="BB672" s="220">
        <f>IF(OR(AN672&gt;=AK672,AN672+AO672&gt;=AK672,AN672+AO672+AP672&gt;=AK672,AN672+AO672+AP672+AQ672&gt;=AK672),AR672,IF(AN672+AO672+AP672+AQ672+AR672&gt;=AK672,AN672+AO672+AP672+AQ672+AR672-AK672,0))</f>
        <v>0</v>
      </c>
      <c r="BC672" s="220">
        <f>IF(OR(AN672&gt;=AK672,AN672+AO672&gt;=AK672,AN672+AO672+AP672&gt;=AK672,AN672+AO672+AP672+AQ672&gt;=AK672,AN672+AO672+AP672+AQ672+AR672&gt;=AK672),AS672,IF(AN672+AO672+AP672+AQ672+AR672+AS672&gt;=AK672,AN672+AO672+AP672+AQ672+AR672+AS672-AK672,0))</f>
        <v>0</v>
      </c>
      <c r="BD672" s="216">
        <f>SUM(AY672:BC672)</f>
        <v>0</v>
      </c>
      <c r="BE672" s="220">
        <f t="shared" si="2224"/>
        <v>0</v>
      </c>
      <c r="BF672" s="220">
        <f t="shared" si="2224"/>
        <v>0</v>
      </c>
      <c r="BG672" s="220">
        <f t="shared" si="2224"/>
        <v>0</v>
      </c>
      <c r="BH672" s="220">
        <f t="shared" si="2224"/>
        <v>0</v>
      </c>
      <c r="BI672" s="220">
        <f t="shared" si="2224"/>
        <v>0</v>
      </c>
      <c r="BJ672" s="220" t="s">
        <v>1807</v>
      </c>
      <c r="BK672" s="220"/>
      <c r="BL672" s="223">
        <f>IF(AW672&lt;BK672,0,IF(AND(BK672=0,AW672&gt;0),AW672,IF(AW672&lt;0,0,IF(BK672&gt;0,AW672-BK672,IF(BK672&lt;0,0,AW672)))))</f>
        <v>0</v>
      </c>
      <c r="BM672" s="220">
        <v>3.66</v>
      </c>
      <c r="BN672" s="220"/>
      <c r="BO672" s="220">
        <f t="shared" si="2205"/>
        <v>3.66</v>
      </c>
      <c r="BP672" s="220">
        <f>IF(AND(BL672&gt;0,BL672&lt;tiet!$D$1),BL672,IF(BL672&lt;=0,0,IF(BL672&gt;tiet!$C$1,tiet!$C$1)))</f>
        <v>0</v>
      </c>
      <c r="BQ672" s="87">
        <f>VLOOKUP(P672,ma_dinhmuc_moi,4,0)</f>
        <v>65000</v>
      </c>
      <c r="BR672" s="224">
        <f>ROUND(BQ672*BP672,0)</f>
        <v>0</v>
      </c>
      <c r="BS672" s="220">
        <f t="shared" si="2134"/>
        <v>0</v>
      </c>
      <c r="BT672" s="224">
        <f>VLOOKUP(N672,ma_dinhmuc!$A$1:$J$31,10,0)</f>
        <v>51000</v>
      </c>
      <c r="BU672" s="224">
        <f>ROUND(IF(BS672&gt;0,VLOOKUP(N672,ma_dinhmuc!$A$1:$J$31,10,0)*BS672,0),0)</f>
        <v>0</v>
      </c>
      <c r="BV672" s="224">
        <f>ROUND(BU672+BR672,0)</f>
        <v>0</v>
      </c>
      <c r="BW672" s="224"/>
      <c r="BX672" s="224">
        <v>0</v>
      </c>
      <c r="BY672" s="224"/>
      <c r="BZ672" s="224"/>
      <c r="CA672" s="224"/>
      <c r="CB672" s="224"/>
      <c r="CC672" s="225">
        <f>ROUND(IF(BV672+BW672&gt;BX672+BY672+BZ672+CA672+CB672,(BW672+BV672)-(BX672+BY672+BZ672+CA672+CB672+CB672),0),0)</f>
        <v>0</v>
      </c>
      <c r="CD672" s="224">
        <f>ROUND(IF(BV672+BW672&lt;BX672+BY672+BZ672+CA672-CB672,(BX672+BY672+BZ672+CA672-CB672)-(BW672+BV672),0),0)</f>
        <v>0</v>
      </c>
      <c r="CE672" s="224"/>
      <c r="CF672" s="226"/>
      <c r="CG672" s="87"/>
      <c r="CH672" s="87">
        <f>A672</f>
        <v>32</v>
      </c>
      <c r="CI672" s="227" t="str">
        <f t="shared" si="2217"/>
        <v>Trần Thanh</v>
      </c>
      <c r="CJ672" s="227" t="str">
        <f t="shared" si="2217"/>
        <v>Vân</v>
      </c>
      <c r="CK672" s="87">
        <f>H672</f>
        <v>13</v>
      </c>
      <c r="CL672" s="227" t="str">
        <f t="shared" si="2173"/>
        <v>Sinh thái nông nghiệp</v>
      </c>
      <c r="CM672" s="87" t="str">
        <f>N672</f>
        <v>CS2</v>
      </c>
      <c r="CN672" s="87">
        <f t="shared" si="2225"/>
        <v>270</v>
      </c>
      <c r="CO672" s="87">
        <f t="shared" si="2225"/>
        <v>120</v>
      </c>
      <c r="CP672" s="229">
        <f t="shared" si="2142"/>
        <v>0</v>
      </c>
      <c r="CQ672" s="229">
        <f t="shared" si="2143"/>
        <v>0</v>
      </c>
      <c r="CR672" s="229">
        <f t="shared" si="2144"/>
        <v>0</v>
      </c>
      <c r="CS672" s="229">
        <f t="shared" si="2145"/>
        <v>0</v>
      </c>
      <c r="CT672" s="229">
        <f t="shared" si="2146"/>
        <v>0</v>
      </c>
      <c r="CU672" s="229">
        <f t="shared" si="2147"/>
        <v>0</v>
      </c>
      <c r="CV672" s="229">
        <f t="shared" si="2148"/>
        <v>0</v>
      </c>
      <c r="CW672" s="229">
        <f t="shared" si="2149"/>
        <v>0</v>
      </c>
      <c r="CX672" s="229">
        <f t="shared" si="2150"/>
        <v>0</v>
      </c>
      <c r="CY672" s="229">
        <f t="shared" si="2151"/>
        <v>0</v>
      </c>
      <c r="CZ672" s="229">
        <f t="shared" si="2152"/>
        <v>0</v>
      </c>
      <c r="DA672" s="229">
        <f t="shared" si="2153"/>
        <v>0</v>
      </c>
      <c r="DB672" s="228">
        <f>SUM(CP672:DA672)</f>
        <v>0</v>
      </c>
      <c r="DC672" s="229"/>
      <c r="DD672" s="229"/>
      <c r="DE672" s="229"/>
      <c r="DF672" s="229"/>
      <c r="DG672" s="229"/>
      <c r="DH672" s="229"/>
      <c r="DI672" s="229"/>
      <c r="DJ672" s="229"/>
      <c r="DK672" s="229"/>
      <c r="DL672" s="229"/>
      <c r="DM672" s="229"/>
      <c r="DN672" s="229"/>
      <c r="DO672" s="228">
        <f>SUM(DC672:DN672)</f>
        <v>0</v>
      </c>
      <c r="DP672" s="228">
        <f>DO672+DB672</f>
        <v>0</v>
      </c>
      <c r="DQ672" s="229">
        <f t="shared" si="2154"/>
        <v>0</v>
      </c>
      <c r="DR672" s="229">
        <f t="shared" si="2155"/>
        <v>0</v>
      </c>
      <c r="DS672" s="229">
        <f t="shared" si="2156"/>
        <v>0</v>
      </c>
      <c r="DT672" s="229">
        <f t="shared" si="2157"/>
        <v>0</v>
      </c>
      <c r="DU672" s="229">
        <f t="shared" si="2158"/>
        <v>0</v>
      </c>
      <c r="DV672" s="229">
        <f t="shared" si="2159"/>
        <v>0</v>
      </c>
      <c r="DW672" s="229">
        <f t="shared" si="2160"/>
        <v>0</v>
      </c>
      <c r="DX672" s="228">
        <f>SUM(DQ672:DW672)</f>
        <v>0</v>
      </c>
      <c r="DY672" s="229"/>
      <c r="DZ672" s="229"/>
      <c r="EA672" s="229"/>
      <c r="EB672" s="229"/>
      <c r="EC672" s="229"/>
      <c r="ED672" s="229"/>
      <c r="EE672" s="229"/>
      <c r="EF672" s="228">
        <f t="shared" si="2138"/>
        <v>0</v>
      </c>
      <c r="EG672" s="228">
        <f>EF672+DX672</f>
        <v>0</v>
      </c>
      <c r="EH672" s="229">
        <f t="shared" si="2139"/>
        <v>0</v>
      </c>
      <c r="EI672" s="229">
        <v>0</v>
      </c>
      <c r="EJ672" s="228">
        <f t="shared" si="2208"/>
        <v>0</v>
      </c>
      <c r="EK672" s="229"/>
      <c r="EL672" s="229"/>
      <c r="EM672" s="228">
        <f t="shared" si="2209"/>
        <v>0</v>
      </c>
      <c r="EN672" s="229">
        <f>EK672+EH672+EL672</f>
        <v>0</v>
      </c>
      <c r="EO672" s="229">
        <f>EI672</f>
        <v>0</v>
      </c>
      <c r="EP672" s="228">
        <f>EM672+EJ672</f>
        <v>0</v>
      </c>
      <c r="EQ672" s="173">
        <f t="shared" si="2135"/>
        <v>0</v>
      </c>
      <c r="ER672" s="189">
        <v>0</v>
      </c>
      <c r="ES672" s="189">
        <v>0</v>
      </c>
      <c r="ET672" s="189">
        <v>0</v>
      </c>
      <c r="EU672" s="189">
        <v>0</v>
      </c>
      <c r="EV672" s="189">
        <v>0</v>
      </c>
      <c r="EW672" s="189">
        <v>0</v>
      </c>
      <c r="EX672" s="189">
        <v>0</v>
      </c>
      <c r="EY672" s="189">
        <v>0</v>
      </c>
      <c r="EZ672" s="189">
        <v>0</v>
      </c>
      <c r="FA672" s="189">
        <v>0</v>
      </c>
      <c r="FB672" s="189">
        <v>0</v>
      </c>
      <c r="FC672" s="189">
        <v>0</v>
      </c>
      <c r="FD672" s="189">
        <v>0</v>
      </c>
      <c r="FE672" s="189">
        <v>0</v>
      </c>
      <c r="FF672" s="189">
        <v>0</v>
      </c>
      <c r="FG672" s="189">
        <v>0</v>
      </c>
      <c r="FH672" s="189">
        <v>0</v>
      </c>
      <c r="FI672" s="189">
        <v>0</v>
      </c>
      <c r="FJ672" s="189">
        <v>0</v>
      </c>
      <c r="FK672" s="189">
        <v>0</v>
      </c>
      <c r="FL672" s="189">
        <v>0</v>
      </c>
      <c r="FN672" s="132">
        <v>0</v>
      </c>
    </row>
    <row r="673" spans="1:170" ht="30" customHeight="1">
      <c r="A673" s="88">
        <f>COUNTIF($H$12:H685,H673)</f>
        <v>45</v>
      </c>
      <c r="B673" s="88" t="s">
        <v>309</v>
      </c>
      <c r="C673" s="88" t="s">
        <v>1529</v>
      </c>
      <c r="D673" s="88"/>
      <c r="E673" s="88"/>
      <c r="F673" s="301" t="s">
        <v>184</v>
      </c>
      <c r="G673" s="89" t="s">
        <v>1878</v>
      </c>
      <c r="H673" s="88">
        <v>13</v>
      </c>
      <c r="I673" s="88">
        <v>13</v>
      </c>
      <c r="J673" s="88">
        <v>13</v>
      </c>
      <c r="K673" s="90" t="s">
        <v>2443</v>
      </c>
      <c r="L673" s="90" t="s">
        <v>2443</v>
      </c>
      <c r="M673" s="214"/>
      <c r="N673" s="88" t="s">
        <v>1804</v>
      </c>
      <c r="O673" s="216">
        <f t="shared" si="2203"/>
        <v>3.33</v>
      </c>
      <c r="P673" s="88" t="str">
        <f>IF(BO673&lt;3.33,"B1_3",IF(AND(BO673&gt;=3.33,BO673&lt;4.65),"B1_4",IF(AND(BO673&gt;=4.65,BO673&lt;5.42),"B1_5",IF(AND(BO673&gt;=5.42,BO673&lt;6.44),"B1_6",IF(AND(BO673&gt;=6.44,BO673&lt;=6.92),"B1_7","B1_8")))))</f>
        <v>B1_4</v>
      </c>
      <c r="Q673" s="88">
        <f>IF(M673&gt;0,VLOOKUP(P673,ma_dinhmuc_moi,2,0)/2,VLOOKUP(P673,ma_dinhmuc_moi,2,0))</f>
        <v>270</v>
      </c>
      <c r="R673" s="88">
        <f>IF(M673&gt;0,VLOOKUP(P673,ma_dinhmuc_moi,3,0)/2,VLOOKUP(P673,ma_dinhmuc_moi,3,0))</f>
        <v>120</v>
      </c>
      <c r="S673" s="218" t="s">
        <v>3189</v>
      </c>
      <c r="T673" s="88" t="s">
        <v>2961</v>
      </c>
      <c r="U673" s="88">
        <f>IF(RIGHT(T673,1)="K",(VLOOKUP(T673,ma_miengiam!$A$3:$B$80,2,0)*100)/2,VLOOKUP(T673,ma_miengiam!$A$3:$B$80,2,0)*100)</f>
        <v>100</v>
      </c>
      <c r="V673" s="88"/>
      <c r="W673" s="220">
        <f>IF(AND(T673="NTS",V673&gt;0),(Q673-(Q673*V673)/12)*VLOOKUP(T673,ma_miengiam!$A$3:$B$80,2,0)+(Q673-(Q673*(12-V673))/12),IF(AND(RIGHT(T673,1)="K",V673&gt;0),(VLOOKUP(T673,ma_miengiam!$A$3:$B$80,2,0)/2)*(Q673*V673)/12,IF(RIGHT(T673,1)="K",(VLOOKUP(T673,ma_miengiam!$A$3:$B$80,2,0)*Q673)/2,IF(V673&gt;0,VLOOKUP(T673,ma_miengiam!$A$3:$B$80,2,0)*Q673*V673/12,VLOOKUP(T673,ma_miengiam!$A$3:$B$80,2,0)*Q673))))</f>
        <v>270</v>
      </c>
      <c r="X673" s="220">
        <f>IF(T673="NTS",VLOOKUP(T673,ma_miengiam!$A$3:$B$80,2,0)*R673*V673,IF(AND(T673="NTS",V673=0),0,IF(AND(LEFT(T673,1)="K",V673=0),VLOOKUP(T673,ma_miengiam!$A$3:$B$80,2,0)*R673,IF(LEFT(T673,1)="K",(VLOOKUP(T673,ma_miengiam!$A$3:$B$80,2,0)*R673/12)*V673,IF(AND(LEFT(T673,1)="S",V673&gt;0),(R673/12)*V673,IF(AND(LEFT(T673,1)="S",V673=0),R673,IF(T673="DH",VLOOKUP(T673,ma_miengiam!$A$3:$B$80,2,0)*R673,0)))))))</f>
        <v>120</v>
      </c>
      <c r="Y673" s="220">
        <f>IF(AND(T673="DH",V673&gt;0),(S673*V673/12),IF(AND(T673&lt;&gt;"NTS",V673&gt;0),(Q673*V673/12)-W673,IF(AND(T673="NTS",V673&gt;0),Q673-W673,Q673-W673)))</f>
        <v>0</v>
      </c>
      <c r="Z673" s="220">
        <f>IF(AND(T673="SĐH",V673&gt;0),(R673/12)*V673-X673,IF(AND(T673="DH",V673&gt;0),(R673*V673/12),IF(AND(T673&lt;&gt;"NTS",V673&gt;0),(R673*V673/12)-X673,IF(AND(T673="NTS",V673&gt;0),R673-X673,R673-X673))))</f>
        <v>0</v>
      </c>
      <c r="AA673" s="220">
        <f t="shared" si="2212"/>
        <v>270</v>
      </c>
      <c r="AB673" s="220">
        <f t="shared" si="2212"/>
        <v>120</v>
      </c>
      <c r="AC673" s="220">
        <f t="shared" si="2221"/>
        <v>270</v>
      </c>
      <c r="AD673" s="220">
        <f t="shared" si="2221"/>
        <v>120</v>
      </c>
      <c r="AE673" s="220">
        <f t="shared" si="2221"/>
        <v>0</v>
      </c>
      <c r="AF673" s="220">
        <f t="shared" si="2221"/>
        <v>0</v>
      </c>
      <c r="AG673" s="220">
        <f>AH673+AI673</f>
        <v>0</v>
      </c>
      <c r="AH673" s="220">
        <f>EO673</f>
        <v>0</v>
      </c>
      <c r="AI673" s="220">
        <f>EN673</f>
        <v>0</v>
      </c>
      <c r="AJ673" s="220">
        <f>IF(AG673-Z673&gt;0,0,AG673-Z673)</f>
        <v>0</v>
      </c>
      <c r="AK673" s="216">
        <f>IF(AJ673&gt;=0,Y673,Y673-AJ673)</f>
        <v>0</v>
      </c>
      <c r="AL673" s="220">
        <f>SUM(CP673:CX673)+SUM(DC673:DK673)</f>
        <v>0</v>
      </c>
      <c r="AM673" s="220">
        <f>SUM(DQ673:DU673)+SUM(DY673:EC673)</f>
        <v>0</v>
      </c>
      <c r="AN673" s="221">
        <f>AM673+AL673</f>
        <v>0</v>
      </c>
      <c r="AO673" s="220">
        <f t="shared" si="2222"/>
        <v>0</v>
      </c>
      <c r="AP673" s="220">
        <f t="shared" si="2222"/>
        <v>0</v>
      </c>
      <c r="AQ673" s="220">
        <f t="shared" si="2222"/>
        <v>0</v>
      </c>
      <c r="AR673" s="220">
        <f t="shared" si="2223"/>
        <v>0</v>
      </c>
      <c r="AS673" s="220">
        <f t="shared" si="2223"/>
        <v>0</v>
      </c>
      <c r="AT673" s="216">
        <f>AN673+SUM(AO673:AS673)</f>
        <v>0</v>
      </c>
      <c r="AU673" s="222">
        <f>AN673-AK673</f>
        <v>0</v>
      </c>
      <c r="AV673" s="220"/>
      <c r="AW673" s="220">
        <f>IF(AU673&gt;0,AU673,AV673+AU673)</f>
        <v>0</v>
      </c>
      <c r="AX673" s="216">
        <f>IF(AN673&gt;AK673,0,IF(AW673&lt;0,AN673-AK673+AV673,IF(AW673&gt;=0,0)))</f>
        <v>0</v>
      </c>
      <c r="AY673" s="220">
        <f>IF(AN673&gt;=AK673,AO673,IF(AN673+AO673-AK673&gt;=0,AN673+AO673-AK673,0))</f>
        <v>0</v>
      </c>
      <c r="AZ673" s="220">
        <f>IF(OR(AN673&gt;=AK673,AN673+AO673&gt;=AK673),AP673,IF(AN673+AO673+AP673&gt;AK673,AN673+AO673+AP673-AK673,0))</f>
        <v>0</v>
      </c>
      <c r="BA673" s="220">
        <f>IF(OR(AN673&gt;=AK673,AN673+AO673&gt;=AK673,AN673+AO673+AP673&gt;=AK673),AQ673,IF(AN673+AO673+AP673+AQ673&gt;=AK673,AN673+AO673+AP673+AQ673-AK673,0))</f>
        <v>0</v>
      </c>
      <c r="BB673" s="220">
        <f>IF(OR(AN673&gt;=AK673,AN673+AO673&gt;=AK673,AN673+AO673+AP673&gt;=AK673,AN673+AO673+AP673+AQ673&gt;=AK673),AR673,IF(AN673+AO673+AP673+AQ673+AR673&gt;=AK673,AN673+AO673+AP673+AQ673+AR673-AK673,0))</f>
        <v>0</v>
      </c>
      <c r="BC673" s="220">
        <f>IF(OR(AN673&gt;=AK673,AN673+AO673&gt;=AK673,AN673+AO673+AP673&gt;=AK673,AN673+AO673+AP673+AQ673&gt;=AK673,AN673+AO673+AP673+AQ673+AR673&gt;=AK673),AS673,IF(AN673+AO673+AP673+AQ673+AR673+AS673&gt;=AK673,AN673+AO673+AP673+AQ673+AR673+AS673-AK673,0))</f>
        <v>0</v>
      </c>
      <c r="BD673" s="216">
        <f>SUM(AY673:BC673)</f>
        <v>0</v>
      </c>
      <c r="BE673" s="220">
        <f t="shared" si="2224"/>
        <v>0</v>
      </c>
      <c r="BF673" s="220">
        <f t="shared" si="2224"/>
        <v>0</v>
      </c>
      <c r="BG673" s="220">
        <f t="shared" si="2224"/>
        <v>0</v>
      </c>
      <c r="BH673" s="220">
        <f t="shared" si="2224"/>
        <v>0</v>
      </c>
      <c r="BI673" s="220">
        <f t="shared" si="2224"/>
        <v>0</v>
      </c>
      <c r="BJ673" s="220" t="s">
        <v>1807</v>
      </c>
      <c r="BK673" s="220"/>
      <c r="BL673" s="223">
        <f>IF(AW673&lt;BK673,0,IF(AND(BK673=0,AW673&gt;0),AW673,IF(AW673&lt;0,0,IF(BK673&gt;0,AW673-BK673,IF(BK673&lt;0,0,AW673)))))</f>
        <v>0</v>
      </c>
      <c r="BM673" s="220">
        <v>3.33</v>
      </c>
      <c r="BN673" s="220"/>
      <c r="BO673" s="220">
        <f t="shared" si="2205"/>
        <v>3.33</v>
      </c>
      <c r="BP673" s="220">
        <f>IF(AND(BL673&gt;0,BL673&lt;tiet!$D$1),BL673,IF(BL673&lt;=0,0,IF(BL673&gt;tiet!$C$1,tiet!$C$1)))</f>
        <v>0</v>
      </c>
      <c r="BQ673" s="87">
        <f>VLOOKUP(P673,ma_dinhmuc_moi,4,0)</f>
        <v>65000</v>
      </c>
      <c r="BR673" s="224">
        <f>ROUND(BQ673*BP673,0)</f>
        <v>0</v>
      </c>
      <c r="BS673" s="220">
        <f t="shared" si="2134"/>
        <v>0</v>
      </c>
      <c r="BT673" s="224">
        <f>VLOOKUP(N673,ma_dinhmuc!$A$1:$J$31,10,0)</f>
        <v>51000</v>
      </c>
      <c r="BU673" s="224">
        <f>ROUND(IF(BS673&gt;0,VLOOKUP(N673,ma_dinhmuc!$A$1:$J$31,10,0)*BS673,0),0)</f>
        <v>0</v>
      </c>
      <c r="BV673" s="224">
        <f>ROUND(BU673+BR673,0)</f>
        <v>0</v>
      </c>
      <c r="BW673" s="224"/>
      <c r="BX673" s="224">
        <v>0</v>
      </c>
      <c r="BY673" s="224"/>
      <c r="BZ673" s="224"/>
      <c r="CA673" s="224"/>
      <c r="CB673" s="224"/>
      <c r="CC673" s="225">
        <f>ROUND(IF(BV673+BW673&gt;BX673+BY673+BZ673+CA673+CB673,(BW673+BV673)-(BX673+BY673+BZ673+CA673+CB673+CB673),0),0)</f>
        <v>0</v>
      </c>
      <c r="CD673" s="224">
        <f>ROUND(IF(BV673+BW673&lt;BX673+BY673+BZ673+CA673-CB673,(BX673+BY673+BZ673+CA673-CB673)-(BW673+BV673),0),0)</f>
        <v>0</v>
      </c>
      <c r="CE673" s="224"/>
      <c r="CF673" s="226"/>
      <c r="CG673" s="87"/>
      <c r="CH673" s="87">
        <f>A673</f>
        <v>45</v>
      </c>
      <c r="CI673" s="227" t="str">
        <f t="shared" si="2217"/>
        <v>Trần Nguyên</v>
      </c>
      <c r="CJ673" s="227" t="str">
        <f t="shared" si="2217"/>
        <v>Bằng</v>
      </c>
      <c r="CK673" s="87">
        <f>H673</f>
        <v>13</v>
      </c>
      <c r="CL673" s="227" t="str">
        <f t="shared" si="2173"/>
        <v>Sinh thái nông nghiệp</v>
      </c>
      <c r="CM673" s="87" t="str">
        <f>N673</f>
        <v>CS2</v>
      </c>
      <c r="CN673" s="87">
        <f t="shared" si="2225"/>
        <v>270</v>
      </c>
      <c r="CO673" s="87">
        <f t="shared" si="2225"/>
        <v>120</v>
      </c>
      <c r="CP673" s="229">
        <f t="shared" si="2142"/>
        <v>0</v>
      </c>
      <c r="CQ673" s="229">
        <f t="shared" si="2143"/>
        <v>0</v>
      </c>
      <c r="CR673" s="229">
        <f t="shared" si="2144"/>
        <v>0</v>
      </c>
      <c r="CS673" s="229">
        <f t="shared" si="2145"/>
        <v>0</v>
      </c>
      <c r="CT673" s="229">
        <f t="shared" si="2146"/>
        <v>0</v>
      </c>
      <c r="CU673" s="229">
        <f t="shared" si="2147"/>
        <v>0</v>
      </c>
      <c r="CV673" s="229">
        <f t="shared" si="2148"/>
        <v>0</v>
      </c>
      <c r="CW673" s="229">
        <f t="shared" si="2149"/>
        <v>0</v>
      </c>
      <c r="CX673" s="229">
        <f t="shared" si="2150"/>
        <v>0</v>
      </c>
      <c r="CY673" s="229">
        <f t="shared" si="2151"/>
        <v>0</v>
      </c>
      <c r="CZ673" s="229">
        <f t="shared" si="2152"/>
        <v>0</v>
      </c>
      <c r="DA673" s="229">
        <f t="shared" si="2153"/>
        <v>0</v>
      </c>
      <c r="DB673" s="228">
        <f>SUM(CP673:DA673)</f>
        <v>0</v>
      </c>
      <c r="DC673" s="229"/>
      <c r="DD673" s="229"/>
      <c r="DE673" s="229"/>
      <c r="DF673" s="229"/>
      <c r="DG673" s="229"/>
      <c r="DH673" s="229"/>
      <c r="DI673" s="229"/>
      <c r="DJ673" s="229"/>
      <c r="DK673" s="229"/>
      <c r="DL673" s="229"/>
      <c r="DM673" s="229"/>
      <c r="DN673" s="229"/>
      <c r="DO673" s="228">
        <f>SUM(DC673:DN673)</f>
        <v>0</v>
      </c>
      <c r="DP673" s="228">
        <f>DO673+DB673</f>
        <v>0</v>
      </c>
      <c r="DQ673" s="229">
        <f t="shared" si="2154"/>
        <v>0</v>
      </c>
      <c r="DR673" s="229">
        <f t="shared" si="2155"/>
        <v>0</v>
      </c>
      <c r="DS673" s="229">
        <f t="shared" si="2156"/>
        <v>0</v>
      </c>
      <c r="DT673" s="229">
        <f t="shared" si="2157"/>
        <v>0</v>
      </c>
      <c r="DU673" s="229">
        <f t="shared" si="2158"/>
        <v>0</v>
      </c>
      <c r="DV673" s="229">
        <f t="shared" si="2159"/>
        <v>0</v>
      </c>
      <c r="DW673" s="229">
        <f t="shared" si="2160"/>
        <v>0</v>
      </c>
      <c r="DX673" s="228">
        <f>SUM(DQ673:DW673)</f>
        <v>0</v>
      </c>
      <c r="DY673" s="229"/>
      <c r="DZ673" s="229"/>
      <c r="EA673" s="229"/>
      <c r="EB673" s="229"/>
      <c r="EC673" s="229"/>
      <c r="ED673" s="229"/>
      <c r="EE673" s="229"/>
      <c r="EF673" s="228">
        <f t="shared" si="2138"/>
        <v>0</v>
      </c>
      <c r="EG673" s="228">
        <f>EF673+DX673</f>
        <v>0</v>
      </c>
      <c r="EH673" s="229">
        <f t="shared" si="2139"/>
        <v>0</v>
      </c>
      <c r="EI673" s="229">
        <v>0</v>
      </c>
      <c r="EJ673" s="228">
        <f t="shared" si="2208"/>
        <v>0</v>
      </c>
      <c r="EK673" s="229"/>
      <c r="EL673" s="229"/>
      <c r="EM673" s="228">
        <f t="shared" si="2209"/>
        <v>0</v>
      </c>
      <c r="EN673" s="229">
        <f>EK673+EH673+EL673</f>
        <v>0</v>
      </c>
      <c r="EO673" s="229">
        <f>EI673</f>
        <v>0</v>
      </c>
      <c r="EP673" s="228">
        <f>EM673+EJ673</f>
        <v>0</v>
      </c>
      <c r="EQ673" s="173">
        <f t="shared" si="2135"/>
        <v>0</v>
      </c>
      <c r="ER673" s="189">
        <v>0</v>
      </c>
      <c r="ES673" s="189">
        <v>0</v>
      </c>
      <c r="ET673" s="189">
        <v>0</v>
      </c>
      <c r="EU673" s="189">
        <v>0</v>
      </c>
      <c r="EV673" s="189">
        <v>0</v>
      </c>
      <c r="EW673" s="189">
        <v>0</v>
      </c>
      <c r="EX673" s="189">
        <v>0</v>
      </c>
      <c r="EY673" s="189">
        <v>0</v>
      </c>
      <c r="EZ673" s="189">
        <v>0</v>
      </c>
      <c r="FA673" s="189">
        <v>0</v>
      </c>
      <c r="FB673" s="189">
        <v>0</v>
      </c>
      <c r="FC673" s="189">
        <v>0</v>
      </c>
      <c r="FD673" s="189">
        <v>0</v>
      </c>
      <c r="FE673" s="189">
        <v>0</v>
      </c>
      <c r="FF673" s="189">
        <v>0</v>
      </c>
      <c r="FG673" s="189">
        <v>0</v>
      </c>
      <c r="FH673" s="189">
        <v>0</v>
      </c>
      <c r="FI673" s="189">
        <v>0</v>
      </c>
      <c r="FJ673" s="189">
        <v>0</v>
      </c>
      <c r="FK673" s="189">
        <v>0</v>
      </c>
      <c r="FL673" s="189">
        <v>0</v>
      </c>
      <c r="FN673" s="132">
        <v>0</v>
      </c>
    </row>
    <row r="674" spans="1:170" ht="27" customHeight="1">
      <c r="A674" s="88">
        <f>COUNTIF($H$12:H674,H674)</f>
        <v>34</v>
      </c>
      <c r="B674" s="88" t="s">
        <v>312</v>
      </c>
      <c r="C674" s="88" t="s">
        <v>1532</v>
      </c>
      <c r="D674" s="88"/>
      <c r="E674" s="88"/>
      <c r="F674" s="301" t="s">
        <v>1052</v>
      </c>
      <c r="G674" s="303" t="s">
        <v>607</v>
      </c>
      <c r="H674" s="88">
        <v>13</v>
      </c>
      <c r="I674" s="88">
        <v>13</v>
      </c>
      <c r="J674" s="88">
        <v>13</v>
      </c>
      <c r="K674" s="90" t="s">
        <v>2444</v>
      </c>
      <c r="L674" s="90" t="s">
        <v>2444</v>
      </c>
      <c r="M674" s="214"/>
      <c r="N674" s="88" t="s">
        <v>606</v>
      </c>
      <c r="O674" s="216">
        <f t="shared" ref="O674:O683" si="2226">BO674</f>
        <v>4.74</v>
      </c>
      <c r="P674" s="88" t="str">
        <f t="shared" si="2140"/>
        <v>B1_5</v>
      </c>
      <c r="Q674" s="88">
        <f t="shared" si="2136"/>
        <v>270</v>
      </c>
      <c r="R674" s="88">
        <f t="shared" si="2137"/>
        <v>150</v>
      </c>
      <c r="S674" s="230" t="s">
        <v>686</v>
      </c>
      <c r="T674" s="88" t="s">
        <v>3092</v>
      </c>
      <c r="U674" s="88">
        <f>IF(RIGHT(T674,1)="K",(VLOOKUP(T674,ma_miengiam!$A$3:$B$80,2,0)*100)/2,VLOOKUP(T674,ma_miengiam!$A$3:$B$80,2,0)*100)</f>
        <v>25</v>
      </c>
      <c r="V674" s="88"/>
      <c r="W674" s="220">
        <f>IF(AND(T674="NTS",V674&gt;0),(Q674-(Q674*V674)/12)*VLOOKUP(T674,ma_miengiam!$A$3:$B$80,2,0)+(Q674-(Q674*(12-V674))/12),IF(AND(RIGHT(T674,1)="K",V674&gt;0),(VLOOKUP(T674,ma_miengiam!$A$3:$B$80,2,0)/2)*(Q674*V674)/12,IF(RIGHT(T674,1)="K",(VLOOKUP(T674,ma_miengiam!$A$3:$B$80,2,0)*Q674)/2,IF(V674&gt;0,VLOOKUP(T674,ma_miengiam!$A$3:$B$80,2,0)*Q674*V674/12,VLOOKUP(T674,ma_miengiam!$A$3:$B$80,2,0)*Q674))))</f>
        <v>67.5</v>
      </c>
      <c r="X674" s="220">
        <f>IF(T674="NTS",VLOOKUP(T674,ma_miengiam!$A$3:$B$80,2,0)*R674*V674,IF(AND(T674="NTS",V674=0),0,IF(AND(LEFT(T674,1)="K",V674=0),VLOOKUP(T674,ma_miengiam!$A$3:$B$80,2,0)*R674,IF(LEFT(T674,1)="K",(VLOOKUP(T674,ma_miengiam!$A$3:$B$80,2,0)*R674/12)*V674,IF(AND(LEFT(T674,1)="S",V674&gt;0),(R674/12)*V674,IF(AND(LEFT(T674,1)="S",V674=0),R674,IF(T674="DH",VLOOKUP(T674,ma_miengiam!$A$3:$B$80,2,0)*R674,0)))))))</f>
        <v>0</v>
      </c>
      <c r="Y674" s="220">
        <f t="shared" si="2161"/>
        <v>202.5</v>
      </c>
      <c r="Z674" s="220">
        <f t="shared" si="2065"/>
        <v>150</v>
      </c>
      <c r="AA674" s="220">
        <f t="shared" ref="AA674:AB678" si="2227">Q674</f>
        <v>270</v>
      </c>
      <c r="AB674" s="220">
        <f t="shared" si="2227"/>
        <v>150</v>
      </c>
      <c r="AC674" s="220">
        <f t="shared" ref="AC674:AF678" si="2228">W674</f>
        <v>67.5</v>
      </c>
      <c r="AD674" s="220">
        <f t="shared" si="2228"/>
        <v>0</v>
      </c>
      <c r="AE674" s="220">
        <f t="shared" si="2228"/>
        <v>202.5</v>
      </c>
      <c r="AF674" s="220">
        <f t="shared" si="2228"/>
        <v>150</v>
      </c>
      <c r="AG674" s="220">
        <f t="shared" si="2214"/>
        <v>57.89</v>
      </c>
      <c r="AH674" s="220">
        <f t="shared" si="2215"/>
        <v>36.46</v>
      </c>
      <c r="AI674" s="220">
        <f t="shared" si="2216"/>
        <v>21.43</v>
      </c>
      <c r="AJ674" s="220">
        <f t="shared" si="2101"/>
        <v>-92.11</v>
      </c>
      <c r="AK674" s="216">
        <f t="shared" si="2051"/>
        <v>294.61</v>
      </c>
      <c r="AL674" s="220">
        <f t="shared" si="2024"/>
        <v>122.3</v>
      </c>
      <c r="AM674" s="220">
        <f t="shared" si="2025"/>
        <v>395.4</v>
      </c>
      <c r="AN674" s="221">
        <f t="shared" si="2026"/>
        <v>517.69999999999993</v>
      </c>
      <c r="AO674" s="220">
        <f t="shared" si="2027"/>
        <v>0</v>
      </c>
      <c r="AP674" s="220">
        <f t="shared" si="2028"/>
        <v>0</v>
      </c>
      <c r="AQ674" s="220">
        <f t="shared" si="2029"/>
        <v>40</v>
      </c>
      <c r="AR674" s="220">
        <f t="shared" si="2030"/>
        <v>160</v>
      </c>
      <c r="AS674" s="220">
        <f t="shared" si="2031"/>
        <v>0</v>
      </c>
      <c r="AT674" s="216">
        <f t="shared" si="2032"/>
        <v>717.69999999999993</v>
      </c>
      <c r="AU674" s="222">
        <f t="shared" si="2122"/>
        <v>223.08999999999992</v>
      </c>
      <c r="AV674" s="220"/>
      <c r="AW674" s="220">
        <f t="shared" si="2174"/>
        <v>223.08999999999992</v>
      </c>
      <c r="AX674" s="216">
        <f t="shared" si="2020"/>
        <v>0</v>
      </c>
      <c r="AY674" s="220">
        <f t="shared" si="2182"/>
        <v>0</v>
      </c>
      <c r="AZ674" s="220">
        <f t="shared" si="2183"/>
        <v>0</v>
      </c>
      <c r="BA674" s="220">
        <f t="shared" si="2184"/>
        <v>40</v>
      </c>
      <c r="BB674" s="220">
        <f t="shared" si="2185"/>
        <v>160</v>
      </c>
      <c r="BC674" s="220">
        <f t="shared" si="2186"/>
        <v>0</v>
      </c>
      <c r="BD674" s="216">
        <f t="shared" si="2197"/>
        <v>200</v>
      </c>
      <c r="BE674" s="220">
        <f t="shared" si="2175"/>
        <v>0</v>
      </c>
      <c r="BF674" s="220">
        <f t="shared" si="2176"/>
        <v>0</v>
      </c>
      <c r="BG674" s="220">
        <f t="shared" si="2177"/>
        <v>0</v>
      </c>
      <c r="BH674" s="220">
        <f t="shared" si="2178"/>
        <v>0</v>
      </c>
      <c r="BI674" s="220">
        <f t="shared" si="2179"/>
        <v>0</v>
      </c>
      <c r="BJ674" s="220" t="s">
        <v>1808</v>
      </c>
      <c r="BK674" s="220"/>
      <c r="BL674" s="223">
        <f t="shared" si="2210"/>
        <v>223.08999999999992</v>
      </c>
      <c r="BM674" s="220">
        <v>4.74</v>
      </c>
      <c r="BN674" s="220"/>
      <c r="BO674" s="220">
        <f t="shared" ref="BO674:BO682" si="2229">ROUND(BM674+(BM674*BN674),2)</f>
        <v>4.74</v>
      </c>
      <c r="BP674" s="220">
        <f>IF(AND(BL674&gt;0,BL674&lt;tiet!$D$1),BL674,IF(BL674&lt;=0,0,IF(BL674&gt;tiet!$C$1,tiet!$C$1)))</f>
        <v>200</v>
      </c>
      <c r="BQ674" s="87">
        <f t="shared" si="2102"/>
        <v>70000</v>
      </c>
      <c r="BR674" s="224">
        <f t="shared" si="2099"/>
        <v>14000000</v>
      </c>
      <c r="BS674" s="220">
        <f t="shared" si="2134"/>
        <v>23.089999999999918</v>
      </c>
      <c r="BT674" s="224">
        <f>VLOOKUP(N674,ma_dinhmuc!$A$1:$J$31,10,0)</f>
        <v>55000</v>
      </c>
      <c r="BU674" s="224">
        <f>ROUND(IF(BS674&gt;0,VLOOKUP(N674,ma_dinhmuc!$A$1:$J$31,10,0)*BS674,0),0)</f>
        <v>1269950</v>
      </c>
      <c r="BV674" s="224">
        <f t="shared" si="2100"/>
        <v>15269950</v>
      </c>
      <c r="BW674" s="224"/>
      <c r="BX674" s="224">
        <v>0</v>
      </c>
      <c r="BY674" s="224"/>
      <c r="BZ674" s="224"/>
      <c r="CA674" s="224"/>
      <c r="CB674" s="224"/>
      <c r="CC674" s="225">
        <f t="shared" si="2112"/>
        <v>15269950</v>
      </c>
      <c r="CD674" s="224">
        <f t="shared" si="2113"/>
        <v>0</v>
      </c>
      <c r="CE674" s="224"/>
      <c r="CF674" s="226"/>
      <c r="CG674" s="87"/>
      <c r="CH674" s="87">
        <f t="shared" ref="CH674:CH684" si="2230">A674</f>
        <v>34</v>
      </c>
      <c r="CI674" s="227" t="str">
        <f t="shared" ref="CI674:CJ678" si="2231">F674</f>
        <v>Trịnh Quang</v>
      </c>
      <c r="CJ674" s="227" t="str">
        <f t="shared" si="2231"/>
        <v>Huy</v>
      </c>
      <c r="CK674" s="87">
        <f t="shared" si="2218"/>
        <v>13</v>
      </c>
      <c r="CL674" s="227" t="str">
        <f t="shared" si="2173"/>
        <v>Công nghệ môi trường</v>
      </c>
      <c r="CM674" s="87" t="str">
        <f t="shared" si="2180"/>
        <v>CS3</v>
      </c>
      <c r="CN674" s="87">
        <f t="shared" si="2219"/>
        <v>270</v>
      </c>
      <c r="CO674" s="87">
        <f t="shared" si="2219"/>
        <v>150</v>
      </c>
      <c r="CP674" s="229">
        <f t="shared" si="2142"/>
        <v>0</v>
      </c>
      <c r="CQ674" s="229">
        <f t="shared" si="2143"/>
        <v>14.9</v>
      </c>
      <c r="CR674" s="229">
        <f t="shared" si="2144"/>
        <v>2.4</v>
      </c>
      <c r="CS674" s="229">
        <f t="shared" si="2145"/>
        <v>0</v>
      </c>
      <c r="CT674" s="229">
        <f t="shared" si="2146"/>
        <v>0</v>
      </c>
      <c r="CU674" s="229">
        <f t="shared" si="2147"/>
        <v>30</v>
      </c>
      <c r="CV674" s="229">
        <f t="shared" si="2148"/>
        <v>0</v>
      </c>
      <c r="CW674" s="229">
        <f t="shared" si="2149"/>
        <v>75</v>
      </c>
      <c r="CX674" s="229">
        <f t="shared" si="2150"/>
        <v>0</v>
      </c>
      <c r="CY674" s="229">
        <f t="shared" si="2151"/>
        <v>0</v>
      </c>
      <c r="CZ674" s="229">
        <f t="shared" si="2152"/>
        <v>0</v>
      </c>
      <c r="DA674" s="229">
        <f t="shared" si="2153"/>
        <v>40</v>
      </c>
      <c r="DB674" s="228">
        <f t="shared" si="2045"/>
        <v>162.30000000000001</v>
      </c>
      <c r="DC674" s="229"/>
      <c r="DD674" s="229"/>
      <c r="DE674" s="229"/>
      <c r="DF674" s="229"/>
      <c r="DG674" s="229"/>
      <c r="DH674" s="229"/>
      <c r="DI674" s="229"/>
      <c r="DJ674" s="229"/>
      <c r="DK674" s="229"/>
      <c r="DL674" s="229"/>
      <c r="DM674" s="229"/>
      <c r="DN674" s="229"/>
      <c r="DO674" s="228">
        <f t="shared" si="2046"/>
        <v>0</v>
      </c>
      <c r="DP674" s="228">
        <f t="shared" si="2047"/>
        <v>162.30000000000001</v>
      </c>
      <c r="DQ674" s="229">
        <f t="shared" si="2154"/>
        <v>378</v>
      </c>
      <c r="DR674" s="229">
        <f t="shared" si="2155"/>
        <v>13.4</v>
      </c>
      <c r="DS674" s="229">
        <f t="shared" si="2156"/>
        <v>0</v>
      </c>
      <c r="DT674" s="229">
        <f t="shared" si="2157"/>
        <v>4</v>
      </c>
      <c r="DU674" s="229">
        <f t="shared" si="2158"/>
        <v>0</v>
      </c>
      <c r="DV674" s="229">
        <f t="shared" si="2159"/>
        <v>160</v>
      </c>
      <c r="DW674" s="229">
        <f t="shared" si="2160"/>
        <v>0</v>
      </c>
      <c r="DX674" s="228">
        <f t="shared" si="2048"/>
        <v>555.4</v>
      </c>
      <c r="DY674" s="229"/>
      <c r="DZ674" s="229"/>
      <c r="EA674" s="229"/>
      <c r="EB674" s="229"/>
      <c r="EC674" s="229"/>
      <c r="ED674" s="229"/>
      <c r="EE674" s="229"/>
      <c r="EF674" s="228">
        <f t="shared" si="2138"/>
        <v>0</v>
      </c>
      <c r="EG674" s="228">
        <f t="shared" si="2049"/>
        <v>555.4</v>
      </c>
      <c r="EH674" s="229">
        <f t="shared" si="2139"/>
        <v>21.43</v>
      </c>
      <c r="EI674" s="229">
        <v>36.46</v>
      </c>
      <c r="EJ674" s="228">
        <f t="shared" ref="EJ674:EJ679" si="2232">SUM(EH674:EI674)</f>
        <v>57.89</v>
      </c>
      <c r="EK674" s="229"/>
      <c r="EL674" s="229"/>
      <c r="EM674" s="228">
        <f t="shared" si="2202"/>
        <v>0</v>
      </c>
      <c r="EN674" s="229">
        <f t="shared" si="2220"/>
        <v>21.43</v>
      </c>
      <c r="EO674" s="229">
        <f t="shared" si="2123"/>
        <v>36.46</v>
      </c>
      <c r="EP674" s="228">
        <f t="shared" si="2211"/>
        <v>57.89</v>
      </c>
      <c r="EQ674" s="173">
        <f t="shared" si="2135"/>
        <v>0</v>
      </c>
      <c r="ER674" s="189">
        <v>0</v>
      </c>
      <c r="ES674" s="189">
        <v>14.9</v>
      </c>
      <c r="ET674" s="189">
        <v>2.4</v>
      </c>
      <c r="EU674" s="189">
        <v>0</v>
      </c>
      <c r="EV674" s="189">
        <v>0</v>
      </c>
      <c r="EW674" s="189">
        <v>30</v>
      </c>
      <c r="EX674" s="189">
        <v>0</v>
      </c>
      <c r="EY674" s="189">
        <v>75</v>
      </c>
      <c r="EZ674" s="189">
        <v>0</v>
      </c>
      <c r="FA674" s="189">
        <v>0</v>
      </c>
      <c r="FB674" s="189">
        <v>0</v>
      </c>
      <c r="FC674" s="189">
        <v>40</v>
      </c>
      <c r="FD674" s="189">
        <v>378</v>
      </c>
      <c r="FE674" s="189">
        <v>13.4</v>
      </c>
      <c r="FF674" s="189">
        <v>0</v>
      </c>
      <c r="FG674" s="189">
        <v>4</v>
      </c>
      <c r="FH674" s="189">
        <v>160</v>
      </c>
      <c r="FI674" s="189">
        <v>0</v>
      </c>
      <c r="FJ674" s="189">
        <v>0</v>
      </c>
      <c r="FK674" s="189">
        <v>717.7</v>
      </c>
      <c r="FL674" s="189">
        <v>515</v>
      </c>
      <c r="FN674" s="132">
        <v>21.43</v>
      </c>
    </row>
    <row r="675" spans="1:170" ht="30" customHeight="1">
      <c r="A675" s="88">
        <f>COUNTIF($H$12:H675,H675)</f>
        <v>35</v>
      </c>
      <c r="B675" s="88" t="s">
        <v>313</v>
      </c>
      <c r="C675" s="88" t="s">
        <v>1533</v>
      </c>
      <c r="D675" s="88"/>
      <c r="E675" s="88"/>
      <c r="F675" s="301" t="s">
        <v>2912</v>
      </c>
      <c r="G675" s="89" t="s">
        <v>544</v>
      </c>
      <c r="H675" s="88">
        <v>13</v>
      </c>
      <c r="I675" s="88">
        <v>13</v>
      </c>
      <c r="J675" s="88">
        <v>13</v>
      </c>
      <c r="K675" s="90" t="s">
        <v>2444</v>
      </c>
      <c r="L675" s="90" t="s">
        <v>2444</v>
      </c>
      <c r="M675" s="214"/>
      <c r="N675" s="88" t="s">
        <v>1804</v>
      </c>
      <c r="O675" s="216">
        <f t="shared" si="2226"/>
        <v>3</v>
      </c>
      <c r="P675" s="88" t="str">
        <f t="shared" si="2140"/>
        <v>B1_3</v>
      </c>
      <c r="Q675" s="88">
        <f t="shared" si="2136"/>
        <v>270</v>
      </c>
      <c r="R675" s="88">
        <f t="shared" si="2137"/>
        <v>100</v>
      </c>
      <c r="S675" s="231" t="s">
        <v>498</v>
      </c>
      <c r="T675" s="88" t="s">
        <v>3091</v>
      </c>
      <c r="U675" s="88">
        <f>IF(RIGHT(T675,1)="K",(VLOOKUP(T675,ma_miengiam!$A$3:$B$80,2,0)*100)/2,VLOOKUP(T675,ma_miengiam!$A$3:$B$80,2,0)*100)</f>
        <v>20</v>
      </c>
      <c r="V675" s="88"/>
      <c r="W675" s="220">
        <f>IF(AND(T675="NTS",V675&gt;0),(Q675-(Q675*V675)/12)*VLOOKUP(T675,ma_miengiam!$A$3:$B$80,2,0)+(Q675-(Q675*(12-V675))/12),IF(AND(RIGHT(T675,1)="K",V675&gt;0),(VLOOKUP(T675,ma_miengiam!$A$3:$B$80,2,0)/2)*(Q675*V675)/12,IF(RIGHT(T675,1)="K",(VLOOKUP(T675,ma_miengiam!$A$3:$B$80,2,0)*Q675)/2,IF(V675&gt;0,VLOOKUP(T675,ma_miengiam!$A$3:$B$80,2,0)*Q675*V675/12,VLOOKUP(T675,ma_miengiam!$A$3:$B$80,2,0)*Q675))))</f>
        <v>54</v>
      </c>
      <c r="X675" s="220">
        <f>IF(T675="NTS",VLOOKUP(T675,ma_miengiam!$A$3:$B$80,2,0)*R675*V675,IF(AND(T675="NTS",V675=0),0,IF(AND(LEFT(T675,1)="K",V675=0),VLOOKUP(T675,ma_miengiam!$A$3:$B$80,2,0)*R675,IF(LEFT(T675,1)="K",(VLOOKUP(T675,ma_miengiam!$A$3:$B$80,2,0)*R675/12)*V675,IF(AND(LEFT(T675,1)="S",V675&gt;0),(R675/12)*V675,IF(AND(LEFT(T675,1)="S",V675=0),R675,IF(T675="DH",VLOOKUP(T675,ma_miengiam!$A$3:$B$80,2,0)*R675,0)))))))</f>
        <v>0</v>
      </c>
      <c r="Y675" s="220">
        <f t="shared" si="2161"/>
        <v>216</v>
      </c>
      <c r="Z675" s="220">
        <f t="shared" si="2065"/>
        <v>100</v>
      </c>
      <c r="AA675" s="220">
        <f t="shared" si="2227"/>
        <v>270</v>
      </c>
      <c r="AB675" s="220">
        <f t="shared" si="2227"/>
        <v>100</v>
      </c>
      <c r="AC675" s="220">
        <f t="shared" si="2228"/>
        <v>54</v>
      </c>
      <c r="AD675" s="220">
        <f t="shared" si="2228"/>
        <v>0</v>
      </c>
      <c r="AE675" s="220">
        <f t="shared" si="2228"/>
        <v>216</v>
      </c>
      <c r="AF675" s="220">
        <f t="shared" si="2228"/>
        <v>100</v>
      </c>
      <c r="AG675" s="220">
        <f t="shared" si="2214"/>
        <v>280</v>
      </c>
      <c r="AH675" s="220">
        <f t="shared" si="2215"/>
        <v>250</v>
      </c>
      <c r="AI675" s="220">
        <f t="shared" si="2216"/>
        <v>30</v>
      </c>
      <c r="AJ675" s="220">
        <f t="shared" si="2101"/>
        <v>0</v>
      </c>
      <c r="AK675" s="216">
        <f t="shared" si="2051"/>
        <v>216</v>
      </c>
      <c r="AL675" s="220">
        <f t="shared" si="2024"/>
        <v>170.7</v>
      </c>
      <c r="AM675" s="220">
        <f t="shared" si="2025"/>
        <v>0</v>
      </c>
      <c r="AN675" s="221">
        <f t="shared" si="2026"/>
        <v>170.7</v>
      </c>
      <c r="AO675" s="220">
        <f t="shared" si="2027"/>
        <v>0</v>
      </c>
      <c r="AP675" s="220">
        <f t="shared" si="2028"/>
        <v>0</v>
      </c>
      <c r="AQ675" s="220">
        <f t="shared" si="2029"/>
        <v>20</v>
      </c>
      <c r="AR675" s="220">
        <f t="shared" si="2030"/>
        <v>0</v>
      </c>
      <c r="AS675" s="220">
        <f t="shared" si="2031"/>
        <v>0</v>
      </c>
      <c r="AT675" s="216">
        <f t="shared" si="2032"/>
        <v>190.7</v>
      </c>
      <c r="AU675" s="222">
        <f t="shared" si="2122"/>
        <v>-45.300000000000011</v>
      </c>
      <c r="AV675" s="220"/>
      <c r="AW675" s="220">
        <f t="shared" si="2174"/>
        <v>-45.300000000000011</v>
      </c>
      <c r="AX675" s="216">
        <f t="shared" si="2020"/>
        <v>-45.300000000000011</v>
      </c>
      <c r="AY675" s="220">
        <f t="shared" si="2182"/>
        <v>0</v>
      </c>
      <c r="AZ675" s="220">
        <f t="shared" si="2183"/>
        <v>0</v>
      </c>
      <c r="BA675" s="220">
        <f t="shared" si="2184"/>
        <v>0</v>
      </c>
      <c r="BB675" s="220">
        <f t="shared" si="2185"/>
        <v>0</v>
      </c>
      <c r="BC675" s="220">
        <f t="shared" si="2186"/>
        <v>0</v>
      </c>
      <c r="BD675" s="216">
        <f t="shared" si="2197"/>
        <v>0</v>
      </c>
      <c r="BE675" s="220">
        <f t="shared" si="2175"/>
        <v>0</v>
      </c>
      <c r="BF675" s="220">
        <f t="shared" si="2176"/>
        <v>0</v>
      </c>
      <c r="BG675" s="220">
        <f t="shared" si="2177"/>
        <v>-20</v>
      </c>
      <c r="BH675" s="220">
        <f t="shared" si="2178"/>
        <v>0</v>
      </c>
      <c r="BI675" s="220">
        <f t="shared" si="2179"/>
        <v>0</v>
      </c>
      <c r="BJ675" s="220" t="s">
        <v>1808</v>
      </c>
      <c r="BK675" s="220"/>
      <c r="BL675" s="223">
        <f t="shared" si="2210"/>
        <v>0</v>
      </c>
      <c r="BM675" s="220">
        <v>3</v>
      </c>
      <c r="BN675" s="220"/>
      <c r="BO675" s="220">
        <f t="shared" si="2229"/>
        <v>3</v>
      </c>
      <c r="BP675" s="220">
        <f>IF(AND(BL675&gt;0,BL675&lt;tiet!$D$1),BL675,IF(BL675&lt;=0,0,IF(BL675&gt;tiet!$C$1,tiet!$C$1)))</f>
        <v>0</v>
      </c>
      <c r="BQ675" s="87">
        <f t="shared" si="2102"/>
        <v>60000</v>
      </c>
      <c r="BR675" s="224">
        <f t="shared" si="2099"/>
        <v>0</v>
      </c>
      <c r="BS675" s="220">
        <f t="shared" si="2134"/>
        <v>0</v>
      </c>
      <c r="BT675" s="224">
        <f>VLOOKUP(N675,ma_dinhmuc!$A$1:$J$31,10,0)</f>
        <v>51000</v>
      </c>
      <c r="BU675" s="224">
        <f>ROUND(IF(BS675&gt;0,VLOOKUP(N675,ma_dinhmuc!$A$1:$J$31,10,0)*BS675,0),0)</f>
        <v>0</v>
      </c>
      <c r="BV675" s="224">
        <f t="shared" si="2100"/>
        <v>0</v>
      </c>
      <c r="BW675" s="224"/>
      <c r="BX675" s="224">
        <v>0</v>
      </c>
      <c r="BY675" s="224"/>
      <c r="BZ675" s="224"/>
      <c r="CA675" s="224"/>
      <c r="CB675" s="224"/>
      <c r="CC675" s="225">
        <f t="shared" si="2112"/>
        <v>0</v>
      </c>
      <c r="CD675" s="224">
        <f t="shared" si="2113"/>
        <v>0</v>
      </c>
      <c r="CE675" s="224"/>
      <c r="CF675" s="226"/>
      <c r="CG675" s="87"/>
      <c r="CH675" s="87">
        <f t="shared" si="2230"/>
        <v>35</v>
      </c>
      <c r="CI675" s="227" t="str">
        <f t="shared" si="2231"/>
        <v>Nguyễn Thị Thu</v>
      </c>
      <c r="CJ675" s="227" t="str">
        <f t="shared" si="2231"/>
        <v>Hà (B)</v>
      </c>
      <c r="CK675" s="87">
        <f t="shared" si="2218"/>
        <v>13</v>
      </c>
      <c r="CL675" s="227" t="str">
        <f t="shared" si="2173"/>
        <v>Công nghệ môi trường</v>
      </c>
      <c r="CM675" s="87" t="str">
        <f t="shared" si="2180"/>
        <v>CS2</v>
      </c>
      <c r="CN675" s="87">
        <f t="shared" si="2219"/>
        <v>270</v>
      </c>
      <c r="CO675" s="87">
        <f t="shared" si="2219"/>
        <v>100</v>
      </c>
      <c r="CP675" s="229">
        <f t="shared" si="2142"/>
        <v>0</v>
      </c>
      <c r="CQ675" s="229">
        <f t="shared" si="2143"/>
        <v>14.7</v>
      </c>
      <c r="CR675" s="229">
        <f t="shared" si="2144"/>
        <v>0</v>
      </c>
      <c r="CS675" s="229">
        <f t="shared" si="2145"/>
        <v>11</v>
      </c>
      <c r="CT675" s="229">
        <f t="shared" si="2146"/>
        <v>0</v>
      </c>
      <c r="CU675" s="229">
        <f t="shared" si="2147"/>
        <v>0</v>
      </c>
      <c r="CV675" s="229">
        <f t="shared" si="2148"/>
        <v>0</v>
      </c>
      <c r="CW675" s="229">
        <f t="shared" si="2149"/>
        <v>145</v>
      </c>
      <c r="CX675" s="229">
        <f t="shared" si="2150"/>
        <v>0</v>
      </c>
      <c r="CY675" s="229">
        <f t="shared" si="2151"/>
        <v>0</v>
      </c>
      <c r="CZ675" s="229">
        <f t="shared" si="2152"/>
        <v>0</v>
      </c>
      <c r="DA675" s="229">
        <f t="shared" si="2153"/>
        <v>20</v>
      </c>
      <c r="DB675" s="228">
        <f t="shared" si="2045"/>
        <v>190.7</v>
      </c>
      <c r="DC675" s="229"/>
      <c r="DD675" s="229"/>
      <c r="DE675" s="229"/>
      <c r="DF675" s="229"/>
      <c r="DG675" s="229"/>
      <c r="DH675" s="229"/>
      <c r="DI675" s="229"/>
      <c r="DJ675" s="229"/>
      <c r="DK675" s="229"/>
      <c r="DL675" s="229"/>
      <c r="DM675" s="229"/>
      <c r="DN675" s="229"/>
      <c r="DO675" s="228">
        <f t="shared" si="2046"/>
        <v>0</v>
      </c>
      <c r="DP675" s="228">
        <f t="shared" si="2047"/>
        <v>190.7</v>
      </c>
      <c r="DQ675" s="229">
        <f t="shared" si="2154"/>
        <v>0</v>
      </c>
      <c r="DR675" s="229">
        <f t="shared" si="2155"/>
        <v>0</v>
      </c>
      <c r="DS675" s="229">
        <f t="shared" si="2156"/>
        <v>0</v>
      </c>
      <c r="DT675" s="229">
        <f t="shared" si="2157"/>
        <v>0</v>
      </c>
      <c r="DU675" s="229">
        <f t="shared" si="2158"/>
        <v>0</v>
      </c>
      <c r="DV675" s="229">
        <f t="shared" si="2159"/>
        <v>0</v>
      </c>
      <c r="DW675" s="229">
        <f t="shared" si="2160"/>
        <v>0</v>
      </c>
      <c r="DX675" s="228">
        <f t="shared" si="2048"/>
        <v>0</v>
      </c>
      <c r="DY675" s="229"/>
      <c r="DZ675" s="229"/>
      <c r="EA675" s="229"/>
      <c r="EB675" s="229"/>
      <c r="EC675" s="229"/>
      <c r="ED675" s="229"/>
      <c r="EE675" s="229"/>
      <c r="EF675" s="228">
        <f t="shared" si="2138"/>
        <v>0</v>
      </c>
      <c r="EG675" s="228">
        <f t="shared" si="2049"/>
        <v>0</v>
      </c>
      <c r="EH675" s="229">
        <f t="shared" si="2139"/>
        <v>30</v>
      </c>
      <c r="EI675" s="229">
        <v>250</v>
      </c>
      <c r="EJ675" s="228">
        <f t="shared" si="2232"/>
        <v>280</v>
      </c>
      <c r="EK675" s="229"/>
      <c r="EL675" s="229"/>
      <c r="EM675" s="228">
        <f t="shared" si="2202"/>
        <v>0</v>
      </c>
      <c r="EN675" s="229">
        <f t="shared" si="2220"/>
        <v>30</v>
      </c>
      <c r="EO675" s="229">
        <f t="shared" si="2123"/>
        <v>250</v>
      </c>
      <c r="EP675" s="228">
        <f t="shared" si="2211"/>
        <v>280</v>
      </c>
      <c r="EQ675" s="173">
        <f t="shared" si="2135"/>
        <v>0</v>
      </c>
      <c r="ER675" s="189">
        <v>0</v>
      </c>
      <c r="ES675" s="189">
        <v>14.7</v>
      </c>
      <c r="ET675" s="189">
        <v>0</v>
      </c>
      <c r="EU675" s="189">
        <v>11</v>
      </c>
      <c r="EV675" s="189">
        <v>0</v>
      </c>
      <c r="EW675" s="189">
        <v>0</v>
      </c>
      <c r="EX675" s="189">
        <v>0</v>
      </c>
      <c r="EY675" s="189">
        <v>145</v>
      </c>
      <c r="EZ675" s="189">
        <v>0</v>
      </c>
      <c r="FA675" s="189">
        <v>0</v>
      </c>
      <c r="FB675" s="189">
        <v>0</v>
      </c>
      <c r="FC675" s="189">
        <v>20</v>
      </c>
      <c r="FD675" s="189">
        <v>0</v>
      </c>
      <c r="FE675" s="189">
        <v>0</v>
      </c>
      <c r="FF675" s="189">
        <v>0</v>
      </c>
      <c r="FG675" s="189">
        <v>0</v>
      </c>
      <c r="FH675" s="189">
        <v>0</v>
      </c>
      <c r="FI675" s="189">
        <v>0</v>
      </c>
      <c r="FJ675" s="189">
        <v>0</v>
      </c>
      <c r="FK675" s="189">
        <v>190.7</v>
      </c>
      <c r="FL675" s="189">
        <v>156</v>
      </c>
      <c r="FN675" s="132">
        <v>30</v>
      </c>
    </row>
    <row r="676" spans="1:170" ht="27" customHeight="1">
      <c r="A676" s="88">
        <f>COUNTIF($H$12:H676,H676)</f>
        <v>36</v>
      </c>
      <c r="B676" s="88" t="s">
        <v>314</v>
      </c>
      <c r="C676" s="88" t="s">
        <v>1534</v>
      </c>
      <c r="D676" s="88"/>
      <c r="E676" s="88"/>
      <c r="F676" s="301" t="s">
        <v>1877</v>
      </c>
      <c r="G676" s="89" t="s">
        <v>2880</v>
      </c>
      <c r="H676" s="88">
        <v>13</v>
      </c>
      <c r="I676" s="88">
        <v>13</v>
      </c>
      <c r="J676" s="88">
        <v>13</v>
      </c>
      <c r="K676" s="90" t="s">
        <v>2444</v>
      </c>
      <c r="L676" s="90" t="s">
        <v>2444</v>
      </c>
      <c r="M676" s="214"/>
      <c r="N676" s="88" t="s">
        <v>1804</v>
      </c>
      <c r="O676" s="216">
        <f t="shared" si="2226"/>
        <v>3.66</v>
      </c>
      <c r="P676" s="88" t="str">
        <f t="shared" si="2140"/>
        <v>B1_4</v>
      </c>
      <c r="Q676" s="88">
        <f t="shared" si="2136"/>
        <v>270</v>
      </c>
      <c r="R676" s="88">
        <f t="shared" si="2137"/>
        <v>120</v>
      </c>
      <c r="S676" s="233" t="s">
        <v>2677</v>
      </c>
      <c r="T676" s="214" t="s">
        <v>3091</v>
      </c>
      <c r="U676" s="88">
        <f>IF(RIGHT(T676,1)="K",(VLOOKUP(T676,ma_miengiam!$A$3:$B$80,2,0)*100)/2,VLOOKUP(T676,ma_miengiam!$A$3:$B$80,2,0)*100)</f>
        <v>20</v>
      </c>
      <c r="V676" s="88"/>
      <c r="W676" s="220">
        <f>IF(AND(T676="NTS",V676&gt;0),(Q676-(Q676*V676)/12)*VLOOKUP(T676,ma_miengiam!$A$3:$B$80,2,0)+(Q676-(Q676*(12-V676))/12),IF(AND(RIGHT(T676,1)="K",V676&gt;0),(VLOOKUP(T676,ma_miengiam!$A$3:$B$80,2,0)/2)*(Q676*V676)/12,IF(RIGHT(T676,1)="K",(VLOOKUP(T676,ma_miengiam!$A$3:$B$80,2,0)*Q676)/2,IF(V676&gt;0,VLOOKUP(T676,ma_miengiam!$A$3:$B$80,2,0)*Q676*V676/12,VLOOKUP(T676,ma_miengiam!$A$3:$B$80,2,0)*Q676))))</f>
        <v>54</v>
      </c>
      <c r="X676" s="220">
        <f>IF(T676="NTS",VLOOKUP(T676,ma_miengiam!$A$3:$B$80,2,0)*R676*V676,IF(AND(T676="NTS",V676=0),0,IF(AND(LEFT(T676,1)="K",V676=0),VLOOKUP(T676,ma_miengiam!$A$3:$B$80,2,0)*R676,IF(LEFT(T676,1)="K",(VLOOKUP(T676,ma_miengiam!$A$3:$B$80,2,0)*R676/12)*V676,IF(AND(LEFT(T676,1)="S",V676&gt;0),(R676/12)*V676,IF(AND(LEFT(T676,1)="S",V676=0),R676,IF(T676="DH",VLOOKUP(T676,ma_miengiam!$A$3:$B$80,2,0)*R676,0)))))))</f>
        <v>0</v>
      </c>
      <c r="Y676" s="220">
        <f t="shared" si="2161"/>
        <v>216</v>
      </c>
      <c r="Z676" s="220">
        <f t="shared" si="2065"/>
        <v>120</v>
      </c>
      <c r="AA676" s="220">
        <f t="shared" si="2227"/>
        <v>270</v>
      </c>
      <c r="AB676" s="220">
        <f t="shared" si="2227"/>
        <v>120</v>
      </c>
      <c r="AC676" s="220">
        <f t="shared" si="2228"/>
        <v>54</v>
      </c>
      <c r="AD676" s="220">
        <f t="shared" si="2228"/>
        <v>0</v>
      </c>
      <c r="AE676" s="220">
        <f t="shared" si="2228"/>
        <v>216</v>
      </c>
      <c r="AF676" s="220">
        <f t="shared" si="2228"/>
        <v>120</v>
      </c>
      <c r="AG676" s="220">
        <f t="shared" si="2214"/>
        <v>219.17</v>
      </c>
      <c r="AH676" s="220">
        <f t="shared" si="2215"/>
        <v>149.16999999999999</v>
      </c>
      <c r="AI676" s="220">
        <f t="shared" si="2216"/>
        <v>70</v>
      </c>
      <c r="AJ676" s="220">
        <f t="shared" si="2101"/>
        <v>0</v>
      </c>
      <c r="AK676" s="216">
        <f t="shared" si="2051"/>
        <v>216</v>
      </c>
      <c r="AL676" s="220">
        <f t="shared" si="2024"/>
        <v>67.400000000000006</v>
      </c>
      <c r="AM676" s="220">
        <f t="shared" si="2025"/>
        <v>0</v>
      </c>
      <c r="AN676" s="221">
        <f t="shared" si="2026"/>
        <v>67.400000000000006</v>
      </c>
      <c r="AO676" s="220">
        <f t="shared" si="2027"/>
        <v>0</v>
      </c>
      <c r="AP676" s="220">
        <f t="shared" si="2028"/>
        <v>0</v>
      </c>
      <c r="AQ676" s="220">
        <f t="shared" si="2029"/>
        <v>20</v>
      </c>
      <c r="AR676" s="220">
        <f t="shared" si="2030"/>
        <v>0</v>
      </c>
      <c r="AS676" s="220">
        <f t="shared" si="2031"/>
        <v>0</v>
      </c>
      <c r="AT676" s="216">
        <f t="shared" si="2032"/>
        <v>87.4</v>
      </c>
      <c r="AU676" s="222">
        <f t="shared" si="2122"/>
        <v>-148.6</v>
      </c>
      <c r="AV676" s="220"/>
      <c r="AW676" s="220">
        <f t="shared" si="2174"/>
        <v>-148.6</v>
      </c>
      <c r="AX676" s="216">
        <f t="shared" si="2020"/>
        <v>-148.6</v>
      </c>
      <c r="AY676" s="220">
        <f t="shared" si="2182"/>
        <v>0</v>
      </c>
      <c r="AZ676" s="220">
        <f t="shared" si="2183"/>
        <v>0</v>
      </c>
      <c r="BA676" s="220">
        <f t="shared" si="2184"/>
        <v>0</v>
      </c>
      <c r="BB676" s="220">
        <f t="shared" si="2185"/>
        <v>0</v>
      </c>
      <c r="BC676" s="220">
        <f t="shared" si="2186"/>
        <v>0</v>
      </c>
      <c r="BD676" s="216">
        <f t="shared" si="2197"/>
        <v>0</v>
      </c>
      <c r="BE676" s="220">
        <f t="shared" si="2175"/>
        <v>0</v>
      </c>
      <c r="BF676" s="220">
        <f t="shared" si="2176"/>
        <v>0</v>
      </c>
      <c r="BG676" s="220">
        <f t="shared" si="2177"/>
        <v>-20</v>
      </c>
      <c r="BH676" s="220">
        <f t="shared" si="2178"/>
        <v>0</v>
      </c>
      <c r="BI676" s="220">
        <f t="shared" si="2179"/>
        <v>0</v>
      </c>
      <c r="BJ676" s="220" t="s">
        <v>1808</v>
      </c>
      <c r="BK676" s="220"/>
      <c r="BL676" s="223">
        <f t="shared" si="2210"/>
        <v>0</v>
      </c>
      <c r="BM676" s="220">
        <v>3.66</v>
      </c>
      <c r="BN676" s="220"/>
      <c r="BO676" s="220">
        <f t="shared" si="2229"/>
        <v>3.66</v>
      </c>
      <c r="BP676" s="220">
        <f>IF(AND(BL676&gt;0,BL676&lt;tiet!$D$1),BL676,IF(BL676&lt;=0,0,IF(BL676&gt;tiet!$C$1,tiet!$C$1)))</f>
        <v>0</v>
      </c>
      <c r="BQ676" s="87">
        <f t="shared" si="2102"/>
        <v>65000</v>
      </c>
      <c r="BR676" s="224">
        <f t="shared" si="2099"/>
        <v>0</v>
      </c>
      <c r="BS676" s="220">
        <f t="shared" si="2134"/>
        <v>0</v>
      </c>
      <c r="BT676" s="224">
        <f>VLOOKUP(N676,ma_dinhmuc!$A$1:$J$31,10,0)</f>
        <v>51000</v>
      </c>
      <c r="BU676" s="224">
        <f>ROUND(IF(BS676&gt;0,VLOOKUP(N676,ma_dinhmuc!$A$1:$J$31,10,0)*BS676,0),0)</f>
        <v>0</v>
      </c>
      <c r="BV676" s="224">
        <f t="shared" si="2100"/>
        <v>0</v>
      </c>
      <c r="BW676" s="224"/>
      <c r="BX676" s="224">
        <v>0</v>
      </c>
      <c r="BY676" s="224"/>
      <c r="BZ676" s="224"/>
      <c r="CA676" s="224"/>
      <c r="CB676" s="224"/>
      <c r="CC676" s="225">
        <f t="shared" si="2112"/>
        <v>0</v>
      </c>
      <c r="CD676" s="224">
        <f t="shared" si="2113"/>
        <v>0</v>
      </c>
      <c r="CE676" s="224"/>
      <c r="CF676" s="226"/>
      <c r="CG676" s="87"/>
      <c r="CH676" s="87">
        <f t="shared" si="2230"/>
        <v>36</v>
      </c>
      <c r="CI676" s="227" t="str">
        <f t="shared" si="2231"/>
        <v>Nguyễn Ngọc</v>
      </c>
      <c r="CJ676" s="227" t="str">
        <f t="shared" si="2231"/>
        <v>Tú</v>
      </c>
      <c r="CK676" s="87">
        <f t="shared" si="2218"/>
        <v>13</v>
      </c>
      <c r="CL676" s="227" t="str">
        <f t="shared" si="2173"/>
        <v>Công nghệ môi trường</v>
      </c>
      <c r="CM676" s="87" t="str">
        <f t="shared" si="2180"/>
        <v>CS2</v>
      </c>
      <c r="CN676" s="87">
        <f t="shared" ref="CN676:CO678" si="2233">Q676</f>
        <v>270</v>
      </c>
      <c r="CO676" s="87">
        <f t="shared" si="2233"/>
        <v>120</v>
      </c>
      <c r="CP676" s="229">
        <f t="shared" si="2142"/>
        <v>0</v>
      </c>
      <c r="CQ676" s="229">
        <f t="shared" si="2143"/>
        <v>3.1</v>
      </c>
      <c r="CR676" s="229">
        <f t="shared" si="2144"/>
        <v>1.3</v>
      </c>
      <c r="CS676" s="229">
        <f t="shared" si="2145"/>
        <v>18</v>
      </c>
      <c r="CT676" s="229">
        <f t="shared" si="2146"/>
        <v>0</v>
      </c>
      <c r="CU676" s="229">
        <f t="shared" si="2147"/>
        <v>45</v>
      </c>
      <c r="CV676" s="229">
        <f t="shared" si="2148"/>
        <v>0</v>
      </c>
      <c r="CW676" s="229">
        <f t="shared" si="2149"/>
        <v>0</v>
      </c>
      <c r="CX676" s="229">
        <f t="shared" si="2150"/>
        <v>0</v>
      </c>
      <c r="CY676" s="229">
        <f t="shared" si="2151"/>
        <v>0</v>
      </c>
      <c r="CZ676" s="229">
        <f t="shared" si="2152"/>
        <v>0</v>
      </c>
      <c r="DA676" s="229">
        <f t="shared" si="2153"/>
        <v>20</v>
      </c>
      <c r="DB676" s="228">
        <f t="shared" si="2045"/>
        <v>87.4</v>
      </c>
      <c r="DC676" s="229"/>
      <c r="DD676" s="229"/>
      <c r="DE676" s="229"/>
      <c r="DF676" s="229"/>
      <c r="DG676" s="229"/>
      <c r="DH676" s="229"/>
      <c r="DI676" s="229"/>
      <c r="DJ676" s="229"/>
      <c r="DK676" s="229"/>
      <c r="DL676" s="229"/>
      <c r="DM676" s="229"/>
      <c r="DN676" s="229"/>
      <c r="DO676" s="228">
        <f t="shared" si="2046"/>
        <v>0</v>
      </c>
      <c r="DP676" s="228">
        <f t="shared" si="2047"/>
        <v>87.4</v>
      </c>
      <c r="DQ676" s="229">
        <f t="shared" si="2154"/>
        <v>0</v>
      </c>
      <c r="DR676" s="229">
        <f t="shared" si="2155"/>
        <v>0</v>
      </c>
      <c r="DS676" s="229">
        <f t="shared" si="2156"/>
        <v>0</v>
      </c>
      <c r="DT676" s="229">
        <f t="shared" si="2157"/>
        <v>0</v>
      </c>
      <c r="DU676" s="229">
        <f t="shared" si="2158"/>
        <v>0</v>
      </c>
      <c r="DV676" s="229">
        <f t="shared" si="2159"/>
        <v>0</v>
      </c>
      <c r="DW676" s="229">
        <f t="shared" si="2160"/>
        <v>0</v>
      </c>
      <c r="DX676" s="228">
        <f t="shared" si="2048"/>
        <v>0</v>
      </c>
      <c r="DY676" s="229"/>
      <c r="DZ676" s="229"/>
      <c r="EA676" s="229"/>
      <c r="EB676" s="229"/>
      <c r="EC676" s="229"/>
      <c r="ED676" s="229"/>
      <c r="EE676" s="229"/>
      <c r="EF676" s="228">
        <f t="shared" si="2138"/>
        <v>0</v>
      </c>
      <c r="EG676" s="228">
        <f t="shared" si="2049"/>
        <v>0</v>
      </c>
      <c r="EH676" s="229">
        <f t="shared" si="2139"/>
        <v>70</v>
      </c>
      <c r="EI676" s="229">
        <v>149.16999999999999</v>
      </c>
      <c r="EJ676" s="228">
        <f t="shared" si="2232"/>
        <v>219.17</v>
      </c>
      <c r="EK676" s="229"/>
      <c r="EL676" s="229"/>
      <c r="EM676" s="228">
        <f t="shared" si="2202"/>
        <v>0</v>
      </c>
      <c r="EN676" s="229">
        <f t="shared" si="2220"/>
        <v>70</v>
      </c>
      <c r="EO676" s="229">
        <f t="shared" si="2123"/>
        <v>149.16999999999999</v>
      </c>
      <c r="EP676" s="228">
        <f t="shared" si="2211"/>
        <v>219.17</v>
      </c>
      <c r="EQ676" s="173">
        <f t="shared" si="2135"/>
        <v>0</v>
      </c>
      <c r="ER676" s="189">
        <v>0</v>
      </c>
      <c r="ES676" s="189">
        <v>3.1</v>
      </c>
      <c r="ET676" s="189">
        <v>1.3</v>
      </c>
      <c r="EU676" s="189">
        <v>18</v>
      </c>
      <c r="EV676" s="189">
        <v>0</v>
      </c>
      <c r="EW676" s="189">
        <v>45</v>
      </c>
      <c r="EX676" s="189">
        <v>0</v>
      </c>
      <c r="EY676" s="189">
        <v>0</v>
      </c>
      <c r="EZ676" s="189">
        <v>0</v>
      </c>
      <c r="FA676" s="189">
        <v>0</v>
      </c>
      <c r="FB676" s="189">
        <v>0</v>
      </c>
      <c r="FC676" s="189">
        <v>20</v>
      </c>
      <c r="FD676" s="189">
        <v>0</v>
      </c>
      <c r="FE676" s="189">
        <v>0</v>
      </c>
      <c r="FF676" s="189">
        <v>0</v>
      </c>
      <c r="FG676" s="189">
        <v>0</v>
      </c>
      <c r="FH676" s="189">
        <v>0</v>
      </c>
      <c r="FI676" s="189">
        <v>0</v>
      </c>
      <c r="FJ676" s="189">
        <v>0</v>
      </c>
      <c r="FK676" s="189">
        <v>87.4</v>
      </c>
      <c r="FL676" s="189">
        <v>85</v>
      </c>
      <c r="FN676" s="132">
        <v>70</v>
      </c>
    </row>
    <row r="677" spans="1:170" ht="30" customHeight="1">
      <c r="A677" s="88">
        <f>COUNTIF($H$12:H677,H677)</f>
        <v>37</v>
      </c>
      <c r="B677" s="88" t="s">
        <v>315</v>
      </c>
      <c r="C677" s="88" t="s">
        <v>1535</v>
      </c>
      <c r="D677" s="88"/>
      <c r="E677" s="88"/>
      <c r="F677" s="301" t="s">
        <v>1053</v>
      </c>
      <c r="G677" s="89" t="s">
        <v>2998</v>
      </c>
      <c r="H677" s="88">
        <v>13</v>
      </c>
      <c r="I677" s="88">
        <v>13</v>
      </c>
      <c r="J677" s="88">
        <v>13</v>
      </c>
      <c r="K677" s="90" t="s">
        <v>2444</v>
      </c>
      <c r="L677" s="90" t="s">
        <v>2444</v>
      </c>
      <c r="M677" s="214"/>
      <c r="N677" s="88" t="s">
        <v>1804</v>
      </c>
      <c r="O677" s="216">
        <f t="shared" si="2226"/>
        <v>3.66</v>
      </c>
      <c r="P677" s="88" t="str">
        <f t="shared" si="2140"/>
        <v>B1_4</v>
      </c>
      <c r="Q677" s="88">
        <f t="shared" si="2136"/>
        <v>270</v>
      </c>
      <c r="R677" s="88">
        <f t="shared" si="2137"/>
        <v>120</v>
      </c>
      <c r="S677" s="218"/>
      <c r="T677" s="88" t="s">
        <v>3088</v>
      </c>
      <c r="U677" s="88">
        <f>IF(RIGHT(T677,1)="K",(VLOOKUP(T677,ma_miengiam!$A$3:$B$80,2,0)*100)/2,VLOOKUP(T677,ma_miengiam!$A$3:$B$80,2,0)*100)</f>
        <v>0</v>
      </c>
      <c r="V677" s="88"/>
      <c r="W677" s="220">
        <f>IF(AND(T677="NTS",V677&gt;0),(Q677-(Q677*V677)/12)*VLOOKUP(T677,ma_miengiam!$A$3:$B$80,2,0)+(Q677-(Q677*(12-V677))/12),IF(AND(RIGHT(T677,1)="K",V677&gt;0),(VLOOKUP(T677,ma_miengiam!$A$3:$B$80,2,0)/2)*(Q677*V677)/12,IF(RIGHT(T677,1)="K",(VLOOKUP(T677,ma_miengiam!$A$3:$B$80,2,0)*Q677)/2,IF(V677&gt;0,VLOOKUP(T677,ma_miengiam!$A$3:$B$80,2,0)*Q677*V677/12,VLOOKUP(T677,ma_miengiam!$A$3:$B$80,2,0)*Q677))))</f>
        <v>0</v>
      </c>
      <c r="X677" s="220">
        <f>IF(T677="NTS",VLOOKUP(T677,ma_miengiam!$A$3:$B$80,2,0)*R677*V677,IF(AND(T677="NTS",V677=0),0,IF(AND(LEFT(T677,1)="K",V677=0),VLOOKUP(T677,ma_miengiam!$A$3:$B$80,2,0)*R677,IF(LEFT(T677,1)="K",(VLOOKUP(T677,ma_miengiam!$A$3:$B$80,2,0)*R677/12)*V677,IF(AND(LEFT(T677,1)="S",V677&gt;0),(R677/12)*V677,IF(AND(LEFT(T677,1)="S",V677=0),R677,IF(T677="DH",VLOOKUP(T677,ma_miengiam!$A$3:$B$80,2,0)*R677,0)))))))</f>
        <v>0</v>
      </c>
      <c r="Y677" s="220">
        <f t="shared" si="2161"/>
        <v>270</v>
      </c>
      <c r="Z677" s="220">
        <f t="shared" si="2065"/>
        <v>120</v>
      </c>
      <c r="AA677" s="220">
        <f t="shared" si="2227"/>
        <v>270</v>
      </c>
      <c r="AB677" s="220">
        <f t="shared" si="2227"/>
        <v>120</v>
      </c>
      <c r="AC677" s="220">
        <f t="shared" si="2228"/>
        <v>0</v>
      </c>
      <c r="AD677" s="220">
        <f t="shared" si="2228"/>
        <v>0</v>
      </c>
      <c r="AE677" s="220">
        <f t="shared" si="2228"/>
        <v>270</v>
      </c>
      <c r="AF677" s="220">
        <f t="shared" si="2228"/>
        <v>120</v>
      </c>
      <c r="AG677" s="220">
        <f t="shared" si="2214"/>
        <v>89.17</v>
      </c>
      <c r="AH677" s="220">
        <f t="shared" si="2215"/>
        <v>29.17</v>
      </c>
      <c r="AI677" s="220">
        <f t="shared" si="2216"/>
        <v>60</v>
      </c>
      <c r="AJ677" s="220">
        <f t="shared" si="2101"/>
        <v>-30.83</v>
      </c>
      <c r="AK677" s="216">
        <f t="shared" si="2051"/>
        <v>300.83</v>
      </c>
      <c r="AL677" s="220">
        <f t="shared" si="2024"/>
        <v>69.8</v>
      </c>
      <c r="AM677" s="220">
        <f t="shared" si="2025"/>
        <v>56</v>
      </c>
      <c r="AN677" s="221">
        <f t="shared" si="2026"/>
        <v>125.8</v>
      </c>
      <c r="AO677" s="220">
        <f t="shared" si="2027"/>
        <v>0</v>
      </c>
      <c r="AP677" s="220">
        <f t="shared" si="2028"/>
        <v>0</v>
      </c>
      <c r="AQ677" s="220">
        <f t="shared" si="2029"/>
        <v>40</v>
      </c>
      <c r="AR677" s="220">
        <f t="shared" si="2030"/>
        <v>80</v>
      </c>
      <c r="AS677" s="220">
        <f t="shared" si="2031"/>
        <v>0</v>
      </c>
      <c r="AT677" s="216">
        <f t="shared" si="2032"/>
        <v>245.8</v>
      </c>
      <c r="AU677" s="222">
        <f t="shared" si="2122"/>
        <v>-175.02999999999997</v>
      </c>
      <c r="AV677" s="220"/>
      <c r="AW677" s="220">
        <f t="shared" si="2174"/>
        <v>-175.02999999999997</v>
      </c>
      <c r="AX677" s="216">
        <f t="shared" ref="AX677:AX730" si="2234">IF(AN677&gt;AK677,0,IF(AW677&lt;0,AN677-AK677+AV677,IF(AW677&gt;=0,0)))</f>
        <v>-175.02999999999997</v>
      </c>
      <c r="AY677" s="220">
        <f t="shared" si="2182"/>
        <v>0</v>
      </c>
      <c r="AZ677" s="220">
        <f t="shared" si="2183"/>
        <v>0</v>
      </c>
      <c r="BA677" s="220">
        <f t="shared" si="2184"/>
        <v>0</v>
      </c>
      <c r="BB677" s="220">
        <f t="shared" si="2185"/>
        <v>0</v>
      </c>
      <c r="BC677" s="220">
        <f t="shared" si="2186"/>
        <v>0</v>
      </c>
      <c r="BD677" s="216">
        <f t="shared" si="2197"/>
        <v>0</v>
      </c>
      <c r="BE677" s="220">
        <f t="shared" si="2175"/>
        <v>0</v>
      </c>
      <c r="BF677" s="220">
        <f t="shared" si="2176"/>
        <v>0</v>
      </c>
      <c r="BG677" s="220">
        <f t="shared" si="2177"/>
        <v>-40</v>
      </c>
      <c r="BH677" s="220">
        <f t="shared" si="2178"/>
        <v>-80</v>
      </c>
      <c r="BI677" s="220">
        <f t="shared" si="2179"/>
        <v>0</v>
      </c>
      <c r="BJ677" s="220" t="s">
        <v>1808</v>
      </c>
      <c r="BK677" s="220"/>
      <c r="BL677" s="223">
        <f t="shared" si="2210"/>
        <v>0</v>
      </c>
      <c r="BM677" s="220">
        <v>3.66</v>
      </c>
      <c r="BN677" s="220"/>
      <c r="BO677" s="220">
        <f t="shared" si="2229"/>
        <v>3.66</v>
      </c>
      <c r="BP677" s="220">
        <f>IF(AND(BL677&gt;0,BL677&lt;tiet!$D$1),BL677,IF(BL677&lt;=0,0,IF(BL677&gt;tiet!$C$1,tiet!$C$1)))</f>
        <v>0</v>
      </c>
      <c r="BQ677" s="87">
        <f t="shared" si="2102"/>
        <v>65000</v>
      </c>
      <c r="BR677" s="224">
        <f t="shared" si="2099"/>
        <v>0</v>
      </c>
      <c r="BS677" s="220">
        <f t="shared" si="2134"/>
        <v>0</v>
      </c>
      <c r="BT677" s="224">
        <f>VLOOKUP(N677,ma_dinhmuc!$A$1:$J$31,10,0)</f>
        <v>51000</v>
      </c>
      <c r="BU677" s="224">
        <f>ROUND(IF(BS677&gt;0,VLOOKUP(N677,ma_dinhmuc!$A$1:$J$31,10,0)*BS677,0),0)</f>
        <v>0</v>
      </c>
      <c r="BV677" s="224">
        <f t="shared" si="2100"/>
        <v>0</v>
      </c>
      <c r="BW677" s="224"/>
      <c r="BX677" s="224">
        <v>0</v>
      </c>
      <c r="BY677" s="224"/>
      <c r="BZ677" s="224"/>
      <c r="CA677" s="224"/>
      <c r="CB677" s="224"/>
      <c r="CC677" s="225">
        <f t="shared" si="2112"/>
        <v>0</v>
      </c>
      <c r="CD677" s="224">
        <f t="shared" si="2113"/>
        <v>0</v>
      </c>
      <c r="CE677" s="224"/>
      <c r="CF677" s="226"/>
      <c r="CG677" s="87"/>
      <c r="CH677" s="87">
        <f t="shared" si="2230"/>
        <v>37</v>
      </c>
      <c r="CI677" s="227" t="str">
        <f t="shared" si="2231"/>
        <v>Phạm Châu</v>
      </c>
      <c r="CJ677" s="227" t="str">
        <f t="shared" si="2231"/>
        <v>Thuỳ</v>
      </c>
      <c r="CK677" s="87">
        <f t="shared" si="2218"/>
        <v>13</v>
      </c>
      <c r="CL677" s="227" t="str">
        <f t="shared" si="2173"/>
        <v>Công nghệ môi trường</v>
      </c>
      <c r="CM677" s="87" t="str">
        <f t="shared" si="2180"/>
        <v>CS2</v>
      </c>
      <c r="CN677" s="87">
        <f t="shared" si="2233"/>
        <v>270</v>
      </c>
      <c r="CO677" s="87">
        <f t="shared" si="2233"/>
        <v>120</v>
      </c>
      <c r="CP677" s="229">
        <f t="shared" si="2142"/>
        <v>0</v>
      </c>
      <c r="CQ677" s="229">
        <f t="shared" si="2143"/>
        <v>6.8</v>
      </c>
      <c r="CR677" s="229">
        <f t="shared" si="2144"/>
        <v>0</v>
      </c>
      <c r="CS677" s="229">
        <f t="shared" si="2145"/>
        <v>18</v>
      </c>
      <c r="CT677" s="229">
        <f t="shared" si="2146"/>
        <v>0</v>
      </c>
      <c r="CU677" s="229">
        <f t="shared" si="2147"/>
        <v>0</v>
      </c>
      <c r="CV677" s="229">
        <f t="shared" si="2148"/>
        <v>0</v>
      </c>
      <c r="CW677" s="229">
        <f t="shared" si="2149"/>
        <v>45</v>
      </c>
      <c r="CX677" s="229">
        <f t="shared" si="2150"/>
        <v>0</v>
      </c>
      <c r="CY677" s="229">
        <f t="shared" si="2151"/>
        <v>0</v>
      </c>
      <c r="CZ677" s="229">
        <f t="shared" si="2152"/>
        <v>0</v>
      </c>
      <c r="DA677" s="229">
        <f t="shared" si="2153"/>
        <v>40</v>
      </c>
      <c r="DB677" s="228">
        <f t="shared" ref="DB677:DB740" si="2235">SUM(CP677:DA677)</f>
        <v>109.8</v>
      </c>
      <c r="DC677" s="229"/>
      <c r="DD677" s="229"/>
      <c r="DE677" s="229"/>
      <c r="DF677" s="229"/>
      <c r="DG677" s="229"/>
      <c r="DH677" s="229"/>
      <c r="DI677" s="229"/>
      <c r="DJ677" s="229"/>
      <c r="DK677" s="229"/>
      <c r="DL677" s="229"/>
      <c r="DM677" s="229"/>
      <c r="DN677" s="229"/>
      <c r="DO677" s="228">
        <f t="shared" si="2046"/>
        <v>0</v>
      </c>
      <c r="DP677" s="228">
        <f t="shared" si="2047"/>
        <v>109.8</v>
      </c>
      <c r="DQ677" s="229">
        <f t="shared" si="2154"/>
        <v>54</v>
      </c>
      <c r="DR677" s="229">
        <f t="shared" si="2155"/>
        <v>1.4</v>
      </c>
      <c r="DS677" s="229">
        <f t="shared" si="2156"/>
        <v>0</v>
      </c>
      <c r="DT677" s="229">
        <f t="shared" si="2157"/>
        <v>0.6</v>
      </c>
      <c r="DU677" s="229">
        <f t="shared" si="2158"/>
        <v>0</v>
      </c>
      <c r="DV677" s="229">
        <f t="shared" si="2159"/>
        <v>80</v>
      </c>
      <c r="DW677" s="229">
        <f t="shared" si="2160"/>
        <v>0</v>
      </c>
      <c r="DX677" s="228">
        <f t="shared" ref="DX677:DX740" si="2236">SUM(DQ677:DW677)</f>
        <v>136</v>
      </c>
      <c r="DY677" s="229"/>
      <c r="DZ677" s="229"/>
      <c r="EA677" s="229"/>
      <c r="EB677" s="229"/>
      <c r="EC677" s="229"/>
      <c r="ED677" s="229"/>
      <c r="EE677" s="229"/>
      <c r="EF677" s="228">
        <f t="shared" si="2138"/>
        <v>0</v>
      </c>
      <c r="EG677" s="228">
        <f t="shared" si="2049"/>
        <v>136</v>
      </c>
      <c r="EH677" s="229">
        <f t="shared" si="2139"/>
        <v>60</v>
      </c>
      <c r="EI677" s="229">
        <v>29.17</v>
      </c>
      <c r="EJ677" s="228">
        <f t="shared" si="2232"/>
        <v>89.17</v>
      </c>
      <c r="EK677" s="229"/>
      <c r="EL677" s="229"/>
      <c r="EM677" s="228">
        <f t="shared" si="2202"/>
        <v>0</v>
      </c>
      <c r="EN677" s="229">
        <f t="shared" si="2220"/>
        <v>60</v>
      </c>
      <c r="EO677" s="229">
        <f t="shared" si="2123"/>
        <v>29.17</v>
      </c>
      <c r="EP677" s="228">
        <f t="shared" ref="EP677:EP693" si="2237">EM677+EJ677</f>
        <v>89.17</v>
      </c>
      <c r="EQ677" s="173">
        <f t="shared" si="2135"/>
        <v>0</v>
      </c>
      <c r="ER677" s="189">
        <v>0</v>
      </c>
      <c r="ES677" s="189">
        <v>6.8</v>
      </c>
      <c r="ET677" s="189">
        <v>0</v>
      </c>
      <c r="EU677" s="189">
        <v>18</v>
      </c>
      <c r="EV677" s="189">
        <v>0</v>
      </c>
      <c r="EW677" s="189">
        <v>0</v>
      </c>
      <c r="EX677" s="189">
        <v>0</v>
      </c>
      <c r="EY677" s="189">
        <v>45</v>
      </c>
      <c r="EZ677" s="189">
        <v>0</v>
      </c>
      <c r="FA677" s="189">
        <v>0</v>
      </c>
      <c r="FB677" s="189">
        <v>0</v>
      </c>
      <c r="FC677" s="189">
        <v>40</v>
      </c>
      <c r="FD677" s="189">
        <v>54</v>
      </c>
      <c r="FE677" s="189">
        <v>1.4</v>
      </c>
      <c r="FF677" s="189">
        <v>0</v>
      </c>
      <c r="FG677" s="189">
        <v>0.6</v>
      </c>
      <c r="FH677" s="189">
        <v>80</v>
      </c>
      <c r="FI677" s="189">
        <v>0</v>
      </c>
      <c r="FJ677" s="189">
        <v>0</v>
      </c>
      <c r="FK677" s="189">
        <v>245.8</v>
      </c>
      <c r="FL677" s="189">
        <v>218</v>
      </c>
      <c r="FN677" s="132">
        <v>60</v>
      </c>
    </row>
    <row r="678" spans="1:170" ht="30" customHeight="1">
      <c r="A678" s="88">
        <f>COUNTIF($H$12:H678,H678)</f>
        <v>38</v>
      </c>
      <c r="B678" s="88" t="s">
        <v>316</v>
      </c>
      <c r="C678" s="88" t="s">
        <v>1536</v>
      </c>
      <c r="D678" s="88"/>
      <c r="E678" s="88"/>
      <c r="F678" s="301" t="s">
        <v>1054</v>
      </c>
      <c r="G678" s="89" t="s">
        <v>17</v>
      </c>
      <c r="H678" s="88">
        <v>13</v>
      </c>
      <c r="I678" s="88">
        <v>13</v>
      </c>
      <c r="J678" s="88">
        <v>13</v>
      </c>
      <c r="K678" s="90" t="s">
        <v>2444</v>
      </c>
      <c r="L678" s="90" t="s">
        <v>2444</v>
      </c>
      <c r="M678" s="214"/>
      <c r="N678" s="88" t="s">
        <v>1804</v>
      </c>
      <c r="O678" s="216">
        <f t="shared" si="2226"/>
        <v>3.66</v>
      </c>
      <c r="P678" s="88" t="str">
        <f t="shared" si="2140"/>
        <v>B1_4</v>
      </c>
      <c r="Q678" s="88">
        <f t="shared" si="2136"/>
        <v>270</v>
      </c>
      <c r="R678" s="88">
        <f t="shared" si="2137"/>
        <v>120</v>
      </c>
      <c r="S678" s="234" t="s">
        <v>2678</v>
      </c>
      <c r="T678" s="88" t="s">
        <v>1326</v>
      </c>
      <c r="U678" s="88">
        <f>IF(RIGHT(T678,1)="K",(VLOOKUP(T678,ma_miengiam!$A$3:$B$80,2,0)*100)/2,VLOOKUP(T678,ma_miengiam!$A$3:$B$80,2,0)*100)</f>
        <v>65</v>
      </c>
      <c r="V678" s="88"/>
      <c r="W678" s="220">
        <f>IF(AND(T678="NTS",V678&gt;0),(Q678-(Q678*V678)/12)*VLOOKUP(T678,ma_miengiam!$A$3:$B$80,2,0)+(Q678-(Q678*(12-V678))/12),IF(AND(RIGHT(T678,1)="K",V678&gt;0),(VLOOKUP(T678,ma_miengiam!$A$3:$B$80,2,0)/2)*(Q678*V678)/12,IF(RIGHT(T678,1)="K",(VLOOKUP(T678,ma_miengiam!$A$3:$B$80,2,0)*Q678)/2,IF(V678&gt;0,VLOOKUP(T678,ma_miengiam!$A$3:$B$80,2,0)*Q678*V678/12,VLOOKUP(T678,ma_miengiam!$A$3:$B$80,2,0)*Q678))))</f>
        <v>175.5</v>
      </c>
      <c r="X678" s="220">
        <f>IF(T678="NTS",VLOOKUP(T678,ma_miengiam!$A$3:$B$80,2,0)*R678*V678,IF(AND(T678="NTS",V678=0),0,IF(AND(LEFT(T678,1)="K",V678=0),VLOOKUP(T678,ma_miengiam!$A$3:$B$80,2,0)*R678,IF(LEFT(T678,1)="K",(VLOOKUP(T678,ma_miengiam!$A$3:$B$80,2,0)*R678/12)*V678,IF(AND(LEFT(T678,1)="S",V678&gt;0),(R678/12)*V678,IF(AND(LEFT(T678,1)="S",V678=0),R678,IF(T678="DH",VLOOKUP(T678,ma_miengiam!$A$3:$B$80,2,0)*R678,0)))))))</f>
        <v>120</v>
      </c>
      <c r="Y678" s="220">
        <f t="shared" si="2161"/>
        <v>94.5</v>
      </c>
      <c r="Z678" s="220">
        <f t="shared" si="2065"/>
        <v>0</v>
      </c>
      <c r="AA678" s="220">
        <f t="shared" si="2227"/>
        <v>270</v>
      </c>
      <c r="AB678" s="220">
        <f t="shared" si="2227"/>
        <v>120</v>
      </c>
      <c r="AC678" s="220">
        <f t="shared" si="2228"/>
        <v>175.5</v>
      </c>
      <c r="AD678" s="220">
        <f t="shared" si="2228"/>
        <v>120</v>
      </c>
      <c r="AE678" s="220">
        <f t="shared" si="2228"/>
        <v>94.5</v>
      </c>
      <c r="AF678" s="220">
        <f t="shared" si="2228"/>
        <v>0</v>
      </c>
      <c r="AG678" s="220">
        <f t="shared" si="2214"/>
        <v>167.92</v>
      </c>
      <c r="AH678" s="220">
        <f t="shared" si="2215"/>
        <v>149.16999999999999</v>
      </c>
      <c r="AI678" s="220">
        <f t="shared" si="2216"/>
        <v>18.75</v>
      </c>
      <c r="AJ678" s="220">
        <f t="shared" si="2101"/>
        <v>0</v>
      </c>
      <c r="AK678" s="216">
        <f t="shared" si="2051"/>
        <v>94.5</v>
      </c>
      <c r="AL678" s="220">
        <f t="shared" ref="AL678:AL740" si="2238">SUM(CP678:CX678)+SUM(DC678:DK678)</f>
        <v>73.2</v>
      </c>
      <c r="AM678" s="220">
        <f t="shared" ref="AM678:AM740" si="2239">SUM(DQ678:DU678)+SUM(DY678:EC678)</f>
        <v>0</v>
      </c>
      <c r="AN678" s="221">
        <f t="shared" ref="AN678:AN740" si="2240">AM678+AL678</f>
        <v>73.2</v>
      </c>
      <c r="AO678" s="220">
        <f t="shared" ref="AO678:AO740" si="2241">CY678+DL678</f>
        <v>0</v>
      </c>
      <c r="AP678" s="220">
        <f t="shared" ref="AP678:AP740" si="2242">CZ678+DM678</f>
        <v>0</v>
      </c>
      <c r="AQ678" s="220">
        <f t="shared" ref="AQ678:AQ740" si="2243">DA678+DN678</f>
        <v>0</v>
      </c>
      <c r="AR678" s="220">
        <f t="shared" ref="AR678:AR740" si="2244">DV678+ED678</f>
        <v>0</v>
      </c>
      <c r="AS678" s="220">
        <f t="shared" ref="AS678:AS740" si="2245">DW678+EE678</f>
        <v>0</v>
      </c>
      <c r="AT678" s="216">
        <f t="shared" ref="AT678:AT740" si="2246">AN678+SUM(AO678:AS678)</f>
        <v>73.2</v>
      </c>
      <c r="AU678" s="222">
        <f t="shared" si="2122"/>
        <v>-21.299999999999997</v>
      </c>
      <c r="AV678" s="220"/>
      <c r="AW678" s="220">
        <f t="shared" si="2174"/>
        <v>-21.299999999999997</v>
      </c>
      <c r="AX678" s="216">
        <f t="shared" si="2234"/>
        <v>-21.299999999999997</v>
      </c>
      <c r="AY678" s="220">
        <f t="shared" si="2182"/>
        <v>0</v>
      </c>
      <c r="AZ678" s="220">
        <f t="shared" si="2183"/>
        <v>0</v>
      </c>
      <c r="BA678" s="220">
        <f t="shared" si="2184"/>
        <v>0</v>
      </c>
      <c r="BB678" s="220">
        <f t="shared" si="2185"/>
        <v>0</v>
      </c>
      <c r="BC678" s="220">
        <f t="shared" si="2186"/>
        <v>0</v>
      </c>
      <c r="BD678" s="216">
        <f t="shared" si="2197"/>
        <v>0</v>
      </c>
      <c r="BE678" s="220">
        <f t="shared" si="2175"/>
        <v>0</v>
      </c>
      <c r="BF678" s="220">
        <f t="shared" si="2176"/>
        <v>0</v>
      </c>
      <c r="BG678" s="220">
        <f t="shared" si="2177"/>
        <v>0</v>
      </c>
      <c r="BH678" s="220">
        <f t="shared" si="2178"/>
        <v>0</v>
      </c>
      <c r="BI678" s="220">
        <f t="shared" si="2179"/>
        <v>0</v>
      </c>
      <c r="BJ678" s="220" t="s">
        <v>1808</v>
      </c>
      <c r="BK678" s="220"/>
      <c r="BL678" s="223">
        <f t="shared" si="2210"/>
        <v>0</v>
      </c>
      <c r="BM678" s="220">
        <v>3.66</v>
      </c>
      <c r="BN678" s="220"/>
      <c r="BO678" s="220">
        <f t="shared" si="2229"/>
        <v>3.66</v>
      </c>
      <c r="BP678" s="220">
        <f>IF(AND(BL678&gt;0,BL678&lt;tiet!$D$1),BL678,IF(BL678&lt;=0,0,IF(BL678&gt;tiet!$C$1,tiet!$C$1)))</f>
        <v>0</v>
      </c>
      <c r="BQ678" s="87">
        <f t="shared" si="2102"/>
        <v>65000</v>
      </c>
      <c r="BR678" s="224">
        <f t="shared" si="2099"/>
        <v>0</v>
      </c>
      <c r="BS678" s="220">
        <f t="shared" si="2134"/>
        <v>0</v>
      </c>
      <c r="BT678" s="224">
        <f>VLOOKUP(N678,ma_dinhmuc!$A$1:$J$31,10,0)</f>
        <v>51000</v>
      </c>
      <c r="BU678" s="224">
        <f>ROUND(IF(BS678&gt;0,VLOOKUP(N678,ma_dinhmuc!$A$1:$J$31,10,0)*BS678,0),0)</f>
        <v>0</v>
      </c>
      <c r="BV678" s="224">
        <f t="shared" si="2100"/>
        <v>0</v>
      </c>
      <c r="BW678" s="224"/>
      <c r="BX678" s="224">
        <v>0</v>
      </c>
      <c r="BY678" s="224"/>
      <c r="BZ678" s="224"/>
      <c r="CA678" s="224"/>
      <c r="CB678" s="224"/>
      <c r="CC678" s="225">
        <f t="shared" si="2112"/>
        <v>0</v>
      </c>
      <c r="CD678" s="224">
        <f t="shared" si="2113"/>
        <v>0</v>
      </c>
      <c r="CE678" s="224"/>
      <c r="CF678" s="226"/>
      <c r="CG678" s="87"/>
      <c r="CH678" s="87">
        <f t="shared" si="2230"/>
        <v>38</v>
      </c>
      <c r="CI678" s="227" t="str">
        <f t="shared" si="2231"/>
        <v>Lý Thị Thu</v>
      </c>
      <c r="CJ678" s="227" t="str">
        <f t="shared" si="2231"/>
        <v>Hà</v>
      </c>
      <c r="CK678" s="87">
        <f t="shared" si="2218"/>
        <v>13</v>
      </c>
      <c r="CL678" s="227" t="str">
        <f t="shared" si="2173"/>
        <v>Công nghệ môi trường</v>
      </c>
      <c r="CM678" s="87" t="str">
        <f t="shared" si="2180"/>
        <v>CS2</v>
      </c>
      <c r="CN678" s="87">
        <f t="shared" si="2233"/>
        <v>270</v>
      </c>
      <c r="CO678" s="87">
        <f t="shared" si="2233"/>
        <v>120</v>
      </c>
      <c r="CP678" s="229">
        <f t="shared" si="2142"/>
        <v>0</v>
      </c>
      <c r="CQ678" s="229">
        <f t="shared" si="2143"/>
        <v>10.4</v>
      </c>
      <c r="CR678" s="229">
        <f t="shared" si="2144"/>
        <v>3.3</v>
      </c>
      <c r="CS678" s="229">
        <f t="shared" si="2145"/>
        <v>7</v>
      </c>
      <c r="CT678" s="229">
        <f t="shared" si="2146"/>
        <v>0</v>
      </c>
      <c r="CU678" s="229">
        <f t="shared" si="2147"/>
        <v>30</v>
      </c>
      <c r="CV678" s="229">
        <f t="shared" si="2148"/>
        <v>0</v>
      </c>
      <c r="CW678" s="229">
        <f t="shared" si="2149"/>
        <v>22.5</v>
      </c>
      <c r="CX678" s="229">
        <f t="shared" si="2150"/>
        <v>0</v>
      </c>
      <c r="CY678" s="229">
        <f t="shared" si="2151"/>
        <v>0</v>
      </c>
      <c r="CZ678" s="229">
        <f t="shared" si="2152"/>
        <v>0</v>
      </c>
      <c r="DA678" s="229">
        <f t="shared" si="2153"/>
        <v>0</v>
      </c>
      <c r="DB678" s="228">
        <f t="shared" si="2235"/>
        <v>73.2</v>
      </c>
      <c r="DC678" s="229"/>
      <c r="DD678" s="229"/>
      <c r="DE678" s="229"/>
      <c r="DF678" s="229"/>
      <c r="DG678" s="229"/>
      <c r="DH678" s="229"/>
      <c r="DI678" s="229"/>
      <c r="DJ678" s="229"/>
      <c r="DK678" s="229"/>
      <c r="DL678" s="229"/>
      <c r="DM678" s="229"/>
      <c r="DN678" s="229"/>
      <c r="DO678" s="228">
        <f t="shared" ref="DO678:DO740" si="2247">SUM(DC678:DN678)</f>
        <v>0</v>
      </c>
      <c r="DP678" s="228">
        <f t="shared" ref="DP678:DP740" si="2248">DO678+DB678</f>
        <v>73.2</v>
      </c>
      <c r="DQ678" s="229">
        <f t="shared" si="2154"/>
        <v>0</v>
      </c>
      <c r="DR678" s="229">
        <f t="shared" si="2155"/>
        <v>0</v>
      </c>
      <c r="DS678" s="229">
        <f t="shared" si="2156"/>
        <v>0</v>
      </c>
      <c r="DT678" s="229">
        <f t="shared" si="2157"/>
        <v>0</v>
      </c>
      <c r="DU678" s="229">
        <f t="shared" si="2158"/>
        <v>0</v>
      </c>
      <c r="DV678" s="229">
        <f t="shared" si="2159"/>
        <v>0</v>
      </c>
      <c r="DW678" s="229">
        <f t="shared" si="2160"/>
        <v>0</v>
      </c>
      <c r="DX678" s="228">
        <f t="shared" si="2236"/>
        <v>0</v>
      </c>
      <c r="DY678" s="229"/>
      <c r="DZ678" s="229"/>
      <c r="EA678" s="229"/>
      <c r="EB678" s="229"/>
      <c r="EC678" s="229"/>
      <c r="ED678" s="229"/>
      <c r="EE678" s="229"/>
      <c r="EF678" s="228">
        <f t="shared" si="2138"/>
        <v>0</v>
      </c>
      <c r="EG678" s="228">
        <f t="shared" ref="EG678:EG740" si="2249">EF678+DX678</f>
        <v>0</v>
      </c>
      <c r="EH678" s="229">
        <f t="shared" si="2139"/>
        <v>18.75</v>
      </c>
      <c r="EI678" s="229">
        <v>149.16999999999999</v>
      </c>
      <c r="EJ678" s="228">
        <f t="shared" si="2232"/>
        <v>167.92</v>
      </c>
      <c r="EK678" s="229"/>
      <c r="EL678" s="229"/>
      <c r="EM678" s="228">
        <f t="shared" si="2202"/>
        <v>0</v>
      </c>
      <c r="EN678" s="229">
        <f t="shared" si="2220"/>
        <v>18.75</v>
      </c>
      <c r="EO678" s="229">
        <f t="shared" si="2123"/>
        <v>149.16999999999999</v>
      </c>
      <c r="EP678" s="228">
        <f t="shared" si="2237"/>
        <v>167.92</v>
      </c>
      <c r="EQ678" s="173">
        <f t="shared" si="2135"/>
        <v>18.75</v>
      </c>
      <c r="ER678" s="189">
        <v>0</v>
      </c>
      <c r="ES678" s="189">
        <v>10.4</v>
      </c>
      <c r="ET678" s="189">
        <v>3.3</v>
      </c>
      <c r="EU678" s="189">
        <v>7</v>
      </c>
      <c r="EV678" s="189">
        <v>0</v>
      </c>
      <c r="EW678" s="189">
        <v>30</v>
      </c>
      <c r="EX678" s="189">
        <v>0</v>
      </c>
      <c r="EY678" s="189">
        <v>22.5</v>
      </c>
      <c r="EZ678" s="189">
        <v>0</v>
      </c>
      <c r="FA678" s="189">
        <v>0</v>
      </c>
      <c r="FB678" s="189">
        <v>0</v>
      </c>
      <c r="FC678" s="189">
        <v>0</v>
      </c>
      <c r="FD678" s="189">
        <v>0</v>
      </c>
      <c r="FE678" s="189">
        <v>0</v>
      </c>
      <c r="FF678" s="189">
        <v>0</v>
      </c>
      <c r="FG678" s="189">
        <v>0</v>
      </c>
      <c r="FH678" s="189">
        <v>0</v>
      </c>
      <c r="FI678" s="189">
        <v>0</v>
      </c>
      <c r="FJ678" s="189">
        <v>0</v>
      </c>
      <c r="FK678" s="189">
        <v>73.2</v>
      </c>
      <c r="FL678" s="189">
        <v>55</v>
      </c>
      <c r="FN678" s="132">
        <v>18.75</v>
      </c>
    </row>
    <row r="679" spans="1:170" ht="29.25" customHeight="1">
      <c r="A679" s="88">
        <f>COUNTIF($H$12:H679,H679)</f>
        <v>39</v>
      </c>
      <c r="B679" s="88" t="s">
        <v>317</v>
      </c>
      <c r="C679" s="88" t="s">
        <v>1537</v>
      </c>
      <c r="D679" s="88"/>
      <c r="E679" s="88"/>
      <c r="F679" s="301" t="s">
        <v>1055</v>
      </c>
      <c r="G679" s="89" t="s">
        <v>35</v>
      </c>
      <c r="H679" s="88">
        <v>13</v>
      </c>
      <c r="I679" s="88">
        <v>13</v>
      </c>
      <c r="J679" s="88">
        <v>13</v>
      </c>
      <c r="K679" s="90" t="s">
        <v>2444</v>
      </c>
      <c r="L679" s="90" t="s">
        <v>2444</v>
      </c>
      <c r="M679" s="214"/>
      <c r="N679" s="88" t="s">
        <v>1804</v>
      </c>
      <c r="O679" s="216">
        <f t="shared" si="2226"/>
        <v>3</v>
      </c>
      <c r="P679" s="88" t="str">
        <f t="shared" si="2140"/>
        <v>B1_3</v>
      </c>
      <c r="Q679" s="88">
        <f t="shared" si="2136"/>
        <v>270</v>
      </c>
      <c r="R679" s="88">
        <f t="shared" si="2137"/>
        <v>100</v>
      </c>
      <c r="S679" s="231" t="s">
        <v>498</v>
      </c>
      <c r="T679" s="88" t="s">
        <v>3091</v>
      </c>
      <c r="U679" s="88">
        <f>IF(RIGHT(T679,1)="K",(VLOOKUP(T679,ma_miengiam!$A$3:$B$80,2,0)*100)/2,VLOOKUP(T679,ma_miengiam!$A$3:$B$80,2,0)*100)</f>
        <v>20</v>
      </c>
      <c r="V679" s="88"/>
      <c r="W679" s="220">
        <f>IF(AND(T679="NTS",V679&gt;0),(Q679-(Q679*V679)/12)*VLOOKUP(T679,ma_miengiam!$A$3:$B$80,2,0)+(Q679-(Q679*(12-V679))/12),IF(AND(RIGHT(T679,1)="K",V679&gt;0),(VLOOKUP(T679,ma_miengiam!$A$3:$B$80,2,0)/2)*(Q679*V679)/12,IF(RIGHT(T679,1)="K",(VLOOKUP(T679,ma_miengiam!$A$3:$B$80,2,0)*Q679)/2,IF(V679&gt;0,VLOOKUP(T679,ma_miengiam!$A$3:$B$80,2,0)*Q679*V679/12,VLOOKUP(T679,ma_miengiam!$A$3:$B$80,2,0)*Q679))))</f>
        <v>54</v>
      </c>
      <c r="X679" s="220">
        <f>IF(T679="NTS",VLOOKUP(T679,ma_miengiam!$A$3:$B$80,2,0)*R679*V679,IF(AND(T679="NTS",V679=0),0,IF(AND(LEFT(T679,1)="K",V679=0),VLOOKUP(T679,ma_miengiam!$A$3:$B$80,2,0)*R679,IF(LEFT(T679,1)="K",(VLOOKUP(T679,ma_miengiam!$A$3:$B$80,2,0)*R679/12)*V679,IF(AND(LEFT(T679,1)="S",V679&gt;0),(R679/12)*V679,IF(AND(LEFT(T679,1)="S",V679=0),R679,IF(T679="DH",VLOOKUP(T679,ma_miengiam!$A$3:$B$80,2,0)*R679,0)))))))</f>
        <v>0</v>
      </c>
      <c r="Y679" s="220">
        <f t="shared" si="2161"/>
        <v>216</v>
      </c>
      <c r="Z679" s="220">
        <f>IF(AND(T679="SĐH",V679&gt;0),(R679/12)*V679-X679,IF(AND(T679="DH",V679&gt;0),(R679*V679/12),IF(AND(T679&lt;&gt;"NTS",V679&gt;0),(R679*V679/12)-X679,IF(AND(T679="NTS",V679&gt;0),R679-X679,R679-X679))))</f>
        <v>100</v>
      </c>
      <c r="AA679" s="220">
        <f>Q679</f>
        <v>270</v>
      </c>
      <c r="AB679" s="220">
        <f>R679</f>
        <v>100</v>
      </c>
      <c r="AC679" s="220">
        <f>W679</f>
        <v>54</v>
      </c>
      <c r="AD679" s="220">
        <f>X679</f>
        <v>0</v>
      </c>
      <c r="AE679" s="220">
        <f>Y679</f>
        <v>216</v>
      </c>
      <c r="AF679" s="220">
        <f>Z679</f>
        <v>100</v>
      </c>
      <c r="AG679" s="220">
        <f t="shared" si="2214"/>
        <v>119.25</v>
      </c>
      <c r="AH679" s="220">
        <f t="shared" si="2215"/>
        <v>119.25</v>
      </c>
      <c r="AI679" s="220">
        <f t="shared" si="2216"/>
        <v>0</v>
      </c>
      <c r="AJ679" s="220">
        <f>IF(AG679-Z679&gt;0,0,AG679-Z679)</f>
        <v>0</v>
      </c>
      <c r="AK679" s="216">
        <f t="shared" si="2051"/>
        <v>216</v>
      </c>
      <c r="AL679" s="220">
        <f t="shared" si="2238"/>
        <v>75.7</v>
      </c>
      <c r="AM679" s="220">
        <f t="shared" si="2239"/>
        <v>0</v>
      </c>
      <c r="AN679" s="221">
        <f t="shared" si="2240"/>
        <v>75.7</v>
      </c>
      <c r="AO679" s="220">
        <f t="shared" si="2241"/>
        <v>0</v>
      </c>
      <c r="AP679" s="220">
        <f t="shared" si="2242"/>
        <v>0</v>
      </c>
      <c r="AQ679" s="220">
        <f t="shared" si="2243"/>
        <v>20</v>
      </c>
      <c r="AR679" s="220">
        <f t="shared" si="2244"/>
        <v>0</v>
      </c>
      <c r="AS679" s="220">
        <f t="shared" si="2245"/>
        <v>0</v>
      </c>
      <c r="AT679" s="216">
        <f t="shared" si="2246"/>
        <v>95.7</v>
      </c>
      <c r="AU679" s="222">
        <f t="shared" si="2122"/>
        <v>-140.30000000000001</v>
      </c>
      <c r="AV679" s="220"/>
      <c r="AW679" s="220">
        <f t="shared" si="2174"/>
        <v>-140.30000000000001</v>
      </c>
      <c r="AX679" s="216">
        <f t="shared" si="2234"/>
        <v>-140.30000000000001</v>
      </c>
      <c r="AY679" s="220">
        <f t="shared" si="2182"/>
        <v>0</v>
      </c>
      <c r="AZ679" s="220">
        <f t="shared" si="2183"/>
        <v>0</v>
      </c>
      <c r="BA679" s="220">
        <f t="shared" si="2184"/>
        <v>0</v>
      </c>
      <c r="BB679" s="220">
        <f t="shared" si="2185"/>
        <v>0</v>
      </c>
      <c r="BC679" s="220">
        <f t="shared" si="2186"/>
        <v>0</v>
      </c>
      <c r="BD679" s="216">
        <f t="shared" si="2197"/>
        <v>0</v>
      </c>
      <c r="BE679" s="220">
        <f t="shared" si="2175"/>
        <v>0</v>
      </c>
      <c r="BF679" s="220">
        <f t="shared" si="2176"/>
        <v>0</v>
      </c>
      <c r="BG679" s="220">
        <f t="shared" si="2177"/>
        <v>-20</v>
      </c>
      <c r="BH679" s="220">
        <f t="shared" si="2178"/>
        <v>0</v>
      </c>
      <c r="BI679" s="220">
        <f t="shared" si="2179"/>
        <v>0</v>
      </c>
      <c r="BJ679" s="220" t="s">
        <v>1808</v>
      </c>
      <c r="BK679" s="220"/>
      <c r="BL679" s="223">
        <f t="shared" si="2210"/>
        <v>0</v>
      </c>
      <c r="BM679" s="220">
        <v>3</v>
      </c>
      <c r="BN679" s="220"/>
      <c r="BO679" s="220">
        <f t="shared" si="2229"/>
        <v>3</v>
      </c>
      <c r="BP679" s="220">
        <f>IF(AND(BL679&gt;0,BL679&lt;tiet!$D$1),BL679,IF(BL679&lt;=0,0,IF(BL679&gt;tiet!$C$1,tiet!$C$1)))</f>
        <v>0</v>
      </c>
      <c r="BQ679" s="87">
        <f>VLOOKUP(P679,ma_dinhmuc_moi,4,0)</f>
        <v>60000</v>
      </c>
      <c r="BR679" s="224">
        <f>ROUND(BQ679*BP679,0)</f>
        <v>0</v>
      </c>
      <c r="BS679" s="220">
        <f t="shared" si="2134"/>
        <v>0</v>
      </c>
      <c r="BT679" s="224">
        <f>VLOOKUP(N679,ma_dinhmuc!$A$1:$J$31,10,0)</f>
        <v>51000</v>
      </c>
      <c r="BU679" s="224">
        <f>ROUND(IF(BS679&gt;0,VLOOKUP(N679,ma_dinhmuc!$A$1:$J$31,10,0)*BS679,0),0)</f>
        <v>0</v>
      </c>
      <c r="BV679" s="224">
        <f>ROUND(BU679+BR679,0)</f>
        <v>0</v>
      </c>
      <c r="BW679" s="224"/>
      <c r="BX679" s="224">
        <v>0</v>
      </c>
      <c r="BY679" s="224"/>
      <c r="BZ679" s="224"/>
      <c r="CA679" s="224"/>
      <c r="CB679" s="224"/>
      <c r="CC679" s="225">
        <f>ROUND(IF(BV679+BW679&gt;BX679+BY679+BZ679+CA679+CB679,(BW679+BV679)-(BX679+BY679+BZ679+CA679+CB679+CB679),0),0)</f>
        <v>0</v>
      </c>
      <c r="CD679" s="224">
        <f>ROUND(IF(BV679+BW679&lt;BX679+BY679+BZ679+CA679-CB679,(BX679+BY679+BZ679+CA679-CB679)-(BW679+BV679),0),0)</f>
        <v>0</v>
      </c>
      <c r="CE679" s="224"/>
      <c r="CF679" s="226"/>
      <c r="CG679" s="87"/>
      <c r="CH679" s="87">
        <f>A679</f>
        <v>39</v>
      </c>
      <c r="CI679" s="227" t="str">
        <f t="shared" ref="CI679:CJ681" si="2250">F679</f>
        <v>Hồ Thị Thúy</v>
      </c>
      <c r="CJ679" s="227" t="str">
        <f t="shared" si="2250"/>
        <v>Hằng</v>
      </c>
      <c r="CK679" s="87">
        <f>H679</f>
        <v>13</v>
      </c>
      <c r="CL679" s="227" t="str">
        <f t="shared" si="2173"/>
        <v>Công nghệ môi trường</v>
      </c>
      <c r="CM679" s="87" t="str">
        <f t="shared" si="2180"/>
        <v>CS2</v>
      </c>
      <c r="CN679" s="87">
        <f t="shared" ref="CN679:CO681" si="2251">Q679</f>
        <v>270</v>
      </c>
      <c r="CO679" s="87">
        <f t="shared" si="2251"/>
        <v>100</v>
      </c>
      <c r="CP679" s="229">
        <f t="shared" si="2142"/>
        <v>0</v>
      </c>
      <c r="CQ679" s="229">
        <f t="shared" si="2143"/>
        <v>8.6999999999999993</v>
      </c>
      <c r="CR679" s="229">
        <f t="shared" si="2144"/>
        <v>0</v>
      </c>
      <c r="CS679" s="229">
        <f t="shared" si="2145"/>
        <v>7</v>
      </c>
      <c r="CT679" s="229">
        <f t="shared" si="2146"/>
        <v>0</v>
      </c>
      <c r="CU679" s="229">
        <f t="shared" si="2147"/>
        <v>0</v>
      </c>
      <c r="CV679" s="229">
        <f t="shared" si="2148"/>
        <v>0</v>
      </c>
      <c r="CW679" s="229">
        <f t="shared" si="2149"/>
        <v>60</v>
      </c>
      <c r="CX679" s="229">
        <f t="shared" si="2150"/>
        <v>0</v>
      </c>
      <c r="CY679" s="229">
        <f t="shared" si="2151"/>
        <v>0</v>
      </c>
      <c r="CZ679" s="229">
        <f t="shared" si="2152"/>
        <v>0</v>
      </c>
      <c r="DA679" s="229">
        <f t="shared" si="2153"/>
        <v>20</v>
      </c>
      <c r="DB679" s="228">
        <f t="shared" si="2235"/>
        <v>95.7</v>
      </c>
      <c r="DC679" s="229"/>
      <c r="DD679" s="229"/>
      <c r="DE679" s="229"/>
      <c r="DF679" s="229"/>
      <c r="DG679" s="229"/>
      <c r="DH679" s="229"/>
      <c r="DI679" s="229"/>
      <c r="DJ679" s="229"/>
      <c r="DK679" s="229"/>
      <c r="DL679" s="229"/>
      <c r="DM679" s="229"/>
      <c r="DN679" s="229"/>
      <c r="DO679" s="228">
        <f t="shared" si="2247"/>
        <v>0</v>
      </c>
      <c r="DP679" s="228">
        <f t="shared" si="2248"/>
        <v>95.7</v>
      </c>
      <c r="DQ679" s="229">
        <f t="shared" si="2154"/>
        <v>0</v>
      </c>
      <c r="DR679" s="229">
        <f t="shared" si="2155"/>
        <v>0</v>
      </c>
      <c r="DS679" s="229">
        <f t="shared" si="2156"/>
        <v>0</v>
      </c>
      <c r="DT679" s="229">
        <f t="shared" si="2157"/>
        <v>0</v>
      </c>
      <c r="DU679" s="229">
        <f t="shared" si="2158"/>
        <v>0</v>
      </c>
      <c r="DV679" s="229">
        <f t="shared" si="2159"/>
        <v>0</v>
      </c>
      <c r="DW679" s="229">
        <f t="shared" si="2160"/>
        <v>0</v>
      </c>
      <c r="DX679" s="228">
        <f t="shared" si="2236"/>
        <v>0</v>
      </c>
      <c r="DY679" s="229"/>
      <c r="DZ679" s="229"/>
      <c r="EA679" s="229"/>
      <c r="EB679" s="229"/>
      <c r="EC679" s="229"/>
      <c r="ED679" s="229"/>
      <c r="EE679" s="229"/>
      <c r="EF679" s="228">
        <f t="shared" si="2138"/>
        <v>0</v>
      </c>
      <c r="EG679" s="228">
        <f t="shared" si="2249"/>
        <v>0</v>
      </c>
      <c r="EH679" s="229">
        <f t="shared" si="2139"/>
        <v>0</v>
      </c>
      <c r="EI679" s="229">
        <v>119.25</v>
      </c>
      <c r="EJ679" s="228">
        <f t="shared" si="2232"/>
        <v>119.25</v>
      </c>
      <c r="EK679" s="229"/>
      <c r="EL679" s="229"/>
      <c r="EM679" s="228">
        <f>SUM(EK679:EL679)</f>
        <v>0</v>
      </c>
      <c r="EN679" s="229">
        <f t="shared" si="2220"/>
        <v>0</v>
      </c>
      <c r="EO679" s="229">
        <f t="shared" si="2123"/>
        <v>119.25</v>
      </c>
      <c r="EP679" s="228">
        <f t="shared" si="2237"/>
        <v>119.25</v>
      </c>
      <c r="EQ679" s="173">
        <f t="shared" si="2135"/>
        <v>0</v>
      </c>
      <c r="ER679" s="189">
        <v>0</v>
      </c>
      <c r="ES679" s="189">
        <v>8.6999999999999993</v>
      </c>
      <c r="ET679" s="189">
        <v>0</v>
      </c>
      <c r="EU679" s="189">
        <v>7</v>
      </c>
      <c r="EV679" s="189">
        <v>0</v>
      </c>
      <c r="EW679" s="189">
        <v>0</v>
      </c>
      <c r="EX679" s="189">
        <v>0</v>
      </c>
      <c r="EY679" s="189">
        <v>60</v>
      </c>
      <c r="EZ679" s="189">
        <v>0</v>
      </c>
      <c r="FA679" s="189">
        <v>0</v>
      </c>
      <c r="FB679" s="189">
        <v>0</v>
      </c>
      <c r="FC679" s="189">
        <v>20</v>
      </c>
      <c r="FD679" s="189">
        <v>0</v>
      </c>
      <c r="FE679" s="189">
        <v>0</v>
      </c>
      <c r="FF679" s="189">
        <v>0</v>
      </c>
      <c r="FG679" s="189">
        <v>0</v>
      </c>
      <c r="FH679" s="189">
        <v>0</v>
      </c>
      <c r="FI679" s="189">
        <v>0</v>
      </c>
      <c r="FJ679" s="189">
        <v>0</v>
      </c>
      <c r="FK679" s="189">
        <v>95.7</v>
      </c>
      <c r="FL679" s="189">
        <v>75</v>
      </c>
      <c r="FN679" s="132">
        <v>0</v>
      </c>
    </row>
    <row r="680" spans="1:170" ht="28.5" customHeight="1">
      <c r="A680" s="88">
        <f>COUNTIF($H$12:H690,H680)</f>
        <v>49</v>
      </c>
      <c r="B680" s="88" t="s">
        <v>326</v>
      </c>
      <c r="C680" s="88" t="s">
        <v>1546</v>
      </c>
      <c r="D680" s="88" t="s">
        <v>623</v>
      </c>
      <c r="E680" s="88"/>
      <c r="F680" s="301" t="s">
        <v>1467</v>
      </c>
      <c r="G680" s="89" t="s">
        <v>2367</v>
      </c>
      <c r="H680" s="88">
        <v>13</v>
      </c>
      <c r="I680" s="88">
        <v>13</v>
      </c>
      <c r="J680" s="88">
        <v>13</v>
      </c>
      <c r="K680" s="90" t="s">
        <v>2444</v>
      </c>
      <c r="L680" s="90" t="s">
        <v>2444</v>
      </c>
      <c r="M680" s="214"/>
      <c r="N680" s="88" t="s">
        <v>1804</v>
      </c>
      <c r="O680" s="216">
        <f t="shared" si="2226"/>
        <v>3.33</v>
      </c>
      <c r="P680" s="88" t="str">
        <f t="shared" si="2140"/>
        <v>B1_4</v>
      </c>
      <c r="Q680" s="88">
        <f t="shared" si="2136"/>
        <v>270</v>
      </c>
      <c r="R680" s="88">
        <f t="shared" si="2137"/>
        <v>120</v>
      </c>
      <c r="S680" s="231"/>
      <c r="T680" s="88" t="s">
        <v>3088</v>
      </c>
      <c r="U680" s="88">
        <f>IF(RIGHT(T680,1)="K",(VLOOKUP(T680,ma_miengiam!$A$3:$B$80,2,0)*100)/2,VLOOKUP(T680,ma_miengiam!$A$3:$B$80,2,0)*100)</f>
        <v>0</v>
      </c>
      <c r="V680" s="88"/>
      <c r="W680" s="220">
        <f>IF(AND(T680="NTS",V680&gt;0),(Q680-(Q680*V680)/12)*VLOOKUP(T680,ma_miengiam!$A$3:$B$80,2,0)+(Q680-(Q680*(12-V680))/12),IF(AND(RIGHT(T680,1)="K",V680&gt;0),(VLOOKUP(T680,ma_miengiam!$A$3:$B$80,2,0)/2)*(Q680*V680)/12,IF(RIGHT(T680,1)="K",(VLOOKUP(T680,ma_miengiam!$A$3:$B$80,2,0)*Q680)/2,IF(V680&gt;0,VLOOKUP(T680,ma_miengiam!$A$3:$B$80,2,0)*Q680*V680/12,VLOOKUP(T680,ma_miengiam!$A$3:$B$80,2,0)*Q680))))</f>
        <v>0</v>
      </c>
      <c r="X680" s="220">
        <f>IF(T680="NTS",VLOOKUP(T680,ma_miengiam!$A$3:$B$80,2,0)*R680*V680,IF(AND(T680="NTS",V680=0),0,IF(AND(LEFT(T680,1)="K",V680=0),VLOOKUP(T680,ma_miengiam!$A$3:$B$80,2,0)*R680,IF(LEFT(T680,1)="K",(VLOOKUP(T680,ma_miengiam!$A$3:$B$80,2,0)*R680/12)*V680,IF(AND(LEFT(T680,1)="S",V680&gt;0),(R680/12)*V680,IF(AND(LEFT(T680,1)="S",V680=0),R680,IF(T680="DH",VLOOKUP(T680,ma_miengiam!$A$3:$B$80,2,0)*R680,0)))))))</f>
        <v>0</v>
      </c>
      <c r="Y680" s="220">
        <f>IF(AND(T680="DH",V680&gt;0),(S680*V680/12),IF(AND(T680&lt;&gt;"NTS",V680&gt;0),(Q680*V680/12)-W680,IF(AND(T680="NTS",V680&gt;0),Q680-W680,Q680-W680)))</f>
        <v>270</v>
      </c>
      <c r="Z680" s="220">
        <f>IF(AND(T680="SĐH",V680&gt;0),(R680/12)*V680-X680,IF(AND(T680="DH",V680&gt;0),(R680*V680/12),IF(AND(T680&lt;&gt;"NTS",V680&gt;0),(R680*V680/12)-X680,IF(AND(T680="NTS",V680&gt;0),R680-X680,R680-X680))))</f>
        <v>120</v>
      </c>
      <c r="AA680" s="220">
        <f t="shared" ref="AA680:AB685" si="2252">Q680</f>
        <v>270</v>
      </c>
      <c r="AB680" s="220">
        <f t="shared" si="2252"/>
        <v>120</v>
      </c>
      <c r="AC680" s="220">
        <f t="shared" ref="AC680:AF681" si="2253">W680</f>
        <v>0</v>
      </c>
      <c r="AD680" s="220">
        <f t="shared" si="2253"/>
        <v>0</v>
      </c>
      <c r="AE680" s="220">
        <f t="shared" si="2253"/>
        <v>270</v>
      </c>
      <c r="AF680" s="220">
        <f t="shared" si="2253"/>
        <v>120</v>
      </c>
      <c r="AG680" s="220">
        <f>AH680+AI680</f>
        <v>310.27999999999997</v>
      </c>
      <c r="AH680" s="220">
        <f>EO680</f>
        <v>79.86</v>
      </c>
      <c r="AI680" s="220">
        <f>EN680</f>
        <v>230.42</v>
      </c>
      <c r="AJ680" s="220">
        <f>IF(AG680-Z680&gt;0,0,AG680-Z680)</f>
        <v>0</v>
      </c>
      <c r="AK680" s="216">
        <f t="shared" ref="AK680:AK721" si="2254">IF(AJ680&gt;=0,Y680,Y680-AJ680)</f>
        <v>270</v>
      </c>
      <c r="AL680" s="220">
        <f>SUM(CP680:CX680)+SUM(DC680:DK680)</f>
        <v>7</v>
      </c>
      <c r="AM680" s="220">
        <f>SUM(DQ680:DU680)+SUM(DY680:EC680)</f>
        <v>0</v>
      </c>
      <c r="AN680" s="221">
        <f>AM680+AL680</f>
        <v>7</v>
      </c>
      <c r="AO680" s="220">
        <f>CY680+DL680</f>
        <v>0</v>
      </c>
      <c r="AP680" s="220">
        <f>CZ680+DM680</f>
        <v>0</v>
      </c>
      <c r="AQ680" s="220">
        <f>DA680+DN680</f>
        <v>40</v>
      </c>
      <c r="AR680" s="220">
        <f>DV680+ED680</f>
        <v>80</v>
      </c>
      <c r="AS680" s="220">
        <f>DW680+EE680</f>
        <v>0</v>
      </c>
      <c r="AT680" s="216">
        <f>AN680+SUM(AO680:AS680)</f>
        <v>127</v>
      </c>
      <c r="AU680" s="222">
        <f>AN680-AK680</f>
        <v>-263</v>
      </c>
      <c r="AV680" s="220"/>
      <c r="AW680" s="220">
        <f>IF(AU680&gt;0,AU680,AV680+AU680)</f>
        <v>-263</v>
      </c>
      <c r="AX680" s="216">
        <f t="shared" si="2234"/>
        <v>-263</v>
      </c>
      <c r="AY680" s="220">
        <f>IF(AN680&gt;=AK680,AO680,IF(AN680+AO680-AK680&gt;=0,AN680+AO680-AK680,0))</f>
        <v>0</v>
      </c>
      <c r="AZ680" s="220">
        <f>IF(OR(AN680&gt;=AK680,AN680+AO680&gt;=AK680),AP680,IF(AN680+AO680+AP680&gt;AK680,AN680+AO680+AP680-AK680,0))</f>
        <v>0</v>
      </c>
      <c r="BA680" s="220">
        <f>IF(OR(AN680&gt;=AK680,AN680+AO680&gt;=AK680,AN680+AO680+AP680&gt;=AK680),AQ680,IF(AN680+AO680+AP680+AQ680&gt;=AK680,AN680+AO680+AP680+AQ680-AK680,0))</f>
        <v>0</v>
      </c>
      <c r="BB680" s="220">
        <f>IF(OR(AN680&gt;=AK680,AN680+AO680&gt;=AK680,AN680+AO680+AP680&gt;=AK680,AN680+AO680+AP680+AQ680&gt;=AK680),AR680,IF(AN680+AO680+AP680+AQ680+AR680&gt;=AK680,AN680+AO680+AP680+AQ680+AR680-AK680,0))</f>
        <v>0</v>
      </c>
      <c r="BC680" s="220">
        <f>IF(OR(AN680&gt;=AK680,AN680+AO680&gt;=AK680,AN680+AO680+AP680&gt;=AK680,AN680+AO680+AP680+AQ680&gt;=AK680,AN680+AO680+AP680+AQ680+AR680&gt;=AK680),AS680,IF(AN680+AO680+AP680+AQ680+AR680+AS680&gt;=AK680,AN680+AO680+AP680+AQ680+AR680+AS680-AK680,0))</f>
        <v>0</v>
      </c>
      <c r="BD680" s="216">
        <f t="shared" si="2197"/>
        <v>0</v>
      </c>
      <c r="BE680" s="220">
        <f t="shared" ref="BE680:BI681" si="2255">AY680-AO680</f>
        <v>0</v>
      </c>
      <c r="BF680" s="220">
        <f t="shared" si="2255"/>
        <v>0</v>
      </c>
      <c r="BG680" s="220">
        <f t="shared" si="2255"/>
        <v>-40</v>
      </c>
      <c r="BH680" s="220">
        <f t="shared" si="2255"/>
        <v>-80</v>
      </c>
      <c r="BI680" s="220">
        <f t="shared" si="2255"/>
        <v>0</v>
      </c>
      <c r="BJ680" s="220" t="s">
        <v>1808</v>
      </c>
      <c r="BK680" s="220"/>
      <c r="BL680" s="223">
        <f t="shared" si="2210"/>
        <v>0</v>
      </c>
      <c r="BM680" s="220">
        <v>3.33</v>
      </c>
      <c r="BN680" s="220"/>
      <c r="BO680" s="220">
        <f>ROUND(BM680+(BM680*BN680),2)</f>
        <v>3.33</v>
      </c>
      <c r="BP680" s="220">
        <f>IF(AND(BL680&gt;0,BL680&lt;tiet!$D$1),BL680,IF(BL680&lt;=0,0,IF(BL680&gt;tiet!$C$1,tiet!$C$1)))</f>
        <v>0</v>
      </c>
      <c r="BQ680" s="87">
        <f>VLOOKUP(P680,ma_dinhmuc_moi,4,0)</f>
        <v>65000</v>
      </c>
      <c r="BR680" s="224">
        <f>ROUND(BQ680*BP680,0)</f>
        <v>0</v>
      </c>
      <c r="BS680" s="220">
        <f t="shared" si="2134"/>
        <v>0</v>
      </c>
      <c r="BT680" s="224">
        <f>VLOOKUP(N680,ma_dinhmuc!$A$1:$J$31,10,0)</f>
        <v>51000</v>
      </c>
      <c r="BU680" s="224">
        <f>ROUND(IF(BS680&gt;0,VLOOKUP(N680,ma_dinhmuc!$A$1:$J$31,10,0)*BS680,0),0)</f>
        <v>0</v>
      </c>
      <c r="BV680" s="224">
        <f>ROUND(BU680+BR680,0)</f>
        <v>0</v>
      </c>
      <c r="BW680" s="224"/>
      <c r="BX680" s="224">
        <v>0</v>
      </c>
      <c r="BY680" s="224"/>
      <c r="BZ680" s="224"/>
      <c r="CA680" s="224"/>
      <c r="CB680" s="224"/>
      <c r="CC680" s="225">
        <f>ROUND(IF(BV680+BW680&gt;BX680+BY680+BZ680+CA680+CB680,(BW680+BV680)-(BX680+BY680+BZ680+CA680+CB680+CB680),0),0)</f>
        <v>0</v>
      </c>
      <c r="CD680" s="224">
        <f>ROUND(IF(BV680+BW680&lt;BX680+BY680+BZ680+CA680-CB680,(BX680+BY680+BZ680+CA680-CB680)-(BW680+BV680),0),0)</f>
        <v>0</v>
      </c>
      <c r="CE680" s="224"/>
      <c r="CF680" s="226"/>
      <c r="CG680" s="87"/>
      <c r="CH680" s="87">
        <f>A680</f>
        <v>49</v>
      </c>
      <c r="CI680" s="227" t="str">
        <f t="shared" si="2250"/>
        <v>Võ Hữu</v>
      </c>
      <c r="CJ680" s="227" t="str">
        <f t="shared" si="2250"/>
        <v>Công</v>
      </c>
      <c r="CK680" s="87">
        <f>H680</f>
        <v>13</v>
      </c>
      <c r="CL680" s="227" t="str">
        <f t="shared" si="2173"/>
        <v>Công nghệ môi trường</v>
      </c>
      <c r="CM680" s="87" t="str">
        <f>N680</f>
        <v>CS2</v>
      </c>
      <c r="CN680" s="87">
        <f t="shared" si="2251"/>
        <v>270</v>
      </c>
      <c r="CO680" s="87">
        <f t="shared" si="2251"/>
        <v>120</v>
      </c>
      <c r="CP680" s="229">
        <f t="shared" si="2142"/>
        <v>0</v>
      </c>
      <c r="CQ680" s="229">
        <f t="shared" si="2143"/>
        <v>0</v>
      </c>
      <c r="CR680" s="229">
        <f t="shared" si="2144"/>
        <v>0</v>
      </c>
      <c r="CS680" s="229">
        <f t="shared" si="2145"/>
        <v>7</v>
      </c>
      <c r="CT680" s="229">
        <f t="shared" si="2146"/>
        <v>0</v>
      </c>
      <c r="CU680" s="229">
        <f t="shared" si="2147"/>
        <v>0</v>
      </c>
      <c r="CV680" s="229">
        <f t="shared" si="2148"/>
        <v>0</v>
      </c>
      <c r="CW680" s="229">
        <f t="shared" si="2149"/>
        <v>0</v>
      </c>
      <c r="CX680" s="229">
        <f t="shared" si="2150"/>
        <v>0</v>
      </c>
      <c r="CY680" s="229">
        <f t="shared" si="2151"/>
        <v>0</v>
      </c>
      <c r="CZ680" s="229">
        <f t="shared" si="2152"/>
        <v>0</v>
      </c>
      <c r="DA680" s="229">
        <f t="shared" si="2153"/>
        <v>40</v>
      </c>
      <c r="DB680" s="228">
        <f>SUM(CP680:DA680)</f>
        <v>47</v>
      </c>
      <c r="DC680" s="229"/>
      <c r="DD680" s="229"/>
      <c r="DE680" s="229"/>
      <c r="DF680" s="229"/>
      <c r="DG680" s="229"/>
      <c r="DH680" s="229"/>
      <c r="DI680" s="229"/>
      <c r="DJ680" s="229"/>
      <c r="DK680" s="229"/>
      <c r="DL680" s="229"/>
      <c r="DM680" s="229"/>
      <c r="DN680" s="229"/>
      <c r="DO680" s="228">
        <f>SUM(DC680:DN680)</f>
        <v>0</v>
      </c>
      <c r="DP680" s="228">
        <f>DO680+DB680</f>
        <v>47</v>
      </c>
      <c r="DQ680" s="229">
        <f t="shared" si="2154"/>
        <v>0</v>
      </c>
      <c r="DR680" s="229">
        <f t="shared" si="2155"/>
        <v>0</v>
      </c>
      <c r="DS680" s="229">
        <f t="shared" si="2156"/>
        <v>0</v>
      </c>
      <c r="DT680" s="229">
        <f t="shared" si="2157"/>
        <v>0</v>
      </c>
      <c r="DU680" s="229">
        <f t="shared" si="2158"/>
        <v>0</v>
      </c>
      <c r="DV680" s="229">
        <f t="shared" si="2159"/>
        <v>80</v>
      </c>
      <c r="DW680" s="229">
        <f t="shared" si="2160"/>
        <v>0</v>
      </c>
      <c r="DX680" s="228">
        <f>SUM(DQ680:DW680)</f>
        <v>80</v>
      </c>
      <c r="DY680" s="229"/>
      <c r="DZ680" s="229"/>
      <c r="EA680" s="229"/>
      <c r="EB680" s="229"/>
      <c r="EC680" s="229"/>
      <c r="ED680" s="229"/>
      <c r="EE680" s="229"/>
      <c r="EF680" s="228">
        <f t="shared" si="2138"/>
        <v>0</v>
      </c>
      <c r="EG680" s="228">
        <f>EF680+DX680</f>
        <v>80</v>
      </c>
      <c r="EH680" s="229">
        <f t="shared" si="2139"/>
        <v>230.42</v>
      </c>
      <c r="EI680" s="229">
        <v>79.86</v>
      </c>
      <c r="EJ680" s="228">
        <f t="shared" ref="EJ680:EJ708" si="2256">SUM(EH680:EI680)</f>
        <v>310.27999999999997</v>
      </c>
      <c r="EK680" s="229"/>
      <c r="EL680" s="229"/>
      <c r="EM680" s="228">
        <f>SUM(EK680:EL680)</f>
        <v>0</v>
      </c>
      <c r="EN680" s="229">
        <f>EK680+EH680+EL680</f>
        <v>230.42</v>
      </c>
      <c r="EO680" s="229">
        <f>EI680</f>
        <v>79.86</v>
      </c>
      <c r="EP680" s="228">
        <f t="shared" si="2237"/>
        <v>310.27999999999997</v>
      </c>
      <c r="EQ680" s="173">
        <f t="shared" si="2135"/>
        <v>110.41999999999999</v>
      </c>
      <c r="ER680" s="189">
        <v>0</v>
      </c>
      <c r="ES680" s="189">
        <v>0</v>
      </c>
      <c r="ET680" s="189">
        <v>0</v>
      </c>
      <c r="EU680" s="189">
        <v>7</v>
      </c>
      <c r="EV680" s="189">
        <v>0</v>
      </c>
      <c r="EW680" s="189">
        <v>0</v>
      </c>
      <c r="EX680" s="189">
        <v>0</v>
      </c>
      <c r="EY680" s="189">
        <v>0</v>
      </c>
      <c r="EZ680" s="189">
        <v>0</v>
      </c>
      <c r="FA680" s="189">
        <v>0</v>
      </c>
      <c r="FB680" s="189">
        <v>0</v>
      </c>
      <c r="FC680" s="189">
        <v>40</v>
      </c>
      <c r="FD680" s="189">
        <v>0</v>
      </c>
      <c r="FE680" s="189">
        <v>0</v>
      </c>
      <c r="FF680" s="189">
        <v>0</v>
      </c>
      <c r="FG680" s="189">
        <v>0</v>
      </c>
      <c r="FH680" s="189">
        <v>80</v>
      </c>
      <c r="FI680" s="189">
        <v>0</v>
      </c>
      <c r="FJ680" s="189">
        <v>0</v>
      </c>
      <c r="FK680" s="189">
        <v>127</v>
      </c>
      <c r="FL680" s="189">
        <v>127</v>
      </c>
      <c r="FN680" s="132">
        <v>230.42</v>
      </c>
    </row>
    <row r="681" spans="1:170" ht="29.25" customHeight="1">
      <c r="A681" s="88">
        <f>COUNTIF($H$12:H681,H681)</f>
        <v>41</v>
      </c>
      <c r="B681" s="88" t="s">
        <v>318</v>
      </c>
      <c r="C681" s="88" t="s">
        <v>1538</v>
      </c>
      <c r="D681" s="88" t="s">
        <v>623</v>
      </c>
      <c r="E681" s="88"/>
      <c r="F681" s="301" t="s">
        <v>2184</v>
      </c>
      <c r="G681" s="89" t="s">
        <v>1115</v>
      </c>
      <c r="H681" s="88">
        <v>13</v>
      </c>
      <c r="I681" s="88">
        <v>13</v>
      </c>
      <c r="J681" s="88">
        <v>13</v>
      </c>
      <c r="K681" s="90" t="s">
        <v>2444</v>
      </c>
      <c r="L681" s="90" t="s">
        <v>2444</v>
      </c>
      <c r="M681" s="214"/>
      <c r="N681" s="88" t="s">
        <v>1804</v>
      </c>
      <c r="O681" s="216">
        <f t="shared" si="2226"/>
        <v>3</v>
      </c>
      <c r="P681" s="88" t="str">
        <f t="shared" si="2140"/>
        <v>B1_3</v>
      </c>
      <c r="Q681" s="88">
        <f t="shared" si="2136"/>
        <v>270</v>
      </c>
      <c r="R681" s="88">
        <f t="shared" si="2137"/>
        <v>100</v>
      </c>
      <c r="S681" s="218" t="s">
        <v>1418</v>
      </c>
      <c r="T681" s="214" t="s">
        <v>2961</v>
      </c>
      <c r="U681" s="88">
        <f>IF(RIGHT(T681,1)="K",(VLOOKUP(T681,ma_miengiam!$A$3:$B$80,2,0)*100)/2,VLOOKUP(T681,ma_miengiam!$A$3:$B$80,2,0)*100)</f>
        <v>100</v>
      </c>
      <c r="V681" s="88"/>
      <c r="W681" s="220">
        <f>IF(AND(T681="NTS",V681&gt;0),(Q681-(Q681*V681)/12)*VLOOKUP(T681,ma_miengiam!$A$3:$B$80,2,0)+(Q681-(Q681*(12-V681))/12),IF(AND(RIGHT(T681,1)="K",V681&gt;0),(VLOOKUP(T681,ma_miengiam!$A$3:$B$80,2,0)/2)*(Q681*V681)/12,IF(RIGHT(T681,1)="K",(VLOOKUP(T681,ma_miengiam!$A$3:$B$80,2,0)*Q681)/2,IF(V681&gt;0,VLOOKUP(T681,ma_miengiam!$A$3:$B$80,2,0)*Q681*V681/12,VLOOKUP(T681,ma_miengiam!$A$3:$B$80,2,0)*Q681))))</f>
        <v>270</v>
      </c>
      <c r="X681" s="220">
        <f>IF(T681="NTS",VLOOKUP(T681,ma_miengiam!$A$3:$B$80,2,0)*R681*V681,IF(AND(T681="NTS",V681=0),0,IF(AND(LEFT(T681,1)="K",V681=0),VLOOKUP(T681,ma_miengiam!$A$3:$B$80,2,0)*R681,IF(LEFT(T681,1)="K",(VLOOKUP(T681,ma_miengiam!$A$3:$B$80,2,0)*R681/12)*V681,IF(AND(LEFT(T681,1)="S",V681&gt;0),(R681/12)*V681,IF(AND(LEFT(T681,1)="S",V681=0),R681,IF(T681="DH",VLOOKUP(T681,ma_miengiam!$A$3:$B$80,2,0)*R681,0)))))))</f>
        <v>100</v>
      </c>
      <c r="Y681" s="220">
        <f>IF(AND(T681="DH",V681&gt;0),(S681*V681/12),IF(AND(T681&lt;&gt;"NTS",V681&gt;0),(Q681*V681/12)-W681,IF(AND(T681="NTS",V681&gt;0),Q681-W681,Q681-W681)))</f>
        <v>0</v>
      </c>
      <c r="Z681" s="220">
        <f>IF(AND(T681="SĐH",V681&gt;0),(R681/12)*V681-X681,IF(AND(T681="DH",V681&gt;0),(R681*V681/12),IF(AND(T681&lt;&gt;"NTS",V681&gt;0),(R681*V681/12)-X681,IF(AND(T681="NTS",V681&gt;0),R681-X681,R681-X681))))</f>
        <v>0</v>
      </c>
      <c r="AA681" s="220">
        <f t="shared" si="2252"/>
        <v>270</v>
      </c>
      <c r="AB681" s="220">
        <f t="shared" si="2252"/>
        <v>100</v>
      </c>
      <c r="AC681" s="220">
        <f t="shared" si="2253"/>
        <v>270</v>
      </c>
      <c r="AD681" s="220">
        <f t="shared" si="2253"/>
        <v>100</v>
      </c>
      <c r="AE681" s="220">
        <f t="shared" si="2253"/>
        <v>0</v>
      </c>
      <c r="AF681" s="220">
        <f t="shared" si="2253"/>
        <v>0</v>
      </c>
      <c r="AG681" s="220">
        <f t="shared" si="2214"/>
        <v>119.25</v>
      </c>
      <c r="AH681" s="220">
        <f t="shared" si="2215"/>
        <v>119.25</v>
      </c>
      <c r="AI681" s="220">
        <f t="shared" si="2216"/>
        <v>0</v>
      </c>
      <c r="AJ681" s="220">
        <f>IF(AG681-Z681&gt;0,0,AG681-Z681)</f>
        <v>0</v>
      </c>
      <c r="AK681" s="216">
        <f t="shared" si="2254"/>
        <v>0</v>
      </c>
      <c r="AL681" s="220">
        <f t="shared" si="2238"/>
        <v>0</v>
      </c>
      <c r="AM681" s="220">
        <f t="shared" si="2239"/>
        <v>0</v>
      </c>
      <c r="AN681" s="216">
        <f t="shared" si="2240"/>
        <v>0</v>
      </c>
      <c r="AO681" s="220">
        <f t="shared" si="2241"/>
        <v>0</v>
      </c>
      <c r="AP681" s="220">
        <f t="shared" si="2242"/>
        <v>0</v>
      </c>
      <c r="AQ681" s="220">
        <f t="shared" si="2243"/>
        <v>0</v>
      </c>
      <c r="AR681" s="220">
        <f t="shared" si="2244"/>
        <v>0</v>
      </c>
      <c r="AS681" s="220">
        <f t="shared" si="2245"/>
        <v>0</v>
      </c>
      <c r="AT681" s="216">
        <f t="shared" si="2246"/>
        <v>0</v>
      </c>
      <c r="AU681" s="220">
        <f>AN681-AK681</f>
        <v>0</v>
      </c>
      <c r="AV681" s="220"/>
      <c r="AW681" s="220">
        <f>IF(AU681&gt;0,AU681,AV681+AU681)</f>
        <v>0</v>
      </c>
      <c r="AX681" s="216">
        <f t="shared" si="2234"/>
        <v>0</v>
      </c>
      <c r="AY681" s="220">
        <f>IF(AN681&gt;=AK681,AO681,IF(AN681+AO681-AK681&gt;=0,AN681+AO681-AK681,0))</f>
        <v>0</v>
      </c>
      <c r="AZ681" s="220">
        <f>IF(OR(AN681&gt;=AK681,AN681+AO681&gt;=AK681),AP681,IF(AN681+AO681+AP681&gt;AK681,AN681+AO681+AP681-AK681,0))</f>
        <v>0</v>
      </c>
      <c r="BA681" s="220">
        <f>IF(OR(AN681&gt;=AK681,AN681+AO681&gt;=AK681,AN681+AO681+AP681&gt;=AK681),AQ681,IF(AN681+AO681+AP681+AQ681&gt;=AK681,AN681+AO681+AP681+AQ681-AK681,0))</f>
        <v>0</v>
      </c>
      <c r="BB681" s="220">
        <f>IF(OR(AN681&gt;=AK681,AN681+AO681&gt;=AK681,AN681+AO681+AP681&gt;=AK681,AN681+AO681+AP681+AQ681&gt;=AK681),AR681,IF(AN681+AO681+AP681+AQ681+AR681&gt;=AK681,AN681+AO681+AP681+AQ681+AR681-AK681,0))</f>
        <v>0</v>
      </c>
      <c r="BC681" s="220">
        <f>IF(OR(AN681&gt;=AK681,AN681+AO681&gt;=AK681,AN681+AO681+AP681&gt;=AK681,AN681+AO681+AP681+AQ681&gt;=AK681,AN681+AO681+AP681+AQ681+AR681&gt;=AK681),AS681,IF(AN681+AO681+AP681+AQ681+AR681+AS681&gt;=AK681,AN681+AO681+AP681+AQ681+AR681+AS681-AK681,0))</f>
        <v>0</v>
      </c>
      <c r="BD681" s="216">
        <f t="shared" si="2197"/>
        <v>0</v>
      </c>
      <c r="BE681" s="220">
        <f t="shared" si="2255"/>
        <v>0</v>
      </c>
      <c r="BF681" s="220">
        <f t="shared" si="2255"/>
        <v>0</v>
      </c>
      <c r="BG681" s="220">
        <f t="shared" si="2255"/>
        <v>0</v>
      </c>
      <c r="BH681" s="220">
        <f t="shared" si="2255"/>
        <v>0</v>
      </c>
      <c r="BI681" s="220">
        <f t="shared" si="2255"/>
        <v>0</v>
      </c>
      <c r="BJ681" s="220" t="s">
        <v>1808</v>
      </c>
      <c r="BK681" s="220"/>
      <c r="BL681" s="223">
        <f t="shared" si="2210"/>
        <v>0</v>
      </c>
      <c r="BM681" s="220">
        <v>3</v>
      </c>
      <c r="BN681" s="220"/>
      <c r="BO681" s="220">
        <f>ROUND(BM681+(BM681*BN681),2)</f>
        <v>3</v>
      </c>
      <c r="BP681" s="220">
        <f>IF(AND(BL681&gt;0,BL681&lt;tiet!$D$1),BL681,IF(BL681&lt;=0,0,IF(BL681&gt;tiet!$C$1,tiet!$C$1)))</f>
        <v>0</v>
      </c>
      <c r="BQ681" s="87">
        <f>VLOOKUP(P681,ma_dinhmuc_moi,4,0)</f>
        <v>60000</v>
      </c>
      <c r="BR681" s="224">
        <f>ROUND(BQ681*BP681,0)</f>
        <v>0</v>
      </c>
      <c r="BS681" s="220">
        <f t="shared" si="2134"/>
        <v>0</v>
      </c>
      <c r="BT681" s="224">
        <f>VLOOKUP(N681,ma_dinhmuc!$A$1:$J$31,10,0)</f>
        <v>51000</v>
      </c>
      <c r="BU681" s="224">
        <f>ROUND(IF(BS681&gt;0,VLOOKUP(N681,ma_dinhmuc!$A$1:$J$31,10,0)*BS681,0),0)</f>
        <v>0</v>
      </c>
      <c r="BV681" s="224">
        <f>ROUND(BU681+BR681,0)</f>
        <v>0</v>
      </c>
      <c r="BW681" s="224"/>
      <c r="BX681" s="224">
        <v>3252000</v>
      </c>
      <c r="BY681" s="224"/>
      <c r="BZ681" s="224"/>
      <c r="CA681" s="224"/>
      <c r="CB681" s="224"/>
      <c r="CC681" s="225">
        <f>ROUND(IF(BV681+BW681&gt;BX681+BY681+BZ681+CA681+CB681,(BW681+BV681)-(BX681+BY681+BZ681+CA681+CB681+CB681),0),0)</f>
        <v>0</v>
      </c>
      <c r="CD681" s="224">
        <f>ROUND(IF(BV681+BW681&lt;BX681+BY681+BZ681+CA681-CB681,(BX681+BY681+BZ681+CA681-CB681)-(BW681+BV681),0),0)</f>
        <v>3252000</v>
      </c>
      <c r="CE681" s="224"/>
      <c r="CF681" s="226"/>
      <c r="CG681" s="87"/>
      <c r="CH681" s="87">
        <f>A681</f>
        <v>41</v>
      </c>
      <c r="CI681" s="227" t="str">
        <f t="shared" si="2250"/>
        <v>Đào Thị Thùy</v>
      </c>
      <c r="CJ681" s="227" t="str">
        <f t="shared" si="2250"/>
        <v>Linh</v>
      </c>
      <c r="CK681" s="87">
        <f>H681</f>
        <v>13</v>
      </c>
      <c r="CL681" s="227" t="str">
        <f t="shared" si="2173"/>
        <v>Công nghệ môi trường</v>
      </c>
      <c r="CM681" s="87" t="str">
        <f>N681</f>
        <v>CS2</v>
      </c>
      <c r="CN681" s="87">
        <f t="shared" si="2251"/>
        <v>270</v>
      </c>
      <c r="CO681" s="87">
        <f t="shared" si="2251"/>
        <v>100</v>
      </c>
      <c r="CP681" s="229">
        <f t="shared" si="2142"/>
        <v>0</v>
      </c>
      <c r="CQ681" s="229">
        <f t="shared" si="2143"/>
        <v>0</v>
      </c>
      <c r="CR681" s="229">
        <f t="shared" si="2144"/>
        <v>0</v>
      </c>
      <c r="CS681" s="229">
        <f t="shared" si="2145"/>
        <v>0</v>
      </c>
      <c r="CT681" s="229">
        <f t="shared" si="2146"/>
        <v>0</v>
      </c>
      <c r="CU681" s="229">
        <f t="shared" si="2147"/>
        <v>0</v>
      </c>
      <c r="CV681" s="229">
        <f t="shared" si="2148"/>
        <v>0</v>
      </c>
      <c r="CW681" s="229">
        <f t="shared" si="2149"/>
        <v>0</v>
      </c>
      <c r="CX681" s="229">
        <f t="shared" si="2150"/>
        <v>0</v>
      </c>
      <c r="CY681" s="229">
        <f t="shared" si="2151"/>
        <v>0</v>
      </c>
      <c r="CZ681" s="229">
        <f t="shared" si="2152"/>
        <v>0</v>
      </c>
      <c r="DA681" s="229">
        <f t="shared" si="2153"/>
        <v>0</v>
      </c>
      <c r="DB681" s="228">
        <f t="shared" si="2235"/>
        <v>0</v>
      </c>
      <c r="DC681" s="229"/>
      <c r="DD681" s="229"/>
      <c r="DE681" s="229"/>
      <c r="DF681" s="229"/>
      <c r="DG681" s="229"/>
      <c r="DH681" s="229"/>
      <c r="DI681" s="229"/>
      <c r="DJ681" s="229"/>
      <c r="DK681" s="229"/>
      <c r="DL681" s="229"/>
      <c r="DM681" s="229"/>
      <c r="DN681" s="229"/>
      <c r="DO681" s="228">
        <f t="shared" si="2247"/>
        <v>0</v>
      </c>
      <c r="DP681" s="228">
        <f t="shared" si="2248"/>
        <v>0</v>
      </c>
      <c r="DQ681" s="229">
        <f t="shared" si="2154"/>
        <v>0</v>
      </c>
      <c r="DR681" s="229">
        <f t="shared" si="2155"/>
        <v>0</v>
      </c>
      <c r="DS681" s="229">
        <f t="shared" si="2156"/>
        <v>0</v>
      </c>
      <c r="DT681" s="229">
        <f t="shared" si="2157"/>
        <v>0</v>
      </c>
      <c r="DU681" s="229">
        <f t="shared" si="2158"/>
        <v>0</v>
      </c>
      <c r="DV681" s="229">
        <f t="shared" si="2159"/>
        <v>0</v>
      </c>
      <c r="DW681" s="229">
        <f t="shared" si="2160"/>
        <v>0</v>
      </c>
      <c r="DX681" s="228">
        <f t="shared" si="2236"/>
        <v>0</v>
      </c>
      <c r="DY681" s="229"/>
      <c r="DZ681" s="229"/>
      <c r="EA681" s="229"/>
      <c r="EB681" s="229"/>
      <c r="EC681" s="229"/>
      <c r="ED681" s="229"/>
      <c r="EE681" s="229"/>
      <c r="EF681" s="228">
        <f t="shared" si="2138"/>
        <v>0</v>
      </c>
      <c r="EG681" s="228">
        <f t="shared" si="2249"/>
        <v>0</v>
      </c>
      <c r="EH681" s="229">
        <f t="shared" si="2139"/>
        <v>0</v>
      </c>
      <c r="EI681" s="229">
        <v>119.25</v>
      </c>
      <c r="EJ681" s="228">
        <f t="shared" si="2256"/>
        <v>119.25</v>
      </c>
      <c r="EK681" s="229"/>
      <c r="EL681" s="229"/>
      <c r="EM681" s="228">
        <f>SUM(EK681:EL681)</f>
        <v>0</v>
      </c>
      <c r="EN681" s="229">
        <f>EK681+EH681+EL681</f>
        <v>0</v>
      </c>
      <c r="EO681" s="229">
        <f>EI681</f>
        <v>119.25</v>
      </c>
      <c r="EP681" s="228">
        <f t="shared" si="2237"/>
        <v>119.25</v>
      </c>
      <c r="EQ681" s="173">
        <f t="shared" si="2135"/>
        <v>0</v>
      </c>
      <c r="ER681" s="189">
        <v>0</v>
      </c>
      <c r="ES681" s="189">
        <v>0</v>
      </c>
      <c r="ET681" s="189">
        <v>0</v>
      </c>
      <c r="EU681" s="189">
        <v>0</v>
      </c>
      <c r="EV681" s="189">
        <v>0</v>
      </c>
      <c r="EW681" s="189">
        <v>0</v>
      </c>
      <c r="EX681" s="189">
        <v>0</v>
      </c>
      <c r="EY681" s="189">
        <v>0</v>
      </c>
      <c r="EZ681" s="189">
        <v>0</v>
      </c>
      <c r="FA681" s="189">
        <v>0</v>
      </c>
      <c r="FB681" s="189">
        <v>0</v>
      </c>
      <c r="FC681" s="189">
        <v>0</v>
      </c>
      <c r="FD681" s="189">
        <v>0</v>
      </c>
      <c r="FE681" s="189">
        <v>0</v>
      </c>
      <c r="FF681" s="189">
        <v>0</v>
      </c>
      <c r="FG681" s="189">
        <v>0</v>
      </c>
      <c r="FH681" s="189">
        <v>0</v>
      </c>
      <c r="FI681" s="189">
        <v>0</v>
      </c>
      <c r="FJ681" s="189">
        <v>0</v>
      </c>
      <c r="FK681" s="189">
        <v>0</v>
      </c>
      <c r="FL681" s="189">
        <v>0</v>
      </c>
      <c r="FN681" s="132">
        <v>0</v>
      </c>
    </row>
    <row r="682" spans="1:170" ht="30" customHeight="1">
      <c r="A682" s="88">
        <f>COUNTIF($H$12:H682,H682)</f>
        <v>42</v>
      </c>
      <c r="B682" s="88" t="s">
        <v>319</v>
      </c>
      <c r="C682" s="88" t="s">
        <v>1539</v>
      </c>
      <c r="D682" s="88"/>
      <c r="E682" s="88"/>
      <c r="F682" s="301" t="s">
        <v>2081</v>
      </c>
      <c r="G682" s="89" t="s">
        <v>520</v>
      </c>
      <c r="H682" s="88">
        <v>13</v>
      </c>
      <c r="I682" s="88">
        <v>13</v>
      </c>
      <c r="J682" s="88">
        <v>13</v>
      </c>
      <c r="K682" s="90" t="s">
        <v>2979</v>
      </c>
      <c r="L682" s="90" t="s">
        <v>2979</v>
      </c>
      <c r="M682" s="214"/>
      <c r="N682" s="88" t="s">
        <v>605</v>
      </c>
      <c r="O682" s="216">
        <f t="shared" si="2226"/>
        <v>6.2</v>
      </c>
      <c r="P682" s="88" t="str">
        <f t="shared" si="2140"/>
        <v>B1_6</v>
      </c>
      <c r="Q682" s="88">
        <f t="shared" si="2136"/>
        <v>270</v>
      </c>
      <c r="R682" s="88">
        <f t="shared" si="2137"/>
        <v>170</v>
      </c>
      <c r="S682" s="230" t="s">
        <v>687</v>
      </c>
      <c r="T682" s="88" t="s">
        <v>3092</v>
      </c>
      <c r="U682" s="88">
        <f>IF(RIGHT(T682,1)="K",(VLOOKUP(T682,ma_miengiam!$A$3:$B$80,2,0)*100)/2,VLOOKUP(T682,ma_miengiam!$A$3:$B$80,2,0)*100)</f>
        <v>25</v>
      </c>
      <c r="V682" s="88"/>
      <c r="W682" s="220">
        <f>IF(AND(T682="NTS",V682&gt;0),(Q682-(Q682*V682)/12)*VLOOKUP(T682,ma_miengiam!$A$3:$B$80,2,0)+(Q682-(Q682*(12-V682))/12),IF(AND(RIGHT(T682,1)="K",V682&gt;0),(VLOOKUP(T682,ma_miengiam!$A$3:$B$80,2,0)/2)*(Q682*V682)/12,IF(RIGHT(T682,1)="K",(VLOOKUP(T682,ma_miengiam!$A$3:$B$80,2,0)*Q682)/2,IF(V682&gt;0,VLOOKUP(T682,ma_miengiam!$A$3:$B$80,2,0)*Q682*V682/12,VLOOKUP(T682,ma_miengiam!$A$3:$B$80,2,0)*Q682))))</f>
        <v>67.5</v>
      </c>
      <c r="X682" s="220">
        <f>IF(T682="NTS",VLOOKUP(T682,ma_miengiam!$A$3:$B$80,2,0)*R682*V682,IF(AND(T682="NTS",V682=0),0,IF(AND(LEFT(T682,1)="K",V682=0),VLOOKUP(T682,ma_miengiam!$A$3:$B$80,2,0)*R682,IF(LEFT(T682,1)="K",(VLOOKUP(T682,ma_miengiam!$A$3:$B$80,2,0)*R682/12)*V682,IF(AND(LEFT(T682,1)="S",V682&gt;0),(R682/12)*V682,IF(AND(LEFT(T682,1)="S",V682=0),R682,IF(T682="DH",VLOOKUP(T682,ma_miengiam!$A$3:$B$80,2,0)*R682,0)))))))</f>
        <v>0</v>
      </c>
      <c r="Y682" s="220">
        <f t="shared" ref="Y682:Y713" si="2257">IF(AND(T682="DH",V682&gt;0),(S682*V682/12),IF(AND(T682&lt;&gt;"NTS",V682&gt;0),(Q682*V682/12)-W682,IF(AND(T682="NTS",V682&gt;0),Q682-W682,Q682-W682)))</f>
        <v>202.5</v>
      </c>
      <c r="Z682" s="220">
        <f t="shared" ref="Z682:Z740" si="2258">IF(AND(T682="SĐH",V682&gt;0),(R682/12)*V682-X682,IF(AND(T682="DH",V682&gt;0),(R682*V682/12),IF(AND(T682&lt;&gt;"NTS",V682&gt;0),(R682*V682/12)-X682,IF(AND(T682="NTS",V682&gt;0),R682-X682,R682-X682))))</f>
        <v>170</v>
      </c>
      <c r="AA682" s="220">
        <f t="shared" si="2252"/>
        <v>270</v>
      </c>
      <c r="AB682" s="220">
        <f t="shared" si="2252"/>
        <v>170</v>
      </c>
      <c r="AC682" s="220">
        <f t="shared" ref="AC682:AF683" si="2259">W682</f>
        <v>67.5</v>
      </c>
      <c r="AD682" s="220">
        <f t="shared" si="2259"/>
        <v>0</v>
      </c>
      <c r="AE682" s="220">
        <f t="shared" si="2259"/>
        <v>202.5</v>
      </c>
      <c r="AF682" s="220">
        <f t="shared" si="2259"/>
        <v>170</v>
      </c>
      <c r="AG682" s="220">
        <f t="shared" ref="AG682:AG689" si="2260">AH682+AI682</f>
        <v>196.89</v>
      </c>
      <c r="AH682" s="220">
        <f t="shared" ref="AH682:AH689" si="2261">EO682</f>
        <v>113.14</v>
      </c>
      <c r="AI682" s="220">
        <f t="shared" ref="AI682:AI689" si="2262">EN682</f>
        <v>83.75</v>
      </c>
      <c r="AJ682" s="220">
        <f t="shared" si="2101"/>
        <v>0</v>
      </c>
      <c r="AK682" s="216">
        <f t="shared" si="2254"/>
        <v>202.5</v>
      </c>
      <c r="AL682" s="220">
        <f t="shared" si="2238"/>
        <v>114.5</v>
      </c>
      <c r="AM682" s="220">
        <f t="shared" si="2239"/>
        <v>112.30000000000001</v>
      </c>
      <c r="AN682" s="221">
        <f t="shared" si="2240"/>
        <v>226.8</v>
      </c>
      <c r="AO682" s="220">
        <f t="shared" si="2241"/>
        <v>0</v>
      </c>
      <c r="AP682" s="220">
        <f t="shared" si="2242"/>
        <v>0</v>
      </c>
      <c r="AQ682" s="220">
        <f t="shared" si="2243"/>
        <v>20</v>
      </c>
      <c r="AR682" s="220">
        <f t="shared" si="2244"/>
        <v>160</v>
      </c>
      <c r="AS682" s="220">
        <f t="shared" si="2245"/>
        <v>0</v>
      </c>
      <c r="AT682" s="216">
        <f t="shared" si="2246"/>
        <v>406.8</v>
      </c>
      <c r="AU682" s="222">
        <f t="shared" si="2122"/>
        <v>24.300000000000011</v>
      </c>
      <c r="AV682" s="220"/>
      <c r="AW682" s="220">
        <f t="shared" si="2174"/>
        <v>24.300000000000011</v>
      </c>
      <c r="AX682" s="216">
        <f t="shared" si="2234"/>
        <v>0</v>
      </c>
      <c r="AY682" s="220">
        <f t="shared" si="2182"/>
        <v>0</v>
      </c>
      <c r="AZ682" s="220">
        <f t="shared" si="2183"/>
        <v>0</v>
      </c>
      <c r="BA682" s="220">
        <f t="shared" si="2184"/>
        <v>20</v>
      </c>
      <c r="BB682" s="220">
        <f t="shared" si="2185"/>
        <v>160</v>
      </c>
      <c r="BC682" s="220">
        <f t="shared" si="2186"/>
        <v>0</v>
      </c>
      <c r="BD682" s="216">
        <f t="shared" si="2197"/>
        <v>180</v>
      </c>
      <c r="BE682" s="220">
        <f t="shared" si="2175"/>
        <v>0</v>
      </c>
      <c r="BF682" s="220">
        <f t="shared" si="2176"/>
        <v>0</v>
      </c>
      <c r="BG682" s="220">
        <f t="shared" si="2177"/>
        <v>0</v>
      </c>
      <c r="BH682" s="220">
        <f t="shared" si="2178"/>
        <v>0</v>
      </c>
      <c r="BI682" s="220">
        <f t="shared" si="2179"/>
        <v>0</v>
      </c>
      <c r="BJ682" s="220" t="s">
        <v>2410</v>
      </c>
      <c r="BK682" s="220"/>
      <c r="BL682" s="223">
        <f t="shared" si="2210"/>
        <v>24.300000000000011</v>
      </c>
      <c r="BM682" s="220">
        <v>6.2</v>
      </c>
      <c r="BN682" s="220"/>
      <c r="BO682" s="220">
        <f t="shared" si="2229"/>
        <v>6.2</v>
      </c>
      <c r="BP682" s="220">
        <f>IF(AND(BL682&gt;0,BL682&lt;tiet!$D$1),BL682,IF(BL682&lt;=0,0,IF(BL682&gt;tiet!$C$1,tiet!$C$1)))</f>
        <v>24.300000000000011</v>
      </c>
      <c r="BQ682" s="87">
        <f t="shared" si="2102"/>
        <v>75000</v>
      </c>
      <c r="BR682" s="224">
        <f t="shared" si="2099"/>
        <v>1822500</v>
      </c>
      <c r="BS682" s="220">
        <f t="shared" si="2134"/>
        <v>0</v>
      </c>
      <c r="BT682" s="224">
        <f>VLOOKUP(N682,ma_dinhmuc!$A$1:$J$31,10,0)</f>
        <v>65000</v>
      </c>
      <c r="BU682" s="224">
        <f>ROUND(IF(BS682&gt;0,VLOOKUP(N682,ma_dinhmuc!$A$1:$J$31,10,0)*BS682,0),0)</f>
        <v>0</v>
      </c>
      <c r="BV682" s="224">
        <f t="shared" si="2100"/>
        <v>1822500</v>
      </c>
      <c r="BW682" s="224"/>
      <c r="BX682" s="224">
        <v>0</v>
      </c>
      <c r="BY682" s="224"/>
      <c r="BZ682" s="224"/>
      <c r="CA682" s="224"/>
      <c r="CB682" s="224"/>
      <c r="CC682" s="225">
        <f t="shared" si="2112"/>
        <v>1822500</v>
      </c>
      <c r="CD682" s="224">
        <f t="shared" si="2113"/>
        <v>0</v>
      </c>
      <c r="CE682" s="224"/>
      <c r="CF682" s="226"/>
      <c r="CG682" s="87"/>
      <c r="CH682" s="87">
        <f t="shared" si="2230"/>
        <v>42</v>
      </c>
      <c r="CI682" s="227" t="str">
        <f t="shared" ref="CI682:CI690" si="2263">F682</f>
        <v>Nguyễn Thanh</v>
      </c>
      <c r="CJ682" s="227" t="str">
        <f t="shared" ref="CJ682:CJ690" si="2264">G682</f>
        <v>Lâm</v>
      </c>
      <c r="CK682" s="87">
        <f t="shared" ref="CK682:CK690" si="2265">H682</f>
        <v>13</v>
      </c>
      <c r="CL682" s="227" t="str">
        <f t="shared" si="2173"/>
        <v>Quản lý môi trường</v>
      </c>
      <c r="CM682" s="87" t="str">
        <f t="shared" si="2180"/>
        <v>CS4</v>
      </c>
      <c r="CN682" s="87">
        <f t="shared" ref="CN682:CO684" si="2266">Q682</f>
        <v>270</v>
      </c>
      <c r="CO682" s="87">
        <f t="shared" si="2266"/>
        <v>170</v>
      </c>
      <c r="CP682" s="229">
        <f t="shared" si="2142"/>
        <v>0</v>
      </c>
      <c r="CQ682" s="229">
        <f t="shared" si="2143"/>
        <v>22.3</v>
      </c>
      <c r="CR682" s="229">
        <f t="shared" si="2144"/>
        <v>8.9</v>
      </c>
      <c r="CS682" s="229">
        <f t="shared" si="2145"/>
        <v>7</v>
      </c>
      <c r="CT682" s="229">
        <f t="shared" si="2146"/>
        <v>0</v>
      </c>
      <c r="CU682" s="229">
        <f t="shared" si="2147"/>
        <v>76.3</v>
      </c>
      <c r="CV682" s="229">
        <f t="shared" si="2148"/>
        <v>0</v>
      </c>
      <c r="CW682" s="229">
        <f t="shared" si="2149"/>
        <v>0</v>
      </c>
      <c r="CX682" s="229">
        <f t="shared" si="2150"/>
        <v>0</v>
      </c>
      <c r="CY682" s="229">
        <f t="shared" si="2151"/>
        <v>0</v>
      </c>
      <c r="CZ682" s="229">
        <f t="shared" si="2152"/>
        <v>0</v>
      </c>
      <c r="DA682" s="229">
        <f t="shared" si="2153"/>
        <v>20</v>
      </c>
      <c r="DB682" s="228">
        <f t="shared" si="2235"/>
        <v>134.5</v>
      </c>
      <c r="DC682" s="229"/>
      <c r="DD682" s="229"/>
      <c r="DE682" s="229"/>
      <c r="DF682" s="229"/>
      <c r="DG682" s="229"/>
      <c r="DH682" s="229"/>
      <c r="DI682" s="229"/>
      <c r="DJ682" s="229"/>
      <c r="DK682" s="229"/>
      <c r="DL682" s="229"/>
      <c r="DM682" s="229"/>
      <c r="DN682" s="229"/>
      <c r="DO682" s="228">
        <f t="shared" si="2247"/>
        <v>0</v>
      </c>
      <c r="DP682" s="228">
        <f t="shared" si="2248"/>
        <v>134.5</v>
      </c>
      <c r="DQ682" s="229">
        <f t="shared" si="2154"/>
        <v>108</v>
      </c>
      <c r="DR682" s="229">
        <f t="shared" si="2155"/>
        <v>3.4</v>
      </c>
      <c r="DS682" s="229">
        <f t="shared" si="2156"/>
        <v>0</v>
      </c>
      <c r="DT682" s="229">
        <f t="shared" si="2157"/>
        <v>0.9</v>
      </c>
      <c r="DU682" s="229">
        <f t="shared" si="2158"/>
        <v>0</v>
      </c>
      <c r="DV682" s="229">
        <f t="shared" si="2159"/>
        <v>160</v>
      </c>
      <c r="DW682" s="229">
        <f t="shared" si="2160"/>
        <v>0</v>
      </c>
      <c r="DX682" s="228">
        <f t="shared" si="2236"/>
        <v>272.3</v>
      </c>
      <c r="DY682" s="229"/>
      <c r="DZ682" s="229"/>
      <c r="EA682" s="229"/>
      <c r="EB682" s="229"/>
      <c r="EC682" s="229"/>
      <c r="ED682" s="229"/>
      <c r="EE682" s="229"/>
      <c r="EF682" s="228">
        <f t="shared" si="2138"/>
        <v>0</v>
      </c>
      <c r="EG682" s="228">
        <f t="shared" si="2249"/>
        <v>272.3</v>
      </c>
      <c r="EH682" s="229">
        <f t="shared" si="2139"/>
        <v>83.75</v>
      </c>
      <c r="EI682" s="229">
        <v>113.14</v>
      </c>
      <c r="EJ682" s="228">
        <f t="shared" si="2256"/>
        <v>196.89</v>
      </c>
      <c r="EK682" s="229"/>
      <c r="EL682" s="229"/>
      <c r="EM682" s="228">
        <f t="shared" si="2202"/>
        <v>0</v>
      </c>
      <c r="EN682" s="229">
        <f t="shared" si="2220"/>
        <v>83.75</v>
      </c>
      <c r="EO682" s="229">
        <f t="shared" si="2123"/>
        <v>113.14</v>
      </c>
      <c r="EP682" s="228">
        <f t="shared" si="2237"/>
        <v>196.89</v>
      </c>
      <c r="EQ682" s="173">
        <f t="shared" si="2135"/>
        <v>0</v>
      </c>
      <c r="ER682" s="189">
        <v>0</v>
      </c>
      <c r="ES682" s="189">
        <v>22.3</v>
      </c>
      <c r="ET682" s="189">
        <v>8.9</v>
      </c>
      <c r="EU682" s="189">
        <v>7</v>
      </c>
      <c r="EV682" s="189">
        <v>0</v>
      </c>
      <c r="EW682" s="189">
        <v>76.3</v>
      </c>
      <c r="EX682" s="189">
        <v>0</v>
      </c>
      <c r="EY682" s="189">
        <v>0</v>
      </c>
      <c r="EZ682" s="189">
        <v>0</v>
      </c>
      <c r="FA682" s="189">
        <v>0</v>
      </c>
      <c r="FB682" s="189">
        <v>0</v>
      </c>
      <c r="FC682" s="189">
        <v>20</v>
      </c>
      <c r="FD682" s="189">
        <v>108</v>
      </c>
      <c r="FE682" s="189">
        <v>3.4</v>
      </c>
      <c r="FF682" s="189">
        <v>0</v>
      </c>
      <c r="FG682" s="189">
        <v>0.9</v>
      </c>
      <c r="FH682" s="189">
        <v>160</v>
      </c>
      <c r="FI682" s="189">
        <v>0</v>
      </c>
      <c r="FJ682" s="189">
        <v>0</v>
      </c>
      <c r="FK682" s="189">
        <v>406.8</v>
      </c>
      <c r="FL682" s="189">
        <v>314</v>
      </c>
      <c r="FN682" s="132">
        <v>83.75</v>
      </c>
    </row>
    <row r="683" spans="1:170" ht="33.75" customHeight="1">
      <c r="A683" s="88">
        <f>COUNTIF($H$12:H683,H683)</f>
        <v>43</v>
      </c>
      <c r="B683" s="88" t="s">
        <v>322</v>
      </c>
      <c r="C683" s="88" t="s">
        <v>1542</v>
      </c>
      <c r="D683" s="88"/>
      <c r="E683" s="88"/>
      <c r="F683" s="301" t="s">
        <v>1504</v>
      </c>
      <c r="G683" s="89" t="s">
        <v>17</v>
      </c>
      <c r="H683" s="88">
        <v>13</v>
      </c>
      <c r="I683" s="88">
        <v>13</v>
      </c>
      <c r="J683" s="88">
        <v>13</v>
      </c>
      <c r="K683" s="90" t="s">
        <v>2979</v>
      </c>
      <c r="L683" s="90" t="s">
        <v>2979</v>
      </c>
      <c r="M683" s="214"/>
      <c r="N683" s="88" t="s">
        <v>1804</v>
      </c>
      <c r="O683" s="216">
        <f t="shared" si="2226"/>
        <v>3.33</v>
      </c>
      <c r="P683" s="88" t="str">
        <f t="shared" si="2140"/>
        <v>B1_4</v>
      </c>
      <c r="Q683" s="88">
        <f t="shared" si="2136"/>
        <v>270</v>
      </c>
      <c r="R683" s="88">
        <f t="shared" si="2137"/>
        <v>120</v>
      </c>
      <c r="S683" s="230" t="s">
        <v>927</v>
      </c>
      <c r="T683" s="214" t="s">
        <v>3091</v>
      </c>
      <c r="U683" s="88">
        <f>IF(RIGHT(T683,1)="K",(VLOOKUP(T683,ma_miengiam!$A$3:$B$80,2,0)*100)/2,VLOOKUP(T683,ma_miengiam!$A$3:$B$80,2,0)*100)</f>
        <v>20</v>
      </c>
      <c r="V683" s="88"/>
      <c r="W683" s="220">
        <f>IF(AND(T683="NTS",V683&gt;0),(Q683-(Q683*V683)/12)*VLOOKUP(T683,ma_miengiam!$A$3:$B$80,2,0)+(Q683-(Q683*(12-V683))/12),IF(AND(RIGHT(T683,1)="K",V683&gt;0),(VLOOKUP(T683,ma_miengiam!$A$3:$B$80,2,0)/2)*(Q683*V683)/12,IF(RIGHT(T683,1)="K",(VLOOKUP(T683,ma_miengiam!$A$3:$B$80,2,0)*Q683)/2,IF(V683&gt;0,VLOOKUP(T683,ma_miengiam!$A$3:$B$80,2,0)*Q683*V683/12,VLOOKUP(T683,ma_miengiam!$A$3:$B$80,2,0)*Q683))))</f>
        <v>54</v>
      </c>
      <c r="X683" s="220">
        <f>IF(T683="NTS",VLOOKUP(T683,ma_miengiam!$A$3:$B$80,2,0)*R683*V683,IF(AND(T683="NTS",V683=0),0,IF(AND(LEFT(T683,1)="K",V683=0),VLOOKUP(T683,ma_miengiam!$A$3:$B$80,2,0)*R683,IF(LEFT(T683,1)="K",(VLOOKUP(T683,ma_miengiam!$A$3:$B$80,2,0)*R683/12)*V683,IF(AND(LEFT(T683,1)="S",V683&gt;0),(R683/12)*V683,IF(AND(LEFT(T683,1)="S",V683=0),R683,IF(T683="DH",VLOOKUP(T683,ma_miengiam!$A$3:$B$80,2,0)*R683,0)))))))</f>
        <v>0</v>
      </c>
      <c r="Y683" s="220">
        <f t="shared" si="2257"/>
        <v>216</v>
      </c>
      <c r="Z683" s="220">
        <f t="shared" si="2258"/>
        <v>120</v>
      </c>
      <c r="AA683" s="220">
        <f t="shared" si="2252"/>
        <v>270</v>
      </c>
      <c r="AB683" s="220">
        <f t="shared" si="2252"/>
        <v>120</v>
      </c>
      <c r="AC683" s="220">
        <f t="shared" si="2259"/>
        <v>54</v>
      </c>
      <c r="AD683" s="220">
        <f t="shared" si="2259"/>
        <v>0</v>
      </c>
      <c r="AE683" s="220">
        <f t="shared" si="2259"/>
        <v>216</v>
      </c>
      <c r="AF683" s="220">
        <f t="shared" si="2259"/>
        <v>120</v>
      </c>
      <c r="AG683" s="220">
        <f t="shared" si="2260"/>
        <v>123.61</v>
      </c>
      <c r="AH683" s="220">
        <f t="shared" si="2261"/>
        <v>79.86</v>
      </c>
      <c r="AI683" s="220">
        <f t="shared" si="2262"/>
        <v>43.75</v>
      </c>
      <c r="AJ683" s="220">
        <f t="shared" si="2101"/>
        <v>0</v>
      </c>
      <c r="AK683" s="216">
        <f t="shared" si="2254"/>
        <v>216</v>
      </c>
      <c r="AL683" s="220">
        <f t="shared" si="2238"/>
        <v>237.3</v>
      </c>
      <c r="AM683" s="220">
        <f t="shared" si="2239"/>
        <v>0</v>
      </c>
      <c r="AN683" s="221">
        <f t="shared" si="2240"/>
        <v>237.3</v>
      </c>
      <c r="AO683" s="220">
        <f t="shared" si="2241"/>
        <v>0</v>
      </c>
      <c r="AP683" s="220">
        <f t="shared" si="2242"/>
        <v>0</v>
      </c>
      <c r="AQ683" s="220">
        <f t="shared" si="2243"/>
        <v>0</v>
      </c>
      <c r="AR683" s="220">
        <f t="shared" si="2244"/>
        <v>0</v>
      </c>
      <c r="AS683" s="220">
        <f t="shared" si="2245"/>
        <v>0</v>
      </c>
      <c r="AT683" s="216">
        <f t="shared" si="2246"/>
        <v>237.3</v>
      </c>
      <c r="AU683" s="222">
        <f t="shared" si="2122"/>
        <v>21.300000000000011</v>
      </c>
      <c r="AV683" s="220"/>
      <c r="AW683" s="220">
        <f t="shared" si="2174"/>
        <v>21.300000000000011</v>
      </c>
      <c r="AX683" s="216">
        <f t="shared" si="2234"/>
        <v>0</v>
      </c>
      <c r="AY683" s="220">
        <f t="shared" si="2182"/>
        <v>0</v>
      </c>
      <c r="AZ683" s="220">
        <f t="shared" si="2183"/>
        <v>0</v>
      </c>
      <c r="BA683" s="220">
        <f t="shared" si="2184"/>
        <v>0</v>
      </c>
      <c r="BB683" s="220">
        <f t="shared" si="2185"/>
        <v>0</v>
      </c>
      <c r="BC683" s="220">
        <f t="shared" si="2186"/>
        <v>0</v>
      </c>
      <c r="BD683" s="216">
        <f t="shared" si="2197"/>
        <v>0</v>
      </c>
      <c r="BE683" s="220">
        <f t="shared" si="2175"/>
        <v>0</v>
      </c>
      <c r="BF683" s="220">
        <f t="shared" si="2176"/>
        <v>0</v>
      </c>
      <c r="BG683" s="220">
        <f t="shared" si="2177"/>
        <v>0</v>
      </c>
      <c r="BH683" s="220">
        <f t="shared" si="2178"/>
        <v>0</v>
      </c>
      <c r="BI683" s="220">
        <f t="shared" si="2179"/>
        <v>0</v>
      </c>
      <c r="BJ683" s="220" t="s">
        <v>2410</v>
      </c>
      <c r="BK683" s="220"/>
      <c r="BL683" s="223">
        <f t="shared" si="2210"/>
        <v>21.300000000000011</v>
      </c>
      <c r="BM683" s="220">
        <v>3.33</v>
      </c>
      <c r="BN683" s="220"/>
      <c r="BO683" s="220">
        <f t="shared" ref="BO683:BO692" si="2267">ROUND(BM683+(BM683*BN683),2)</f>
        <v>3.33</v>
      </c>
      <c r="BP683" s="220">
        <f>IF(AND(BL683&gt;0,BL683&lt;tiet!$D$1),BL683,IF(BL683&lt;=0,0,IF(BL683&gt;tiet!$C$1,tiet!$C$1)))</f>
        <v>21.300000000000011</v>
      </c>
      <c r="BQ683" s="87">
        <f t="shared" si="2102"/>
        <v>65000</v>
      </c>
      <c r="BR683" s="224">
        <f t="shared" ref="BR683:BR708" si="2268">ROUND(BQ683*BP683,0)</f>
        <v>1384500</v>
      </c>
      <c r="BS683" s="220">
        <f t="shared" si="2134"/>
        <v>0</v>
      </c>
      <c r="BT683" s="224">
        <f>VLOOKUP(N683,ma_dinhmuc!$A$1:$J$31,10,0)</f>
        <v>51000</v>
      </c>
      <c r="BU683" s="224">
        <f>ROUND(IF(BS683&gt;0,VLOOKUP(N683,ma_dinhmuc!$A$1:$J$31,10,0)*BS683,0),0)</f>
        <v>0</v>
      </c>
      <c r="BV683" s="224">
        <f t="shared" ref="BV683:BV708" si="2269">ROUND(BU683+BR683,0)</f>
        <v>1384500</v>
      </c>
      <c r="BW683" s="224"/>
      <c r="BX683" s="224">
        <v>0</v>
      </c>
      <c r="BY683" s="224"/>
      <c r="BZ683" s="224"/>
      <c r="CA683" s="224"/>
      <c r="CB683" s="224"/>
      <c r="CC683" s="225">
        <f t="shared" si="2112"/>
        <v>1384500</v>
      </c>
      <c r="CD683" s="224">
        <f t="shared" si="2113"/>
        <v>0</v>
      </c>
      <c r="CE683" s="224"/>
      <c r="CF683" s="226"/>
      <c r="CG683" s="87"/>
      <c r="CH683" s="87">
        <f t="shared" si="2230"/>
        <v>43</v>
      </c>
      <c r="CI683" s="227" t="str">
        <f t="shared" si="2263"/>
        <v>Nguyễn Thị Bích</v>
      </c>
      <c r="CJ683" s="227" t="str">
        <f t="shared" si="2264"/>
        <v>Hà</v>
      </c>
      <c r="CK683" s="87">
        <f t="shared" si="2265"/>
        <v>13</v>
      </c>
      <c r="CL683" s="227" t="str">
        <f t="shared" si="2173"/>
        <v>Quản lý môi trường</v>
      </c>
      <c r="CM683" s="87" t="str">
        <f t="shared" si="2180"/>
        <v>CS2</v>
      </c>
      <c r="CN683" s="87">
        <f t="shared" si="2266"/>
        <v>270</v>
      </c>
      <c r="CO683" s="87">
        <f t="shared" si="2266"/>
        <v>120</v>
      </c>
      <c r="CP683" s="229">
        <f t="shared" si="2142"/>
        <v>0</v>
      </c>
      <c r="CQ683" s="229">
        <f t="shared" si="2143"/>
        <v>34.4</v>
      </c>
      <c r="CR683" s="229">
        <f t="shared" si="2144"/>
        <v>13.9</v>
      </c>
      <c r="CS683" s="229">
        <f t="shared" si="2145"/>
        <v>0</v>
      </c>
      <c r="CT683" s="229">
        <f t="shared" si="2146"/>
        <v>0</v>
      </c>
      <c r="CU683" s="229">
        <f t="shared" si="2147"/>
        <v>189</v>
      </c>
      <c r="CV683" s="229">
        <f t="shared" si="2148"/>
        <v>0</v>
      </c>
      <c r="CW683" s="229">
        <f t="shared" si="2149"/>
        <v>0</v>
      </c>
      <c r="CX683" s="229">
        <f t="shared" si="2150"/>
        <v>0</v>
      </c>
      <c r="CY683" s="229">
        <f t="shared" si="2151"/>
        <v>0</v>
      </c>
      <c r="CZ683" s="229">
        <f t="shared" si="2152"/>
        <v>0</v>
      </c>
      <c r="DA683" s="229">
        <f t="shared" si="2153"/>
        <v>0</v>
      </c>
      <c r="DB683" s="228">
        <f t="shared" si="2235"/>
        <v>237.3</v>
      </c>
      <c r="DC683" s="229"/>
      <c r="DD683" s="229"/>
      <c r="DE683" s="229"/>
      <c r="DF683" s="229"/>
      <c r="DG683" s="229"/>
      <c r="DH683" s="229"/>
      <c r="DI683" s="229"/>
      <c r="DJ683" s="229"/>
      <c r="DK683" s="229"/>
      <c r="DL683" s="229"/>
      <c r="DM683" s="229"/>
      <c r="DN683" s="229"/>
      <c r="DO683" s="228">
        <f t="shared" si="2247"/>
        <v>0</v>
      </c>
      <c r="DP683" s="228">
        <f t="shared" si="2248"/>
        <v>237.3</v>
      </c>
      <c r="DQ683" s="229">
        <f t="shared" si="2154"/>
        <v>0</v>
      </c>
      <c r="DR683" s="229">
        <f t="shared" si="2155"/>
        <v>0</v>
      </c>
      <c r="DS683" s="229">
        <f t="shared" si="2156"/>
        <v>0</v>
      </c>
      <c r="DT683" s="229">
        <f t="shared" si="2157"/>
        <v>0</v>
      </c>
      <c r="DU683" s="229">
        <f t="shared" si="2158"/>
        <v>0</v>
      </c>
      <c r="DV683" s="229">
        <f t="shared" si="2159"/>
        <v>0</v>
      </c>
      <c r="DW683" s="229">
        <f t="shared" si="2160"/>
        <v>0</v>
      </c>
      <c r="DX683" s="228">
        <f t="shared" si="2236"/>
        <v>0</v>
      </c>
      <c r="DY683" s="229"/>
      <c r="DZ683" s="229"/>
      <c r="EA683" s="229"/>
      <c r="EB683" s="229"/>
      <c r="EC683" s="229"/>
      <c r="ED683" s="229"/>
      <c r="EE683" s="229"/>
      <c r="EF683" s="228">
        <f t="shared" si="2138"/>
        <v>0</v>
      </c>
      <c r="EG683" s="228">
        <f t="shared" si="2249"/>
        <v>0</v>
      </c>
      <c r="EH683" s="229">
        <f t="shared" si="2139"/>
        <v>43.75</v>
      </c>
      <c r="EI683" s="229">
        <v>79.86</v>
      </c>
      <c r="EJ683" s="228">
        <f t="shared" si="2256"/>
        <v>123.61</v>
      </c>
      <c r="EK683" s="229"/>
      <c r="EL683" s="229"/>
      <c r="EM683" s="228">
        <f t="shared" si="2202"/>
        <v>0</v>
      </c>
      <c r="EN683" s="229">
        <f t="shared" si="2220"/>
        <v>43.75</v>
      </c>
      <c r="EO683" s="229">
        <f t="shared" si="2123"/>
        <v>79.86</v>
      </c>
      <c r="EP683" s="228">
        <f t="shared" si="2237"/>
        <v>123.61</v>
      </c>
      <c r="EQ683" s="173">
        <f t="shared" si="2135"/>
        <v>0</v>
      </c>
      <c r="ER683" s="189">
        <v>0</v>
      </c>
      <c r="ES683" s="189">
        <v>34.4</v>
      </c>
      <c r="ET683" s="189">
        <v>13.9</v>
      </c>
      <c r="EU683" s="189">
        <v>0</v>
      </c>
      <c r="EV683" s="189">
        <v>0</v>
      </c>
      <c r="EW683" s="189">
        <v>189</v>
      </c>
      <c r="EX683" s="189">
        <v>0</v>
      </c>
      <c r="EY683" s="189">
        <v>0</v>
      </c>
      <c r="EZ683" s="189">
        <v>0</v>
      </c>
      <c r="FA683" s="189">
        <v>0</v>
      </c>
      <c r="FB683" s="189">
        <v>0</v>
      </c>
      <c r="FC683" s="189">
        <v>0</v>
      </c>
      <c r="FD683" s="189">
        <v>0</v>
      </c>
      <c r="FE683" s="189">
        <v>0</v>
      </c>
      <c r="FF683" s="189">
        <v>0</v>
      </c>
      <c r="FG683" s="189">
        <v>0</v>
      </c>
      <c r="FH683" s="189">
        <v>0</v>
      </c>
      <c r="FI683" s="189">
        <v>0</v>
      </c>
      <c r="FJ683" s="189">
        <v>0</v>
      </c>
      <c r="FK683" s="189">
        <v>237.3</v>
      </c>
      <c r="FL683" s="189">
        <v>192</v>
      </c>
      <c r="FN683" s="132">
        <v>43.75</v>
      </c>
    </row>
    <row r="684" spans="1:170" ht="30" customHeight="1">
      <c r="A684" s="88">
        <f>COUNTIF($H$12:H684,H684)</f>
        <v>44</v>
      </c>
      <c r="B684" s="88" t="s">
        <v>323</v>
      </c>
      <c r="C684" s="88" t="s">
        <v>1543</v>
      </c>
      <c r="D684" s="88"/>
      <c r="E684" s="88"/>
      <c r="F684" s="301" t="s">
        <v>182</v>
      </c>
      <c r="G684" s="89" t="s">
        <v>14</v>
      </c>
      <c r="H684" s="88">
        <v>13</v>
      </c>
      <c r="I684" s="88">
        <v>13</v>
      </c>
      <c r="J684" s="88">
        <v>13</v>
      </c>
      <c r="K684" s="90" t="s">
        <v>2979</v>
      </c>
      <c r="L684" s="90" t="s">
        <v>2979</v>
      </c>
      <c r="M684" s="214"/>
      <c r="N684" s="88" t="s">
        <v>1804</v>
      </c>
      <c r="O684" s="216">
        <f t="shared" ref="O684:O692" si="2270">BO684</f>
        <v>3.33</v>
      </c>
      <c r="P684" s="88" t="str">
        <f t="shared" si="2140"/>
        <v>B1_4</v>
      </c>
      <c r="Q684" s="88">
        <f t="shared" si="2136"/>
        <v>270</v>
      </c>
      <c r="R684" s="88">
        <f t="shared" si="2137"/>
        <v>120</v>
      </c>
      <c r="S684" s="233" t="s">
        <v>689</v>
      </c>
      <c r="T684" s="88" t="s">
        <v>3090</v>
      </c>
      <c r="U684" s="88">
        <f>IF(RIGHT(T684,1)="K",(VLOOKUP(T684,ma_miengiam!$A$3:$B$80,2,0)*100)/2,VLOOKUP(T684,ma_miengiam!$A$3:$B$80,2,0)*100)</f>
        <v>15</v>
      </c>
      <c r="V684" s="88"/>
      <c r="W684" s="220">
        <f>IF(AND(T684="NTS",V684&gt;0),(Q684-(Q684*V684)/12)*VLOOKUP(T684,ma_miengiam!$A$3:$B$80,2,0)+(Q684-(Q684*(12-V684))/12),IF(AND(RIGHT(T684,1)="K",V684&gt;0),(VLOOKUP(T684,ma_miengiam!$A$3:$B$80,2,0)/2)*(Q684*V684)/12,IF(RIGHT(T684,1)="K",(VLOOKUP(T684,ma_miengiam!$A$3:$B$80,2,0)*Q684)/2,IF(V684&gt;0,VLOOKUP(T684,ma_miengiam!$A$3:$B$80,2,0)*Q684*V684/12,VLOOKUP(T684,ma_miengiam!$A$3:$B$80,2,0)*Q684))))</f>
        <v>40.5</v>
      </c>
      <c r="X684" s="220">
        <f>IF(T684="NTS",VLOOKUP(T684,ma_miengiam!$A$3:$B$80,2,0)*R684*V684,IF(AND(T684="NTS",V684=0),0,IF(AND(LEFT(T684,1)="K",V684=0),VLOOKUP(T684,ma_miengiam!$A$3:$B$80,2,0)*R684,IF(LEFT(T684,1)="K",(VLOOKUP(T684,ma_miengiam!$A$3:$B$80,2,0)*R684/12)*V684,IF(AND(LEFT(T684,1)="S",V684&gt;0),(R684/12)*V684,IF(AND(LEFT(T684,1)="S",V684=0),R684,IF(T684="DH",VLOOKUP(T684,ma_miengiam!$A$3:$B$80,2,0)*R684,0)))))))</f>
        <v>0</v>
      </c>
      <c r="Y684" s="220">
        <f t="shared" si="2257"/>
        <v>229.5</v>
      </c>
      <c r="Z684" s="220">
        <f t="shared" si="2258"/>
        <v>120</v>
      </c>
      <c r="AA684" s="220">
        <f t="shared" si="2252"/>
        <v>270</v>
      </c>
      <c r="AB684" s="220">
        <f t="shared" si="2252"/>
        <v>120</v>
      </c>
      <c r="AC684" s="220">
        <f t="shared" ref="AC684:AF685" si="2271">W684</f>
        <v>40.5</v>
      </c>
      <c r="AD684" s="220">
        <f t="shared" si="2271"/>
        <v>0</v>
      </c>
      <c r="AE684" s="220">
        <f t="shared" si="2271"/>
        <v>229.5</v>
      </c>
      <c r="AF684" s="220">
        <f t="shared" si="2271"/>
        <v>120</v>
      </c>
      <c r="AG684" s="220">
        <f t="shared" si="2260"/>
        <v>371.55</v>
      </c>
      <c r="AH684" s="220">
        <f t="shared" si="2261"/>
        <v>166.55</v>
      </c>
      <c r="AI684" s="220">
        <f t="shared" si="2262"/>
        <v>205</v>
      </c>
      <c r="AJ684" s="220">
        <f t="shared" ref="AJ684:AJ689" si="2272">IF(AG684-Z684&gt;0,0,AG684-Z684)</f>
        <v>0</v>
      </c>
      <c r="AK684" s="216">
        <f t="shared" si="2254"/>
        <v>229.5</v>
      </c>
      <c r="AL684" s="220">
        <f t="shared" si="2238"/>
        <v>218.4</v>
      </c>
      <c r="AM684" s="220">
        <f t="shared" si="2239"/>
        <v>0</v>
      </c>
      <c r="AN684" s="221">
        <f t="shared" si="2240"/>
        <v>218.4</v>
      </c>
      <c r="AO684" s="220">
        <f t="shared" si="2241"/>
        <v>20</v>
      </c>
      <c r="AP684" s="220">
        <f t="shared" si="2242"/>
        <v>0</v>
      </c>
      <c r="AQ684" s="220">
        <f t="shared" si="2243"/>
        <v>20</v>
      </c>
      <c r="AR684" s="220">
        <f t="shared" si="2244"/>
        <v>0</v>
      </c>
      <c r="AS684" s="220">
        <f t="shared" si="2245"/>
        <v>0</v>
      </c>
      <c r="AT684" s="216">
        <f t="shared" si="2246"/>
        <v>258.39999999999998</v>
      </c>
      <c r="AU684" s="222">
        <f t="shared" si="2122"/>
        <v>-11.099999999999994</v>
      </c>
      <c r="AV684" s="220"/>
      <c r="AW684" s="220">
        <f t="shared" si="2174"/>
        <v>-11.099999999999994</v>
      </c>
      <c r="AX684" s="216">
        <f t="shared" si="2234"/>
        <v>-11.099999999999994</v>
      </c>
      <c r="AY684" s="220">
        <f t="shared" si="2182"/>
        <v>8.9000000000000057</v>
      </c>
      <c r="AZ684" s="220">
        <f t="shared" si="2183"/>
        <v>0</v>
      </c>
      <c r="BA684" s="220">
        <f t="shared" si="2184"/>
        <v>20</v>
      </c>
      <c r="BB684" s="220">
        <f t="shared" si="2185"/>
        <v>0</v>
      </c>
      <c r="BC684" s="220">
        <f t="shared" si="2186"/>
        <v>0</v>
      </c>
      <c r="BD684" s="216">
        <f t="shared" si="2197"/>
        <v>28.900000000000006</v>
      </c>
      <c r="BE684" s="220">
        <f t="shared" si="2175"/>
        <v>-11.099999999999994</v>
      </c>
      <c r="BF684" s="220">
        <f t="shared" si="2176"/>
        <v>0</v>
      </c>
      <c r="BG684" s="220">
        <f t="shared" si="2177"/>
        <v>0</v>
      </c>
      <c r="BH684" s="220">
        <f t="shared" si="2178"/>
        <v>0</v>
      </c>
      <c r="BI684" s="220">
        <f t="shared" si="2179"/>
        <v>0</v>
      </c>
      <c r="BJ684" s="220" t="s">
        <v>2410</v>
      </c>
      <c r="BK684" s="220"/>
      <c r="BL684" s="223">
        <f t="shared" si="2210"/>
        <v>0</v>
      </c>
      <c r="BM684" s="220">
        <v>3.33</v>
      </c>
      <c r="BN684" s="220"/>
      <c r="BO684" s="220">
        <f t="shared" si="2267"/>
        <v>3.33</v>
      </c>
      <c r="BP684" s="220">
        <f>IF(AND(BL684&gt;0,BL684&lt;tiet!$D$1),BL684,IF(BL684&lt;=0,0,IF(BL684&gt;tiet!$C$1,tiet!$C$1)))</f>
        <v>0</v>
      </c>
      <c r="BQ684" s="87">
        <f t="shared" si="2102"/>
        <v>65000</v>
      </c>
      <c r="BR684" s="224">
        <f t="shared" si="2268"/>
        <v>0</v>
      </c>
      <c r="BS684" s="220">
        <f t="shared" si="2134"/>
        <v>0</v>
      </c>
      <c r="BT684" s="224">
        <f>VLOOKUP(N684,ma_dinhmuc!$A$1:$J$31,10,0)</f>
        <v>51000</v>
      </c>
      <c r="BU684" s="224">
        <f>ROUND(IF(BS684&gt;0,VLOOKUP(N684,ma_dinhmuc!$A$1:$J$31,10,0)*BS684,0),0)</f>
        <v>0</v>
      </c>
      <c r="BV684" s="224">
        <f t="shared" si="2269"/>
        <v>0</v>
      </c>
      <c r="BW684" s="224"/>
      <c r="BX684" s="224">
        <v>0</v>
      </c>
      <c r="BY684" s="224"/>
      <c r="BZ684" s="224"/>
      <c r="CA684" s="224"/>
      <c r="CB684" s="224"/>
      <c r="CC684" s="225">
        <f t="shared" si="2112"/>
        <v>0</v>
      </c>
      <c r="CD684" s="224">
        <f t="shared" si="2113"/>
        <v>0</v>
      </c>
      <c r="CE684" s="224"/>
      <c r="CF684" s="226"/>
      <c r="CG684" s="87"/>
      <c r="CH684" s="87">
        <f t="shared" si="2230"/>
        <v>44</v>
      </c>
      <c r="CI684" s="227" t="str">
        <f t="shared" si="2263"/>
        <v>Cao Trường</v>
      </c>
      <c r="CJ684" s="227" t="str">
        <f t="shared" si="2264"/>
        <v>Sơn</v>
      </c>
      <c r="CK684" s="87">
        <f t="shared" si="2265"/>
        <v>13</v>
      </c>
      <c r="CL684" s="227" t="str">
        <f t="shared" ref="CL684:CL692" si="2273">L684</f>
        <v>Quản lý môi trường</v>
      </c>
      <c r="CM684" s="87" t="str">
        <f t="shared" si="2180"/>
        <v>CS2</v>
      </c>
      <c r="CN684" s="87">
        <f t="shared" si="2266"/>
        <v>270</v>
      </c>
      <c r="CO684" s="87">
        <f t="shared" si="2266"/>
        <v>120</v>
      </c>
      <c r="CP684" s="229">
        <f t="shared" si="2142"/>
        <v>0</v>
      </c>
      <c r="CQ684" s="229">
        <f t="shared" si="2143"/>
        <v>28.5</v>
      </c>
      <c r="CR684" s="229">
        <f t="shared" si="2144"/>
        <v>7</v>
      </c>
      <c r="CS684" s="229">
        <f t="shared" si="2145"/>
        <v>7</v>
      </c>
      <c r="CT684" s="229">
        <f t="shared" si="2146"/>
        <v>0</v>
      </c>
      <c r="CU684" s="229">
        <f t="shared" si="2147"/>
        <v>93.4</v>
      </c>
      <c r="CV684" s="229">
        <f t="shared" si="2148"/>
        <v>0</v>
      </c>
      <c r="CW684" s="229">
        <f t="shared" si="2149"/>
        <v>82.5</v>
      </c>
      <c r="CX684" s="229">
        <f t="shared" si="2150"/>
        <v>0</v>
      </c>
      <c r="CY684" s="229">
        <f t="shared" si="2151"/>
        <v>20</v>
      </c>
      <c r="CZ684" s="229">
        <f t="shared" si="2152"/>
        <v>0</v>
      </c>
      <c r="DA684" s="229">
        <f t="shared" si="2153"/>
        <v>20</v>
      </c>
      <c r="DB684" s="228">
        <f t="shared" si="2235"/>
        <v>258.39999999999998</v>
      </c>
      <c r="DC684" s="229"/>
      <c r="DD684" s="229"/>
      <c r="DE684" s="229"/>
      <c r="DF684" s="229"/>
      <c r="DG684" s="229"/>
      <c r="DH684" s="229"/>
      <c r="DI684" s="229"/>
      <c r="DJ684" s="229"/>
      <c r="DK684" s="229"/>
      <c r="DL684" s="229"/>
      <c r="DM684" s="229"/>
      <c r="DN684" s="229"/>
      <c r="DO684" s="228">
        <f t="shared" si="2247"/>
        <v>0</v>
      </c>
      <c r="DP684" s="228">
        <f t="shared" si="2248"/>
        <v>258.39999999999998</v>
      </c>
      <c r="DQ684" s="229">
        <f t="shared" si="2154"/>
        <v>0</v>
      </c>
      <c r="DR684" s="229">
        <f t="shared" si="2155"/>
        <v>0</v>
      </c>
      <c r="DS684" s="229">
        <f t="shared" si="2156"/>
        <v>0</v>
      </c>
      <c r="DT684" s="229">
        <f t="shared" si="2157"/>
        <v>0</v>
      </c>
      <c r="DU684" s="229">
        <f t="shared" si="2158"/>
        <v>0</v>
      </c>
      <c r="DV684" s="229">
        <f t="shared" si="2159"/>
        <v>0</v>
      </c>
      <c r="DW684" s="229">
        <f t="shared" si="2160"/>
        <v>0</v>
      </c>
      <c r="DX684" s="228">
        <f t="shared" si="2236"/>
        <v>0</v>
      </c>
      <c r="DY684" s="229"/>
      <c r="DZ684" s="229"/>
      <c r="EA684" s="229"/>
      <c r="EB684" s="229"/>
      <c r="EC684" s="229"/>
      <c r="ED684" s="229"/>
      <c r="EE684" s="229"/>
      <c r="EF684" s="228">
        <f t="shared" si="2138"/>
        <v>0</v>
      </c>
      <c r="EG684" s="228">
        <f t="shared" si="2249"/>
        <v>0</v>
      </c>
      <c r="EH684" s="229">
        <f t="shared" si="2139"/>
        <v>205</v>
      </c>
      <c r="EI684" s="229">
        <v>166.55</v>
      </c>
      <c r="EJ684" s="228">
        <f t="shared" si="2256"/>
        <v>371.55</v>
      </c>
      <c r="EK684" s="229"/>
      <c r="EL684" s="229"/>
      <c r="EM684" s="228">
        <f t="shared" si="2202"/>
        <v>0</v>
      </c>
      <c r="EN684" s="229">
        <f t="shared" si="2220"/>
        <v>205</v>
      </c>
      <c r="EO684" s="229">
        <f t="shared" si="2123"/>
        <v>166.55</v>
      </c>
      <c r="EP684" s="228">
        <f t="shared" si="2237"/>
        <v>371.55</v>
      </c>
      <c r="EQ684" s="173">
        <f t="shared" si="2135"/>
        <v>85</v>
      </c>
      <c r="ER684" s="189">
        <v>0</v>
      </c>
      <c r="ES684" s="189">
        <v>28.5</v>
      </c>
      <c r="ET684" s="189">
        <v>7</v>
      </c>
      <c r="EU684" s="189">
        <v>7</v>
      </c>
      <c r="EV684" s="189">
        <v>0</v>
      </c>
      <c r="EW684" s="189">
        <v>93.4</v>
      </c>
      <c r="EX684" s="189">
        <v>0</v>
      </c>
      <c r="EY684" s="189">
        <v>82.5</v>
      </c>
      <c r="EZ684" s="189">
        <v>0</v>
      </c>
      <c r="FA684" s="189">
        <v>20</v>
      </c>
      <c r="FB684" s="189">
        <v>0</v>
      </c>
      <c r="FC684" s="189">
        <v>20</v>
      </c>
      <c r="FD684" s="189">
        <v>0</v>
      </c>
      <c r="FE684" s="189">
        <v>0</v>
      </c>
      <c r="FF684" s="189">
        <v>0</v>
      </c>
      <c r="FG684" s="189">
        <v>0</v>
      </c>
      <c r="FH684" s="189">
        <v>0</v>
      </c>
      <c r="FI684" s="189">
        <v>0</v>
      </c>
      <c r="FJ684" s="189">
        <v>0</v>
      </c>
      <c r="FK684" s="189">
        <v>258.39999999999998</v>
      </c>
      <c r="FL684" s="189">
        <v>223</v>
      </c>
      <c r="FN684" s="132">
        <v>205</v>
      </c>
    </row>
    <row r="685" spans="1:170" ht="30" customHeight="1">
      <c r="A685" s="88">
        <f>COUNTIF($H$12:H685,H685)</f>
        <v>45</v>
      </c>
      <c r="B685" s="88" t="s">
        <v>324</v>
      </c>
      <c r="C685" s="88" t="s">
        <v>1544</v>
      </c>
      <c r="D685" s="88"/>
      <c r="E685" s="88"/>
      <c r="F685" s="301" t="s">
        <v>183</v>
      </c>
      <c r="G685" s="89" t="s">
        <v>1789</v>
      </c>
      <c r="H685" s="88">
        <v>13</v>
      </c>
      <c r="I685" s="88">
        <v>13</v>
      </c>
      <c r="J685" s="88">
        <v>13</v>
      </c>
      <c r="K685" s="90" t="s">
        <v>2979</v>
      </c>
      <c r="L685" s="90" t="s">
        <v>2979</v>
      </c>
      <c r="M685" s="214"/>
      <c r="N685" s="88" t="s">
        <v>1804</v>
      </c>
      <c r="O685" s="216">
        <f t="shared" si="2270"/>
        <v>3.66</v>
      </c>
      <c r="P685" s="88" t="str">
        <f t="shared" si="2140"/>
        <v>B1_4</v>
      </c>
      <c r="Q685" s="88">
        <f t="shared" si="2136"/>
        <v>270</v>
      </c>
      <c r="R685" s="88">
        <f t="shared" si="2137"/>
        <v>120</v>
      </c>
      <c r="S685" s="218" t="s">
        <v>2037</v>
      </c>
      <c r="T685" s="88" t="s">
        <v>3091</v>
      </c>
      <c r="U685" s="88">
        <f>IF(RIGHT(T685,1)="K",(VLOOKUP(T685,ma_miengiam!$A$3:$B$80,2,0)*100)/2,VLOOKUP(T685,ma_miengiam!$A$3:$B$80,2,0)*100)</f>
        <v>20</v>
      </c>
      <c r="V685" s="88"/>
      <c r="W685" s="220">
        <f>IF(AND(T685="NTS",V685&gt;0),(Q685-(Q685*V685)/12)*VLOOKUP(T685,ma_miengiam!$A$3:$B$80,2,0)+(Q685-(Q685*(12-V685))/12),IF(AND(RIGHT(T685,1)="K",V685&gt;0),(VLOOKUP(T685,ma_miengiam!$A$3:$B$80,2,0)/2)*(Q685*V685)/12,IF(RIGHT(T685,1)="K",(VLOOKUP(T685,ma_miengiam!$A$3:$B$80,2,0)*Q685)/2,IF(V685&gt;0,VLOOKUP(T685,ma_miengiam!$A$3:$B$80,2,0)*Q685*V685/12,VLOOKUP(T685,ma_miengiam!$A$3:$B$80,2,0)*Q685))))</f>
        <v>54</v>
      </c>
      <c r="X685" s="220">
        <f>IF(T685="NTS",VLOOKUP(T685,ma_miengiam!$A$3:$B$80,2,0)*R685*V685,IF(AND(T685="NTS",V685=0),0,IF(AND(LEFT(T685,1)="K",V685=0),VLOOKUP(T685,ma_miengiam!$A$3:$B$80,2,0)*R685,IF(LEFT(T685,1)="K",(VLOOKUP(T685,ma_miengiam!$A$3:$B$80,2,0)*R685/12)*V685,IF(AND(LEFT(T685,1)="S",V685&gt;0),(R685/12)*V685,IF(AND(LEFT(T685,1)="S",V685=0),R685,IF(T685="DH",VLOOKUP(T685,ma_miengiam!$A$3:$B$80,2,0)*R685,0)))))))</f>
        <v>0</v>
      </c>
      <c r="Y685" s="220">
        <f t="shared" si="2257"/>
        <v>216</v>
      </c>
      <c r="Z685" s="220">
        <f t="shared" si="2258"/>
        <v>120</v>
      </c>
      <c r="AA685" s="220">
        <f t="shared" si="2252"/>
        <v>270</v>
      </c>
      <c r="AB685" s="220">
        <f t="shared" si="2252"/>
        <v>120</v>
      </c>
      <c r="AC685" s="220">
        <f t="shared" si="2271"/>
        <v>54</v>
      </c>
      <c r="AD685" s="220">
        <f t="shared" si="2271"/>
        <v>0</v>
      </c>
      <c r="AE685" s="220">
        <f t="shared" si="2271"/>
        <v>216</v>
      </c>
      <c r="AF685" s="220">
        <f t="shared" si="2271"/>
        <v>120</v>
      </c>
      <c r="AG685" s="220">
        <f t="shared" si="2260"/>
        <v>211.11</v>
      </c>
      <c r="AH685" s="220">
        <f t="shared" si="2261"/>
        <v>79.86</v>
      </c>
      <c r="AI685" s="220">
        <f t="shared" si="2262"/>
        <v>131.25</v>
      </c>
      <c r="AJ685" s="220">
        <f t="shared" si="2272"/>
        <v>0</v>
      </c>
      <c r="AK685" s="216">
        <f t="shared" si="2254"/>
        <v>216</v>
      </c>
      <c r="AL685" s="220">
        <f t="shared" si="2238"/>
        <v>231.20000000000002</v>
      </c>
      <c r="AM685" s="220">
        <f t="shared" si="2239"/>
        <v>226.79999999999998</v>
      </c>
      <c r="AN685" s="221">
        <f t="shared" si="2240"/>
        <v>458</v>
      </c>
      <c r="AO685" s="220">
        <f t="shared" si="2241"/>
        <v>0</v>
      </c>
      <c r="AP685" s="220">
        <f t="shared" si="2242"/>
        <v>0</v>
      </c>
      <c r="AQ685" s="220">
        <f t="shared" si="2243"/>
        <v>60</v>
      </c>
      <c r="AR685" s="220">
        <f t="shared" si="2244"/>
        <v>120</v>
      </c>
      <c r="AS685" s="220">
        <f t="shared" si="2245"/>
        <v>0</v>
      </c>
      <c r="AT685" s="216">
        <f t="shared" si="2246"/>
        <v>638</v>
      </c>
      <c r="AU685" s="222">
        <f t="shared" si="2122"/>
        <v>242</v>
      </c>
      <c r="AV685" s="220"/>
      <c r="AW685" s="220">
        <f t="shared" si="2174"/>
        <v>242</v>
      </c>
      <c r="AX685" s="216">
        <f t="shared" si="2234"/>
        <v>0</v>
      </c>
      <c r="AY685" s="220">
        <f t="shared" si="2182"/>
        <v>0</v>
      </c>
      <c r="AZ685" s="220">
        <f t="shared" si="2183"/>
        <v>0</v>
      </c>
      <c r="BA685" s="220">
        <f t="shared" si="2184"/>
        <v>60</v>
      </c>
      <c r="BB685" s="220">
        <f t="shared" si="2185"/>
        <v>120</v>
      </c>
      <c r="BC685" s="220">
        <f t="shared" si="2186"/>
        <v>0</v>
      </c>
      <c r="BD685" s="216">
        <f t="shared" si="2197"/>
        <v>180</v>
      </c>
      <c r="BE685" s="220">
        <f t="shared" si="2175"/>
        <v>0</v>
      </c>
      <c r="BF685" s="220">
        <f t="shared" si="2176"/>
        <v>0</v>
      </c>
      <c r="BG685" s="220">
        <f t="shared" si="2177"/>
        <v>0</v>
      </c>
      <c r="BH685" s="220">
        <f t="shared" si="2178"/>
        <v>0</v>
      </c>
      <c r="BI685" s="220">
        <f t="shared" si="2179"/>
        <v>0</v>
      </c>
      <c r="BJ685" s="220" t="s">
        <v>2410</v>
      </c>
      <c r="BK685" s="220"/>
      <c r="BL685" s="223">
        <f t="shared" si="2210"/>
        <v>242</v>
      </c>
      <c r="BM685" s="220">
        <v>3.66</v>
      </c>
      <c r="BN685" s="220"/>
      <c r="BO685" s="220">
        <f t="shared" si="2267"/>
        <v>3.66</v>
      </c>
      <c r="BP685" s="220">
        <f>IF(AND(BL685&gt;0,BL685&lt;tiet!$D$1),BL685,IF(BL685&lt;=0,0,IF(BL685&gt;tiet!$C$1,tiet!$C$1)))</f>
        <v>200</v>
      </c>
      <c r="BQ685" s="87">
        <f t="shared" si="2102"/>
        <v>65000</v>
      </c>
      <c r="BR685" s="224">
        <f t="shared" si="2268"/>
        <v>13000000</v>
      </c>
      <c r="BS685" s="220">
        <f t="shared" si="2134"/>
        <v>42</v>
      </c>
      <c r="BT685" s="224">
        <f>VLOOKUP(N685,ma_dinhmuc!$A$1:$J$31,10,0)</f>
        <v>51000</v>
      </c>
      <c r="BU685" s="224">
        <f>ROUND(IF(BS685&gt;0,VLOOKUP(N685,ma_dinhmuc!$A$1:$J$31,10,0)*BS685,0),0)</f>
        <v>2142000</v>
      </c>
      <c r="BV685" s="224">
        <f t="shared" si="2269"/>
        <v>15142000</v>
      </c>
      <c r="BW685" s="224"/>
      <c r="BX685" s="224">
        <v>0</v>
      </c>
      <c r="BY685" s="224"/>
      <c r="BZ685" s="224"/>
      <c r="CA685" s="224"/>
      <c r="CB685" s="224"/>
      <c r="CC685" s="225">
        <f t="shared" si="2112"/>
        <v>15142000</v>
      </c>
      <c r="CD685" s="224">
        <f t="shared" si="2113"/>
        <v>0</v>
      </c>
      <c r="CE685" s="224"/>
      <c r="CF685" s="226"/>
      <c r="CG685" s="87"/>
      <c r="CH685" s="87">
        <f t="shared" ref="CH685:CH712" si="2274">A685</f>
        <v>45</v>
      </c>
      <c r="CI685" s="227" t="str">
        <f t="shared" si="2263"/>
        <v>Đinh Thị Hải</v>
      </c>
      <c r="CJ685" s="227" t="str">
        <f t="shared" si="2264"/>
        <v>Vân</v>
      </c>
      <c r="CK685" s="87">
        <f t="shared" si="2265"/>
        <v>13</v>
      </c>
      <c r="CL685" s="227" t="str">
        <f t="shared" si="2273"/>
        <v>Quản lý môi trường</v>
      </c>
      <c r="CM685" s="87" t="str">
        <f t="shared" si="2180"/>
        <v>CS2</v>
      </c>
      <c r="CN685" s="87">
        <f t="shared" ref="CN685:CO690" si="2275">Q685</f>
        <v>270</v>
      </c>
      <c r="CO685" s="87">
        <f t="shared" si="2275"/>
        <v>120</v>
      </c>
      <c r="CP685" s="229">
        <f t="shared" si="2142"/>
        <v>0</v>
      </c>
      <c r="CQ685" s="229">
        <f t="shared" si="2143"/>
        <v>40.299999999999997</v>
      </c>
      <c r="CR685" s="229">
        <f t="shared" si="2144"/>
        <v>16.100000000000001</v>
      </c>
      <c r="CS685" s="229">
        <f t="shared" si="2145"/>
        <v>11</v>
      </c>
      <c r="CT685" s="229">
        <f t="shared" si="2146"/>
        <v>0</v>
      </c>
      <c r="CU685" s="229">
        <f t="shared" si="2147"/>
        <v>163.80000000000001</v>
      </c>
      <c r="CV685" s="229">
        <f t="shared" si="2148"/>
        <v>0</v>
      </c>
      <c r="CW685" s="229">
        <f t="shared" si="2149"/>
        <v>0</v>
      </c>
      <c r="CX685" s="229">
        <f t="shared" si="2150"/>
        <v>0</v>
      </c>
      <c r="CY685" s="229">
        <f t="shared" si="2151"/>
        <v>0</v>
      </c>
      <c r="CZ685" s="229">
        <f t="shared" si="2152"/>
        <v>0</v>
      </c>
      <c r="DA685" s="229">
        <f t="shared" si="2153"/>
        <v>60</v>
      </c>
      <c r="DB685" s="228">
        <f t="shared" si="2235"/>
        <v>291.20000000000005</v>
      </c>
      <c r="DC685" s="229"/>
      <c r="DD685" s="229"/>
      <c r="DE685" s="229"/>
      <c r="DF685" s="229"/>
      <c r="DG685" s="229"/>
      <c r="DH685" s="229"/>
      <c r="DI685" s="229"/>
      <c r="DJ685" s="229"/>
      <c r="DK685" s="229"/>
      <c r="DL685" s="229"/>
      <c r="DM685" s="229"/>
      <c r="DN685" s="229"/>
      <c r="DO685" s="228">
        <f t="shared" si="2247"/>
        <v>0</v>
      </c>
      <c r="DP685" s="228">
        <f t="shared" si="2248"/>
        <v>291.20000000000005</v>
      </c>
      <c r="DQ685" s="229">
        <f t="shared" si="2154"/>
        <v>216</v>
      </c>
      <c r="DR685" s="229">
        <f t="shared" si="2155"/>
        <v>7.6</v>
      </c>
      <c r="DS685" s="229">
        <f t="shared" si="2156"/>
        <v>0</v>
      </c>
      <c r="DT685" s="229">
        <f t="shared" si="2157"/>
        <v>3.2</v>
      </c>
      <c r="DU685" s="229">
        <f t="shared" si="2158"/>
        <v>0</v>
      </c>
      <c r="DV685" s="229">
        <f t="shared" si="2159"/>
        <v>120</v>
      </c>
      <c r="DW685" s="229">
        <f t="shared" si="2160"/>
        <v>0</v>
      </c>
      <c r="DX685" s="228">
        <f t="shared" si="2236"/>
        <v>346.79999999999995</v>
      </c>
      <c r="DY685" s="229"/>
      <c r="DZ685" s="229"/>
      <c r="EA685" s="229"/>
      <c r="EB685" s="229"/>
      <c r="EC685" s="229"/>
      <c r="ED685" s="229"/>
      <c r="EE685" s="229"/>
      <c r="EF685" s="228">
        <f t="shared" si="2138"/>
        <v>0</v>
      </c>
      <c r="EG685" s="228">
        <f t="shared" si="2249"/>
        <v>346.79999999999995</v>
      </c>
      <c r="EH685" s="229">
        <f t="shared" si="2139"/>
        <v>131.25</v>
      </c>
      <c r="EI685" s="229">
        <v>79.86</v>
      </c>
      <c r="EJ685" s="228">
        <f t="shared" si="2256"/>
        <v>211.11</v>
      </c>
      <c r="EK685" s="229"/>
      <c r="EL685" s="229"/>
      <c r="EM685" s="228">
        <f t="shared" si="2202"/>
        <v>0</v>
      </c>
      <c r="EN685" s="229">
        <f t="shared" si="2220"/>
        <v>131.25</v>
      </c>
      <c r="EO685" s="229">
        <f t="shared" si="2123"/>
        <v>79.86</v>
      </c>
      <c r="EP685" s="228">
        <f t="shared" si="2237"/>
        <v>211.11</v>
      </c>
      <c r="EQ685" s="173">
        <f t="shared" si="2135"/>
        <v>11.25</v>
      </c>
      <c r="ER685" s="189">
        <v>0</v>
      </c>
      <c r="ES685" s="189">
        <v>40.299999999999997</v>
      </c>
      <c r="ET685" s="189">
        <v>16.100000000000001</v>
      </c>
      <c r="EU685" s="189">
        <v>11</v>
      </c>
      <c r="EV685" s="189">
        <v>0</v>
      </c>
      <c r="EW685" s="189">
        <v>163.80000000000001</v>
      </c>
      <c r="EX685" s="189">
        <v>0</v>
      </c>
      <c r="EY685" s="189">
        <v>0</v>
      </c>
      <c r="EZ685" s="189">
        <v>0</v>
      </c>
      <c r="FA685" s="189">
        <v>0</v>
      </c>
      <c r="FB685" s="189">
        <v>0</v>
      </c>
      <c r="FC685" s="189">
        <v>60</v>
      </c>
      <c r="FD685" s="189">
        <v>216</v>
      </c>
      <c r="FE685" s="189">
        <v>7.6</v>
      </c>
      <c r="FF685" s="189">
        <v>0</v>
      </c>
      <c r="FG685" s="189">
        <v>3.2</v>
      </c>
      <c r="FH685" s="189">
        <v>120</v>
      </c>
      <c r="FI685" s="189">
        <v>0</v>
      </c>
      <c r="FJ685" s="189">
        <v>0</v>
      </c>
      <c r="FK685" s="189">
        <v>638</v>
      </c>
      <c r="FL685" s="189">
        <v>479</v>
      </c>
      <c r="FN685" s="132">
        <v>131.25</v>
      </c>
    </row>
    <row r="686" spans="1:170" ht="30" customHeight="1">
      <c r="A686" s="88">
        <f>COUNTIF($H$12:H686,H686)</f>
        <v>46</v>
      </c>
      <c r="B686" s="88" t="s">
        <v>325</v>
      </c>
      <c r="C686" s="88" t="s">
        <v>1545</v>
      </c>
      <c r="D686" s="88"/>
      <c r="E686" s="88"/>
      <c r="F686" s="301" t="s">
        <v>2791</v>
      </c>
      <c r="G686" s="89" t="s">
        <v>2088</v>
      </c>
      <c r="H686" s="88">
        <v>13</v>
      </c>
      <c r="I686" s="88">
        <v>13</v>
      </c>
      <c r="J686" s="88">
        <v>13</v>
      </c>
      <c r="K686" s="90" t="s">
        <v>2979</v>
      </c>
      <c r="L686" s="90" t="s">
        <v>2979</v>
      </c>
      <c r="M686" s="214"/>
      <c r="N686" s="88" t="s">
        <v>606</v>
      </c>
      <c r="O686" s="216">
        <f t="shared" si="2270"/>
        <v>4.4000000000000004</v>
      </c>
      <c r="P686" s="88" t="str">
        <f t="shared" si="2140"/>
        <v>B1_4</v>
      </c>
      <c r="Q686" s="88">
        <f t="shared" si="2136"/>
        <v>270</v>
      </c>
      <c r="R686" s="88">
        <f t="shared" si="2137"/>
        <v>120</v>
      </c>
      <c r="S686" s="218" t="s">
        <v>2648</v>
      </c>
      <c r="T686" s="88" t="s">
        <v>1326</v>
      </c>
      <c r="U686" s="88">
        <f>IF(RIGHT(T686,1)="K",(VLOOKUP(T686,ma_miengiam!$A$3:$B$80,2,0)*100)/2,VLOOKUP(T686,ma_miengiam!$A$3:$B$80,2,0)*100)</f>
        <v>65</v>
      </c>
      <c r="V686" s="88"/>
      <c r="W686" s="220">
        <f>IF(AND(T686="NTS",V686&gt;0),(Q686-(Q686*V686)/12)*VLOOKUP(T686,ma_miengiam!$A$3:$B$80,2,0)+(Q686-(Q686*(12-V686))/12),IF(AND(RIGHT(T686,1)="K",V686&gt;0),(VLOOKUP(T686,ma_miengiam!$A$3:$B$80,2,0)/2)*(Q686*V686)/12,IF(RIGHT(T686,1)="K",(VLOOKUP(T686,ma_miengiam!$A$3:$B$80,2,0)*Q686)/2,IF(V686&gt;0,VLOOKUP(T686,ma_miengiam!$A$3:$B$80,2,0)*Q686*V686/12,VLOOKUP(T686,ma_miengiam!$A$3:$B$80,2,0)*Q686))))</f>
        <v>175.5</v>
      </c>
      <c r="X686" s="220">
        <f>IF(T686="NTS",VLOOKUP(T686,ma_miengiam!$A$3:$B$80,2,0)*R686*V686,IF(AND(T686="NTS",V686=0),0,IF(AND(LEFT(T686,1)="K",V686=0),VLOOKUP(T686,ma_miengiam!$A$3:$B$80,2,0)*R686,IF(LEFT(T686,1)="K",(VLOOKUP(T686,ma_miengiam!$A$3:$B$80,2,0)*R686/12)*V686,IF(AND(LEFT(T686,1)="S",V686&gt;0),(R686/12)*V686,IF(AND(LEFT(T686,1)="S",V686=0),R686,IF(T686="DH",VLOOKUP(T686,ma_miengiam!$A$3:$B$80,2,0)*R686,0)))))))</f>
        <v>120</v>
      </c>
      <c r="Y686" s="220">
        <f t="shared" si="2257"/>
        <v>94.5</v>
      </c>
      <c r="Z686" s="220">
        <f t="shared" si="2258"/>
        <v>0</v>
      </c>
      <c r="AA686" s="220">
        <f t="shared" ref="AA686:AB690" si="2276">Q686</f>
        <v>270</v>
      </c>
      <c r="AB686" s="220">
        <f t="shared" si="2276"/>
        <v>120</v>
      </c>
      <c r="AC686" s="220">
        <f t="shared" ref="AC686:AF690" si="2277">W686</f>
        <v>175.5</v>
      </c>
      <c r="AD686" s="220">
        <f t="shared" si="2277"/>
        <v>120</v>
      </c>
      <c r="AE686" s="220">
        <f t="shared" si="2277"/>
        <v>94.5</v>
      </c>
      <c r="AF686" s="220">
        <f t="shared" si="2277"/>
        <v>0</v>
      </c>
      <c r="AG686" s="220">
        <f t="shared" si="2260"/>
        <v>391.66999999999996</v>
      </c>
      <c r="AH686" s="220">
        <f t="shared" si="2261"/>
        <v>241.67</v>
      </c>
      <c r="AI686" s="220">
        <f t="shared" si="2262"/>
        <v>150</v>
      </c>
      <c r="AJ686" s="220">
        <f t="shared" si="2272"/>
        <v>0</v>
      </c>
      <c r="AK686" s="216">
        <f t="shared" si="2254"/>
        <v>94.5</v>
      </c>
      <c r="AL686" s="220">
        <f t="shared" si="2238"/>
        <v>199.5</v>
      </c>
      <c r="AM686" s="220">
        <f t="shared" si="2239"/>
        <v>0</v>
      </c>
      <c r="AN686" s="221">
        <f t="shared" si="2240"/>
        <v>199.5</v>
      </c>
      <c r="AO686" s="220">
        <f t="shared" si="2241"/>
        <v>0</v>
      </c>
      <c r="AP686" s="220">
        <f t="shared" si="2242"/>
        <v>0</v>
      </c>
      <c r="AQ686" s="220">
        <f t="shared" si="2243"/>
        <v>60</v>
      </c>
      <c r="AR686" s="220">
        <f t="shared" si="2244"/>
        <v>0</v>
      </c>
      <c r="AS686" s="220">
        <f t="shared" si="2245"/>
        <v>0</v>
      </c>
      <c r="AT686" s="216">
        <f t="shared" si="2246"/>
        <v>259.5</v>
      </c>
      <c r="AU686" s="222">
        <f t="shared" si="2122"/>
        <v>105</v>
      </c>
      <c r="AV686" s="220"/>
      <c r="AW686" s="220">
        <f t="shared" si="2174"/>
        <v>105</v>
      </c>
      <c r="AX686" s="216">
        <f t="shared" si="2234"/>
        <v>0</v>
      </c>
      <c r="AY686" s="220">
        <f t="shared" si="2182"/>
        <v>0</v>
      </c>
      <c r="AZ686" s="220">
        <f t="shared" si="2183"/>
        <v>0</v>
      </c>
      <c r="BA686" s="220">
        <f t="shared" si="2184"/>
        <v>60</v>
      </c>
      <c r="BB686" s="220">
        <f t="shared" si="2185"/>
        <v>0</v>
      </c>
      <c r="BC686" s="220">
        <f t="shared" si="2186"/>
        <v>0</v>
      </c>
      <c r="BD686" s="216">
        <f t="shared" si="2197"/>
        <v>60</v>
      </c>
      <c r="BE686" s="220">
        <f t="shared" si="2175"/>
        <v>0</v>
      </c>
      <c r="BF686" s="220">
        <f t="shared" si="2176"/>
        <v>0</v>
      </c>
      <c r="BG686" s="220">
        <f t="shared" si="2177"/>
        <v>0</v>
      </c>
      <c r="BH686" s="220">
        <f t="shared" si="2178"/>
        <v>0</v>
      </c>
      <c r="BI686" s="220">
        <f t="shared" si="2179"/>
        <v>0</v>
      </c>
      <c r="BJ686" s="220" t="s">
        <v>2410</v>
      </c>
      <c r="BK686" s="220"/>
      <c r="BL686" s="223">
        <f t="shared" si="2210"/>
        <v>105</v>
      </c>
      <c r="BM686" s="220">
        <v>4.4000000000000004</v>
      </c>
      <c r="BN686" s="220"/>
      <c r="BO686" s="220">
        <f t="shared" si="2267"/>
        <v>4.4000000000000004</v>
      </c>
      <c r="BP686" s="220">
        <f>IF(AND(BL686&gt;0,BL686&lt;tiet!$D$1),BL686,IF(BL686&lt;=0,0,IF(BL686&gt;tiet!$C$1,tiet!$C$1)))</f>
        <v>105</v>
      </c>
      <c r="BQ686" s="87">
        <f t="shared" ref="BQ686:BQ708" si="2278">VLOOKUP(P686,ma_dinhmuc_moi,4,0)</f>
        <v>65000</v>
      </c>
      <c r="BR686" s="224">
        <f t="shared" si="2268"/>
        <v>6825000</v>
      </c>
      <c r="BS686" s="220">
        <f t="shared" si="2134"/>
        <v>0</v>
      </c>
      <c r="BT686" s="224">
        <f>VLOOKUP(N686,ma_dinhmuc!$A$1:$J$31,10,0)</f>
        <v>55000</v>
      </c>
      <c r="BU686" s="224">
        <f>ROUND(IF(BS686&gt;0,VLOOKUP(N686,ma_dinhmuc!$A$1:$J$31,10,0)*BS686,0),0)</f>
        <v>0</v>
      </c>
      <c r="BV686" s="224">
        <f t="shared" si="2269"/>
        <v>6825000</v>
      </c>
      <c r="BW686" s="224"/>
      <c r="BX686" s="224">
        <v>0</v>
      </c>
      <c r="BY686" s="224"/>
      <c r="BZ686" s="224"/>
      <c r="CA686" s="224"/>
      <c r="CB686" s="224"/>
      <c r="CC686" s="225">
        <f t="shared" si="2112"/>
        <v>6825000</v>
      </c>
      <c r="CD686" s="224">
        <f t="shared" si="2113"/>
        <v>0</v>
      </c>
      <c r="CE686" s="224"/>
      <c r="CF686" s="226"/>
      <c r="CG686" s="87"/>
      <c r="CH686" s="87">
        <f t="shared" si="2274"/>
        <v>46</v>
      </c>
      <c r="CI686" s="227" t="str">
        <f t="shared" si="2263"/>
        <v>Nguyễn Thị Hương</v>
      </c>
      <c r="CJ686" s="227" t="str">
        <f t="shared" si="2264"/>
        <v>Giang</v>
      </c>
      <c r="CK686" s="87">
        <f t="shared" si="2265"/>
        <v>13</v>
      </c>
      <c r="CL686" s="227" t="str">
        <f t="shared" si="2273"/>
        <v>Quản lý môi trường</v>
      </c>
      <c r="CM686" s="87" t="str">
        <f t="shared" si="2180"/>
        <v>CS3</v>
      </c>
      <c r="CN686" s="87">
        <f t="shared" si="2275"/>
        <v>270</v>
      </c>
      <c r="CO686" s="87">
        <f t="shared" si="2275"/>
        <v>120</v>
      </c>
      <c r="CP686" s="229">
        <f t="shared" si="2142"/>
        <v>0</v>
      </c>
      <c r="CQ686" s="229">
        <f t="shared" si="2143"/>
        <v>30.3</v>
      </c>
      <c r="CR686" s="229">
        <f t="shared" si="2144"/>
        <v>12.2</v>
      </c>
      <c r="CS686" s="229">
        <f t="shared" si="2145"/>
        <v>7</v>
      </c>
      <c r="CT686" s="229">
        <f t="shared" si="2146"/>
        <v>0</v>
      </c>
      <c r="CU686" s="229">
        <f t="shared" si="2147"/>
        <v>150</v>
      </c>
      <c r="CV686" s="229">
        <f t="shared" si="2148"/>
        <v>0</v>
      </c>
      <c r="CW686" s="229">
        <f t="shared" si="2149"/>
        <v>0</v>
      </c>
      <c r="CX686" s="229">
        <f t="shared" si="2150"/>
        <v>0</v>
      </c>
      <c r="CY686" s="229">
        <f t="shared" si="2151"/>
        <v>0</v>
      </c>
      <c r="CZ686" s="229">
        <f t="shared" si="2152"/>
        <v>0</v>
      </c>
      <c r="DA686" s="229">
        <f t="shared" si="2153"/>
        <v>60</v>
      </c>
      <c r="DB686" s="228">
        <f t="shared" si="2235"/>
        <v>259.5</v>
      </c>
      <c r="DC686" s="229"/>
      <c r="DD686" s="229"/>
      <c r="DE686" s="229"/>
      <c r="DF686" s="229"/>
      <c r="DG686" s="229"/>
      <c r="DH686" s="229"/>
      <c r="DI686" s="229"/>
      <c r="DJ686" s="229"/>
      <c r="DK686" s="229"/>
      <c r="DL686" s="229"/>
      <c r="DM686" s="229"/>
      <c r="DN686" s="229"/>
      <c r="DO686" s="228">
        <f t="shared" si="2247"/>
        <v>0</v>
      </c>
      <c r="DP686" s="228">
        <f t="shared" si="2248"/>
        <v>259.5</v>
      </c>
      <c r="DQ686" s="229">
        <f t="shared" si="2154"/>
        <v>0</v>
      </c>
      <c r="DR686" s="229">
        <f t="shared" si="2155"/>
        <v>0</v>
      </c>
      <c r="DS686" s="229">
        <f t="shared" si="2156"/>
        <v>0</v>
      </c>
      <c r="DT686" s="229">
        <f t="shared" si="2157"/>
        <v>0</v>
      </c>
      <c r="DU686" s="229">
        <f t="shared" si="2158"/>
        <v>0</v>
      </c>
      <c r="DV686" s="229">
        <f t="shared" si="2159"/>
        <v>0</v>
      </c>
      <c r="DW686" s="229">
        <f t="shared" si="2160"/>
        <v>0</v>
      </c>
      <c r="DX686" s="228">
        <f t="shared" si="2236"/>
        <v>0</v>
      </c>
      <c r="DY686" s="229"/>
      <c r="DZ686" s="229"/>
      <c r="EA686" s="229"/>
      <c r="EB686" s="229"/>
      <c r="EC686" s="229"/>
      <c r="ED686" s="229"/>
      <c r="EE686" s="229"/>
      <c r="EF686" s="228">
        <f t="shared" si="2138"/>
        <v>0</v>
      </c>
      <c r="EG686" s="228">
        <f t="shared" si="2249"/>
        <v>0</v>
      </c>
      <c r="EH686" s="229">
        <f t="shared" si="2139"/>
        <v>150</v>
      </c>
      <c r="EI686" s="229">
        <v>241.67</v>
      </c>
      <c r="EJ686" s="228">
        <f t="shared" si="2256"/>
        <v>391.66999999999996</v>
      </c>
      <c r="EK686" s="229"/>
      <c r="EL686" s="229"/>
      <c r="EM686" s="228">
        <f t="shared" si="2202"/>
        <v>0</v>
      </c>
      <c r="EN686" s="229">
        <f t="shared" si="2220"/>
        <v>150</v>
      </c>
      <c r="EO686" s="229">
        <f t="shared" si="2123"/>
        <v>241.67</v>
      </c>
      <c r="EP686" s="228">
        <f t="shared" si="2237"/>
        <v>391.66999999999996</v>
      </c>
      <c r="EQ686" s="173">
        <f t="shared" si="2135"/>
        <v>150</v>
      </c>
      <c r="ER686" s="189">
        <v>0</v>
      </c>
      <c r="ES686" s="189">
        <v>30.3</v>
      </c>
      <c r="ET686" s="189">
        <v>12.2</v>
      </c>
      <c r="EU686" s="189">
        <v>7</v>
      </c>
      <c r="EV686" s="189">
        <v>0</v>
      </c>
      <c r="EW686" s="189">
        <v>150</v>
      </c>
      <c r="EX686" s="189">
        <v>0</v>
      </c>
      <c r="EY686" s="189">
        <v>0</v>
      </c>
      <c r="EZ686" s="189">
        <v>0</v>
      </c>
      <c r="FA686" s="189">
        <v>0</v>
      </c>
      <c r="FB686" s="189">
        <v>0</v>
      </c>
      <c r="FC686" s="189">
        <v>60</v>
      </c>
      <c r="FD686" s="189">
        <v>0</v>
      </c>
      <c r="FE686" s="189">
        <v>0</v>
      </c>
      <c r="FF686" s="189">
        <v>0</v>
      </c>
      <c r="FG686" s="189">
        <v>0</v>
      </c>
      <c r="FH686" s="189">
        <v>0</v>
      </c>
      <c r="FI686" s="189">
        <v>0</v>
      </c>
      <c r="FJ686" s="189">
        <v>0</v>
      </c>
      <c r="FK686" s="189">
        <v>259.5</v>
      </c>
      <c r="FL686" s="189">
        <v>227</v>
      </c>
      <c r="FN686" s="132">
        <v>150</v>
      </c>
    </row>
    <row r="687" spans="1:170" ht="30" customHeight="1">
      <c r="A687" s="88">
        <f>COUNTIF($H$12:H687,H687)</f>
        <v>47</v>
      </c>
      <c r="B687" s="88" t="s">
        <v>1519</v>
      </c>
      <c r="C687" s="88" t="s">
        <v>2533</v>
      </c>
      <c r="D687" s="88"/>
      <c r="E687" s="88"/>
      <c r="F687" s="301" t="s">
        <v>2534</v>
      </c>
      <c r="G687" s="89" t="s">
        <v>22</v>
      </c>
      <c r="H687" s="88">
        <v>13</v>
      </c>
      <c r="I687" s="88">
        <v>13</v>
      </c>
      <c r="J687" s="88">
        <v>13</v>
      </c>
      <c r="K687" s="90" t="s">
        <v>2979</v>
      </c>
      <c r="L687" s="90" t="s">
        <v>2979</v>
      </c>
      <c r="M687" s="214">
        <v>1</v>
      </c>
      <c r="N687" s="88" t="s">
        <v>608</v>
      </c>
      <c r="O687" s="216">
        <f>BO687</f>
        <v>2.5499999999999998</v>
      </c>
      <c r="P687" s="88" t="str">
        <f t="shared" ref="P687:P708" si="2279">IF(BO687&lt;3.33,"B1_3",IF(AND(BO687&gt;=3.33,BO687&lt;4.65),"B1_4",IF(AND(BO687&gt;=4.65,BO687&lt;5.42),"B1_5",IF(AND(BO687&gt;=5.42,BO687&lt;6.44),"B1_6",IF(AND(BO687&gt;=6.44,BO687&lt;=6.92),"B1_7","B1_8")))))</f>
        <v>B1_3</v>
      </c>
      <c r="Q687" s="88">
        <f t="shared" si="2136"/>
        <v>135</v>
      </c>
      <c r="R687" s="88">
        <f t="shared" si="2137"/>
        <v>50</v>
      </c>
      <c r="S687" s="218" t="s">
        <v>2535</v>
      </c>
      <c r="T687" s="88" t="s">
        <v>3088</v>
      </c>
      <c r="U687" s="88">
        <f>IF(RIGHT(T687,1)="K",(VLOOKUP(T687,ma_miengiam!$A$3:$B$80,2,0)*100)/2,VLOOKUP(T687,ma_miengiam!$A$3:$B$80,2,0)*100)</f>
        <v>0</v>
      </c>
      <c r="V687" s="88"/>
      <c r="W687" s="220">
        <f>IF(AND(T687="NTS",V687&gt;0),(Q687-(Q687*V687)/12)*VLOOKUP(T687,ma_miengiam!$A$3:$B$80,2,0)+(Q687-(Q687*(12-V687))/12),IF(AND(RIGHT(T687,1)="K",V687&gt;0),(VLOOKUP(T687,ma_miengiam!$A$3:$B$80,2,0)/2)*(Q687*V687)/12,IF(RIGHT(T687,1)="K",(VLOOKUP(T687,ma_miengiam!$A$3:$B$80,2,0)*Q687)/2,IF(V687&gt;0,VLOOKUP(T687,ma_miengiam!$A$3:$B$80,2,0)*Q687*V687/12,VLOOKUP(T687,ma_miengiam!$A$3:$B$80,2,0)*Q687))))</f>
        <v>0</v>
      </c>
      <c r="X687" s="220">
        <f>IF(T687="NTS",VLOOKUP(T687,ma_miengiam!$A$3:$B$80,2,0)*R687*V687,IF(AND(T687="NTS",V687=0),0,IF(AND(LEFT(T687,1)="K",V687=0),VLOOKUP(T687,ma_miengiam!$A$3:$B$80,2,0)*R687,IF(LEFT(T687,1)="K",(VLOOKUP(T687,ma_miengiam!$A$3:$B$80,2,0)*R687/12)*V687,IF(AND(LEFT(T687,1)="S",V687&gt;0),(R687/12)*V687,IF(AND(LEFT(T687,1)="S",V687=0),R687,IF(T687="DH",VLOOKUP(T687,ma_miengiam!$A$3:$B$80,2,0)*R687,0)))))))</f>
        <v>0</v>
      </c>
      <c r="Y687" s="220">
        <f>IF(AND(T687="DH",V687&gt;0),(S687*V687/12),IF(AND(T687&lt;&gt;"NTS",V687&gt;0),(Q687*V687/12)-W687,IF(AND(T687="NTS",V687&gt;0),Q687-W687,Q687-W687)))</f>
        <v>135</v>
      </c>
      <c r="Z687" s="220">
        <f>IF(AND(T687="SĐH",V687&gt;0),(R687/12)*V687-X687,IF(AND(T687="DH",V687&gt;0),(R687*V687/12),IF(AND(T687&lt;&gt;"NTS",V687&gt;0),(R687*V687/12)-X687,IF(AND(T687="NTS",V687&gt;0),R687-X687,R687-X687))))</f>
        <v>50</v>
      </c>
      <c r="AA687" s="220">
        <f t="shared" si="2276"/>
        <v>135</v>
      </c>
      <c r="AB687" s="220">
        <f t="shared" si="2276"/>
        <v>50</v>
      </c>
      <c r="AC687" s="220">
        <f t="shared" si="2277"/>
        <v>0</v>
      </c>
      <c r="AD687" s="220">
        <f t="shared" si="2277"/>
        <v>0</v>
      </c>
      <c r="AE687" s="220">
        <f t="shared" si="2277"/>
        <v>135</v>
      </c>
      <c r="AF687" s="220">
        <f t="shared" si="2277"/>
        <v>50</v>
      </c>
      <c r="AG687" s="220">
        <f t="shared" si="2260"/>
        <v>0</v>
      </c>
      <c r="AH687" s="220">
        <f t="shared" si="2261"/>
        <v>0</v>
      </c>
      <c r="AI687" s="220">
        <f t="shared" si="2262"/>
        <v>0</v>
      </c>
      <c r="AJ687" s="220">
        <f t="shared" si="2272"/>
        <v>-50</v>
      </c>
      <c r="AK687" s="216">
        <f t="shared" si="2254"/>
        <v>185</v>
      </c>
      <c r="AL687" s="220">
        <f>SUM(CP687:CX687)+SUM(DC687:DK687)</f>
        <v>116</v>
      </c>
      <c r="AM687" s="220">
        <f>SUM(DQ687:DU687)+SUM(DY687:EC687)</f>
        <v>0</v>
      </c>
      <c r="AN687" s="221">
        <f>AM687+AL687</f>
        <v>116</v>
      </c>
      <c r="AO687" s="220">
        <f t="shared" ref="AO687:AQ689" si="2280">CY687+DL687</f>
        <v>0</v>
      </c>
      <c r="AP687" s="220">
        <f t="shared" si="2280"/>
        <v>0</v>
      </c>
      <c r="AQ687" s="220">
        <f t="shared" si="2280"/>
        <v>0</v>
      </c>
      <c r="AR687" s="220">
        <f t="shared" ref="AR687:AS689" si="2281">DV687+ED687</f>
        <v>0</v>
      </c>
      <c r="AS687" s="220">
        <f t="shared" si="2281"/>
        <v>0</v>
      </c>
      <c r="AT687" s="216">
        <f>AN687+SUM(AO687:AS687)</f>
        <v>116</v>
      </c>
      <c r="AU687" s="222">
        <f>AN687-AK687</f>
        <v>-69</v>
      </c>
      <c r="AV687" s="220"/>
      <c r="AW687" s="220">
        <f>IF(AU687&gt;0,AU687,AV687+AU687)</f>
        <v>-69</v>
      </c>
      <c r="AX687" s="216">
        <f t="shared" si="2234"/>
        <v>-69</v>
      </c>
      <c r="AY687" s="220">
        <f>IF(AN687&gt;=AK687,AO687,IF(AN687+AO687-AK687&gt;=0,AN687+AO687-AK687,0))</f>
        <v>0</v>
      </c>
      <c r="AZ687" s="220">
        <f>IF(OR(AN687&gt;=AK687,AN687+AO687&gt;=AK687),AP687,IF(AN687+AO687+AP687&gt;AK687,AN687+AO687+AP687-AK687,0))</f>
        <v>0</v>
      </c>
      <c r="BA687" s="220">
        <f>IF(OR(AN687&gt;=AK687,AN687+AO687&gt;=AK687,AN687+AO687+AP687&gt;=AK687),AQ687,IF(AN687+AO687+AP687+AQ687&gt;=AK687,AN687+AO687+AP687+AQ687-AK687,0))</f>
        <v>0</v>
      </c>
      <c r="BB687" s="220">
        <f>IF(OR(AN687&gt;=AK687,AN687+AO687&gt;=AK687,AN687+AO687+AP687&gt;=AK687,AN687+AO687+AP687+AQ687&gt;=AK687),AR687,IF(AN687+AO687+AP687+AQ687+AR687&gt;=AK687,AN687+AO687+AP687+AQ687+AR687-AK687,0))</f>
        <v>0</v>
      </c>
      <c r="BC687" s="220">
        <f>IF(OR(AN687&gt;=AK687,AN687+AO687&gt;=AK687,AN687+AO687+AP687&gt;=AK687,AN687+AO687+AP687+AQ687&gt;=AK687,AN687+AO687+AP687+AQ687+AR687&gt;=AK687),AS687,IF(AN687+AO687+AP687+AQ687+AR687+AS687&gt;=AK687,AN687+AO687+AP687+AQ687+AR687+AS687-AK687,0))</f>
        <v>0</v>
      </c>
      <c r="BD687" s="216">
        <f t="shared" si="2197"/>
        <v>0</v>
      </c>
      <c r="BE687" s="220">
        <f t="shared" ref="BE687:BI689" si="2282">AY687-AO687</f>
        <v>0</v>
      </c>
      <c r="BF687" s="220">
        <f t="shared" si="2282"/>
        <v>0</v>
      </c>
      <c r="BG687" s="220">
        <f t="shared" si="2282"/>
        <v>0</v>
      </c>
      <c r="BH687" s="220">
        <f t="shared" si="2282"/>
        <v>0</v>
      </c>
      <c r="BI687" s="220">
        <f t="shared" si="2282"/>
        <v>0</v>
      </c>
      <c r="BJ687" s="220" t="s">
        <v>2410</v>
      </c>
      <c r="BK687" s="220"/>
      <c r="BL687" s="223">
        <f t="shared" si="2210"/>
        <v>0</v>
      </c>
      <c r="BM687" s="220">
        <v>2.5499999999999998</v>
      </c>
      <c r="BN687" s="220"/>
      <c r="BO687" s="220">
        <f>ROUND(BM687+(BM687*BN687),2)</f>
        <v>2.5499999999999998</v>
      </c>
      <c r="BP687" s="220">
        <f>IF(AND(BL687&gt;0,BL687&lt;tiet!$D$1),BL687,IF(BL687&lt;=0,0,IF(BL687&gt;tiet!$C$1,tiet!$C$1)))</f>
        <v>0</v>
      </c>
      <c r="BQ687" s="87">
        <f t="shared" si="2278"/>
        <v>60000</v>
      </c>
      <c r="BR687" s="224">
        <f t="shared" si="2268"/>
        <v>0</v>
      </c>
      <c r="BS687" s="220">
        <f t="shared" si="2134"/>
        <v>0</v>
      </c>
      <c r="BT687" s="224">
        <f>VLOOKUP(N687,ma_dinhmuc!$A$1:$J$31,10,0)</f>
        <v>47000</v>
      </c>
      <c r="BU687" s="224">
        <f>ROUND(IF(BS687&gt;0,VLOOKUP(N687,ma_dinhmuc!$A$1:$J$31,10,0)*BS687,0),0)</f>
        <v>0</v>
      </c>
      <c r="BV687" s="224">
        <f t="shared" si="2269"/>
        <v>0</v>
      </c>
      <c r="BW687" s="224"/>
      <c r="BX687" s="224">
        <v>0</v>
      </c>
      <c r="BY687" s="224"/>
      <c r="BZ687" s="224"/>
      <c r="CA687" s="224"/>
      <c r="CB687" s="224"/>
      <c r="CC687" s="225">
        <f>ROUND(IF(BV687+BW687&gt;BX687+BY687+BZ687+CA687+CB687,(BW687+BV687)-(BX687+BY687+BZ687+CA687+CB687+CB687),0),0)</f>
        <v>0</v>
      </c>
      <c r="CD687" s="224">
        <f>ROUND(IF(BV687+BW687&lt;BX687+BY687+BZ687+CA687-CB687,(BX687+BY687+BZ687+CA687-CB687)-(BW687+BV687),0),0)</f>
        <v>0</v>
      </c>
      <c r="CE687" s="224"/>
      <c r="CF687" s="226"/>
      <c r="CG687" s="87"/>
      <c r="CH687" s="87">
        <f t="shared" si="2274"/>
        <v>47</v>
      </c>
      <c r="CI687" s="227" t="str">
        <f t="shared" ref="CI687:CJ689" si="2283">F687</f>
        <v>Trần Công</v>
      </c>
      <c r="CJ687" s="227" t="str">
        <f t="shared" si="2283"/>
        <v>Chính</v>
      </c>
      <c r="CK687" s="87">
        <f>H687</f>
        <v>13</v>
      </c>
      <c r="CL687" s="227" t="str">
        <f>L687</f>
        <v>Quản lý môi trường</v>
      </c>
      <c r="CM687" s="87" t="str">
        <f>N687</f>
        <v>CS1</v>
      </c>
      <c r="CN687" s="87">
        <f t="shared" si="2275"/>
        <v>135</v>
      </c>
      <c r="CO687" s="87">
        <f t="shared" si="2275"/>
        <v>50</v>
      </c>
      <c r="CP687" s="229">
        <f t="shared" si="2142"/>
        <v>0</v>
      </c>
      <c r="CQ687" s="229">
        <f t="shared" si="2143"/>
        <v>10.7</v>
      </c>
      <c r="CR687" s="229">
        <f t="shared" si="2144"/>
        <v>4.3</v>
      </c>
      <c r="CS687" s="229">
        <f t="shared" si="2145"/>
        <v>11</v>
      </c>
      <c r="CT687" s="229">
        <f t="shared" si="2146"/>
        <v>0</v>
      </c>
      <c r="CU687" s="229">
        <f t="shared" si="2147"/>
        <v>60</v>
      </c>
      <c r="CV687" s="229">
        <f t="shared" si="2148"/>
        <v>0</v>
      </c>
      <c r="CW687" s="229">
        <f t="shared" si="2149"/>
        <v>30</v>
      </c>
      <c r="CX687" s="229">
        <f t="shared" si="2150"/>
        <v>0</v>
      </c>
      <c r="CY687" s="229">
        <f t="shared" si="2151"/>
        <v>0</v>
      </c>
      <c r="CZ687" s="229">
        <f t="shared" si="2152"/>
        <v>0</v>
      </c>
      <c r="DA687" s="229">
        <f t="shared" si="2153"/>
        <v>0</v>
      </c>
      <c r="DB687" s="228">
        <f>SUM(CP687:DA687)</f>
        <v>116</v>
      </c>
      <c r="DC687" s="229"/>
      <c r="DD687" s="229"/>
      <c r="DE687" s="229"/>
      <c r="DF687" s="229"/>
      <c r="DG687" s="229"/>
      <c r="DH687" s="229"/>
      <c r="DI687" s="229"/>
      <c r="DJ687" s="229"/>
      <c r="DK687" s="229"/>
      <c r="DL687" s="229"/>
      <c r="DM687" s="229"/>
      <c r="DN687" s="229"/>
      <c r="DO687" s="228">
        <f>SUM(DC687:DN687)</f>
        <v>0</v>
      </c>
      <c r="DP687" s="228">
        <f>DO687+DB687</f>
        <v>116</v>
      </c>
      <c r="DQ687" s="229">
        <f t="shared" si="2154"/>
        <v>0</v>
      </c>
      <c r="DR687" s="229">
        <f t="shared" si="2155"/>
        <v>0</v>
      </c>
      <c r="DS687" s="229">
        <f t="shared" si="2156"/>
        <v>0</v>
      </c>
      <c r="DT687" s="229">
        <f t="shared" si="2157"/>
        <v>0</v>
      </c>
      <c r="DU687" s="229">
        <f t="shared" si="2158"/>
        <v>0</v>
      </c>
      <c r="DV687" s="229">
        <f t="shared" si="2159"/>
        <v>0</v>
      </c>
      <c r="DW687" s="229">
        <f t="shared" si="2160"/>
        <v>0</v>
      </c>
      <c r="DX687" s="228">
        <f>SUM(DQ687:DW687)</f>
        <v>0</v>
      </c>
      <c r="DY687" s="229"/>
      <c r="DZ687" s="229"/>
      <c r="EA687" s="229"/>
      <c r="EB687" s="229"/>
      <c r="EC687" s="229"/>
      <c r="ED687" s="229"/>
      <c r="EE687" s="229"/>
      <c r="EF687" s="228">
        <f t="shared" si="2138"/>
        <v>0</v>
      </c>
      <c r="EG687" s="228">
        <f>EF687+DX687</f>
        <v>0</v>
      </c>
      <c r="EH687" s="229">
        <f t="shared" si="2139"/>
        <v>0</v>
      </c>
      <c r="EI687" s="229">
        <v>0</v>
      </c>
      <c r="EJ687" s="228">
        <f t="shared" si="2256"/>
        <v>0</v>
      </c>
      <c r="EK687" s="229"/>
      <c r="EL687" s="229"/>
      <c r="EM687" s="228">
        <f>SUM(EK687:EL687)</f>
        <v>0</v>
      </c>
      <c r="EN687" s="229">
        <f>EK687+EH687+EL687</f>
        <v>0</v>
      </c>
      <c r="EO687" s="229">
        <f>EI687</f>
        <v>0</v>
      </c>
      <c r="EP687" s="228">
        <f t="shared" si="2237"/>
        <v>0</v>
      </c>
      <c r="EQ687" s="173">
        <f t="shared" si="2135"/>
        <v>0</v>
      </c>
      <c r="ER687" s="189">
        <v>0</v>
      </c>
      <c r="ES687" s="189">
        <v>10.7</v>
      </c>
      <c r="ET687" s="189">
        <v>4.3</v>
      </c>
      <c r="EU687" s="189">
        <v>11</v>
      </c>
      <c r="EV687" s="189">
        <v>0</v>
      </c>
      <c r="EW687" s="189">
        <v>60</v>
      </c>
      <c r="EX687" s="189">
        <v>0</v>
      </c>
      <c r="EY687" s="189">
        <v>30</v>
      </c>
      <c r="EZ687" s="189">
        <v>0</v>
      </c>
      <c r="FA687" s="189">
        <v>0</v>
      </c>
      <c r="FB687" s="189">
        <v>0</v>
      </c>
      <c r="FC687" s="189">
        <v>0</v>
      </c>
      <c r="FD687" s="189">
        <v>0</v>
      </c>
      <c r="FE687" s="189">
        <v>0</v>
      </c>
      <c r="FF687" s="189">
        <v>0</v>
      </c>
      <c r="FG687" s="189">
        <v>0</v>
      </c>
      <c r="FH687" s="189">
        <v>0</v>
      </c>
      <c r="FI687" s="189">
        <v>0</v>
      </c>
      <c r="FJ687" s="189">
        <v>0</v>
      </c>
      <c r="FK687" s="189">
        <v>116</v>
      </c>
      <c r="FL687" s="189">
        <v>105</v>
      </c>
      <c r="FN687" s="132">
        <v>0</v>
      </c>
    </row>
    <row r="688" spans="1:170" ht="30" customHeight="1">
      <c r="A688" s="88">
        <f>COUNTIF($H$12:H688,H688)</f>
        <v>48</v>
      </c>
      <c r="B688" s="88" t="s">
        <v>320</v>
      </c>
      <c r="C688" s="88" t="s">
        <v>1540</v>
      </c>
      <c r="D688" s="88"/>
      <c r="E688" s="88"/>
      <c r="F688" s="301" t="s">
        <v>2406</v>
      </c>
      <c r="G688" s="89" t="s">
        <v>2814</v>
      </c>
      <c r="H688" s="88">
        <v>13</v>
      </c>
      <c r="I688" s="88">
        <v>13</v>
      </c>
      <c r="J688" s="88">
        <v>13</v>
      </c>
      <c r="K688" s="90" t="s">
        <v>2979</v>
      </c>
      <c r="L688" s="90" t="s">
        <v>2979</v>
      </c>
      <c r="M688" s="214"/>
      <c r="N688" s="88" t="s">
        <v>1804</v>
      </c>
      <c r="O688" s="216">
        <f>BO688</f>
        <v>3.33</v>
      </c>
      <c r="P688" s="88" t="str">
        <f>IF(BO688&lt;3.33,"B1_3",IF(AND(BO688&gt;=3.33,BO688&lt;4.65),"B1_4",IF(AND(BO688&gt;=4.65,BO688&lt;5.42),"B1_5",IF(AND(BO688&gt;=5.42,BO688&lt;6.44),"B1_6",IF(AND(BO688&gt;=6.44,BO688&lt;=6.92),"B1_7","B1_8")))))</f>
        <v>B1_4</v>
      </c>
      <c r="Q688" s="88">
        <f>IF(M688&gt;0,VLOOKUP(P688,ma_dinhmuc_moi,2,0)/2,VLOOKUP(P688,ma_dinhmuc_moi,2,0))</f>
        <v>270</v>
      </c>
      <c r="R688" s="88">
        <f>IF(M688&gt;0,VLOOKUP(P688,ma_dinhmuc_moi,3,0)/2,VLOOKUP(P688,ma_dinhmuc_moi,3,0))</f>
        <v>120</v>
      </c>
      <c r="S688" s="230" t="s">
        <v>2659</v>
      </c>
      <c r="T688" s="88" t="s">
        <v>3088</v>
      </c>
      <c r="U688" s="88">
        <f>IF(RIGHT(T688,1)="K",(VLOOKUP(T688,ma_miengiam!$A$3:$B$80,2,0)*100)/2,VLOOKUP(T688,ma_miengiam!$A$3:$B$80,2,0)*100)</f>
        <v>0</v>
      </c>
      <c r="V688" s="88"/>
      <c r="W688" s="220">
        <f>IF(AND(T688="NTS",V688&gt;0),(Q688-(Q688*V688)/12)*VLOOKUP(T688,ma_miengiam!$A$3:$B$80,2,0)+(Q688-(Q688*(12-V688))/12),IF(AND(RIGHT(T688,1)="K",V688&gt;0),(VLOOKUP(T688,ma_miengiam!$A$3:$B$80,2,0)/2)*(Q688*V688)/12,IF(RIGHT(T688,1)="K",(VLOOKUP(T688,ma_miengiam!$A$3:$B$80,2,0)*Q688)/2,IF(V688&gt;0,VLOOKUP(T688,ma_miengiam!$A$3:$B$80,2,0)*Q688*V688/12,VLOOKUP(T688,ma_miengiam!$A$3:$B$80,2,0)*Q688))))</f>
        <v>0</v>
      </c>
      <c r="X688" s="220">
        <f>IF(T688="NTS",VLOOKUP(T688,ma_miengiam!$A$3:$B$80,2,0)*R688*V688,IF(AND(T688="NTS",V688=0),0,IF(AND(LEFT(T688,1)="K",V688=0),VLOOKUP(T688,ma_miengiam!$A$3:$B$80,2,0)*R688,IF(LEFT(T688,1)="K",(VLOOKUP(T688,ma_miengiam!$A$3:$B$80,2,0)*R688/12)*V688,IF(AND(LEFT(T688,1)="S",V688&gt;0),(R688/12)*V688,IF(AND(LEFT(T688,1)="S",V688=0),R688,IF(T688="DH",VLOOKUP(T688,ma_miengiam!$A$3:$B$80,2,0)*R688,0)))))))</f>
        <v>0</v>
      </c>
      <c r="Y688" s="220">
        <f>IF(AND(T688="DH",V688&gt;0),(S688*V688/12),IF(AND(T688&lt;&gt;"NTS",V688&gt;0),(Q688*V688/12)-W688,IF(AND(T688="NTS",V688&gt;0),Q688-W688,Q688-W688)))</f>
        <v>270</v>
      </c>
      <c r="Z688" s="220">
        <f>IF(AND(T688="SĐH",V688&gt;0),(R688/12)*V688-X688,IF(AND(T688="DH",V688&gt;0),(R688*V688/12),IF(AND(T688&lt;&gt;"NTS",V688&gt;0),(R688*V688/12)-X688,IF(AND(T688="NTS",V688&gt;0),R688-X688,R688-X688))))</f>
        <v>120</v>
      </c>
      <c r="AA688" s="220">
        <f>Q688</f>
        <v>270</v>
      </c>
      <c r="AB688" s="220">
        <f>R688</f>
        <v>120</v>
      </c>
      <c r="AC688" s="220">
        <f t="shared" ref="AC688:AF689" si="2284">W688</f>
        <v>0</v>
      </c>
      <c r="AD688" s="220">
        <f t="shared" si="2284"/>
        <v>0</v>
      </c>
      <c r="AE688" s="220">
        <f t="shared" si="2284"/>
        <v>270</v>
      </c>
      <c r="AF688" s="220">
        <f t="shared" si="2284"/>
        <v>120</v>
      </c>
      <c r="AG688" s="220">
        <f t="shared" si="2260"/>
        <v>132.5</v>
      </c>
      <c r="AH688" s="220">
        <f t="shared" si="2261"/>
        <v>0</v>
      </c>
      <c r="AI688" s="220">
        <f t="shared" si="2262"/>
        <v>132.5</v>
      </c>
      <c r="AJ688" s="220">
        <f t="shared" si="2272"/>
        <v>0</v>
      </c>
      <c r="AK688" s="216">
        <f>IF(AJ688&gt;=0,Y688,Y688-AJ688)</f>
        <v>270</v>
      </c>
      <c r="AL688" s="220">
        <f>SUM(CP688:CX688)+SUM(DC688:DK688)</f>
        <v>173.8</v>
      </c>
      <c r="AM688" s="220">
        <f>SUM(DQ688:DU688)+SUM(DY688:EC688)</f>
        <v>0</v>
      </c>
      <c r="AN688" s="216">
        <f>AM688+AL688</f>
        <v>173.8</v>
      </c>
      <c r="AO688" s="220">
        <f t="shared" si="2280"/>
        <v>0</v>
      </c>
      <c r="AP688" s="220">
        <f t="shared" si="2280"/>
        <v>0</v>
      </c>
      <c r="AQ688" s="220">
        <f t="shared" si="2280"/>
        <v>0</v>
      </c>
      <c r="AR688" s="220">
        <f t="shared" si="2281"/>
        <v>0</v>
      </c>
      <c r="AS688" s="220">
        <f t="shared" si="2281"/>
        <v>0</v>
      </c>
      <c r="AT688" s="216">
        <f>AN688+SUM(AO688:AS688)</f>
        <v>173.8</v>
      </c>
      <c r="AU688" s="220">
        <f>AN688-AK688</f>
        <v>-96.199999999999989</v>
      </c>
      <c r="AV688" s="220"/>
      <c r="AW688" s="220">
        <f>IF(AU688&gt;0,AU688,AV688+AU688)</f>
        <v>-96.199999999999989</v>
      </c>
      <c r="AX688" s="216">
        <f>IF(AN688&gt;AK688,0,IF(AW688&lt;0,AN688-AK688+AV688,IF(AW688&gt;=0,0)))</f>
        <v>-96.199999999999989</v>
      </c>
      <c r="AY688" s="220">
        <f>IF(AN688&gt;=AK688,AO688,IF(AN688+AO688-AK688&gt;=0,AN688+AO688-AK688,0))</f>
        <v>0</v>
      </c>
      <c r="AZ688" s="220">
        <f>IF(OR(AN688&gt;=AK688,AN688+AO688&gt;=AK688),AP688,IF(AN688+AO688+AP688&gt;AK688,AN688+AO688+AP688-AK688,0))</f>
        <v>0</v>
      </c>
      <c r="BA688" s="220">
        <f>IF(OR(AN688&gt;=AK688,AN688+AO688&gt;=AK688,AN688+AO688+AP688&gt;=AK688),AQ688,IF(AN688+AO688+AP688+AQ688&gt;=AK688,AN688+AO688+AP688+AQ688-AK688,0))</f>
        <v>0</v>
      </c>
      <c r="BB688" s="220">
        <f>IF(OR(AN688&gt;=AK688,AN688+AO688&gt;=AK688,AN688+AO688+AP688&gt;=AK688,AN688+AO688+AP688+AQ688&gt;=AK688),AR688,IF(AN688+AO688+AP688+AQ688+AR688&gt;=AK688,AN688+AO688+AP688+AQ688+AR688-AK688,0))</f>
        <v>0</v>
      </c>
      <c r="BC688" s="220">
        <f>IF(OR(AN688&gt;=AK688,AN688+AO688&gt;=AK688,AN688+AO688+AP688&gt;=AK688,AN688+AO688+AP688+AQ688&gt;=AK688,AN688+AO688+AP688+AQ688+AR688&gt;=AK688),AS688,IF(AN688+AO688+AP688+AQ688+AR688+AS688&gt;=AK688,AN688+AO688+AP688+AQ688+AR688+AS688-AK688,0))</f>
        <v>0</v>
      </c>
      <c r="BD688" s="216">
        <f>SUM(AY688:BC688)</f>
        <v>0</v>
      </c>
      <c r="BE688" s="220">
        <f t="shared" si="2282"/>
        <v>0</v>
      </c>
      <c r="BF688" s="220">
        <f t="shared" si="2282"/>
        <v>0</v>
      </c>
      <c r="BG688" s="220">
        <f t="shared" si="2282"/>
        <v>0</v>
      </c>
      <c r="BH688" s="220">
        <f t="shared" si="2282"/>
        <v>0</v>
      </c>
      <c r="BI688" s="220">
        <f t="shared" si="2282"/>
        <v>0</v>
      </c>
      <c r="BJ688" s="220" t="s">
        <v>2410</v>
      </c>
      <c r="BK688" s="220"/>
      <c r="BL688" s="223">
        <f>IF(AW688&lt;BK688,0,IF(AND(BK688=0,AW688&gt;0),AW688,IF(AW688&lt;0,0,IF(BK688&gt;0,AW688-BK688,IF(BK688&lt;0,0,AW688)))))</f>
        <v>0</v>
      </c>
      <c r="BM688" s="220">
        <v>3.33</v>
      </c>
      <c r="BN688" s="220"/>
      <c r="BO688" s="220">
        <f>ROUND(BM688+(BM688*BN688),2)</f>
        <v>3.33</v>
      </c>
      <c r="BP688" s="220">
        <f>IF(AND(BL688&gt;0,BL688&lt;tiet!$D$1),BL688,IF(BL688&lt;=0,0,IF(BL688&gt;tiet!$C$1,tiet!$C$1)))</f>
        <v>0</v>
      </c>
      <c r="BQ688" s="87">
        <f>VLOOKUP(P688,ma_dinhmuc_moi,4,0)</f>
        <v>65000</v>
      </c>
      <c r="BR688" s="224">
        <f>ROUND(BQ688*BP688,0)</f>
        <v>0</v>
      </c>
      <c r="BS688" s="220">
        <f t="shared" si="2134"/>
        <v>0</v>
      </c>
      <c r="BT688" s="224">
        <f>VLOOKUP(N688,ma_dinhmuc!$A$1:$J$31,10,0)</f>
        <v>51000</v>
      </c>
      <c r="BU688" s="224">
        <f>ROUND(IF(BS688&gt;0,VLOOKUP(N688,ma_dinhmuc!$A$1:$J$31,10,0)*BS688,0),0)</f>
        <v>0</v>
      </c>
      <c r="BV688" s="224">
        <f>ROUND(BU688+BR688,0)</f>
        <v>0</v>
      </c>
      <c r="BW688" s="224"/>
      <c r="BX688" s="224">
        <v>2600000</v>
      </c>
      <c r="BY688" s="224"/>
      <c r="BZ688" s="224"/>
      <c r="CA688" s="224"/>
      <c r="CB688" s="224"/>
      <c r="CC688" s="225">
        <f>ROUND(IF(BV688+BW688&gt;BX688+BY688+BZ688+CA688+CB688,(BW688+BV688)-(BX688+BY688+BZ688+CA688+CB688+CB688),0),0)</f>
        <v>0</v>
      </c>
      <c r="CD688" s="224">
        <f>ROUND(IF(BV688+BW688&lt;BX688+BY688+BZ688+CA688-CB688,(BX688+BY688+BZ688+CA688-CB688)-(BW688+BV688),0),0)</f>
        <v>2600000</v>
      </c>
      <c r="CE688" s="224"/>
      <c r="CF688" s="226"/>
      <c r="CG688" s="87"/>
      <c r="CH688" s="87">
        <f>A688</f>
        <v>48</v>
      </c>
      <c r="CI688" s="227" t="str">
        <f t="shared" si="2283"/>
        <v>Nguyễn Thị Hồng</v>
      </c>
      <c r="CJ688" s="227" t="str">
        <f t="shared" si="2283"/>
        <v>Ngọc</v>
      </c>
      <c r="CK688" s="87">
        <f>H688</f>
        <v>13</v>
      </c>
      <c r="CL688" s="227" t="str">
        <f>L688</f>
        <v>Quản lý môi trường</v>
      </c>
      <c r="CM688" s="87" t="str">
        <f>N688</f>
        <v>CS2</v>
      </c>
      <c r="CN688" s="87">
        <f t="shared" si="2275"/>
        <v>270</v>
      </c>
      <c r="CO688" s="87">
        <f t="shared" si="2275"/>
        <v>120</v>
      </c>
      <c r="CP688" s="229">
        <f t="shared" si="2142"/>
        <v>0</v>
      </c>
      <c r="CQ688" s="229">
        <f t="shared" si="2143"/>
        <v>29.6</v>
      </c>
      <c r="CR688" s="229">
        <f t="shared" si="2144"/>
        <v>11.9</v>
      </c>
      <c r="CS688" s="229">
        <f t="shared" si="2145"/>
        <v>11</v>
      </c>
      <c r="CT688" s="229">
        <f t="shared" si="2146"/>
        <v>0</v>
      </c>
      <c r="CU688" s="229">
        <f t="shared" si="2147"/>
        <v>121.3</v>
      </c>
      <c r="CV688" s="229">
        <f t="shared" si="2148"/>
        <v>0</v>
      </c>
      <c r="CW688" s="229">
        <f t="shared" si="2149"/>
        <v>0</v>
      </c>
      <c r="CX688" s="229">
        <f t="shared" si="2150"/>
        <v>0</v>
      </c>
      <c r="CY688" s="229">
        <f t="shared" si="2151"/>
        <v>0</v>
      </c>
      <c r="CZ688" s="229">
        <f t="shared" si="2152"/>
        <v>0</v>
      </c>
      <c r="DA688" s="229">
        <f t="shared" si="2153"/>
        <v>0</v>
      </c>
      <c r="DB688" s="228">
        <f>SUM(CP688:DA688)</f>
        <v>173.8</v>
      </c>
      <c r="DC688" s="229"/>
      <c r="DD688" s="229"/>
      <c r="DE688" s="229"/>
      <c r="DF688" s="229"/>
      <c r="DG688" s="229"/>
      <c r="DH688" s="229"/>
      <c r="DI688" s="229"/>
      <c r="DJ688" s="229"/>
      <c r="DK688" s="229"/>
      <c r="DL688" s="229"/>
      <c r="DM688" s="229"/>
      <c r="DN688" s="229"/>
      <c r="DO688" s="228">
        <f>SUM(DC688:DN688)</f>
        <v>0</v>
      </c>
      <c r="DP688" s="228">
        <f>DO688+DB688</f>
        <v>173.8</v>
      </c>
      <c r="DQ688" s="229">
        <f t="shared" si="2154"/>
        <v>0</v>
      </c>
      <c r="DR688" s="229">
        <f t="shared" si="2155"/>
        <v>0</v>
      </c>
      <c r="DS688" s="229">
        <f t="shared" si="2156"/>
        <v>0</v>
      </c>
      <c r="DT688" s="229">
        <f t="shared" si="2157"/>
        <v>0</v>
      </c>
      <c r="DU688" s="229">
        <f t="shared" si="2158"/>
        <v>0</v>
      </c>
      <c r="DV688" s="229">
        <f t="shared" si="2159"/>
        <v>0</v>
      </c>
      <c r="DW688" s="229">
        <f t="shared" si="2160"/>
        <v>0</v>
      </c>
      <c r="DX688" s="228">
        <f>SUM(DQ688:DW688)</f>
        <v>0</v>
      </c>
      <c r="DY688" s="229"/>
      <c r="DZ688" s="229"/>
      <c r="EA688" s="229"/>
      <c r="EB688" s="229"/>
      <c r="EC688" s="229"/>
      <c r="ED688" s="229"/>
      <c r="EE688" s="229"/>
      <c r="EF688" s="228">
        <f t="shared" si="2138"/>
        <v>0</v>
      </c>
      <c r="EG688" s="228">
        <f>EF688+DX688</f>
        <v>0</v>
      </c>
      <c r="EH688" s="229">
        <f t="shared" si="2139"/>
        <v>132.5</v>
      </c>
      <c r="EI688" s="229">
        <v>0</v>
      </c>
      <c r="EJ688" s="228">
        <f t="shared" si="2256"/>
        <v>132.5</v>
      </c>
      <c r="EK688" s="229"/>
      <c r="EL688" s="229"/>
      <c r="EM688" s="228">
        <f>SUM(EK688:EL688)</f>
        <v>0</v>
      </c>
      <c r="EN688" s="229">
        <f>EK688+EH688+EL688</f>
        <v>132.5</v>
      </c>
      <c r="EO688" s="229">
        <f>EI688</f>
        <v>0</v>
      </c>
      <c r="EP688" s="228">
        <f t="shared" si="2237"/>
        <v>132.5</v>
      </c>
      <c r="EQ688" s="173">
        <f t="shared" si="2135"/>
        <v>12.5</v>
      </c>
      <c r="ER688" s="189">
        <v>0</v>
      </c>
      <c r="ES688" s="189">
        <v>29.6</v>
      </c>
      <c r="ET688" s="189">
        <v>11.9</v>
      </c>
      <c r="EU688" s="189">
        <v>11</v>
      </c>
      <c r="EV688" s="189">
        <v>0</v>
      </c>
      <c r="EW688" s="189">
        <v>121.3</v>
      </c>
      <c r="EX688" s="189">
        <v>0</v>
      </c>
      <c r="EY688" s="189">
        <v>0</v>
      </c>
      <c r="EZ688" s="189">
        <v>0</v>
      </c>
      <c r="FA688" s="189">
        <v>0</v>
      </c>
      <c r="FB688" s="189">
        <v>0</v>
      </c>
      <c r="FC688" s="189">
        <v>0</v>
      </c>
      <c r="FD688" s="189">
        <v>0</v>
      </c>
      <c r="FE688" s="189">
        <v>0</v>
      </c>
      <c r="FF688" s="189">
        <v>0</v>
      </c>
      <c r="FG688" s="189">
        <v>0</v>
      </c>
      <c r="FH688" s="189">
        <v>0</v>
      </c>
      <c r="FI688" s="189">
        <v>0</v>
      </c>
      <c r="FJ688" s="189">
        <v>0</v>
      </c>
      <c r="FK688" s="189">
        <v>173.8</v>
      </c>
      <c r="FL688" s="189">
        <v>139</v>
      </c>
      <c r="FN688" s="132">
        <v>132.5</v>
      </c>
    </row>
    <row r="689" spans="1:170" ht="30" customHeight="1">
      <c r="A689" s="88">
        <f>COUNTIF($H$12:H689,H689)</f>
        <v>49</v>
      </c>
      <c r="B689" s="88" t="s">
        <v>321</v>
      </c>
      <c r="C689" s="88" t="s">
        <v>1541</v>
      </c>
      <c r="D689" s="88"/>
      <c r="E689" s="88"/>
      <c r="F689" s="301" t="s">
        <v>181</v>
      </c>
      <c r="G689" s="303" t="s">
        <v>2086</v>
      </c>
      <c r="H689" s="88">
        <v>13</v>
      </c>
      <c r="I689" s="88">
        <v>13</v>
      </c>
      <c r="J689" s="88">
        <v>13</v>
      </c>
      <c r="K689" s="90" t="s">
        <v>2979</v>
      </c>
      <c r="L689" s="90" t="s">
        <v>2979</v>
      </c>
      <c r="M689" s="214"/>
      <c r="N689" s="88" t="s">
        <v>1804</v>
      </c>
      <c r="O689" s="216">
        <f>BO689</f>
        <v>3.33</v>
      </c>
      <c r="P689" s="88" t="str">
        <f>IF(BO689&lt;3.33,"B1_3",IF(AND(BO689&gt;=3.33,BO689&lt;4.65),"B1_4",IF(AND(BO689&gt;=4.65,BO689&lt;5.42),"B1_5",IF(AND(BO689&gt;=5.42,BO689&lt;6.44),"B1_6",IF(AND(BO689&gt;=6.44,BO689&lt;=6.92),"B1_7","B1_8")))))</f>
        <v>B1_4</v>
      </c>
      <c r="Q689" s="88">
        <f>IF(M689&gt;0,VLOOKUP(P689,ma_dinhmuc_moi,2,0)/2,VLOOKUP(P689,ma_dinhmuc_moi,2,0))</f>
        <v>270</v>
      </c>
      <c r="R689" s="88">
        <f>IF(M689&gt;0,VLOOKUP(P689,ma_dinhmuc_moi,3,0)/2,VLOOKUP(P689,ma_dinhmuc_moi,3,0))</f>
        <v>120</v>
      </c>
      <c r="S689" s="230" t="s">
        <v>2671</v>
      </c>
      <c r="T689" s="88" t="s">
        <v>1326</v>
      </c>
      <c r="U689" s="88">
        <f>IF(RIGHT(T689,1)="K",(VLOOKUP(T689,ma_miengiam!$A$3:$B$80,2,0)*100)/2,VLOOKUP(T689,ma_miengiam!$A$3:$B$80,2,0)*100)</f>
        <v>65</v>
      </c>
      <c r="V689" s="88">
        <v>9</v>
      </c>
      <c r="W689" s="220">
        <f>IF(AND(T689="NTS",V689&gt;0),(Q689-(Q689*V689)/12)*VLOOKUP(T689,ma_miengiam!$A$3:$B$80,2,0)+(Q689-(Q689*(12-V689))/12),IF(AND(RIGHT(T689,1)="K",V689&gt;0),(VLOOKUP(T689,ma_miengiam!$A$3:$B$80,2,0)/2)*(Q689*V689)/12,IF(RIGHT(T689,1)="K",(VLOOKUP(T689,ma_miengiam!$A$3:$B$80,2,0)*Q689)/2,IF(V689&gt;0,VLOOKUP(T689,ma_miengiam!$A$3:$B$80,2,0)*Q689*V689/12,VLOOKUP(T689,ma_miengiam!$A$3:$B$80,2,0)*Q689))))</f>
        <v>131.625</v>
      </c>
      <c r="X689" s="220">
        <f>IF(T689="NTS",VLOOKUP(T689,ma_miengiam!$A$3:$B$80,2,0)*R689*V689,IF(AND(T689="NTS",V689=0),0,IF(AND(LEFT(T689,1)="K",V689=0),VLOOKUP(T689,ma_miengiam!$A$3:$B$80,2,0)*R689,IF(LEFT(T689,1)="K",(VLOOKUP(T689,ma_miengiam!$A$3:$B$80,2,0)*R689/12)*V689,IF(AND(LEFT(T689,1)="S",V689&gt;0),(R689/12)*V689,IF(AND(LEFT(T689,1)="S",V689=0),R689,IF(T689="DH",VLOOKUP(T689,ma_miengiam!$A$3:$B$80,2,0)*R689,0)))))))</f>
        <v>90</v>
      </c>
      <c r="Y689" s="220">
        <f>IF(AND(T689="DH",V689&gt;0),(S689*V689/12),IF(AND(T689&lt;&gt;"NTS",V689&gt;0),(Q689*V689/12)-W689,IF(AND(T689="NTS",V689&gt;0),Q689-W689,Q689-W689)))</f>
        <v>70.875</v>
      </c>
      <c r="Z689" s="220">
        <f>IF(AND(T689="SĐH",V689&gt;0),(R689/12)*V689-X689,IF(AND(T689="DH",V689&gt;0),(R689*V689/12),IF(AND(T689&lt;&gt;"NTS",V689&gt;0),(R689*V689/12)-X689,IF(AND(T689="NTS",V689&gt;0),R689-X689,R689-X689))))</f>
        <v>0</v>
      </c>
      <c r="AA689" s="220">
        <f>Q689</f>
        <v>270</v>
      </c>
      <c r="AB689" s="220">
        <f>R689</f>
        <v>120</v>
      </c>
      <c r="AC689" s="220">
        <f t="shared" si="2284"/>
        <v>131.625</v>
      </c>
      <c r="AD689" s="220">
        <f t="shared" si="2284"/>
        <v>90</v>
      </c>
      <c r="AE689" s="220">
        <f t="shared" si="2284"/>
        <v>70.875</v>
      </c>
      <c r="AF689" s="220">
        <f t="shared" si="2284"/>
        <v>0</v>
      </c>
      <c r="AG689" s="220">
        <f t="shared" si="2260"/>
        <v>83.93</v>
      </c>
      <c r="AH689" s="220">
        <f t="shared" si="2261"/>
        <v>65.180000000000007</v>
      </c>
      <c r="AI689" s="220">
        <f t="shared" si="2262"/>
        <v>18.75</v>
      </c>
      <c r="AJ689" s="220">
        <f t="shared" si="2272"/>
        <v>0</v>
      </c>
      <c r="AK689" s="216">
        <f>IF(AJ689&gt;=0,Y689,Y689-AJ689)</f>
        <v>70.875</v>
      </c>
      <c r="AL689" s="220">
        <f>SUM(CP689:CX689)+SUM(DC689:DK689)</f>
        <v>0</v>
      </c>
      <c r="AM689" s="220">
        <f>SUM(DQ689:DU689)+SUM(DY689:EC689)</f>
        <v>0</v>
      </c>
      <c r="AN689" s="221">
        <f>AM689+AL689</f>
        <v>0</v>
      </c>
      <c r="AO689" s="220">
        <f t="shared" si="2280"/>
        <v>0</v>
      </c>
      <c r="AP689" s="220">
        <f t="shared" si="2280"/>
        <v>0</v>
      </c>
      <c r="AQ689" s="220">
        <f t="shared" si="2280"/>
        <v>0</v>
      </c>
      <c r="AR689" s="220">
        <f t="shared" si="2281"/>
        <v>0</v>
      </c>
      <c r="AS689" s="220">
        <f t="shared" si="2281"/>
        <v>0</v>
      </c>
      <c r="AT689" s="216">
        <f>AN689+SUM(AO689:AS689)</f>
        <v>0</v>
      </c>
      <c r="AU689" s="222">
        <f>AN689-AK689</f>
        <v>-70.875</v>
      </c>
      <c r="AV689" s="220"/>
      <c r="AW689" s="220">
        <f>IF(AU689&gt;0,AU689,AV689+AU689)</f>
        <v>-70.875</v>
      </c>
      <c r="AX689" s="216">
        <f>IF(AN689&gt;AK689,0,IF(AW689&lt;0,AN689-AK689+AV689,IF(AW689&gt;=0,0)))</f>
        <v>-70.875</v>
      </c>
      <c r="AY689" s="220">
        <f>IF(AN689&gt;=AK689,AO689,IF(AN689+AO689-AK689&gt;=0,AN689+AO689-AK689,0))</f>
        <v>0</v>
      </c>
      <c r="AZ689" s="220">
        <f>IF(OR(AN689&gt;=AK689,AN689+AO689&gt;=AK689),AP689,IF(AN689+AO689+AP689&gt;AK689,AN689+AO689+AP689-AK689,0))</f>
        <v>0</v>
      </c>
      <c r="BA689" s="220">
        <f>IF(OR(AN689&gt;=AK689,AN689+AO689&gt;=AK689,AN689+AO689+AP689&gt;=AK689),AQ689,IF(AN689+AO689+AP689+AQ689&gt;=AK689,AN689+AO689+AP689+AQ689-AK689,0))</f>
        <v>0</v>
      </c>
      <c r="BB689" s="220">
        <f>IF(OR(AN689&gt;=AK689,AN689+AO689&gt;=AK689,AN689+AO689+AP689&gt;=AK689,AN689+AO689+AP689+AQ689&gt;=AK689),AR689,IF(AN689+AO689+AP689+AQ689+AR689&gt;=AK689,AN689+AO689+AP689+AQ689+AR689-AK689,0))</f>
        <v>0</v>
      </c>
      <c r="BC689" s="220">
        <f>IF(OR(AN689&gt;=AK689,AN689+AO689&gt;=AK689,AN689+AO689+AP689&gt;=AK689,AN689+AO689+AP689+AQ689&gt;=AK689,AN689+AO689+AP689+AQ689+AR689&gt;=AK689),AS689,IF(AN689+AO689+AP689+AQ689+AR689+AS689&gt;=AK689,AN689+AO689+AP689+AQ689+AR689+AS689-AK689,0))</f>
        <v>0</v>
      </c>
      <c r="BD689" s="216">
        <f>SUM(AY689:BC689)</f>
        <v>0</v>
      </c>
      <c r="BE689" s="220">
        <f t="shared" si="2282"/>
        <v>0</v>
      </c>
      <c r="BF689" s="220">
        <f t="shared" si="2282"/>
        <v>0</v>
      </c>
      <c r="BG689" s="220">
        <f t="shared" si="2282"/>
        <v>0</v>
      </c>
      <c r="BH689" s="220">
        <f t="shared" si="2282"/>
        <v>0</v>
      </c>
      <c r="BI689" s="220">
        <f t="shared" si="2282"/>
        <v>0</v>
      </c>
      <c r="BJ689" s="220" t="s">
        <v>2410</v>
      </c>
      <c r="BK689" s="220"/>
      <c r="BL689" s="223">
        <f>IF(AW689&lt;BK689,0,IF(AND(BK689=0,AW689&gt;0),AW689,IF(AW689&lt;0,0,IF(BK689&gt;0,AW689-BK689,IF(BK689&lt;0,0,AW689)))))</f>
        <v>0</v>
      </c>
      <c r="BM689" s="220">
        <v>3.33</v>
      </c>
      <c r="BN689" s="220"/>
      <c r="BO689" s="220">
        <f>ROUND(BM689+(BM689*BN689),2)</f>
        <v>3.33</v>
      </c>
      <c r="BP689" s="220">
        <f>IF(AND(BL689&gt;0,BL689&lt;tiet!$D$1),BL689,IF(BL689&lt;=0,0,IF(BL689&gt;tiet!$C$1,tiet!$C$1)))</f>
        <v>0</v>
      </c>
      <c r="BQ689" s="87">
        <f>VLOOKUP(P689,ma_dinhmuc_moi,4,0)</f>
        <v>65000</v>
      </c>
      <c r="BR689" s="224">
        <f>ROUND(BQ689*BP689,0)</f>
        <v>0</v>
      </c>
      <c r="BS689" s="220">
        <f t="shared" si="2134"/>
        <v>0</v>
      </c>
      <c r="BT689" s="224">
        <f>VLOOKUP(N689,ma_dinhmuc!$A$1:$J$31,10,0)</f>
        <v>51000</v>
      </c>
      <c r="BU689" s="224">
        <f>ROUND(IF(BS689&gt;0,VLOOKUP(N689,ma_dinhmuc!$A$1:$J$31,10,0)*BS689,0),0)</f>
        <v>0</v>
      </c>
      <c r="BV689" s="224">
        <f>ROUND(BU689+BR689,0)</f>
        <v>0</v>
      </c>
      <c r="BW689" s="224"/>
      <c r="BX689" s="224">
        <v>0</v>
      </c>
      <c r="BY689" s="224"/>
      <c r="BZ689" s="224"/>
      <c r="CA689" s="224"/>
      <c r="CB689" s="224"/>
      <c r="CC689" s="225">
        <f>ROUND(IF(BV689+BW689&gt;BX689+BY689+BZ689+CA689+CB689,(BW689+BV689)-(BX689+BY689+BZ689+CA689+CB689+CB689),0),0)</f>
        <v>0</v>
      </c>
      <c r="CD689" s="224">
        <f>ROUND(IF(BV689+BW689&lt;BX689+BY689+BZ689+CA689-CB689,(BX689+BY689+BZ689+CA689-CB689)-(BW689+BV689),0),0)</f>
        <v>0</v>
      </c>
      <c r="CE689" s="224"/>
      <c r="CF689" s="226"/>
      <c r="CG689" s="87"/>
      <c r="CH689" s="87">
        <f>A689</f>
        <v>49</v>
      </c>
      <c r="CI689" s="227" t="str">
        <f t="shared" si="2283"/>
        <v>Lương Đức</v>
      </c>
      <c r="CJ689" s="227" t="str">
        <f t="shared" si="2283"/>
        <v>Anh</v>
      </c>
      <c r="CK689" s="87">
        <f>H689</f>
        <v>13</v>
      </c>
      <c r="CL689" s="227" t="str">
        <f>L689</f>
        <v>Quản lý môi trường</v>
      </c>
      <c r="CM689" s="87" t="str">
        <f>N689</f>
        <v>CS2</v>
      </c>
      <c r="CN689" s="87">
        <f t="shared" si="2275"/>
        <v>270</v>
      </c>
      <c r="CO689" s="87">
        <f t="shared" si="2275"/>
        <v>120</v>
      </c>
      <c r="CP689" s="229">
        <f t="shared" si="2142"/>
        <v>0</v>
      </c>
      <c r="CQ689" s="229">
        <f t="shared" si="2143"/>
        <v>0</v>
      </c>
      <c r="CR689" s="229">
        <f t="shared" si="2144"/>
        <v>0</v>
      </c>
      <c r="CS689" s="229">
        <f t="shared" si="2145"/>
        <v>0</v>
      </c>
      <c r="CT689" s="229">
        <f t="shared" si="2146"/>
        <v>0</v>
      </c>
      <c r="CU689" s="229">
        <f t="shared" si="2147"/>
        <v>0</v>
      </c>
      <c r="CV689" s="229">
        <f t="shared" si="2148"/>
        <v>0</v>
      </c>
      <c r="CW689" s="229">
        <f t="shared" si="2149"/>
        <v>0</v>
      </c>
      <c r="CX689" s="229">
        <f t="shared" si="2150"/>
        <v>0</v>
      </c>
      <c r="CY689" s="229">
        <f t="shared" si="2151"/>
        <v>0</v>
      </c>
      <c r="CZ689" s="229">
        <f t="shared" si="2152"/>
        <v>0</v>
      </c>
      <c r="DA689" s="229">
        <f t="shared" si="2153"/>
        <v>0</v>
      </c>
      <c r="DB689" s="228">
        <f>SUM(CP689:DA689)</f>
        <v>0</v>
      </c>
      <c r="DC689" s="229"/>
      <c r="DD689" s="229"/>
      <c r="DE689" s="229"/>
      <c r="DF689" s="229"/>
      <c r="DG689" s="229"/>
      <c r="DH689" s="229"/>
      <c r="DI689" s="229"/>
      <c r="DJ689" s="229"/>
      <c r="DK689" s="229"/>
      <c r="DL689" s="229"/>
      <c r="DM689" s="229"/>
      <c r="DN689" s="229"/>
      <c r="DO689" s="228">
        <f>SUM(DC689:DN689)</f>
        <v>0</v>
      </c>
      <c r="DP689" s="228">
        <f>DO689+DB689</f>
        <v>0</v>
      </c>
      <c r="DQ689" s="229">
        <f t="shared" si="2154"/>
        <v>0</v>
      </c>
      <c r="DR689" s="229">
        <f t="shared" si="2155"/>
        <v>0</v>
      </c>
      <c r="DS689" s="229">
        <f t="shared" si="2156"/>
        <v>0</v>
      </c>
      <c r="DT689" s="229">
        <f t="shared" si="2157"/>
        <v>0</v>
      </c>
      <c r="DU689" s="229">
        <f t="shared" si="2158"/>
        <v>0</v>
      </c>
      <c r="DV689" s="229">
        <f t="shared" si="2159"/>
        <v>0</v>
      </c>
      <c r="DW689" s="229">
        <f t="shared" si="2160"/>
        <v>0</v>
      </c>
      <c r="DX689" s="228">
        <f>SUM(DQ689:DW689)</f>
        <v>0</v>
      </c>
      <c r="DY689" s="229"/>
      <c r="DZ689" s="229"/>
      <c r="EA689" s="229"/>
      <c r="EB689" s="229"/>
      <c r="EC689" s="229"/>
      <c r="ED689" s="229"/>
      <c r="EE689" s="229"/>
      <c r="EF689" s="228">
        <f t="shared" si="2138"/>
        <v>0</v>
      </c>
      <c r="EG689" s="228">
        <f>EF689+DX689</f>
        <v>0</v>
      </c>
      <c r="EH689" s="229">
        <f t="shared" si="2139"/>
        <v>18.75</v>
      </c>
      <c r="EI689" s="229">
        <v>65.180000000000007</v>
      </c>
      <c r="EJ689" s="228">
        <f t="shared" si="2256"/>
        <v>83.93</v>
      </c>
      <c r="EK689" s="229"/>
      <c r="EL689" s="229"/>
      <c r="EM689" s="228">
        <f>SUM(EK689:EL689)</f>
        <v>0</v>
      </c>
      <c r="EN689" s="229">
        <f>EK689+EH689+EL689</f>
        <v>18.75</v>
      </c>
      <c r="EO689" s="229">
        <f>EI689</f>
        <v>65.180000000000007</v>
      </c>
      <c r="EP689" s="228">
        <f t="shared" si="2237"/>
        <v>83.93</v>
      </c>
      <c r="EQ689" s="173">
        <f t="shared" si="2135"/>
        <v>18.75</v>
      </c>
      <c r="ER689" s="189">
        <v>0</v>
      </c>
      <c r="ES689" s="189">
        <v>0</v>
      </c>
      <c r="ET689" s="189">
        <v>0</v>
      </c>
      <c r="EU689" s="189">
        <v>0</v>
      </c>
      <c r="EV689" s="189">
        <v>0</v>
      </c>
      <c r="EW689" s="189">
        <v>0</v>
      </c>
      <c r="EX689" s="189">
        <v>0</v>
      </c>
      <c r="EY689" s="189">
        <v>0</v>
      </c>
      <c r="EZ689" s="189">
        <v>0</v>
      </c>
      <c r="FA689" s="189">
        <v>0</v>
      </c>
      <c r="FB689" s="189">
        <v>0</v>
      </c>
      <c r="FC689" s="189">
        <v>0</v>
      </c>
      <c r="FD689" s="189">
        <v>0</v>
      </c>
      <c r="FE689" s="189">
        <v>0</v>
      </c>
      <c r="FF689" s="189">
        <v>0</v>
      </c>
      <c r="FG689" s="189">
        <v>0</v>
      </c>
      <c r="FH689" s="189">
        <v>0</v>
      </c>
      <c r="FI689" s="189">
        <v>0</v>
      </c>
      <c r="FJ689" s="189">
        <v>0</v>
      </c>
      <c r="FK689" s="189">
        <v>0</v>
      </c>
      <c r="FL689" s="189">
        <v>0</v>
      </c>
      <c r="FN689" s="132">
        <v>18.75</v>
      </c>
    </row>
    <row r="690" spans="1:170" ht="45">
      <c r="A690" s="88">
        <f>COUNTIF($H$12:H690,H690)</f>
        <v>1</v>
      </c>
      <c r="B690" s="88" t="s">
        <v>327</v>
      </c>
      <c r="C690" s="88" t="s">
        <v>1547</v>
      </c>
      <c r="D690" s="88"/>
      <c r="E690" s="88"/>
      <c r="F690" s="301" t="s">
        <v>1139</v>
      </c>
      <c r="G690" s="303" t="s">
        <v>3086</v>
      </c>
      <c r="H690" s="88">
        <v>14</v>
      </c>
      <c r="I690" s="88">
        <v>14</v>
      </c>
      <c r="J690" s="88">
        <v>14</v>
      </c>
      <c r="K690" s="90" t="s">
        <v>1615</v>
      </c>
      <c r="L690" s="90" t="s">
        <v>1615</v>
      </c>
      <c r="M690" s="214"/>
      <c r="N690" s="88" t="s">
        <v>1804</v>
      </c>
      <c r="O690" s="216">
        <f t="shared" si="2270"/>
        <v>3.33</v>
      </c>
      <c r="P690" s="88" t="str">
        <f t="shared" si="2279"/>
        <v>B1_4</v>
      </c>
      <c r="Q690" s="88">
        <f t="shared" si="2136"/>
        <v>270</v>
      </c>
      <c r="R690" s="88">
        <f t="shared" si="2137"/>
        <v>120</v>
      </c>
      <c r="S690" s="231" t="s">
        <v>2655</v>
      </c>
      <c r="T690" s="88" t="s">
        <v>1326</v>
      </c>
      <c r="U690" s="88">
        <f>IF(RIGHT(T690,1)="K",(VLOOKUP(T690,ma_miengiam!$A$3:$B$80,2,0)*100)/2,VLOOKUP(T690,ma_miengiam!$A$3:$B$80,2,0)*100)</f>
        <v>65</v>
      </c>
      <c r="V690" s="88">
        <v>5</v>
      </c>
      <c r="W690" s="220">
        <f>IF(AND(T690="NTS",V690&gt;0),(Q690-(Q690*V690)/12)*VLOOKUP(T690,ma_miengiam!$A$3:$B$80,2,0)+(Q690-(Q690*(12-V690))/12),IF(AND(RIGHT(T690,1)="K",V690&gt;0),(VLOOKUP(T690,ma_miengiam!$A$3:$B$80,2,0)/2)*(Q690*V690)/12,IF(RIGHT(T690,1)="K",(VLOOKUP(T690,ma_miengiam!$A$3:$B$80,2,0)*Q690)/2,IF(V690&gt;0,VLOOKUP(T690,ma_miengiam!$A$3:$B$80,2,0)*Q690*V690/12,VLOOKUP(T690,ma_miengiam!$A$3:$B$80,2,0)*Q690))))</f>
        <v>73.125</v>
      </c>
      <c r="X690" s="220">
        <f>IF(T690="NTS",VLOOKUP(T690,ma_miengiam!$A$3:$B$80,2,0)*R690*V690,IF(AND(T690="NTS",V690=0),0,IF(AND(LEFT(T690,1)="K",V690=0),VLOOKUP(T690,ma_miengiam!$A$3:$B$80,2,0)*R690,IF(LEFT(T690,1)="K",(VLOOKUP(T690,ma_miengiam!$A$3:$B$80,2,0)*R690/12)*V690,IF(AND(LEFT(T690,1)="S",V690&gt;0),(R690/12)*V690,IF(AND(LEFT(T690,1)="S",V690=0),R690,IF(T690="DH",VLOOKUP(T690,ma_miengiam!$A$3:$B$80,2,0)*R690,0)))))))</f>
        <v>50</v>
      </c>
      <c r="Y690" s="220">
        <f t="shared" si="2257"/>
        <v>39.375</v>
      </c>
      <c r="Z690" s="220">
        <f t="shared" si="2258"/>
        <v>0</v>
      </c>
      <c r="AA690" s="220">
        <f t="shared" si="2276"/>
        <v>270</v>
      </c>
      <c r="AB690" s="220">
        <f t="shared" si="2276"/>
        <v>120</v>
      </c>
      <c r="AC690" s="220">
        <f t="shared" si="2277"/>
        <v>73.125</v>
      </c>
      <c r="AD690" s="220">
        <f t="shared" si="2277"/>
        <v>50</v>
      </c>
      <c r="AE690" s="220">
        <f t="shared" si="2277"/>
        <v>39.375</v>
      </c>
      <c r="AF690" s="220">
        <f t="shared" si="2277"/>
        <v>0</v>
      </c>
      <c r="AG690" s="220">
        <f>AH690+AI690</f>
        <v>264.23</v>
      </c>
      <c r="AH690" s="220">
        <f>EO690</f>
        <v>153.80000000000001</v>
      </c>
      <c r="AI690" s="220">
        <f>EN690</f>
        <v>110.43</v>
      </c>
      <c r="AJ690" s="220">
        <f>IF(AG690-Z690&gt;0,0,AG690-Z690)</f>
        <v>0</v>
      </c>
      <c r="AK690" s="216">
        <f t="shared" si="2254"/>
        <v>39.375</v>
      </c>
      <c r="AL690" s="220">
        <f t="shared" si="2238"/>
        <v>0</v>
      </c>
      <c r="AM690" s="220">
        <f t="shared" si="2239"/>
        <v>0</v>
      </c>
      <c r="AN690" s="221">
        <f t="shared" si="2240"/>
        <v>0</v>
      </c>
      <c r="AO690" s="220">
        <f t="shared" si="2241"/>
        <v>0</v>
      </c>
      <c r="AP690" s="220">
        <f t="shared" si="2242"/>
        <v>0</v>
      </c>
      <c r="AQ690" s="220">
        <f t="shared" si="2243"/>
        <v>0</v>
      </c>
      <c r="AR690" s="220">
        <f t="shared" si="2244"/>
        <v>0</v>
      </c>
      <c r="AS690" s="220">
        <f t="shared" si="2245"/>
        <v>0</v>
      </c>
      <c r="AT690" s="216">
        <f t="shared" si="2246"/>
        <v>0</v>
      </c>
      <c r="AU690" s="222">
        <f t="shared" si="2122"/>
        <v>-39.375</v>
      </c>
      <c r="AV690" s="220"/>
      <c r="AW690" s="220">
        <f t="shared" si="2174"/>
        <v>-39.375</v>
      </c>
      <c r="AX690" s="216">
        <f t="shared" si="2234"/>
        <v>-39.375</v>
      </c>
      <c r="AY690" s="220">
        <f t="shared" si="2182"/>
        <v>0</v>
      </c>
      <c r="AZ690" s="220">
        <f t="shared" si="2183"/>
        <v>0</v>
      </c>
      <c r="BA690" s="220">
        <f t="shared" si="2184"/>
        <v>0</v>
      </c>
      <c r="BB690" s="220">
        <f t="shared" si="2185"/>
        <v>0</v>
      </c>
      <c r="BC690" s="220">
        <f t="shared" si="2186"/>
        <v>0</v>
      </c>
      <c r="BD690" s="216">
        <f t="shared" si="2197"/>
        <v>0</v>
      </c>
      <c r="BE690" s="220">
        <f t="shared" si="2175"/>
        <v>0</v>
      </c>
      <c r="BF690" s="220">
        <f t="shared" si="2176"/>
        <v>0</v>
      </c>
      <c r="BG690" s="220">
        <f t="shared" si="2177"/>
        <v>0</v>
      </c>
      <c r="BH690" s="220">
        <f t="shared" si="2178"/>
        <v>0</v>
      </c>
      <c r="BI690" s="220">
        <f t="shared" si="2179"/>
        <v>0</v>
      </c>
      <c r="BJ690" s="220" t="s">
        <v>1172</v>
      </c>
      <c r="BK690" s="220"/>
      <c r="BL690" s="223">
        <f t="shared" si="2210"/>
        <v>0</v>
      </c>
      <c r="BM690" s="220">
        <v>3.33</v>
      </c>
      <c r="BN690" s="220"/>
      <c r="BO690" s="220">
        <f t="shared" si="2267"/>
        <v>3.33</v>
      </c>
      <c r="BP690" s="220">
        <f>IF(AND(BL690&gt;0,BL690&lt;tiet!$D$1),BL690,IF(BL690&lt;=0,0,IF(BL690&gt;tiet!$C$1,tiet!$C$1)))</f>
        <v>0</v>
      </c>
      <c r="BQ690" s="87">
        <f t="shared" si="2278"/>
        <v>65000</v>
      </c>
      <c r="BR690" s="224">
        <f t="shared" si="2268"/>
        <v>0</v>
      </c>
      <c r="BS690" s="220">
        <f t="shared" si="2134"/>
        <v>0</v>
      </c>
      <c r="BT690" s="224">
        <f>VLOOKUP(N690,ma_dinhmuc!$A$1:$J$31,10,0)</f>
        <v>51000</v>
      </c>
      <c r="BU690" s="224">
        <f>ROUND(IF(BS690&gt;0,VLOOKUP(N690,ma_dinhmuc!$A$1:$J$31,10,0)*BS690,0),0)</f>
        <v>0</v>
      </c>
      <c r="BV690" s="224">
        <f t="shared" si="2269"/>
        <v>0</v>
      </c>
      <c r="BW690" s="224"/>
      <c r="BX690" s="224">
        <v>0</v>
      </c>
      <c r="BY690" s="224"/>
      <c r="BZ690" s="224"/>
      <c r="CA690" s="224"/>
      <c r="CB690" s="224"/>
      <c r="CC690" s="225">
        <f t="shared" si="2112"/>
        <v>0</v>
      </c>
      <c r="CD690" s="224">
        <f t="shared" si="2113"/>
        <v>0</v>
      </c>
      <c r="CE690" s="224"/>
      <c r="CF690" s="226"/>
      <c r="CG690" s="87"/>
      <c r="CH690" s="87">
        <f t="shared" si="2274"/>
        <v>1</v>
      </c>
      <c r="CI690" s="227" t="str">
        <f t="shared" si="2263"/>
        <v>Nguyễn Thị</v>
      </c>
      <c r="CJ690" s="227" t="str">
        <f t="shared" si="2264"/>
        <v>Mai</v>
      </c>
      <c r="CK690" s="87">
        <f t="shared" si="2265"/>
        <v>14</v>
      </c>
      <c r="CL690" s="227" t="str">
        <f t="shared" si="2273"/>
        <v>Nuôi trồng thuỷ sản</v>
      </c>
      <c r="CM690" s="87" t="str">
        <f t="shared" si="2180"/>
        <v>CS2</v>
      </c>
      <c r="CN690" s="87">
        <f t="shared" si="2275"/>
        <v>270</v>
      </c>
      <c r="CO690" s="87">
        <f t="shared" si="2275"/>
        <v>120</v>
      </c>
      <c r="CP690" s="229">
        <f t="shared" si="2142"/>
        <v>0</v>
      </c>
      <c r="CQ690" s="229">
        <f t="shared" si="2143"/>
        <v>0</v>
      </c>
      <c r="CR690" s="229">
        <f t="shared" si="2144"/>
        <v>0</v>
      </c>
      <c r="CS690" s="229">
        <f t="shared" si="2145"/>
        <v>0</v>
      </c>
      <c r="CT690" s="229">
        <f t="shared" si="2146"/>
        <v>0</v>
      </c>
      <c r="CU690" s="229">
        <f t="shared" si="2147"/>
        <v>0</v>
      </c>
      <c r="CV690" s="229">
        <f t="shared" si="2148"/>
        <v>0</v>
      </c>
      <c r="CW690" s="229">
        <f t="shared" si="2149"/>
        <v>0</v>
      </c>
      <c r="CX690" s="229">
        <f t="shared" si="2150"/>
        <v>0</v>
      </c>
      <c r="CY690" s="229">
        <f t="shared" si="2151"/>
        <v>0</v>
      </c>
      <c r="CZ690" s="229">
        <f t="shared" si="2152"/>
        <v>0</v>
      </c>
      <c r="DA690" s="229">
        <f t="shared" si="2153"/>
        <v>0</v>
      </c>
      <c r="DB690" s="228">
        <f t="shared" si="2235"/>
        <v>0</v>
      </c>
      <c r="DC690" s="229"/>
      <c r="DD690" s="229"/>
      <c r="DE690" s="229"/>
      <c r="DF690" s="229"/>
      <c r="DG690" s="229"/>
      <c r="DH690" s="229"/>
      <c r="DI690" s="229"/>
      <c r="DJ690" s="229"/>
      <c r="DK690" s="229"/>
      <c r="DL690" s="229"/>
      <c r="DM690" s="229"/>
      <c r="DN690" s="229"/>
      <c r="DO690" s="228">
        <f t="shared" si="2247"/>
        <v>0</v>
      </c>
      <c r="DP690" s="228">
        <f t="shared" si="2248"/>
        <v>0</v>
      </c>
      <c r="DQ690" s="229">
        <f t="shared" si="2154"/>
        <v>0</v>
      </c>
      <c r="DR690" s="229">
        <f t="shared" si="2155"/>
        <v>0</v>
      </c>
      <c r="DS690" s="229">
        <f t="shared" si="2156"/>
        <v>0</v>
      </c>
      <c r="DT690" s="229">
        <f t="shared" si="2157"/>
        <v>0</v>
      </c>
      <c r="DU690" s="229">
        <f t="shared" si="2158"/>
        <v>0</v>
      </c>
      <c r="DV690" s="229">
        <f t="shared" si="2159"/>
        <v>0</v>
      </c>
      <c r="DW690" s="229">
        <f t="shared" si="2160"/>
        <v>0</v>
      </c>
      <c r="DX690" s="228">
        <f t="shared" si="2236"/>
        <v>0</v>
      </c>
      <c r="DY690" s="229"/>
      <c r="DZ690" s="229"/>
      <c r="EA690" s="229"/>
      <c r="EB690" s="229"/>
      <c r="EC690" s="229"/>
      <c r="ED690" s="229"/>
      <c r="EE690" s="229"/>
      <c r="EF690" s="228">
        <f t="shared" si="2138"/>
        <v>0</v>
      </c>
      <c r="EG690" s="228">
        <f t="shared" si="2249"/>
        <v>0</v>
      </c>
      <c r="EH690" s="229">
        <f t="shared" si="2139"/>
        <v>110.43</v>
      </c>
      <c r="EI690" s="229">
        <v>153.80000000000001</v>
      </c>
      <c r="EJ690" s="228">
        <f t="shared" si="2256"/>
        <v>264.23</v>
      </c>
      <c r="EK690" s="229"/>
      <c r="EL690" s="229"/>
      <c r="EM690" s="228">
        <f t="shared" ref="EM690:EM702" si="2285">SUM(EK690:EL690)</f>
        <v>0</v>
      </c>
      <c r="EN690" s="229">
        <f t="shared" si="2220"/>
        <v>110.43</v>
      </c>
      <c r="EO690" s="229">
        <f t="shared" si="2123"/>
        <v>153.80000000000001</v>
      </c>
      <c r="EP690" s="228">
        <f t="shared" si="2237"/>
        <v>264.23</v>
      </c>
      <c r="EQ690" s="173">
        <f t="shared" si="2135"/>
        <v>110.43</v>
      </c>
      <c r="ER690" s="189">
        <v>0</v>
      </c>
      <c r="ES690" s="189">
        <v>0</v>
      </c>
      <c r="ET690" s="189">
        <v>0</v>
      </c>
      <c r="EU690" s="189">
        <v>0</v>
      </c>
      <c r="EV690" s="189">
        <v>0</v>
      </c>
      <c r="EW690" s="189">
        <v>0</v>
      </c>
      <c r="EX690" s="189">
        <v>0</v>
      </c>
      <c r="EY690" s="189">
        <v>0</v>
      </c>
      <c r="EZ690" s="189">
        <v>0</v>
      </c>
      <c r="FA690" s="189">
        <v>0</v>
      </c>
      <c r="FB690" s="189">
        <v>0</v>
      </c>
      <c r="FC690" s="189">
        <v>0</v>
      </c>
      <c r="FD690" s="189">
        <v>0</v>
      </c>
      <c r="FE690" s="189">
        <v>0</v>
      </c>
      <c r="FF690" s="189">
        <v>0</v>
      </c>
      <c r="FG690" s="189">
        <v>0</v>
      </c>
      <c r="FH690" s="189">
        <v>0</v>
      </c>
      <c r="FI690" s="189">
        <v>0</v>
      </c>
      <c r="FJ690" s="189">
        <v>0</v>
      </c>
      <c r="FK690" s="189">
        <v>0</v>
      </c>
      <c r="FL690" s="189">
        <v>0</v>
      </c>
      <c r="FN690" s="132">
        <v>110.43</v>
      </c>
    </row>
    <row r="691" spans="1:170" ht="30">
      <c r="A691" s="88">
        <f>COUNTIF($H$12:H691,H691)</f>
        <v>2</v>
      </c>
      <c r="B691" s="88" t="s">
        <v>328</v>
      </c>
      <c r="C691" s="88" t="s">
        <v>1548</v>
      </c>
      <c r="D691" s="88"/>
      <c r="E691" s="88"/>
      <c r="F691" s="301" t="s">
        <v>428</v>
      </c>
      <c r="G691" s="89" t="s">
        <v>3155</v>
      </c>
      <c r="H691" s="88">
        <v>14</v>
      </c>
      <c r="I691" s="88">
        <v>14</v>
      </c>
      <c r="J691" s="88">
        <v>14</v>
      </c>
      <c r="K691" s="90" t="s">
        <v>1615</v>
      </c>
      <c r="L691" s="90" t="s">
        <v>1615</v>
      </c>
      <c r="M691" s="214"/>
      <c r="N691" s="88" t="s">
        <v>1804</v>
      </c>
      <c r="O691" s="216">
        <f>BO691</f>
        <v>3.33</v>
      </c>
      <c r="P691" s="88" t="str">
        <f>IF(BO691&lt;3.33,"B1_3",IF(AND(BO691&gt;=3.33,BO691&lt;4.65),"B1_4",IF(AND(BO691&gt;=4.65,BO691&lt;5.42),"B1_5",IF(AND(BO691&gt;=5.42,BO691&lt;6.44),"B1_6",IF(AND(BO691&gt;=6.44,BO691&lt;=6.92),"B1_7","B1_8")))))</f>
        <v>B1_4</v>
      </c>
      <c r="Q691" s="88">
        <f t="shared" si="2136"/>
        <v>270</v>
      </c>
      <c r="R691" s="88">
        <f t="shared" si="2137"/>
        <v>120</v>
      </c>
      <c r="S691" s="234" t="s">
        <v>421</v>
      </c>
      <c r="T691" s="88" t="s">
        <v>3094</v>
      </c>
      <c r="U691" s="88">
        <f>IF(RIGHT(T691,1)="K",(VLOOKUP(T691,ma_miengiam!$A$3:$B$80,2,0)*100)/2,VLOOKUP(T691,ma_miengiam!$A$3:$B$80,2,0)*100)</f>
        <v>35</v>
      </c>
      <c r="V691" s="88"/>
      <c r="W691" s="220">
        <f>IF(AND(T691="NTS",V691&gt;0),(Q691-(Q691*V691)/12)*VLOOKUP(T691,ma_miengiam!$A$3:$B$80,2,0)+(Q691-(Q691*(12-V691))/12),IF(AND(RIGHT(T691,1)="K",V691&gt;0),(VLOOKUP(T691,ma_miengiam!$A$3:$B$80,2,0)/2)*(Q691*V691)/12,IF(RIGHT(T691,1)="K",(VLOOKUP(T691,ma_miengiam!$A$3:$B$80,2,0)*Q691)/2,IF(V691&gt;0,VLOOKUP(T691,ma_miengiam!$A$3:$B$80,2,0)*Q691*V691/12,VLOOKUP(T691,ma_miengiam!$A$3:$B$80,2,0)*Q691))))</f>
        <v>94.5</v>
      </c>
      <c r="X691" s="220">
        <f>IF(T691="NTS",VLOOKUP(T691,ma_miengiam!$A$3:$B$80,2,0)*R691*V691,IF(AND(T691="NTS",V691=0),0,IF(AND(LEFT(T691,1)="K",V691=0),VLOOKUP(T691,ma_miengiam!$A$3:$B$80,2,0)*R691,IF(LEFT(T691,1)="K",(VLOOKUP(T691,ma_miengiam!$A$3:$B$80,2,0)*R691/12)*V691,IF(AND(LEFT(T691,1)="S",V691&gt;0),(R691/12)*V691,IF(AND(LEFT(T691,1)="S",V691=0),R691,IF(T691="DH",VLOOKUP(T691,ma_miengiam!$A$3:$B$80,2,0)*R691,0)))))))</f>
        <v>0</v>
      </c>
      <c r="Y691" s="220">
        <f>IF(AND(T691="DH",V691&gt;0),(S691*V691/12),IF(AND(T691&lt;&gt;"NTS",V691&gt;0),(Q691*V691/12)-W691,IF(AND(T691="NTS",V691&gt;0),Q691-W691,Q691-W691)))</f>
        <v>175.5</v>
      </c>
      <c r="Z691" s="220">
        <f>IF(AND(T691="SĐH",V691&gt;0),(R691/12)*V691-X691,IF(AND(T691="DH",V691&gt;0),(R691*V691/12),IF(AND(T691&lt;&gt;"NTS",V691&gt;0),(R691*V691/12)-X691,IF(AND(T691="NTS",V691&gt;0),R691-X691,R691-X691))))</f>
        <v>120</v>
      </c>
      <c r="AA691" s="220">
        <f t="shared" ref="AA691:AB693" si="2286">Q691</f>
        <v>270</v>
      </c>
      <c r="AB691" s="220">
        <f t="shared" si="2286"/>
        <v>120</v>
      </c>
      <c r="AC691" s="220">
        <f t="shared" ref="AC691:AF693" si="2287">W691</f>
        <v>94.5</v>
      </c>
      <c r="AD691" s="220">
        <f t="shared" si="2287"/>
        <v>0</v>
      </c>
      <c r="AE691" s="220">
        <f t="shared" si="2287"/>
        <v>175.5</v>
      </c>
      <c r="AF691" s="220">
        <f t="shared" si="2287"/>
        <v>120</v>
      </c>
      <c r="AG691" s="220">
        <f>AH691+AI691</f>
        <v>203.8</v>
      </c>
      <c r="AH691" s="220">
        <f>EO691</f>
        <v>53.8</v>
      </c>
      <c r="AI691" s="220">
        <f>EN691</f>
        <v>150</v>
      </c>
      <c r="AJ691" s="220">
        <f>IF(AG691-Z691&gt;0,0,AG691-Z691)</f>
        <v>0</v>
      </c>
      <c r="AK691" s="216">
        <f>IF(AJ691&gt;=0,Y691,Y691-AJ691)</f>
        <v>175.5</v>
      </c>
      <c r="AL691" s="220">
        <f>SUM(CP691:CX691)+SUM(DC691:DK691)</f>
        <v>64.5</v>
      </c>
      <c r="AM691" s="220">
        <f>SUM(DQ691:DU691)+SUM(DY691:EC691)</f>
        <v>0</v>
      </c>
      <c r="AN691" s="221">
        <f>AM691+AL691</f>
        <v>64.5</v>
      </c>
      <c r="AO691" s="220">
        <f>CY691+DL691</f>
        <v>0</v>
      </c>
      <c r="AP691" s="220">
        <f>CZ691+DM691</f>
        <v>0</v>
      </c>
      <c r="AQ691" s="220">
        <f>DA691+DN691</f>
        <v>0</v>
      </c>
      <c r="AR691" s="220">
        <f>DV691+ED691</f>
        <v>0</v>
      </c>
      <c r="AS691" s="220">
        <f>DW691+EE691</f>
        <v>0</v>
      </c>
      <c r="AT691" s="216">
        <f>AN691+SUM(AO691:AS691)</f>
        <v>64.5</v>
      </c>
      <c r="AU691" s="222">
        <f>AN691-AK691</f>
        <v>-111</v>
      </c>
      <c r="AV691" s="220"/>
      <c r="AW691" s="220">
        <f>IF(AU691&gt;0,AU691,AV691+AU691)</f>
        <v>-111</v>
      </c>
      <c r="AX691" s="216">
        <f t="shared" si="2234"/>
        <v>-111</v>
      </c>
      <c r="AY691" s="220">
        <f>IF(AN691&gt;=AK691,AO691,IF(AN691+AO691-AK691&gt;=0,AN691+AO691-AK691,0))</f>
        <v>0</v>
      </c>
      <c r="AZ691" s="220">
        <f>IF(OR(AN691&gt;=AK691,AN691+AO691&gt;=AK691),AP691,IF(AN691+AO691+AP691&gt;AK691,AN691+AO691+AP691-AK691,0))</f>
        <v>0</v>
      </c>
      <c r="BA691" s="220">
        <f>IF(OR(AN691&gt;=AK691,AN691+AO691&gt;=AK691,AN691+AO691+AP691&gt;=AK691),AQ691,IF(AN691+AO691+AP691+AQ691&gt;=AK691,AN691+AO691+AP691+AQ691-AK691,0))</f>
        <v>0</v>
      </c>
      <c r="BB691" s="220">
        <f>IF(OR(AN691&gt;=AK691,AN691+AO691&gt;=AK691,AN691+AO691+AP691&gt;=AK691,AN691+AO691+AP691+AQ691&gt;=AK691),AR691,IF(AN691+AO691+AP691+AQ691+AR691&gt;=AK691,AN691+AO691+AP691+AQ691+AR691-AK691,0))</f>
        <v>0</v>
      </c>
      <c r="BC691" s="220">
        <f>IF(OR(AN691&gt;=AK691,AN691+AO691&gt;=AK691,AN691+AO691+AP691&gt;=AK691,AN691+AO691+AP691+AQ691&gt;=AK691,AN691+AO691+AP691+AQ691+AR691&gt;=AK691),AS691,IF(AN691+AO691+AP691+AQ691+AR691+AS691&gt;=AK691,AN691+AO691+AP691+AQ691+AR691+AS691-AK691,0))</f>
        <v>0</v>
      </c>
      <c r="BD691" s="216">
        <f t="shared" si="2197"/>
        <v>0</v>
      </c>
      <c r="BE691" s="220">
        <f>AY691-AO691</f>
        <v>0</v>
      </c>
      <c r="BF691" s="220">
        <f>AZ691-AP691</f>
        <v>0</v>
      </c>
      <c r="BG691" s="220">
        <f>BA691-AQ691</f>
        <v>0</v>
      </c>
      <c r="BH691" s="220">
        <f>BB691-AR691</f>
        <v>0</v>
      </c>
      <c r="BI691" s="220">
        <f>BC691-AS691</f>
        <v>0</v>
      </c>
      <c r="BJ691" s="220" t="s">
        <v>1172</v>
      </c>
      <c r="BK691" s="220"/>
      <c r="BL691" s="223">
        <f t="shared" si="2210"/>
        <v>0</v>
      </c>
      <c r="BM691" s="220">
        <v>3.33</v>
      </c>
      <c r="BN691" s="220"/>
      <c r="BO691" s="220">
        <f>ROUND(BM691+(BM691*BN691),2)</f>
        <v>3.33</v>
      </c>
      <c r="BP691" s="220">
        <f>IF(AND(BL691&gt;0,BL691&lt;tiet!$D$1),BL691,IF(BL691&lt;=0,0,IF(BL691&gt;tiet!$C$1,tiet!$C$1)))</f>
        <v>0</v>
      </c>
      <c r="BQ691" s="87">
        <f t="shared" si="2278"/>
        <v>65000</v>
      </c>
      <c r="BR691" s="224">
        <f t="shared" si="2268"/>
        <v>0</v>
      </c>
      <c r="BS691" s="220">
        <f t="shared" si="2134"/>
        <v>0</v>
      </c>
      <c r="BT691" s="224">
        <f>VLOOKUP(N691,ma_dinhmuc!$A$1:$J$31,10,0)</f>
        <v>51000</v>
      </c>
      <c r="BU691" s="224">
        <f>ROUND(IF(BS691&gt;0,VLOOKUP(N691,ma_dinhmuc!$A$1:$J$31,10,0)*BS691,0),0)</f>
        <v>0</v>
      </c>
      <c r="BV691" s="224">
        <f t="shared" si="2269"/>
        <v>0</v>
      </c>
      <c r="BW691" s="224"/>
      <c r="BX691" s="224">
        <v>0</v>
      </c>
      <c r="BY691" s="224"/>
      <c r="BZ691" s="224"/>
      <c r="CA691" s="224"/>
      <c r="CB691" s="224"/>
      <c r="CC691" s="225">
        <f>ROUND(IF(BV691+BW691&gt;BX691+BY691+BZ691+CA691+CB691,(BW691+BV691)-(BX691+BY691+BZ691+CA691+CB691+CB691),0),0)</f>
        <v>0</v>
      </c>
      <c r="CD691" s="224">
        <f>ROUND(IF(BV691+BW691&lt;BX691+BY691+BZ691+CA691-CB691,(BX691+BY691+BZ691+CA691-CB691)-(BW691+BV691),0),0)</f>
        <v>0</v>
      </c>
      <c r="CE691" s="224"/>
      <c r="CF691" s="226"/>
      <c r="CG691" s="87"/>
      <c r="CH691" s="87">
        <f t="shared" si="2274"/>
        <v>2</v>
      </c>
      <c r="CI691" s="227" t="str">
        <f t="shared" ref="CI691:CJ694" si="2288">F691</f>
        <v>Trần Ánh</v>
      </c>
      <c r="CJ691" s="227" t="str">
        <f t="shared" si="2288"/>
        <v>Tuyết</v>
      </c>
      <c r="CK691" s="87">
        <f>H691</f>
        <v>14</v>
      </c>
      <c r="CL691" s="227" t="str">
        <f>L691</f>
        <v>Nuôi trồng thuỷ sản</v>
      </c>
      <c r="CM691" s="87" t="str">
        <f>N691</f>
        <v>CS2</v>
      </c>
      <c r="CN691" s="87">
        <f>Q691</f>
        <v>270</v>
      </c>
      <c r="CO691" s="87">
        <f>R691</f>
        <v>120</v>
      </c>
      <c r="CP691" s="229">
        <f t="shared" si="2142"/>
        <v>0</v>
      </c>
      <c r="CQ691" s="229">
        <f t="shared" si="2143"/>
        <v>3.2</v>
      </c>
      <c r="CR691" s="229">
        <f t="shared" si="2144"/>
        <v>1.3</v>
      </c>
      <c r="CS691" s="229">
        <f t="shared" si="2145"/>
        <v>0</v>
      </c>
      <c r="CT691" s="229">
        <f t="shared" si="2146"/>
        <v>0</v>
      </c>
      <c r="CU691" s="229">
        <f t="shared" si="2147"/>
        <v>44</v>
      </c>
      <c r="CV691" s="229">
        <f t="shared" si="2148"/>
        <v>0</v>
      </c>
      <c r="CW691" s="229">
        <f t="shared" si="2149"/>
        <v>16</v>
      </c>
      <c r="CX691" s="229">
        <f t="shared" si="2150"/>
        <v>0</v>
      </c>
      <c r="CY691" s="229">
        <f t="shared" si="2151"/>
        <v>0</v>
      </c>
      <c r="CZ691" s="229">
        <f t="shared" si="2152"/>
        <v>0</v>
      </c>
      <c r="DA691" s="229">
        <f t="shared" si="2153"/>
        <v>0</v>
      </c>
      <c r="DB691" s="228">
        <f>SUM(CP691:DA691)</f>
        <v>64.5</v>
      </c>
      <c r="DC691" s="229"/>
      <c r="DD691" s="229"/>
      <c r="DE691" s="229"/>
      <c r="DF691" s="229"/>
      <c r="DG691" s="229"/>
      <c r="DH691" s="229"/>
      <c r="DI691" s="229"/>
      <c r="DJ691" s="229"/>
      <c r="DK691" s="229"/>
      <c r="DL691" s="229"/>
      <c r="DM691" s="229"/>
      <c r="DN691" s="229"/>
      <c r="DO691" s="228">
        <f>SUM(DC691:DN691)</f>
        <v>0</v>
      </c>
      <c r="DP691" s="228">
        <f>DO691+DB691</f>
        <v>64.5</v>
      </c>
      <c r="DQ691" s="229">
        <f t="shared" si="2154"/>
        <v>0</v>
      </c>
      <c r="DR691" s="229">
        <f t="shared" si="2155"/>
        <v>0</v>
      </c>
      <c r="DS691" s="229">
        <f t="shared" si="2156"/>
        <v>0</v>
      </c>
      <c r="DT691" s="229">
        <f t="shared" si="2157"/>
        <v>0</v>
      </c>
      <c r="DU691" s="229">
        <f t="shared" si="2158"/>
        <v>0</v>
      </c>
      <c r="DV691" s="229">
        <f t="shared" si="2159"/>
        <v>0</v>
      </c>
      <c r="DW691" s="229">
        <f t="shared" si="2160"/>
        <v>0</v>
      </c>
      <c r="DX691" s="228">
        <f>SUM(DQ691:DW691)</f>
        <v>0</v>
      </c>
      <c r="DY691" s="229"/>
      <c r="DZ691" s="229"/>
      <c r="EA691" s="229"/>
      <c r="EB691" s="229"/>
      <c r="EC691" s="229"/>
      <c r="ED691" s="229"/>
      <c r="EE691" s="229"/>
      <c r="EF691" s="228">
        <f t="shared" si="2138"/>
        <v>0</v>
      </c>
      <c r="EG691" s="228">
        <f>EF691+DX691</f>
        <v>0</v>
      </c>
      <c r="EH691" s="229">
        <f t="shared" si="2139"/>
        <v>150</v>
      </c>
      <c r="EI691" s="229">
        <v>53.8</v>
      </c>
      <c r="EJ691" s="228">
        <f t="shared" si="2256"/>
        <v>203.8</v>
      </c>
      <c r="EK691" s="229"/>
      <c r="EL691" s="229"/>
      <c r="EM691" s="228">
        <f>SUM(EK691:EL691)</f>
        <v>0</v>
      </c>
      <c r="EN691" s="229">
        <f>EK691+EH691+EL691</f>
        <v>150</v>
      </c>
      <c r="EO691" s="229">
        <f>EI691</f>
        <v>53.8</v>
      </c>
      <c r="EP691" s="228">
        <f t="shared" si="2237"/>
        <v>203.8</v>
      </c>
      <c r="EQ691" s="173">
        <f t="shared" si="2135"/>
        <v>30</v>
      </c>
      <c r="ER691" s="189">
        <v>0</v>
      </c>
      <c r="ES691" s="189">
        <v>3.2</v>
      </c>
      <c r="ET691" s="189">
        <v>1.3</v>
      </c>
      <c r="EU691" s="189">
        <v>0</v>
      </c>
      <c r="EV691" s="189">
        <v>0</v>
      </c>
      <c r="EW691" s="189">
        <v>44</v>
      </c>
      <c r="EX691" s="189">
        <v>0</v>
      </c>
      <c r="EY691" s="189">
        <v>16</v>
      </c>
      <c r="EZ691" s="189">
        <v>0</v>
      </c>
      <c r="FA691" s="189">
        <v>0</v>
      </c>
      <c r="FB691" s="189">
        <v>0</v>
      </c>
      <c r="FC691" s="189">
        <v>0</v>
      </c>
      <c r="FD691" s="189">
        <v>0</v>
      </c>
      <c r="FE691" s="189">
        <v>0</v>
      </c>
      <c r="FF691" s="189">
        <v>0</v>
      </c>
      <c r="FG691" s="189">
        <v>0</v>
      </c>
      <c r="FH691" s="189">
        <v>0</v>
      </c>
      <c r="FI691" s="189">
        <v>0</v>
      </c>
      <c r="FJ691" s="189">
        <v>0</v>
      </c>
      <c r="FK691" s="189">
        <v>64.5</v>
      </c>
      <c r="FL691" s="189">
        <v>64</v>
      </c>
      <c r="FN691" s="132">
        <v>150</v>
      </c>
    </row>
    <row r="692" spans="1:170" ht="30" customHeight="1">
      <c r="A692" s="88">
        <f>COUNTIF($H$12:H692,H692)</f>
        <v>3</v>
      </c>
      <c r="B692" s="88" t="s">
        <v>329</v>
      </c>
      <c r="C692" s="88" t="s">
        <v>1549</v>
      </c>
      <c r="D692" s="88"/>
      <c r="E692" s="88"/>
      <c r="F692" s="301" t="s">
        <v>3156</v>
      </c>
      <c r="G692" s="89" t="s">
        <v>35</v>
      </c>
      <c r="H692" s="88">
        <v>14</v>
      </c>
      <c r="I692" s="88">
        <v>14</v>
      </c>
      <c r="J692" s="88">
        <v>14</v>
      </c>
      <c r="K692" s="90" t="s">
        <v>1615</v>
      </c>
      <c r="L692" s="90" t="s">
        <v>1615</v>
      </c>
      <c r="M692" s="214"/>
      <c r="N692" s="88" t="s">
        <v>1804</v>
      </c>
      <c r="O692" s="216">
        <f t="shared" si="2270"/>
        <v>3.66</v>
      </c>
      <c r="P692" s="88" t="str">
        <f t="shared" si="2279"/>
        <v>B1_4</v>
      </c>
      <c r="Q692" s="88">
        <f t="shared" si="2136"/>
        <v>270</v>
      </c>
      <c r="R692" s="88">
        <f t="shared" si="2137"/>
        <v>120</v>
      </c>
      <c r="S692" s="218"/>
      <c r="T692" s="88" t="s">
        <v>3088</v>
      </c>
      <c r="U692" s="88">
        <f>IF(RIGHT(T692,1)="K",(VLOOKUP(T692,ma_miengiam!$A$3:$B$80,2,0)*100)/2,VLOOKUP(T692,ma_miengiam!$A$3:$B$80,2,0)*100)</f>
        <v>0</v>
      </c>
      <c r="V692" s="88"/>
      <c r="W692" s="220">
        <f>IF(AND(T692="NTS",V692&gt;0),(Q692-(Q692*V692)/12)*VLOOKUP(T692,ma_miengiam!$A$3:$B$80,2,0)+(Q692-(Q692*(12-V692))/12),IF(AND(RIGHT(T692,1)="K",V692&gt;0),(VLOOKUP(T692,ma_miengiam!$A$3:$B$80,2,0)/2)*(Q692*V692)/12,IF(RIGHT(T692,1)="K",(VLOOKUP(T692,ma_miengiam!$A$3:$B$80,2,0)*Q692)/2,IF(V692&gt;0,VLOOKUP(T692,ma_miengiam!$A$3:$B$80,2,0)*Q692*V692/12,VLOOKUP(T692,ma_miengiam!$A$3:$B$80,2,0)*Q692))))</f>
        <v>0</v>
      </c>
      <c r="X692" s="220">
        <f>IF(T692="NTS",VLOOKUP(T692,ma_miengiam!$A$3:$B$80,2,0)*R692*V692,IF(AND(T692="NTS",V692=0),0,IF(AND(LEFT(T692,1)="K",V692=0),VLOOKUP(T692,ma_miengiam!$A$3:$B$80,2,0)*R692,IF(LEFT(T692,1)="K",(VLOOKUP(T692,ma_miengiam!$A$3:$B$80,2,0)*R692/12)*V692,IF(AND(LEFT(T692,1)="S",V692&gt;0),(R692/12)*V692,IF(AND(LEFT(T692,1)="S",V692=0),R692,IF(T692="DH",VLOOKUP(T692,ma_miengiam!$A$3:$B$80,2,0)*R692,0)))))))</f>
        <v>0</v>
      </c>
      <c r="Y692" s="220">
        <f t="shared" si="2257"/>
        <v>270</v>
      </c>
      <c r="Z692" s="220">
        <f t="shared" si="2258"/>
        <v>120</v>
      </c>
      <c r="AA692" s="220">
        <f t="shared" si="2286"/>
        <v>270</v>
      </c>
      <c r="AB692" s="220">
        <f t="shared" si="2286"/>
        <v>120</v>
      </c>
      <c r="AC692" s="220">
        <f t="shared" si="2287"/>
        <v>0</v>
      </c>
      <c r="AD692" s="220">
        <f t="shared" si="2287"/>
        <v>0</v>
      </c>
      <c r="AE692" s="220">
        <f t="shared" si="2287"/>
        <v>270</v>
      </c>
      <c r="AF692" s="220">
        <f t="shared" si="2287"/>
        <v>120</v>
      </c>
      <c r="AG692" s="220">
        <f>AH692+AI692</f>
        <v>64.56</v>
      </c>
      <c r="AH692" s="220">
        <f>EO692</f>
        <v>64.56</v>
      </c>
      <c r="AI692" s="220">
        <f>EN692</f>
        <v>0</v>
      </c>
      <c r="AJ692" s="220">
        <f>IF(AG692-Z692&gt;0,0,AG692-Z692)</f>
        <v>-55.44</v>
      </c>
      <c r="AK692" s="216">
        <f t="shared" si="2254"/>
        <v>325.44</v>
      </c>
      <c r="AL692" s="220">
        <f t="shared" si="2238"/>
        <v>142.69999999999999</v>
      </c>
      <c r="AM692" s="220">
        <f t="shared" si="2239"/>
        <v>0</v>
      </c>
      <c r="AN692" s="221">
        <f t="shared" si="2240"/>
        <v>142.69999999999999</v>
      </c>
      <c r="AO692" s="220">
        <f t="shared" si="2241"/>
        <v>0</v>
      </c>
      <c r="AP692" s="220">
        <f t="shared" si="2242"/>
        <v>0</v>
      </c>
      <c r="AQ692" s="220">
        <f t="shared" si="2243"/>
        <v>0</v>
      </c>
      <c r="AR692" s="220">
        <f t="shared" si="2244"/>
        <v>0</v>
      </c>
      <c r="AS692" s="220">
        <f t="shared" si="2245"/>
        <v>0</v>
      </c>
      <c r="AT692" s="216">
        <f t="shared" si="2246"/>
        <v>142.69999999999999</v>
      </c>
      <c r="AU692" s="222">
        <f t="shared" si="2122"/>
        <v>-182.74</v>
      </c>
      <c r="AV692" s="220"/>
      <c r="AW692" s="220">
        <f t="shared" si="2174"/>
        <v>-182.74</v>
      </c>
      <c r="AX692" s="216">
        <f t="shared" si="2234"/>
        <v>-182.74</v>
      </c>
      <c r="AY692" s="220">
        <f t="shared" si="2182"/>
        <v>0</v>
      </c>
      <c r="AZ692" s="220">
        <f t="shared" si="2183"/>
        <v>0</v>
      </c>
      <c r="BA692" s="220">
        <f t="shared" si="2184"/>
        <v>0</v>
      </c>
      <c r="BB692" s="220">
        <f t="shared" si="2185"/>
        <v>0</v>
      </c>
      <c r="BC692" s="220">
        <f t="shared" si="2186"/>
        <v>0</v>
      </c>
      <c r="BD692" s="216">
        <f t="shared" si="2197"/>
        <v>0</v>
      </c>
      <c r="BE692" s="220">
        <f t="shared" si="2175"/>
        <v>0</v>
      </c>
      <c r="BF692" s="220">
        <f t="shared" si="2176"/>
        <v>0</v>
      </c>
      <c r="BG692" s="220">
        <f t="shared" si="2177"/>
        <v>0</v>
      </c>
      <c r="BH692" s="220">
        <f t="shared" si="2178"/>
        <v>0</v>
      </c>
      <c r="BI692" s="220">
        <f t="shared" si="2179"/>
        <v>0</v>
      </c>
      <c r="BJ692" s="220" t="s">
        <v>1172</v>
      </c>
      <c r="BK692" s="220"/>
      <c r="BL692" s="223">
        <f t="shared" si="2210"/>
        <v>0</v>
      </c>
      <c r="BM692" s="220">
        <v>3.66</v>
      </c>
      <c r="BN692" s="220"/>
      <c r="BO692" s="220">
        <f t="shared" si="2267"/>
        <v>3.66</v>
      </c>
      <c r="BP692" s="220">
        <f>IF(AND(BL692&gt;0,BL692&lt;tiet!$D$1),BL692,IF(BL692&lt;=0,0,IF(BL692&gt;tiet!$C$1,tiet!$C$1)))</f>
        <v>0</v>
      </c>
      <c r="BQ692" s="87">
        <f t="shared" si="2278"/>
        <v>65000</v>
      </c>
      <c r="BR692" s="224">
        <f t="shared" si="2268"/>
        <v>0</v>
      </c>
      <c r="BS692" s="220">
        <f t="shared" si="2134"/>
        <v>0</v>
      </c>
      <c r="BT692" s="224">
        <f>VLOOKUP(N692,ma_dinhmuc!$A$1:$J$31,10,0)</f>
        <v>51000</v>
      </c>
      <c r="BU692" s="224">
        <f>ROUND(IF(BS692&gt;0,VLOOKUP(N692,ma_dinhmuc!$A$1:$J$31,10,0)*BS692,0),0)</f>
        <v>0</v>
      </c>
      <c r="BV692" s="224">
        <f t="shared" si="2269"/>
        <v>0</v>
      </c>
      <c r="BW692" s="224"/>
      <c r="BX692" s="224">
        <v>0</v>
      </c>
      <c r="BY692" s="224"/>
      <c r="BZ692" s="224"/>
      <c r="CA692" s="224"/>
      <c r="CB692" s="224"/>
      <c r="CC692" s="225">
        <f t="shared" si="2112"/>
        <v>0</v>
      </c>
      <c r="CD692" s="224">
        <f t="shared" si="2113"/>
        <v>0</v>
      </c>
      <c r="CE692" s="224"/>
      <c r="CF692" s="226"/>
      <c r="CG692" s="87"/>
      <c r="CH692" s="87">
        <f t="shared" si="2274"/>
        <v>3</v>
      </c>
      <c r="CI692" s="227" t="str">
        <f t="shared" si="2288"/>
        <v>Lê Thị Hoàng</v>
      </c>
      <c r="CJ692" s="227" t="str">
        <f t="shared" si="2288"/>
        <v>Hằng</v>
      </c>
      <c r="CK692" s="87">
        <f t="shared" ref="CK692:CK702" si="2289">H692</f>
        <v>14</v>
      </c>
      <c r="CL692" s="227" t="str">
        <f t="shared" si="2273"/>
        <v>Nuôi trồng thuỷ sản</v>
      </c>
      <c r="CM692" s="87" t="str">
        <f t="shared" si="2180"/>
        <v>CS2</v>
      </c>
      <c r="CN692" s="87">
        <f t="shared" ref="CN692:CO694" si="2290">Q692</f>
        <v>270</v>
      </c>
      <c r="CO692" s="87">
        <f t="shared" si="2290"/>
        <v>120</v>
      </c>
      <c r="CP692" s="229">
        <f t="shared" si="2142"/>
        <v>0</v>
      </c>
      <c r="CQ692" s="229">
        <f t="shared" si="2143"/>
        <v>13.4</v>
      </c>
      <c r="CR692" s="229">
        <f t="shared" si="2144"/>
        <v>5.3</v>
      </c>
      <c r="CS692" s="229">
        <f t="shared" si="2145"/>
        <v>0</v>
      </c>
      <c r="CT692" s="229">
        <f t="shared" si="2146"/>
        <v>0</v>
      </c>
      <c r="CU692" s="229">
        <f t="shared" si="2147"/>
        <v>104</v>
      </c>
      <c r="CV692" s="229">
        <f t="shared" si="2148"/>
        <v>0</v>
      </c>
      <c r="CW692" s="229">
        <f t="shared" si="2149"/>
        <v>20</v>
      </c>
      <c r="CX692" s="229">
        <f t="shared" si="2150"/>
        <v>0</v>
      </c>
      <c r="CY692" s="229">
        <f t="shared" si="2151"/>
        <v>0</v>
      </c>
      <c r="CZ692" s="229">
        <f t="shared" si="2152"/>
        <v>0</v>
      </c>
      <c r="DA692" s="229">
        <f t="shared" si="2153"/>
        <v>0</v>
      </c>
      <c r="DB692" s="228">
        <f t="shared" si="2235"/>
        <v>142.69999999999999</v>
      </c>
      <c r="DC692" s="229"/>
      <c r="DD692" s="229"/>
      <c r="DE692" s="229"/>
      <c r="DF692" s="229"/>
      <c r="DG692" s="229"/>
      <c r="DH692" s="229"/>
      <c r="DI692" s="229"/>
      <c r="DJ692" s="229"/>
      <c r="DK692" s="229"/>
      <c r="DL692" s="229"/>
      <c r="DM692" s="229"/>
      <c r="DN692" s="229"/>
      <c r="DO692" s="228">
        <f t="shared" si="2247"/>
        <v>0</v>
      </c>
      <c r="DP692" s="228">
        <f t="shared" si="2248"/>
        <v>142.69999999999999</v>
      </c>
      <c r="DQ692" s="229">
        <f t="shared" si="2154"/>
        <v>0</v>
      </c>
      <c r="DR692" s="229">
        <f t="shared" si="2155"/>
        <v>0</v>
      </c>
      <c r="DS692" s="229">
        <f t="shared" si="2156"/>
        <v>0</v>
      </c>
      <c r="DT692" s="229">
        <f t="shared" si="2157"/>
        <v>0</v>
      </c>
      <c r="DU692" s="229">
        <f t="shared" si="2158"/>
        <v>0</v>
      </c>
      <c r="DV692" s="229">
        <f t="shared" si="2159"/>
        <v>0</v>
      </c>
      <c r="DW692" s="229">
        <f t="shared" si="2160"/>
        <v>0</v>
      </c>
      <c r="DX692" s="228">
        <f t="shared" si="2236"/>
        <v>0</v>
      </c>
      <c r="DY692" s="229"/>
      <c r="DZ692" s="229"/>
      <c r="EA692" s="229"/>
      <c r="EB692" s="229"/>
      <c r="EC692" s="229"/>
      <c r="ED692" s="229"/>
      <c r="EE692" s="229"/>
      <c r="EF692" s="228">
        <f t="shared" si="2138"/>
        <v>0</v>
      </c>
      <c r="EG692" s="228">
        <f t="shared" si="2249"/>
        <v>0</v>
      </c>
      <c r="EH692" s="229">
        <f t="shared" si="2139"/>
        <v>0</v>
      </c>
      <c r="EI692" s="229">
        <v>64.56</v>
      </c>
      <c r="EJ692" s="228">
        <f t="shared" si="2256"/>
        <v>64.56</v>
      </c>
      <c r="EK692" s="229"/>
      <c r="EL692" s="229"/>
      <c r="EM692" s="228">
        <f t="shared" si="2285"/>
        <v>0</v>
      </c>
      <c r="EN692" s="229">
        <f t="shared" si="2220"/>
        <v>0</v>
      </c>
      <c r="EO692" s="229">
        <f t="shared" si="2123"/>
        <v>64.56</v>
      </c>
      <c r="EP692" s="228">
        <f t="shared" si="2237"/>
        <v>64.56</v>
      </c>
      <c r="EQ692" s="173">
        <f t="shared" si="2135"/>
        <v>0</v>
      </c>
      <c r="ER692" s="189">
        <v>0</v>
      </c>
      <c r="ES692" s="189">
        <v>13.4</v>
      </c>
      <c r="ET692" s="189">
        <v>5.3</v>
      </c>
      <c r="EU692" s="189">
        <v>0</v>
      </c>
      <c r="EV692" s="189">
        <v>0</v>
      </c>
      <c r="EW692" s="189">
        <v>104</v>
      </c>
      <c r="EX692" s="189">
        <v>0</v>
      </c>
      <c r="EY692" s="189">
        <v>20</v>
      </c>
      <c r="EZ692" s="189">
        <v>0</v>
      </c>
      <c r="FA692" s="189">
        <v>0</v>
      </c>
      <c r="FB692" s="189">
        <v>0</v>
      </c>
      <c r="FC692" s="189">
        <v>0</v>
      </c>
      <c r="FD692" s="189">
        <v>0</v>
      </c>
      <c r="FE692" s="189">
        <v>0</v>
      </c>
      <c r="FF692" s="189">
        <v>0</v>
      </c>
      <c r="FG692" s="189">
        <v>0</v>
      </c>
      <c r="FH692" s="189">
        <v>0</v>
      </c>
      <c r="FI692" s="189">
        <v>0</v>
      </c>
      <c r="FJ692" s="189">
        <v>0</v>
      </c>
      <c r="FK692" s="189">
        <v>142.69999999999999</v>
      </c>
      <c r="FL692" s="189">
        <v>128</v>
      </c>
      <c r="FN692" s="132">
        <v>0</v>
      </c>
    </row>
    <row r="693" spans="1:170" ht="28.5" customHeight="1">
      <c r="A693" s="88">
        <f>COUNTIF($H$12:H693,H693)</f>
        <v>4</v>
      </c>
      <c r="B693" s="88" t="s">
        <v>330</v>
      </c>
      <c r="C693" s="88" t="s">
        <v>1550</v>
      </c>
      <c r="D693" s="88"/>
      <c r="E693" s="88"/>
      <c r="F693" s="301" t="s">
        <v>1877</v>
      </c>
      <c r="G693" s="89" t="s">
        <v>2082</v>
      </c>
      <c r="H693" s="88">
        <v>14</v>
      </c>
      <c r="I693" s="88">
        <v>14</v>
      </c>
      <c r="J693" s="88">
        <v>14</v>
      </c>
      <c r="K693" s="90" t="s">
        <v>1615</v>
      </c>
      <c r="L693" s="90" t="s">
        <v>1615</v>
      </c>
      <c r="M693" s="214"/>
      <c r="N693" s="88" t="s">
        <v>1804</v>
      </c>
      <c r="O693" s="216">
        <f>BO693</f>
        <v>3.99</v>
      </c>
      <c r="P693" s="88" t="str">
        <f t="shared" si="2279"/>
        <v>B1_4</v>
      </c>
      <c r="Q693" s="88">
        <f t="shared" si="2136"/>
        <v>270</v>
      </c>
      <c r="R693" s="88">
        <f t="shared" si="2137"/>
        <v>120</v>
      </c>
      <c r="S693" s="218"/>
      <c r="T693" s="88" t="s">
        <v>3088</v>
      </c>
      <c r="U693" s="88">
        <f>IF(RIGHT(T693,1)="K",(VLOOKUP(T693,ma_miengiam!$A$3:$B$80,2,0)*100)/2,VLOOKUP(T693,ma_miengiam!$A$3:$B$80,2,0)*100)</f>
        <v>0</v>
      </c>
      <c r="V693" s="88"/>
      <c r="W693" s="220">
        <f>IF(AND(T693="NTS",V693&gt;0),(Q693-(Q693*V693)/12)*VLOOKUP(T693,ma_miengiam!$A$3:$B$80,2,0)+(Q693-(Q693*(12-V693))/12),IF(AND(RIGHT(T693,1)="K",V693&gt;0),(VLOOKUP(T693,ma_miengiam!$A$3:$B$80,2,0)/2)*(Q693*V693)/12,IF(RIGHT(T693,1)="K",(VLOOKUP(T693,ma_miengiam!$A$3:$B$80,2,0)*Q693)/2,IF(V693&gt;0,VLOOKUP(T693,ma_miengiam!$A$3:$B$80,2,0)*Q693*V693/12,VLOOKUP(T693,ma_miengiam!$A$3:$B$80,2,0)*Q693))))</f>
        <v>0</v>
      </c>
      <c r="X693" s="220">
        <f>IF(T693="NTS",VLOOKUP(T693,ma_miengiam!$A$3:$B$80,2,0)*R693*V693,IF(AND(T693="NTS",V693=0),0,IF(AND(LEFT(T693,1)="K",V693=0),VLOOKUP(T693,ma_miengiam!$A$3:$B$80,2,0)*R693,IF(LEFT(T693,1)="K",(VLOOKUP(T693,ma_miengiam!$A$3:$B$80,2,0)*R693/12)*V693,IF(AND(LEFT(T693,1)="S",V693&gt;0),(R693/12)*V693,IF(AND(LEFT(T693,1)="S",V693=0),R693,IF(T693="DH",VLOOKUP(T693,ma_miengiam!$A$3:$B$80,2,0)*R693,0)))))))</f>
        <v>0</v>
      </c>
      <c r="Y693" s="220">
        <f t="shared" si="2257"/>
        <v>270</v>
      </c>
      <c r="Z693" s="220">
        <f t="shared" si="2258"/>
        <v>120</v>
      </c>
      <c r="AA693" s="220">
        <f t="shared" si="2286"/>
        <v>270</v>
      </c>
      <c r="AB693" s="220">
        <f t="shared" si="2286"/>
        <v>120</v>
      </c>
      <c r="AC693" s="220">
        <f t="shared" si="2287"/>
        <v>0</v>
      </c>
      <c r="AD693" s="220">
        <f t="shared" si="2287"/>
        <v>0</v>
      </c>
      <c r="AE693" s="220">
        <f t="shared" si="2287"/>
        <v>270</v>
      </c>
      <c r="AF693" s="220">
        <f t="shared" si="2287"/>
        <v>120</v>
      </c>
      <c r="AG693" s="220">
        <f>AH693+AI693</f>
        <v>299.94</v>
      </c>
      <c r="AH693" s="220">
        <f>EO693</f>
        <v>211.61</v>
      </c>
      <c r="AI693" s="220">
        <f>EN693</f>
        <v>88.33</v>
      </c>
      <c r="AJ693" s="220">
        <f>IF(AG693-Z693&gt;0,0,AG693-Z693)</f>
        <v>0</v>
      </c>
      <c r="AK693" s="216">
        <f t="shared" si="2254"/>
        <v>270</v>
      </c>
      <c r="AL693" s="220">
        <f t="shared" si="2238"/>
        <v>60.9</v>
      </c>
      <c r="AM693" s="220">
        <f t="shared" si="2239"/>
        <v>120.4</v>
      </c>
      <c r="AN693" s="221">
        <f t="shared" si="2240"/>
        <v>181.3</v>
      </c>
      <c r="AO693" s="220">
        <f t="shared" si="2241"/>
        <v>0</v>
      </c>
      <c r="AP693" s="220">
        <f t="shared" si="2242"/>
        <v>0</v>
      </c>
      <c r="AQ693" s="220">
        <f t="shared" si="2243"/>
        <v>0</v>
      </c>
      <c r="AR693" s="220">
        <f t="shared" si="2244"/>
        <v>0</v>
      </c>
      <c r="AS693" s="220">
        <f t="shared" si="2245"/>
        <v>0</v>
      </c>
      <c r="AT693" s="216">
        <f t="shared" si="2246"/>
        <v>181.3</v>
      </c>
      <c r="AU693" s="222">
        <f t="shared" si="2122"/>
        <v>-88.699999999999989</v>
      </c>
      <c r="AV693" s="220"/>
      <c r="AW693" s="220">
        <f t="shared" si="2174"/>
        <v>-88.699999999999989</v>
      </c>
      <c r="AX693" s="216">
        <f t="shared" si="2234"/>
        <v>-88.699999999999989</v>
      </c>
      <c r="AY693" s="220">
        <f t="shared" si="2182"/>
        <v>0</v>
      </c>
      <c r="AZ693" s="220">
        <f t="shared" si="2183"/>
        <v>0</v>
      </c>
      <c r="BA693" s="220">
        <f t="shared" si="2184"/>
        <v>0</v>
      </c>
      <c r="BB693" s="220">
        <f t="shared" si="2185"/>
        <v>0</v>
      </c>
      <c r="BC693" s="220">
        <f t="shared" si="2186"/>
        <v>0</v>
      </c>
      <c r="BD693" s="216">
        <f t="shared" si="2197"/>
        <v>0</v>
      </c>
      <c r="BE693" s="220">
        <f t="shared" si="2175"/>
        <v>0</v>
      </c>
      <c r="BF693" s="220">
        <f t="shared" si="2176"/>
        <v>0</v>
      </c>
      <c r="BG693" s="220">
        <f t="shared" si="2177"/>
        <v>0</v>
      </c>
      <c r="BH693" s="220">
        <f t="shared" si="2178"/>
        <v>0</v>
      </c>
      <c r="BI693" s="220">
        <f t="shared" si="2179"/>
        <v>0</v>
      </c>
      <c r="BJ693" s="220" t="s">
        <v>1172</v>
      </c>
      <c r="BK693" s="220"/>
      <c r="BL693" s="223">
        <f t="shared" si="2210"/>
        <v>0</v>
      </c>
      <c r="BM693" s="220">
        <v>3.99</v>
      </c>
      <c r="BN693" s="220"/>
      <c r="BO693" s="220">
        <f>ROUND(BM693+(BM693*BN693),2)</f>
        <v>3.99</v>
      </c>
      <c r="BP693" s="220">
        <f>IF(AND(BL693&gt;0,BL693&lt;tiet!$D$1),BL693,IF(BL693&lt;=0,0,IF(BL693&gt;tiet!$C$1,tiet!$C$1)))</f>
        <v>0</v>
      </c>
      <c r="BQ693" s="87">
        <f t="shared" si="2278"/>
        <v>65000</v>
      </c>
      <c r="BR693" s="224">
        <f t="shared" si="2268"/>
        <v>0</v>
      </c>
      <c r="BS693" s="220">
        <f t="shared" si="2134"/>
        <v>0</v>
      </c>
      <c r="BT693" s="224">
        <f>VLOOKUP(N693,ma_dinhmuc!$A$1:$J$31,10,0)</f>
        <v>51000</v>
      </c>
      <c r="BU693" s="224">
        <f>ROUND(IF(BS693&gt;0,VLOOKUP(N693,ma_dinhmuc!$A$1:$J$31,10,0)*BS693,0),0)</f>
        <v>0</v>
      </c>
      <c r="BV693" s="224">
        <f t="shared" si="2269"/>
        <v>0</v>
      </c>
      <c r="BW693" s="224"/>
      <c r="BX693" s="224">
        <v>0</v>
      </c>
      <c r="BY693" s="224"/>
      <c r="BZ693" s="224"/>
      <c r="CA693" s="224"/>
      <c r="CB693" s="224"/>
      <c r="CC693" s="225">
        <f t="shared" si="2112"/>
        <v>0</v>
      </c>
      <c r="CD693" s="224">
        <f t="shared" si="2113"/>
        <v>0</v>
      </c>
      <c r="CE693" s="224"/>
      <c r="CF693" s="226"/>
      <c r="CG693" s="87"/>
      <c r="CH693" s="87">
        <f t="shared" si="2274"/>
        <v>4</v>
      </c>
      <c r="CI693" s="227" t="str">
        <f t="shared" si="2288"/>
        <v>Nguyễn Ngọc</v>
      </c>
      <c r="CJ693" s="227" t="str">
        <f t="shared" si="2288"/>
        <v>Tuấn</v>
      </c>
      <c r="CK693" s="87">
        <f t="shared" si="2289"/>
        <v>14</v>
      </c>
      <c r="CL693" s="227" t="str">
        <f>L693</f>
        <v>Nuôi trồng thuỷ sản</v>
      </c>
      <c r="CM693" s="87" t="str">
        <f t="shared" si="2180"/>
        <v>CS2</v>
      </c>
      <c r="CN693" s="87">
        <f t="shared" si="2290"/>
        <v>270</v>
      </c>
      <c r="CO693" s="87">
        <f t="shared" si="2290"/>
        <v>120</v>
      </c>
      <c r="CP693" s="229">
        <f t="shared" si="2142"/>
        <v>0</v>
      </c>
      <c r="CQ693" s="229">
        <f t="shared" si="2143"/>
        <v>5.6</v>
      </c>
      <c r="CR693" s="229">
        <f t="shared" si="2144"/>
        <v>2.2999999999999998</v>
      </c>
      <c r="CS693" s="229">
        <f t="shared" si="2145"/>
        <v>0</v>
      </c>
      <c r="CT693" s="229">
        <f t="shared" si="2146"/>
        <v>0</v>
      </c>
      <c r="CU693" s="229">
        <f t="shared" si="2147"/>
        <v>37</v>
      </c>
      <c r="CV693" s="229">
        <f t="shared" si="2148"/>
        <v>0</v>
      </c>
      <c r="CW693" s="229">
        <f t="shared" si="2149"/>
        <v>16</v>
      </c>
      <c r="CX693" s="229">
        <f t="shared" si="2150"/>
        <v>0</v>
      </c>
      <c r="CY693" s="229">
        <f t="shared" si="2151"/>
        <v>0</v>
      </c>
      <c r="CZ693" s="229">
        <f t="shared" si="2152"/>
        <v>0</v>
      </c>
      <c r="DA693" s="229">
        <f t="shared" si="2153"/>
        <v>0</v>
      </c>
      <c r="DB693" s="228">
        <f t="shared" si="2235"/>
        <v>60.9</v>
      </c>
      <c r="DC693" s="229"/>
      <c r="DD693" s="229"/>
      <c r="DE693" s="229"/>
      <c r="DF693" s="229"/>
      <c r="DG693" s="229"/>
      <c r="DH693" s="229"/>
      <c r="DI693" s="229"/>
      <c r="DJ693" s="229"/>
      <c r="DK693" s="229"/>
      <c r="DL693" s="229"/>
      <c r="DM693" s="229"/>
      <c r="DN693" s="229"/>
      <c r="DO693" s="228">
        <f t="shared" si="2247"/>
        <v>0</v>
      </c>
      <c r="DP693" s="228">
        <f t="shared" si="2248"/>
        <v>60.9</v>
      </c>
      <c r="DQ693" s="229">
        <f t="shared" si="2154"/>
        <v>117</v>
      </c>
      <c r="DR693" s="229">
        <f t="shared" si="2155"/>
        <v>2.4</v>
      </c>
      <c r="DS693" s="229">
        <f t="shared" si="2156"/>
        <v>0</v>
      </c>
      <c r="DT693" s="229">
        <f t="shared" si="2157"/>
        <v>1</v>
      </c>
      <c r="DU693" s="229">
        <f t="shared" si="2158"/>
        <v>0</v>
      </c>
      <c r="DV693" s="229">
        <f t="shared" si="2159"/>
        <v>0</v>
      </c>
      <c r="DW693" s="229">
        <f t="shared" si="2160"/>
        <v>0</v>
      </c>
      <c r="DX693" s="228">
        <f t="shared" si="2236"/>
        <v>120.4</v>
      </c>
      <c r="DY693" s="229"/>
      <c r="DZ693" s="229"/>
      <c r="EA693" s="229"/>
      <c r="EB693" s="229"/>
      <c r="EC693" s="229"/>
      <c r="ED693" s="229"/>
      <c r="EE693" s="229"/>
      <c r="EF693" s="228">
        <f t="shared" si="2138"/>
        <v>0</v>
      </c>
      <c r="EG693" s="228">
        <f t="shared" si="2249"/>
        <v>120.4</v>
      </c>
      <c r="EH693" s="229">
        <f t="shared" si="2139"/>
        <v>88.33</v>
      </c>
      <c r="EI693" s="229">
        <v>211.61</v>
      </c>
      <c r="EJ693" s="228">
        <f t="shared" si="2256"/>
        <v>299.94</v>
      </c>
      <c r="EK693" s="229"/>
      <c r="EL693" s="229"/>
      <c r="EM693" s="228">
        <f t="shared" si="2285"/>
        <v>0</v>
      </c>
      <c r="EN693" s="229">
        <f t="shared" si="2220"/>
        <v>88.33</v>
      </c>
      <c r="EO693" s="229">
        <f t="shared" si="2123"/>
        <v>211.61</v>
      </c>
      <c r="EP693" s="228">
        <f t="shared" si="2237"/>
        <v>299.94</v>
      </c>
      <c r="EQ693" s="173">
        <f t="shared" si="2135"/>
        <v>0</v>
      </c>
      <c r="ER693" s="189">
        <v>0</v>
      </c>
      <c r="ES693" s="189">
        <v>5.6</v>
      </c>
      <c r="ET693" s="189">
        <v>2.2999999999999998</v>
      </c>
      <c r="EU693" s="189">
        <v>0</v>
      </c>
      <c r="EV693" s="189">
        <v>0</v>
      </c>
      <c r="EW693" s="189">
        <v>37</v>
      </c>
      <c r="EX693" s="189">
        <v>0</v>
      </c>
      <c r="EY693" s="189">
        <v>16</v>
      </c>
      <c r="EZ693" s="189">
        <v>0</v>
      </c>
      <c r="FA693" s="189">
        <v>0</v>
      </c>
      <c r="FB693" s="189">
        <v>0</v>
      </c>
      <c r="FC693" s="189">
        <v>0</v>
      </c>
      <c r="FD693" s="189">
        <v>117</v>
      </c>
      <c r="FE693" s="189">
        <v>2.4</v>
      </c>
      <c r="FF693" s="189">
        <v>0</v>
      </c>
      <c r="FG693" s="189">
        <v>1</v>
      </c>
      <c r="FH693" s="189">
        <v>0</v>
      </c>
      <c r="FI693" s="189">
        <v>0</v>
      </c>
      <c r="FJ693" s="189">
        <v>0</v>
      </c>
      <c r="FK693" s="189">
        <v>181.3</v>
      </c>
      <c r="FL693" s="189">
        <v>126</v>
      </c>
      <c r="FN693" s="132">
        <v>88.33</v>
      </c>
    </row>
    <row r="694" spans="1:170" ht="30" customHeight="1">
      <c r="A694" s="88">
        <f>COUNTIF($H$12:H694,H694)</f>
        <v>5</v>
      </c>
      <c r="B694" s="88" t="s">
        <v>331</v>
      </c>
      <c r="C694" s="88" t="s">
        <v>1551</v>
      </c>
      <c r="D694" s="88"/>
      <c r="E694" s="88"/>
      <c r="F694" s="301" t="s">
        <v>2446</v>
      </c>
      <c r="G694" s="89" t="s">
        <v>2447</v>
      </c>
      <c r="H694" s="88">
        <v>14</v>
      </c>
      <c r="I694" s="88">
        <v>14</v>
      </c>
      <c r="J694" s="88">
        <v>14</v>
      </c>
      <c r="K694" s="90" t="s">
        <v>1615</v>
      </c>
      <c r="L694" s="90" t="s">
        <v>1615</v>
      </c>
      <c r="M694" s="214"/>
      <c r="N694" s="88" t="s">
        <v>1804</v>
      </c>
      <c r="O694" s="216">
        <f t="shared" ref="O694:O702" si="2291">BO694</f>
        <v>3.99</v>
      </c>
      <c r="P694" s="88" t="str">
        <f t="shared" si="2279"/>
        <v>B1_4</v>
      </c>
      <c r="Q694" s="88">
        <f t="shared" si="2136"/>
        <v>270</v>
      </c>
      <c r="R694" s="88">
        <f t="shared" si="2137"/>
        <v>120</v>
      </c>
      <c r="S694" s="230" t="s">
        <v>500</v>
      </c>
      <c r="T694" s="88" t="s">
        <v>3091</v>
      </c>
      <c r="U694" s="88">
        <f>IF(RIGHT(T694,1)="K",(VLOOKUP(T694,ma_miengiam!$A$3:$B$80,2,0)*100)/2,VLOOKUP(T694,ma_miengiam!$A$3:$B$80,2,0)*100)</f>
        <v>20</v>
      </c>
      <c r="V694" s="88"/>
      <c r="W694" s="220">
        <f>IF(AND(T694="NTS",V694&gt;0),(Q694-(Q694*V694)/12)*VLOOKUP(T694,ma_miengiam!$A$3:$B$80,2,0)+(Q694-(Q694*(12-V694))/12),IF(AND(RIGHT(T694,1)="K",V694&gt;0),(VLOOKUP(T694,ma_miengiam!$A$3:$B$80,2,0)/2)*(Q694*V694)/12,IF(RIGHT(T694,1)="K",(VLOOKUP(T694,ma_miengiam!$A$3:$B$80,2,0)*Q694)/2,IF(V694&gt;0,VLOOKUP(T694,ma_miengiam!$A$3:$B$80,2,0)*Q694*V694/12,VLOOKUP(T694,ma_miengiam!$A$3:$B$80,2,0)*Q694))))</f>
        <v>54</v>
      </c>
      <c r="X694" s="220">
        <f>IF(T694="NTS",VLOOKUP(T694,ma_miengiam!$A$3:$B$80,2,0)*R694*V694,IF(AND(T694="NTS",V694=0),0,IF(AND(LEFT(T694,1)="K",V694=0),VLOOKUP(T694,ma_miengiam!$A$3:$B$80,2,0)*R694,IF(LEFT(T694,1)="K",(VLOOKUP(T694,ma_miengiam!$A$3:$B$80,2,0)*R694/12)*V694,IF(AND(LEFT(T694,1)="S",V694&gt;0),(R694/12)*V694,IF(AND(LEFT(T694,1)="S",V694=0),R694,IF(T694="DH",VLOOKUP(T694,ma_miengiam!$A$3:$B$80,2,0)*R694,0)))))))</f>
        <v>0</v>
      </c>
      <c r="Y694" s="220">
        <f>IF(AND(T694="DH",V694&gt;0),(S694*V694/12),IF(AND(T694&lt;&gt;"NTS",V694&gt;0),(Q694*V694/12)-W694,IF(AND(T694="NTS",V694&gt;0),Q694-W694,Q694-W694)))</f>
        <v>216</v>
      </c>
      <c r="Z694" s="220">
        <f>IF(AND(T694="SĐH",V694&gt;0),(R694/12)*V694-X694,IF(AND(T694="DH",V694&gt;0),(R694*V694/12),IF(AND(T694&lt;&gt;"NTS",V694&gt;0),(R694*V694/12)-X694,IF(AND(T694="NTS",V694&gt;0),R694-X694,R694-X694))))</f>
        <v>120</v>
      </c>
      <c r="AA694" s="220">
        <f>Q694</f>
        <v>270</v>
      </c>
      <c r="AB694" s="220">
        <f>R694</f>
        <v>120</v>
      </c>
      <c r="AC694" s="220">
        <f>W694</f>
        <v>54</v>
      </c>
      <c r="AD694" s="220">
        <f>X694</f>
        <v>0</v>
      </c>
      <c r="AE694" s="220">
        <f>Y694</f>
        <v>216</v>
      </c>
      <c r="AF694" s="220">
        <f>Z694</f>
        <v>120</v>
      </c>
      <c r="AG694" s="220">
        <f>AH694+AI694</f>
        <v>159.56</v>
      </c>
      <c r="AH694" s="220">
        <f>EO694</f>
        <v>104.56</v>
      </c>
      <c r="AI694" s="220">
        <f>EN694</f>
        <v>55</v>
      </c>
      <c r="AJ694" s="220">
        <f t="shared" ref="AJ694:AJ705" si="2292">IF(AG694-Z694&gt;0,0,AG694-Z694)</f>
        <v>0</v>
      </c>
      <c r="AK694" s="216">
        <f t="shared" si="2254"/>
        <v>216</v>
      </c>
      <c r="AL694" s="220">
        <f>SUM(CP694:CX694)+SUM(DC694:DK694)</f>
        <v>78</v>
      </c>
      <c r="AM694" s="220">
        <f>SUM(DQ694:DU694)+SUM(DY694:EC694)</f>
        <v>37.299999999999997</v>
      </c>
      <c r="AN694" s="216">
        <f>AM694+AL694</f>
        <v>115.3</v>
      </c>
      <c r="AO694" s="220">
        <f>CY694+DL694</f>
        <v>0</v>
      </c>
      <c r="AP694" s="220">
        <f>CZ694+DM694</f>
        <v>0</v>
      </c>
      <c r="AQ694" s="220">
        <f>DA694+DN694</f>
        <v>20</v>
      </c>
      <c r="AR694" s="220">
        <f>DV694+ED694</f>
        <v>0</v>
      </c>
      <c r="AS694" s="220">
        <f>DW694+EE694</f>
        <v>0</v>
      </c>
      <c r="AT694" s="216">
        <f>AN694+SUM(AO694:AS694)</f>
        <v>135.30000000000001</v>
      </c>
      <c r="AU694" s="220">
        <f>AN694-AK694</f>
        <v>-100.7</v>
      </c>
      <c r="AV694" s="220"/>
      <c r="AW694" s="220">
        <f>IF(AU694&gt;0,AU694,AV694+AU694)</f>
        <v>-100.7</v>
      </c>
      <c r="AX694" s="216">
        <f t="shared" si="2234"/>
        <v>-100.7</v>
      </c>
      <c r="AY694" s="220">
        <f>IF(AN694&gt;=AK694,AO694,IF(AN694+AO694-AK694&gt;=0,AN694+AO694-AK694,0))</f>
        <v>0</v>
      </c>
      <c r="AZ694" s="220">
        <f>IF(OR(AN694&gt;=AK694,AN694+AO694&gt;=AK694),AP694,IF(AN694+AO694+AP694&gt;AK694,AN694+AO694+AP694-AK694,0))</f>
        <v>0</v>
      </c>
      <c r="BA694" s="220">
        <f>IF(OR(AN694&gt;=AK694,AN694+AO694&gt;=AK694,AN694+AO694+AP694&gt;=AK694),AQ694,IF(AN694+AO694+AP694+AQ694&gt;=AK694,AN694+AO694+AP694+AQ694-AK694,0))</f>
        <v>0</v>
      </c>
      <c r="BB694" s="220">
        <f>IF(OR(AN694&gt;=AK694,AN694+AO694&gt;=AK694,AN694+AO694+AP694&gt;=AK694,AN694+AO694+AP694+AQ694&gt;=AK694),AR694,IF(AN694+AO694+AP694+AQ694+AR694&gt;=AK694,AN694+AO694+AP694+AQ694+AR694-AK694,0))</f>
        <v>0</v>
      </c>
      <c r="BC694" s="220">
        <f>IF(OR(AN694&gt;=AK694,AN694+AO694&gt;=AK694,AN694+AO694+AP694&gt;=AK694,AN694+AO694+AP694+AQ694&gt;=AK694,AN694+AO694+AP694+AQ694+AR694&gt;=AK694),AS694,IF(AN694+AO694+AP694+AQ694+AR694+AS694&gt;=AK694,AN694+AO694+AP694+AQ694+AR694+AS694-AK694,0))</f>
        <v>0</v>
      </c>
      <c r="BD694" s="216">
        <f t="shared" si="2197"/>
        <v>0</v>
      </c>
      <c r="BE694" s="220">
        <f>AY694-AO694</f>
        <v>0</v>
      </c>
      <c r="BF694" s="220">
        <f>AZ694-AP694</f>
        <v>0</v>
      </c>
      <c r="BG694" s="220">
        <f>BA694-AQ694</f>
        <v>-20</v>
      </c>
      <c r="BH694" s="220">
        <f>BB694-AR694</f>
        <v>0</v>
      </c>
      <c r="BI694" s="220">
        <f>BC694-AS694</f>
        <v>0</v>
      </c>
      <c r="BJ694" s="220" t="s">
        <v>1172</v>
      </c>
      <c r="BK694" s="220"/>
      <c r="BL694" s="223">
        <f t="shared" si="2210"/>
        <v>0</v>
      </c>
      <c r="BM694" s="220">
        <v>3.99</v>
      </c>
      <c r="BN694" s="220"/>
      <c r="BO694" s="220">
        <f t="shared" ref="BO694:BO702" si="2293">ROUND(BM694+(BM694*BN694),2)</f>
        <v>3.99</v>
      </c>
      <c r="BP694" s="220">
        <f>IF(AND(BL694&gt;0,BL694&lt;tiet!$D$1),BL694,IF(BL694&lt;=0,0,IF(BL694&gt;tiet!$C$1,tiet!$C$1)))</f>
        <v>0</v>
      </c>
      <c r="BQ694" s="87">
        <f t="shared" si="2278"/>
        <v>65000</v>
      </c>
      <c r="BR694" s="224">
        <f t="shared" si="2268"/>
        <v>0</v>
      </c>
      <c r="BS694" s="220">
        <f t="shared" si="2134"/>
        <v>0</v>
      </c>
      <c r="BT694" s="224">
        <f>VLOOKUP(N694,ma_dinhmuc!$A$1:$J$31,10,0)</f>
        <v>51000</v>
      </c>
      <c r="BU694" s="224">
        <f>ROUND(IF(BS694&gt;0,VLOOKUP(N694,ma_dinhmuc!$A$1:$J$31,10,0)*BS694,0),0)</f>
        <v>0</v>
      </c>
      <c r="BV694" s="224">
        <f t="shared" si="2269"/>
        <v>0</v>
      </c>
      <c r="BW694" s="224"/>
      <c r="BX694" s="224">
        <v>0</v>
      </c>
      <c r="BY694" s="224"/>
      <c r="BZ694" s="224"/>
      <c r="CA694" s="224"/>
      <c r="CB694" s="224"/>
      <c r="CC694" s="225">
        <f>ROUND(IF(BV694+BW694&gt;BX694+BY694+BZ694+CA694+CB694,(BW694+BV694)-(BX694+BY694+BZ694+CA694+CB694+CB694),0),0)</f>
        <v>0</v>
      </c>
      <c r="CD694" s="224">
        <f>ROUND(IF(BV694+BW694&lt;BX694+BY694+BZ694+CA694-CB694,(BX694+BY694+BZ694+CA694-CB694)-(BW694+BV694),0),0)</f>
        <v>0</v>
      </c>
      <c r="CE694" s="224"/>
      <c r="CF694" s="226"/>
      <c r="CG694" s="87"/>
      <c r="CH694" s="87">
        <f t="shared" si="2274"/>
        <v>5</v>
      </c>
      <c r="CI694" s="227" t="str">
        <f t="shared" si="2288"/>
        <v>Trịnh Đình</v>
      </c>
      <c r="CJ694" s="227" t="str">
        <f t="shared" si="2288"/>
        <v>Khuyến</v>
      </c>
      <c r="CK694" s="87">
        <f>H694</f>
        <v>14</v>
      </c>
      <c r="CL694" s="227" t="str">
        <f>L694</f>
        <v>Nuôi trồng thuỷ sản</v>
      </c>
      <c r="CM694" s="87" t="str">
        <f>N694</f>
        <v>CS2</v>
      </c>
      <c r="CN694" s="87">
        <f t="shared" si="2290"/>
        <v>270</v>
      </c>
      <c r="CO694" s="87">
        <f t="shared" si="2290"/>
        <v>120</v>
      </c>
      <c r="CP694" s="229">
        <f t="shared" si="2142"/>
        <v>0</v>
      </c>
      <c r="CQ694" s="229">
        <f t="shared" si="2143"/>
        <v>7.8</v>
      </c>
      <c r="CR694" s="229">
        <f t="shared" si="2144"/>
        <v>3.2</v>
      </c>
      <c r="CS694" s="229">
        <f t="shared" si="2145"/>
        <v>0</v>
      </c>
      <c r="CT694" s="229">
        <f t="shared" si="2146"/>
        <v>0</v>
      </c>
      <c r="CU694" s="229">
        <f t="shared" si="2147"/>
        <v>67</v>
      </c>
      <c r="CV694" s="229">
        <f t="shared" si="2148"/>
        <v>0</v>
      </c>
      <c r="CW694" s="229">
        <f t="shared" si="2149"/>
        <v>0</v>
      </c>
      <c r="CX694" s="229">
        <f t="shared" si="2150"/>
        <v>0</v>
      </c>
      <c r="CY694" s="229">
        <f t="shared" si="2151"/>
        <v>0</v>
      </c>
      <c r="CZ694" s="229">
        <f t="shared" si="2152"/>
        <v>0</v>
      </c>
      <c r="DA694" s="229">
        <f t="shared" si="2153"/>
        <v>20</v>
      </c>
      <c r="DB694" s="228">
        <f>SUM(CP694:DA694)</f>
        <v>98</v>
      </c>
      <c r="DC694" s="229"/>
      <c r="DD694" s="229"/>
      <c r="DE694" s="229"/>
      <c r="DF694" s="229"/>
      <c r="DG694" s="229"/>
      <c r="DH694" s="229"/>
      <c r="DI694" s="229"/>
      <c r="DJ694" s="229"/>
      <c r="DK694" s="229"/>
      <c r="DL694" s="229"/>
      <c r="DM694" s="229"/>
      <c r="DN694" s="229"/>
      <c r="DO694" s="228">
        <f>SUM(DC694:DN694)</f>
        <v>0</v>
      </c>
      <c r="DP694" s="228">
        <f>DO694+DB694</f>
        <v>98</v>
      </c>
      <c r="DQ694" s="229">
        <f t="shared" si="2154"/>
        <v>36</v>
      </c>
      <c r="DR694" s="229">
        <f t="shared" si="2155"/>
        <v>0.9</v>
      </c>
      <c r="DS694" s="229">
        <f t="shared" si="2156"/>
        <v>0</v>
      </c>
      <c r="DT694" s="229">
        <f t="shared" si="2157"/>
        <v>0.4</v>
      </c>
      <c r="DU694" s="229">
        <f t="shared" si="2158"/>
        <v>0</v>
      </c>
      <c r="DV694" s="229">
        <f t="shared" si="2159"/>
        <v>0</v>
      </c>
      <c r="DW694" s="229">
        <f t="shared" si="2160"/>
        <v>0</v>
      </c>
      <c r="DX694" s="228">
        <f>SUM(DQ694:DW694)</f>
        <v>37.299999999999997</v>
      </c>
      <c r="DY694" s="229"/>
      <c r="DZ694" s="229"/>
      <c r="EA694" s="229"/>
      <c r="EB694" s="229"/>
      <c r="EC694" s="229"/>
      <c r="ED694" s="229"/>
      <c r="EE694" s="229"/>
      <c r="EF694" s="228">
        <f t="shared" si="2138"/>
        <v>0</v>
      </c>
      <c r="EG694" s="228">
        <f>EF694+DX694</f>
        <v>37.299999999999997</v>
      </c>
      <c r="EH694" s="229">
        <f t="shared" si="2139"/>
        <v>55</v>
      </c>
      <c r="EI694" s="229">
        <v>104.56</v>
      </c>
      <c r="EJ694" s="228">
        <f t="shared" si="2256"/>
        <v>159.56</v>
      </c>
      <c r="EK694" s="229"/>
      <c r="EL694" s="229"/>
      <c r="EM694" s="228">
        <f>SUM(EK694:EL694)</f>
        <v>0</v>
      </c>
      <c r="EN694" s="229">
        <f>EK694+EH694+EL694</f>
        <v>55</v>
      </c>
      <c r="EO694" s="229">
        <f>EI694</f>
        <v>104.56</v>
      </c>
      <c r="EP694" s="228">
        <f t="shared" ref="EP694:EP702" si="2294">EM694+EJ694</f>
        <v>159.56</v>
      </c>
      <c r="EQ694" s="173">
        <f t="shared" si="2135"/>
        <v>0</v>
      </c>
      <c r="ER694" s="189">
        <v>0</v>
      </c>
      <c r="ES694" s="189">
        <v>7.8</v>
      </c>
      <c r="ET694" s="189">
        <v>3.2</v>
      </c>
      <c r="EU694" s="189">
        <v>0</v>
      </c>
      <c r="EV694" s="189">
        <v>0</v>
      </c>
      <c r="EW694" s="189">
        <v>67</v>
      </c>
      <c r="EX694" s="189">
        <v>0</v>
      </c>
      <c r="EY694" s="189">
        <v>0</v>
      </c>
      <c r="EZ694" s="189">
        <v>0</v>
      </c>
      <c r="FA694" s="189">
        <v>0</v>
      </c>
      <c r="FB694" s="189">
        <v>0</v>
      </c>
      <c r="FC694" s="189">
        <v>20</v>
      </c>
      <c r="FD694" s="189">
        <v>36</v>
      </c>
      <c r="FE694" s="189">
        <v>0.9</v>
      </c>
      <c r="FF694" s="189">
        <v>0</v>
      </c>
      <c r="FG694" s="189">
        <v>0.4</v>
      </c>
      <c r="FH694" s="189">
        <v>0</v>
      </c>
      <c r="FI694" s="189">
        <v>0</v>
      </c>
      <c r="FJ694" s="189">
        <v>0</v>
      </c>
      <c r="FK694" s="189">
        <v>135.30000000000001</v>
      </c>
      <c r="FL694" s="189">
        <v>115</v>
      </c>
      <c r="FN694" s="132">
        <v>55</v>
      </c>
    </row>
    <row r="695" spans="1:170" ht="30" customHeight="1">
      <c r="A695" s="88">
        <f>COUNTIF($H$12:H695,H695)</f>
        <v>6</v>
      </c>
      <c r="B695" s="88" t="s">
        <v>332</v>
      </c>
      <c r="C695" s="88" t="s">
        <v>1552</v>
      </c>
      <c r="D695" s="88"/>
      <c r="E695" s="88"/>
      <c r="F695" s="301" t="s">
        <v>2449</v>
      </c>
      <c r="G695" s="89" t="s">
        <v>2450</v>
      </c>
      <c r="H695" s="88">
        <v>14</v>
      </c>
      <c r="I695" s="88"/>
      <c r="J695" s="88">
        <v>14</v>
      </c>
      <c r="K695" s="90"/>
      <c r="L695" s="90" t="s">
        <v>1615</v>
      </c>
      <c r="M695" s="214"/>
      <c r="N695" s="88" t="s">
        <v>1804</v>
      </c>
      <c r="O695" s="216">
        <f t="shared" si="2291"/>
        <v>3</v>
      </c>
      <c r="P695" s="88" t="str">
        <f t="shared" si="2279"/>
        <v>B1_3</v>
      </c>
      <c r="Q695" s="88">
        <f t="shared" si="2136"/>
        <v>270</v>
      </c>
      <c r="R695" s="88">
        <f t="shared" si="2137"/>
        <v>100</v>
      </c>
      <c r="S695" s="218" t="s">
        <v>1424</v>
      </c>
      <c r="T695" s="88" t="s">
        <v>3095</v>
      </c>
      <c r="U695" s="88">
        <f>IF(RIGHT(T695,1)="K",(VLOOKUP(T695,ma_miengiam!$A$3:$B$80,2,0)*100)/2,VLOOKUP(T695,ma_miengiam!$A$3:$B$80,2,0)*100)</f>
        <v>40</v>
      </c>
      <c r="V695" s="88">
        <v>3</v>
      </c>
      <c r="W695" s="220">
        <f>IF(AND(T695="NTS",V695&gt;0),(Q695-(Q695*V695)/12)*VLOOKUP(T695,ma_miengiam!$A$3:$B$80,2,0)+(Q695-(Q695*(12-V695))/12),IF(AND(RIGHT(T695,1)="K",V695&gt;0),(VLOOKUP(T695,ma_miengiam!$A$3:$B$80,2,0)/2)*(Q695*V695)/12,IF(RIGHT(T695,1)="K",(VLOOKUP(T695,ma_miengiam!$A$3:$B$80,2,0)*Q695)/2,IF(V695&gt;0,VLOOKUP(T695,ma_miengiam!$A$3:$B$80,2,0)*Q695*V695/12,VLOOKUP(T695,ma_miengiam!$A$3:$B$80,2,0)*Q695))))</f>
        <v>27</v>
      </c>
      <c r="X695" s="220">
        <f>IF(T695="NTS",VLOOKUP(T695,ma_miengiam!$A$3:$B$80,2,0)*R695*V695,IF(AND(T695="NTS",V695=0),0,IF(AND(LEFT(T695,1)="K",V695=0),VLOOKUP(T695,ma_miengiam!$A$3:$B$80,2,0)*R695,IF(LEFT(T695,1)="K",(VLOOKUP(T695,ma_miengiam!$A$3:$B$80,2,0)*R695/12)*V695,IF(LEFT(T695,1)="S",R695,IF(T695="DH",VLOOKUP(T695,ma_miengiam!$A$3:$B$80,2,0)*R695,0))))))</f>
        <v>0</v>
      </c>
      <c r="Y695" s="220">
        <f t="shared" si="2257"/>
        <v>40.5</v>
      </c>
      <c r="Z695" s="220">
        <f>IF(AND(T695="SĐH",V695&gt;0),(R695/12)*V695-X695,IF(AND(T695="DH",V695&gt;0),(R695*V695/12),IF(AND(T695&lt;&gt;"NTS",V695&gt;0),(R695*V695/12)-X695,IF(AND(T695="NTS",V695&gt;0),R695-X695,R695-X695))))</f>
        <v>25</v>
      </c>
      <c r="AA695" s="220"/>
      <c r="AB695" s="220"/>
      <c r="AC695" s="220"/>
      <c r="AD695" s="220"/>
      <c r="AE695" s="220"/>
      <c r="AF695" s="220"/>
      <c r="AG695" s="220"/>
      <c r="AH695" s="220"/>
      <c r="AI695" s="220"/>
      <c r="AJ695" s="220"/>
      <c r="AK695" s="216"/>
      <c r="AL695" s="220"/>
      <c r="AM695" s="220"/>
      <c r="AN695" s="221"/>
      <c r="AO695" s="220"/>
      <c r="AP695" s="220"/>
      <c r="AQ695" s="220"/>
      <c r="AR695" s="220"/>
      <c r="AS695" s="220"/>
      <c r="AT695" s="216"/>
      <c r="AU695" s="222"/>
      <c r="AV695" s="220"/>
      <c r="AW695" s="220"/>
      <c r="AX695" s="216"/>
      <c r="AY695" s="220"/>
      <c r="AZ695" s="220"/>
      <c r="BA695" s="220"/>
      <c r="BB695" s="220"/>
      <c r="BC695" s="220"/>
      <c r="BD695" s="216"/>
      <c r="BE695" s="220"/>
      <c r="BF695" s="220"/>
      <c r="BG695" s="220"/>
      <c r="BH695" s="220"/>
      <c r="BI695" s="220"/>
      <c r="BJ695" s="220" t="s">
        <v>1172</v>
      </c>
      <c r="BK695" s="220"/>
      <c r="BL695" s="223">
        <f t="shared" si="2210"/>
        <v>0</v>
      </c>
      <c r="BM695" s="220">
        <v>3</v>
      </c>
      <c r="BN695" s="220"/>
      <c r="BO695" s="220">
        <f t="shared" si="2293"/>
        <v>3</v>
      </c>
      <c r="BP695" s="220">
        <f>IF(AND(BL695&gt;0,BL695&lt;tiet!$D$1),BL695,IF(BL695&lt;=0,0,IF(BL695&gt;tiet!$C$1,tiet!$C$1)))</f>
        <v>0</v>
      </c>
      <c r="BQ695" s="87">
        <f t="shared" si="2278"/>
        <v>60000</v>
      </c>
      <c r="BR695" s="224">
        <f t="shared" si="2268"/>
        <v>0</v>
      </c>
      <c r="BS695" s="220">
        <f t="shared" si="2134"/>
        <v>0</v>
      </c>
      <c r="BT695" s="224">
        <f>VLOOKUP(N695,ma_dinhmuc!$A$1:$J$31,10,0)</f>
        <v>51000</v>
      </c>
      <c r="BU695" s="224">
        <f>ROUND(IF(BS695&gt;0,VLOOKUP(N695,ma_dinhmuc!$A$1:$J$31,10,0)*BS695,0),0)</f>
        <v>0</v>
      </c>
      <c r="BV695" s="224">
        <f t="shared" si="2269"/>
        <v>0</v>
      </c>
      <c r="BW695" s="224"/>
      <c r="BX695" s="224">
        <v>0</v>
      </c>
      <c r="BY695" s="224"/>
      <c r="BZ695" s="224"/>
      <c r="CA695" s="224"/>
      <c r="CB695" s="224"/>
      <c r="CC695" s="225">
        <f>ROUND(IF(BV695+BW695&gt;BX695+BY695+BZ695+CA695+CB695,(BW695+BV695)-(BX695+BY695+BZ695+CA695+CB695+CB695),0),0)</f>
        <v>0</v>
      </c>
      <c r="CD695" s="224">
        <f>ROUND(IF(BV695+BW695&lt;BX695+BY695+BZ695+CA695-CB695,(BX695+BY695+BZ695+CA695-CB695)-(BW695+BV695),0),0)</f>
        <v>0</v>
      </c>
      <c r="CE695" s="224"/>
      <c r="CF695" s="226"/>
      <c r="CG695" s="87"/>
      <c r="CH695" s="87">
        <f t="shared" si="2274"/>
        <v>6</v>
      </c>
      <c r="CI695" s="227" t="str">
        <f t="shared" ref="CI695:CJ702" si="2295">F695</f>
        <v>Nguyễn Công</v>
      </c>
      <c r="CJ695" s="227" t="str">
        <f t="shared" si="2295"/>
        <v>Thiết</v>
      </c>
      <c r="CK695" s="87">
        <f>H695</f>
        <v>14</v>
      </c>
      <c r="CL695" s="227" t="str">
        <f t="shared" ref="CL695:CL708" si="2296">L695</f>
        <v>Nuôi trồng thuỷ sản</v>
      </c>
      <c r="CM695" s="87" t="str">
        <f t="shared" si="2180"/>
        <v>CS2</v>
      </c>
      <c r="CN695" s="87">
        <f t="shared" ref="CN695:CO701" si="2297">Q695</f>
        <v>270</v>
      </c>
      <c r="CO695" s="87">
        <f t="shared" si="2297"/>
        <v>100</v>
      </c>
      <c r="CP695" s="229">
        <f t="shared" si="2142"/>
        <v>0</v>
      </c>
      <c r="CQ695" s="229">
        <f t="shared" si="2143"/>
        <v>0</v>
      </c>
      <c r="CR695" s="229">
        <f t="shared" si="2144"/>
        <v>0</v>
      </c>
      <c r="CS695" s="229">
        <f t="shared" si="2145"/>
        <v>0</v>
      </c>
      <c r="CT695" s="229">
        <f t="shared" si="2146"/>
        <v>0</v>
      </c>
      <c r="CU695" s="229">
        <f t="shared" si="2147"/>
        <v>0</v>
      </c>
      <c r="CV695" s="229">
        <f t="shared" si="2148"/>
        <v>0</v>
      </c>
      <c r="CW695" s="229">
        <f t="shared" si="2149"/>
        <v>0</v>
      </c>
      <c r="CX695" s="229">
        <f t="shared" si="2150"/>
        <v>0</v>
      </c>
      <c r="CY695" s="229">
        <f t="shared" si="2151"/>
        <v>0</v>
      </c>
      <c r="CZ695" s="229">
        <f t="shared" si="2152"/>
        <v>0</v>
      </c>
      <c r="DA695" s="229">
        <f t="shared" si="2153"/>
        <v>0</v>
      </c>
      <c r="DB695" s="228">
        <f t="shared" si="2235"/>
        <v>0</v>
      </c>
      <c r="DC695" s="229"/>
      <c r="DD695" s="229"/>
      <c r="DE695" s="229"/>
      <c r="DF695" s="229"/>
      <c r="DG695" s="229"/>
      <c r="DH695" s="229"/>
      <c r="DI695" s="229"/>
      <c r="DJ695" s="229"/>
      <c r="DK695" s="229"/>
      <c r="DL695" s="229"/>
      <c r="DM695" s="229"/>
      <c r="DN695" s="229"/>
      <c r="DO695" s="228">
        <f t="shared" si="2247"/>
        <v>0</v>
      </c>
      <c r="DP695" s="228">
        <f t="shared" si="2248"/>
        <v>0</v>
      </c>
      <c r="DQ695" s="229">
        <f t="shared" si="2154"/>
        <v>0</v>
      </c>
      <c r="DR695" s="229">
        <f t="shared" si="2155"/>
        <v>0</v>
      </c>
      <c r="DS695" s="229">
        <f t="shared" si="2156"/>
        <v>0</v>
      </c>
      <c r="DT695" s="229">
        <f t="shared" si="2157"/>
        <v>0</v>
      </c>
      <c r="DU695" s="229">
        <f t="shared" si="2158"/>
        <v>0</v>
      </c>
      <c r="DV695" s="229">
        <f t="shared" si="2159"/>
        <v>0</v>
      </c>
      <c r="DW695" s="229">
        <f t="shared" si="2160"/>
        <v>0</v>
      </c>
      <c r="DX695" s="228">
        <f t="shared" si="2236"/>
        <v>0</v>
      </c>
      <c r="DY695" s="229"/>
      <c r="DZ695" s="229"/>
      <c r="EA695" s="229"/>
      <c r="EB695" s="229"/>
      <c r="EC695" s="229"/>
      <c r="ED695" s="229"/>
      <c r="EE695" s="229"/>
      <c r="EF695" s="228">
        <f t="shared" si="2138"/>
        <v>0</v>
      </c>
      <c r="EG695" s="228">
        <f t="shared" si="2249"/>
        <v>0</v>
      </c>
      <c r="EH695" s="229">
        <f t="shared" si="2139"/>
        <v>0</v>
      </c>
      <c r="EI695" s="229">
        <v>53.8</v>
      </c>
      <c r="EJ695" s="228">
        <f t="shared" si="2256"/>
        <v>53.8</v>
      </c>
      <c r="EK695" s="229"/>
      <c r="EL695" s="229"/>
      <c r="EM695" s="228">
        <f t="shared" si="2285"/>
        <v>0</v>
      </c>
      <c r="EN695" s="229">
        <f t="shared" si="2220"/>
        <v>0</v>
      </c>
      <c r="EO695" s="229">
        <f t="shared" si="2123"/>
        <v>53.8</v>
      </c>
      <c r="EP695" s="228">
        <f t="shared" si="2294"/>
        <v>53.8</v>
      </c>
      <c r="EQ695" s="173">
        <f t="shared" si="2135"/>
        <v>0</v>
      </c>
      <c r="ER695" s="189">
        <v>0</v>
      </c>
      <c r="ES695" s="189">
        <v>0</v>
      </c>
      <c r="ET695" s="189">
        <v>0</v>
      </c>
      <c r="EU695" s="189">
        <v>0</v>
      </c>
      <c r="EV695" s="189">
        <v>0</v>
      </c>
      <c r="EW695" s="189">
        <v>0</v>
      </c>
      <c r="EX695" s="189">
        <v>0</v>
      </c>
      <c r="EY695" s="189">
        <v>0</v>
      </c>
      <c r="EZ695" s="189">
        <v>0</v>
      </c>
      <c r="FA695" s="189">
        <v>0</v>
      </c>
      <c r="FB695" s="189">
        <v>0</v>
      </c>
      <c r="FC695" s="189">
        <v>0</v>
      </c>
      <c r="FD695" s="189">
        <v>0</v>
      </c>
      <c r="FE695" s="189">
        <v>0</v>
      </c>
      <c r="FF695" s="189">
        <v>0</v>
      </c>
      <c r="FG695" s="189">
        <v>0</v>
      </c>
      <c r="FH695" s="189">
        <v>0</v>
      </c>
      <c r="FI695" s="189">
        <v>0</v>
      </c>
      <c r="FJ695" s="189">
        <v>0</v>
      </c>
      <c r="FK695" s="189">
        <v>0</v>
      </c>
      <c r="FL695" s="189">
        <v>0</v>
      </c>
      <c r="FN695" s="132">
        <v>0</v>
      </c>
    </row>
    <row r="696" spans="1:170" ht="30" customHeight="1">
      <c r="A696" s="88">
        <f>COUNTIF($H$12:H696,H696)</f>
        <v>7</v>
      </c>
      <c r="B696" s="88" t="s">
        <v>332</v>
      </c>
      <c r="C696" s="88" t="s">
        <v>1552</v>
      </c>
      <c r="D696" s="88"/>
      <c r="E696" s="88"/>
      <c r="F696" s="301" t="s">
        <v>2449</v>
      </c>
      <c r="G696" s="89" t="s">
        <v>2450</v>
      </c>
      <c r="H696" s="88">
        <v>14</v>
      </c>
      <c r="I696" s="88"/>
      <c r="J696" s="88">
        <v>14</v>
      </c>
      <c r="K696" s="90"/>
      <c r="L696" s="90" t="s">
        <v>1615</v>
      </c>
      <c r="M696" s="214"/>
      <c r="N696" s="88" t="s">
        <v>1804</v>
      </c>
      <c r="O696" s="216">
        <f>BO696</f>
        <v>3</v>
      </c>
      <c r="P696" s="88" t="str">
        <f>IF(BO696&lt;3.33,"B1_3",IF(AND(BO696&gt;=3.33,BO696&lt;4.65),"B1_4",IF(AND(BO696&gt;=4.65,BO696&lt;5.42),"B1_5",IF(AND(BO696&gt;=5.42,BO696&lt;6.44),"B1_6",IF(AND(BO696&gt;=6.44,BO696&lt;=6.92),"B1_7","B1_8")))))</f>
        <v>B1_3</v>
      </c>
      <c r="Q696" s="88">
        <f>IF(M696&gt;0,VLOOKUP(P696,ma_dinhmuc_moi,2,0)/2,VLOOKUP(P696,ma_dinhmuc_moi,2,0))</f>
        <v>270</v>
      </c>
      <c r="R696" s="88">
        <f>IF(M696&gt;0,VLOOKUP(P696,ma_dinhmuc_moi,3,0)/2,VLOOKUP(P696,ma_dinhmuc_moi,3,0))</f>
        <v>100</v>
      </c>
      <c r="S696" s="218"/>
      <c r="T696" s="88" t="s">
        <v>3088</v>
      </c>
      <c r="U696" s="88">
        <f>IF(RIGHT(T696,1)="K",(VLOOKUP(T696,ma_miengiam!$A$3:$B$80,2,0)*100)/2,VLOOKUP(T696,ma_miengiam!$A$3:$B$80,2,0)*100)</f>
        <v>0</v>
      </c>
      <c r="V696" s="88">
        <v>9</v>
      </c>
      <c r="W696" s="220">
        <f>IF(AND(T696="NTS",V696&gt;0),(Q696-(Q696*V696)/12)*VLOOKUP(T696,ma_miengiam!$A$3:$B$80,2,0)+(Q696-(Q696*(12-V696))/12),IF(AND(RIGHT(T696,1)="K",V696&gt;0),(VLOOKUP(T696,ma_miengiam!$A$3:$B$80,2,0)/2)*(Q696*V696)/12,IF(RIGHT(T696,1)="K",(VLOOKUP(T696,ma_miengiam!$A$3:$B$80,2,0)*Q696)/2,IF(V696&gt;0,VLOOKUP(T696,ma_miengiam!$A$3:$B$80,2,0)*Q696*V696/12,VLOOKUP(T696,ma_miengiam!$A$3:$B$80,2,0)*Q696))))</f>
        <v>0</v>
      </c>
      <c r="X696" s="220">
        <f>IF(T696="NTS",VLOOKUP(T696,ma_miengiam!$A$3:$B$80,2,0)*R696*V696,IF(AND(T696="NTS",V696=0),0,IF(AND(LEFT(T696,1)="K",V696=0),VLOOKUP(T696,ma_miengiam!$A$3:$B$80,2,0)*R696,IF(LEFT(T696,1)="K",(VLOOKUP(T696,ma_miengiam!$A$3:$B$80,2,0)*R696/12)*V696,IF(LEFT(T696,1)="S",R696,IF(T696="DH",VLOOKUP(T696,ma_miengiam!$A$3:$B$80,2,0)*R696,0))))))</f>
        <v>0</v>
      </c>
      <c r="Y696" s="220">
        <f>IF(AND(T696="DH",V696&gt;0),(S696*V696/12),IF(AND(T696&lt;&gt;"NTS",V696&gt;0),(Q696*V696/12)-W696,IF(AND(T696="NTS",V696&gt;0),Q696-W696,Q696-W696)))</f>
        <v>202.5</v>
      </c>
      <c r="Z696" s="220">
        <f>IF(AND(T696="SĐH",V696&gt;0),(R696/12)*V696-X696,IF(AND(T696="DH",V696&gt;0),(R696*V696/12),IF(AND(T696&lt;&gt;"NTS",V696&gt;0),(R696*V696/12)-X696,IF(AND(T696="NTS",V696&gt;0),R696-X696,R696-X696))))</f>
        <v>75</v>
      </c>
      <c r="AA696" s="220"/>
      <c r="AB696" s="220"/>
      <c r="AC696" s="220"/>
      <c r="AD696" s="220"/>
      <c r="AE696" s="220"/>
      <c r="AF696" s="220"/>
      <c r="AG696" s="220"/>
      <c r="AH696" s="220"/>
      <c r="AI696" s="220"/>
      <c r="AJ696" s="220"/>
      <c r="AK696" s="216"/>
      <c r="AL696" s="220"/>
      <c r="AM696" s="220"/>
      <c r="AN696" s="221"/>
      <c r="AO696" s="220"/>
      <c r="AP696" s="220"/>
      <c r="AQ696" s="220"/>
      <c r="AR696" s="220"/>
      <c r="AS696" s="220"/>
      <c r="AT696" s="216"/>
      <c r="AU696" s="222"/>
      <c r="AV696" s="220"/>
      <c r="AW696" s="220"/>
      <c r="AX696" s="216"/>
      <c r="AY696" s="220"/>
      <c r="AZ696" s="220"/>
      <c r="BA696" s="220"/>
      <c r="BB696" s="220"/>
      <c r="BC696" s="220"/>
      <c r="BD696" s="216"/>
      <c r="BE696" s="220"/>
      <c r="BF696" s="220"/>
      <c r="BG696" s="220"/>
      <c r="BH696" s="220"/>
      <c r="BI696" s="220"/>
      <c r="BJ696" s="220" t="s">
        <v>1172</v>
      </c>
      <c r="BK696" s="220"/>
      <c r="BL696" s="223">
        <f>IF(AW696&lt;BK696,0,IF(AND(BK696=0,AW696&gt;0),AW696,IF(AW696&lt;0,0,IF(BK696&gt;0,AW696-BK696,IF(BK696&lt;0,0,AW696)))))</f>
        <v>0</v>
      </c>
      <c r="BM696" s="220">
        <v>3</v>
      </c>
      <c r="BN696" s="220"/>
      <c r="BO696" s="220">
        <f>ROUND(BM696+(BM696*BN696),2)</f>
        <v>3</v>
      </c>
      <c r="BP696" s="220">
        <f>IF(AND(BL696&gt;0,BL696&lt;tiet!$D$1),BL696,IF(BL696&lt;=0,0,IF(BL696&gt;tiet!$C$1,tiet!$C$1)))</f>
        <v>0</v>
      </c>
      <c r="BQ696" s="87">
        <f>VLOOKUP(P696,ma_dinhmuc_moi,4,0)</f>
        <v>60000</v>
      </c>
      <c r="BR696" s="224">
        <f>ROUND(BQ696*BP696,0)</f>
        <v>0</v>
      </c>
      <c r="BS696" s="220">
        <f t="shared" si="2134"/>
        <v>0</v>
      </c>
      <c r="BT696" s="224">
        <f>VLOOKUP(N696,ma_dinhmuc!$A$1:$J$31,10,0)</f>
        <v>51000</v>
      </c>
      <c r="BU696" s="224">
        <f>ROUND(IF(BS696&gt;0,VLOOKUP(N696,ma_dinhmuc!$A$1:$J$31,10,0)*BS696,0),0)</f>
        <v>0</v>
      </c>
      <c r="BV696" s="224">
        <f>ROUND(BU696+BR696,0)</f>
        <v>0</v>
      </c>
      <c r="BW696" s="224"/>
      <c r="BX696" s="224">
        <v>0</v>
      </c>
      <c r="BY696" s="224"/>
      <c r="BZ696" s="224"/>
      <c r="CA696" s="224"/>
      <c r="CB696" s="224"/>
      <c r="CC696" s="225">
        <f>ROUND(IF(BV696+BW696&gt;BX696+BY696+BZ696+CA696+CB696,(BW696+BV696)-(BX696+BY696+BZ696+CA696+CB696+CB696),0),0)</f>
        <v>0</v>
      </c>
      <c r="CD696" s="224">
        <f>ROUND(IF(BV696+BW696&lt;BX696+BY696+BZ696+CA696-CB696,(BX696+BY696+BZ696+CA696-CB696)-(BW696+BV696),0),0)</f>
        <v>0</v>
      </c>
      <c r="CE696" s="224"/>
      <c r="CF696" s="226"/>
      <c r="CG696" s="87"/>
      <c r="CH696" s="87">
        <f>A696</f>
        <v>7</v>
      </c>
      <c r="CI696" s="227" t="str">
        <f>F696</f>
        <v>Nguyễn Công</v>
      </c>
      <c r="CJ696" s="227" t="str">
        <f>G696</f>
        <v>Thiết</v>
      </c>
      <c r="CK696" s="87">
        <f>H696</f>
        <v>14</v>
      </c>
      <c r="CL696" s="227" t="str">
        <f>L696</f>
        <v>Nuôi trồng thuỷ sản</v>
      </c>
      <c r="CM696" s="87" t="str">
        <f>N696</f>
        <v>CS2</v>
      </c>
      <c r="CN696" s="87">
        <f t="shared" si="2297"/>
        <v>270</v>
      </c>
      <c r="CO696" s="87">
        <f t="shared" si="2297"/>
        <v>100</v>
      </c>
      <c r="CP696" s="229">
        <f t="shared" si="2142"/>
        <v>0</v>
      </c>
      <c r="CQ696" s="229">
        <f t="shared" si="2143"/>
        <v>0</v>
      </c>
      <c r="CR696" s="229">
        <f t="shared" si="2144"/>
        <v>0</v>
      </c>
      <c r="CS696" s="229">
        <f t="shared" si="2145"/>
        <v>0</v>
      </c>
      <c r="CT696" s="229">
        <f t="shared" si="2146"/>
        <v>0</v>
      </c>
      <c r="CU696" s="229">
        <f t="shared" si="2147"/>
        <v>0</v>
      </c>
      <c r="CV696" s="229">
        <f t="shared" si="2148"/>
        <v>0</v>
      </c>
      <c r="CW696" s="229">
        <f t="shared" si="2149"/>
        <v>0</v>
      </c>
      <c r="CX696" s="229">
        <f t="shared" si="2150"/>
        <v>0</v>
      </c>
      <c r="CY696" s="229">
        <f t="shared" si="2151"/>
        <v>0</v>
      </c>
      <c r="CZ696" s="229">
        <f t="shared" si="2152"/>
        <v>0</v>
      </c>
      <c r="DA696" s="229">
        <f t="shared" si="2153"/>
        <v>0</v>
      </c>
      <c r="DB696" s="228">
        <f>SUM(CP696:DA696)</f>
        <v>0</v>
      </c>
      <c r="DC696" s="229"/>
      <c r="DD696" s="229"/>
      <c r="DE696" s="229"/>
      <c r="DF696" s="229"/>
      <c r="DG696" s="229"/>
      <c r="DH696" s="229"/>
      <c r="DI696" s="229"/>
      <c r="DJ696" s="229"/>
      <c r="DK696" s="229"/>
      <c r="DL696" s="229"/>
      <c r="DM696" s="229"/>
      <c r="DN696" s="229"/>
      <c r="DO696" s="228">
        <f>SUM(DC696:DN696)</f>
        <v>0</v>
      </c>
      <c r="DP696" s="228">
        <f>DO696+DB696</f>
        <v>0</v>
      </c>
      <c r="DQ696" s="229">
        <f t="shared" si="2154"/>
        <v>0</v>
      </c>
      <c r="DR696" s="229">
        <f t="shared" si="2155"/>
        <v>0</v>
      </c>
      <c r="DS696" s="229">
        <f t="shared" si="2156"/>
        <v>0</v>
      </c>
      <c r="DT696" s="229">
        <f t="shared" si="2157"/>
        <v>0</v>
      </c>
      <c r="DU696" s="229">
        <f t="shared" si="2158"/>
        <v>0</v>
      </c>
      <c r="DV696" s="229">
        <f t="shared" si="2159"/>
        <v>0</v>
      </c>
      <c r="DW696" s="229">
        <f t="shared" si="2160"/>
        <v>0</v>
      </c>
      <c r="DX696" s="228">
        <f>SUM(DQ696:DW696)</f>
        <v>0</v>
      </c>
      <c r="DY696" s="229"/>
      <c r="DZ696" s="229"/>
      <c r="EA696" s="229"/>
      <c r="EB696" s="229"/>
      <c r="EC696" s="229"/>
      <c r="ED696" s="229"/>
      <c r="EE696" s="229"/>
      <c r="EF696" s="228">
        <f t="shared" si="2138"/>
        <v>0</v>
      </c>
      <c r="EG696" s="228">
        <f>EF696+DX696</f>
        <v>0</v>
      </c>
      <c r="EH696" s="229">
        <f t="shared" si="2139"/>
        <v>0</v>
      </c>
      <c r="EI696" s="229">
        <v>53.8</v>
      </c>
      <c r="EJ696" s="228">
        <f t="shared" si="2256"/>
        <v>53.8</v>
      </c>
      <c r="EK696" s="229"/>
      <c r="EL696" s="229"/>
      <c r="EM696" s="228">
        <f>SUM(EK696:EL696)</f>
        <v>0</v>
      </c>
      <c r="EN696" s="229">
        <f>EK696+EH696+EL696</f>
        <v>0</v>
      </c>
      <c r="EO696" s="229">
        <f>EI696</f>
        <v>53.8</v>
      </c>
      <c r="EP696" s="228">
        <f>EM696+EJ696</f>
        <v>53.8</v>
      </c>
      <c r="EQ696" s="173">
        <f t="shared" si="2135"/>
        <v>0</v>
      </c>
      <c r="ER696" s="189">
        <v>0</v>
      </c>
      <c r="ES696" s="189">
        <v>0</v>
      </c>
      <c r="ET696" s="189">
        <v>0</v>
      </c>
      <c r="EU696" s="189">
        <v>0</v>
      </c>
      <c r="EV696" s="189">
        <v>0</v>
      </c>
      <c r="EW696" s="189">
        <v>0</v>
      </c>
      <c r="EX696" s="189">
        <v>0</v>
      </c>
      <c r="EY696" s="189">
        <v>0</v>
      </c>
      <c r="EZ696" s="189">
        <v>0</v>
      </c>
      <c r="FA696" s="189">
        <v>0</v>
      </c>
      <c r="FB696" s="189">
        <v>0</v>
      </c>
      <c r="FC696" s="189">
        <v>0</v>
      </c>
      <c r="FD696" s="189">
        <v>0</v>
      </c>
      <c r="FE696" s="189">
        <v>0</v>
      </c>
      <c r="FF696" s="189">
        <v>0</v>
      </c>
      <c r="FG696" s="189">
        <v>0</v>
      </c>
      <c r="FH696" s="189">
        <v>0</v>
      </c>
      <c r="FI696" s="189">
        <v>0</v>
      </c>
      <c r="FJ696" s="189">
        <v>0</v>
      </c>
      <c r="FK696" s="189">
        <v>0</v>
      </c>
      <c r="FL696" s="189">
        <v>0</v>
      </c>
      <c r="FN696" s="132">
        <v>0</v>
      </c>
    </row>
    <row r="697" spans="1:170" ht="30" customHeight="1">
      <c r="A697" s="88">
        <f>COUNTIF($H$12:H697,H697)</f>
        <v>8</v>
      </c>
      <c r="B697" s="88" t="s">
        <v>332</v>
      </c>
      <c r="C697" s="88" t="s">
        <v>1552</v>
      </c>
      <c r="D697" s="88"/>
      <c r="E697" s="88"/>
      <c r="F697" s="301" t="s">
        <v>2449</v>
      </c>
      <c r="G697" s="89" t="s">
        <v>2450</v>
      </c>
      <c r="H697" s="88">
        <v>14</v>
      </c>
      <c r="I697" s="88">
        <v>14</v>
      </c>
      <c r="J697" s="88">
        <v>14</v>
      </c>
      <c r="K697" s="90" t="s">
        <v>1615</v>
      </c>
      <c r="L697" s="90" t="s">
        <v>1615</v>
      </c>
      <c r="M697" s="214"/>
      <c r="N697" s="88" t="s">
        <v>1804</v>
      </c>
      <c r="O697" s="216">
        <f>BO697</f>
        <v>3</v>
      </c>
      <c r="P697" s="88" t="str">
        <f>IF(BO697&lt;3.33,"B1_3",IF(AND(BO697&gt;=3.33,BO697&lt;4.65),"B1_4",IF(AND(BO697&gt;=4.65,BO697&lt;5.42),"B1_5",IF(AND(BO697&gt;=5.42,BO697&lt;6.44),"B1_6",IF(AND(BO697&gt;=6.44,BO697&lt;=6.92),"B1_7","B1_8")))))</f>
        <v>B1_3</v>
      </c>
      <c r="Q697" s="88">
        <f>IF(M697&gt;0,VLOOKUP(P697,ma_dinhmuc_moi,2,0)/2,VLOOKUP(P697,ma_dinhmuc_moi,2,0))</f>
        <v>270</v>
      </c>
      <c r="R697" s="88">
        <f>IF(M697&gt;0,VLOOKUP(P697,ma_dinhmuc_moi,3,0)/2,VLOOKUP(P697,ma_dinhmuc_moi,3,0))</f>
        <v>100</v>
      </c>
      <c r="S697" s="218"/>
      <c r="T697" s="88" t="s">
        <v>3088</v>
      </c>
      <c r="U697" s="88">
        <f>IF(RIGHT(T697,1)="K",(VLOOKUP(T697,ma_miengiam!$A$3:$B$80,2,0)*100)/2,VLOOKUP(T697,ma_miengiam!$A$3:$B$80,2,0)*100)</f>
        <v>0</v>
      </c>
      <c r="V697" s="88"/>
      <c r="W697" s="220">
        <f>W696+W695</f>
        <v>27</v>
      </c>
      <c r="X697" s="220">
        <f>X696+X695</f>
        <v>0</v>
      </c>
      <c r="Y697" s="220">
        <f>Y696+Y695</f>
        <v>243</v>
      </c>
      <c r="Z697" s="220">
        <f>Z696+Z695</f>
        <v>100</v>
      </c>
      <c r="AA697" s="220">
        <f>Q697</f>
        <v>270</v>
      </c>
      <c r="AB697" s="220">
        <f>R697</f>
        <v>100</v>
      </c>
      <c r="AC697" s="220">
        <f>W697</f>
        <v>27</v>
      </c>
      <c r="AD697" s="220">
        <f>X697</f>
        <v>0</v>
      </c>
      <c r="AE697" s="220">
        <f>Y697</f>
        <v>243</v>
      </c>
      <c r="AF697" s="220">
        <f>Z697</f>
        <v>100</v>
      </c>
      <c r="AG697" s="220">
        <f>AH697+AI697</f>
        <v>223.8</v>
      </c>
      <c r="AH697" s="220">
        <f>EO697</f>
        <v>53.8</v>
      </c>
      <c r="AI697" s="220">
        <f>EN697</f>
        <v>170</v>
      </c>
      <c r="AJ697" s="220">
        <f>IF(AG697-Z697&gt;0,0,AG697-Z697)</f>
        <v>0</v>
      </c>
      <c r="AK697" s="216">
        <f>IF(AJ697&gt;=0,Y697,Y697-AJ697)</f>
        <v>243</v>
      </c>
      <c r="AL697" s="220">
        <f>SUM(CP697:CX697)+SUM(DC697:DK697)</f>
        <v>54.8</v>
      </c>
      <c r="AM697" s="220">
        <f>SUM(DQ697:DU697)+SUM(DY697:EC697)</f>
        <v>0</v>
      </c>
      <c r="AN697" s="221">
        <f>AM697+AL697</f>
        <v>54.8</v>
      </c>
      <c r="AO697" s="220">
        <f>CY697+DL697</f>
        <v>0</v>
      </c>
      <c r="AP697" s="220">
        <f>CZ697+DM697</f>
        <v>0</v>
      </c>
      <c r="AQ697" s="220">
        <f>DA697+DN697</f>
        <v>0</v>
      </c>
      <c r="AR697" s="220">
        <f>DV697+ED697</f>
        <v>0</v>
      </c>
      <c r="AS697" s="220">
        <f>DW697+EE697</f>
        <v>0</v>
      </c>
      <c r="AT697" s="216">
        <f>AN697+SUM(AO697:AS697)</f>
        <v>54.8</v>
      </c>
      <c r="AU697" s="222">
        <f>AN697-AK697</f>
        <v>-188.2</v>
      </c>
      <c r="AV697" s="220"/>
      <c r="AW697" s="220">
        <f>IF(AU697&gt;0,AU697,AV697+AU697)</f>
        <v>-188.2</v>
      </c>
      <c r="AX697" s="216">
        <f>IF(AN697&gt;AK697,0,IF(AW697&lt;0,AN697-AK697+AV697,IF(AW697&gt;=0,0)))</f>
        <v>-188.2</v>
      </c>
      <c r="AY697" s="220">
        <f>IF(AN697&gt;=AK697,AO697,IF(AN697+AO697-AK697&gt;=0,AN697+AO697-AK697,0))</f>
        <v>0</v>
      </c>
      <c r="AZ697" s="220">
        <f>IF(OR(AN697&gt;=AK697,AN697+AO697&gt;=AK697),AP697,IF(AN697+AO697+AP697&gt;AK697,AN697+AO697+AP697-AK697,0))</f>
        <v>0</v>
      </c>
      <c r="BA697" s="220">
        <f>IF(OR(AN697&gt;=AK697,AN697+AO697&gt;=AK697,AN697+AO697+AP697&gt;=AK697),AQ697,IF(AN697+AO697+AP697+AQ697&gt;=AK697,AN697+AO697+AP697+AQ697-AK697,0))</f>
        <v>0</v>
      </c>
      <c r="BB697" s="220">
        <f>IF(OR(AN697&gt;=AK697,AN697+AO697&gt;=AK697,AN697+AO697+AP697&gt;=AK697,AN697+AO697+AP697+AQ697&gt;=AK697),AR697,IF(AN697+AO697+AP697+AQ697+AR697&gt;=AK697,AN697+AO697+AP697+AQ697+AR697-AK697,0))</f>
        <v>0</v>
      </c>
      <c r="BC697" s="220">
        <f>IF(OR(AN697&gt;=AK697,AN697+AO697&gt;=AK697,AN697+AO697+AP697&gt;=AK697,AN697+AO697+AP697+AQ697&gt;=AK697,AN697+AO697+AP697+AQ697+AR697&gt;=AK697),AS697,IF(AN697+AO697+AP697+AQ697+AR697+AS697&gt;=AK697,AN697+AO697+AP697+AQ697+AR697+AS697-AK697,0))</f>
        <v>0</v>
      </c>
      <c r="BD697" s="216">
        <f>SUM(AY697:BC697)</f>
        <v>0</v>
      </c>
      <c r="BE697" s="220">
        <f>AY697-AO697</f>
        <v>0</v>
      </c>
      <c r="BF697" s="220">
        <f>AZ697-AP697</f>
        <v>0</v>
      </c>
      <c r="BG697" s="220">
        <f>BA697-AQ697</f>
        <v>0</v>
      </c>
      <c r="BH697" s="220">
        <f>BB697-AR697</f>
        <v>0</v>
      </c>
      <c r="BI697" s="220">
        <f>BC697-AS697</f>
        <v>0</v>
      </c>
      <c r="BJ697" s="220" t="s">
        <v>1172</v>
      </c>
      <c r="BK697" s="220"/>
      <c r="BL697" s="223">
        <f>IF(AW697&lt;BK697,0,IF(AND(BK697=0,AW697&gt;0),AW697,IF(AW697&lt;0,0,IF(BK697&gt;0,AW697-BK697,IF(BK697&lt;0,0,AW697)))))</f>
        <v>0</v>
      </c>
      <c r="BM697" s="220">
        <v>3</v>
      </c>
      <c r="BN697" s="220"/>
      <c r="BO697" s="220">
        <f>ROUND(BM697+(BM697*BN697),2)</f>
        <v>3</v>
      </c>
      <c r="BP697" s="220">
        <f>IF(AND(BL697&gt;0,BL697&lt;tiet!$D$1),BL697,IF(BL697&lt;=0,0,IF(BL697&gt;tiet!$C$1,tiet!$C$1)))</f>
        <v>0</v>
      </c>
      <c r="BQ697" s="87">
        <f>VLOOKUP(P697,ma_dinhmuc_moi,4,0)</f>
        <v>60000</v>
      </c>
      <c r="BR697" s="224">
        <f>ROUND(BQ697*BP697,0)</f>
        <v>0</v>
      </c>
      <c r="BS697" s="220">
        <f t="shared" si="2134"/>
        <v>0</v>
      </c>
      <c r="BT697" s="224">
        <f>VLOOKUP(N697,ma_dinhmuc!$A$1:$J$31,10,0)</f>
        <v>51000</v>
      </c>
      <c r="BU697" s="224">
        <f>ROUND(IF(BS697&gt;0,VLOOKUP(N697,ma_dinhmuc!$A$1:$J$31,10,0)*BS697,0),0)</f>
        <v>0</v>
      </c>
      <c r="BV697" s="224">
        <f>ROUND(BU697+BR697,0)</f>
        <v>0</v>
      </c>
      <c r="BW697" s="224"/>
      <c r="BX697" s="224">
        <v>0</v>
      </c>
      <c r="BY697" s="224"/>
      <c r="BZ697" s="224"/>
      <c r="CA697" s="224"/>
      <c r="CB697" s="224"/>
      <c r="CC697" s="225">
        <f>ROUND(IF(BV697+BW697&gt;BX697+BY697+BZ697+CA697+CB697,(BW697+BV697)-(BX697+BY697+BZ697+CA697+CB697+CB697),0),0)</f>
        <v>0</v>
      </c>
      <c r="CD697" s="224">
        <f>ROUND(IF(BV697+BW697&lt;BX697+BY697+BZ697+CA697-CB697,(BX697+BY697+BZ697+CA697-CB697)-(BW697+BV697),0),0)</f>
        <v>0</v>
      </c>
      <c r="CE697" s="224"/>
      <c r="CF697" s="226"/>
      <c r="CG697" s="87"/>
      <c r="CH697" s="87">
        <f>A697</f>
        <v>8</v>
      </c>
      <c r="CI697" s="227" t="str">
        <f>F697</f>
        <v>Nguyễn Công</v>
      </c>
      <c r="CJ697" s="227" t="str">
        <f>G697</f>
        <v>Thiết</v>
      </c>
      <c r="CK697" s="87">
        <f>H697</f>
        <v>14</v>
      </c>
      <c r="CL697" s="227" t="str">
        <f>L697</f>
        <v>Nuôi trồng thuỷ sản</v>
      </c>
      <c r="CM697" s="87" t="str">
        <f>N697</f>
        <v>CS2</v>
      </c>
      <c r="CN697" s="87">
        <f t="shared" si="2297"/>
        <v>270</v>
      </c>
      <c r="CO697" s="87">
        <f t="shared" si="2297"/>
        <v>100</v>
      </c>
      <c r="CP697" s="229">
        <f t="shared" si="2142"/>
        <v>0</v>
      </c>
      <c r="CQ697" s="229">
        <f t="shared" si="2143"/>
        <v>6.3</v>
      </c>
      <c r="CR697" s="229">
        <f t="shared" si="2144"/>
        <v>2.5</v>
      </c>
      <c r="CS697" s="229">
        <f t="shared" si="2145"/>
        <v>0</v>
      </c>
      <c r="CT697" s="229">
        <f t="shared" si="2146"/>
        <v>0</v>
      </c>
      <c r="CU697" s="229">
        <f t="shared" si="2147"/>
        <v>22</v>
      </c>
      <c r="CV697" s="229">
        <f t="shared" si="2148"/>
        <v>0</v>
      </c>
      <c r="CW697" s="229">
        <f t="shared" si="2149"/>
        <v>24</v>
      </c>
      <c r="CX697" s="229">
        <f t="shared" si="2150"/>
        <v>0</v>
      </c>
      <c r="CY697" s="229">
        <f t="shared" si="2151"/>
        <v>0</v>
      </c>
      <c r="CZ697" s="229">
        <f t="shared" si="2152"/>
        <v>0</v>
      </c>
      <c r="DA697" s="229">
        <f t="shared" si="2153"/>
        <v>0</v>
      </c>
      <c r="DB697" s="228">
        <f>SUM(CP697:DA697)</f>
        <v>54.8</v>
      </c>
      <c r="DC697" s="229"/>
      <c r="DD697" s="229"/>
      <c r="DE697" s="229"/>
      <c r="DF697" s="229"/>
      <c r="DG697" s="229"/>
      <c r="DH697" s="229"/>
      <c r="DI697" s="229"/>
      <c r="DJ697" s="229"/>
      <c r="DK697" s="229"/>
      <c r="DL697" s="229"/>
      <c r="DM697" s="229"/>
      <c r="DN697" s="229"/>
      <c r="DO697" s="228">
        <f>SUM(DC697:DN697)</f>
        <v>0</v>
      </c>
      <c r="DP697" s="228">
        <f>DO697+DB697</f>
        <v>54.8</v>
      </c>
      <c r="DQ697" s="229">
        <f t="shared" si="2154"/>
        <v>0</v>
      </c>
      <c r="DR697" s="229">
        <f t="shared" si="2155"/>
        <v>0</v>
      </c>
      <c r="DS697" s="229">
        <f t="shared" si="2156"/>
        <v>0</v>
      </c>
      <c r="DT697" s="229">
        <f t="shared" si="2157"/>
        <v>0</v>
      </c>
      <c r="DU697" s="229">
        <f t="shared" si="2158"/>
        <v>0</v>
      </c>
      <c r="DV697" s="229">
        <f t="shared" si="2159"/>
        <v>0</v>
      </c>
      <c r="DW697" s="229">
        <f t="shared" si="2160"/>
        <v>0</v>
      </c>
      <c r="DX697" s="228">
        <f>SUM(DQ697:DW697)</f>
        <v>0</v>
      </c>
      <c r="DY697" s="229"/>
      <c r="DZ697" s="229"/>
      <c r="EA697" s="229"/>
      <c r="EB697" s="229"/>
      <c r="EC697" s="229"/>
      <c r="ED697" s="229"/>
      <c r="EE697" s="229"/>
      <c r="EF697" s="228">
        <f t="shared" si="2138"/>
        <v>0</v>
      </c>
      <c r="EG697" s="228">
        <f>EF697+DX697</f>
        <v>0</v>
      </c>
      <c r="EH697" s="229">
        <f t="shared" si="2139"/>
        <v>170</v>
      </c>
      <c r="EI697" s="229">
        <v>53.8</v>
      </c>
      <c r="EJ697" s="228">
        <f t="shared" si="2256"/>
        <v>223.8</v>
      </c>
      <c r="EK697" s="229"/>
      <c r="EL697" s="229"/>
      <c r="EM697" s="228">
        <f>SUM(EK697:EL697)</f>
        <v>0</v>
      </c>
      <c r="EN697" s="229">
        <f>EK697+EH697+EL697</f>
        <v>170</v>
      </c>
      <c r="EO697" s="229">
        <f>EI697</f>
        <v>53.8</v>
      </c>
      <c r="EP697" s="228">
        <f>EM697+EJ697</f>
        <v>223.8</v>
      </c>
      <c r="EQ697" s="173">
        <f t="shared" si="2135"/>
        <v>70</v>
      </c>
      <c r="ER697" s="189">
        <v>0</v>
      </c>
      <c r="ES697" s="189">
        <v>6.3</v>
      </c>
      <c r="ET697" s="189">
        <v>2.5</v>
      </c>
      <c r="EU697" s="189">
        <v>0</v>
      </c>
      <c r="EV697" s="189">
        <v>0</v>
      </c>
      <c r="EW697" s="189">
        <v>22</v>
      </c>
      <c r="EX697" s="189">
        <v>0</v>
      </c>
      <c r="EY697" s="189">
        <v>24</v>
      </c>
      <c r="EZ697" s="189">
        <v>0</v>
      </c>
      <c r="FA697" s="189">
        <v>0</v>
      </c>
      <c r="FB697" s="189">
        <v>0</v>
      </c>
      <c r="FC697" s="189">
        <v>0</v>
      </c>
      <c r="FD697" s="189">
        <v>0</v>
      </c>
      <c r="FE697" s="189">
        <v>0</v>
      </c>
      <c r="FF697" s="189">
        <v>0</v>
      </c>
      <c r="FG697" s="189">
        <v>0</v>
      </c>
      <c r="FH697" s="189">
        <v>0</v>
      </c>
      <c r="FI697" s="189">
        <v>0</v>
      </c>
      <c r="FJ697" s="189">
        <v>0</v>
      </c>
      <c r="FK697" s="189">
        <v>54.8</v>
      </c>
      <c r="FL697" s="189">
        <v>48</v>
      </c>
      <c r="FN697" s="132">
        <v>170</v>
      </c>
    </row>
    <row r="698" spans="1:170" ht="30" customHeight="1">
      <c r="A698" s="88">
        <f>COUNTIF($H$12:H698,H698)</f>
        <v>9</v>
      </c>
      <c r="B698" s="88" t="s">
        <v>333</v>
      </c>
      <c r="C698" s="88" t="s">
        <v>1553</v>
      </c>
      <c r="D698" s="88"/>
      <c r="E698" s="88"/>
      <c r="F698" s="301" t="s">
        <v>1139</v>
      </c>
      <c r="G698" s="89" t="s">
        <v>2087</v>
      </c>
      <c r="H698" s="88">
        <v>14</v>
      </c>
      <c r="I698" s="88"/>
      <c r="J698" s="88">
        <v>14</v>
      </c>
      <c r="K698" s="90"/>
      <c r="L698" s="90" t="s">
        <v>1615</v>
      </c>
      <c r="M698" s="214"/>
      <c r="N698" s="88" t="s">
        <v>1804</v>
      </c>
      <c r="O698" s="216">
        <f t="shared" si="2291"/>
        <v>2.67</v>
      </c>
      <c r="P698" s="88" t="str">
        <f t="shared" si="2279"/>
        <v>B1_3</v>
      </c>
      <c r="Q698" s="88">
        <f t="shared" si="2136"/>
        <v>270</v>
      </c>
      <c r="R698" s="88">
        <f t="shared" si="2137"/>
        <v>100</v>
      </c>
      <c r="S698" s="218"/>
      <c r="T698" s="88" t="s">
        <v>3088</v>
      </c>
      <c r="U698" s="88">
        <f>IF(RIGHT(T698,1)="K",(VLOOKUP(T698,ma_miengiam!$A$3:$B$80,2,0)*100)/2,VLOOKUP(T698,ma_miengiam!$A$3:$B$80,2,0)*100)</f>
        <v>0</v>
      </c>
      <c r="V698" s="88">
        <v>3</v>
      </c>
      <c r="W698" s="220">
        <f>IF(AND(T698="NTS",V698&gt;0),(Q698-(Q698*V698)/12)*VLOOKUP(T698,ma_miengiam!$A$3:$B$80,2,0)+(Q698-(Q698*(12-V698))/12),IF(AND(RIGHT(T698,1)="K",V698&gt;0),(VLOOKUP(T698,ma_miengiam!$A$3:$B$80,2,0)/2)*(Q698*V698)/12,IF(RIGHT(T698,1)="K",(VLOOKUP(T698,ma_miengiam!$A$3:$B$80,2,0)*Q698)/2,IF(V698&gt;0,VLOOKUP(T698,ma_miengiam!$A$3:$B$80,2,0)*Q698*V698/12,VLOOKUP(T698,ma_miengiam!$A$3:$B$80,2,0)*Q698))))</f>
        <v>0</v>
      </c>
      <c r="X698" s="220">
        <f>IF(T698="NTS",VLOOKUP(T698,ma_miengiam!$A$3:$B$80,2,0)*R698*V698,IF(AND(T698="NTS",V698=0),0,IF(AND(LEFT(T698,1)="K",V698=0),VLOOKUP(T698,ma_miengiam!$A$3:$B$80,2,0)*R698,IF(LEFT(T698,1)="K",(VLOOKUP(T698,ma_miengiam!$A$3:$B$80,2,0)*R698/12)*V698,IF(AND(LEFT(T698,1)="S",V698&gt;0),(R698/12)*V698,IF(AND(LEFT(T698,1)="S",V698=0),R698,IF(T698="DH",VLOOKUP(T698,ma_miengiam!$A$3:$B$80,2,0)*R698,0)))))))</f>
        <v>0</v>
      </c>
      <c r="Y698" s="220">
        <f t="shared" si="2257"/>
        <v>67.5</v>
      </c>
      <c r="Z698" s="220">
        <f t="shared" si="2258"/>
        <v>25</v>
      </c>
      <c r="AA698" s="220"/>
      <c r="AB698" s="220"/>
      <c r="AC698" s="220"/>
      <c r="AD698" s="220"/>
      <c r="AE698" s="220"/>
      <c r="AF698" s="220"/>
      <c r="AG698" s="220"/>
      <c r="AH698" s="220"/>
      <c r="AI698" s="220"/>
      <c r="AJ698" s="220"/>
      <c r="AK698" s="216"/>
      <c r="AL698" s="220"/>
      <c r="AM698" s="220"/>
      <c r="AN698" s="221"/>
      <c r="AO698" s="220"/>
      <c r="AP698" s="220"/>
      <c r="AQ698" s="220"/>
      <c r="AR698" s="220"/>
      <c r="AS698" s="220"/>
      <c r="AT698" s="216"/>
      <c r="AU698" s="222"/>
      <c r="AV698" s="220"/>
      <c r="AW698" s="220"/>
      <c r="AX698" s="216"/>
      <c r="AY698" s="220"/>
      <c r="AZ698" s="220"/>
      <c r="BA698" s="220"/>
      <c r="BB698" s="220"/>
      <c r="BC698" s="220"/>
      <c r="BD698" s="216"/>
      <c r="BE698" s="220"/>
      <c r="BF698" s="220"/>
      <c r="BG698" s="220"/>
      <c r="BH698" s="220"/>
      <c r="BI698" s="220"/>
      <c r="BJ698" s="220" t="s">
        <v>1172</v>
      </c>
      <c r="BK698" s="220"/>
      <c r="BL698" s="223">
        <f t="shared" si="2210"/>
        <v>0</v>
      </c>
      <c r="BM698" s="220">
        <v>2.67</v>
      </c>
      <c r="BN698" s="220"/>
      <c r="BO698" s="220">
        <f t="shared" si="2293"/>
        <v>2.67</v>
      </c>
      <c r="BP698" s="220">
        <f>IF(AND(BL698&gt;0,BL698&lt;tiet!$D$1),BL698,IF(BL698&lt;=0,0,IF(BL698&gt;tiet!$C$1,tiet!$C$1)))</f>
        <v>0</v>
      </c>
      <c r="BQ698" s="87">
        <f t="shared" si="2278"/>
        <v>60000</v>
      </c>
      <c r="BR698" s="224">
        <f t="shared" si="2268"/>
        <v>0</v>
      </c>
      <c r="BS698" s="220">
        <f t="shared" si="2134"/>
        <v>0</v>
      </c>
      <c r="BT698" s="224">
        <f>VLOOKUP(N698,ma_dinhmuc!$A$1:$J$31,10,0)</f>
        <v>51000</v>
      </c>
      <c r="BU698" s="224">
        <f>ROUND(IF(BS698&gt;0,VLOOKUP(N698,ma_dinhmuc!$A$1:$J$31,10,0)*BS698,0),0)</f>
        <v>0</v>
      </c>
      <c r="BV698" s="224">
        <f t="shared" si="2269"/>
        <v>0</v>
      </c>
      <c r="BW698" s="224"/>
      <c r="BX698" s="224">
        <v>0</v>
      </c>
      <c r="BY698" s="224"/>
      <c r="BZ698" s="224"/>
      <c r="CA698" s="224"/>
      <c r="CB698" s="224"/>
      <c r="CC698" s="225">
        <f t="shared" si="2112"/>
        <v>0</v>
      </c>
      <c r="CD698" s="224">
        <f t="shared" si="2113"/>
        <v>0</v>
      </c>
      <c r="CE698" s="224"/>
      <c r="CF698" s="226"/>
      <c r="CG698" s="87"/>
      <c r="CH698" s="87">
        <f t="shared" si="2274"/>
        <v>9</v>
      </c>
      <c r="CI698" s="227" t="str">
        <f t="shared" si="2295"/>
        <v>Nguyễn Thị</v>
      </c>
      <c r="CJ698" s="227" t="str">
        <f t="shared" si="2295"/>
        <v>Dung</v>
      </c>
      <c r="CK698" s="87">
        <f t="shared" si="2289"/>
        <v>14</v>
      </c>
      <c r="CL698" s="227" t="str">
        <f t="shared" si="2296"/>
        <v>Nuôi trồng thuỷ sản</v>
      </c>
      <c r="CM698" s="87" t="str">
        <f t="shared" si="2180"/>
        <v>CS2</v>
      </c>
      <c r="CN698" s="87">
        <f t="shared" si="2297"/>
        <v>270</v>
      </c>
      <c r="CO698" s="87">
        <f t="shared" si="2297"/>
        <v>100</v>
      </c>
      <c r="CP698" s="229">
        <f t="shared" si="2142"/>
        <v>0</v>
      </c>
      <c r="CQ698" s="229">
        <f t="shared" si="2143"/>
        <v>0</v>
      </c>
      <c r="CR698" s="229">
        <f t="shared" si="2144"/>
        <v>0</v>
      </c>
      <c r="CS698" s="229">
        <f t="shared" si="2145"/>
        <v>0</v>
      </c>
      <c r="CT698" s="229">
        <f t="shared" si="2146"/>
        <v>0</v>
      </c>
      <c r="CU698" s="229">
        <f t="shared" si="2147"/>
        <v>0</v>
      </c>
      <c r="CV698" s="229">
        <f t="shared" si="2148"/>
        <v>0</v>
      </c>
      <c r="CW698" s="229">
        <f t="shared" si="2149"/>
        <v>0</v>
      </c>
      <c r="CX698" s="229">
        <f t="shared" si="2150"/>
        <v>0</v>
      </c>
      <c r="CY698" s="229">
        <f t="shared" si="2151"/>
        <v>0</v>
      </c>
      <c r="CZ698" s="229">
        <f t="shared" si="2152"/>
        <v>0</v>
      </c>
      <c r="DA698" s="229">
        <f t="shared" si="2153"/>
        <v>0</v>
      </c>
      <c r="DB698" s="228">
        <f t="shared" si="2235"/>
        <v>0</v>
      </c>
      <c r="DC698" s="229"/>
      <c r="DD698" s="229"/>
      <c r="DE698" s="229"/>
      <c r="DF698" s="229"/>
      <c r="DG698" s="229"/>
      <c r="DH698" s="229"/>
      <c r="DI698" s="229"/>
      <c r="DJ698" s="229"/>
      <c r="DK698" s="229"/>
      <c r="DL698" s="229"/>
      <c r="DM698" s="229"/>
      <c r="DN698" s="229"/>
      <c r="DO698" s="228">
        <f t="shared" si="2247"/>
        <v>0</v>
      </c>
      <c r="DP698" s="228">
        <f t="shared" si="2248"/>
        <v>0</v>
      </c>
      <c r="DQ698" s="229">
        <f t="shared" si="2154"/>
        <v>0</v>
      </c>
      <c r="DR698" s="229">
        <f t="shared" si="2155"/>
        <v>0</v>
      </c>
      <c r="DS698" s="229">
        <f t="shared" si="2156"/>
        <v>0</v>
      </c>
      <c r="DT698" s="229">
        <f t="shared" si="2157"/>
        <v>0</v>
      </c>
      <c r="DU698" s="229">
        <f t="shared" si="2158"/>
        <v>0</v>
      </c>
      <c r="DV698" s="229">
        <f t="shared" si="2159"/>
        <v>0</v>
      </c>
      <c r="DW698" s="229">
        <f t="shared" si="2160"/>
        <v>0</v>
      </c>
      <c r="DX698" s="228">
        <f t="shared" si="2236"/>
        <v>0</v>
      </c>
      <c r="DY698" s="229"/>
      <c r="DZ698" s="229"/>
      <c r="EA698" s="229"/>
      <c r="EB698" s="229"/>
      <c r="EC698" s="229"/>
      <c r="ED698" s="229"/>
      <c r="EE698" s="229"/>
      <c r="EF698" s="228">
        <f t="shared" si="2138"/>
        <v>0</v>
      </c>
      <c r="EG698" s="228">
        <f t="shared" si="2249"/>
        <v>0</v>
      </c>
      <c r="EH698" s="229">
        <f t="shared" si="2139"/>
        <v>0</v>
      </c>
      <c r="EI698" s="229">
        <v>53.8</v>
      </c>
      <c r="EJ698" s="228">
        <f t="shared" si="2256"/>
        <v>53.8</v>
      </c>
      <c r="EK698" s="229"/>
      <c r="EL698" s="229"/>
      <c r="EM698" s="228">
        <f t="shared" si="2285"/>
        <v>0</v>
      </c>
      <c r="EN698" s="229">
        <f t="shared" si="2220"/>
        <v>0</v>
      </c>
      <c r="EO698" s="229">
        <f t="shared" si="2123"/>
        <v>53.8</v>
      </c>
      <c r="EP698" s="228">
        <f t="shared" si="2294"/>
        <v>53.8</v>
      </c>
      <c r="EQ698" s="173">
        <f t="shared" si="2135"/>
        <v>0</v>
      </c>
      <c r="ER698" s="189">
        <v>0</v>
      </c>
      <c r="ES698" s="189">
        <v>0</v>
      </c>
      <c r="ET698" s="189">
        <v>0</v>
      </c>
      <c r="EU698" s="189">
        <v>0</v>
      </c>
      <c r="EV698" s="189">
        <v>0</v>
      </c>
      <c r="EW698" s="189">
        <v>0</v>
      </c>
      <c r="EX698" s="189">
        <v>0</v>
      </c>
      <c r="EY698" s="189">
        <v>0</v>
      </c>
      <c r="EZ698" s="189">
        <v>0</v>
      </c>
      <c r="FA698" s="189">
        <v>0</v>
      </c>
      <c r="FB698" s="189">
        <v>0</v>
      </c>
      <c r="FC698" s="189">
        <v>0</v>
      </c>
      <c r="FD698" s="189">
        <v>0</v>
      </c>
      <c r="FE698" s="189">
        <v>0</v>
      </c>
      <c r="FF698" s="189">
        <v>0</v>
      </c>
      <c r="FG698" s="189">
        <v>0</v>
      </c>
      <c r="FH698" s="189">
        <v>0</v>
      </c>
      <c r="FI698" s="189">
        <v>0</v>
      </c>
      <c r="FJ698" s="189">
        <v>0</v>
      </c>
      <c r="FK698" s="189">
        <v>0</v>
      </c>
      <c r="FL698" s="189">
        <v>0</v>
      </c>
      <c r="FN698" s="132">
        <v>0</v>
      </c>
    </row>
    <row r="699" spans="1:170" ht="30" customHeight="1">
      <c r="A699" s="88">
        <f>COUNTIF($H$12:H699,H699)</f>
        <v>10</v>
      </c>
      <c r="B699" s="88" t="s">
        <v>333</v>
      </c>
      <c r="C699" s="88" t="s">
        <v>1553</v>
      </c>
      <c r="D699" s="88"/>
      <c r="E699" s="88"/>
      <c r="F699" s="301" t="s">
        <v>1139</v>
      </c>
      <c r="G699" s="89" t="s">
        <v>2087</v>
      </c>
      <c r="H699" s="88">
        <v>14</v>
      </c>
      <c r="I699" s="88"/>
      <c r="J699" s="88">
        <v>14</v>
      </c>
      <c r="K699" s="90"/>
      <c r="L699" s="90" t="s">
        <v>1615</v>
      </c>
      <c r="M699" s="214"/>
      <c r="N699" s="88" t="s">
        <v>1804</v>
      </c>
      <c r="O699" s="216">
        <f>BO699</f>
        <v>2.67</v>
      </c>
      <c r="P699" s="88" t="str">
        <f>IF(BO699&lt;3.33,"B1_3",IF(AND(BO699&gt;=3.33,BO699&lt;4.65),"B1_4",IF(AND(BO699&gt;=4.65,BO699&lt;5.42),"B1_5",IF(AND(BO699&gt;=5.42,BO699&lt;6.44),"B1_6",IF(AND(BO699&gt;=6.44,BO699&lt;=6.92),"B1_7","B1_8")))))</f>
        <v>B1_3</v>
      </c>
      <c r="Q699" s="88">
        <f>IF(M699&gt;0,VLOOKUP(P699,ma_dinhmuc_moi,2,0)/2,VLOOKUP(P699,ma_dinhmuc_moi,2,0))</f>
        <v>270</v>
      </c>
      <c r="R699" s="88">
        <f>IF(M699&gt;0,VLOOKUP(P699,ma_dinhmuc_moi,3,0)/2,VLOOKUP(P699,ma_dinhmuc_moi,3,0))</f>
        <v>100</v>
      </c>
      <c r="S699" s="218" t="s">
        <v>1425</v>
      </c>
      <c r="T699" s="88" t="s">
        <v>3095</v>
      </c>
      <c r="U699" s="88">
        <f>IF(RIGHT(T699,1)="K",(VLOOKUP(T699,ma_miengiam!$A$3:$B$80,2,0)*100)/2,VLOOKUP(T699,ma_miengiam!$A$3:$B$80,2,0)*100)</f>
        <v>40</v>
      </c>
      <c r="V699" s="88">
        <v>9</v>
      </c>
      <c r="W699" s="220">
        <f>IF(AND(T699="NTS",V699&gt;0),(Q699-(Q699*V699)/12)*VLOOKUP(T699,ma_miengiam!$A$3:$B$80,2,0)+(Q699-(Q699*(12-V699))/12),IF(AND(RIGHT(T699,1)="K",V699&gt;0),(VLOOKUP(T699,ma_miengiam!$A$3:$B$80,2,0)/2)*(Q699*V699)/12,IF(RIGHT(T699,1)="K",(VLOOKUP(T699,ma_miengiam!$A$3:$B$80,2,0)*Q699)/2,IF(V699&gt;0,VLOOKUP(T699,ma_miengiam!$A$3:$B$80,2,0)*Q699*V699/12,VLOOKUP(T699,ma_miengiam!$A$3:$B$80,2,0)*Q699))))</f>
        <v>81</v>
      </c>
      <c r="X699" s="220">
        <f>IF(T699="NTS",VLOOKUP(T699,ma_miengiam!$A$3:$B$80,2,0)*R699*V699,IF(AND(T699="NTS",V699=0),0,IF(AND(LEFT(T699,1)="K",V699=0),VLOOKUP(T699,ma_miengiam!$A$3:$B$80,2,0)*R699,IF(LEFT(T699,1)="K",(VLOOKUP(T699,ma_miengiam!$A$3:$B$80,2,0)*R699/12)*V699,IF(AND(LEFT(T699,1)="S",V699&gt;0),(R699/12)*V699,IF(AND(LEFT(T699,1)="S",V699=0),R699,IF(T699="DH",VLOOKUP(T699,ma_miengiam!$A$3:$B$80,2,0)*R699,0)))))))</f>
        <v>0</v>
      </c>
      <c r="Y699" s="220">
        <f>IF(AND(T699="DH",V699&gt;0),(S699*V699/12),IF(AND(T699&lt;&gt;"NTS",V699&gt;0),(Q699*V699/12)-W699,IF(AND(T699="NTS",V699&gt;0),Q699-W699,Q699-W699)))</f>
        <v>121.5</v>
      </c>
      <c r="Z699" s="220">
        <f>IF(AND(T699="SĐH",V699&gt;0),(R699/12)*V699-X699,IF(AND(T699="DH",V699&gt;0),(R699*V699/12),IF(AND(T699&lt;&gt;"NTS",V699&gt;0),(R699*V699/12)-X699,IF(AND(T699="NTS",V699&gt;0),R699-X699,R699-X699))))</f>
        <v>75</v>
      </c>
      <c r="AA699" s="220"/>
      <c r="AB699" s="220"/>
      <c r="AC699" s="220"/>
      <c r="AD699" s="220"/>
      <c r="AE699" s="220"/>
      <c r="AF699" s="220"/>
      <c r="AG699" s="220"/>
      <c r="AH699" s="220"/>
      <c r="AI699" s="220"/>
      <c r="AJ699" s="220"/>
      <c r="AK699" s="216"/>
      <c r="AL699" s="220"/>
      <c r="AM699" s="220"/>
      <c r="AN699" s="221"/>
      <c r="AO699" s="220"/>
      <c r="AP699" s="220"/>
      <c r="AQ699" s="220"/>
      <c r="AR699" s="220"/>
      <c r="AS699" s="220"/>
      <c r="AT699" s="216"/>
      <c r="AU699" s="222"/>
      <c r="AV699" s="220"/>
      <c r="AW699" s="220"/>
      <c r="AX699" s="216"/>
      <c r="AY699" s="220"/>
      <c r="AZ699" s="220"/>
      <c r="BA699" s="220"/>
      <c r="BB699" s="220"/>
      <c r="BC699" s="220"/>
      <c r="BD699" s="216"/>
      <c r="BE699" s="220"/>
      <c r="BF699" s="220"/>
      <c r="BG699" s="220"/>
      <c r="BH699" s="220"/>
      <c r="BI699" s="220"/>
      <c r="BJ699" s="220" t="s">
        <v>1172</v>
      </c>
      <c r="BK699" s="220"/>
      <c r="BL699" s="223">
        <f>IF(AW699&lt;BK699,0,IF(AND(BK699=0,AW699&gt;0),AW699,IF(AW699&lt;0,0,IF(BK699&gt;0,AW699-BK699,IF(BK699&lt;0,0,AW699)))))</f>
        <v>0</v>
      </c>
      <c r="BM699" s="220">
        <v>2.67</v>
      </c>
      <c r="BN699" s="220"/>
      <c r="BO699" s="220">
        <f>ROUND(BM699+(BM699*BN699),2)</f>
        <v>2.67</v>
      </c>
      <c r="BP699" s="220">
        <f>IF(AND(BL699&gt;0,BL699&lt;tiet!$D$1),BL699,IF(BL699&lt;=0,0,IF(BL699&gt;tiet!$C$1,tiet!$C$1)))</f>
        <v>0</v>
      </c>
      <c r="BQ699" s="87">
        <f>VLOOKUP(P699,ma_dinhmuc_moi,4,0)</f>
        <v>60000</v>
      </c>
      <c r="BR699" s="224">
        <f>ROUND(BQ699*BP699,0)</f>
        <v>0</v>
      </c>
      <c r="BS699" s="220">
        <f t="shared" si="2134"/>
        <v>0</v>
      </c>
      <c r="BT699" s="224">
        <f>VLOOKUP(N699,ma_dinhmuc!$A$1:$J$31,10,0)</f>
        <v>51000</v>
      </c>
      <c r="BU699" s="224">
        <f>ROUND(IF(BS699&gt;0,VLOOKUP(N699,ma_dinhmuc!$A$1:$J$31,10,0)*BS699,0),0)</f>
        <v>0</v>
      </c>
      <c r="BV699" s="224">
        <f>ROUND(BU699+BR699,0)</f>
        <v>0</v>
      </c>
      <c r="BW699" s="224"/>
      <c r="BX699" s="224">
        <v>0</v>
      </c>
      <c r="BY699" s="224"/>
      <c r="BZ699" s="224"/>
      <c r="CA699" s="224"/>
      <c r="CB699" s="224"/>
      <c r="CC699" s="225">
        <f>ROUND(IF(BV699+BW699&gt;BX699+BY699+BZ699+CA699+CB699,(BW699+BV699)-(BX699+BY699+BZ699+CA699+CB699+CB699),0),0)</f>
        <v>0</v>
      </c>
      <c r="CD699" s="224">
        <f>ROUND(IF(BV699+BW699&lt;BX699+BY699+BZ699+CA699-CB699,(BX699+BY699+BZ699+CA699-CB699)-(BW699+BV699),0),0)</f>
        <v>0</v>
      </c>
      <c r="CE699" s="224"/>
      <c r="CF699" s="226"/>
      <c r="CG699" s="87"/>
      <c r="CH699" s="87">
        <f>A699</f>
        <v>10</v>
      </c>
      <c r="CI699" s="227" t="str">
        <f t="shared" ref="CI699:CK700" si="2298">F699</f>
        <v>Nguyễn Thị</v>
      </c>
      <c r="CJ699" s="227" t="str">
        <f t="shared" si="2298"/>
        <v>Dung</v>
      </c>
      <c r="CK699" s="87">
        <f t="shared" si="2298"/>
        <v>14</v>
      </c>
      <c r="CL699" s="227" t="str">
        <f>L699</f>
        <v>Nuôi trồng thuỷ sản</v>
      </c>
      <c r="CM699" s="87" t="str">
        <f>N699</f>
        <v>CS2</v>
      </c>
      <c r="CN699" s="87">
        <f t="shared" si="2297"/>
        <v>270</v>
      </c>
      <c r="CO699" s="87">
        <f t="shared" si="2297"/>
        <v>100</v>
      </c>
      <c r="CP699" s="229">
        <f t="shared" si="2142"/>
        <v>0</v>
      </c>
      <c r="CQ699" s="229">
        <f t="shared" si="2143"/>
        <v>0</v>
      </c>
      <c r="CR699" s="229">
        <f t="shared" si="2144"/>
        <v>0</v>
      </c>
      <c r="CS699" s="229">
        <f t="shared" si="2145"/>
        <v>0</v>
      </c>
      <c r="CT699" s="229">
        <f t="shared" si="2146"/>
        <v>0</v>
      </c>
      <c r="CU699" s="229">
        <f t="shared" si="2147"/>
        <v>0</v>
      </c>
      <c r="CV699" s="229">
        <f t="shared" si="2148"/>
        <v>0</v>
      </c>
      <c r="CW699" s="229">
        <f t="shared" si="2149"/>
        <v>0</v>
      </c>
      <c r="CX699" s="229">
        <f t="shared" si="2150"/>
        <v>0</v>
      </c>
      <c r="CY699" s="229">
        <f t="shared" si="2151"/>
        <v>0</v>
      </c>
      <c r="CZ699" s="229">
        <f t="shared" si="2152"/>
        <v>0</v>
      </c>
      <c r="DA699" s="229">
        <f t="shared" si="2153"/>
        <v>0</v>
      </c>
      <c r="DB699" s="228">
        <f>SUM(CP699:DA699)</f>
        <v>0</v>
      </c>
      <c r="DC699" s="229"/>
      <c r="DD699" s="229"/>
      <c r="DE699" s="229"/>
      <c r="DF699" s="229"/>
      <c r="DG699" s="229"/>
      <c r="DH699" s="229"/>
      <c r="DI699" s="229"/>
      <c r="DJ699" s="229"/>
      <c r="DK699" s="229"/>
      <c r="DL699" s="229"/>
      <c r="DM699" s="229"/>
      <c r="DN699" s="229"/>
      <c r="DO699" s="228">
        <f>SUM(DC699:DN699)</f>
        <v>0</v>
      </c>
      <c r="DP699" s="228">
        <f>DO699+DB699</f>
        <v>0</v>
      </c>
      <c r="DQ699" s="229">
        <f t="shared" si="2154"/>
        <v>0</v>
      </c>
      <c r="DR699" s="229">
        <f t="shared" si="2155"/>
        <v>0</v>
      </c>
      <c r="DS699" s="229">
        <f t="shared" si="2156"/>
        <v>0</v>
      </c>
      <c r="DT699" s="229">
        <f t="shared" si="2157"/>
        <v>0</v>
      </c>
      <c r="DU699" s="229">
        <f t="shared" si="2158"/>
        <v>0</v>
      </c>
      <c r="DV699" s="229">
        <f t="shared" si="2159"/>
        <v>0</v>
      </c>
      <c r="DW699" s="229">
        <f t="shared" si="2160"/>
        <v>0</v>
      </c>
      <c r="DX699" s="228">
        <f>SUM(DQ699:DW699)</f>
        <v>0</v>
      </c>
      <c r="DY699" s="229"/>
      <c r="DZ699" s="229"/>
      <c r="EA699" s="229"/>
      <c r="EB699" s="229"/>
      <c r="EC699" s="229"/>
      <c r="ED699" s="229"/>
      <c r="EE699" s="229"/>
      <c r="EF699" s="228">
        <f t="shared" si="2138"/>
        <v>0</v>
      </c>
      <c r="EG699" s="228">
        <f>EF699+DX699</f>
        <v>0</v>
      </c>
      <c r="EH699" s="229">
        <f t="shared" si="2139"/>
        <v>0</v>
      </c>
      <c r="EI699" s="229">
        <v>53.8</v>
      </c>
      <c r="EJ699" s="228">
        <f t="shared" si="2256"/>
        <v>53.8</v>
      </c>
      <c r="EK699" s="229"/>
      <c r="EL699" s="229"/>
      <c r="EM699" s="228">
        <f>SUM(EK699:EL699)</f>
        <v>0</v>
      </c>
      <c r="EN699" s="229">
        <f>EK699+EH699+EL699</f>
        <v>0</v>
      </c>
      <c r="EO699" s="229">
        <f>EI699</f>
        <v>53.8</v>
      </c>
      <c r="EP699" s="228">
        <f>EM699+EJ699</f>
        <v>53.8</v>
      </c>
      <c r="EQ699" s="173">
        <f t="shared" si="2135"/>
        <v>0</v>
      </c>
      <c r="ER699" s="189">
        <v>0</v>
      </c>
      <c r="ES699" s="189">
        <v>0</v>
      </c>
      <c r="ET699" s="189">
        <v>0</v>
      </c>
      <c r="EU699" s="189">
        <v>0</v>
      </c>
      <c r="EV699" s="189">
        <v>0</v>
      </c>
      <c r="EW699" s="189">
        <v>0</v>
      </c>
      <c r="EX699" s="189">
        <v>0</v>
      </c>
      <c r="EY699" s="189">
        <v>0</v>
      </c>
      <c r="EZ699" s="189">
        <v>0</v>
      </c>
      <c r="FA699" s="189">
        <v>0</v>
      </c>
      <c r="FB699" s="189">
        <v>0</v>
      </c>
      <c r="FC699" s="189">
        <v>0</v>
      </c>
      <c r="FD699" s="189">
        <v>0</v>
      </c>
      <c r="FE699" s="189">
        <v>0</v>
      </c>
      <c r="FF699" s="189">
        <v>0</v>
      </c>
      <c r="FG699" s="189">
        <v>0</v>
      </c>
      <c r="FH699" s="189">
        <v>0</v>
      </c>
      <c r="FI699" s="189">
        <v>0</v>
      </c>
      <c r="FJ699" s="189">
        <v>0</v>
      </c>
      <c r="FK699" s="189">
        <v>0</v>
      </c>
      <c r="FL699" s="189">
        <v>0</v>
      </c>
      <c r="FN699" s="132">
        <v>0</v>
      </c>
    </row>
    <row r="700" spans="1:170" ht="30" customHeight="1">
      <c r="A700" s="88">
        <f>COUNTIF($H$12:H700,H700)</f>
        <v>11</v>
      </c>
      <c r="B700" s="88" t="s">
        <v>333</v>
      </c>
      <c r="C700" s="88" t="s">
        <v>1553</v>
      </c>
      <c r="D700" s="88"/>
      <c r="E700" s="88"/>
      <c r="F700" s="301" t="s">
        <v>1139</v>
      </c>
      <c r="G700" s="89" t="s">
        <v>2087</v>
      </c>
      <c r="H700" s="88">
        <v>14</v>
      </c>
      <c r="I700" s="88">
        <v>14</v>
      </c>
      <c r="J700" s="88">
        <v>14</v>
      </c>
      <c r="K700" s="90" t="s">
        <v>1615</v>
      </c>
      <c r="L700" s="90" t="s">
        <v>1615</v>
      </c>
      <c r="M700" s="214"/>
      <c r="N700" s="88" t="s">
        <v>1804</v>
      </c>
      <c r="O700" s="216">
        <f>BO700</f>
        <v>2.67</v>
      </c>
      <c r="P700" s="88" t="str">
        <f>IF(BO700&lt;3.33,"B1_3",IF(AND(BO700&gt;=3.33,BO700&lt;4.65),"B1_4",IF(AND(BO700&gt;=4.65,BO700&lt;5.42),"B1_5",IF(AND(BO700&gt;=5.42,BO700&lt;6.44),"B1_6",IF(AND(BO700&gt;=6.44,BO700&lt;=6.92),"B1_7","B1_8")))))</f>
        <v>B1_3</v>
      </c>
      <c r="Q700" s="88">
        <f>IF(M700&gt;0,VLOOKUP(P700,ma_dinhmuc_moi,2,0)/2,VLOOKUP(P700,ma_dinhmuc_moi,2,0))</f>
        <v>270</v>
      </c>
      <c r="R700" s="88">
        <f>IF(M700&gt;0,VLOOKUP(P700,ma_dinhmuc_moi,3,0)/2,VLOOKUP(P700,ma_dinhmuc_moi,3,0))</f>
        <v>100</v>
      </c>
      <c r="S700" s="218" t="s">
        <v>1425</v>
      </c>
      <c r="T700" s="88" t="s">
        <v>3095</v>
      </c>
      <c r="U700" s="88">
        <f>IF(RIGHT(T700,1)="K",(VLOOKUP(T700,ma_miengiam!$A$3:$B$80,2,0)*100)/2,VLOOKUP(T700,ma_miengiam!$A$3:$B$80,2,0)*100)</f>
        <v>40</v>
      </c>
      <c r="V700" s="88"/>
      <c r="W700" s="220">
        <f>W699+W698</f>
        <v>81</v>
      </c>
      <c r="X700" s="220">
        <f>X699+X698</f>
        <v>0</v>
      </c>
      <c r="Y700" s="220">
        <f>Y699+Y698</f>
        <v>189</v>
      </c>
      <c r="Z700" s="220">
        <f>Z699+Z698</f>
        <v>100</v>
      </c>
      <c r="AA700" s="220">
        <f t="shared" ref="AA700:AB702" si="2299">Q700</f>
        <v>270</v>
      </c>
      <c r="AB700" s="220">
        <f t="shared" si="2299"/>
        <v>100</v>
      </c>
      <c r="AC700" s="220">
        <f>W700</f>
        <v>81</v>
      </c>
      <c r="AD700" s="220">
        <f>X700</f>
        <v>0</v>
      </c>
      <c r="AE700" s="220">
        <f>Y700</f>
        <v>189</v>
      </c>
      <c r="AF700" s="220">
        <f>Z700</f>
        <v>100</v>
      </c>
      <c r="AG700" s="220">
        <f t="shared" ref="AG700:AG708" si="2300">AH700+AI700</f>
        <v>98.8</v>
      </c>
      <c r="AH700" s="220">
        <f t="shared" ref="AH700:AH708" si="2301">EO700</f>
        <v>53.8</v>
      </c>
      <c r="AI700" s="220">
        <f t="shared" ref="AI700:AI708" si="2302">EN700</f>
        <v>45</v>
      </c>
      <c r="AJ700" s="220">
        <f>IF(AG700-Z700&gt;0,0,AG700-Z700)</f>
        <v>-1.2000000000000028</v>
      </c>
      <c r="AK700" s="216">
        <f>IF(AJ700&gt;=0,Y700,Y700-AJ700)</f>
        <v>190.2</v>
      </c>
      <c r="AL700" s="220">
        <f>SUM(CP700:CX700)+SUM(DC700:DK700)</f>
        <v>45.5</v>
      </c>
      <c r="AM700" s="220">
        <f>SUM(DQ700:DU700)+SUM(DY700:EC700)</f>
        <v>0</v>
      </c>
      <c r="AN700" s="221">
        <f>AM700+AL700</f>
        <v>45.5</v>
      </c>
      <c r="AO700" s="220">
        <f>CY700+DL700</f>
        <v>0</v>
      </c>
      <c r="AP700" s="220">
        <f>CZ700+DM700</f>
        <v>0</v>
      </c>
      <c r="AQ700" s="220">
        <f>DA700+DN700</f>
        <v>0</v>
      </c>
      <c r="AR700" s="220">
        <f>DV700+ED700</f>
        <v>0</v>
      </c>
      <c r="AS700" s="220">
        <f>DW700+EE700</f>
        <v>0</v>
      </c>
      <c r="AT700" s="216">
        <f>AN700+SUM(AO700:AS700)</f>
        <v>45.5</v>
      </c>
      <c r="AU700" s="222">
        <f>AN700-AK700</f>
        <v>-144.69999999999999</v>
      </c>
      <c r="AV700" s="220"/>
      <c r="AW700" s="220">
        <f>IF(AU700&gt;0,AU700,AV700+AU700)</f>
        <v>-144.69999999999999</v>
      </c>
      <c r="AX700" s="216">
        <f>IF(AN700&gt;AK700,0,IF(AW700&lt;0,AN700-AK700+AV700,IF(AW700&gt;=0,0)))</f>
        <v>-144.69999999999999</v>
      </c>
      <c r="AY700" s="220">
        <f>IF(AN700&gt;=AK700,AO700,IF(AN700+AO700-AK700&gt;=0,AN700+AO700-AK700,0))</f>
        <v>0</v>
      </c>
      <c r="AZ700" s="220">
        <f>IF(OR(AN700&gt;=AK700,AN700+AO700&gt;=AK700),AP700,IF(AN700+AO700+AP700&gt;AK700,AN700+AO700+AP700-AK700,0))</f>
        <v>0</v>
      </c>
      <c r="BA700" s="220">
        <f>IF(OR(AN700&gt;=AK700,AN700+AO700&gt;=AK700,AN700+AO700+AP700&gt;=AK700),AQ700,IF(AN700+AO700+AP700+AQ700&gt;=AK700,AN700+AO700+AP700+AQ700-AK700,0))</f>
        <v>0</v>
      </c>
      <c r="BB700" s="220">
        <f>IF(OR(AN700&gt;=AK700,AN700+AO700&gt;=AK700,AN700+AO700+AP700&gt;=AK700,AN700+AO700+AP700+AQ700&gt;=AK700),AR700,IF(AN700+AO700+AP700+AQ700+AR700&gt;=AK700,AN700+AO700+AP700+AQ700+AR700-AK700,0))</f>
        <v>0</v>
      </c>
      <c r="BC700" s="220">
        <f>IF(OR(AN700&gt;=AK700,AN700+AO700&gt;=AK700,AN700+AO700+AP700&gt;=AK700,AN700+AO700+AP700+AQ700&gt;=AK700,AN700+AO700+AP700+AQ700+AR700&gt;=AK700),AS700,IF(AN700+AO700+AP700+AQ700+AR700+AS700&gt;=AK700,AN700+AO700+AP700+AQ700+AR700+AS700-AK700,0))</f>
        <v>0</v>
      </c>
      <c r="BD700" s="216">
        <f>SUM(AY700:BC700)</f>
        <v>0</v>
      </c>
      <c r="BE700" s="220">
        <f>AY700-AO700</f>
        <v>0</v>
      </c>
      <c r="BF700" s="220">
        <f>AZ700-AP700</f>
        <v>0</v>
      </c>
      <c r="BG700" s="220">
        <f>BA700-AQ700</f>
        <v>0</v>
      </c>
      <c r="BH700" s="220">
        <f>BB700-AR700</f>
        <v>0</v>
      </c>
      <c r="BI700" s="220">
        <f>BC700-AS700</f>
        <v>0</v>
      </c>
      <c r="BJ700" s="220" t="s">
        <v>1172</v>
      </c>
      <c r="BK700" s="220"/>
      <c r="BL700" s="223">
        <f>IF(AW700&lt;BK700,0,IF(AND(BK700=0,AW700&gt;0),AW700,IF(AW700&lt;0,0,IF(BK700&gt;0,AW700-BK700,IF(BK700&lt;0,0,AW700)))))</f>
        <v>0</v>
      </c>
      <c r="BM700" s="220">
        <v>2.67</v>
      </c>
      <c r="BN700" s="220"/>
      <c r="BO700" s="220">
        <f>ROUND(BM700+(BM700*BN700),2)</f>
        <v>2.67</v>
      </c>
      <c r="BP700" s="220">
        <f>IF(AND(BL700&gt;0,BL700&lt;tiet!$D$1),BL700,IF(BL700&lt;=0,0,IF(BL700&gt;tiet!$C$1,tiet!$C$1)))</f>
        <v>0</v>
      </c>
      <c r="BQ700" s="87">
        <f>VLOOKUP(P700,ma_dinhmuc_moi,4,0)</f>
        <v>60000</v>
      </c>
      <c r="BR700" s="224">
        <f>ROUND(BQ700*BP700,0)</f>
        <v>0</v>
      </c>
      <c r="BS700" s="220">
        <f t="shared" si="2134"/>
        <v>0</v>
      </c>
      <c r="BT700" s="224">
        <f>VLOOKUP(N700,ma_dinhmuc!$A$1:$J$31,10,0)</f>
        <v>51000</v>
      </c>
      <c r="BU700" s="224">
        <f>ROUND(IF(BS700&gt;0,VLOOKUP(N700,ma_dinhmuc!$A$1:$J$31,10,0)*BS700,0),0)</f>
        <v>0</v>
      </c>
      <c r="BV700" s="224">
        <f>ROUND(BU700+BR700,0)</f>
        <v>0</v>
      </c>
      <c r="BW700" s="224"/>
      <c r="BX700" s="224">
        <v>0</v>
      </c>
      <c r="BY700" s="224"/>
      <c r="BZ700" s="224"/>
      <c r="CA700" s="224"/>
      <c r="CB700" s="224"/>
      <c r="CC700" s="225">
        <f>ROUND(IF(BV700+BW700&gt;BX700+BY700+BZ700+CA700+CB700,(BW700+BV700)-(BX700+BY700+BZ700+CA700+CB700+CB700),0),0)</f>
        <v>0</v>
      </c>
      <c r="CD700" s="224">
        <f>ROUND(IF(BV700+BW700&lt;BX700+BY700+BZ700+CA700-CB700,(BX700+BY700+BZ700+CA700-CB700)-(BW700+BV700),0),0)</f>
        <v>0</v>
      </c>
      <c r="CE700" s="224"/>
      <c r="CF700" s="226"/>
      <c r="CG700" s="87"/>
      <c r="CH700" s="87">
        <f>A700</f>
        <v>11</v>
      </c>
      <c r="CI700" s="227" t="str">
        <f t="shared" si="2298"/>
        <v>Nguyễn Thị</v>
      </c>
      <c r="CJ700" s="227" t="str">
        <f t="shared" si="2298"/>
        <v>Dung</v>
      </c>
      <c r="CK700" s="87">
        <f t="shared" si="2298"/>
        <v>14</v>
      </c>
      <c r="CL700" s="227" t="str">
        <f>L700</f>
        <v>Nuôi trồng thuỷ sản</v>
      </c>
      <c r="CM700" s="87" t="str">
        <f>N700</f>
        <v>CS2</v>
      </c>
      <c r="CN700" s="87">
        <f t="shared" si="2297"/>
        <v>270</v>
      </c>
      <c r="CO700" s="87">
        <f t="shared" si="2297"/>
        <v>100</v>
      </c>
      <c r="CP700" s="229">
        <f t="shared" si="2142"/>
        <v>0</v>
      </c>
      <c r="CQ700" s="229">
        <f t="shared" si="2143"/>
        <v>0</v>
      </c>
      <c r="CR700" s="229">
        <f t="shared" si="2144"/>
        <v>0</v>
      </c>
      <c r="CS700" s="229">
        <f t="shared" si="2145"/>
        <v>0</v>
      </c>
      <c r="CT700" s="229">
        <f t="shared" si="2146"/>
        <v>0</v>
      </c>
      <c r="CU700" s="229">
        <f t="shared" si="2147"/>
        <v>0</v>
      </c>
      <c r="CV700" s="229">
        <f t="shared" si="2148"/>
        <v>0</v>
      </c>
      <c r="CW700" s="229">
        <f t="shared" si="2149"/>
        <v>45.5</v>
      </c>
      <c r="CX700" s="229">
        <f t="shared" si="2150"/>
        <v>0</v>
      </c>
      <c r="CY700" s="229">
        <f t="shared" si="2151"/>
        <v>0</v>
      </c>
      <c r="CZ700" s="229">
        <f t="shared" si="2152"/>
        <v>0</v>
      </c>
      <c r="DA700" s="229">
        <f t="shared" si="2153"/>
        <v>0</v>
      </c>
      <c r="DB700" s="228">
        <f>SUM(CP700:DA700)</f>
        <v>45.5</v>
      </c>
      <c r="DC700" s="229"/>
      <c r="DD700" s="229"/>
      <c r="DE700" s="229"/>
      <c r="DF700" s="229"/>
      <c r="DG700" s="229"/>
      <c r="DH700" s="229"/>
      <c r="DI700" s="229"/>
      <c r="DJ700" s="229"/>
      <c r="DK700" s="229"/>
      <c r="DL700" s="229"/>
      <c r="DM700" s="229"/>
      <c r="DN700" s="229"/>
      <c r="DO700" s="228">
        <f>SUM(DC700:DN700)</f>
        <v>0</v>
      </c>
      <c r="DP700" s="228">
        <f>DO700+DB700</f>
        <v>45.5</v>
      </c>
      <c r="DQ700" s="229">
        <f t="shared" si="2154"/>
        <v>0</v>
      </c>
      <c r="DR700" s="229">
        <f t="shared" si="2155"/>
        <v>0</v>
      </c>
      <c r="DS700" s="229">
        <f t="shared" si="2156"/>
        <v>0</v>
      </c>
      <c r="DT700" s="229">
        <f t="shared" si="2157"/>
        <v>0</v>
      </c>
      <c r="DU700" s="229">
        <f t="shared" si="2158"/>
        <v>0</v>
      </c>
      <c r="DV700" s="229">
        <f t="shared" si="2159"/>
        <v>0</v>
      </c>
      <c r="DW700" s="229">
        <f t="shared" si="2160"/>
        <v>0</v>
      </c>
      <c r="DX700" s="228">
        <f>SUM(DQ700:DW700)</f>
        <v>0</v>
      </c>
      <c r="DY700" s="229"/>
      <c r="DZ700" s="229"/>
      <c r="EA700" s="229"/>
      <c r="EB700" s="229"/>
      <c r="EC700" s="229"/>
      <c r="ED700" s="229"/>
      <c r="EE700" s="229"/>
      <c r="EF700" s="228">
        <f t="shared" si="2138"/>
        <v>0</v>
      </c>
      <c r="EG700" s="228">
        <f>EF700+DX700</f>
        <v>0</v>
      </c>
      <c r="EH700" s="229">
        <f t="shared" si="2139"/>
        <v>45</v>
      </c>
      <c r="EI700" s="229">
        <v>53.8</v>
      </c>
      <c r="EJ700" s="228">
        <f t="shared" si="2256"/>
        <v>98.8</v>
      </c>
      <c r="EK700" s="229"/>
      <c r="EL700" s="229"/>
      <c r="EM700" s="228">
        <f>SUM(EK700:EL700)</f>
        <v>0</v>
      </c>
      <c r="EN700" s="229">
        <f>EK700+EH700+EL700</f>
        <v>45</v>
      </c>
      <c r="EO700" s="229">
        <f>EI700</f>
        <v>53.8</v>
      </c>
      <c r="EP700" s="228">
        <f>EM700+EJ700</f>
        <v>98.8</v>
      </c>
      <c r="EQ700" s="173">
        <f t="shared" si="2135"/>
        <v>0</v>
      </c>
      <c r="ER700" s="189">
        <v>0</v>
      </c>
      <c r="ES700" s="189">
        <v>0</v>
      </c>
      <c r="ET700" s="189">
        <v>0</v>
      </c>
      <c r="EU700" s="189">
        <v>0</v>
      </c>
      <c r="EV700" s="189">
        <v>0</v>
      </c>
      <c r="EW700" s="189">
        <v>0</v>
      </c>
      <c r="EX700" s="189">
        <v>0</v>
      </c>
      <c r="EY700" s="189">
        <v>45.5</v>
      </c>
      <c r="EZ700" s="189">
        <v>0</v>
      </c>
      <c r="FA700" s="189">
        <v>0</v>
      </c>
      <c r="FB700" s="189">
        <v>0</v>
      </c>
      <c r="FC700" s="189">
        <v>0</v>
      </c>
      <c r="FD700" s="189">
        <v>0</v>
      </c>
      <c r="FE700" s="189">
        <v>0</v>
      </c>
      <c r="FF700" s="189">
        <v>0</v>
      </c>
      <c r="FG700" s="189">
        <v>0</v>
      </c>
      <c r="FH700" s="189">
        <v>0</v>
      </c>
      <c r="FI700" s="189">
        <v>0</v>
      </c>
      <c r="FJ700" s="189">
        <v>0</v>
      </c>
      <c r="FK700" s="189">
        <v>45.5</v>
      </c>
      <c r="FL700" s="189">
        <v>38</v>
      </c>
      <c r="FN700" s="132">
        <v>45</v>
      </c>
    </row>
    <row r="701" spans="1:170" ht="30">
      <c r="A701" s="88">
        <f>COUNTIF($H$12:H701,H701)</f>
        <v>12</v>
      </c>
      <c r="B701" s="88" t="s">
        <v>334</v>
      </c>
      <c r="C701" s="88" t="s">
        <v>1554</v>
      </c>
      <c r="D701" s="88"/>
      <c r="E701" s="88"/>
      <c r="F701" s="301" t="s">
        <v>2451</v>
      </c>
      <c r="G701" s="89" t="s">
        <v>2452</v>
      </c>
      <c r="H701" s="88">
        <v>14</v>
      </c>
      <c r="I701" s="88">
        <v>14</v>
      </c>
      <c r="J701" s="88">
        <v>14</v>
      </c>
      <c r="K701" s="90" t="s">
        <v>1616</v>
      </c>
      <c r="L701" s="90" t="s">
        <v>1616</v>
      </c>
      <c r="M701" s="214"/>
      <c r="N701" s="88" t="s">
        <v>605</v>
      </c>
      <c r="O701" s="216">
        <f t="shared" si="2291"/>
        <v>6.2</v>
      </c>
      <c r="P701" s="88" t="str">
        <f t="shared" si="2279"/>
        <v>B1_6</v>
      </c>
      <c r="Q701" s="88">
        <f t="shared" si="2136"/>
        <v>270</v>
      </c>
      <c r="R701" s="88">
        <f t="shared" si="2137"/>
        <v>170</v>
      </c>
      <c r="S701" s="230" t="s">
        <v>682</v>
      </c>
      <c r="T701" s="88" t="s">
        <v>3093</v>
      </c>
      <c r="U701" s="88">
        <f>IF(RIGHT(T701,1)="K",(VLOOKUP(T701,ma_miengiam!$A$3:$B$80,2,0)*100)/2,VLOOKUP(T701,ma_miengiam!$A$3:$B$80,2,0)*100)</f>
        <v>30</v>
      </c>
      <c r="V701" s="88"/>
      <c r="W701" s="220">
        <f>IF(AND(T701="NTS",V701&gt;0),(Q701-(Q701*V701)/12)*VLOOKUP(T701,ma_miengiam!$A$3:$B$80,2,0)+(Q701-(Q701*(12-V701))/12),IF(AND(RIGHT(T701,1)="K",V701&gt;0),(VLOOKUP(T701,ma_miengiam!$A$3:$B$80,2,0)/2)*(Q701*V701)/12,IF(RIGHT(T701,1)="K",(VLOOKUP(T701,ma_miengiam!$A$3:$B$80,2,0)*Q701)/2,IF(V701&gt;0,VLOOKUP(T701,ma_miengiam!$A$3:$B$80,2,0)*Q701*V701/12,VLOOKUP(T701,ma_miengiam!$A$3:$B$80,2,0)*Q701))))</f>
        <v>81</v>
      </c>
      <c r="X701" s="220">
        <f>IF(T701="NTS",VLOOKUP(T701,ma_miengiam!$A$3:$B$80,2,0)*R701*V701,IF(AND(T701="NTS",V701=0),0,IF(AND(LEFT(T701,1)="K",V701=0),VLOOKUP(T701,ma_miengiam!$A$3:$B$80,2,0)*R701,IF(LEFT(T701,1)="K",(VLOOKUP(T701,ma_miengiam!$A$3:$B$80,2,0)*R701/12)*V701,IF(AND(LEFT(T701,1)="S",V701&gt;0),(R701/12)*V701,IF(AND(LEFT(T701,1)="S",V701=0),R701,IF(T701="DH",VLOOKUP(T701,ma_miengiam!$A$3:$B$80,2,0)*R701,0)))))))</f>
        <v>0</v>
      </c>
      <c r="Y701" s="220">
        <f t="shared" si="2257"/>
        <v>189</v>
      </c>
      <c r="Z701" s="220">
        <f t="shared" si="2258"/>
        <v>170</v>
      </c>
      <c r="AA701" s="220">
        <f t="shared" si="2299"/>
        <v>270</v>
      </c>
      <c r="AB701" s="220">
        <f t="shared" si="2299"/>
        <v>170</v>
      </c>
      <c r="AC701" s="220">
        <f t="shared" ref="AC701:AF702" si="2303">W701</f>
        <v>81</v>
      </c>
      <c r="AD701" s="220">
        <f t="shared" si="2303"/>
        <v>0</v>
      </c>
      <c r="AE701" s="220">
        <f t="shared" si="2303"/>
        <v>189</v>
      </c>
      <c r="AF701" s="220">
        <f t="shared" si="2303"/>
        <v>170</v>
      </c>
      <c r="AG701" s="220">
        <f t="shared" si="2300"/>
        <v>310.74</v>
      </c>
      <c r="AH701" s="220">
        <f t="shared" si="2301"/>
        <v>25.16</v>
      </c>
      <c r="AI701" s="220">
        <f t="shared" si="2302"/>
        <v>285.58</v>
      </c>
      <c r="AJ701" s="220">
        <f t="shared" si="2292"/>
        <v>0</v>
      </c>
      <c r="AK701" s="216">
        <f t="shared" si="2254"/>
        <v>189</v>
      </c>
      <c r="AL701" s="220">
        <f t="shared" si="2238"/>
        <v>140.69999999999999</v>
      </c>
      <c r="AM701" s="220">
        <f t="shared" si="2239"/>
        <v>46.4</v>
      </c>
      <c r="AN701" s="221">
        <f t="shared" si="2240"/>
        <v>187.1</v>
      </c>
      <c r="AO701" s="220">
        <f t="shared" si="2241"/>
        <v>0</v>
      </c>
      <c r="AP701" s="220">
        <f t="shared" si="2242"/>
        <v>0</v>
      </c>
      <c r="AQ701" s="220">
        <f t="shared" si="2243"/>
        <v>0</v>
      </c>
      <c r="AR701" s="220">
        <f t="shared" si="2244"/>
        <v>92</v>
      </c>
      <c r="AS701" s="220">
        <f t="shared" si="2245"/>
        <v>10</v>
      </c>
      <c r="AT701" s="216">
        <f t="shared" si="2246"/>
        <v>289.10000000000002</v>
      </c>
      <c r="AU701" s="222">
        <f t="shared" si="2122"/>
        <v>-1.9000000000000057</v>
      </c>
      <c r="AV701" s="220"/>
      <c r="AW701" s="220">
        <f t="shared" si="2174"/>
        <v>-1.9000000000000057</v>
      </c>
      <c r="AX701" s="216">
        <f t="shared" si="2234"/>
        <v>-1.9000000000000057</v>
      </c>
      <c r="AY701" s="220">
        <f t="shared" si="2182"/>
        <v>0</v>
      </c>
      <c r="AZ701" s="220">
        <f t="shared" si="2183"/>
        <v>0</v>
      </c>
      <c r="BA701" s="220">
        <f t="shared" si="2184"/>
        <v>0</v>
      </c>
      <c r="BB701" s="220">
        <f t="shared" si="2185"/>
        <v>90.100000000000023</v>
      </c>
      <c r="BC701" s="220">
        <f t="shared" si="2186"/>
        <v>10</v>
      </c>
      <c r="BD701" s="216">
        <f t="shared" si="2197"/>
        <v>100.10000000000002</v>
      </c>
      <c r="BE701" s="220">
        <f t="shared" si="2175"/>
        <v>0</v>
      </c>
      <c r="BF701" s="220">
        <f t="shared" si="2176"/>
        <v>0</v>
      </c>
      <c r="BG701" s="220">
        <f t="shared" si="2177"/>
        <v>0</v>
      </c>
      <c r="BH701" s="220">
        <f t="shared" si="2178"/>
        <v>-1.8999999999999773</v>
      </c>
      <c r="BI701" s="220">
        <f t="shared" si="2179"/>
        <v>0</v>
      </c>
      <c r="BJ701" s="220" t="s">
        <v>1413</v>
      </c>
      <c r="BK701" s="220"/>
      <c r="BL701" s="223">
        <f t="shared" si="2210"/>
        <v>0</v>
      </c>
      <c r="BM701" s="220">
        <v>6.2</v>
      </c>
      <c r="BN701" s="220"/>
      <c r="BO701" s="220">
        <f t="shared" si="2293"/>
        <v>6.2</v>
      </c>
      <c r="BP701" s="220">
        <f>IF(AND(BL701&gt;0,BL701&lt;tiet!$D$1),BL701,IF(BL701&lt;=0,0,IF(BL701&gt;tiet!$C$1,tiet!$C$1)))</f>
        <v>0</v>
      </c>
      <c r="BQ701" s="87">
        <f t="shared" si="2278"/>
        <v>75000</v>
      </c>
      <c r="BR701" s="224">
        <f t="shared" si="2268"/>
        <v>0</v>
      </c>
      <c r="BS701" s="220">
        <f t="shared" si="2134"/>
        <v>0</v>
      </c>
      <c r="BT701" s="224">
        <f>VLOOKUP(N701,ma_dinhmuc!$A$1:$J$31,10,0)</f>
        <v>65000</v>
      </c>
      <c r="BU701" s="224">
        <f>ROUND(IF(BS701&gt;0,VLOOKUP(N701,ma_dinhmuc!$A$1:$J$31,10,0)*BS701,0),0)</f>
        <v>0</v>
      </c>
      <c r="BV701" s="224">
        <f t="shared" si="2269"/>
        <v>0</v>
      </c>
      <c r="BW701" s="224"/>
      <c r="BX701" s="224">
        <v>0</v>
      </c>
      <c r="BY701" s="224"/>
      <c r="BZ701" s="224"/>
      <c r="CA701" s="224"/>
      <c r="CB701" s="224"/>
      <c r="CC701" s="225">
        <f t="shared" si="2112"/>
        <v>0</v>
      </c>
      <c r="CD701" s="224">
        <f t="shared" si="2113"/>
        <v>0</v>
      </c>
      <c r="CE701" s="224"/>
      <c r="CF701" s="226"/>
      <c r="CG701" s="87"/>
      <c r="CH701" s="87">
        <f t="shared" si="2274"/>
        <v>12</v>
      </c>
      <c r="CI701" s="227" t="str">
        <f t="shared" si="2295"/>
        <v>Kim Văn</v>
      </c>
      <c r="CJ701" s="227" t="str">
        <f t="shared" si="2295"/>
        <v>Vạn</v>
      </c>
      <c r="CK701" s="87">
        <f t="shared" si="2289"/>
        <v>14</v>
      </c>
      <c r="CL701" s="227" t="str">
        <f t="shared" si="2296"/>
        <v>MT và Bệnh thủy sản</v>
      </c>
      <c r="CM701" s="87" t="str">
        <f t="shared" si="2180"/>
        <v>CS4</v>
      </c>
      <c r="CN701" s="87">
        <f t="shared" si="2297"/>
        <v>270</v>
      </c>
      <c r="CO701" s="87">
        <f t="shared" si="2297"/>
        <v>170</v>
      </c>
      <c r="CP701" s="229">
        <f t="shared" si="2142"/>
        <v>0</v>
      </c>
      <c r="CQ701" s="229">
        <f t="shared" si="2143"/>
        <v>11.8</v>
      </c>
      <c r="CR701" s="229">
        <f t="shared" si="2144"/>
        <v>4.9000000000000004</v>
      </c>
      <c r="CS701" s="229">
        <f t="shared" si="2145"/>
        <v>0</v>
      </c>
      <c r="CT701" s="229">
        <f t="shared" si="2146"/>
        <v>0</v>
      </c>
      <c r="CU701" s="229">
        <f t="shared" si="2147"/>
        <v>104</v>
      </c>
      <c r="CV701" s="229">
        <f t="shared" si="2148"/>
        <v>0</v>
      </c>
      <c r="CW701" s="229">
        <f t="shared" si="2149"/>
        <v>20</v>
      </c>
      <c r="CX701" s="229">
        <f t="shared" si="2150"/>
        <v>0</v>
      </c>
      <c r="CY701" s="229">
        <f t="shared" si="2151"/>
        <v>0</v>
      </c>
      <c r="CZ701" s="229">
        <f t="shared" si="2152"/>
        <v>0</v>
      </c>
      <c r="DA701" s="229">
        <f t="shared" si="2153"/>
        <v>0</v>
      </c>
      <c r="DB701" s="228">
        <f t="shared" si="2235"/>
        <v>140.69999999999999</v>
      </c>
      <c r="DC701" s="229"/>
      <c r="DD701" s="229"/>
      <c r="DE701" s="229"/>
      <c r="DF701" s="229"/>
      <c r="DG701" s="229"/>
      <c r="DH701" s="229"/>
      <c r="DI701" s="229"/>
      <c r="DJ701" s="229"/>
      <c r="DK701" s="229"/>
      <c r="DL701" s="229"/>
      <c r="DM701" s="229"/>
      <c r="DN701" s="229"/>
      <c r="DO701" s="228">
        <f t="shared" si="2247"/>
        <v>0</v>
      </c>
      <c r="DP701" s="228">
        <f t="shared" si="2248"/>
        <v>140.69999999999999</v>
      </c>
      <c r="DQ701" s="229">
        <f t="shared" si="2154"/>
        <v>45</v>
      </c>
      <c r="DR701" s="229">
        <f t="shared" si="2155"/>
        <v>1</v>
      </c>
      <c r="DS701" s="229">
        <f t="shared" si="2156"/>
        <v>0</v>
      </c>
      <c r="DT701" s="229">
        <f t="shared" si="2157"/>
        <v>0.4</v>
      </c>
      <c r="DU701" s="229">
        <f t="shared" si="2158"/>
        <v>0</v>
      </c>
      <c r="DV701" s="229">
        <f t="shared" si="2159"/>
        <v>92</v>
      </c>
      <c r="DW701" s="229">
        <f t="shared" si="2160"/>
        <v>10</v>
      </c>
      <c r="DX701" s="228">
        <f t="shared" si="2236"/>
        <v>148.4</v>
      </c>
      <c r="DY701" s="229"/>
      <c r="DZ701" s="229"/>
      <c r="EA701" s="229"/>
      <c r="EB701" s="229"/>
      <c r="EC701" s="229"/>
      <c r="ED701" s="229"/>
      <c r="EE701" s="229"/>
      <c r="EF701" s="228">
        <f t="shared" si="2138"/>
        <v>0</v>
      </c>
      <c r="EG701" s="228">
        <f t="shared" si="2249"/>
        <v>148.4</v>
      </c>
      <c r="EH701" s="229">
        <f t="shared" si="2139"/>
        <v>285.58</v>
      </c>
      <c r="EI701" s="229">
        <v>25.16</v>
      </c>
      <c r="EJ701" s="228">
        <f t="shared" si="2256"/>
        <v>310.74</v>
      </c>
      <c r="EK701" s="229"/>
      <c r="EL701" s="229"/>
      <c r="EM701" s="228">
        <f t="shared" si="2285"/>
        <v>0</v>
      </c>
      <c r="EN701" s="229">
        <f t="shared" si="2220"/>
        <v>285.58</v>
      </c>
      <c r="EO701" s="229">
        <f t="shared" si="2123"/>
        <v>25.16</v>
      </c>
      <c r="EP701" s="228">
        <f t="shared" si="2294"/>
        <v>310.74</v>
      </c>
      <c r="EQ701" s="173">
        <f t="shared" si="2135"/>
        <v>115.57999999999998</v>
      </c>
      <c r="ER701" s="189">
        <v>0</v>
      </c>
      <c r="ES701" s="189">
        <v>11.8</v>
      </c>
      <c r="ET701" s="189">
        <v>4.9000000000000004</v>
      </c>
      <c r="EU701" s="189">
        <v>0</v>
      </c>
      <c r="EV701" s="189">
        <v>0</v>
      </c>
      <c r="EW701" s="189">
        <v>104</v>
      </c>
      <c r="EX701" s="189">
        <v>0</v>
      </c>
      <c r="EY701" s="189">
        <v>20</v>
      </c>
      <c r="EZ701" s="189">
        <v>0</v>
      </c>
      <c r="FA701" s="189">
        <v>0</v>
      </c>
      <c r="FB701" s="189">
        <v>0</v>
      </c>
      <c r="FC701" s="189">
        <v>0</v>
      </c>
      <c r="FD701" s="189">
        <v>45</v>
      </c>
      <c r="FE701" s="189">
        <v>1</v>
      </c>
      <c r="FF701" s="189">
        <v>0</v>
      </c>
      <c r="FG701" s="189">
        <v>0.4</v>
      </c>
      <c r="FH701" s="189">
        <v>92</v>
      </c>
      <c r="FI701" s="189">
        <v>0</v>
      </c>
      <c r="FJ701" s="189">
        <v>10</v>
      </c>
      <c r="FK701" s="189">
        <v>289.10000000000002</v>
      </c>
      <c r="FL701" s="189">
        <v>259</v>
      </c>
      <c r="FN701" s="132">
        <v>285.58</v>
      </c>
    </row>
    <row r="702" spans="1:170" ht="45">
      <c r="A702" s="88">
        <f>COUNTIF($H$12:H702,H702)</f>
        <v>13</v>
      </c>
      <c r="B702" s="88" t="s">
        <v>335</v>
      </c>
      <c r="C702" s="88" t="s">
        <v>1555</v>
      </c>
      <c r="D702" s="88"/>
      <c r="E702" s="88"/>
      <c r="F702" s="301" t="s">
        <v>2454</v>
      </c>
      <c r="G702" s="89" t="s">
        <v>2455</v>
      </c>
      <c r="H702" s="88">
        <v>14</v>
      </c>
      <c r="I702" s="88">
        <v>14</v>
      </c>
      <c r="J702" s="88">
        <v>14</v>
      </c>
      <c r="K702" s="90" t="s">
        <v>1616</v>
      </c>
      <c r="L702" s="90" t="s">
        <v>1616</v>
      </c>
      <c r="M702" s="214"/>
      <c r="N702" s="88" t="s">
        <v>1804</v>
      </c>
      <c r="O702" s="216">
        <f t="shared" si="2291"/>
        <v>3.33</v>
      </c>
      <c r="P702" s="88" t="str">
        <f t="shared" si="2279"/>
        <v>B1_4</v>
      </c>
      <c r="Q702" s="88">
        <f t="shared" si="2136"/>
        <v>270</v>
      </c>
      <c r="R702" s="88">
        <f t="shared" si="2137"/>
        <v>120</v>
      </c>
      <c r="S702" s="230" t="s">
        <v>2667</v>
      </c>
      <c r="T702" s="88" t="s">
        <v>3092</v>
      </c>
      <c r="U702" s="88">
        <f>IF(RIGHT(T702,1)="K",(VLOOKUP(T702,ma_miengiam!$A$3:$B$80,2,0)*100)/2,VLOOKUP(T702,ma_miengiam!$A$3:$B$80,2,0)*100)</f>
        <v>25</v>
      </c>
      <c r="V702" s="88">
        <v>10</v>
      </c>
      <c r="W702" s="220">
        <f>IF(AND(T702="NTS",V702&gt;0),(Q702-(Q702*V702)/12)*VLOOKUP(T702,ma_miengiam!$A$3:$B$80,2,0)+(Q702-(Q702*(12-V702))/12),IF(AND(RIGHT(T702,1)="K",V702&gt;0),(VLOOKUP(T702,ma_miengiam!$A$3:$B$80,2,0)/2)*(Q702*V702)/12,IF(RIGHT(T702,1)="K",(VLOOKUP(T702,ma_miengiam!$A$3:$B$80,2,0)*Q702)/2,IF(V702&gt;0,VLOOKUP(T702,ma_miengiam!$A$3:$B$80,2,0)*Q702*V702/12,VLOOKUP(T702,ma_miengiam!$A$3:$B$80,2,0)*Q702))))</f>
        <v>56.25</v>
      </c>
      <c r="X702" s="220">
        <f>IF(T702="NTS",VLOOKUP(T702,ma_miengiam!$A$3:$B$80,2,0)*R702*V702,IF(AND(T702="NTS",V702=0),0,IF(AND(LEFT(T702,1)="K",V702=0),VLOOKUP(T702,ma_miengiam!$A$3:$B$80,2,0)*R702,IF(LEFT(T702,1)="K",(VLOOKUP(T702,ma_miengiam!$A$3:$B$80,2,0)*R702/12)*V702,IF(AND(LEFT(T702,1)="S",V702&gt;0),(R702/12)*V702,IF(AND(LEFT(T702,1)="S",V702=0),R702,IF(T702="DH",VLOOKUP(T702,ma_miengiam!$A$3:$B$80,2,0)*R702,0)))))))</f>
        <v>0</v>
      </c>
      <c r="Y702" s="220">
        <f t="shared" si="2257"/>
        <v>168.75</v>
      </c>
      <c r="Z702" s="220">
        <f t="shared" si="2258"/>
        <v>100</v>
      </c>
      <c r="AA702" s="220">
        <f t="shared" si="2299"/>
        <v>270</v>
      </c>
      <c r="AB702" s="220">
        <f t="shared" si="2299"/>
        <v>120</v>
      </c>
      <c r="AC702" s="220">
        <f t="shared" si="2303"/>
        <v>56.25</v>
      </c>
      <c r="AD702" s="220">
        <f t="shared" si="2303"/>
        <v>0</v>
      </c>
      <c r="AE702" s="220">
        <f t="shared" si="2303"/>
        <v>168.75</v>
      </c>
      <c r="AF702" s="220">
        <f t="shared" si="2303"/>
        <v>100</v>
      </c>
      <c r="AG702" s="220">
        <f t="shared" si="2300"/>
        <v>1137.57</v>
      </c>
      <c r="AH702" s="220">
        <f t="shared" si="2301"/>
        <v>273.76</v>
      </c>
      <c r="AI702" s="220">
        <f t="shared" si="2302"/>
        <v>863.81</v>
      </c>
      <c r="AJ702" s="220">
        <f t="shared" si="2292"/>
        <v>0</v>
      </c>
      <c r="AK702" s="216">
        <f t="shared" si="2254"/>
        <v>168.75</v>
      </c>
      <c r="AL702" s="220">
        <f t="shared" si="2238"/>
        <v>118</v>
      </c>
      <c r="AM702" s="220">
        <f t="shared" si="2239"/>
        <v>102.89999999999999</v>
      </c>
      <c r="AN702" s="216">
        <f t="shared" si="2240"/>
        <v>220.89999999999998</v>
      </c>
      <c r="AO702" s="220">
        <f t="shared" si="2241"/>
        <v>0</v>
      </c>
      <c r="AP702" s="220">
        <f t="shared" si="2242"/>
        <v>0</v>
      </c>
      <c r="AQ702" s="220">
        <f t="shared" si="2243"/>
        <v>20</v>
      </c>
      <c r="AR702" s="220">
        <f t="shared" si="2244"/>
        <v>0</v>
      </c>
      <c r="AS702" s="220">
        <f t="shared" si="2245"/>
        <v>0</v>
      </c>
      <c r="AT702" s="216">
        <f t="shared" si="2246"/>
        <v>240.89999999999998</v>
      </c>
      <c r="AU702" s="220">
        <f t="shared" si="2122"/>
        <v>52.149999999999977</v>
      </c>
      <c r="AV702" s="220"/>
      <c r="AW702" s="220">
        <f t="shared" si="2174"/>
        <v>52.149999999999977</v>
      </c>
      <c r="AX702" s="216">
        <f t="shared" si="2234"/>
        <v>0</v>
      </c>
      <c r="AY702" s="220">
        <f t="shared" si="2182"/>
        <v>0</v>
      </c>
      <c r="AZ702" s="220">
        <f t="shared" si="2183"/>
        <v>0</v>
      </c>
      <c r="BA702" s="220">
        <f t="shared" si="2184"/>
        <v>20</v>
      </c>
      <c r="BB702" s="220">
        <f t="shared" si="2185"/>
        <v>0</v>
      </c>
      <c r="BC702" s="220">
        <f t="shared" si="2186"/>
        <v>0</v>
      </c>
      <c r="BD702" s="216">
        <f t="shared" si="2197"/>
        <v>20</v>
      </c>
      <c r="BE702" s="220">
        <f t="shared" si="2175"/>
        <v>0</v>
      </c>
      <c r="BF702" s="220">
        <f t="shared" si="2176"/>
        <v>0</v>
      </c>
      <c r="BG702" s="220">
        <f t="shared" si="2177"/>
        <v>0</v>
      </c>
      <c r="BH702" s="220">
        <f t="shared" si="2178"/>
        <v>0</v>
      </c>
      <c r="BI702" s="220">
        <f t="shared" si="2179"/>
        <v>0</v>
      </c>
      <c r="BJ702" s="220" t="s">
        <v>1413</v>
      </c>
      <c r="BK702" s="220"/>
      <c r="BL702" s="223">
        <f t="shared" si="2210"/>
        <v>52.149999999999977</v>
      </c>
      <c r="BM702" s="220">
        <v>3.33</v>
      </c>
      <c r="BN702" s="220"/>
      <c r="BO702" s="220">
        <f t="shared" si="2293"/>
        <v>3.33</v>
      </c>
      <c r="BP702" s="220">
        <f>IF(AND(BL702&gt;0,BL702&lt;tiet!$D$1),BL702,IF(BL702&lt;=0,0,IF(BL702&gt;tiet!$C$1,tiet!$C$1)))</f>
        <v>52.149999999999977</v>
      </c>
      <c r="BQ702" s="87">
        <f t="shared" si="2278"/>
        <v>65000</v>
      </c>
      <c r="BR702" s="224">
        <f t="shared" si="2268"/>
        <v>3389750</v>
      </c>
      <c r="BS702" s="220">
        <f t="shared" si="2134"/>
        <v>0</v>
      </c>
      <c r="BT702" s="224">
        <f>VLOOKUP(N702,ma_dinhmuc!$A$1:$J$31,10,0)</f>
        <v>51000</v>
      </c>
      <c r="BU702" s="224">
        <f>ROUND(IF(BS702&gt;0,VLOOKUP(N702,ma_dinhmuc!$A$1:$J$31,10,0)*BS702,0),0)</f>
        <v>0</v>
      </c>
      <c r="BV702" s="224">
        <f t="shared" si="2269"/>
        <v>3389750</v>
      </c>
      <c r="BW702" s="224"/>
      <c r="BX702" s="224">
        <v>0</v>
      </c>
      <c r="BY702" s="224"/>
      <c r="BZ702" s="224"/>
      <c r="CA702" s="224"/>
      <c r="CB702" s="224"/>
      <c r="CC702" s="225">
        <f t="shared" si="2112"/>
        <v>3389750</v>
      </c>
      <c r="CD702" s="224">
        <f t="shared" si="2113"/>
        <v>0</v>
      </c>
      <c r="CE702" s="224"/>
      <c r="CF702" s="226"/>
      <c r="CG702" s="87"/>
      <c r="CH702" s="87">
        <f t="shared" si="2274"/>
        <v>13</v>
      </c>
      <c r="CI702" s="227" t="str">
        <f t="shared" si="2295"/>
        <v>Trương Đình</v>
      </c>
      <c r="CJ702" s="227" t="str">
        <f t="shared" si="2295"/>
        <v>Hoài</v>
      </c>
      <c r="CK702" s="87">
        <f t="shared" si="2289"/>
        <v>14</v>
      </c>
      <c r="CL702" s="227" t="str">
        <f t="shared" si="2296"/>
        <v>MT và Bệnh thủy sản</v>
      </c>
      <c r="CM702" s="87" t="str">
        <f t="shared" si="2180"/>
        <v>CS2</v>
      </c>
      <c r="CN702" s="87">
        <f t="shared" ref="CN702:CN710" si="2304">Q702</f>
        <v>270</v>
      </c>
      <c r="CO702" s="87">
        <f t="shared" ref="CO702:CO710" si="2305">R702</f>
        <v>120</v>
      </c>
      <c r="CP702" s="229">
        <f t="shared" si="2142"/>
        <v>0</v>
      </c>
      <c r="CQ702" s="229">
        <f t="shared" si="2143"/>
        <v>11.4</v>
      </c>
      <c r="CR702" s="229">
        <f t="shared" si="2144"/>
        <v>4.5999999999999996</v>
      </c>
      <c r="CS702" s="229">
        <f t="shared" si="2145"/>
        <v>0</v>
      </c>
      <c r="CT702" s="229">
        <f t="shared" si="2146"/>
        <v>0</v>
      </c>
      <c r="CU702" s="229">
        <f t="shared" si="2147"/>
        <v>66</v>
      </c>
      <c r="CV702" s="229">
        <f t="shared" si="2148"/>
        <v>0</v>
      </c>
      <c r="CW702" s="229">
        <f t="shared" si="2149"/>
        <v>36</v>
      </c>
      <c r="CX702" s="229">
        <f t="shared" si="2150"/>
        <v>0</v>
      </c>
      <c r="CY702" s="229">
        <f t="shared" si="2151"/>
        <v>0</v>
      </c>
      <c r="CZ702" s="229">
        <f t="shared" si="2152"/>
        <v>0</v>
      </c>
      <c r="DA702" s="229">
        <f t="shared" si="2153"/>
        <v>20</v>
      </c>
      <c r="DB702" s="228">
        <f t="shared" si="2235"/>
        <v>138</v>
      </c>
      <c r="DC702" s="229"/>
      <c r="DD702" s="229"/>
      <c r="DE702" s="229"/>
      <c r="DF702" s="229"/>
      <c r="DG702" s="229"/>
      <c r="DH702" s="229"/>
      <c r="DI702" s="229"/>
      <c r="DJ702" s="229"/>
      <c r="DK702" s="229"/>
      <c r="DL702" s="229"/>
      <c r="DM702" s="229"/>
      <c r="DN702" s="229"/>
      <c r="DO702" s="228">
        <f t="shared" si="2247"/>
        <v>0</v>
      </c>
      <c r="DP702" s="228">
        <f t="shared" si="2248"/>
        <v>138</v>
      </c>
      <c r="DQ702" s="229">
        <f t="shared" si="2154"/>
        <v>99</v>
      </c>
      <c r="DR702" s="229">
        <f t="shared" si="2155"/>
        <v>2.8</v>
      </c>
      <c r="DS702" s="229">
        <f t="shared" si="2156"/>
        <v>0</v>
      </c>
      <c r="DT702" s="229">
        <f t="shared" si="2157"/>
        <v>1.1000000000000001</v>
      </c>
      <c r="DU702" s="229">
        <f t="shared" si="2158"/>
        <v>0</v>
      </c>
      <c r="DV702" s="229">
        <f t="shared" si="2159"/>
        <v>0</v>
      </c>
      <c r="DW702" s="229">
        <f t="shared" si="2160"/>
        <v>0</v>
      </c>
      <c r="DX702" s="228">
        <f t="shared" si="2236"/>
        <v>102.89999999999999</v>
      </c>
      <c r="DY702" s="229"/>
      <c r="DZ702" s="229"/>
      <c r="EA702" s="229"/>
      <c r="EB702" s="229"/>
      <c r="EC702" s="229"/>
      <c r="ED702" s="229"/>
      <c r="EE702" s="229"/>
      <c r="EF702" s="228">
        <f t="shared" si="2138"/>
        <v>0</v>
      </c>
      <c r="EG702" s="228">
        <f t="shared" si="2249"/>
        <v>102.89999999999999</v>
      </c>
      <c r="EH702" s="229">
        <f t="shared" si="2139"/>
        <v>863.81</v>
      </c>
      <c r="EI702" s="229">
        <v>273.76</v>
      </c>
      <c r="EJ702" s="228">
        <f t="shared" si="2256"/>
        <v>1137.57</v>
      </c>
      <c r="EK702" s="229"/>
      <c r="EL702" s="229"/>
      <c r="EM702" s="228">
        <f t="shared" si="2285"/>
        <v>0</v>
      </c>
      <c r="EN702" s="229">
        <f t="shared" si="2220"/>
        <v>863.81</v>
      </c>
      <c r="EO702" s="229">
        <f t="shared" si="2123"/>
        <v>273.76</v>
      </c>
      <c r="EP702" s="228">
        <f t="shared" si="2294"/>
        <v>1137.57</v>
      </c>
      <c r="EQ702" s="173">
        <f t="shared" si="2135"/>
        <v>763.81</v>
      </c>
      <c r="ER702" s="189">
        <v>0</v>
      </c>
      <c r="ES702" s="189">
        <v>11.4</v>
      </c>
      <c r="ET702" s="189">
        <v>4.5999999999999996</v>
      </c>
      <c r="EU702" s="189">
        <v>0</v>
      </c>
      <c r="EV702" s="189">
        <v>0</v>
      </c>
      <c r="EW702" s="189">
        <v>66</v>
      </c>
      <c r="EX702" s="189">
        <v>0</v>
      </c>
      <c r="EY702" s="189">
        <v>36</v>
      </c>
      <c r="EZ702" s="189">
        <v>0</v>
      </c>
      <c r="FA702" s="189">
        <v>0</v>
      </c>
      <c r="FB702" s="189">
        <v>0</v>
      </c>
      <c r="FC702" s="189">
        <v>20</v>
      </c>
      <c r="FD702" s="189">
        <v>99</v>
      </c>
      <c r="FE702" s="189">
        <v>2.8</v>
      </c>
      <c r="FF702" s="189">
        <v>0</v>
      </c>
      <c r="FG702" s="189">
        <v>1.1000000000000001</v>
      </c>
      <c r="FH702" s="189">
        <v>0</v>
      </c>
      <c r="FI702" s="189">
        <v>0</v>
      </c>
      <c r="FJ702" s="189">
        <v>0</v>
      </c>
      <c r="FK702" s="189">
        <v>240.9</v>
      </c>
      <c r="FL702" s="189">
        <v>185</v>
      </c>
      <c r="FN702" s="132">
        <v>863.81</v>
      </c>
    </row>
    <row r="703" spans="1:170" ht="29.25" customHeight="1">
      <c r="A703" s="88">
        <f>COUNTIF($H$12:H703,H703)</f>
        <v>14</v>
      </c>
      <c r="B703" s="88" t="s">
        <v>337</v>
      </c>
      <c r="C703" s="88" t="s">
        <v>294</v>
      </c>
      <c r="D703" s="88"/>
      <c r="E703" s="88"/>
      <c r="F703" s="301" t="s">
        <v>196</v>
      </c>
      <c r="G703" s="89" t="s">
        <v>195</v>
      </c>
      <c r="H703" s="88">
        <v>14</v>
      </c>
      <c r="I703" s="88">
        <v>14</v>
      </c>
      <c r="J703" s="88">
        <v>14</v>
      </c>
      <c r="K703" s="90" t="s">
        <v>1616</v>
      </c>
      <c r="L703" s="90" t="s">
        <v>1616</v>
      </c>
      <c r="M703" s="214"/>
      <c r="N703" s="88" t="s">
        <v>1804</v>
      </c>
      <c r="O703" s="216">
        <f t="shared" ref="O703:O721" si="2306">BO703</f>
        <v>2.67</v>
      </c>
      <c r="P703" s="88" t="str">
        <f t="shared" si="2279"/>
        <v>B1_3</v>
      </c>
      <c r="Q703" s="88">
        <f t="shared" si="2136"/>
        <v>270</v>
      </c>
      <c r="R703" s="88">
        <f t="shared" si="2137"/>
        <v>100</v>
      </c>
      <c r="S703" s="231" t="s">
        <v>1720</v>
      </c>
      <c r="T703" s="88" t="s">
        <v>3091</v>
      </c>
      <c r="U703" s="88">
        <f>IF(RIGHT(T703,1)="K",(VLOOKUP(T703,ma_miengiam!$A$3:$B$80,2,0)*100)/2,VLOOKUP(T703,ma_miengiam!$A$3:$B$80,2,0)*100)</f>
        <v>20</v>
      </c>
      <c r="V703" s="88"/>
      <c r="W703" s="220">
        <f>IF(AND(T703="NTS",V703&gt;0),(Q703-(Q703*V703)/12)*VLOOKUP(T703,ma_miengiam!$A$3:$B$80,2,0)+(Q703-(Q703*(12-V703))/12),IF(AND(RIGHT(T703,1)="K",V703&gt;0),(VLOOKUP(T703,ma_miengiam!$A$3:$B$80,2,0)/2)*(Q703*V703)/12,IF(RIGHT(T703,1)="K",(VLOOKUP(T703,ma_miengiam!$A$3:$B$80,2,0)*Q703)/2,IF(V703&gt;0,VLOOKUP(T703,ma_miengiam!$A$3:$B$80,2,0)*Q703*V703/12,VLOOKUP(T703,ma_miengiam!$A$3:$B$80,2,0)*Q703))))</f>
        <v>54</v>
      </c>
      <c r="X703" s="220">
        <f>IF(T703="NTS",VLOOKUP(T703,ma_miengiam!$A$3:$B$80,2,0)*R703*V703,IF(AND(T703="NTS",V703=0),0,IF(AND(LEFT(T703,1)="K",V703=0),VLOOKUP(T703,ma_miengiam!$A$3:$B$80,2,0)*R703,IF(LEFT(T703,1)="K",(VLOOKUP(T703,ma_miengiam!$A$3:$B$80,2,0)*R703/12)*V703,IF(AND(LEFT(T703,1)="S",V703&gt;0),(R703/12)*V703,IF(AND(LEFT(T703,1)="S",V703=0),R703,IF(T703="DH",VLOOKUP(T703,ma_miengiam!$A$3:$B$80,2,0)*R703,0)))))))</f>
        <v>0</v>
      </c>
      <c r="Y703" s="220">
        <f t="shared" si="2257"/>
        <v>216</v>
      </c>
      <c r="Z703" s="220">
        <f t="shared" si="2258"/>
        <v>100</v>
      </c>
      <c r="AA703" s="220">
        <f t="shared" ref="AA703:AB705" si="2307">Q703</f>
        <v>270</v>
      </c>
      <c r="AB703" s="220">
        <f t="shared" si="2307"/>
        <v>100</v>
      </c>
      <c r="AC703" s="220">
        <f t="shared" ref="AC703:AF705" si="2308">W703</f>
        <v>54</v>
      </c>
      <c r="AD703" s="220">
        <f t="shared" si="2308"/>
        <v>0</v>
      </c>
      <c r="AE703" s="220">
        <f t="shared" si="2308"/>
        <v>216</v>
      </c>
      <c r="AF703" s="220">
        <f t="shared" si="2308"/>
        <v>100</v>
      </c>
      <c r="AG703" s="220">
        <f t="shared" si="2300"/>
        <v>433.71000000000004</v>
      </c>
      <c r="AH703" s="220">
        <f t="shared" si="2301"/>
        <v>230</v>
      </c>
      <c r="AI703" s="220">
        <f t="shared" si="2302"/>
        <v>203.71</v>
      </c>
      <c r="AJ703" s="220">
        <f t="shared" si="2292"/>
        <v>0</v>
      </c>
      <c r="AK703" s="216">
        <f t="shared" si="2254"/>
        <v>216</v>
      </c>
      <c r="AL703" s="220">
        <f t="shared" si="2238"/>
        <v>47.7</v>
      </c>
      <c r="AM703" s="220">
        <f t="shared" si="2239"/>
        <v>0</v>
      </c>
      <c r="AN703" s="221">
        <f t="shared" si="2240"/>
        <v>47.7</v>
      </c>
      <c r="AO703" s="220">
        <f t="shared" si="2241"/>
        <v>0</v>
      </c>
      <c r="AP703" s="220">
        <f t="shared" si="2242"/>
        <v>0</v>
      </c>
      <c r="AQ703" s="220">
        <f t="shared" si="2243"/>
        <v>20</v>
      </c>
      <c r="AR703" s="220">
        <f t="shared" si="2244"/>
        <v>0</v>
      </c>
      <c r="AS703" s="220">
        <f t="shared" si="2245"/>
        <v>0</v>
      </c>
      <c r="AT703" s="216">
        <f t="shared" si="2246"/>
        <v>67.7</v>
      </c>
      <c r="AU703" s="222">
        <f t="shared" si="2122"/>
        <v>-168.3</v>
      </c>
      <c r="AV703" s="220"/>
      <c r="AW703" s="220">
        <f t="shared" si="2174"/>
        <v>-168.3</v>
      </c>
      <c r="AX703" s="216">
        <f t="shared" si="2234"/>
        <v>-168.3</v>
      </c>
      <c r="AY703" s="220">
        <f t="shared" si="2182"/>
        <v>0</v>
      </c>
      <c r="AZ703" s="220">
        <f t="shared" si="2183"/>
        <v>0</v>
      </c>
      <c r="BA703" s="220">
        <f t="shared" si="2184"/>
        <v>0</v>
      </c>
      <c r="BB703" s="220">
        <f t="shared" si="2185"/>
        <v>0</v>
      </c>
      <c r="BC703" s="220">
        <f t="shared" si="2186"/>
        <v>0</v>
      </c>
      <c r="BD703" s="216">
        <f t="shared" si="2197"/>
        <v>0</v>
      </c>
      <c r="BE703" s="220">
        <f t="shared" si="2175"/>
        <v>0</v>
      </c>
      <c r="BF703" s="220">
        <f t="shared" si="2176"/>
        <v>0</v>
      </c>
      <c r="BG703" s="220">
        <f t="shared" si="2177"/>
        <v>-20</v>
      </c>
      <c r="BH703" s="220">
        <f t="shared" si="2178"/>
        <v>0</v>
      </c>
      <c r="BI703" s="220">
        <f t="shared" si="2179"/>
        <v>0</v>
      </c>
      <c r="BJ703" s="220" t="s">
        <v>1413</v>
      </c>
      <c r="BK703" s="220"/>
      <c r="BL703" s="223">
        <f t="shared" si="2210"/>
        <v>0</v>
      </c>
      <c r="BM703" s="220">
        <v>2.67</v>
      </c>
      <c r="BN703" s="220"/>
      <c r="BO703" s="220">
        <f t="shared" ref="BO703:BO715" si="2309">ROUND(BM703+(BM703*BN703),2)</f>
        <v>2.67</v>
      </c>
      <c r="BP703" s="220">
        <f>IF(AND(BL703&gt;0,BL703&lt;tiet!$D$1),BL703,IF(BL703&lt;=0,0,IF(BL703&gt;tiet!$C$1,tiet!$C$1)))</f>
        <v>0</v>
      </c>
      <c r="BQ703" s="87">
        <f t="shared" si="2278"/>
        <v>60000</v>
      </c>
      <c r="BR703" s="224">
        <f t="shared" si="2268"/>
        <v>0</v>
      </c>
      <c r="BS703" s="220">
        <f t="shared" si="2134"/>
        <v>0</v>
      </c>
      <c r="BT703" s="224">
        <f>VLOOKUP(N703,ma_dinhmuc!$A$1:$J$31,10,0)</f>
        <v>51000</v>
      </c>
      <c r="BU703" s="224">
        <f>ROUND(IF(BS703&gt;0,VLOOKUP(N703,ma_dinhmuc!$A$1:$J$31,10,0)*BS703,0),0)</f>
        <v>0</v>
      </c>
      <c r="BV703" s="224">
        <f t="shared" si="2269"/>
        <v>0</v>
      </c>
      <c r="BW703" s="224"/>
      <c r="BX703" s="224">
        <v>0</v>
      </c>
      <c r="BY703" s="224"/>
      <c r="BZ703" s="224"/>
      <c r="CA703" s="224"/>
      <c r="CB703" s="224"/>
      <c r="CC703" s="225">
        <f t="shared" si="2112"/>
        <v>0</v>
      </c>
      <c r="CD703" s="224">
        <f t="shared" si="2113"/>
        <v>0</v>
      </c>
      <c r="CE703" s="224"/>
      <c r="CF703" s="226"/>
      <c r="CG703" s="87"/>
      <c r="CH703" s="87">
        <f t="shared" si="2274"/>
        <v>14</v>
      </c>
      <c r="CI703" s="227" t="str">
        <f t="shared" ref="CI703:CJ708" si="2310">F703</f>
        <v>Đoàn Thị</v>
      </c>
      <c r="CJ703" s="227" t="str">
        <f t="shared" si="2310"/>
        <v>Nhinh</v>
      </c>
      <c r="CK703" s="87">
        <f t="shared" ref="CK703:CK708" si="2311">H703</f>
        <v>14</v>
      </c>
      <c r="CL703" s="227" t="str">
        <f t="shared" si="2296"/>
        <v>MT và Bệnh thủy sản</v>
      </c>
      <c r="CM703" s="87" t="str">
        <f t="shared" si="2180"/>
        <v>CS2</v>
      </c>
      <c r="CN703" s="87">
        <f t="shared" si="2304"/>
        <v>270</v>
      </c>
      <c r="CO703" s="87">
        <f t="shared" si="2305"/>
        <v>100</v>
      </c>
      <c r="CP703" s="229">
        <f t="shared" si="2142"/>
        <v>0</v>
      </c>
      <c r="CQ703" s="229">
        <f t="shared" si="2143"/>
        <v>1.9</v>
      </c>
      <c r="CR703" s="229">
        <f t="shared" si="2144"/>
        <v>0.8</v>
      </c>
      <c r="CS703" s="229">
        <f t="shared" si="2145"/>
        <v>0</v>
      </c>
      <c r="CT703" s="229">
        <f t="shared" si="2146"/>
        <v>0</v>
      </c>
      <c r="CU703" s="229">
        <f t="shared" si="2147"/>
        <v>22</v>
      </c>
      <c r="CV703" s="229">
        <f t="shared" si="2148"/>
        <v>0</v>
      </c>
      <c r="CW703" s="229">
        <f t="shared" si="2149"/>
        <v>23</v>
      </c>
      <c r="CX703" s="229">
        <f t="shared" si="2150"/>
        <v>0</v>
      </c>
      <c r="CY703" s="229">
        <f t="shared" si="2151"/>
        <v>0</v>
      </c>
      <c r="CZ703" s="229">
        <f t="shared" si="2152"/>
        <v>0</v>
      </c>
      <c r="DA703" s="229">
        <f t="shared" si="2153"/>
        <v>20</v>
      </c>
      <c r="DB703" s="228">
        <f t="shared" si="2235"/>
        <v>67.7</v>
      </c>
      <c r="DC703" s="229"/>
      <c r="DD703" s="229"/>
      <c r="DE703" s="229"/>
      <c r="DF703" s="229"/>
      <c r="DG703" s="229"/>
      <c r="DH703" s="229"/>
      <c r="DI703" s="229"/>
      <c r="DJ703" s="229"/>
      <c r="DK703" s="229"/>
      <c r="DL703" s="229"/>
      <c r="DM703" s="229"/>
      <c r="DN703" s="229"/>
      <c r="DO703" s="228">
        <f t="shared" si="2247"/>
        <v>0</v>
      </c>
      <c r="DP703" s="228">
        <f t="shared" si="2248"/>
        <v>67.7</v>
      </c>
      <c r="DQ703" s="229">
        <f t="shared" si="2154"/>
        <v>0</v>
      </c>
      <c r="DR703" s="229">
        <f t="shared" si="2155"/>
        <v>0</v>
      </c>
      <c r="DS703" s="229">
        <f t="shared" si="2156"/>
        <v>0</v>
      </c>
      <c r="DT703" s="229">
        <f t="shared" si="2157"/>
        <v>0</v>
      </c>
      <c r="DU703" s="229">
        <f t="shared" si="2158"/>
        <v>0</v>
      </c>
      <c r="DV703" s="229">
        <f t="shared" si="2159"/>
        <v>0</v>
      </c>
      <c r="DW703" s="229">
        <f t="shared" si="2160"/>
        <v>0</v>
      </c>
      <c r="DX703" s="228">
        <f t="shared" si="2236"/>
        <v>0</v>
      </c>
      <c r="DY703" s="229"/>
      <c r="DZ703" s="229"/>
      <c r="EA703" s="229"/>
      <c r="EB703" s="229"/>
      <c r="EC703" s="229"/>
      <c r="ED703" s="229"/>
      <c r="EE703" s="229"/>
      <c r="EF703" s="228">
        <f t="shared" si="2138"/>
        <v>0</v>
      </c>
      <c r="EG703" s="228">
        <f t="shared" si="2249"/>
        <v>0</v>
      </c>
      <c r="EH703" s="229">
        <f t="shared" si="2139"/>
        <v>203.71</v>
      </c>
      <c r="EI703" s="229">
        <v>230</v>
      </c>
      <c r="EJ703" s="228">
        <f t="shared" si="2256"/>
        <v>433.71000000000004</v>
      </c>
      <c r="EK703" s="229"/>
      <c r="EL703" s="229"/>
      <c r="EM703" s="228">
        <f t="shared" ref="EM703:EM708" si="2312">SUM(EK703:EL703)</f>
        <v>0</v>
      </c>
      <c r="EN703" s="229">
        <f t="shared" si="2220"/>
        <v>203.71</v>
      </c>
      <c r="EO703" s="229">
        <f t="shared" si="2123"/>
        <v>230</v>
      </c>
      <c r="EP703" s="228">
        <f t="shared" ref="EP703:EP708" si="2313">EM703+EJ703</f>
        <v>433.71000000000004</v>
      </c>
      <c r="EQ703" s="173">
        <f t="shared" si="2135"/>
        <v>103.71000000000001</v>
      </c>
      <c r="ER703" s="189">
        <v>0</v>
      </c>
      <c r="ES703" s="189">
        <v>1.9</v>
      </c>
      <c r="ET703" s="189">
        <v>0.8</v>
      </c>
      <c r="EU703" s="189">
        <v>0</v>
      </c>
      <c r="EV703" s="189">
        <v>0</v>
      </c>
      <c r="EW703" s="189">
        <v>22</v>
      </c>
      <c r="EX703" s="189">
        <v>0</v>
      </c>
      <c r="EY703" s="189">
        <v>23</v>
      </c>
      <c r="EZ703" s="189">
        <v>0</v>
      </c>
      <c r="FA703" s="189">
        <v>0</v>
      </c>
      <c r="FB703" s="189">
        <v>0</v>
      </c>
      <c r="FC703" s="189">
        <v>20</v>
      </c>
      <c r="FD703" s="189">
        <v>0</v>
      </c>
      <c r="FE703" s="189">
        <v>0</v>
      </c>
      <c r="FF703" s="189">
        <v>0</v>
      </c>
      <c r="FG703" s="189">
        <v>0</v>
      </c>
      <c r="FH703" s="189">
        <v>0</v>
      </c>
      <c r="FI703" s="189">
        <v>0</v>
      </c>
      <c r="FJ703" s="189">
        <v>0</v>
      </c>
      <c r="FK703" s="189">
        <v>67.7</v>
      </c>
      <c r="FL703" s="189">
        <v>67</v>
      </c>
      <c r="FN703" s="132">
        <v>203.71</v>
      </c>
    </row>
    <row r="704" spans="1:170" ht="30" customHeight="1">
      <c r="A704" s="88">
        <f>COUNTIF($H$12:H705,H704)</f>
        <v>16</v>
      </c>
      <c r="B704" s="88" t="s">
        <v>338</v>
      </c>
      <c r="C704" s="88" t="s">
        <v>295</v>
      </c>
      <c r="D704" s="88"/>
      <c r="E704" s="88"/>
      <c r="F704" s="301" t="s">
        <v>1500</v>
      </c>
      <c r="G704" s="89" t="s">
        <v>1888</v>
      </c>
      <c r="H704" s="88">
        <v>14</v>
      </c>
      <c r="I704" s="88">
        <v>14</v>
      </c>
      <c r="J704" s="88">
        <v>14</v>
      </c>
      <c r="K704" s="90" t="s">
        <v>1616</v>
      </c>
      <c r="L704" s="90" t="s">
        <v>1616</v>
      </c>
      <c r="M704" s="214"/>
      <c r="N704" s="88" t="s">
        <v>1804</v>
      </c>
      <c r="O704" s="216">
        <f>BO704</f>
        <v>3</v>
      </c>
      <c r="P704" s="88" t="str">
        <f>IF(BO704&lt;3.33,"B1_3",IF(AND(BO704&gt;=3.33,BO704&lt;4.65),"B1_4",IF(AND(BO704&gt;=4.65,BO704&lt;5.42),"B1_5",IF(AND(BO704&gt;=5.42,BO704&lt;6.44),"B1_6",IF(AND(BO704&gt;=6.44,BO704&lt;=6.92),"B1_7","B1_8")))))</f>
        <v>B1_3</v>
      </c>
      <c r="Q704" s="88">
        <f>IF(M704&gt;0,VLOOKUP(P704,ma_dinhmuc_moi,2,0)/2,VLOOKUP(P704,ma_dinhmuc_moi,2,0))</f>
        <v>270</v>
      </c>
      <c r="R704" s="88">
        <f>IF(M704&gt;0,VLOOKUP(P704,ma_dinhmuc_moi,3,0)/2,VLOOKUP(P704,ma_dinhmuc_moi,3,0))</f>
        <v>100</v>
      </c>
      <c r="S704" s="231" t="s">
        <v>2657</v>
      </c>
      <c r="T704" s="88" t="s">
        <v>3088</v>
      </c>
      <c r="U704" s="88">
        <f>IF(RIGHT(T704,1)="K",(VLOOKUP(T704,ma_miengiam!$A$3:$B$80,2,0)*100)/2,VLOOKUP(T704,ma_miengiam!$A$3:$B$80,2,0)*100)</f>
        <v>0</v>
      </c>
      <c r="V704" s="88">
        <v>10</v>
      </c>
      <c r="W704" s="220">
        <f>IF(AND(T704="NTS",V704&gt;0),(Q704-(Q704*V704)/12)*VLOOKUP(T704,ma_miengiam!$A$3:$B$80,2,0)+(Q704-(Q704*(12-V704))/12),IF(AND(RIGHT(T704,1)="K",V704&gt;0),(VLOOKUP(T704,ma_miengiam!$A$3:$B$80,2,0)/2)*(Q704*V704)/12,IF(RIGHT(T704,1)="K",(VLOOKUP(T704,ma_miengiam!$A$3:$B$80,2,0)*Q704)/2,IF(V704&gt;0,VLOOKUP(T704,ma_miengiam!$A$3:$B$80,2,0)*Q704*V704/12,VLOOKUP(T704,ma_miengiam!$A$3:$B$80,2,0)*Q704))))</f>
        <v>0</v>
      </c>
      <c r="X704" s="220">
        <f>IF(T704="NTS",VLOOKUP(T704,ma_miengiam!$A$3:$B$80,2,0)*R704*V704,IF(AND(T704="NTS",V704=0),0,IF(AND(LEFT(T704,1)="K",V704=0),VLOOKUP(T704,ma_miengiam!$A$3:$B$80,2,0)*R704,IF(LEFT(T704,1)="K",(VLOOKUP(T704,ma_miengiam!$A$3:$B$80,2,0)*R704/12)*V704,IF(AND(LEFT(T704,1)="S",V704&gt;0),(R704/12)*V704,IF(AND(LEFT(T704,1)="S",V704=0),R704,IF(T704="DH",VLOOKUP(T704,ma_miengiam!$A$3:$B$80,2,0)*R704,0)))))))</f>
        <v>0</v>
      </c>
      <c r="Y704" s="220">
        <f>IF(AND(T704="DH",V704&gt;0),(S704*V704/12),IF(AND(T704&lt;&gt;"NTS",V704&gt;0),(Q704*V704/12)-W704,IF(AND(T704="NTS",V704&gt;0),Q704-W704,Q704-W704)))</f>
        <v>225</v>
      </c>
      <c r="Z704" s="220">
        <f>IF(AND(T704="SĐH",V704&gt;0),(R704/12)*V704-X704,IF(AND(T704="DH",V704&gt;0),(R704*V704/12),IF(AND(T704&lt;&gt;"NTS",V704&gt;0),(R704*V704/12)-X704,IF(AND(T704="NTS",V704&gt;0),R704-X704,R704-X704))))</f>
        <v>83.333333333333329</v>
      </c>
      <c r="AA704" s="220">
        <f>Q704</f>
        <v>270</v>
      </c>
      <c r="AB704" s="220">
        <f>R704</f>
        <v>100</v>
      </c>
      <c r="AC704" s="220">
        <f t="shared" si="2308"/>
        <v>0</v>
      </c>
      <c r="AD704" s="220">
        <f t="shared" si="2308"/>
        <v>0</v>
      </c>
      <c r="AE704" s="220">
        <f t="shared" si="2308"/>
        <v>225</v>
      </c>
      <c r="AF704" s="220">
        <f t="shared" si="2308"/>
        <v>83.333333333333329</v>
      </c>
      <c r="AG704" s="220">
        <f t="shared" si="2300"/>
        <v>52.98</v>
      </c>
      <c r="AH704" s="220">
        <f t="shared" si="2301"/>
        <v>0</v>
      </c>
      <c r="AI704" s="220">
        <f t="shared" si="2302"/>
        <v>52.98</v>
      </c>
      <c r="AJ704" s="220">
        <f t="shared" si="2292"/>
        <v>-30.353333333333332</v>
      </c>
      <c r="AK704" s="216">
        <f>IF(AJ704&gt;=0,Y704,Y704-AJ704)</f>
        <v>255.35333333333332</v>
      </c>
      <c r="AL704" s="220">
        <f>SUM(CP704:CX704)+SUM(DC704:DK704)</f>
        <v>8</v>
      </c>
      <c r="AM704" s="220">
        <f>SUM(DQ704:DU704)+SUM(DY704:EC704)</f>
        <v>0</v>
      </c>
      <c r="AN704" s="216">
        <f>AM704+AL704</f>
        <v>8</v>
      </c>
      <c r="AO704" s="220">
        <f t="shared" ref="AO704:AQ705" si="2314">CY704+DL704</f>
        <v>0</v>
      </c>
      <c r="AP704" s="220">
        <f t="shared" si="2314"/>
        <v>0</v>
      </c>
      <c r="AQ704" s="220">
        <f t="shared" si="2314"/>
        <v>0</v>
      </c>
      <c r="AR704" s="220">
        <f t="shared" ref="AR704:AS706" si="2315">DV704+ED704</f>
        <v>0</v>
      </c>
      <c r="AS704" s="220">
        <f t="shared" si="2315"/>
        <v>0</v>
      </c>
      <c r="AT704" s="216">
        <f>AN704+SUM(AO704:AS704)</f>
        <v>8</v>
      </c>
      <c r="AU704" s="220">
        <f>AN704-AK704</f>
        <v>-247.35333333333332</v>
      </c>
      <c r="AV704" s="220"/>
      <c r="AW704" s="220">
        <f>IF(AU704&gt;0,AU704,AV704+AU704)</f>
        <v>-247.35333333333332</v>
      </c>
      <c r="AX704" s="216">
        <f>IF(AN704&gt;AK704,0,IF(AW704&lt;0,AN704-AK704+AV704,IF(AW704&gt;=0,0)))</f>
        <v>-247.35333333333332</v>
      </c>
      <c r="AY704" s="220">
        <f>IF(AN704&gt;=AK704,AO704,IF(AN704+AO704-AK704&gt;=0,AN704+AO704-AK704,0))</f>
        <v>0</v>
      </c>
      <c r="AZ704" s="220">
        <f>IF(OR(AN704&gt;=AK704,AN704+AO704&gt;=AK704),AP704,IF(AN704+AO704+AP704&gt;AK704,AN704+AO704+AP704-AK704,0))</f>
        <v>0</v>
      </c>
      <c r="BA704" s="220">
        <f>IF(OR(AN704&gt;=AK704,AN704+AO704&gt;=AK704,AN704+AO704+AP704&gt;=AK704),AQ704,IF(AN704+AO704+AP704+AQ704&gt;=AK704,AN704+AO704+AP704+AQ704-AK704,0))</f>
        <v>0</v>
      </c>
      <c r="BB704" s="220">
        <f>IF(OR(AN704&gt;=AK704,AN704+AO704&gt;=AK704,AN704+AO704+AP704&gt;=AK704,AN704+AO704+AP704+AQ704&gt;=AK704),AR704,IF(AN704+AO704+AP704+AQ704+AR704&gt;=AK704,AN704+AO704+AP704+AQ704+AR704-AK704,0))</f>
        <v>0</v>
      </c>
      <c r="BC704" s="220">
        <f>IF(OR(AN704&gt;=AK704,AN704+AO704&gt;=AK704,AN704+AO704+AP704&gt;=AK704,AN704+AO704+AP704+AQ704&gt;=AK704,AN704+AO704+AP704+AQ704+AR704&gt;=AK704),AS704,IF(AN704+AO704+AP704+AQ704+AR704+AS704&gt;=AK704,AN704+AO704+AP704+AQ704+AR704+AS704-AK704,0))</f>
        <v>0</v>
      </c>
      <c r="BD704" s="216">
        <f>SUM(AY704:BC704)</f>
        <v>0</v>
      </c>
      <c r="BE704" s="220">
        <f t="shared" ref="BE704:BI705" si="2316">AY704-AO704</f>
        <v>0</v>
      </c>
      <c r="BF704" s="220">
        <f t="shared" si="2316"/>
        <v>0</v>
      </c>
      <c r="BG704" s="220">
        <f t="shared" si="2316"/>
        <v>0</v>
      </c>
      <c r="BH704" s="220">
        <f t="shared" si="2316"/>
        <v>0</v>
      </c>
      <c r="BI704" s="220">
        <f t="shared" si="2316"/>
        <v>0</v>
      </c>
      <c r="BJ704" s="220" t="s">
        <v>1413</v>
      </c>
      <c r="BK704" s="220"/>
      <c r="BL704" s="223">
        <f>IF(AW704&lt;BK704,0,IF(AND(BK704=0,AW704&gt;0),AW704,IF(AW704&lt;0,0,IF(BK704&gt;0,AW704-BK704,IF(BK704&lt;0,0,AW704)))))</f>
        <v>0</v>
      </c>
      <c r="BM704" s="220">
        <v>3</v>
      </c>
      <c r="BN704" s="220"/>
      <c r="BO704" s="220">
        <f>ROUND(BM704+(BM704*BN704),2)</f>
        <v>3</v>
      </c>
      <c r="BP704" s="220">
        <f>IF(AND(BL704&gt;0,BL704&lt;tiet!$D$1),BL704,IF(BL704&lt;=0,0,IF(BL704&gt;tiet!$C$1,tiet!$C$1)))</f>
        <v>0</v>
      </c>
      <c r="BQ704" s="87">
        <f>VLOOKUP(P704,ma_dinhmuc_moi,4,0)</f>
        <v>60000</v>
      </c>
      <c r="BR704" s="224">
        <f>ROUND(BQ704*BP704,0)</f>
        <v>0</v>
      </c>
      <c r="BS704" s="220">
        <f t="shared" si="2134"/>
        <v>0</v>
      </c>
      <c r="BT704" s="224">
        <f>VLOOKUP(N704,ma_dinhmuc!$A$1:$J$31,10,0)</f>
        <v>51000</v>
      </c>
      <c r="BU704" s="224">
        <f>ROUND(IF(BS704&gt;0,VLOOKUP(N704,ma_dinhmuc!$A$1:$J$31,10,0)*BS704,0),0)</f>
        <v>0</v>
      </c>
      <c r="BV704" s="224">
        <f>ROUND(BU704+BR704,0)</f>
        <v>0</v>
      </c>
      <c r="BW704" s="224"/>
      <c r="BX704" s="224">
        <v>0</v>
      </c>
      <c r="BY704" s="224"/>
      <c r="BZ704" s="224"/>
      <c r="CA704" s="224"/>
      <c r="CB704" s="224"/>
      <c r="CC704" s="225">
        <f>ROUND(IF(BV704+BW704&gt;BX704+BY704+BZ704+CA704+CB704,(BW704+BV704)-(BX704+BY704+BZ704+CA704+CB704+CB704),0),0)</f>
        <v>0</v>
      </c>
      <c r="CD704" s="224">
        <f>ROUND(IF(BV704+BW704&lt;BX704+BY704+BZ704+CA704-CB704,(BX704+BY704+BZ704+CA704-CB704)-(BW704+BV704),0),0)</f>
        <v>0</v>
      </c>
      <c r="CE704" s="224"/>
      <c r="CF704" s="226"/>
      <c r="CG704" s="87"/>
      <c r="CH704" s="87">
        <f>A704</f>
        <v>16</v>
      </c>
      <c r="CI704" s="227" t="str">
        <f t="shared" si="2310"/>
        <v>Đoàn Thanh</v>
      </c>
      <c r="CJ704" s="227" t="str">
        <f t="shared" si="2310"/>
        <v>Loan</v>
      </c>
      <c r="CK704" s="87">
        <f t="shared" si="2311"/>
        <v>14</v>
      </c>
      <c r="CL704" s="227" t="str">
        <f>L704</f>
        <v>MT và Bệnh thủy sản</v>
      </c>
      <c r="CM704" s="87" t="str">
        <f>N704</f>
        <v>CS2</v>
      </c>
      <c r="CN704" s="87">
        <f t="shared" ref="CN704:CO707" si="2317">Q704</f>
        <v>270</v>
      </c>
      <c r="CO704" s="87">
        <f t="shared" si="2317"/>
        <v>100</v>
      </c>
      <c r="CP704" s="229">
        <f t="shared" si="2142"/>
        <v>0</v>
      </c>
      <c r="CQ704" s="229">
        <f t="shared" si="2143"/>
        <v>0</v>
      </c>
      <c r="CR704" s="229">
        <f t="shared" si="2144"/>
        <v>0</v>
      </c>
      <c r="CS704" s="229">
        <f t="shared" si="2145"/>
        <v>0</v>
      </c>
      <c r="CT704" s="229">
        <f t="shared" si="2146"/>
        <v>0</v>
      </c>
      <c r="CU704" s="229">
        <f t="shared" si="2147"/>
        <v>0</v>
      </c>
      <c r="CV704" s="229">
        <f t="shared" si="2148"/>
        <v>0</v>
      </c>
      <c r="CW704" s="229">
        <f t="shared" si="2149"/>
        <v>8</v>
      </c>
      <c r="CX704" s="229">
        <f t="shared" si="2150"/>
        <v>0</v>
      </c>
      <c r="CY704" s="229">
        <f t="shared" si="2151"/>
        <v>0</v>
      </c>
      <c r="CZ704" s="229">
        <f t="shared" si="2152"/>
        <v>0</v>
      </c>
      <c r="DA704" s="229">
        <f t="shared" si="2153"/>
        <v>0</v>
      </c>
      <c r="DB704" s="228">
        <f>SUM(CP704:DA704)</f>
        <v>8</v>
      </c>
      <c r="DC704" s="229"/>
      <c r="DD704" s="229"/>
      <c r="DE704" s="229"/>
      <c r="DF704" s="229"/>
      <c r="DG704" s="229"/>
      <c r="DH704" s="229"/>
      <c r="DI704" s="229"/>
      <c r="DJ704" s="229"/>
      <c r="DK704" s="229"/>
      <c r="DL704" s="229"/>
      <c r="DM704" s="229"/>
      <c r="DN704" s="229"/>
      <c r="DO704" s="228">
        <f>SUM(DC704:DN704)</f>
        <v>0</v>
      </c>
      <c r="DP704" s="228">
        <f>DO704+DB704</f>
        <v>8</v>
      </c>
      <c r="DQ704" s="229">
        <f t="shared" si="2154"/>
        <v>0</v>
      </c>
      <c r="DR704" s="229">
        <f t="shared" si="2155"/>
        <v>0</v>
      </c>
      <c r="DS704" s="229">
        <f t="shared" si="2156"/>
        <v>0</v>
      </c>
      <c r="DT704" s="229">
        <f t="shared" si="2157"/>
        <v>0</v>
      </c>
      <c r="DU704" s="229">
        <f t="shared" si="2158"/>
        <v>0</v>
      </c>
      <c r="DV704" s="229">
        <f t="shared" si="2159"/>
        <v>0</v>
      </c>
      <c r="DW704" s="229">
        <f t="shared" si="2160"/>
        <v>0</v>
      </c>
      <c r="DX704" s="228">
        <f>SUM(DQ704:DW704)</f>
        <v>0</v>
      </c>
      <c r="DY704" s="229"/>
      <c r="DZ704" s="229"/>
      <c r="EA704" s="229"/>
      <c r="EB704" s="229"/>
      <c r="EC704" s="229"/>
      <c r="ED704" s="229"/>
      <c r="EE704" s="229"/>
      <c r="EF704" s="228">
        <f t="shared" si="2138"/>
        <v>0</v>
      </c>
      <c r="EG704" s="228">
        <f>EF704+DX704</f>
        <v>0</v>
      </c>
      <c r="EH704" s="229">
        <f t="shared" si="2139"/>
        <v>52.98</v>
      </c>
      <c r="EI704" s="229">
        <v>0</v>
      </c>
      <c r="EJ704" s="228">
        <f t="shared" si="2256"/>
        <v>52.98</v>
      </c>
      <c r="EK704" s="229"/>
      <c r="EL704" s="229"/>
      <c r="EM704" s="228">
        <f t="shared" si="2312"/>
        <v>0</v>
      </c>
      <c r="EN704" s="229">
        <f>EK704+EH704+EL704</f>
        <v>52.98</v>
      </c>
      <c r="EO704" s="229">
        <f>EI704</f>
        <v>0</v>
      </c>
      <c r="EP704" s="228">
        <f t="shared" si="2313"/>
        <v>52.98</v>
      </c>
      <c r="EQ704" s="173">
        <f t="shared" si="2135"/>
        <v>0</v>
      </c>
      <c r="ER704" s="189">
        <v>0</v>
      </c>
      <c r="ES704" s="189">
        <v>0</v>
      </c>
      <c r="ET704" s="189">
        <v>0</v>
      </c>
      <c r="EU704" s="189">
        <v>0</v>
      </c>
      <c r="EV704" s="189">
        <v>0</v>
      </c>
      <c r="EW704" s="189">
        <v>0</v>
      </c>
      <c r="EX704" s="189">
        <v>0</v>
      </c>
      <c r="EY704" s="189">
        <v>8</v>
      </c>
      <c r="EZ704" s="189">
        <v>0</v>
      </c>
      <c r="FA704" s="189">
        <v>0</v>
      </c>
      <c r="FB704" s="189">
        <v>0</v>
      </c>
      <c r="FC704" s="189">
        <v>0</v>
      </c>
      <c r="FD704" s="189">
        <v>0</v>
      </c>
      <c r="FE704" s="189">
        <v>0</v>
      </c>
      <c r="FF704" s="189">
        <v>0</v>
      </c>
      <c r="FG704" s="189">
        <v>0</v>
      </c>
      <c r="FH704" s="189">
        <v>0</v>
      </c>
      <c r="FI704" s="189">
        <v>0</v>
      </c>
      <c r="FJ704" s="189">
        <v>0</v>
      </c>
      <c r="FK704" s="189">
        <v>8</v>
      </c>
      <c r="FL704" s="189">
        <v>8</v>
      </c>
      <c r="FN704" s="132">
        <v>52.98</v>
      </c>
    </row>
    <row r="705" spans="1:170" ht="30" customHeight="1">
      <c r="A705" s="88">
        <f>COUNTIF($H$12:H705,H705)</f>
        <v>16</v>
      </c>
      <c r="B705" s="88" t="s">
        <v>336</v>
      </c>
      <c r="C705" s="88" t="s">
        <v>293</v>
      </c>
      <c r="D705" s="88"/>
      <c r="E705" s="88"/>
      <c r="F705" s="301" t="s">
        <v>2456</v>
      </c>
      <c r="G705" s="89" t="s">
        <v>1648</v>
      </c>
      <c r="H705" s="88">
        <v>14</v>
      </c>
      <c r="I705" s="88">
        <v>14</v>
      </c>
      <c r="J705" s="88">
        <v>14</v>
      </c>
      <c r="K705" s="90" t="s">
        <v>1616</v>
      </c>
      <c r="L705" s="90" t="s">
        <v>1616</v>
      </c>
      <c r="M705" s="214"/>
      <c r="N705" s="88" t="s">
        <v>1804</v>
      </c>
      <c r="O705" s="216">
        <f>BO705</f>
        <v>3</v>
      </c>
      <c r="P705" s="88" t="str">
        <f t="shared" si="2279"/>
        <v>B1_3</v>
      </c>
      <c r="Q705" s="88">
        <f t="shared" si="2136"/>
        <v>270</v>
      </c>
      <c r="R705" s="88">
        <f t="shared" si="2137"/>
        <v>100</v>
      </c>
      <c r="S705" s="230" t="s">
        <v>427</v>
      </c>
      <c r="T705" s="88" t="s">
        <v>2961</v>
      </c>
      <c r="U705" s="88">
        <f>IF(RIGHT(T705,1)="K",(VLOOKUP(T705,ma_miengiam!$A$3:$B$80,2,0)*100)/2,VLOOKUP(T705,ma_miengiam!$A$3:$B$80,2,0)*100)</f>
        <v>100</v>
      </c>
      <c r="V705" s="88"/>
      <c r="W705" s="220">
        <f>IF(AND(T705="NTS",V705&gt;0),(Q705-(Q705*V705)/12)*VLOOKUP(T705,ma_miengiam!$A$3:$B$80,2,0)+(Q705-(Q705*(12-V705))/12),IF(AND(RIGHT(T705,1)="K",V705&gt;0),(VLOOKUP(T705,ma_miengiam!$A$3:$B$80,2,0)/2)*(Q705*V705)/12,IF(RIGHT(T705,1)="K",(VLOOKUP(T705,ma_miengiam!$A$3:$B$80,2,0)*Q705)/2,IF(V705&gt;0,VLOOKUP(T705,ma_miengiam!$A$3:$B$80,2,0)*Q705*V705/12,VLOOKUP(T705,ma_miengiam!$A$3:$B$80,2,0)*Q705))))</f>
        <v>270</v>
      </c>
      <c r="X705" s="220">
        <f>IF(T705="NTS",VLOOKUP(T705,ma_miengiam!$A$3:$B$80,2,0)*R705*V705,IF(AND(T705="NTS",V705=0),0,IF(AND(LEFT(T705,1)="K",V705=0),VLOOKUP(T705,ma_miengiam!$A$3:$B$80,2,0)*R705,IF(LEFT(T705,1)="K",(VLOOKUP(T705,ma_miengiam!$A$3:$B$80,2,0)*R705/12)*V705,IF(AND(LEFT(T705,1)="S",V705&gt;0),(R705/12)*V705,IF(AND(LEFT(T705,1)="S",V705=0),R705,IF(T705="DH",VLOOKUP(T705,ma_miengiam!$A$3:$B$80,2,0)*R705,0)))))))</f>
        <v>100</v>
      </c>
      <c r="Y705" s="220">
        <f>IF(AND(T705="DH",V705&gt;0),(S705*V705/12),IF(AND(T705&lt;&gt;"NTS",V705&gt;0),(Q705*V705/12)-W705,IF(AND(T705="NTS",V705&gt;0),Q705-W705,Q705-W705)))</f>
        <v>0</v>
      </c>
      <c r="Z705" s="220">
        <f>IF(AND(T705="SĐH",V705&gt;0),(R705/12)*V705-X705,IF(AND(T705="DH",V705&gt;0),(R705*V705/12),IF(AND(T705&lt;&gt;"NTS",V705&gt;0),(R705*V705/12)-X705,IF(AND(T705="NTS",V705&gt;0),R705-X705,R705-X705))))</f>
        <v>0</v>
      </c>
      <c r="AA705" s="220">
        <f t="shared" si="2307"/>
        <v>270</v>
      </c>
      <c r="AB705" s="220">
        <f t="shared" si="2307"/>
        <v>100</v>
      </c>
      <c r="AC705" s="220">
        <f t="shared" si="2308"/>
        <v>270</v>
      </c>
      <c r="AD705" s="220">
        <f t="shared" si="2308"/>
        <v>100</v>
      </c>
      <c r="AE705" s="220">
        <f t="shared" si="2308"/>
        <v>0</v>
      </c>
      <c r="AF705" s="220">
        <f t="shared" si="2308"/>
        <v>0</v>
      </c>
      <c r="AG705" s="220">
        <f t="shared" si="2300"/>
        <v>374.17</v>
      </c>
      <c r="AH705" s="220">
        <f t="shared" si="2301"/>
        <v>116.67</v>
      </c>
      <c r="AI705" s="220">
        <f t="shared" si="2302"/>
        <v>257.5</v>
      </c>
      <c r="AJ705" s="220">
        <f t="shared" si="2292"/>
        <v>0</v>
      </c>
      <c r="AK705" s="216">
        <f t="shared" si="2254"/>
        <v>0</v>
      </c>
      <c r="AL705" s="220">
        <f>SUM(CP705:CX705)+SUM(DC705:DK705)</f>
        <v>0</v>
      </c>
      <c r="AM705" s="220">
        <f>SUM(DQ705:DU705)+SUM(DY705:EC705)</f>
        <v>0</v>
      </c>
      <c r="AN705" s="221">
        <f>AM705+AL705</f>
        <v>0</v>
      </c>
      <c r="AO705" s="220">
        <f t="shared" si="2314"/>
        <v>0</v>
      </c>
      <c r="AP705" s="220">
        <f t="shared" si="2314"/>
        <v>0</v>
      </c>
      <c r="AQ705" s="220">
        <f t="shared" si="2314"/>
        <v>0</v>
      </c>
      <c r="AR705" s="220">
        <f t="shared" si="2315"/>
        <v>0</v>
      </c>
      <c r="AS705" s="220">
        <f t="shared" si="2315"/>
        <v>0</v>
      </c>
      <c r="AT705" s="216">
        <f>AN705+SUM(AO705:AS705)</f>
        <v>0</v>
      </c>
      <c r="AU705" s="220">
        <f>AN705-AK705</f>
        <v>0</v>
      </c>
      <c r="AV705" s="220"/>
      <c r="AW705" s="220">
        <f>IF(AU705&gt;0,AU705,AV705+AU705)</f>
        <v>0</v>
      </c>
      <c r="AX705" s="216">
        <f t="shared" si="2234"/>
        <v>0</v>
      </c>
      <c r="AY705" s="220">
        <f>IF(AN705&gt;=AK705,AO705,IF(AN705+AO705-AK705&gt;=0,AN705+AO705-AK705,0))</f>
        <v>0</v>
      </c>
      <c r="AZ705" s="220">
        <f>IF(OR(AN705&gt;=AK705,AN705+AO705&gt;=AK705),AP705,IF(AN705+AO705+AP705&gt;AK705,AN705+AO705+AP705-AK705,0))</f>
        <v>0</v>
      </c>
      <c r="BA705" s="220">
        <f>IF(OR(AN705&gt;=AK705,AN705+AO705&gt;=AK705,AN705+AO705+AP705&gt;=AK705),AQ705,IF(AN705+AO705+AP705+AQ705&gt;=AK705,AN705+AO705+AP705+AQ705-AK705,0))</f>
        <v>0</v>
      </c>
      <c r="BB705" s="220">
        <f>IF(OR(AN705&gt;=AK705,AN705+AO705&gt;=AK705,AN705+AO705+AP705&gt;=AK705,AN705+AO705+AP705+AQ705&gt;=AK705),AR705,IF(AN705+AO705+AP705+AQ705+AR705&gt;=AK705,AN705+AO705+AP705+AQ705+AR705-AK705,0))</f>
        <v>0</v>
      </c>
      <c r="BC705" s="220">
        <f>IF(OR(AN705&gt;=AK705,AN705+AO705&gt;=AK705,AN705+AO705+AP705&gt;=AK705,AN705+AO705+AP705+AQ705&gt;=AK705,AN705+AO705+AP705+AQ705+AR705&gt;=AK705),AS705,IF(AN705+AO705+AP705+AQ705+AR705+AS705&gt;=AK705,AN705+AO705+AP705+AQ705+AR705+AS705-AK705,0))</f>
        <v>0</v>
      </c>
      <c r="BD705" s="216">
        <f t="shared" si="2197"/>
        <v>0</v>
      </c>
      <c r="BE705" s="220">
        <f t="shared" si="2316"/>
        <v>0</v>
      </c>
      <c r="BF705" s="220">
        <f t="shared" si="2316"/>
        <v>0</v>
      </c>
      <c r="BG705" s="220">
        <f t="shared" si="2316"/>
        <v>0</v>
      </c>
      <c r="BH705" s="220">
        <f t="shared" si="2316"/>
        <v>0</v>
      </c>
      <c r="BI705" s="220">
        <f t="shared" si="2316"/>
        <v>0</v>
      </c>
      <c r="BJ705" s="220" t="s">
        <v>1413</v>
      </c>
      <c r="BK705" s="220"/>
      <c r="BL705" s="223">
        <f t="shared" si="2210"/>
        <v>0</v>
      </c>
      <c r="BM705" s="220">
        <v>3</v>
      </c>
      <c r="BN705" s="220"/>
      <c r="BO705" s="220">
        <f>ROUND(BM705+(BM705*BN705),2)</f>
        <v>3</v>
      </c>
      <c r="BP705" s="220">
        <f>IF(AND(BL705&gt;0,BL705&lt;tiet!$D$1),BL705,IF(BL705&lt;=0,0,IF(BL705&gt;tiet!$C$1,tiet!$C$1)))</f>
        <v>0</v>
      </c>
      <c r="BQ705" s="87">
        <f t="shared" si="2278"/>
        <v>60000</v>
      </c>
      <c r="BR705" s="224">
        <f t="shared" si="2268"/>
        <v>0</v>
      </c>
      <c r="BS705" s="220">
        <f t="shared" si="2134"/>
        <v>0</v>
      </c>
      <c r="BT705" s="224">
        <f>VLOOKUP(N705,ma_dinhmuc!$A$1:$J$31,10,0)</f>
        <v>51000</v>
      </c>
      <c r="BU705" s="224">
        <f>ROUND(IF(BS705&gt;0,VLOOKUP(N705,ma_dinhmuc!$A$1:$J$31,10,0)*BS705,0),0)</f>
        <v>0</v>
      </c>
      <c r="BV705" s="224">
        <f t="shared" si="2269"/>
        <v>0</v>
      </c>
      <c r="BW705" s="224"/>
      <c r="BX705" s="224">
        <v>0</v>
      </c>
      <c r="BY705" s="224"/>
      <c r="BZ705" s="224"/>
      <c r="CA705" s="224"/>
      <c r="CB705" s="224"/>
      <c r="CC705" s="225">
        <f>ROUND(IF(BV705+BW705&gt;BX705+BY705+BZ705+CA705+CB705,(BW705+BV705)-(BX705+BY705+BZ705+CA705+CB705+CB705),0),0)</f>
        <v>0</v>
      </c>
      <c r="CD705" s="224">
        <f>ROUND(IF(BV705+BW705&lt;BX705+BY705+BZ705+CA705-CB705,(BX705+BY705+BZ705+CA705-CB705)-(BW705+BV705),0),0)</f>
        <v>0</v>
      </c>
      <c r="CE705" s="224"/>
      <c r="CF705" s="226"/>
      <c r="CG705" s="87"/>
      <c r="CH705" s="87">
        <f t="shared" si="2274"/>
        <v>16</v>
      </c>
      <c r="CI705" s="227" t="str">
        <f t="shared" si="2310"/>
        <v>Trịnh Thị</v>
      </c>
      <c r="CJ705" s="227" t="str">
        <f t="shared" si="2310"/>
        <v>Trang</v>
      </c>
      <c r="CK705" s="87">
        <f t="shared" si="2311"/>
        <v>14</v>
      </c>
      <c r="CL705" s="227" t="str">
        <f t="shared" si="2296"/>
        <v>MT và Bệnh thủy sản</v>
      </c>
      <c r="CM705" s="87" t="str">
        <f>N705</f>
        <v>CS2</v>
      </c>
      <c r="CN705" s="87">
        <f t="shared" si="2317"/>
        <v>270</v>
      </c>
      <c r="CO705" s="87">
        <f t="shared" si="2317"/>
        <v>100</v>
      </c>
      <c r="CP705" s="229">
        <f t="shared" si="2142"/>
        <v>0</v>
      </c>
      <c r="CQ705" s="229">
        <f t="shared" si="2143"/>
        <v>0</v>
      </c>
      <c r="CR705" s="229">
        <f t="shared" si="2144"/>
        <v>0</v>
      </c>
      <c r="CS705" s="229">
        <f t="shared" si="2145"/>
        <v>0</v>
      </c>
      <c r="CT705" s="229">
        <f t="shared" si="2146"/>
        <v>0</v>
      </c>
      <c r="CU705" s="229">
        <f t="shared" si="2147"/>
        <v>0</v>
      </c>
      <c r="CV705" s="229">
        <f t="shared" si="2148"/>
        <v>0</v>
      </c>
      <c r="CW705" s="229">
        <f t="shared" si="2149"/>
        <v>0</v>
      </c>
      <c r="CX705" s="229">
        <f t="shared" si="2150"/>
        <v>0</v>
      </c>
      <c r="CY705" s="229">
        <f t="shared" si="2151"/>
        <v>0</v>
      </c>
      <c r="CZ705" s="229">
        <f t="shared" si="2152"/>
        <v>0</v>
      </c>
      <c r="DA705" s="229">
        <f t="shared" si="2153"/>
        <v>0</v>
      </c>
      <c r="DB705" s="228">
        <f>SUM(CP705:DA705)</f>
        <v>0</v>
      </c>
      <c r="DC705" s="229"/>
      <c r="DD705" s="229"/>
      <c r="DE705" s="229"/>
      <c r="DF705" s="229"/>
      <c r="DG705" s="229"/>
      <c r="DH705" s="229"/>
      <c r="DI705" s="229"/>
      <c r="DJ705" s="229"/>
      <c r="DK705" s="229"/>
      <c r="DL705" s="229"/>
      <c r="DM705" s="229"/>
      <c r="DN705" s="229"/>
      <c r="DO705" s="228">
        <f>SUM(DC705:DN705)</f>
        <v>0</v>
      </c>
      <c r="DP705" s="228">
        <f>DO705+DB705</f>
        <v>0</v>
      </c>
      <c r="DQ705" s="229">
        <f t="shared" si="2154"/>
        <v>0</v>
      </c>
      <c r="DR705" s="229">
        <f t="shared" si="2155"/>
        <v>0</v>
      </c>
      <c r="DS705" s="229">
        <f t="shared" si="2156"/>
        <v>0</v>
      </c>
      <c r="DT705" s="229">
        <f t="shared" si="2157"/>
        <v>0</v>
      </c>
      <c r="DU705" s="229">
        <f t="shared" si="2158"/>
        <v>0</v>
      </c>
      <c r="DV705" s="229">
        <f t="shared" si="2159"/>
        <v>0</v>
      </c>
      <c r="DW705" s="229">
        <f t="shared" si="2160"/>
        <v>0</v>
      </c>
      <c r="DX705" s="228">
        <f>SUM(DQ705:DW705)</f>
        <v>0</v>
      </c>
      <c r="DY705" s="229"/>
      <c r="DZ705" s="229"/>
      <c r="EA705" s="229"/>
      <c r="EB705" s="229"/>
      <c r="EC705" s="229"/>
      <c r="ED705" s="229"/>
      <c r="EE705" s="229"/>
      <c r="EF705" s="228">
        <f t="shared" si="2138"/>
        <v>0</v>
      </c>
      <c r="EG705" s="228">
        <f>EF705+DX705</f>
        <v>0</v>
      </c>
      <c r="EH705" s="229">
        <f t="shared" si="2139"/>
        <v>257.5</v>
      </c>
      <c r="EI705" s="229">
        <v>116.67</v>
      </c>
      <c r="EJ705" s="228">
        <f t="shared" si="2256"/>
        <v>374.17</v>
      </c>
      <c r="EK705" s="229"/>
      <c r="EL705" s="229"/>
      <c r="EM705" s="228">
        <f t="shared" si="2312"/>
        <v>0</v>
      </c>
      <c r="EN705" s="229">
        <f>EK705+EH705+EL705</f>
        <v>257.5</v>
      </c>
      <c r="EO705" s="229">
        <f>EI705</f>
        <v>116.67</v>
      </c>
      <c r="EP705" s="228">
        <f t="shared" si="2313"/>
        <v>374.17</v>
      </c>
      <c r="EQ705" s="173">
        <f t="shared" si="2135"/>
        <v>257.5</v>
      </c>
      <c r="ER705" s="189">
        <v>0</v>
      </c>
      <c r="ES705" s="189">
        <v>0</v>
      </c>
      <c r="ET705" s="189">
        <v>0</v>
      </c>
      <c r="EU705" s="189">
        <v>0</v>
      </c>
      <c r="EV705" s="189">
        <v>0</v>
      </c>
      <c r="EW705" s="189">
        <v>0</v>
      </c>
      <c r="EX705" s="189">
        <v>0</v>
      </c>
      <c r="EY705" s="189">
        <v>0</v>
      </c>
      <c r="EZ705" s="189">
        <v>0</v>
      </c>
      <c r="FA705" s="189">
        <v>0</v>
      </c>
      <c r="FB705" s="189">
        <v>0</v>
      </c>
      <c r="FC705" s="189">
        <v>0</v>
      </c>
      <c r="FD705" s="189">
        <v>0</v>
      </c>
      <c r="FE705" s="189">
        <v>0</v>
      </c>
      <c r="FF705" s="189">
        <v>0</v>
      </c>
      <c r="FG705" s="189">
        <v>0</v>
      </c>
      <c r="FH705" s="189">
        <v>0</v>
      </c>
      <c r="FI705" s="189">
        <v>0</v>
      </c>
      <c r="FJ705" s="189">
        <v>0</v>
      </c>
      <c r="FK705" s="189">
        <v>0</v>
      </c>
      <c r="FL705" s="189">
        <v>0</v>
      </c>
      <c r="FN705" s="132">
        <v>257.5</v>
      </c>
    </row>
    <row r="706" spans="1:170" ht="30" customHeight="1">
      <c r="A706" s="88">
        <f>COUNTIF($H$12:H706,H706)</f>
        <v>17</v>
      </c>
      <c r="B706" s="88" t="s">
        <v>2338</v>
      </c>
      <c r="C706" s="88" t="s">
        <v>296</v>
      </c>
      <c r="D706" s="88"/>
      <c r="E706" s="88"/>
      <c r="F706" s="301" t="s">
        <v>3150</v>
      </c>
      <c r="G706" s="89" t="s">
        <v>2901</v>
      </c>
      <c r="H706" s="88">
        <v>14</v>
      </c>
      <c r="I706" s="88">
        <v>14</v>
      </c>
      <c r="J706" s="88">
        <v>14</v>
      </c>
      <c r="K706" s="90" t="s">
        <v>1616</v>
      </c>
      <c r="L706" s="90" t="s">
        <v>1616</v>
      </c>
      <c r="M706" s="214"/>
      <c r="N706" s="88" t="s">
        <v>1804</v>
      </c>
      <c r="O706" s="216">
        <f>BO706</f>
        <v>3</v>
      </c>
      <c r="P706" s="88" t="str">
        <f t="shared" si="2279"/>
        <v>B1_3</v>
      </c>
      <c r="Q706" s="88">
        <f t="shared" si="2136"/>
        <v>270</v>
      </c>
      <c r="R706" s="88">
        <f t="shared" si="2137"/>
        <v>100</v>
      </c>
      <c r="S706" s="230" t="s">
        <v>1419</v>
      </c>
      <c r="T706" s="88" t="s">
        <v>3088</v>
      </c>
      <c r="U706" s="88">
        <f>IF(RIGHT(T706,1)="K",(VLOOKUP(T706,ma_miengiam!$A$3:$B$80,2,0)*100)/2,VLOOKUP(T706,ma_miengiam!$A$3:$B$80,2,0)*100)</f>
        <v>0</v>
      </c>
      <c r="V706" s="88"/>
      <c r="W706" s="220">
        <f>IF(AND(T706="NTS",V706&gt;0),(Q706-(Q706*V706)/12)*VLOOKUP(T706,ma_miengiam!$A$3:$B$80,2,0)+(Q706-(Q706*(12-V706))/12),IF(AND(RIGHT(T706,1)="K",V706&gt;0),(VLOOKUP(T706,ma_miengiam!$A$3:$B$80,2,0)/2)*(Q706*V706)/12,IF(RIGHT(T706,1)="K",(VLOOKUP(T706,ma_miengiam!$A$3:$B$80,2,0)*Q706)/2,IF(V706&gt;0,VLOOKUP(T706,ma_miengiam!$A$3:$B$80,2,0)*Q706*V706/12,VLOOKUP(T706,ma_miengiam!$A$3:$B$80,2,0)*Q706))))</f>
        <v>0</v>
      </c>
      <c r="X706" s="220">
        <f>IF(T706="NTS",VLOOKUP(T706,ma_miengiam!$A$3:$B$80,2,0)*R706*V706,IF(AND(T706="NTS",V706=0),0,IF(AND(LEFT(T706,1)="K",V706=0),VLOOKUP(T706,ma_miengiam!$A$3:$B$80,2,0)*R706,IF(LEFT(T706,1)="K",(VLOOKUP(T706,ma_miengiam!$A$3:$B$80,2,0)*R706/12)*V706,IF(AND(LEFT(T706,1)="S",V706&gt;0),(R706/12)*V706,IF(AND(LEFT(T706,1)="S",V706=0),R706,IF(T706="DH",VLOOKUP(T706,ma_miengiam!$A$3:$B$80,2,0)*R706,0)))))))</f>
        <v>0</v>
      </c>
      <c r="Y706" s="220">
        <f>IF(AND(T706="DH",V706&gt;0),(S706*V706/12),IF(AND(T706&lt;&gt;"NTS",V706&gt;0),(Q706*V706/12)-W706,IF(AND(T706="NTS",V706&gt;0),Q706-W706,Q706-W706)))</f>
        <v>270</v>
      </c>
      <c r="Z706" s="220">
        <f>IF(AND(T706="SĐH",V706&gt;0),(R706/12)*V706-X706,IF(AND(T706="DH",V706&gt;0),(R706*V706/12),IF(AND(T706&lt;&gt;"NTS",V706&gt;0),(R706*V706/12)-X706,IF(AND(T706="NTS",V706&gt;0),R706-X706,R706-X706))))</f>
        <v>100</v>
      </c>
      <c r="AA706" s="220">
        <f t="shared" ref="AA706:AB708" si="2318">Q706</f>
        <v>270</v>
      </c>
      <c r="AB706" s="220">
        <f t="shared" si="2318"/>
        <v>100</v>
      </c>
      <c r="AC706" s="220">
        <f t="shared" ref="AC706:AF708" si="2319">W706</f>
        <v>0</v>
      </c>
      <c r="AD706" s="220">
        <f t="shared" si="2319"/>
        <v>0</v>
      </c>
      <c r="AE706" s="220">
        <f t="shared" si="2319"/>
        <v>270</v>
      </c>
      <c r="AF706" s="220">
        <f t="shared" si="2319"/>
        <v>100</v>
      </c>
      <c r="AG706" s="220">
        <f t="shared" si="2300"/>
        <v>416.97666666666669</v>
      </c>
      <c r="AH706" s="220">
        <f t="shared" si="2301"/>
        <v>278.3366666666667</v>
      </c>
      <c r="AI706" s="220">
        <f t="shared" si="2302"/>
        <v>138.63999999999999</v>
      </c>
      <c r="AJ706" s="220">
        <f>IF(AG706-Z706&gt;0,0,AG706-Z706)</f>
        <v>0</v>
      </c>
      <c r="AK706" s="216">
        <f t="shared" si="2254"/>
        <v>270</v>
      </c>
      <c r="AL706" s="220">
        <f>SUM(CP706:CX706)+SUM(DC706:DK706)</f>
        <v>48.4</v>
      </c>
      <c r="AM706" s="220">
        <f>SUM(DQ706:DU706)+SUM(DY706:EC706)</f>
        <v>27.7</v>
      </c>
      <c r="AN706" s="216">
        <f>AM706+AL706</f>
        <v>76.099999999999994</v>
      </c>
      <c r="AO706" s="220">
        <f>CY706+DL706</f>
        <v>0</v>
      </c>
      <c r="AP706" s="220">
        <f>CZ706+DM706</f>
        <v>0</v>
      </c>
      <c r="AQ706" s="220">
        <f>DA706+DN706</f>
        <v>20</v>
      </c>
      <c r="AR706" s="220">
        <f t="shared" si="2315"/>
        <v>80</v>
      </c>
      <c r="AS706" s="220">
        <f t="shared" si="2315"/>
        <v>0</v>
      </c>
      <c r="AT706" s="216">
        <f>AN706+SUM(AO706:AS706)</f>
        <v>176.1</v>
      </c>
      <c r="AU706" s="220">
        <f>AN706-AK706</f>
        <v>-193.9</v>
      </c>
      <c r="AV706" s="220"/>
      <c r="AW706" s="220">
        <f>IF(AU706&gt;0,AU706,AV706+AU706)</f>
        <v>-193.9</v>
      </c>
      <c r="AX706" s="216">
        <f t="shared" si="2234"/>
        <v>-193.9</v>
      </c>
      <c r="AY706" s="220">
        <f>IF(AN706&gt;=AK706,AO706,IF(AN706+AO706-AK706&gt;=0,AN706+AO706-AK706,0))</f>
        <v>0</v>
      </c>
      <c r="AZ706" s="220">
        <f>IF(OR(AN706&gt;=AK706,AN706+AO706&gt;=AK706),AP706,IF(AN706+AO706+AP706&gt;AK706,AN706+AO706+AP706-AK706,0))</f>
        <v>0</v>
      </c>
      <c r="BA706" s="220">
        <f>IF(OR(AN706&gt;=AK706,AN706+AO706&gt;=AK706,AN706+AO706+AP706&gt;=AK706),AQ706,IF(AN706+AO706+AP706+AQ706&gt;=AK706,AN706+AO706+AP706+AQ706-AK706,0))</f>
        <v>0</v>
      </c>
      <c r="BB706" s="220">
        <f>IF(OR(AN706&gt;=AK706,AN706+AO706&gt;=AK706,AN706+AO706+AP706&gt;=AK706,AN706+AO706+AP706+AQ706&gt;=AK706),AR706,IF(AN706+AO706+AP706+AQ706+AR706&gt;=AK706,AN706+AO706+AP706+AQ706+AR706-AK706,0))</f>
        <v>0</v>
      </c>
      <c r="BC706" s="220">
        <f>IF(OR(AN706&gt;=AK706,AN706+AO706&gt;=AK706,AN706+AO706+AP706&gt;=AK706,AN706+AO706+AP706+AQ706&gt;=AK706,AN706+AO706+AP706+AQ706+AR706&gt;=AK706),AS706,IF(AN706+AO706+AP706+AQ706+AR706+AS706&gt;=AK706,AN706+AO706+AP706+AQ706+AR706+AS706-AK706,0))</f>
        <v>0</v>
      </c>
      <c r="BD706" s="216">
        <f t="shared" si="2197"/>
        <v>0</v>
      </c>
      <c r="BE706" s="220">
        <f>AY706-AO706</f>
        <v>0</v>
      </c>
      <c r="BF706" s="220">
        <f>AZ706-AP706</f>
        <v>0</v>
      </c>
      <c r="BG706" s="220">
        <f>BA706-AQ706</f>
        <v>-20</v>
      </c>
      <c r="BH706" s="220">
        <f>BB706-AR706</f>
        <v>-80</v>
      </c>
      <c r="BI706" s="220">
        <f>BC706-AS706</f>
        <v>0</v>
      </c>
      <c r="BJ706" s="220" t="s">
        <v>1413</v>
      </c>
      <c r="BK706" s="220"/>
      <c r="BL706" s="223">
        <f t="shared" si="2210"/>
        <v>0</v>
      </c>
      <c r="BM706" s="220">
        <v>3</v>
      </c>
      <c r="BN706" s="220"/>
      <c r="BO706" s="220">
        <f>ROUND(BM706+(BM706*BN706),2)</f>
        <v>3</v>
      </c>
      <c r="BP706" s="220">
        <f>IF(AND(BL706&gt;0,BL706&lt;tiet!$D$1),BL706,IF(BL706&lt;=0,0,IF(BL706&gt;tiet!$C$1,tiet!$C$1)))</f>
        <v>0</v>
      </c>
      <c r="BQ706" s="87">
        <f t="shared" si="2278"/>
        <v>60000</v>
      </c>
      <c r="BR706" s="224">
        <f t="shared" si="2268"/>
        <v>0</v>
      </c>
      <c r="BS706" s="220">
        <f t="shared" si="2134"/>
        <v>0</v>
      </c>
      <c r="BT706" s="224">
        <f>VLOOKUP(N706,ma_dinhmuc!$A$1:$J$31,10,0)</f>
        <v>51000</v>
      </c>
      <c r="BU706" s="224">
        <f>ROUND(IF(BS706&gt;0,VLOOKUP(N706,ma_dinhmuc!$A$1:$J$31,10,0)*BS706,0),0)</f>
        <v>0</v>
      </c>
      <c r="BV706" s="224">
        <f t="shared" si="2269"/>
        <v>0</v>
      </c>
      <c r="BW706" s="224"/>
      <c r="BX706" s="224">
        <v>0</v>
      </c>
      <c r="BY706" s="224"/>
      <c r="BZ706" s="224"/>
      <c r="CA706" s="224"/>
      <c r="CB706" s="224"/>
      <c r="CC706" s="225">
        <f>ROUND(IF(BV706+BW706&gt;BX706+BY706+BZ706+CA706+CB706,(BW706+BV706)-(BX706+BY706+BZ706+CA706+CB706+CB706),0),0)</f>
        <v>0</v>
      </c>
      <c r="CD706" s="224">
        <f>ROUND(IF(BV706+BW706&lt;BX706+BY706+BZ706+CA706-CB706,(BX706+BY706+BZ706+CA706-CB706)-(BW706+BV706),0),0)</f>
        <v>0</v>
      </c>
      <c r="CE706" s="224"/>
      <c r="CF706" s="226"/>
      <c r="CG706" s="87"/>
      <c r="CH706" s="87">
        <f t="shared" si="2274"/>
        <v>17</v>
      </c>
      <c r="CI706" s="227" t="str">
        <f t="shared" si="2310"/>
        <v>Lê Việt</v>
      </c>
      <c r="CJ706" s="227" t="str">
        <f t="shared" si="2310"/>
        <v>Dũng</v>
      </c>
      <c r="CK706" s="87">
        <f t="shared" si="2311"/>
        <v>14</v>
      </c>
      <c r="CL706" s="227" t="str">
        <f t="shared" si="2296"/>
        <v>MT và Bệnh thủy sản</v>
      </c>
      <c r="CM706" s="87" t="str">
        <f>N706</f>
        <v>CS2</v>
      </c>
      <c r="CN706" s="87">
        <f t="shared" si="2317"/>
        <v>270</v>
      </c>
      <c r="CO706" s="87">
        <f t="shared" si="2317"/>
        <v>100</v>
      </c>
      <c r="CP706" s="229">
        <f t="shared" si="2142"/>
        <v>0</v>
      </c>
      <c r="CQ706" s="229">
        <f t="shared" si="2143"/>
        <v>3.4</v>
      </c>
      <c r="CR706" s="229">
        <f t="shared" si="2144"/>
        <v>0</v>
      </c>
      <c r="CS706" s="229">
        <f t="shared" si="2145"/>
        <v>0</v>
      </c>
      <c r="CT706" s="229">
        <f t="shared" si="2146"/>
        <v>0</v>
      </c>
      <c r="CU706" s="229">
        <f t="shared" si="2147"/>
        <v>0</v>
      </c>
      <c r="CV706" s="229">
        <f t="shared" si="2148"/>
        <v>0</v>
      </c>
      <c r="CW706" s="229">
        <f t="shared" si="2149"/>
        <v>45</v>
      </c>
      <c r="CX706" s="229">
        <f t="shared" si="2150"/>
        <v>0</v>
      </c>
      <c r="CY706" s="229">
        <f t="shared" si="2151"/>
        <v>0</v>
      </c>
      <c r="CZ706" s="229">
        <f t="shared" si="2152"/>
        <v>0</v>
      </c>
      <c r="DA706" s="229">
        <f t="shared" si="2153"/>
        <v>20</v>
      </c>
      <c r="DB706" s="228">
        <f>SUM(CP706:DA706)</f>
        <v>68.400000000000006</v>
      </c>
      <c r="DC706" s="229"/>
      <c r="DD706" s="229"/>
      <c r="DE706" s="229"/>
      <c r="DF706" s="229"/>
      <c r="DG706" s="229"/>
      <c r="DH706" s="229"/>
      <c r="DI706" s="229"/>
      <c r="DJ706" s="229"/>
      <c r="DK706" s="229"/>
      <c r="DL706" s="229"/>
      <c r="DM706" s="229"/>
      <c r="DN706" s="229"/>
      <c r="DO706" s="228">
        <f>SUM(DC706:DN706)</f>
        <v>0</v>
      </c>
      <c r="DP706" s="228">
        <f>DO706+DB706</f>
        <v>68.400000000000006</v>
      </c>
      <c r="DQ706" s="229">
        <f t="shared" si="2154"/>
        <v>27</v>
      </c>
      <c r="DR706" s="229">
        <f t="shared" si="2155"/>
        <v>0.5</v>
      </c>
      <c r="DS706" s="229">
        <f t="shared" si="2156"/>
        <v>0</v>
      </c>
      <c r="DT706" s="229">
        <f t="shared" si="2157"/>
        <v>0.2</v>
      </c>
      <c r="DU706" s="229">
        <f t="shared" si="2158"/>
        <v>0</v>
      </c>
      <c r="DV706" s="229">
        <f t="shared" si="2159"/>
        <v>80</v>
      </c>
      <c r="DW706" s="229">
        <f t="shared" si="2160"/>
        <v>0</v>
      </c>
      <c r="DX706" s="228">
        <f>SUM(DQ706:DW706)</f>
        <v>107.7</v>
      </c>
      <c r="DY706" s="229"/>
      <c r="DZ706" s="229"/>
      <c r="EA706" s="229"/>
      <c r="EB706" s="229"/>
      <c r="EC706" s="229"/>
      <c r="ED706" s="229"/>
      <c r="EE706" s="229"/>
      <c r="EF706" s="228">
        <f t="shared" si="2138"/>
        <v>0</v>
      </c>
      <c r="EG706" s="228">
        <f>EF706+DX706</f>
        <v>107.7</v>
      </c>
      <c r="EH706" s="229">
        <f t="shared" si="2139"/>
        <v>138.63999999999999</v>
      </c>
      <c r="EI706" s="229">
        <v>278.3366666666667</v>
      </c>
      <c r="EJ706" s="228">
        <f t="shared" si="2256"/>
        <v>416.97666666666669</v>
      </c>
      <c r="EK706" s="229"/>
      <c r="EL706" s="229"/>
      <c r="EM706" s="228">
        <f t="shared" si="2312"/>
        <v>0</v>
      </c>
      <c r="EN706" s="229">
        <f>EK706+EH706+EL706</f>
        <v>138.63999999999999</v>
      </c>
      <c r="EO706" s="229">
        <f>EI706</f>
        <v>278.3366666666667</v>
      </c>
      <c r="EP706" s="228">
        <f t="shared" si="2313"/>
        <v>416.97666666666669</v>
      </c>
      <c r="EQ706" s="173">
        <f t="shared" si="2135"/>
        <v>38.639999999999986</v>
      </c>
      <c r="ER706" s="189">
        <v>0</v>
      </c>
      <c r="ES706" s="189">
        <v>3.4</v>
      </c>
      <c r="ET706" s="189">
        <v>0</v>
      </c>
      <c r="EU706" s="189">
        <v>0</v>
      </c>
      <c r="EV706" s="189">
        <v>0</v>
      </c>
      <c r="EW706" s="189">
        <v>0</v>
      </c>
      <c r="EX706" s="189">
        <v>0</v>
      </c>
      <c r="EY706" s="189">
        <v>45</v>
      </c>
      <c r="EZ706" s="189">
        <v>0</v>
      </c>
      <c r="FA706" s="189">
        <v>0</v>
      </c>
      <c r="FB706" s="189">
        <v>0</v>
      </c>
      <c r="FC706" s="189">
        <v>20</v>
      </c>
      <c r="FD706" s="189">
        <v>27</v>
      </c>
      <c r="FE706" s="189">
        <v>0.5</v>
      </c>
      <c r="FF706" s="189">
        <v>0</v>
      </c>
      <c r="FG706" s="189">
        <v>0.2</v>
      </c>
      <c r="FH706" s="189">
        <v>80</v>
      </c>
      <c r="FI706" s="189">
        <v>0</v>
      </c>
      <c r="FJ706" s="189">
        <v>0</v>
      </c>
      <c r="FK706" s="189">
        <v>176.1</v>
      </c>
      <c r="FL706" s="189">
        <v>163</v>
      </c>
      <c r="FN706" s="132">
        <v>138.63999999999999</v>
      </c>
    </row>
    <row r="707" spans="1:170" ht="30">
      <c r="A707" s="88">
        <f>COUNTIF($H$12:H707,H707)</f>
        <v>18</v>
      </c>
      <c r="B707" s="88" t="s">
        <v>339</v>
      </c>
      <c r="C707" s="88" t="s">
        <v>297</v>
      </c>
      <c r="D707" s="88"/>
      <c r="E707" s="88"/>
      <c r="F707" s="301" t="s">
        <v>2448</v>
      </c>
      <c r="G707" s="303" t="s">
        <v>1649</v>
      </c>
      <c r="H707" s="88">
        <v>14</v>
      </c>
      <c r="I707" s="88">
        <v>14</v>
      </c>
      <c r="J707" s="88">
        <v>14</v>
      </c>
      <c r="K707" s="90" t="s">
        <v>219</v>
      </c>
      <c r="L707" s="90" t="s">
        <v>219</v>
      </c>
      <c r="M707" s="214"/>
      <c r="N707" s="88" t="s">
        <v>605</v>
      </c>
      <c r="O707" s="216">
        <f>BO707</f>
        <v>6.2</v>
      </c>
      <c r="P707" s="88" t="str">
        <f t="shared" si="2279"/>
        <v>B1_6</v>
      </c>
      <c r="Q707" s="88">
        <f t="shared" si="2136"/>
        <v>270</v>
      </c>
      <c r="R707" s="88">
        <f t="shared" si="2137"/>
        <v>170</v>
      </c>
      <c r="S707" s="231" t="s">
        <v>2983</v>
      </c>
      <c r="T707" s="88" t="s">
        <v>3092</v>
      </c>
      <c r="U707" s="88">
        <f>IF(RIGHT(T707,1)="K",(VLOOKUP(T707,ma_miengiam!$A$3:$B$80,2,0)*100)/2,VLOOKUP(T707,ma_miengiam!$A$3:$B$80,2,0)*100)</f>
        <v>25</v>
      </c>
      <c r="V707" s="88"/>
      <c r="W707" s="220">
        <f>IF(AND(T707="NTS",V707&gt;0),(Q707-(Q707*V707)/12)*VLOOKUP(T707,ma_miengiam!$A$3:$B$80,2,0)+(Q707-(Q707*(12-V707))/12),IF(AND(RIGHT(T707,1)="K",V707&gt;0),(VLOOKUP(T707,ma_miengiam!$A$3:$B$80,2,0)/2)*(Q707*V707)/12,IF(RIGHT(T707,1)="K",(VLOOKUP(T707,ma_miengiam!$A$3:$B$80,2,0)*Q707)/2,IF(V707&gt;0,VLOOKUP(T707,ma_miengiam!$A$3:$B$80,2,0)*Q707*V707/12,VLOOKUP(T707,ma_miengiam!$A$3:$B$80,2,0)*Q707))))</f>
        <v>67.5</v>
      </c>
      <c r="X707" s="220">
        <f>IF(T707="NTS",VLOOKUP(T707,ma_miengiam!$A$3:$B$80,2,0)*R707*V707,IF(AND(T707="NTS",V707=0),0,IF(AND(LEFT(T707,1)="K",V707=0),VLOOKUP(T707,ma_miengiam!$A$3:$B$80,2,0)*R707,IF(LEFT(T707,1)="K",(VLOOKUP(T707,ma_miengiam!$A$3:$B$80,2,0)*R707/12)*V707,IF(AND(LEFT(T707,1)="S",V707&gt;0),(R707/12)*V707,IF(AND(LEFT(T707,1)="S",V707=0),R707,IF(T707="DH",VLOOKUP(T707,ma_miengiam!$A$3:$B$80,2,0)*R707,0)))))))</f>
        <v>0</v>
      </c>
      <c r="Y707" s="220">
        <f t="shared" si="2257"/>
        <v>202.5</v>
      </c>
      <c r="Z707" s="220">
        <f t="shared" si="2258"/>
        <v>170</v>
      </c>
      <c r="AA707" s="220">
        <f t="shared" si="2318"/>
        <v>270</v>
      </c>
      <c r="AB707" s="220">
        <f t="shared" si="2318"/>
        <v>170</v>
      </c>
      <c r="AC707" s="220">
        <f t="shared" si="2319"/>
        <v>67.5</v>
      </c>
      <c r="AD707" s="220">
        <f t="shared" si="2319"/>
        <v>0</v>
      </c>
      <c r="AE707" s="220">
        <f t="shared" si="2319"/>
        <v>202.5</v>
      </c>
      <c r="AF707" s="220">
        <f t="shared" si="2319"/>
        <v>170</v>
      </c>
      <c r="AG707" s="220">
        <f t="shared" si="2300"/>
        <v>366.88</v>
      </c>
      <c r="AH707" s="220">
        <f t="shared" si="2301"/>
        <v>91.46</v>
      </c>
      <c r="AI707" s="220">
        <f t="shared" si="2302"/>
        <v>275.42</v>
      </c>
      <c r="AJ707" s="220">
        <f>IF(AG707-Z707&gt;0,0,AG707-Z707)</f>
        <v>0</v>
      </c>
      <c r="AK707" s="216">
        <f t="shared" si="2254"/>
        <v>202.5</v>
      </c>
      <c r="AL707" s="220">
        <f t="shared" si="2238"/>
        <v>41.5</v>
      </c>
      <c r="AM707" s="220">
        <f t="shared" si="2239"/>
        <v>110.7</v>
      </c>
      <c r="AN707" s="221">
        <f t="shared" si="2240"/>
        <v>152.19999999999999</v>
      </c>
      <c r="AO707" s="220">
        <f t="shared" si="2241"/>
        <v>0</v>
      </c>
      <c r="AP707" s="220">
        <f t="shared" si="2242"/>
        <v>0</v>
      </c>
      <c r="AQ707" s="220">
        <f t="shared" si="2243"/>
        <v>0</v>
      </c>
      <c r="AR707" s="220">
        <f t="shared" si="2244"/>
        <v>120</v>
      </c>
      <c r="AS707" s="220">
        <f t="shared" si="2245"/>
        <v>0</v>
      </c>
      <c r="AT707" s="216">
        <f t="shared" si="2246"/>
        <v>272.2</v>
      </c>
      <c r="AU707" s="222">
        <f t="shared" ref="AU707:AU740" si="2320">AN707-AK707</f>
        <v>-50.300000000000011</v>
      </c>
      <c r="AV707" s="220"/>
      <c r="AW707" s="220">
        <f t="shared" si="2174"/>
        <v>-50.300000000000011</v>
      </c>
      <c r="AX707" s="216">
        <f t="shared" si="2234"/>
        <v>-50.300000000000011</v>
      </c>
      <c r="AY707" s="220">
        <f t="shared" si="2182"/>
        <v>0</v>
      </c>
      <c r="AZ707" s="220">
        <f t="shared" si="2183"/>
        <v>0</v>
      </c>
      <c r="BA707" s="220">
        <f t="shared" si="2184"/>
        <v>0</v>
      </c>
      <c r="BB707" s="220">
        <f t="shared" si="2185"/>
        <v>69.699999999999989</v>
      </c>
      <c r="BC707" s="220">
        <f t="shared" si="2186"/>
        <v>0</v>
      </c>
      <c r="BD707" s="216">
        <f t="shared" si="2197"/>
        <v>69.699999999999989</v>
      </c>
      <c r="BE707" s="220">
        <f t="shared" si="2175"/>
        <v>0</v>
      </c>
      <c r="BF707" s="220">
        <f t="shared" si="2176"/>
        <v>0</v>
      </c>
      <c r="BG707" s="220">
        <f t="shared" si="2177"/>
        <v>0</v>
      </c>
      <c r="BH707" s="220">
        <f t="shared" si="2178"/>
        <v>-50.300000000000011</v>
      </c>
      <c r="BI707" s="220">
        <f t="shared" si="2179"/>
        <v>0</v>
      </c>
      <c r="BJ707" s="220" t="s">
        <v>2403</v>
      </c>
      <c r="BK707" s="220"/>
      <c r="BL707" s="223">
        <f t="shared" si="2210"/>
        <v>0</v>
      </c>
      <c r="BM707" s="220">
        <v>6.2</v>
      </c>
      <c r="BN707" s="220"/>
      <c r="BO707" s="220">
        <f>ROUND(BM707+(BM707*BN707),2)</f>
        <v>6.2</v>
      </c>
      <c r="BP707" s="220">
        <f>IF(AND(BL707&gt;0,BL707&lt;tiet!$D$1),BL707,IF(BL707&lt;=0,0,IF(BL707&gt;tiet!$C$1,tiet!$C$1)))</f>
        <v>0</v>
      </c>
      <c r="BQ707" s="87">
        <f t="shared" si="2278"/>
        <v>75000</v>
      </c>
      <c r="BR707" s="224">
        <f t="shared" si="2268"/>
        <v>0</v>
      </c>
      <c r="BS707" s="220">
        <f t="shared" si="2134"/>
        <v>0</v>
      </c>
      <c r="BT707" s="224">
        <f>VLOOKUP(N707,ma_dinhmuc!$A$1:$J$31,10,0)</f>
        <v>65000</v>
      </c>
      <c r="BU707" s="224">
        <f>ROUND(IF(BS707&gt;0,VLOOKUP(N707,ma_dinhmuc!$A$1:$J$31,10,0)*BS707,0),0)</f>
        <v>0</v>
      </c>
      <c r="BV707" s="224">
        <f t="shared" si="2269"/>
        <v>0</v>
      </c>
      <c r="BW707" s="224"/>
      <c r="BX707" s="224">
        <v>0</v>
      </c>
      <c r="BY707" s="224"/>
      <c r="BZ707" s="224"/>
      <c r="CA707" s="224"/>
      <c r="CB707" s="224"/>
      <c r="CC707" s="225">
        <f t="shared" si="2112"/>
        <v>0</v>
      </c>
      <c r="CD707" s="224">
        <f t="shared" si="2113"/>
        <v>0</v>
      </c>
      <c r="CE707" s="224"/>
      <c r="CF707" s="226"/>
      <c r="CG707" s="87"/>
      <c r="CH707" s="87">
        <f t="shared" si="2274"/>
        <v>18</v>
      </c>
      <c r="CI707" s="227" t="str">
        <f t="shared" si="2310"/>
        <v>Trần Thị Nắng</v>
      </c>
      <c r="CJ707" s="227" t="str">
        <f t="shared" si="2310"/>
        <v>Thu</v>
      </c>
      <c r="CK707" s="87">
        <f t="shared" si="2311"/>
        <v>14</v>
      </c>
      <c r="CL707" s="227" t="str">
        <f t="shared" si="2296"/>
        <v>Dinh dưỡng và Thức ăn TS</v>
      </c>
      <c r="CM707" s="87" t="str">
        <f t="shared" si="2180"/>
        <v>CS4</v>
      </c>
      <c r="CN707" s="87">
        <f t="shared" si="2317"/>
        <v>270</v>
      </c>
      <c r="CO707" s="87">
        <f t="shared" si="2317"/>
        <v>170</v>
      </c>
      <c r="CP707" s="229">
        <f t="shared" si="2142"/>
        <v>0</v>
      </c>
      <c r="CQ707" s="229">
        <f t="shared" si="2143"/>
        <v>4.5999999999999996</v>
      </c>
      <c r="CR707" s="229">
        <f t="shared" si="2144"/>
        <v>1.9</v>
      </c>
      <c r="CS707" s="229">
        <f t="shared" si="2145"/>
        <v>0</v>
      </c>
      <c r="CT707" s="229">
        <f t="shared" si="2146"/>
        <v>0</v>
      </c>
      <c r="CU707" s="229">
        <f t="shared" si="2147"/>
        <v>35</v>
      </c>
      <c r="CV707" s="229">
        <f t="shared" si="2148"/>
        <v>0</v>
      </c>
      <c r="CW707" s="229">
        <f t="shared" si="2149"/>
        <v>0</v>
      </c>
      <c r="CX707" s="229">
        <f t="shared" si="2150"/>
        <v>0</v>
      </c>
      <c r="CY707" s="229">
        <f t="shared" si="2151"/>
        <v>0</v>
      </c>
      <c r="CZ707" s="229">
        <f t="shared" si="2152"/>
        <v>0</v>
      </c>
      <c r="DA707" s="229">
        <f t="shared" si="2153"/>
        <v>0</v>
      </c>
      <c r="DB707" s="228">
        <f t="shared" si="2235"/>
        <v>41.5</v>
      </c>
      <c r="DC707" s="229"/>
      <c r="DD707" s="229"/>
      <c r="DE707" s="229"/>
      <c r="DF707" s="229"/>
      <c r="DG707" s="229"/>
      <c r="DH707" s="229"/>
      <c r="DI707" s="229"/>
      <c r="DJ707" s="229"/>
      <c r="DK707" s="229"/>
      <c r="DL707" s="229"/>
      <c r="DM707" s="229"/>
      <c r="DN707" s="229"/>
      <c r="DO707" s="228">
        <f t="shared" si="2247"/>
        <v>0</v>
      </c>
      <c r="DP707" s="228">
        <f t="shared" si="2248"/>
        <v>41.5</v>
      </c>
      <c r="DQ707" s="229">
        <f t="shared" si="2154"/>
        <v>108</v>
      </c>
      <c r="DR707" s="229">
        <f t="shared" si="2155"/>
        <v>1.9</v>
      </c>
      <c r="DS707" s="229">
        <f t="shared" si="2156"/>
        <v>0</v>
      </c>
      <c r="DT707" s="229">
        <f t="shared" si="2157"/>
        <v>0.8</v>
      </c>
      <c r="DU707" s="229">
        <f t="shared" si="2158"/>
        <v>0</v>
      </c>
      <c r="DV707" s="229">
        <f t="shared" si="2159"/>
        <v>120</v>
      </c>
      <c r="DW707" s="229">
        <f t="shared" si="2160"/>
        <v>0</v>
      </c>
      <c r="DX707" s="228">
        <f t="shared" si="2236"/>
        <v>230.7</v>
      </c>
      <c r="DY707" s="229"/>
      <c r="DZ707" s="229"/>
      <c r="EA707" s="229"/>
      <c r="EB707" s="229"/>
      <c r="EC707" s="229"/>
      <c r="ED707" s="229"/>
      <c r="EE707" s="229"/>
      <c r="EF707" s="228">
        <f t="shared" si="2138"/>
        <v>0</v>
      </c>
      <c r="EG707" s="228">
        <f t="shared" si="2249"/>
        <v>230.7</v>
      </c>
      <c r="EH707" s="229">
        <f t="shared" si="2139"/>
        <v>275.42</v>
      </c>
      <c r="EI707" s="229">
        <v>91.46</v>
      </c>
      <c r="EJ707" s="228">
        <f t="shared" si="2256"/>
        <v>366.88</v>
      </c>
      <c r="EK707" s="229"/>
      <c r="EL707" s="229"/>
      <c r="EM707" s="228">
        <f t="shared" si="2312"/>
        <v>0</v>
      </c>
      <c r="EN707" s="229">
        <f t="shared" si="2220"/>
        <v>275.42</v>
      </c>
      <c r="EO707" s="229">
        <f t="shared" ref="EO707:EO740" si="2321">EI707</f>
        <v>91.46</v>
      </c>
      <c r="EP707" s="228">
        <f t="shared" si="2313"/>
        <v>366.88</v>
      </c>
      <c r="EQ707" s="173">
        <f t="shared" si="2135"/>
        <v>105.42000000000002</v>
      </c>
      <c r="ER707" s="189">
        <v>0</v>
      </c>
      <c r="ES707" s="189">
        <v>4.5999999999999996</v>
      </c>
      <c r="ET707" s="189">
        <v>1.9</v>
      </c>
      <c r="EU707" s="189">
        <v>0</v>
      </c>
      <c r="EV707" s="189">
        <v>0</v>
      </c>
      <c r="EW707" s="189">
        <v>35</v>
      </c>
      <c r="EX707" s="189">
        <v>0</v>
      </c>
      <c r="EY707" s="189">
        <v>0</v>
      </c>
      <c r="EZ707" s="189">
        <v>0</v>
      </c>
      <c r="FA707" s="189">
        <v>0</v>
      </c>
      <c r="FB707" s="189">
        <v>0</v>
      </c>
      <c r="FC707" s="189">
        <v>0</v>
      </c>
      <c r="FD707" s="189">
        <v>108</v>
      </c>
      <c r="FE707" s="189">
        <v>1.9</v>
      </c>
      <c r="FF707" s="189">
        <v>0</v>
      </c>
      <c r="FG707" s="189">
        <v>0.8</v>
      </c>
      <c r="FH707" s="189">
        <v>120</v>
      </c>
      <c r="FI707" s="189">
        <v>0</v>
      </c>
      <c r="FJ707" s="189">
        <v>0</v>
      </c>
      <c r="FK707" s="189">
        <v>272.2</v>
      </c>
      <c r="FL707" s="189">
        <v>216</v>
      </c>
      <c r="FN707" s="132">
        <v>275.42</v>
      </c>
    </row>
    <row r="708" spans="1:170" ht="30" customHeight="1">
      <c r="A708" s="88">
        <f>COUNTIF($H$12:H708,H708)</f>
        <v>19</v>
      </c>
      <c r="B708" s="88" t="s">
        <v>340</v>
      </c>
      <c r="C708" s="88" t="s">
        <v>298</v>
      </c>
      <c r="D708" s="88"/>
      <c r="E708" s="88"/>
      <c r="F708" s="301" t="s">
        <v>2453</v>
      </c>
      <c r="G708" s="89" t="s">
        <v>2898</v>
      </c>
      <c r="H708" s="88">
        <v>14</v>
      </c>
      <c r="I708" s="88">
        <v>14</v>
      </c>
      <c r="J708" s="88">
        <v>14</v>
      </c>
      <c r="K708" s="90" t="s">
        <v>219</v>
      </c>
      <c r="L708" s="90" t="s">
        <v>219</v>
      </c>
      <c r="M708" s="214"/>
      <c r="N708" s="88" t="s">
        <v>1804</v>
      </c>
      <c r="O708" s="216">
        <f t="shared" si="2306"/>
        <v>3.99</v>
      </c>
      <c r="P708" s="88" t="str">
        <f t="shared" si="2279"/>
        <v>B1_4</v>
      </c>
      <c r="Q708" s="88">
        <f t="shared" si="2136"/>
        <v>270</v>
      </c>
      <c r="R708" s="88">
        <f t="shared" si="2137"/>
        <v>120</v>
      </c>
      <c r="S708" s="231" t="s">
        <v>2980</v>
      </c>
      <c r="T708" s="88" t="s">
        <v>3090</v>
      </c>
      <c r="U708" s="88">
        <f>IF(RIGHT(T708,1)="K",(VLOOKUP(T708,ma_miengiam!$A$3:$B$80,2,0)*100)/2,VLOOKUP(T708,ma_miengiam!$A$3:$B$80,2,0)*100)</f>
        <v>15</v>
      </c>
      <c r="V708" s="88"/>
      <c r="W708" s="220">
        <f>IF(AND(T708="NTS",V708&gt;0),(Q708-(Q708*V708)/12)*VLOOKUP(T708,ma_miengiam!$A$3:$B$80,2,0)+(Q708-(Q708*(12-V708))/12),IF(AND(RIGHT(T708,1)="K",V708&gt;0),(VLOOKUP(T708,ma_miengiam!$A$3:$B$80,2,0)/2)*(Q708*V708)/12,IF(RIGHT(T708,1)="K",(VLOOKUP(T708,ma_miengiam!$A$3:$B$80,2,0)*Q708)/2,IF(V708&gt;0,VLOOKUP(T708,ma_miengiam!$A$3:$B$80,2,0)*Q708*V708/12,VLOOKUP(T708,ma_miengiam!$A$3:$B$80,2,0)*Q708))))</f>
        <v>40.5</v>
      </c>
      <c r="X708" s="220">
        <f>IF(T708="NTS",VLOOKUP(T708,ma_miengiam!$A$3:$B$80,2,0)*R708*V708,IF(AND(T708="NTS",V708=0),0,IF(AND(LEFT(T708,1)="K",V708=0),VLOOKUP(T708,ma_miengiam!$A$3:$B$80,2,0)*R708,IF(LEFT(T708,1)="K",(VLOOKUP(T708,ma_miengiam!$A$3:$B$80,2,0)*R708/12)*V708,IF(AND(LEFT(T708,1)="S",V708&gt;0),(R708/12)*V708,IF(AND(LEFT(T708,1)="S",V708=0),R708,IF(T708="DH",VLOOKUP(T708,ma_miengiam!$A$3:$B$80,2,0)*R708,0)))))))</f>
        <v>0</v>
      </c>
      <c r="Y708" s="220">
        <f t="shared" si="2257"/>
        <v>229.5</v>
      </c>
      <c r="Z708" s="220">
        <f t="shared" si="2258"/>
        <v>120</v>
      </c>
      <c r="AA708" s="220">
        <f t="shared" si="2318"/>
        <v>270</v>
      </c>
      <c r="AB708" s="220">
        <f t="shared" si="2318"/>
        <v>120</v>
      </c>
      <c r="AC708" s="220">
        <f t="shared" si="2319"/>
        <v>40.5</v>
      </c>
      <c r="AD708" s="220">
        <f t="shared" si="2319"/>
        <v>0</v>
      </c>
      <c r="AE708" s="220">
        <f t="shared" si="2319"/>
        <v>229.5</v>
      </c>
      <c r="AF708" s="220">
        <f t="shared" si="2319"/>
        <v>120</v>
      </c>
      <c r="AG708" s="220">
        <f t="shared" si="2300"/>
        <v>431.88</v>
      </c>
      <c r="AH708" s="220">
        <f t="shared" si="2301"/>
        <v>1.88</v>
      </c>
      <c r="AI708" s="220">
        <f t="shared" si="2302"/>
        <v>430</v>
      </c>
      <c r="AJ708" s="220">
        <f>IF(AG708-Z708&gt;0,0,AG708-Z708)</f>
        <v>0</v>
      </c>
      <c r="AK708" s="216">
        <f t="shared" si="2254"/>
        <v>229.5</v>
      </c>
      <c r="AL708" s="220">
        <f t="shared" si="2238"/>
        <v>83.1</v>
      </c>
      <c r="AM708" s="220">
        <f t="shared" si="2239"/>
        <v>0</v>
      </c>
      <c r="AN708" s="221">
        <f t="shared" si="2240"/>
        <v>83.1</v>
      </c>
      <c r="AO708" s="220">
        <f t="shared" si="2241"/>
        <v>0</v>
      </c>
      <c r="AP708" s="220">
        <f t="shared" si="2242"/>
        <v>0</v>
      </c>
      <c r="AQ708" s="220">
        <f t="shared" si="2243"/>
        <v>20</v>
      </c>
      <c r="AR708" s="220">
        <f t="shared" si="2244"/>
        <v>0</v>
      </c>
      <c r="AS708" s="220">
        <f t="shared" si="2245"/>
        <v>0</v>
      </c>
      <c r="AT708" s="216">
        <f t="shared" si="2246"/>
        <v>103.1</v>
      </c>
      <c r="AU708" s="222">
        <f t="shared" si="2320"/>
        <v>-146.4</v>
      </c>
      <c r="AV708" s="220"/>
      <c r="AW708" s="220">
        <f t="shared" si="2174"/>
        <v>-146.4</v>
      </c>
      <c r="AX708" s="216">
        <f t="shared" si="2234"/>
        <v>-146.4</v>
      </c>
      <c r="AY708" s="220">
        <f t="shared" si="2182"/>
        <v>0</v>
      </c>
      <c r="AZ708" s="220">
        <f t="shared" si="2183"/>
        <v>0</v>
      </c>
      <c r="BA708" s="220">
        <f t="shared" si="2184"/>
        <v>0</v>
      </c>
      <c r="BB708" s="220">
        <f t="shared" si="2185"/>
        <v>0</v>
      </c>
      <c r="BC708" s="220">
        <f t="shared" si="2186"/>
        <v>0</v>
      </c>
      <c r="BD708" s="216">
        <f t="shared" si="2197"/>
        <v>0</v>
      </c>
      <c r="BE708" s="220">
        <f t="shared" si="2175"/>
        <v>0</v>
      </c>
      <c r="BF708" s="220">
        <f t="shared" si="2176"/>
        <v>0</v>
      </c>
      <c r="BG708" s="220">
        <f t="shared" si="2177"/>
        <v>-20</v>
      </c>
      <c r="BH708" s="220">
        <f t="shared" si="2178"/>
        <v>0</v>
      </c>
      <c r="BI708" s="220">
        <f t="shared" si="2179"/>
        <v>0</v>
      </c>
      <c r="BJ708" s="220" t="s">
        <v>2403</v>
      </c>
      <c r="BK708" s="220"/>
      <c r="BL708" s="223">
        <f t="shared" si="2210"/>
        <v>0</v>
      </c>
      <c r="BM708" s="220">
        <v>3.99</v>
      </c>
      <c r="BN708" s="220"/>
      <c r="BO708" s="220">
        <f t="shared" si="2309"/>
        <v>3.99</v>
      </c>
      <c r="BP708" s="220">
        <f>IF(AND(BL708&gt;0,BL708&lt;tiet!$D$1),BL708,IF(BL708&lt;=0,0,IF(BL708&gt;tiet!$C$1,tiet!$C$1)))</f>
        <v>0</v>
      </c>
      <c r="BQ708" s="87">
        <f t="shared" si="2278"/>
        <v>65000</v>
      </c>
      <c r="BR708" s="224">
        <f t="shared" si="2268"/>
        <v>0</v>
      </c>
      <c r="BS708" s="220">
        <f t="shared" si="2134"/>
        <v>0</v>
      </c>
      <c r="BT708" s="224">
        <f>VLOOKUP(N708,ma_dinhmuc!$A$1:$J$31,10,0)</f>
        <v>51000</v>
      </c>
      <c r="BU708" s="224">
        <f>ROUND(IF(BS708&gt;0,VLOOKUP(N708,ma_dinhmuc!$A$1:$J$31,10,0)*BS708,0),0)</f>
        <v>0</v>
      </c>
      <c r="BV708" s="224">
        <f t="shared" si="2269"/>
        <v>0</v>
      </c>
      <c r="BW708" s="224"/>
      <c r="BX708" s="224">
        <v>100500</v>
      </c>
      <c r="BY708" s="224"/>
      <c r="BZ708" s="224"/>
      <c r="CA708" s="224"/>
      <c r="CB708" s="224"/>
      <c r="CC708" s="225">
        <f t="shared" si="2112"/>
        <v>0</v>
      </c>
      <c r="CD708" s="224">
        <f t="shared" si="2113"/>
        <v>100500</v>
      </c>
      <c r="CE708" s="224"/>
      <c r="CF708" s="226"/>
      <c r="CG708" s="87"/>
      <c r="CH708" s="87">
        <f t="shared" si="2274"/>
        <v>19</v>
      </c>
      <c r="CI708" s="227" t="str">
        <f t="shared" si="2310"/>
        <v>Phạm Thị Lam</v>
      </c>
      <c r="CJ708" s="227" t="str">
        <f t="shared" si="2310"/>
        <v>Hồng</v>
      </c>
      <c r="CK708" s="87">
        <f t="shared" si="2311"/>
        <v>14</v>
      </c>
      <c r="CL708" s="227" t="str">
        <f t="shared" si="2296"/>
        <v>Dinh dưỡng và Thức ăn TS</v>
      </c>
      <c r="CM708" s="87" t="str">
        <f t="shared" si="2180"/>
        <v>CS2</v>
      </c>
      <c r="CN708" s="87">
        <f t="shared" si="2304"/>
        <v>270</v>
      </c>
      <c r="CO708" s="87">
        <f t="shared" si="2305"/>
        <v>120</v>
      </c>
      <c r="CP708" s="229">
        <f t="shared" si="2142"/>
        <v>0</v>
      </c>
      <c r="CQ708" s="229">
        <f t="shared" si="2143"/>
        <v>7.9</v>
      </c>
      <c r="CR708" s="229">
        <f t="shared" si="2144"/>
        <v>3.2</v>
      </c>
      <c r="CS708" s="229">
        <f t="shared" si="2145"/>
        <v>0</v>
      </c>
      <c r="CT708" s="229">
        <f t="shared" si="2146"/>
        <v>0</v>
      </c>
      <c r="CU708" s="229">
        <f t="shared" si="2147"/>
        <v>44</v>
      </c>
      <c r="CV708" s="229">
        <f t="shared" si="2148"/>
        <v>0</v>
      </c>
      <c r="CW708" s="229">
        <f t="shared" si="2149"/>
        <v>28</v>
      </c>
      <c r="CX708" s="229">
        <f t="shared" si="2150"/>
        <v>0</v>
      </c>
      <c r="CY708" s="229">
        <f t="shared" si="2151"/>
        <v>0</v>
      </c>
      <c r="CZ708" s="229">
        <f t="shared" si="2152"/>
        <v>0</v>
      </c>
      <c r="DA708" s="229">
        <f t="shared" si="2153"/>
        <v>20</v>
      </c>
      <c r="DB708" s="228">
        <f t="shared" si="2235"/>
        <v>103.1</v>
      </c>
      <c r="DC708" s="229"/>
      <c r="DD708" s="229"/>
      <c r="DE708" s="229"/>
      <c r="DF708" s="229"/>
      <c r="DG708" s="229"/>
      <c r="DH708" s="229"/>
      <c r="DI708" s="229"/>
      <c r="DJ708" s="229"/>
      <c r="DK708" s="229"/>
      <c r="DL708" s="229"/>
      <c r="DM708" s="229"/>
      <c r="DN708" s="229"/>
      <c r="DO708" s="228">
        <f t="shared" si="2247"/>
        <v>0</v>
      </c>
      <c r="DP708" s="228">
        <f t="shared" si="2248"/>
        <v>103.1</v>
      </c>
      <c r="DQ708" s="229">
        <f t="shared" si="2154"/>
        <v>0</v>
      </c>
      <c r="DR708" s="229">
        <f t="shared" si="2155"/>
        <v>0</v>
      </c>
      <c r="DS708" s="229">
        <f t="shared" si="2156"/>
        <v>0</v>
      </c>
      <c r="DT708" s="229">
        <f t="shared" si="2157"/>
        <v>0</v>
      </c>
      <c r="DU708" s="229">
        <f t="shared" si="2158"/>
        <v>0</v>
      </c>
      <c r="DV708" s="229">
        <f t="shared" si="2159"/>
        <v>0</v>
      </c>
      <c r="DW708" s="229">
        <f t="shared" si="2160"/>
        <v>0</v>
      </c>
      <c r="DX708" s="228">
        <f t="shared" si="2236"/>
        <v>0</v>
      </c>
      <c r="DY708" s="229"/>
      <c r="DZ708" s="229"/>
      <c r="EA708" s="229"/>
      <c r="EB708" s="229"/>
      <c r="EC708" s="229"/>
      <c r="ED708" s="229"/>
      <c r="EE708" s="229"/>
      <c r="EF708" s="228">
        <f t="shared" si="2138"/>
        <v>0</v>
      </c>
      <c r="EG708" s="228">
        <f t="shared" si="2249"/>
        <v>0</v>
      </c>
      <c r="EH708" s="229">
        <f t="shared" si="2139"/>
        <v>430</v>
      </c>
      <c r="EI708" s="229">
        <v>1.88</v>
      </c>
      <c r="EJ708" s="228">
        <f t="shared" si="2256"/>
        <v>431.88</v>
      </c>
      <c r="EK708" s="229"/>
      <c r="EL708" s="229"/>
      <c r="EM708" s="228">
        <f t="shared" si="2312"/>
        <v>0</v>
      </c>
      <c r="EN708" s="229">
        <f t="shared" si="2220"/>
        <v>430</v>
      </c>
      <c r="EO708" s="229">
        <f t="shared" si="2321"/>
        <v>1.88</v>
      </c>
      <c r="EP708" s="228">
        <f t="shared" si="2313"/>
        <v>431.88</v>
      </c>
      <c r="EQ708" s="173">
        <f t="shared" si="2135"/>
        <v>310</v>
      </c>
      <c r="ER708" s="189">
        <v>0</v>
      </c>
      <c r="ES708" s="189">
        <v>7.9</v>
      </c>
      <c r="ET708" s="189">
        <v>3.2</v>
      </c>
      <c r="EU708" s="189">
        <v>0</v>
      </c>
      <c r="EV708" s="189">
        <v>0</v>
      </c>
      <c r="EW708" s="189">
        <v>44</v>
      </c>
      <c r="EX708" s="189">
        <v>0</v>
      </c>
      <c r="EY708" s="189">
        <v>28</v>
      </c>
      <c r="EZ708" s="189">
        <v>0</v>
      </c>
      <c r="FA708" s="189">
        <v>0</v>
      </c>
      <c r="FB708" s="189">
        <v>0</v>
      </c>
      <c r="FC708" s="189">
        <v>20</v>
      </c>
      <c r="FD708" s="189">
        <v>0</v>
      </c>
      <c r="FE708" s="189">
        <v>0</v>
      </c>
      <c r="FF708" s="189">
        <v>0</v>
      </c>
      <c r="FG708" s="189">
        <v>0</v>
      </c>
      <c r="FH708" s="189">
        <v>0</v>
      </c>
      <c r="FI708" s="189">
        <v>0</v>
      </c>
      <c r="FJ708" s="189">
        <v>0</v>
      </c>
      <c r="FK708" s="189">
        <v>103.1</v>
      </c>
      <c r="FL708" s="189">
        <v>92</v>
      </c>
      <c r="FN708" s="132">
        <v>430</v>
      </c>
    </row>
    <row r="709" spans="1:170" ht="30" customHeight="1">
      <c r="A709" s="88">
        <f>COUNTIF($H$12:H709,H709)</f>
        <v>1</v>
      </c>
      <c r="B709" s="88" t="s">
        <v>1468</v>
      </c>
      <c r="C709" s="88" t="s">
        <v>299</v>
      </c>
      <c r="D709" s="88"/>
      <c r="E709" s="88"/>
      <c r="F709" s="301" t="s">
        <v>2895</v>
      </c>
      <c r="G709" s="89" t="s">
        <v>2297</v>
      </c>
      <c r="H709" s="88">
        <v>20</v>
      </c>
      <c r="I709" s="88">
        <v>20</v>
      </c>
      <c r="J709" s="88">
        <v>20</v>
      </c>
      <c r="K709" s="91" t="s">
        <v>2440</v>
      </c>
      <c r="L709" s="91" t="s">
        <v>2440</v>
      </c>
      <c r="M709" s="214"/>
      <c r="N709" s="88" t="s">
        <v>2219</v>
      </c>
      <c r="O709" s="216">
        <f t="shared" si="2306"/>
        <v>4.32</v>
      </c>
      <c r="P709" s="88" t="str">
        <f t="shared" ref="P709:P726" si="2322">IF(BO709&lt;3.33,"B2_3",IF(AND(BO709&gt;=3.33,BO709&lt;4.65),"B2_4",IF(AND(BO709&gt;=4.65,BO709&lt;5.42),"B2_5",IF(AND(BO709&gt;=5.42,BO709&lt;6.44),"B2_6",IF(AND(BO709&gt;=6.44,BO709&lt;=6.92),"B2_7","B2_8")))))</f>
        <v>B2_4</v>
      </c>
      <c r="Q709" s="88">
        <f t="shared" ref="Q709:Q740" si="2323">IF(M709&gt;0,VLOOKUP(P709,ma_dinhmuc_moi,2,0)/2,VLOOKUP(P709,ma_dinhmuc_moi,2,0))</f>
        <v>270</v>
      </c>
      <c r="R709" s="88">
        <f t="shared" ref="R709:R740" si="2324">IF(M709&gt;0,VLOOKUP(P709,ma_dinhmuc_moi,3,0)/2,VLOOKUP(P709,ma_dinhmuc_moi,3,0))</f>
        <v>80</v>
      </c>
      <c r="S709" s="218" t="s">
        <v>352</v>
      </c>
      <c r="T709" s="88" t="s">
        <v>3091</v>
      </c>
      <c r="U709" s="88">
        <f>IF(RIGHT(T709,1)="K",(VLOOKUP(T709,ma_miengiam!$A$3:$B$80,2,0)*100)/2,VLOOKUP(T709,ma_miengiam!$A$3:$B$80,2,0)*100)</f>
        <v>20</v>
      </c>
      <c r="V709" s="88"/>
      <c r="W709" s="220">
        <f>IF(AND(T709="NTS",V709&gt;0),(Q709-(Q709*V709)/12)*VLOOKUP(T709,ma_miengiam!$A$3:$B$80,2,0)+(Q709-(Q709*(12-V709))/12),IF(AND(RIGHT(T709,1)="K",V709&gt;0),(VLOOKUP(T709,ma_miengiam!$A$3:$B$80,2,0)/2)*(Q709*V709)/12,IF(RIGHT(T709,1)="K",(VLOOKUP(T709,ma_miengiam!$A$3:$B$80,2,0)*Q709)/2,IF(V709&gt;0,VLOOKUP(T709,ma_miengiam!$A$3:$B$80,2,0)*Q709*V709/12,VLOOKUP(T709,ma_miengiam!$A$3:$B$80,2,0)*Q709))))</f>
        <v>54</v>
      </c>
      <c r="X709" s="220">
        <f>IF(T709="NTS",VLOOKUP(T709,ma_miengiam!$A$3:$B$80,2,0)*R709*V709,IF(AND(T709="NTS",V709=0),0,IF(AND(LEFT(T709,1)="K",V709=0),VLOOKUP(T709,ma_miengiam!$A$3:$B$80,2,0)*R709,IF(LEFT(T709,1)="K",(VLOOKUP(T709,ma_miengiam!$A$3:$B$80,2,0)*R709/12)*V709,IF(AND(LEFT(T709,1)="S",V709&gt;0),(R709/12)*V709,IF(AND(LEFT(T709,1)="S",V709=0),R709,IF(T709="DH",VLOOKUP(T709,ma_miengiam!$A$3:$B$80,2,0)*R709,0)))))))</f>
        <v>0</v>
      </c>
      <c r="Y709" s="220">
        <f t="shared" si="2257"/>
        <v>216</v>
      </c>
      <c r="Z709" s="220">
        <f t="shared" si="2258"/>
        <v>80</v>
      </c>
      <c r="AA709" s="220">
        <f t="shared" ref="AA709:AA715" si="2325">Q709</f>
        <v>270</v>
      </c>
      <c r="AB709" s="220">
        <f t="shared" ref="AB709:AB715" si="2326">R709</f>
        <v>80</v>
      </c>
      <c r="AC709" s="220">
        <f t="shared" ref="AC709:AC715" si="2327">W709</f>
        <v>54</v>
      </c>
      <c r="AD709" s="220">
        <f t="shared" ref="AD709:AD715" si="2328">X709</f>
        <v>0</v>
      </c>
      <c r="AE709" s="220">
        <f t="shared" ref="AE709:AE715" si="2329">Y709</f>
        <v>216</v>
      </c>
      <c r="AF709" s="220">
        <f t="shared" ref="AF709:AF715" si="2330">Z709</f>
        <v>80</v>
      </c>
      <c r="AG709" s="220">
        <f t="shared" ref="AG709:AG715" si="2331">AH709+AI709</f>
        <v>0</v>
      </c>
      <c r="AH709" s="220">
        <f t="shared" ref="AH709:AH715" si="2332">EO709</f>
        <v>0</v>
      </c>
      <c r="AI709" s="220">
        <f t="shared" ref="AI709:AI715" si="2333">EN709</f>
        <v>0</v>
      </c>
      <c r="AJ709" s="220">
        <f t="shared" ref="AJ709:AJ725" si="2334">IF(AG709-Z709&gt;0,0,AG709-Z709)</f>
        <v>-80</v>
      </c>
      <c r="AK709" s="216">
        <f t="shared" si="2254"/>
        <v>296</v>
      </c>
      <c r="AL709" s="220">
        <f t="shared" si="2238"/>
        <v>550.6</v>
      </c>
      <c r="AM709" s="220">
        <f t="shared" si="2239"/>
        <v>0</v>
      </c>
      <c r="AN709" s="221">
        <f t="shared" si="2240"/>
        <v>550.6</v>
      </c>
      <c r="AO709" s="220">
        <f t="shared" si="2241"/>
        <v>0</v>
      </c>
      <c r="AP709" s="220">
        <f t="shared" si="2242"/>
        <v>0</v>
      </c>
      <c r="AQ709" s="220">
        <f t="shared" si="2243"/>
        <v>0</v>
      </c>
      <c r="AR709" s="220">
        <f t="shared" si="2244"/>
        <v>0</v>
      </c>
      <c r="AS709" s="220">
        <f t="shared" si="2245"/>
        <v>0</v>
      </c>
      <c r="AT709" s="216">
        <f t="shared" si="2246"/>
        <v>550.6</v>
      </c>
      <c r="AU709" s="222">
        <f t="shared" si="2320"/>
        <v>254.60000000000002</v>
      </c>
      <c r="AV709" s="220"/>
      <c r="AW709" s="220">
        <f t="shared" si="2174"/>
        <v>254.60000000000002</v>
      </c>
      <c r="AX709" s="216">
        <f t="shared" si="2234"/>
        <v>0</v>
      </c>
      <c r="AY709" s="220">
        <f t="shared" si="2182"/>
        <v>0</v>
      </c>
      <c r="AZ709" s="220">
        <f t="shared" si="2183"/>
        <v>0</v>
      </c>
      <c r="BA709" s="220">
        <f t="shared" si="2184"/>
        <v>0</v>
      </c>
      <c r="BB709" s="220">
        <f t="shared" si="2185"/>
        <v>0</v>
      </c>
      <c r="BC709" s="220">
        <f t="shared" si="2186"/>
        <v>0</v>
      </c>
      <c r="BD709" s="216">
        <f t="shared" si="2197"/>
        <v>0</v>
      </c>
      <c r="BE709" s="220">
        <f t="shared" si="2175"/>
        <v>0</v>
      </c>
      <c r="BF709" s="220">
        <f t="shared" si="2176"/>
        <v>0</v>
      </c>
      <c r="BG709" s="220">
        <f t="shared" si="2177"/>
        <v>0</v>
      </c>
      <c r="BH709" s="220">
        <f t="shared" si="2178"/>
        <v>0</v>
      </c>
      <c r="BI709" s="220">
        <f t="shared" si="2179"/>
        <v>0</v>
      </c>
      <c r="BJ709" s="88" t="s">
        <v>1961</v>
      </c>
      <c r="BK709" s="220"/>
      <c r="BL709" s="223">
        <f t="shared" si="2210"/>
        <v>254.60000000000002</v>
      </c>
      <c r="BM709" s="220">
        <v>4.32</v>
      </c>
      <c r="BN709" s="220"/>
      <c r="BO709" s="220">
        <f t="shared" si="2309"/>
        <v>4.32</v>
      </c>
      <c r="BP709" s="220">
        <f>IF(AND(BL709&gt;0,BL709&lt;tiet!$D$1),BL709,IF(BL709&lt;=0,0,IF(BL709&gt;tiet!$C$1,tiet!$C$1)))</f>
        <v>200</v>
      </c>
      <c r="BQ709" s="87">
        <f t="shared" ref="BQ709:BQ740" si="2335">VLOOKUP(P709,ma_dinhmuc_moi,4,0)</f>
        <v>55000</v>
      </c>
      <c r="BR709" s="224">
        <f t="shared" ref="BR709:BR740" si="2336">ROUND(BQ709*BP709,0)</f>
        <v>11000000</v>
      </c>
      <c r="BS709" s="220">
        <f t="shared" si="2134"/>
        <v>54.600000000000023</v>
      </c>
      <c r="BT709" s="224">
        <f>VLOOKUP(N709,ma_dinhmuc!$A$1:$J$31,10,0)</f>
        <v>51000</v>
      </c>
      <c r="BU709" s="224">
        <f>ROUND(IF(BS709&gt;0,VLOOKUP(N709,ma_dinhmuc!$A$1:$J$31,10,0)*BS709,0),0)</f>
        <v>2784600</v>
      </c>
      <c r="BV709" s="224">
        <f t="shared" ref="BV709:BV740" si="2337">ROUND(BU709+BR709,0)</f>
        <v>13784600</v>
      </c>
      <c r="BW709" s="224"/>
      <c r="BX709" s="224">
        <v>0</v>
      </c>
      <c r="BY709" s="224"/>
      <c r="BZ709" s="224"/>
      <c r="CA709" s="224"/>
      <c r="CB709" s="224"/>
      <c r="CC709" s="225">
        <f t="shared" ref="CC709:CC740" si="2338">ROUND(IF(BV709+BW709&gt;BX709+BY709+BZ709+CA709+CB709,(BW709+BV709)-(BX709+BY709+BZ709+CA709+CB709+CB709),0),0)</f>
        <v>13784600</v>
      </c>
      <c r="CD709" s="224">
        <f t="shared" ref="CD709:CD740" si="2339">ROUND(IF(BV709+BW709&lt;BX709+BY709+BZ709+CA709-CB709,(BX709+BY709+BZ709+CA709-CB709)-(BW709+BV709),0),0)</f>
        <v>0</v>
      </c>
      <c r="CE709" s="224"/>
      <c r="CF709" s="226"/>
      <c r="CG709" s="87"/>
      <c r="CH709" s="87">
        <f t="shared" si="2274"/>
        <v>1</v>
      </c>
      <c r="CI709" s="227" t="str">
        <f t="shared" ref="CI709:CI715" si="2340">F709</f>
        <v>Nguyễn Văn</v>
      </c>
      <c r="CJ709" s="227" t="str">
        <f t="shared" ref="CJ709:CJ715" si="2341">G709</f>
        <v>Toản</v>
      </c>
      <c r="CK709" s="87">
        <f t="shared" ref="CK709:CK715" si="2342">H709</f>
        <v>20</v>
      </c>
      <c r="CL709" s="227" t="str">
        <f t="shared" ref="CL709:CL715" si="2343">L709</f>
        <v>GDTC</v>
      </c>
      <c r="CM709" s="87" t="str">
        <f t="shared" si="2180"/>
        <v>TT2</v>
      </c>
      <c r="CN709" s="87">
        <f t="shared" si="2304"/>
        <v>270</v>
      </c>
      <c r="CO709" s="87">
        <f t="shared" si="2305"/>
        <v>80</v>
      </c>
      <c r="CP709" s="229">
        <f t="shared" si="2142"/>
        <v>0</v>
      </c>
      <c r="CQ709" s="229">
        <f t="shared" si="2143"/>
        <v>65.400000000000006</v>
      </c>
      <c r="CR709" s="229">
        <f t="shared" si="2144"/>
        <v>26.2</v>
      </c>
      <c r="CS709" s="229">
        <f t="shared" si="2145"/>
        <v>0</v>
      </c>
      <c r="CT709" s="229">
        <f t="shared" si="2146"/>
        <v>0</v>
      </c>
      <c r="CU709" s="229">
        <f t="shared" si="2147"/>
        <v>459</v>
      </c>
      <c r="CV709" s="229">
        <f t="shared" si="2148"/>
        <v>0</v>
      </c>
      <c r="CW709" s="229">
        <f t="shared" si="2149"/>
        <v>0</v>
      </c>
      <c r="CX709" s="229">
        <f t="shared" si="2150"/>
        <v>0</v>
      </c>
      <c r="CY709" s="229">
        <f t="shared" si="2151"/>
        <v>0</v>
      </c>
      <c r="CZ709" s="229">
        <f t="shared" si="2152"/>
        <v>0</v>
      </c>
      <c r="DA709" s="229">
        <f t="shared" si="2153"/>
        <v>0</v>
      </c>
      <c r="DB709" s="228">
        <f t="shared" si="2235"/>
        <v>550.6</v>
      </c>
      <c r="DC709" s="229"/>
      <c r="DD709" s="229"/>
      <c r="DE709" s="229"/>
      <c r="DF709" s="229"/>
      <c r="DG709" s="229"/>
      <c r="DH709" s="229"/>
      <c r="DI709" s="229"/>
      <c r="DJ709" s="229"/>
      <c r="DK709" s="229"/>
      <c r="DL709" s="229"/>
      <c r="DM709" s="229"/>
      <c r="DN709" s="229"/>
      <c r="DO709" s="228">
        <f t="shared" si="2247"/>
        <v>0</v>
      </c>
      <c r="DP709" s="228">
        <f t="shared" si="2248"/>
        <v>550.6</v>
      </c>
      <c r="DQ709" s="229">
        <f t="shared" si="2154"/>
        <v>0</v>
      </c>
      <c r="DR709" s="229">
        <f t="shared" si="2155"/>
        <v>0</v>
      </c>
      <c r="DS709" s="229">
        <f t="shared" si="2156"/>
        <v>0</v>
      </c>
      <c r="DT709" s="229">
        <f t="shared" si="2157"/>
        <v>0</v>
      </c>
      <c r="DU709" s="229">
        <f t="shared" si="2158"/>
        <v>0</v>
      </c>
      <c r="DV709" s="229">
        <f t="shared" si="2159"/>
        <v>0</v>
      </c>
      <c r="DW709" s="229">
        <f t="shared" si="2160"/>
        <v>0</v>
      </c>
      <c r="DX709" s="228">
        <f t="shared" si="2236"/>
        <v>0</v>
      </c>
      <c r="DY709" s="229"/>
      <c r="DZ709" s="229"/>
      <c r="EA709" s="229"/>
      <c r="EB709" s="229"/>
      <c r="EC709" s="229"/>
      <c r="ED709" s="229"/>
      <c r="EE709" s="229"/>
      <c r="EF709" s="228">
        <f t="shared" si="2138"/>
        <v>0</v>
      </c>
      <c r="EG709" s="228">
        <f t="shared" si="2249"/>
        <v>0</v>
      </c>
      <c r="EH709" s="229">
        <f t="shared" si="2139"/>
        <v>0</v>
      </c>
      <c r="EI709" s="229">
        <v>0</v>
      </c>
      <c r="EJ709" s="228">
        <f t="shared" ref="EJ709:EJ720" si="2344">SUM(EH709:EI709)</f>
        <v>0</v>
      </c>
      <c r="EK709" s="229"/>
      <c r="EL709" s="229"/>
      <c r="EM709" s="228">
        <f t="shared" ref="EM709:EM720" si="2345">SUM(EK709:EL709)</f>
        <v>0</v>
      </c>
      <c r="EN709" s="229">
        <f t="shared" si="2220"/>
        <v>0</v>
      </c>
      <c r="EO709" s="229">
        <f t="shared" si="2321"/>
        <v>0</v>
      </c>
      <c r="EP709" s="228">
        <f t="shared" ref="EP709:EP720" si="2346">EM709+EJ709</f>
        <v>0</v>
      </c>
      <c r="EQ709" s="173">
        <f t="shared" si="2135"/>
        <v>0</v>
      </c>
      <c r="ER709" s="189">
        <v>0</v>
      </c>
      <c r="ES709" s="189">
        <v>65.400000000000006</v>
      </c>
      <c r="ET709" s="189">
        <v>26.2</v>
      </c>
      <c r="EU709" s="189">
        <v>0</v>
      </c>
      <c r="EV709" s="189">
        <v>0</v>
      </c>
      <c r="EW709" s="189">
        <v>459</v>
      </c>
      <c r="EX709" s="189">
        <v>0</v>
      </c>
      <c r="EY709" s="189">
        <v>0</v>
      </c>
      <c r="EZ709" s="189">
        <v>0</v>
      </c>
      <c r="FA709" s="189">
        <v>0</v>
      </c>
      <c r="FB709" s="189">
        <v>0</v>
      </c>
      <c r="FC709" s="189">
        <v>0</v>
      </c>
      <c r="FD709" s="189">
        <v>0</v>
      </c>
      <c r="FE709" s="189">
        <v>0</v>
      </c>
      <c r="FF709" s="189">
        <v>0</v>
      </c>
      <c r="FG709" s="189">
        <v>0</v>
      </c>
      <c r="FH709" s="189">
        <v>0</v>
      </c>
      <c r="FI709" s="189">
        <v>0</v>
      </c>
      <c r="FJ709" s="189">
        <v>0</v>
      </c>
      <c r="FK709" s="189">
        <v>550.6</v>
      </c>
      <c r="FL709" s="189">
        <v>448</v>
      </c>
      <c r="FN709" s="132">
        <v>0</v>
      </c>
    </row>
    <row r="710" spans="1:170" ht="30" customHeight="1">
      <c r="A710" s="88">
        <f>COUNTIF($H$12:H710,H710)</f>
        <v>2</v>
      </c>
      <c r="B710" s="88" t="s">
        <v>1469</v>
      </c>
      <c r="C710" s="88" t="s">
        <v>300</v>
      </c>
      <c r="D710" s="88"/>
      <c r="E710" s="88"/>
      <c r="F710" s="301" t="s">
        <v>2431</v>
      </c>
      <c r="G710" s="89" t="s">
        <v>1879</v>
      </c>
      <c r="H710" s="88">
        <v>20</v>
      </c>
      <c r="I710" s="88">
        <v>20</v>
      </c>
      <c r="J710" s="88">
        <v>20</v>
      </c>
      <c r="K710" s="91" t="s">
        <v>2440</v>
      </c>
      <c r="L710" s="91" t="s">
        <v>2440</v>
      </c>
      <c r="M710" s="214"/>
      <c r="N710" s="88" t="s">
        <v>2219</v>
      </c>
      <c r="O710" s="216">
        <f t="shared" si="2306"/>
        <v>3.99</v>
      </c>
      <c r="P710" s="88" t="str">
        <f t="shared" si="2322"/>
        <v>B2_4</v>
      </c>
      <c r="Q710" s="88">
        <f t="shared" si="2323"/>
        <v>270</v>
      </c>
      <c r="R710" s="88">
        <f t="shared" si="2324"/>
        <v>80</v>
      </c>
      <c r="S710" s="218"/>
      <c r="T710" s="214" t="s">
        <v>3088</v>
      </c>
      <c r="U710" s="88">
        <f>IF(RIGHT(T710,1)="K",(VLOOKUP(T710,ma_miengiam!$A$3:$B$80,2,0)*100)/2,VLOOKUP(T710,ma_miengiam!$A$3:$B$80,2,0)*100)</f>
        <v>0</v>
      </c>
      <c r="V710" s="88"/>
      <c r="W710" s="220">
        <f>IF(AND(T710="NTS",V710&gt;0),(Q710-(Q710*V710)/12)*VLOOKUP(T710,ma_miengiam!$A$3:$B$80,2,0)+(Q710-(Q710*(12-V710))/12),IF(AND(RIGHT(T710,1)="K",V710&gt;0),(VLOOKUP(T710,ma_miengiam!$A$3:$B$80,2,0)/2)*(Q710*V710)/12,IF(RIGHT(T710,1)="K",(VLOOKUP(T710,ma_miengiam!$A$3:$B$80,2,0)*Q710)/2,IF(V710&gt;0,VLOOKUP(T710,ma_miengiam!$A$3:$B$80,2,0)*Q710*V710/12,VLOOKUP(T710,ma_miengiam!$A$3:$B$80,2,0)*Q710))))</f>
        <v>0</v>
      </c>
      <c r="X710" s="220">
        <f>IF(T710="NTS",VLOOKUP(T710,ma_miengiam!$A$3:$B$80,2,0)*R710*V710,IF(AND(T710="NTS",V710=0),0,IF(AND(LEFT(T710,1)="K",V710=0),VLOOKUP(T710,ma_miengiam!$A$3:$B$80,2,0)*R710,IF(LEFT(T710,1)="K",(VLOOKUP(T710,ma_miengiam!$A$3:$B$80,2,0)*R710/12)*V710,IF(AND(LEFT(T710,1)="S",V710&gt;0),(R710/12)*V710,IF(AND(LEFT(T710,1)="S",V710=0),R710,IF(T710="DH",VLOOKUP(T710,ma_miengiam!$A$3:$B$80,2,0)*R710,0)))))))</f>
        <v>0</v>
      </c>
      <c r="Y710" s="220">
        <f t="shared" si="2257"/>
        <v>270</v>
      </c>
      <c r="Z710" s="220">
        <f t="shared" si="2258"/>
        <v>80</v>
      </c>
      <c r="AA710" s="220">
        <f>Q710</f>
        <v>270</v>
      </c>
      <c r="AB710" s="220">
        <f>R710</f>
        <v>80</v>
      </c>
      <c r="AC710" s="220">
        <f>W710</f>
        <v>0</v>
      </c>
      <c r="AD710" s="220">
        <f>X710</f>
        <v>0</v>
      </c>
      <c r="AE710" s="220">
        <f>Y710</f>
        <v>270</v>
      </c>
      <c r="AF710" s="220">
        <f>Z710</f>
        <v>80</v>
      </c>
      <c r="AG710" s="220">
        <f>AH710+AI710</f>
        <v>64.989999999999995</v>
      </c>
      <c r="AH710" s="220">
        <f>EO710</f>
        <v>31.66</v>
      </c>
      <c r="AI710" s="220">
        <f>EN710</f>
        <v>33.33</v>
      </c>
      <c r="AJ710" s="220">
        <f t="shared" si="2334"/>
        <v>-15.010000000000005</v>
      </c>
      <c r="AK710" s="216">
        <f t="shared" si="2254"/>
        <v>285.01</v>
      </c>
      <c r="AL710" s="220">
        <f t="shared" si="2238"/>
        <v>611.1</v>
      </c>
      <c r="AM710" s="220">
        <f t="shared" si="2239"/>
        <v>0</v>
      </c>
      <c r="AN710" s="221">
        <f t="shared" si="2240"/>
        <v>611.1</v>
      </c>
      <c r="AO710" s="220">
        <f t="shared" si="2241"/>
        <v>0</v>
      </c>
      <c r="AP710" s="220">
        <f t="shared" si="2242"/>
        <v>0</v>
      </c>
      <c r="AQ710" s="220">
        <f t="shared" si="2243"/>
        <v>0</v>
      </c>
      <c r="AR710" s="220">
        <f t="shared" si="2244"/>
        <v>0</v>
      </c>
      <c r="AS710" s="220">
        <f t="shared" si="2245"/>
        <v>0</v>
      </c>
      <c r="AT710" s="216">
        <f t="shared" si="2246"/>
        <v>611.1</v>
      </c>
      <c r="AU710" s="222">
        <f t="shared" si="2320"/>
        <v>326.09000000000003</v>
      </c>
      <c r="AV710" s="220"/>
      <c r="AW710" s="220">
        <f t="shared" si="2174"/>
        <v>326.09000000000003</v>
      </c>
      <c r="AX710" s="216">
        <f t="shared" si="2234"/>
        <v>0</v>
      </c>
      <c r="AY710" s="220">
        <f t="shared" si="2182"/>
        <v>0</v>
      </c>
      <c r="AZ710" s="220">
        <f t="shared" si="2183"/>
        <v>0</v>
      </c>
      <c r="BA710" s="220">
        <f t="shared" si="2184"/>
        <v>0</v>
      </c>
      <c r="BB710" s="220">
        <f t="shared" si="2185"/>
        <v>0</v>
      </c>
      <c r="BC710" s="220">
        <f t="shared" si="2186"/>
        <v>0</v>
      </c>
      <c r="BD710" s="216">
        <f t="shared" si="2197"/>
        <v>0</v>
      </c>
      <c r="BE710" s="220">
        <f t="shared" si="2175"/>
        <v>0</v>
      </c>
      <c r="BF710" s="220">
        <f t="shared" si="2176"/>
        <v>0</v>
      </c>
      <c r="BG710" s="220">
        <f t="shared" si="2177"/>
        <v>0</v>
      </c>
      <c r="BH710" s="220">
        <f t="shared" si="2178"/>
        <v>0</v>
      </c>
      <c r="BI710" s="220">
        <f t="shared" si="2179"/>
        <v>0</v>
      </c>
      <c r="BJ710" s="88" t="s">
        <v>1961</v>
      </c>
      <c r="BK710" s="220"/>
      <c r="BL710" s="223">
        <f t="shared" si="2210"/>
        <v>326.09000000000003</v>
      </c>
      <c r="BM710" s="220">
        <v>3.99</v>
      </c>
      <c r="BN710" s="220"/>
      <c r="BO710" s="220">
        <f t="shared" si="2309"/>
        <v>3.99</v>
      </c>
      <c r="BP710" s="220">
        <f>IF(AND(BL710&gt;0,BL710&lt;tiet!$D$1),BL710,IF(BL710&lt;=0,0,IF(BL710&gt;tiet!$C$1,tiet!$C$1)))</f>
        <v>200</v>
      </c>
      <c r="BQ710" s="87">
        <f t="shared" si="2335"/>
        <v>55000</v>
      </c>
      <c r="BR710" s="224">
        <f t="shared" si="2336"/>
        <v>11000000</v>
      </c>
      <c r="BS710" s="220">
        <f t="shared" si="2134"/>
        <v>126.09000000000003</v>
      </c>
      <c r="BT710" s="224">
        <f>VLOOKUP(N710,ma_dinhmuc!$A$1:$J$31,10,0)</f>
        <v>51000</v>
      </c>
      <c r="BU710" s="224">
        <f>ROUND(IF(BS710&gt;0,VLOOKUP(N710,ma_dinhmuc!$A$1:$J$31,10,0)*BS710,0),0)</f>
        <v>6430590</v>
      </c>
      <c r="BV710" s="224">
        <f t="shared" si="2337"/>
        <v>17430590</v>
      </c>
      <c r="BW710" s="224"/>
      <c r="BX710" s="224">
        <v>0</v>
      </c>
      <c r="BY710" s="224"/>
      <c r="BZ710" s="224"/>
      <c r="CA710" s="224"/>
      <c r="CB710" s="224"/>
      <c r="CC710" s="225">
        <f t="shared" si="2338"/>
        <v>17430590</v>
      </c>
      <c r="CD710" s="224">
        <f t="shared" si="2339"/>
        <v>0</v>
      </c>
      <c r="CE710" s="224"/>
      <c r="CF710" s="226"/>
      <c r="CG710" s="87"/>
      <c r="CH710" s="87">
        <f t="shared" si="2274"/>
        <v>2</v>
      </c>
      <c r="CI710" s="227" t="str">
        <f>F710</f>
        <v>Phan Thị</v>
      </c>
      <c r="CJ710" s="227" t="str">
        <f>G710</f>
        <v>Điều</v>
      </c>
      <c r="CK710" s="87">
        <f>H710</f>
        <v>20</v>
      </c>
      <c r="CL710" s="227" t="str">
        <f>L710</f>
        <v>GDTC</v>
      </c>
      <c r="CM710" s="87" t="str">
        <f t="shared" si="2180"/>
        <v>TT2</v>
      </c>
      <c r="CN710" s="87">
        <f t="shared" si="2304"/>
        <v>270</v>
      </c>
      <c r="CO710" s="87">
        <f t="shared" si="2305"/>
        <v>80</v>
      </c>
      <c r="CP710" s="229">
        <f t="shared" si="2142"/>
        <v>0</v>
      </c>
      <c r="CQ710" s="229">
        <f t="shared" si="2143"/>
        <v>77.5</v>
      </c>
      <c r="CR710" s="229">
        <f t="shared" si="2144"/>
        <v>31</v>
      </c>
      <c r="CS710" s="229">
        <f t="shared" si="2145"/>
        <v>0</v>
      </c>
      <c r="CT710" s="229">
        <f t="shared" si="2146"/>
        <v>0</v>
      </c>
      <c r="CU710" s="229">
        <f t="shared" si="2147"/>
        <v>502.6</v>
      </c>
      <c r="CV710" s="229">
        <f t="shared" si="2148"/>
        <v>0</v>
      </c>
      <c r="CW710" s="229">
        <f t="shared" si="2149"/>
        <v>0</v>
      </c>
      <c r="CX710" s="229">
        <f t="shared" si="2150"/>
        <v>0</v>
      </c>
      <c r="CY710" s="229">
        <f t="shared" si="2151"/>
        <v>0</v>
      </c>
      <c r="CZ710" s="229">
        <f t="shared" si="2152"/>
        <v>0</v>
      </c>
      <c r="DA710" s="229">
        <f t="shared" si="2153"/>
        <v>0</v>
      </c>
      <c r="DB710" s="228">
        <f t="shared" si="2235"/>
        <v>611.1</v>
      </c>
      <c r="DC710" s="229"/>
      <c r="DD710" s="229"/>
      <c r="DE710" s="229"/>
      <c r="DF710" s="229"/>
      <c r="DG710" s="229"/>
      <c r="DH710" s="229"/>
      <c r="DI710" s="229"/>
      <c r="DJ710" s="229"/>
      <c r="DK710" s="229"/>
      <c r="DL710" s="229"/>
      <c r="DM710" s="229"/>
      <c r="DN710" s="229"/>
      <c r="DO710" s="228">
        <f t="shared" si="2247"/>
        <v>0</v>
      </c>
      <c r="DP710" s="228">
        <f t="shared" si="2248"/>
        <v>611.1</v>
      </c>
      <c r="DQ710" s="229">
        <f t="shared" si="2154"/>
        <v>0</v>
      </c>
      <c r="DR710" s="229">
        <f t="shared" si="2155"/>
        <v>0</v>
      </c>
      <c r="DS710" s="229">
        <f t="shared" si="2156"/>
        <v>0</v>
      </c>
      <c r="DT710" s="229">
        <f t="shared" si="2157"/>
        <v>0</v>
      </c>
      <c r="DU710" s="229">
        <f t="shared" si="2158"/>
        <v>0</v>
      </c>
      <c r="DV710" s="229">
        <f t="shared" si="2159"/>
        <v>0</v>
      </c>
      <c r="DW710" s="229">
        <f t="shared" si="2160"/>
        <v>0</v>
      </c>
      <c r="DX710" s="228">
        <f t="shared" si="2236"/>
        <v>0</v>
      </c>
      <c r="DY710" s="229"/>
      <c r="DZ710" s="229"/>
      <c r="EA710" s="229"/>
      <c r="EB710" s="229"/>
      <c r="EC710" s="229"/>
      <c r="ED710" s="229"/>
      <c r="EE710" s="229"/>
      <c r="EF710" s="228">
        <f t="shared" si="2138"/>
        <v>0</v>
      </c>
      <c r="EG710" s="228">
        <f t="shared" si="2249"/>
        <v>0</v>
      </c>
      <c r="EH710" s="229">
        <f t="shared" si="2139"/>
        <v>33.33</v>
      </c>
      <c r="EI710" s="229">
        <v>31.66</v>
      </c>
      <c r="EJ710" s="228">
        <f t="shared" si="2344"/>
        <v>64.989999999999995</v>
      </c>
      <c r="EK710" s="229"/>
      <c r="EL710" s="229"/>
      <c r="EM710" s="228">
        <f>SUM(EK710:EL710)</f>
        <v>0</v>
      </c>
      <c r="EN710" s="229">
        <f t="shared" si="2220"/>
        <v>33.33</v>
      </c>
      <c r="EO710" s="229">
        <f t="shared" si="2321"/>
        <v>31.66</v>
      </c>
      <c r="EP710" s="228">
        <f>EM710+EJ710</f>
        <v>64.989999999999995</v>
      </c>
      <c r="EQ710" s="173">
        <f t="shared" si="2135"/>
        <v>0</v>
      </c>
      <c r="ER710" s="189">
        <v>0</v>
      </c>
      <c r="ES710" s="189">
        <v>77.5</v>
      </c>
      <c r="ET710" s="189">
        <v>31</v>
      </c>
      <c r="EU710" s="189">
        <v>0</v>
      </c>
      <c r="EV710" s="189">
        <v>0</v>
      </c>
      <c r="EW710" s="189">
        <v>502.6</v>
      </c>
      <c r="EX710" s="189">
        <v>0</v>
      </c>
      <c r="EY710" s="189">
        <v>0</v>
      </c>
      <c r="EZ710" s="189">
        <v>0</v>
      </c>
      <c r="FA710" s="189">
        <v>0</v>
      </c>
      <c r="FB710" s="189">
        <v>0</v>
      </c>
      <c r="FC710" s="189">
        <v>0</v>
      </c>
      <c r="FD710" s="189">
        <v>0</v>
      </c>
      <c r="FE710" s="189">
        <v>0</v>
      </c>
      <c r="FF710" s="189">
        <v>0</v>
      </c>
      <c r="FG710" s="189">
        <v>0</v>
      </c>
      <c r="FH710" s="189">
        <v>0</v>
      </c>
      <c r="FI710" s="189">
        <v>0</v>
      </c>
      <c r="FJ710" s="189">
        <v>0</v>
      </c>
      <c r="FK710" s="189">
        <v>611.1</v>
      </c>
      <c r="FL710" s="189">
        <v>448</v>
      </c>
      <c r="FN710" s="132">
        <v>33.33</v>
      </c>
    </row>
    <row r="711" spans="1:170" ht="30" customHeight="1">
      <c r="A711" s="88">
        <f>COUNTIF($H$12:H711,H711)</f>
        <v>3</v>
      </c>
      <c r="B711" s="88" t="s">
        <v>1470</v>
      </c>
      <c r="C711" s="88" t="s">
        <v>301</v>
      </c>
      <c r="D711" s="88"/>
      <c r="E711" s="88"/>
      <c r="F711" s="301" t="s">
        <v>1880</v>
      </c>
      <c r="G711" s="89" t="s">
        <v>1785</v>
      </c>
      <c r="H711" s="88">
        <v>20</v>
      </c>
      <c r="I711" s="88">
        <v>20</v>
      </c>
      <c r="J711" s="88">
        <v>20</v>
      </c>
      <c r="K711" s="91" t="s">
        <v>2440</v>
      </c>
      <c r="L711" s="91" t="s">
        <v>2440</v>
      </c>
      <c r="M711" s="214"/>
      <c r="N711" s="88" t="s">
        <v>2219</v>
      </c>
      <c r="O711" s="216">
        <f t="shared" si="2306"/>
        <v>3.66</v>
      </c>
      <c r="P711" s="88" t="str">
        <f t="shared" si="2322"/>
        <v>B2_4</v>
      </c>
      <c r="Q711" s="88">
        <f t="shared" si="2323"/>
        <v>270</v>
      </c>
      <c r="R711" s="88">
        <f t="shared" si="2324"/>
        <v>80</v>
      </c>
      <c r="S711" s="218"/>
      <c r="T711" s="88" t="s">
        <v>3088</v>
      </c>
      <c r="U711" s="88">
        <f>IF(RIGHT(T711,1)="K",(VLOOKUP(T711,ma_miengiam!$A$3:$B$80,2,0)*100)/2,VLOOKUP(T711,ma_miengiam!$A$3:$B$80,2,0)*100)</f>
        <v>0</v>
      </c>
      <c r="V711" s="88"/>
      <c r="W711" s="220">
        <f>IF(AND(T711="NTS",V711&gt;0),(Q711-(Q711*V711)/12)*VLOOKUP(T711,ma_miengiam!$A$3:$B$80,2,0)+(Q711-(Q711*(12-V711))/12),IF(AND(RIGHT(T711,1)="K",V711&gt;0),(VLOOKUP(T711,ma_miengiam!$A$3:$B$80,2,0)/2)*(Q711*V711)/12,IF(RIGHT(T711,1)="K",(VLOOKUP(T711,ma_miengiam!$A$3:$B$80,2,0)*Q711)/2,IF(V711&gt;0,VLOOKUP(T711,ma_miengiam!$A$3:$B$80,2,0)*Q711*V711/12,VLOOKUP(T711,ma_miengiam!$A$3:$B$80,2,0)*Q711))))</f>
        <v>0</v>
      </c>
      <c r="X711" s="220">
        <f>IF(T711="NTS",VLOOKUP(T711,ma_miengiam!$A$3:$B$80,2,0)*R711*V711,IF(AND(T711="NTS",V711=0),0,IF(AND(LEFT(T711,1)="K",V711=0),VLOOKUP(T711,ma_miengiam!$A$3:$B$80,2,0)*R711,IF(LEFT(T711,1)="K",(VLOOKUP(T711,ma_miengiam!$A$3:$B$80,2,0)*R711/12)*V711,IF(AND(LEFT(T711,1)="S",V711&gt;0),(R711/12)*V711,IF(AND(LEFT(T711,1)="S",V711=0),R711,IF(T711="DH",VLOOKUP(T711,ma_miengiam!$A$3:$B$80,2,0)*R711,0)))))))</f>
        <v>0</v>
      </c>
      <c r="Y711" s="220">
        <f t="shared" si="2257"/>
        <v>270</v>
      </c>
      <c r="Z711" s="220">
        <f t="shared" si="2258"/>
        <v>80</v>
      </c>
      <c r="AA711" s="220">
        <f t="shared" si="2325"/>
        <v>270</v>
      </c>
      <c r="AB711" s="220">
        <f t="shared" si="2326"/>
        <v>80</v>
      </c>
      <c r="AC711" s="220">
        <f t="shared" si="2327"/>
        <v>0</v>
      </c>
      <c r="AD711" s="220">
        <f t="shared" si="2328"/>
        <v>0</v>
      </c>
      <c r="AE711" s="220">
        <f t="shared" si="2329"/>
        <v>270</v>
      </c>
      <c r="AF711" s="220">
        <f t="shared" si="2330"/>
        <v>80</v>
      </c>
      <c r="AG711" s="220">
        <f t="shared" si="2331"/>
        <v>574.99</v>
      </c>
      <c r="AH711" s="220">
        <f t="shared" si="2332"/>
        <v>541.66</v>
      </c>
      <c r="AI711" s="220">
        <f t="shared" si="2333"/>
        <v>33.33</v>
      </c>
      <c r="AJ711" s="220">
        <f t="shared" si="2334"/>
        <v>0</v>
      </c>
      <c r="AK711" s="216">
        <f t="shared" si="2254"/>
        <v>270</v>
      </c>
      <c r="AL711" s="220">
        <f t="shared" si="2238"/>
        <v>526.20000000000005</v>
      </c>
      <c r="AM711" s="220">
        <f t="shared" si="2239"/>
        <v>0</v>
      </c>
      <c r="AN711" s="221">
        <f t="shared" si="2240"/>
        <v>526.20000000000005</v>
      </c>
      <c r="AO711" s="220">
        <f t="shared" si="2241"/>
        <v>0</v>
      </c>
      <c r="AP711" s="220">
        <f t="shared" si="2242"/>
        <v>0</v>
      </c>
      <c r="AQ711" s="220">
        <f t="shared" si="2243"/>
        <v>0</v>
      </c>
      <c r="AR711" s="220">
        <f t="shared" si="2244"/>
        <v>0</v>
      </c>
      <c r="AS711" s="220">
        <f t="shared" si="2245"/>
        <v>0</v>
      </c>
      <c r="AT711" s="216">
        <f t="shared" si="2246"/>
        <v>526.20000000000005</v>
      </c>
      <c r="AU711" s="222">
        <f t="shared" si="2320"/>
        <v>256.20000000000005</v>
      </c>
      <c r="AV711" s="220"/>
      <c r="AW711" s="220">
        <f t="shared" si="2174"/>
        <v>256.20000000000005</v>
      </c>
      <c r="AX711" s="216">
        <f t="shared" si="2234"/>
        <v>0</v>
      </c>
      <c r="AY711" s="220">
        <f t="shared" si="2182"/>
        <v>0</v>
      </c>
      <c r="AZ711" s="220">
        <f t="shared" si="2183"/>
        <v>0</v>
      </c>
      <c r="BA711" s="220">
        <f t="shared" si="2184"/>
        <v>0</v>
      </c>
      <c r="BB711" s="220">
        <f t="shared" si="2185"/>
        <v>0</v>
      </c>
      <c r="BC711" s="220">
        <f t="shared" si="2186"/>
        <v>0</v>
      </c>
      <c r="BD711" s="216">
        <f t="shared" si="2197"/>
        <v>0</v>
      </c>
      <c r="BE711" s="220">
        <f t="shared" si="2175"/>
        <v>0</v>
      </c>
      <c r="BF711" s="220">
        <f t="shared" si="2176"/>
        <v>0</v>
      </c>
      <c r="BG711" s="220">
        <f t="shared" si="2177"/>
        <v>0</v>
      </c>
      <c r="BH711" s="220">
        <f t="shared" si="2178"/>
        <v>0</v>
      </c>
      <c r="BI711" s="220">
        <f t="shared" si="2179"/>
        <v>0</v>
      </c>
      <c r="BJ711" s="88" t="s">
        <v>1961</v>
      </c>
      <c r="BK711" s="220"/>
      <c r="BL711" s="223">
        <f t="shared" si="2210"/>
        <v>256.20000000000005</v>
      </c>
      <c r="BM711" s="220">
        <v>3.66</v>
      </c>
      <c r="BN711" s="220"/>
      <c r="BO711" s="220">
        <f t="shared" si="2309"/>
        <v>3.66</v>
      </c>
      <c r="BP711" s="220">
        <f>IF(AND(BL711&gt;0,BL711&lt;tiet!$D$1),BL711,IF(BL711&lt;=0,0,IF(BL711&gt;tiet!$C$1,tiet!$C$1)))</f>
        <v>200</v>
      </c>
      <c r="BQ711" s="87">
        <f t="shared" si="2335"/>
        <v>55000</v>
      </c>
      <c r="BR711" s="224">
        <f t="shared" si="2336"/>
        <v>11000000</v>
      </c>
      <c r="BS711" s="220">
        <f t="shared" si="2134"/>
        <v>56.200000000000045</v>
      </c>
      <c r="BT711" s="224">
        <f>VLOOKUP(N711,ma_dinhmuc!$A$1:$J$31,10,0)</f>
        <v>51000</v>
      </c>
      <c r="BU711" s="224">
        <f>ROUND(IF(BS711&gt;0,VLOOKUP(N711,ma_dinhmuc!$A$1:$J$31,10,0)*BS711,0),0)</f>
        <v>2866200</v>
      </c>
      <c r="BV711" s="224">
        <f t="shared" si="2337"/>
        <v>13866200</v>
      </c>
      <c r="BW711" s="224"/>
      <c r="BX711" s="224">
        <v>0</v>
      </c>
      <c r="BY711" s="224"/>
      <c r="BZ711" s="224"/>
      <c r="CA711" s="224"/>
      <c r="CB711" s="224"/>
      <c r="CC711" s="225">
        <f t="shared" si="2338"/>
        <v>13866200</v>
      </c>
      <c r="CD711" s="224">
        <f t="shared" si="2339"/>
        <v>0</v>
      </c>
      <c r="CE711" s="224"/>
      <c r="CF711" s="226"/>
      <c r="CG711" s="87"/>
      <c r="CH711" s="87">
        <f t="shared" si="2274"/>
        <v>3</v>
      </c>
      <c r="CI711" s="227" t="str">
        <f t="shared" si="2340"/>
        <v>Đặng Đức</v>
      </c>
      <c r="CJ711" s="227" t="str">
        <f t="shared" si="2341"/>
        <v>Hoàn</v>
      </c>
      <c r="CK711" s="87">
        <f t="shared" si="2342"/>
        <v>20</v>
      </c>
      <c r="CL711" s="227" t="str">
        <f t="shared" si="2343"/>
        <v>GDTC</v>
      </c>
      <c r="CM711" s="87" t="str">
        <f t="shared" si="2180"/>
        <v>TT2</v>
      </c>
      <c r="CN711" s="87">
        <f t="shared" ref="CN711:CO715" si="2347">Q711</f>
        <v>270</v>
      </c>
      <c r="CO711" s="87">
        <f t="shared" si="2347"/>
        <v>80</v>
      </c>
      <c r="CP711" s="229">
        <f t="shared" si="2142"/>
        <v>0</v>
      </c>
      <c r="CQ711" s="229">
        <f t="shared" si="2143"/>
        <v>70.2</v>
      </c>
      <c r="CR711" s="229">
        <f t="shared" si="2144"/>
        <v>28.3</v>
      </c>
      <c r="CS711" s="229">
        <f t="shared" si="2145"/>
        <v>0</v>
      </c>
      <c r="CT711" s="229">
        <f t="shared" si="2146"/>
        <v>0</v>
      </c>
      <c r="CU711" s="229">
        <f t="shared" si="2147"/>
        <v>427.7</v>
      </c>
      <c r="CV711" s="229">
        <f t="shared" si="2148"/>
        <v>0</v>
      </c>
      <c r="CW711" s="229">
        <f t="shared" si="2149"/>
        <v>0</v>
      </c>
      <c r="CX711" s="229">
        <f t="shared" si="2150"/>
        <v>0</v>
      </c>
      <c r="CY711" s="229">
        <f t="shared" si="2151"/>
        <v>0</v>
      </c>
      <c r="CZ711" s="229">
        <f t="shared" si="2152"/>
        <v>0</v>
      </c>
      <c r="DA711" s="229">
        <f t="shared" si="2153"/>
        <v>0</v>
      </c>
      <c r="DB711" s="228">
        <f t="shared" si="2235"/>
        <v>526.20000000000005</v>
      </c>
      <c r="DC711" s="229"/>
      <c r="DD711" s="229"/>
      <c r="DE711" s="229"/>
      <c r="DF711" s="229"/>
      <c r="DG711" s="229"/>
      <c r="DH711" s="229"/>
      <c r="DI711" s="229"/>
      <c r="DJ711" s="229"/>
      <c r="DK711" s="229"/>
      <c r="DL711" s="229"/>
      <c r="DM711" s="229"/>
      <c r="DN711" s="229"/>
      <c r="DO711" s="228">
        <f t="shared" si="2247"/>
        <v>0</v>
      </c>
      <c r="DP711" s="228">
        <f t="shared" si="2248"/>
        <v>526.20000000000005</v>
      </c>
      <c r="DQ711" s="229">
        <f t="shared" si="2154"/>
        <v>0</v>
      </c>
      <c r="DR711" s="229">
        <f t="shared" si="2155"/>
        <v>0</v>
      </c>
      <c r="DS711" s="229">
        <f t="shared" si="2156"/>
        <v>0</v>
      </c>
      <c r="DT711" s="229">
        <f t="shared" si="2157"/>
        <v>0</v>
      </c>
      <c r="DU711" s="229">
        <f t="shared" si="2158"/>
        <v>0</v>
      </c>
      <c r="DV711" s="229">
        <f t="shared" si="2159"/>
        <v>0</v>
      </c>
      <c r="DW711" s="229">
        <f t="shared" si="2160"/>
        <v>0</v>
      </c>
      <c r="DX711" s="228">
        <f t="shared" si="2236"/>
        <v>0</v>
      </c>
      <c r="DY711" s="229"/>
      <c r="DZ711" s="229"/>
      <c r="EA711" s="229"/>
      <c r="EB711" s="229"/>
      <c r="EC711" s="229"/>
      <c r="ED711" s="229"/>
      <c r="EE711" s="229"/>
      <c r="EF711" s="228">
        <f t="shared" si="2138"/>
        <v>0</v>
      </c>
      <c r="EG711" s="228">
        <f t="shared" si="2249"/>
        <v>0</v>
      </c>
      <c r="EH711" s="229">
        <f t="shared" si="2139"/>
        <v>33.33</v>
      </c>
      <c r="EI711" s="229">
        <v>541.66</v>
      </c>
      <c r="EJ711" s="228">
        <f t="shared" si="2344"/>
        <v>574.99</v>
      </c>
      <c r="EK711" s="229"/>
      <c r="EL711" s="229"/>
      <c r="EM711" s="228">
        <f t="shared" si="2345"/>
        <v>0</v>
      </c>
      <c r="EN711" s="229">
        <f t="shared" si="2220"/>
        <v>33.33</v>
      </c>
      <c r="EO711" s="229">
        <f t="shared" si="2321"/>
        <v>541.66</v>
      </c>
      <c r="EP711" s="228">
        <f t="shared" si="2346"/>
        <v>574.99</v>
      </c>
      <c r="EQ711" s="173">
        <f t="shared" si="2135"/>
        <v>0</v>
      </c>
      <c r="ER711" s="189">
        <v>0</v>
      </c>
      <c r="ES711" s="189">
        <v>70.2</v>
      </c>
      <c r="ET711" s="189">
        <v>28.3</v>
      </c>
      <c r="EU711" s="189">
        <v>0</v>
      </c>
      <c r="EV711" s="189">
        <v>0</v>
      </c>
      <c r="EW711" s="189">
        <v>427.7</v>
      </c>
      <c r="EX711" s="189">
        <v>0</v>
      </c>
      <c r="EY711" s="189">
        <v>0</v>
      </c>
      <c r="EZ711" s="189">
        <v>0</v>
      </c>
      <c r="FA711" s="189">
        <v>0</v>
      </c>
      <c r="FB711" s="189">
        <v>0</v>
      </c>
      <c r="FC711" s="189">
        <v>0</v>
      </c>
      <c r="FD711" s="189">
        <v>0</v>
      </c>
      <c r="FE711" s="189">
        <v>0</v>
      </c>
      <c r="FF711" s="189">
        <v>0</v>
      </c>
      <c r="FG711" s="189">
        <v>0</v>
      </c>
      <c r="FH711" s="189">
        <v>0</v>
      </c>
      <c r="FI711" s="189">
        <v>0</v>
      </c>
      <c r="FJ711" s="189">
        <v>0</v>
      </c>
      <c r="FK711" s="189">
        <v>526.20000000000005</v>
      </c>
      <c r="FL711" s="189">
        <v>384</v>
      </c>
      <c r="FN711" s="132">
        <v>33.33</v>
      </c>
    </row>
    <row r="712" spans="1:170" ht="30" customHeight="1">
      <c r="A712" s="88">
        <f>COUNTIF($H$12:H712,H712)</f>
        <v>4</v>
      </c>
      <c r="B712" s="88" t="s">
        <v>1471</v>
      </c>
      <c r="C712" s="88" t="s">
        <v>302</v>
      </c>
      <c r="D712" s="88"/>
      <c r="E712" s="88"/>
      <c r="F712" s="301" t="s">
        <v>647</v>
      </c>
      <c r="G712" s="89" t="s">
        <v>2457</v>
      </c>
      <c r="H712" s="88">
        <v>20</v>
      </c>
      <c r="I712" s="88">
        <v>20</v>
      </c>
      <c r="J712" s="88">
        <v>20</v>
      </c>
      <c r="K712" s="91" t="s">
        <v>2440</v>
      </c>
      <c r="L712" s="91" t="s">
        <v>2440</v>
      </c>
      <c r="M712" s="214"/>
      <c r="N712" s="88" t="s">
        <v>2219</v>
      </c>
      <c r="O712" s="216">
        <f t="shared" si="2306"/>
        <v>3.66</v>
      </c>
      <c r="P712" s="88" t="str">
        <f t="shared" si="2322"/>
        <v>B2_4</v>
      </c>
      <c r="Q712" s="88">
        <f t="shared" si="2323"/>
        <v>270</v>
      </c>
      <c r="R712" s="88">
        <f t="shared" si="2324"/>
        <v>80</v>
      </c>
      <c r="S712" s="233" t="s">
        <v>2980</v>
      </c>
      <c r="T712" s="219" t="s">
        <v>3090</v>
      </c>
      <c r="U712" s="88">
        <f>IF(RIGHT(T712,1)="K",(VLOOKUP(T712,ma_miengiam!$A$3:$B$80,2,0)*100)/2,VLOOKUP(T712,ma_miengiam!$A$3:$B$80,2,0)*100)</f>
        <v>15</v>
      </c>
      <c r="V712" s="88"/>
      <c r="W712" s="220">
        <f>IF(AND(T712="NTS",V712&gt;0),(Q712-(Q712*V712)/12)*VLOOKUP(T712,ma_miengiam!$A$3:$B$80,2,0)+(Q712-(Q712*(12-V712))/12),IF(AND(RIGHT(T712,1)="K",V712&gt;0),(VLOOKUP(T712,ma_miengiam!$A$3:$B$80,2,0)/2)*(Q712*V712)/12,IF(RIGHT(T712,1)="K",(VLOOKUP(T712,ma_miengiam!$A$3:$B$80,2,0)*Q712)/2,IF(V712&gt;0,VLOOKUP(T712,ma_miengiam!$A$3:$B$80,2,0)*Q712*V712/12,VLOOKUP(T712,ma_miengiam!$A$3:$B$80,2,0)*Q712))))</f>
        <v>40.5</v>
      </c>
      <c r="X712" s="220">
        <f>IF(T712="NTS",VLOOKUP(T712,ma_miengiam!$A$3:$B$80,2,0)*R712*V712,IF(AND(T712="NTS",V712=0),0,IF(AND(LEFT(T712,1)="K",V712=0),VLOOKUP(T712,ma_miengiam!$A$3:$B$80,2,0)*R712,IF(LEFT(T712,1)="K",(VLOOKUP(T712,ma_miengiam!$A$3:$B$80,2,0)*R712/12)*V712,IF(AND(LEFT(T712,1)="S",V712&gt;0),(R712/12)*V712,IF(AND(LEFT(T712,1)="S",V712=0),R712,IF(T712="DH",VLOOKUP(T712,ma_miengiam!$A$3:$B$80,2,0)*R712,0)))))))</f>
        <v>0</v>
      </c>
      <c r="Y712" s="220">
        <f t="shared" si="2257"/>
        <v>229.5</v>
      </c>
      <c r="Z712" s="220">
        <f t="shared" si="2258"/>
        <v>80</v>
      </c>
      <c r="AA712" s="220">
        <f t="shared" si="2325"/>
        <v>270</v>
      </c>
      <c r="AB712" s="220">
        <f t="shared" si="2326"/>
        <v>80</v>
      </c>
      <c r="AC712" s="220">
        <f t="shared" si="2327"/>
        <v>40.5</v>
      </c>
      <c r="AD712" s="220">
        <f t="shared" si="2328"/>
        <v>0</v>
      </c>
      <c r="AE712" s="220">
        <f t="shared" si="2329"/>
        <v>229.5</v>
      </c>
      <c r="AF712" s="220">
        <f t="shared" si="2330"/>
        <v>80</v>
      </c>
      <c r="AG712" s="220">
        <f t="shared" si="2331"/>
        <v>0</v>
      </c>
      <c r="AH712" s="220">
        <f t="shared" si="2332"/>
        <v>0</v>
      </c>
      <c r="AI712" s="220">
        <f t="shared" si="2333"/>
        <v>0</v>
      </c>
      <c r="AJ712" s="220">
        <f t="shared" si="2334"/>
        <v>-80</v>
      </c>
      <c r="AK712" s="216">
        <f t="shared" si="2254"/>
        <v>309.5</v>
      </c>
      <c r="AL712" s="220">
        <f t="shared" si="2238"/>
        <v>544.9</v>
      </c>
      <c r="AM712" s="220">
        <f t="shared" si="2239"/>
        <v>0</v>
      </c>
      <c r="AN712" s="221">
        <f t="shared" si="2240"/>
        <v>544.9</v>
      </c>
      <c r="AO712" s="220">
        <f t="shared" si="2241"/>
        <v>0</v>
      </c>
      <c r="AP712" s="220">
        <f t="shared" si="2242"/>
        <v>0</v>
      </c>
      <c r="AQ712" s="220">
        <f t="shared" si="2243"/>
        <v>0</v>
      </c>
      <c r="AR712" s="220">
        <f t="shared" si="2244"/>
        <v>0</v>
      </c>
      <c r="AS712" s="220">
        <f t="shared" si="2245"/>
        <v>0</v>
      </c>
      <c r="AT712" s="216">
        <f t="shared" si="2246"/>
        <v>544.9</v>
      </c>
      <c r="AU712" s="222">
        <f t="shared" si="2320"/>
        <v>235.39999999999998</v>
      </c>
      <c r="AV712" s="220"/>
      <c r="AW712" s="220">
        <f t="shared" si="2174"/>
        <v>235.39999999999998</v>
      </c>
      <c r="AX712" s="216">
        <f t="shared" si="2234"/>
        <v>0</v>
      </c>
      <c r="AY712" s="220">
        <f t="shared" si="2182"/>
        <v>0</v>
      </c>
      <c r="AZ712" s="220">
        <f t="shared" si="2183"/>
        <v>0</v>
      </c>
      <c r="BA712" s="220">
        <f t="shared" si="2184"/>
        <v>0</v>
      </c>
      <c r="BB712" s="220">
        <f t="shared" si="2185"/>
        <v>0</v>
      </c>
      <c r="BC712" s="220">
        <f t="shared" si="2186"/>
        <v>0</v>
      </c>
      <c r="BD712" s="216">
        <f t="shared" si="2197"/>
        <v>0</v>
      </c>
      <c r="BE712" s="220">
        <f t="shared" si="2175"/>
        <v>0</v>
      </c>
      <c r="BF712" s="220">
        <f t="shared" si="2176"/>
        <v>0</v>
      </c>
      <c r="BG712" s="220">
        <f t="shared" si="2177"/>
        <v>0</v>
      </c>
      <c r="BH712" s="220">
        <f t="shared" si="2178"/>
        <v>0</v>
      </c>
      <c r="BI712" s="220">
        <f t="shared" si="2179"/>
        <v>0</v>
      </c>
      <c r="BJ712" s="88" t="s">
        <v>1961</v>
      </c>
      <c r="BK712" s="220"/>
      <c r="BL712" s="223">
        <f t="shared" si="2210"/>
        <v>235.39999999999998</v>
      </c>
      <c r="BM712" s="220">
        <v>3.66</v>
      </c>
      <c r="BN712" s="220"/>
      <c r="BO712" s="220">
        <f t="shared" si="2309"/>
        <v>3.66</v>
      </c>
      <c r="BP712" s="220">
        <f>IF(AND(BL712&gt;0,BL712&lt;tiet!$D$1),BL712,IF(BL712&lt;=0,0,IF(BL712&gt;tiet!$C$1,tiet!$C$1)))</f>
        <v>200</v>
      </c>
      <c r="BQ712" s="87">
        <f t="shared" si="2335"/>
        <v>55000</v>
      </c>
      <c r="BR712" s="224">
        <f t="shared" si="2336"/>
        <v>11000000</v>
      </c>
      <c r="BS712" s="220">
        <f t="shared" si="2134"/>
        <v>35.399999999999977</v>
      </c>
      <c r="BT712" s="224">
        <f>VLOOKUP(N712,ma_dinhmuc!$A$1:$J$31,10,0)</f>
        <v>51000</v>
      </c>
      <c r="BU712" s="224">
        <f>ROUND(IF(BS712&gt;0,VLOOKUP(N712,ma_dinhmuc!$A$1:$J$31,10,0)*BS712,0),0)</f>
        <v>1805400</v>
      </c>
      <c r="BV712" s="224">
        <f t="shared" si="2337"/>
        <v>12805400</v>
      </c>
      <c r="BW712" s="224"/>
      <c r="BX712" s="224">
        <v>0</v>
      </c>
      <c r="BY712" s="224"/>
      <c r="BZ712" s="224"/>
      <c r="CA712" s="224"/>
      <c r="CB712" s="224"/>
      <c r="CC712" s="225">
        <f t="shared" si="2338"/>
        <v>12805400</v>
      </c>
      <c r="CD712" s="224">
        <f t="shared" si="2339"/>
        <v>0</v>
      </c>
      <c r="CE712" s="224"/>
      <c r="CF712" s="226"/>
      <c r="CG712" s="87"/>
      <c r="CH712" s="87">
        <f t="shared" si="2274"/>
        <v>4</v>
      </c>
      <c r="CI712" s="227" t="str">
        <f t="shared" si="2340"/>
        <v>Trần Văn</v>
      </c>
      <c r="CJ712" s="227" t="str">
        <f t="shared" si="2341"/>
        <v>Hậu</v>
      </c>
      <c r="CK712" s="87">
        <f t="shared" si="2342"/>
        <v>20</v>
      </c>
      <c r="CL712" s="227" t="str">
        <f t="shared" si="2343"/>
        <v>GDTC</v>
      </c>
      <c r="CM712" s="87" t="str">
        <f t="shared" si="2180"/>
        <v>TT2</v>
      </c>
      <c r="CN712" s="87">
        <f t="shared" si="2347"/>
        <v>270</v>
      </c>
      <c r="CO712" s="87">
        <f t="shared" si="2347"/>
        <v>80</v>
      </c>
      <c r="CP712" s="229">
        <f t="shared" si="2142"/>
        <v>0</v>
      </c>
      <c r="CQ712" s="229">
        <f t="shared" si="2143"/>
        <v>67</v>
      </c>
      <c r="CR712" s="229">
        <f t="shared" si="2144"/>
        <v>27</v>
      </c>
      <c r="CS712" s="229">
        <f t="shared" si="2145"/>
        <v>0</v>
      </c>
      <c r="CT712" s="229">
        <f t="shared" si="2146"/>
        <v>0</v>
      </c>
      <c r="CU712" s="229">
        <f t="shared" si="2147"/>
        <v>450.9</v>
      </c>
      <c r="CV712" s="229">
        <f t="shared" si="2148"/>
        <v>0</v>
      </c>
      <c r="CW712" s="229">
        <f t="shared" si="2149"/>
        <v>0</v>
      </c>
      <c r="CX712" s="229">
        <f t="shared" si="2150"/>
        <v>0</v>
      </c>
      <c r="CY712" s="229">
        <f t="shared" si="2151"/>
        <v>0</v>
      </c>
      <c r="CZ712" s="229">
        <f t="shared" si="2152"/>
        <v>0</v>
      </c>
      <c r="DA712" s="229">
        <f t="shared" si="2153"/>
        <v>0</v>
      </c>
      <c r="DB712" s="228">
        <f t="shared" si="2235"/>
        <v>544.9</v>
      </c>
      <c r="DC712" s="229"/>
      <c r="DD712" s="229"/>
      <c r="DE712" s="229"/>
      <c r="DF712" s="229"/>
      <c r="DG712" s="229"/>
      <c r="DH712" s="229"/>
      <c r="DI712" s="229"/>
      <c r="DJ712" s="229"/>
      <c r="DK712" s="229"/>
      <c r="DL712" s="229"/>
      <c r="DM712" s="229"/>
      <c r="DN712" s="229"/>
      <c r="DO712" s="228">
        <f t="shared" si="2247"/>
        <v>0</v>
      </c>
      <c r="DP712" s="228">
        <f t="shared" si="2248"/>
        <v>544.9</v>
      </c>
      <c r="DQ712" s="229">
        <f t="shared" si="2154"/>
        <v>0</v>
      </c>
      <c r="DR712" s="229">
        <f t="shared" si="2155"/>
        <v>0</v>
      </c>
      <c r="DS712" s="229">
        <f t="shared" si="2156"/>
        <v>0</v>
      </c>
      <c r="DT712" s="229">
        <f t="shared" si="2157"/>
        <v>0</v>
      </c>
      <c r="DU712" s="229">
        <f t="shared" si="2158"/>
        <v>0</v>
      </c>
      <c r="DV712" s="229">
        <f t="shared" si="2159"/>
        <v>0</v>
      </c>
      <c r="DW712" s="229">
        <f t="shared" si="2160"/>
        <v>0</v>
      </c>
      <c r="DX712" s="228">
        <f t="shared" si="2236"/>
        <v>0</v>
      </c>
      <c r="DY712" s="229"/>
      <c r="DZ712" s="229"/>
      <c r="EA712" s="229"/>
      <c r="EB712" s="229"/>
      <c r="EC712" s="229"/>
      <c r="ED712" s="229"/>
      <c r="EE712" s="229"/>
      <c r="EF712" s="228">
        <f t="shared" si="2138"/>
        <v>0</v>
      </c>
      <c r="EG712" s="228">
        <f t="shared" si="2249"/>
        <v>0</v>
      </c>
      <c r="EH712" s="229">
        <f t="shared" si="2139"/>
        <v>0</v>
      </c>
      <c r="EI712" s="229">
        <v>0</v>
      </c>
      <c r="EJ712" s="228">
        <f t="shared" si="2344"/>
        <v>0</v>
      </c>
      <c r="EK712" s="229"/>
      <c r="EL712" s="229"/>
      <c r="EM712" s="228">
        <f t="shared" si="2345"/>
        <v>0</v>
      </c>
      <c r="EN712" s="229">
        <f t="shared" si="2220"/>
        <v>0</v>
      </c>
      <c r="EO712" s="229">
        <f t="shared" si="2321"/>
        <v>0</v>
      </c>
      <c r="EP712" s="228">
        <f t="shared" si="2346"/>
        <v>0</v>
      </c>
      <c r="EQ712" s="173">
        <f t="shared" si="2135"/>
        <v>0</v>
      </c>
      <c r="ER712" s="189">
        <v>0</v>
      </c>
      <c r="ES712" s="189">
        <v>67</v>
      </c>
      <c r="ET712" s="189">
        <v>27</v>
      </c>
      <c r="EU712" s="189">
        <v>0</v>
      </c>
      <c r="EV712" s="189">
        <v>0</v>
      </c>
      <c r="EW712" s="189">
        <v>450.9</v>
      </c>
      <c r="EX712" s="189">
        <v>0</v>
      </c>
      <c r="EY712" s="189">
        <v>0</v>
      </c>
      <c r="EZ712" s="189">
        <v>0</v>
      </c>
      <c r="FA712" s="189">
        <v>0</v>
      </c>
      <c r="FB712" s="189">
        <v>0</v>
      </c>
      <c r="FC712" s="189">
        <v>0</v>
      </c>
      <c r="FD712" s="189">
        <v>0</v>
      </c>
      <c r="FE712" s="189">
        <v>0</v>
      </c>
      <c r="FF712" s="189">
        <v>0</v>
      </c>
      <c r="FG712" s="189">
        <v>0</v>
      </c>
      <c r="FH712" s="189">
        <v>0</v>
      </c>
      <c r="FI712" s="189">
        <v>0</v>
      </c>
      <c r="FJ712" s="189">
        <v>0</v>
      </c>
      <c r="FK712" s="189">
        <v>544.9</v>
      </c>
      <c r="FL712" s="189">
        <v>416</v>
      </c>
      <c r="FN712" s="132">
        <v>0</v>
      </c>
    </row>
    <row r="713" spans="1:170" ht="30" customHeight="1">
      <c r="A713" s="88">
        <f>COUNTIF($H$12:H713,H713)</f>
        <v>5</v>
      </c>
      <c r="B713" s="88" t="s">
        <v>1472</v>
      </c>
      <c r="C713" s="88" t="s">
        <v>303</v>
      </c>
      <c r="D713" s="88"/>
      <c r="E713" s="88"/>
      <c r="F713" s="301" t="s">
        <v>2895</v>
      </c>
      <c r="G713" s="89" t="s">
        <v>1881</v>
      </c>
      <c r="H713" s="88">
        <v>20</v>
      </c>
      <c r="I713" s="88">
        <v>20</v>
      </c>
      <c r="J713" s="88">
        <v>20</v>
      </c>
      <c r="K713" s="91" t="s">
        <v>2440</v>
      </c>
      <c r="L713" s="91" t="s">
        <v>2440</v>
      </c>
      <c r="M713" s="214"/>
      <c r="N713" s="88" t="s">
        <v>2219</v>
      </c>
      <c r="O713" s="216">
        <f t="shared" si="2306"/>
        <v>3.66</v>
      </c>
      <c r="P713" s="88" t="str">
        <f t="shared" si="2322"/>
        <v>B2_4</v>
      </c>
      <c r="Q713" s="88">
        <f t="shared" si="2323"/>
        <v>270</v>
      </c>
      <c r="R713" s="88">
        <f t="shared" si="2324"/>
        <v>80</v>
      </c>
      <c r="S713" s="233"/>
      <c r="T713" s="88" t="s">
        <v>3088</v>
      </c>
      <c r="U713" s="88">
        <f>IF(RIGHT(T713,1)="K",(VLOOKUP(T713,ma_miengiam!$A$3:$B$80,2,0)*100)/2,VLOOKUP(T713,ma_miengiam!$A$3:$B$80,2,0)*100)</f>
        <v>0</v>
      </c>
      <c r="V713" s="88"/>
      <c r="W713" s="220">
        <f>IF(AND(T713="NTS",V713&gt;0),(Q713-(Q713*V713)/12)*VLOOKUP(T713,ma_miengiam!$A$3:$B$80,2,0)+(Q713-(Q713*(12-V713))/12),IF(AND(RIGHT(T713,1)="K",V713&gt;0),(VLOOKUP(T713,ma_miengiam!$A$3:$B$80,2,0)/2)*(Q713*V713)/12,IF(RIGHT(T713,1)="K",(VLOOKUP(T713,ma_miengiam!$A$3:$B$80,2,0)*Q713)/2,IF(V713&gt;0,VLOOKUP(T713,ma_miengiam!$A$3:$B$80,2,0)*Q713*V713/12,VLOOKUP(T713,ma_miengiam!$A$3:$B$80,2,0)*Q713))))</f>
        <v>0</v>
      </c>
      <c r="X713" s="220">
        <f>IF(T713="NTS",VLOOKUP(T713,ma_miengiam!$A$3:$B$80,2,0)*R713*V713,IF(AND(T713="NTS",V713=0),0,IF(AND(LEFT(T713,1)="K",V713=0),VLOOKUP(T713,ma_miengiam!$A$3:$B$80,2,0)*R713,IF(LEFT(T713,1)="K",(VLOOKUP(T713,ma_miengiam!$A$3:$B$80,2,0)*R713/12)*V713,IF(AND(LEFT(T713,1)="S",V713&gt;0),(R713/12)*V713,IF(AND(LEFT(T713,1)="S",V713=0),R713,IF(T713="DH",VLOOKUP(T713,ma_miengiam!$A$3:$B$80,2,0)*R713,0)))))))</f>
        <v>0</v>
      </c>
      <c r="Y713" s="220">
        <f t="shared" si="2257"/>
        <v>270</v>
      </c>
      <c r="Z713" s="220">
        <f t="shared" si="2258"/>
        <v>80</v>
      </c>
      <c r="AA713" s="220">
        <f t="shared" si="2325"/>
        <v>270</v>
      </c>
      <c r="AB713" s="220">
        <f t="shared" si="2326"/>
        <v>80</v>
      </c>
      <c r="AC713" s="220">
        <f t="shared" si="2327"/>
        <v>0</v>
      </c>
      <c r="AD713" s="220">
        <f t="shared" si="2328"/>
        <v>0</v>
      </c>
      <c r="AE713" s="220">
        <f t="shared" si="2329"/>
        <v>270</v>
      </c>
      <c r="AF713" s="220">
        <f t="shared" si="2330"/>
        <v>80</v>
      </c>
      <c r="AG713" s="220">
        <f t="shared" si="2331"/>
        <v>0</v>
      </c>
      <c r="AH713" s="220">
        <f t="shared" si="2332"/>
        <v>0</v>
      </c>
      <c r="AI713" s="220">
        <f t="shared" si="2333"/>
        <v>0</v>
      </c>
      <c r="AJ713" s="220">
        <f t="shared" si="2334"/>
        <v>-80</v>
      </c>
      <c r="AK713" s="216">
        <f t="shared" si="2254"/>
        <v>350</v>
      </c>
      <c r="AL713" s="220">
        <f t="shared" si="2238"/>
        <v>485.2</v>
      </c>
      <c r="AM713" s="220">
        <f t="shared" si="2239"/>
        <v>0</v>
      </c>
      <c r="AN713" s="221">
        <f t="shared" si="2240"/>
        <v>485.2</v>
      </c>
      <c r="AO713" s="220">
        <f t="shared" si="2241"/>
        <v>0</v>
      </c>
      <c r="AP713" s="220">
        <f t="shared" si="2242"/>
        <v>0</v>
      </c>
      <c r="AQ713" s="220">
        <f t="shared" si="2243"/>
        <v>0</v>
      </c>
      <c r="AR713" s="220">
        <f t="shared" si="2244"/>
        <v>0</v>
      </c>
      <c r="AS713" s="220">
        <f t="shared" si="2245"/>
        <v>0</v>
      </c>
      <c r="AT713" s="216">
        <f t="shared" si="2246"/>
        <v>485.2</v>
      </c>
      <c r="AU713" s="222">
        <f t="shared" si="2320"/>
        <v>135.19999999999999</v>
      </c>
      <c r="AV713" s="220"/>
      <c r="AW713" s="220">
        <f t="shared" si="2174"/>
        <v>135.19999999999999</v>
      </c>
      <c r="AX713" s="216">
        <f t="shared" si="2234"/>
        <v>0</v>
      </c>
      <c r="AY713" s="220">
        <f t="shared" si="2182"/>
        <v>0</v>
      </c>
      <c r="AZ713" s="220">
        <f t="shared" si="2183"/>
        <v>0</v>
      </c>
      <c r="BA713" s="220">
        <f t="shared" si="2184"/>
        <v>0</v>
      </c>
      <c r="BB713" s="220">
        <f t="shared" si="2185"/>
        <v>0</v>
      </c>
      <c r="BC713" s="220">
        <f t="shared" si="2186"/>
        <v>0</v>
      </c>
      <c r="BD713" s="216">
        <f t="shared" si="2197"/>
        <v>0</v>
      </c>
      <c r="BE713" s="220">
        <f t="shared" si="2175"/>
        <v>0</v>
      </c>
      <c r="BF713" s="220">
        <f t="shared" si="2176"/>
        <v>0</v>
      </c>
      <c r="BG713" s="220">
        <f t="shared" si="2177"/>
        <v>0</v>
      </c>
      <c r="BH713" s="220">
        <f t="shared" si="2178"/>
        <v>0</v>
      </c>
      <c r="BI713" s="220">
        <f t="shared" si="2179"/>
        <v>0</v>
      </c>
      <c r="BJ713" s="88" t="s">
        <v>1961</v>
      </c>
      <c r="BK713" s="220"/>
      <c r="BL713" s="223">
        <f t="shared" si="2210"/>
        <v>135.19999999999999</v>
      </c>
      <c r="BM713" s="220">
        <v>3.66</v>
      </c>
      <c r="BN713" s="220"/>
      <c r="BO713" s="220">
        <f t="shared" si="2309"/>
        <v>3.66</v>
      </c>
      <c r="BP713" s="220">
        <f>IF(AND(BL713&gt;0,BL713&lt;tiet!$D$1),BL713,IF(BL713&lt;=0,0,IF(BL713&gt;tiet!$C$1,tiet!$C$1)))</f>
        <v>135.19999999999999</v>
      </c>
      <c r="BQ713" s="87">
        <f t="shared" si="2335"/>
        <v>55000</v>
      </c>
      <c r="BR713" s="224">
        <f t="shared" si="2336"/>
        <v>7436000</v>
      </c>
      <c r="BS713" s="220">
        <f t="shared" si="2134"/>
        <v>0</v>
      </c>
      <c r="BT713" s="224">
        <f>VLOOKUP(N713,ma_dinhmuc!$A$1:$J$31,10,0)</f>
        <v>51000</v>
      </c>
      <c r="BU713" s="224">
        <f>ROUND(IF(BS713&gt;0,VLOOKUP(N713,ma_dinhmuc!$A$1:$J$31,10,0)*BS713,0),0)</f>
        <v>0</v>
      </c>
      <c r="BV713" s="224">
        <f t="shared" si="2337"/>
        <v>7436000</v>
      </c>
      <c r="BW713" s="224"/>
      <c r="BX713" s="224">
        <v>0</v>
      </c>
      <c r="BY713" s="224"/>
      <c r="BZ713" s="224"/>
      <c r="CA713" s="224"/>
      <c r="CB713" s="224"/>
      <c r="CC713" s="225">
        <f t="shared" si="2338"/>
        <v>7436000</v>
      </c>
      <c r="CD713" s="224">
        <f t="shared" si="2339"/>
        <v>0</v>
      </c>
      <c r="CE713" s="224"/>
      <c r="CF713" s="226"/>
      <c r="CG713" s="87"/>
      <c r="CH713" s="87">
        <f t="shared" ref="CH713:CH721" si="2348">A713</f>
        <v>5</v>
      </c>
      <c r="CI713" s="227" t="str">
        <f t="shared" si="2340"/>
        <v>Nguyễn Văn</v>
      </c>
      <c r="CJ713" s="227" t="str">
        <f t="shared" si="2341"/>
        <v>Quảng</v>
      </c>
      <c r="CK713" s="87">
        <f t="shared" si="2342"/>
        <v>20</v>
      </c>
      <c r="CL713" s="227" t="str">
        <f t="shared" si="2343"/>
        <v>GDTC</v>
      </c>
      <c r="CM713" s="87" t="str">
        <f t="shared" si="2180"/>
        <v>TT2</v>
      </c>
      <c r="CN713" s="87">
        <f t="shared" si="2347"/>
        <v>270</v>
      </c>
      <c r="CO713" s="87">
        <f t="shared" si="2347"/>
        <v>80</v>
      </c>
      <c r="CP713" s="229">
        <f t="shared" si="2142"/>
        <v>0</v>
      </c>
      <c r="CQ713" s="229">
        <f t="shared" si="2143"/>
        <v>62.8</v>
      </c>
      <c r="CR713" s="229">
        <f t="shared" si="2144"/>
        <v>25.4</v>
      </c>
      <c r="CS713" s="229">
        <f t="shared" si="2145"/>
        <v>0</v>
      </c>
      <c r="CT713" s="229">
        <f t="shared" si="2146"/>
        <v>0</v>
      </c>
      <c r="CU713" s="229">
        <f t="shared" si="2147"/>
        <v>397</v>
      </c>
      <c r="CV713" s="229">
        <f t="shared" si="2148"/>
        <v>0</v>
      </c>
      <c r="CW713" s="229">
        <f t="shared" si="2149"/>
        <v>0</v>
      </c>
      <c r="CX713" s="229">
        <f t="shared" si="2150"/>
        <v>0</v>
      </c>
      <c r="CY713" s="229">
        <f t="shared" si="2151"/>
        <v>0</v>
      </c>
      <c r="CZ713" s="229">
        <f t="shared" si="2152"/>
        <v>0</v>
      </c>
      <c r="DA713" s="229">
        <f t="shared" si="2153"/>
        <v>0</v>
      </c>
      <c r="DB713" s="228">
        <f t="shared" si="2235"/>
        <v>485.2</v>
      </c>
      <c r="DC713" s="229"/>
      <c r="DD713" s="229"/>
      <c r="DE713" s="229"/>
      <c r="DF713" s="229"/>
      <c r="DG713" s="229"/>
      <c r="DH713" s="229"/>
      <c r="DI713" s="229"/>
      <c r="DJ713" s="229"/>
      <c r="DK713" s="229"/>
      <c r="DL713" s="229"/>
      <c r="DM713" s="229"/>
      <c r="DN713" s="229"/>
      <c r="DO713" s="228">
        <f t="shared" si="2247"/>
        <v>0</v>
      </c>
      <c r="DP713" s="228">
        <f t="shared" si="2248"/>
        <v>485.2</v>
      </c>
      <c r="DQ713" s="229">
        <f t="shared" si="2154"/>
        <v>0</v>
      </c>
      <c r="DR713" s="229">
        <f t="shared" si="2155"/>
        <v>0</v>
      </c>
      <c r="DS713" s="229">
        <f t="shared" si="2156"/>
        <v>0</v>
      </c>
      <c r="DT713" s="229">
        <f t="shared" si="2157"/>
        <v>0</v>
      </c>
      <c r="DU713" s="229">
        <f t="shared" si="2158"/>
        <v>0</v>
      </c>
      <c r="DV713" s="229">
        <f t="shared" si="2159"/>
        <v>0</v>
      </c>
      <c r="DW713" s="229">
        <f t="shared" si="2160"/>
        <v>0</v>
      </c>
      <c r="DX713" s="228">
        <f t="shared" si="2236"/>
        <v>0</v>
      </c>
      <c r="DY713" s="229"/>
      <c r="DZ713" s="229"/>
      <c r="EA713" s="229"/>
      <c r="EB713" s="229"/>
      <c r="EC713" s="229"/>
      <c r="ED713" s="229"/>
      <c r="EE713" s="229"/>
      <c r="EF713" s="228">
        <f t="shared" si="2138"/>
        <v>0</v>
      </c>
      <c r="EG713" s="228">
        <f t="shared" si="2249"/>
        <v>0</v>
      </c>
      <c r="EH713" s="229">
        <f t="shared" si="2139"/>
        <v>0</v>
      </c>
      <c r="EI713" s="229">
        <v>0</v>
      </c>
      <c r="EJ713" s="228">
        <f t="shared" si="2344"/>
        <v>0</v>
      </c>
      <c r="EK713" s="229"/>
      <c r="EL713" s="229"/>
      <c r="EM713" s="228">
        <f t="shared" si="2345"/>
        <v>0</v>
      </c>
      <c r="EN713" s="229">
        <f t="shared" si="2220"/>
        <v>0</v>
      </c>
      <c r="EO713" s="229">
        <f t="shared" si="2321"/>
        <v>0</v>
      </c>
      <c r="EP713" s="228">
        <f t="shared" si="2346"/>
        <v>0</v>
      </c>
      <c r="EQ713" s="173">
        <f t="shared" si="2135"/>
        <v>0</v>
      </c>
      <c r="ER713" s="189">
        <v>0</v>
      </c>
      <c r="ES713" s="189">
        <v>62.8</v>
      </c>
      <c r="ET713" s="189">
        <v>25.4</v>
      </c>
      <c r="EU713" s="189">
        <v>0</v>
      </c>
      <c r="EV713" s="189">
        <v>0</v>
      </c>
      <c r="EW713" s="189">
        <v>397</v>
      </c>
      <c r="EX713" s="189">
        <v>0</v>
      </c>
      <c r="EY713" s="189">
        <v>0</v>
      </c>
      <c r="EZ713" s="189">
        <v>0</v>
      </c>
      <c r="FA713" s="189">
        <v>0</v>
      </c>
      <c r="FB713" s="189">
        <v>0</v>
      </c>
      <c r="FC713" s="189">
        <v>0</v>
      </c>
      <c r="FD713" s="189">
        <v>0</v>
      </c>
      <c r="FE713" s="189">
        <v>0</v>
      </c>
      <c r="FF713" s="189">
        <v>0</v>
      </c>
      <c r="FG713" s="189">
        <v>0</v>
      </c>
      <c r="FH713" s="189">
        <v>0</v>
      </c>
      <c r="FI713" s="189">
        <v>0</v>
      </c>
      <c r="FJ713" s="189">
        <v>0</v>
      </c>
      <c r="FK713" s="189">
        <v>485.2</v>
      </c>
      <c r="FL713" s="189">
        <v>352</v>
      </c>
      <c r="FN713" s="132">
        <v>0</v>
      </c>
    </row>
    <row r="714" spans="1:170" ht="25.5" customHeight="1">
      <c r="A714" s="88">
        <f>COUNTIF($H$12:H714,H714)</f>
        <v>6</v>
      </c>
      <c r="B714" s="88" t="s">
        <v>1473</v>
      </c>
      <c r="C714" s="88" t="s">
        <v>304</v>
      </c>
      <c r="D714" s="88"/>
      <c r="E714" s="88"/>
      <c r="F714" s="301" t="s">
        <v>915</v>
      </c>
      <c r="G714" s="303" t="s">
        <v>1773</v>
      </c>
      <c r="H714" s="88">
        <v>20</v>
      </c>
      <c r="I714" s="88">
        <v>20</v>
      </c>
      <c r="J714" s="88">
        <v>20</v>
      </c>
      <c r="K714" s="91" t="s">
        <v>2440</v>
      </c>
      <c r="L714" s="91" t="s">
        <v>2440</v>
      </c>
      <c r="M714" s="214"/>
      <c r="N714" s="88" t="s">
        <v>2219</v>
      </c>
      <c r="O714" s="216">
        <f t="shared" si="2306"/>
        <v>3.99</v>
      </c>
      <c r="P714" s="88" t="str">
        <f t="shared" si="2322"/>
        <v>B2_4</v>
      </c>
      <c r="Q714" s="88">
        <f t="shared" si="2323"/>
        <v>270</v>
      </c>
      <c r="R714" s="88">
        <f t="shared" si="2324"/>
        <v>80</v>
      </c>
      <c r="S714" s="233" t="s">
        <v>689</v>
      </c>
      <c r="T714" s="219" t="s">
        <v>3090</v>
      </c>
      <c r="U714" s="88">
        <f>IF(RIGHT(T714,1)="K",(VLOOKUP(T714,ma_miengiam!$A$3:$B$80,2,0)*100)/2,VLOOKUP(T714,ma_miengiam!$A$3:$B$80,2,0)*100)</f>
        <v>15</v>
      </c>
      <c r="V714" s="88"/>
      <c r="W714" s="220">
        <f>IF(AND(T714="NTS",V714&gt;0),(Q714-(Q714*V714)/12)*VLOOKUP(T714,ma_miengiam!$A$3:$B$80,2,0)+(Q714-(Q714*(12-V714))/12),IF(AND(RIGHT(T714,1)="K",V714&gt;0),(VLOOKUP(T714,ma_miengiam!$A$3:$B$80,2,0)/2)*(Q714*V714)/12,IF(RIGHT(T714,1)="K",(VLOOKUP(T714,ma_miengiam!$A$3:$B$80,2,0)*Q714)/2,IF(V714&gt;0,VLOOKUP(T714,ma_miengiam!$A$3:$B$80,2,0)*Q714*V714/12,VLOOKUP(T714,ma_miengiam!$A$3:$B$80,2,0)*Q714))))</f>
        <v>40.5</v>
      </c>
      <c r="X714" s="220">
        <f>IF(T714="NTS",VLOOKUP(T714,ma_miengiam!$A$3:$B$80,2,0)*R714*V714,IF(AND(T714="NTS",V714=0),0,IF(AND(LEFT(T714,1)="K",V714=0),VLOOKUP(T714,ma_miengiam!$A$3:$B$80,2,0)*R714,IF(LEFT(T714,1)="K",(VLOOKUP(T714,ma_miengiam!$A$3:$B$80,2,0)*R714/12)*V714,IF(AND(LEFT(T714,1)="S",V714&gt;0),(R714/12)*V714,IF(AND(LEFT(T714,1)="S",V714=0),R714,IF(T714="DH",VLOOKUP(T714,ma_miengiam!$A$3:$B$80,2,0)*R714,0)))))))</f>
        <v>0</v>
      </c>
      <c r="Y714" s="220">
        <f t="shared" ref="Y714:Y740" si="2349">IF(AND(T714="DH",V714&gt;0),(S714*V714/12),IF(AND(T714&lt;&gt;"NTS",V714&gt;0),(Q714*V714/12)-W714,IF(AND(T714="NTS",V714&gt;0),Q714-W714,Q714-W714)))</f>
        <v>229.5</v>
      </c>
      <c r="Z714" s="220">
        <f t="shared" si="2258"/>
        <v>80</v>
      </c>
      <c r="AA714" s="220">
        <f t="shared" si="2325"/>
        <v>270</v>
      </c>
      <c r="AB714" s="220">
        <f t="shared" si="2326"/>
        <v>80</v>
      </c>
      <c r="AC714" s="220">
        <f t="shared" si="2327"/>
        <v>40.5</v>
      </c>
      <c r="AD714" s="220">
        <f t="shared" si="2328"/>
        <v>0</v>
      </c>
      <c r="AE714" s="220">
        <f t="shared" si="2329"/>
        <v>229.5</v>
      </c>
      <c r="AF714" s="220">
        <f t="shared" si="2330"/>
        <v>80</v>
      </c>
      <c r="AG714" s="220">
        <f t="shared" si="2331"/>
        <v>0</v>
      </c>
      <c r="AH714" s="220">
        <f t="shared" si="2332"/>
        <v>0</v>
      </c>
      <c r="AI714" s="220">
        <f t="shared" si="2333"/>
        <v>0</v>
      </c>
      <c r="AJ714" s="220">
        <f t="shared" si="2334"/>
        <v>-80</v>
      </c>
      <c r="AK714" s="216">
        <f t="shared" si="2254"/>
        <v>309.5</v>
      </c>
      <c r="AL714" s="220">
        <f t="shared" si="2238"/>
        <v>451.1</v>
      </c>
      <c r="AM714" s="220">
        <f t="shared" si="2239"/>
        <v>0</v>
      </c>
      <c r="AN714" s="221">
        <f t="shared" si="2240"/>
        <v>451.1</v>
      </c>
      <c r="AO714" s="220">
        <f t="shared" si="2241"/>
        <v>0</v>
      </c>
      <c r="AP714" s="220">
        <f t="shared" si="2242"/>
        <v>0</v>
      </c>
      <c r="AQ714" s="220">
        <f t="shared" si="2243"/>
        <v>0</v>
      </c>
      <c r="AR714" s="220">
        <f t="shared" si="2244"/>
        <v>0</v>
      </c>
      <c r="AS714" s="220">
        <f t="shared" si="2245"/>
        <v>0</v>
      </c>
      <c r="AT714" s="216">
        <f t="shared" si="2246"/>
        <v>451.1</v>
      </c>
      <c r="AU714" s="222">
        <f t="shared" si="2320"/>
        <v>141.60000000000002</v>
      </c>
      <c r="AV714" s="220"/>
      <c r="AW714" s="220">
        <f t="shared" si="2174"/>
        <v>141.60000000000002</v>
      </c>
      <c r="AX714" s="216">
        <f t="shared" si="2234"/>
        <v>0</v>
      </c>
      <c r="AY714" s="220">
        <f t="shared" si="2182"/>
        <v>0</v>
      </c>
      <c r="AZ714" s="220">
        <f t="shared" si="2183"/>
        <v>0</v>
      </c>
      <c r="BA714" s="220">
        <f t="shared" si="2184"/>
        <v>0</v>
      </c>
      <c r="BB714" s="220">
        <f t="shared" si="2185"/>
        <v>0</v>
      </c>
      <c r="BC714" s="220">
        <f t="shared" si="2186"/>
        <v>0</v>
      </c>
      <c r="BD714" s="216">
        <f t="shared" si="2197"/>
        <v>0</v>
      </c>
      <c r="BE714" s="220">
        <f t="shared" si="2175"/>
        <v>0</v>
      </c>
      <c r="BF714" s="220">
        <f t="shared" si="2176"/>
        <v>0</v>
      </c>
      <c r="BG714" s="220">
        <f t="shared" si="2177"/>
        <v>0</v>
      </c>
      <c r="BH714" s="220">
        <f t="shared" si="2178"/>
        <v>0</v>
      </c>
      <c r="BI714" s="220">
        <f t="shared" si="2179"/>
        <v>0</v>
      </c>
      <c r="BJ714" s="88" t="s">
        <v>1961</v>
      </c>
      <c r="BK714" s="220"/>
      <c r="BL714" s="223">
        <f t="shared" si="2210"/>
        <v>141.60000000000002</v>
      </c>
      <c r="BM714" s="220">
        <v>3.99</v>
      </c>
      <c r="BN714" s="220"/>
      <c r="BO714" s="220">
        <f t="shared" si="2309"/>
        <v>3.99</v>
      </c>
      <c r="BP714" s="220">
        <f>IF(AND(BL714&gt;0,BL714&lt;tiet!$D$1),BL714,IF(BL714&lt;=0,0,IF(BL714&gt;tiet!$C$1,tiet!$C$1)))</f>
        <v>141.60000000000002</v>
      </c>
      <c r="BQ714" s="87">
        <f t="shared" si="2335"/>
        <v>55000</v>
      </c>
      <c r="BR714" s="224">
        <f t="shared" si="2336"/>
        <v>7788000</v>
      </c>
      <c r="BS714" s="220">
        <f t="shared" si="2134"/>
        <v>0</v>
      </c>
      <c r="BT714" s="224">
        <f>VLOOKUP(N714,ma_dinhmuc!$A$1:$J$31,10,0)</f>
        <v>51000</v>
      </c>
      <c r="BU714" s="224">
        <f>ROUND(IF(BS714&gt;0,VLOOKUP(N714,ma_dinhmuc!$A$1:$J$31,10,0)*BS714,0),0)</f>
        <v>0</v>
      </c>
      <c r="BV714" s="224">
        <f t="shared" si="2337"/>
        <v>7788000</v>
      </c>
      <c r="BW714" s="224"/>
      <c r="BX714" s="224">
        <v>0</v>
      </c>
      <c r="BY714" s="224"/>
      <c r="BZ714" s="224"/>
      <c r="CA714" s="224"/>
      <c r="CB714" s="224"/>
      <c r="CC714" s="225">
        <f t="shared" si="2338"/>
        <v>7788000</v>
      </c>
      <c r="CD714" s="224">
        <f t="shared" si="2339"/>
        <v>0</v>
      </c>
      <c r="CE714" s="224"/>
      <c r="CF714" s="226"/>
      <c r="CG714" s="87"/>
      <c r="CH714" s="87">
        <f t="shared" si="2348"/>
        <v>6</v>
      </c>
      <c r="CI714" s="227" t="str">
        <f t="shared" si="2340"/>
        <v>Lê Thị Kim</v>
      </c>
      <c r="CJ714" s="227" t="str">
        <f t="shared" si="2341"/>
        <v>Lan</v>
      </c>
      <c r="CK714" s="87">
        <f t="shared" si="2342"/>
        <v>20</v>
      </c>
      <c r="CL714" s="227" t="str">
        <f t="shared" si="2343"/>
        <v>GDTC</v>
      </c>
      <c r="CM714" s="87" t="str">
        <f t="shared" si="2180"/>
        <v>TT2</v>
      </c>
      <c r="CN714" s="87">
        <f t="shared" si="2347"/>
        <v>270</v>
      </c>
      <c r="CO714" s="87">
        <f t="shared" si="2347"/>
        <v>80</v>
      </c>
      <c r="CP714" s="229">
        <f t="shared" si="2142"/>
        <v>0</v>
      </c>
      <c r="CQ714" s="229">
        <f t="shared" si="2143"/>
        <v>60.7</v>
      </c>
      <c r="CR714" s="229">
        <f t="shared" si="2144"/>
        <v>24.3</v>
      </c>
      <c r="CS714" s="229">
        <f t="shared" si="2145"/>
        <v>0</v>
      </c>
      <c r="CT714" s="229">
        <f t="shared" si="2146"/>
        <v>0</v>
      </c>
      <c r="CU714" s="229">
        <f t="shared" si="2147"/>
        <v>366.1</v>
      </c>
      <c r="CV714" s="229">
        <f t="shared" si="2148"/>
        <v>0</v>
      </c>
      <c r="CW714" s="229">
        <f t="shared" si="2149"/>
        <v>0</v>
      </c>
      <c r="CX714" s="229">
        <f t="shared" si="2150"/>
        <v>0</v>
      </c>
      <c r="CY714" s="229">
        <f t="shared" si="2151"/>
        <v>0</v>
      </c>
      <c r="CZ714" s="229">
        <f t="shared" si="2152"/>
        <v>0</v>
      </c>
      <c r="DA714" s="229">
        <f t="shared" si="2153"/>
        <v>0</v>
      </c>
      <c r="DB714" s="228">
        <f t="shared" si="2235"/>
        <v>451.1</v>
      </c>
      <c r="DC714" s="229"/>
      <c r="DD714" s="229"/>
      <c r="DE714" s="229"/>
      <c r="DF714" s="229"/>
      <c r="DG714" s="229"/>
      <c r="DH714" s="229"/>
      <c r="DI714" s="229"/>
      <c r="DJ714" s="229"/>
      <c r="DK714" s="229"/>
      <c r="DL714" s="229"/>
      <c r="DM714" s="229"/>
      <c r="DN714" s="229"/>
      <c r="DO714" s="228">
        <f t="shared" si="2247"/>
        <v>0</v>
      </c>
      <c r="DP714" s="228">
        <f t="shared" si="2248"/>
        <v>451.1</v>
      </c>
      <c r="DQ714" s="229">
        <f t="shared" si="2154"/>
        <v>0</v>
      </c>
      <c r="DR714" s="229">
        <f t="shared" si="2155"/>
        <v>0</v>
      </c>
      <c r="DS714" s="229">
        <f t="shared" si="2156"/>
        <v>0</v>
      </c>
      <c r="DT714" s="229">
        <f t="shared" si="2157"/>
        <v>0</v>
      </c>
      <c r="DU714" s="229">
        <f t="shared" si="2158"/>
        <v>0</v>
      </c>
      <c r="DV714" s="229">
        <f t="shared" si="2159"/>
        <v>0</v>
      </c>
      <c r="DW714" s="229">
        <f t="shared" si="2160"/>
        <v>0</v>
      </c>
      <c r="DX714" s="228">
        <f t="shared" si="2236"/>
        <v>0</v>
      </c>
      <c r="DY714" s="229"/>
      <c r="DZ714" s="229"/>
      <c r="EA714" s="229"/>
      <c r="EB714" s="229"/>
      <c r="EC714" s="229"/>
      <c r="ED714" s="229"/>
      <c r="EE714" s="229"/>
      <c r="EF714" s="228">
        <f t="shared" si="2138"/>
        <v>0</v>
      </c>
      <c r="EG714" s="228">
        <f t="shared" si="2249"/>
        <v>0</v>
      </c>
      <c r="EH714" s="229">
        <f t="shared" si="2139"/>
        <v>0</v>
      </c>
      <c r="EI714" s="229">
        <v>0</v>
      </c>
      <c r="EJ714" s="228">
        <f t="shared" si="2344"/>
        <v>0</v>
      </c>
      <c r="EK714" s="229"/>
      <c r="EL714" s="229"/>
      <c r="EM714" s="228">
        <f t="shared" si="2345"/>
        <v>0</v>
      </c>
      <c r="EN714" s="229">
        <f t="shared" si="2220"/>
        <v>0</v>
      </c>
      <c r="EO714" s="229">
        <f t="shared" si="2321"/>
        <v>0</v>
      </c>
      <c r="EP714" s="228">
        <f t="shared" si="2346"/>
        <v>0</v>
      </c>
      <c r="EQ714" s="173">
        <f t="shared" si="2135"/>
        <v>0</v>
      </c>
      <c r="ER714" s="189">
        <v>0</v>
      </c>
      <c r="ES714" s="189">
        <v>60.7</v>
      </c>
      <c r="ET714" s="189">
        <v>24.3</v>
      </c>
      <c r="EU714" s="189">
        <v>0</v>
      </c>
      <c r="EV714" s="189">
        <v>0</v>
      </c>
      <c r="EW714" s="189">
        <v>366.1</v>
      </c>
      <c r="EX714" s="189">
        <v>0</v>
      </c>
      <c r="EY714" s="189">
        <v>0</v>
      </c>
      <c r="EZ714" s="189">
        <v>0</v>
      </c>
      <c r="FA714" s="189">
        <v>0</v>
      </c>
      <c r="FB714" s="189">
        <v>0</v>
      </c>
      <c r="FC714" s="189">
        <v>0</v>
      </c>
      <c r="FD714" s="189">
        <v>0</v>
      </c>
      <c r="FE714" s="189">
        <v>0</v>
      </c>
      <c r="FF714" s="189">
        <v>0</v>
      </c>
      <c r="FG714" s="189">
        <v>0</v>
      </c>
      <c r="FH714" s="189">
        <v>0</v>
      </c>
      <c r="FI714" s="189">
        <v>0</v>
      </c>
      <c r="FJ714" s="189">
        <v>0</v>
      </c>
      <c r="FK714" s="189">
        <v>451.1</v>
      </c>
      <c r="FL714" s="189">
        <v>320</v>
      </c>
      <c r="FN714" s="132">
        <v>0</v>
      </c>
    </row>
    <row r="715" spans="1:170" ht="30" customHeight="1">
      <c r="A715" s="88">
        <f>COUNTIF($H$12:H715,H715)</f>
        <v>7</v>
      </c>
      <c r="B715" s="88" t="s">
        <v>1474</v>
      </c>
      <c r="C715" s="88" t="s">
        <v>305</v>
      </c>
      <c r="D715" s="88"/>
      <c r="E715" s="88"/>
      <c r="F715" s="301" t="s">
        <v>1882</v>
      </c>
      <c r="G715" s="89" t="s">
        <v>2901</v>
      </c>
      <c r="H715" s="88">
        <v>20</v>
      </c>
      <c r="I715" s="88">
        <v>20</v>
      </c>
      <c r="J715" s="88">
        <v>20</v>
      </c>
      <c r="K715" s="91" t="s">
        <v>2440</v>
      </c>
      <c r="L715" s="91" t="s">
        <v>2440</v>
      </c>
      <c r="M715" s="214"/>
      <c r="N715" s="88" t="s">
        <v>2219</v>
      </c>
      <c r="O715" s="216">
        <f t="shared" si="2306"/>
        <v>4.32</v>
      </c>
      <c r="P715" s="88" t="str">
        <f t="shared" si="2322"/>
        <v>B2_4</v>
      </c>
      <c r="Q715" s="88">
        <f t="shared" si="2323"/>
        <v>270</v>
      </c>
      <c r="R715" s="88">
        <f t="shared" si="2324"/>
        <v>80</v>
      </c>
      <c r="S715" s="218"/>
      <c r="T715" s="88" t="s">
        <v>3088</v>
      </c>
      <c r="U715" s="88">
        <f>IF(RIGHT(T715,1)="K",(VLOOKUP(T715,ma_miengiam!$A$3:$B$80,2,0)*100)/2,VLOOKUP(T715,ma_miengiam!$A$3:$B$80,2,0)*100)</f>
        <v>0</v>
      </c>
      <c r="V715" s="88"/>
      <c r="W715" s="220">
        <f>IF(AND(T715="NTS",V715&gt;0),(Q715-(Q715*V715)/12)*VLOOKUP(T715,ma_miengiam!$A$3:$B$80,2,0)+(Q715-(Q715*(12-V715))/12),IF(AND(RIGHT(T715,1)="K",V715&gt;0),(VLOOKUP(T715,ma_miengiam!$A$3:$B$80,2,0)/2)*(Q715*V715)/12,IF(RIGHT(T715,1)="K",(VLOOKUP(T715,ma_miengiam!$A$3:$B$80,2,0)*Q715)/2,IF(V715&gt;0,VLOOKUP(T715,ma_miengiam!$A$3:$B$80,2,0)*Q715*V715/12,VLOOKUP(T715,ma_miengiam!$A$3:$B$80,2,0)*Q715))))</f>
        <v>0</v>
      </c>
      <c r="X715" s="220">
        <f>IF(T715="NTS",VLOOKUP(T715,ma_miengiam!$A$3:$B$80,2,0)*R715*V715,IF(AND(T715="NTS",V715=0),0,IF(AND(LEFT(T715,1)="K",V715=0),VLOOKUP(T715,ma_miengiam!$A$3:$B$80,2,0)*R715,IF(LEFT(T715,1)="K",(VLOOKUP(T715,ma_miengiam!$A$3:$B$80,2,0)*R715/12)*V715,IF(AND(LEFT(T715,1)="S",V715&gt;0),(R715/12)*V715,IF(AND(LEFT(T715,1)="S",V715=0),R715,IF(T715="DH",VLOOKUP(T715,ma_miengiam!$A$3:$B$80,2,0)*R715,0)))))))</f>
        <v>0</v>
      </c>
      <c r="Y715" s="220">
        <f t="shared" si="2349"/>
        <v>270</v>
      </c>
      <c r="Z715" s="220">
        <f t="shared" si="2258"/>
        <v>80</v>
      </c>
      <c r="AA715" s="220">
        <f t="shared" si="2325"/>
        <v>270</v>
      </c>
      <c r="AB715" s="220">
        <f t="shared" si="2326"/>
        <v>80</v>
      </c>
      <c r="AC715" s="220">
        <f t="shared" si="2327"/>
        <v>0</v>
      </c>
      <c r="AD715" s="220">
        <f t="shared" si="2328"/>
        <v>0</v>
      </c>
      <c r="AE715" s="220">
        <f t="shared" si="2329"/>
        <v>270</v>
      </c>
      <c r="AF715" s="220">
        <f t="shared" si="2330"/>
        <v>80</v>
      </c>
      <c r="AG715" s="220">
        <f t="shared" si="2331"/>
        <v>49.16</v>
      </c>
      <c r="AH715" s="220">
        <f t="shared" si="2332"/>
        <v>49.16</v>
      </c>
      <c r="AI715" s="220">
        <f t="shared" si="2333"/>
        <v>0</v>
      </c>
      <c r="AJ715" s="220">
        <f t="shared" si="2334"/>
        <v>-30.840000000000003</v>
      </c>
      <c r="AK715" s="216">
        <f t="shared" si="2254"/>
        <v>300.84000000000003</v>
      </c>
      <c r="AL715" s="220">
        <f t="shared" si="2238"/>
        <v>617.1</v>
      </c>
      <c r="AM715" s="220">
        <f t="shared" si="2239"/>
        <v>0</v>
      </c>
      <c r="AN715" s="221">
        <f t="shared" si="2240"/>
        <v>617.1</v>
      </c>
      <c r="AO715" s="220">
        <f t="shared" si="2241"/>
        <v>0</v>
      </c>
      <c r="AP715" s="220">
        <f t="shared" si="2242"/>
        <v>0</v>
      </c>
      <c r="AQ715" s="220">
        <f t="shared" si="2243"/>
        <v>0</v>
      </c>
      <c r="AR715" s="220">
        <f t="shared" si="2244"/>
        <v>0</v>
      </c>
      <c r="AS715" s="220">
        <f t="shared" si="2245"/>
        <v>0</v>
      </c>
      <c r="AT715" s="216">
        <f t="shared" si="2246"/>
        <v>617.1</v>
      </c>
      <c r="AU715" s="222">
        <f t="shared" si="2320"/>
        <v>316.26</v>
      </c>
      <c r="AV715" s="220"/>
      <c r="AW715" s="220">
        <f t="shared" ref="AW715:AW725" si="2350">IF(AU715&gt;0,AU715,AV715+AU715)</f>
        <v>316.26</v>
      </c>
      <c r="AX715" s="216">
        <f t="shared" si="2234"/>
        <v>0</v>
      </c>
      <c r="AY715" s="220">
        <f t="shared" si="2182"/>
        <v>0</v>
      </c>
      <c r="AZ715" s="220">
        <f t="shared" si="2183"/>
        <v>0</v>
      </c>
      <c r="BA715" s="220">
        <f t="shared" si="2184"/>
        <v>0</v>
      </c>
      <c r="BB715" s="220">
        <f t="shared" si="2185"/>
        <v>0</v>
      </c>
      <c r="BC715" s="220">
        <f t="shared" si="2186"/>
        <v>0</v>
      </c>
      <c r="BD715" s="216">
        <f t="shared" si="2197"/>
        <v>0</v>
      </c>
      <c r="BE715" s="220">
        <f t="shared" ref="BE715:BE740" si="2351">AY715-AO715</f>
        <v>0</v>
      </c>
      <c r="BF715" s="220">
        <f t="shared" ref="BF715:BF740" si="2352">AZ715-AP715</f>
        <v>0</v>
      </c>
      <c r="BG715" s="220">
        <f t="shared" ref="BG715:BG740" si="2353">BA715-AQ715</f>
        <v>0</v>
      </c>
      <c r="BH715" s="220">
        <f t="shared" ref="BH715:BH740" si="2354">BB715-AR715</f>
        <v>0</v>
      </c>
      <c r="BI715" s="220">
        <f t="shared" ref="BI715:BI740" si="2355">BC715-AS715</f>
        <v>0</v>
      </c>
      <c r="BJ715" s="88" t="s">
        <v>1961</v>
      </c>
      <c r="BK715" s="220"/>
      <c r="BL715" s="223">
        <f t="shared" si="2210"/>
        <v>316.26</v>
      </c>
      <c r="BM715" s="220">
        <v>4.32</v>
      </c>
      <c r="BN715" s="220"/>
      <c r="BO715" s="220">
        <f t="shared" si="2309"/>
        <v>4.32</v>
      </c>
      <c r="BP715" s="220">
        <f>IF(AND(BL715&gt;0,BL715&lt;tiet!$D$1),BL715,IF(BL715&lt;=0,0,IF(BL715&gt;tiet!$C$1,tiet!$C$1)))</f>
        <v>200</v>
      </c>
      <c r="BQ715" s="87">
        <f t="shared" si="2335"/>
        <v>55000</v>
      </c>
      <c r="BR715" s="224">
        <f t="shared" si="2336"/>
        <v>11000000</v>
      </c>
      <c r="BS715" s="220">
        <f t="shared" ref="BS715:BS740" si="2356">BL715-BP715</f>
        <v>116.25999999999999</v>
      </c>
      <c r="BT715" s="224">
        <f>VLOOKUP(N715,ma_dinhmuc!$A$1:$J$31,10,0)</f>
        <v>51000</v>
      </c>
      <c r="BU715" s="224">
        <f>ROUND(IF(BS715&gt;0,VLOOKUP(N715,ma_dinhmuc!$A$1:$J$31,10,0)*BS715,0),0)</f>
        <v>5929260</v>
      </c>
      <c r="BV715" s="224">
        <f t="shared" si="2337"/>
        <v>16929260</v>
      </c>
      <c r="BW715" s="224"/>
      <c r="BX715" s="224">
        <v>0</v>
      </c>
      <c r="BY715" s="224"/>
      <c r="BZ715" s="224"/>
      <c r="CA715" s="224"/>
      <c r="CB715" s="224"/>
      <c r="CC715" s="225">
        <f t="shared" si="2338"/>
        <v>16929260</v>
      </c>
      <c r="CD715" s="224">
        <f t="shared" si="2339"/>
        <v>0</v>
      </c>
      <c r="CE715" s="224"/>
      <c r="CF715" s="226"/>
      <c r="CG715" s="87"/>
      <c r="CH715" s="87">
        <f t="shared" si="2348"/>
        <v>7</v>
      </c>
      <c r="CI715" s="227" t="str">
        <f t="shared" si="2340"/>
        <v>Cao Hùng</v>
      </c>
      <c r="CJ715" s="227" t="str">
        <f t="shared" si="2341"/>
        <v>Dũng</v>
      </c>
      <c r="CK715" s="87">
        <f t="shared" si="2342"/>
        <v>20</v>
      </c>
      <c r="CL715" s="227" t="str">
        <f t="shared" si="2343"/>
        <v>GDTC</v>
      </c>
      <c r="CM715" s="87" t="str">
        <f t="shared" ref="CM715:CM740" si="2357">N715</f>
        <v>TT2</v>
      </c>
      <c r="CN715" s="87">
        <f t="shared" si="2347"/>
        <v>270</v>
      </c>
      <c r="CO715" s="87">
        <f t="shared" si="2347"/>
        <v>80</v>
      </c>
      <c r="CP715" s="229">
        <f t="shared" si="2142"/>
        <v>0</v>
      </c>
      <c r="CQ715" s="229">
        <f t="shared" si="2143"/>
        <v>81.2</v>
      </c>
      <c r="CR715" s="229">
        <f t="shared" si="2144"/>
        <v>32.5</v>
      </c>
      <c r="CS715" s="229">
        <f t="shared" si="2145"/>
        <v>0</v>
      </c>
      <c r="CT715" s="229">
        <f t="shared" si="2146"/>
        <v>0</v>
      </c>
      <c r="CU715" s="229">
        <f t="shared" si="2147"/>
        <v>503.4</v>
      </c>
      <c r="CV715" s="229">
        <f t="shared" si="2148"/>
        <v>0</v>
      </c>
      <c r="CW715" s="229">
        <f t="shared" si="2149"/>
        <v>0</v>
      </c>
      <c r="CX715" s="229">
        <f t="shared" si="2150"/>
        <v>0</v>
      </c>
      <c r="CY715" s="229">
        <f t="shared" si="2151"/>
        <v>0</v>
      </c>
      <c r="CZ715" s="229">
        <f t="shared" si="2152"/>
        <v>0</v>
      </c>
      <c r="DA715" s="229">
        <f t="shared" si="2153"/>
        <v>0</v>
      </c>
      <c r="DB715" s="228">
        <f t="shared" si="2235"/>
        <v>617.1</v>
      </c>
      <c r="DC715" s="229"/>
      <c r="DD715" s="229"/>
      <c r="DE715" s="229"/>
      <c r="DF715" s="229"/>
      <c r="DG715" s="229"/>
      <c r="DH715" s="229"/>
      <c r="DI715" s="229"/>
      <c r="DJ715" s="229"/>
      <c r="DK715" s="229"/>
      <c r="DL715" s="229"/>
      <c r="DM715" s="229"/>
      <c r="DN715" s="229"/>
      <c r="DO715" s="228">
        <f t="shared" si="2247"/>
        <v>0</v>
      </c>
      <c r="DP715" s="228">
        <f t="shared" si="2248"/>
        <v>617.1</v>
      </c>
      <c r="DQ715" s="229">
        <f t="shared" si="2154"/>
        <v>0</v>
      </c>
      <c r="DR715" s="229">
        <f t="shared" si="2155"/>
        <v>0</v>
      </c>
      <c r="DS715" s="229">
        <f t="shared" si="2156"/>
        <v>0</v>
      </c>
      <c r="DT715" s="229">
        <f t="shared" si="2157"/>
        <v>0</v>
      </c>
      <c r="DU715" s="229">
        <f t="shared" si="2158"/>
        <v>0</v>
      </c>
      <c r="DV715" s="229">
        <f t="shared" si="2159"/>
        <v>0</v>
      </c>
      <c r="DW715" s="229">
        <f t="shared" si="2160"/>
        <v>0</v>
      </c>
      <c r="DX715" s="228">
        <f t="shared" si="2236"/>
        <v>0</v>
      </c>
      <c r="DY715" s="229"/>
      <c r="DZ715" s="229"/>
      <c r="EA715" s="229"/>
      <c r="EB715" s="229"/>
      <c r="EC715" s="229"/>
      <c r="ED715" s="229"/>
      <c r="EE715" s="229"/>
      <c r="EF715" s="228">
        <f t="shared" si="2138"/>
        <v>0</v>
      </c>
      <c r="EG715" s="228">
        <f t="shared" si="2249"/>
        <v>0</v>
      </c>
      <c r="EH715" s="229">
        <f t="shared" si="2139"/>
        <v>0</v>
      </c>
      <c r="EI715" s="229">
        <v>49.16</v>
      </c>
      <c r="EJ715" s="228">
        <f t="shared" si="2344"/>
        <v>49.16</v>
      </c>
      <c r="EK715" s="229"/>
      <c r="EL715" s="229"/>
      <c r="EM715" s="228">
        <f t="shared" si="2345"/>
        <v>0</v>
      </c>
      <c r="EN715" s="229">
        <f t="shared" si="2220"/>
        <v>0</v>
      </c>
      <c r="EO715" s="229">
        <f t="shared" si="2321"/>
        <v>49.16</v>
      </c>
      <c r="EP715" s="228">
        <f t="shared" si="2346"/>
        <v>49.16</v>
      </c>
      <c r="EQ715" s="173">
        <f t="shared" ref="EQ715:EQ740" si="2358">IF(EN715&gt;Z715,EN715-Z715,0)</f>
        <v>0</v>
      </c>
      <c r="ER715" s="189">
        <v>0</v>
      </c>
      <c r="ES715" s="189">
        <v>81.2</v>
      </c>
      <c r="ET715" s="189">
        <v>32.5</v>
      </c>
      <c r="EU715" s="189">
        <v>0</v>
      </c>
      <c r="EV715" s="189">
        <v>0</v>
      </c>
      <c r="EW715" s="189">
        <v>503.4</v>
      </c>
      <c r="EX715" s="189">
        <v>0</v>
      </c>
      <c r="EY715" s="189">
        <v>0</v>
      </c>
      <c r="EZ715" s="189">
        <v>0</v>
      </c>
      <c r="FA715" s="189">
        <v>0</v>
      </c>
      <c r="FB715" s="189">
        <v>0</v>
      </c>
      <c r="FC715" s="189">
        <v>0</v>
      </c>
      <c r="FD715" s="189">
        <v>0</v>
      </c>
      <c r="FE715" s="189">
        <v>0</v>
      </c>
      <c r="FF715" s="189">
        <v>0</v>
      </c>
      <c r="FG715" s="189">
        <v>0</v>
      </c>
      <c r="FH715" s="189">
        <v>0</v>
      </c>
      <c r="FI715" s="189">
        <v>0</v>
      </c>
      <c r="FJ715" s="189">
        <v>0</v>
      </c>
      <c r="FK715" s="189">
        <v>617.1</v>
      </c>
      <c r="FL715" s="189">
        <v>448</v>
      </c>
      <c r="FN715" s="132">
        <v>0</v>
      </c>
    </row>
    <row r="716" spans="1:170" ht="30" customHeight="1">
      <c r="A716" s="88">
        <f>COUNTIF($H$12:H716,H716)</f>
        <v>8</v>
      </c>
      <c r="B716" s="88" t="s">
        <v>1475</v>
      </c>
      <c r="C716" s="88" t="s">
        <v>306</v>
      </c>
      <c r="D716" s="88"/>
      <c r="E716" s="88"/>
      <c r="F716" s="301" t="s">
        <v>2856</v>
      </c>
      <c r="G716" s="89" t="s">
        <v>1883</v>
      </c>
      <c r="H716" s="88">
        <v>20</v>
      </c>
      <c r="I716" s="88">
        <v>20</v>
      </c>
      <c r="J716" s="88">
        <v>20</v>
      </c>
      <c r="K716" s="91" t="s">
        <v>2440</v>
      </c>
      <c r="L716" s="91" t="s">
        <v>2440</v>
      </c>
      <c r="M716" s="214"/>
      <c r="N716" s="88" t="s">
        <v>2220</v>
      </c>
      <c r="O716" s="216">
        <f t="shared" si="2306"/>
        <v>5.42</v>
      </c>
      <c r="P716" s="88" t="str">
        <f t="shared" si="2322"/>
        <v>B2_6</v>
      </c>
      <c r="Q716" s="88">
        <f t="shared" si="2323"/>
        <v>270</v>
      </c>
      <c r="R716" s="88">
        <f t="shared" si="2324"/>
        <v>120</v>
      </c>
      <c r="S716" s="218" t="s">
        <v>2264</v>
      </c>
      <c r="T716" s="88" t="s">
        <v>1753</v>
      </c>
      <c r="U716" s="88">
        <f>IF(RIGHT(T716,1)="K",(VLOOKUP(T716,ma_miengiam!$A$3:$B$80,2,0)*100)/2,VLOOKUP(T716,ma_miengiam!$A$3:$B$80,2,0)*100)</f>
        <v>70</v>
      </c>
      <c r="V716" s="88"/>
      <c r="W716" s="220">
        <f>IF(AND(T716="NTS",V716&gt;0),(Q716-(Q716*V716)/12)*VLOOKUP(T716,ma_miengiam!$A$3:$B$80,2,0)+(Q716-(Q716*(12-V716))/12),IF(AND(RIGHT(T716,1)="K",V716&gt;0),(VLOOKUP(T716,ma_miengiam!$A$3:$B$80,2,0)/2)*(Q716*V716)/12,IF(RIGHT(T716,1)="K",(VLOOKUP(T716,ma_miengiam!$A$3:$B$80,2,0)*Q716)/2,IF(V716&gt;0,VLOOKUP(T716,ma_miengiam!$A$3:$B$80,2,0)*Q716*V716/12,VLOOKUP(T716,ma_miengiam!$A$3:$B$80,2,0)*Q716))))</f>
        <v>189</v>
      </c>
      <c r="X716" s="220">
        <f>IF(T716="NTS",VLOOKUP(T716,ma_miengiam!$A$3:$B$80,2,0)*R716*V716,IF(AND(T716="NTS",V716=0),0,IF(AND(LEFT(T716,1)="K",V716=0),VLOOKUP(T716,ma_miengiam!$A$3:$B$80,2,0)*R716,IF(LEFT(T716,1)="K",(VLOOKUP(T716,ma_miengiam!$A$3:$B$80,2,0)*R716/12)*V716,IF(AND(LEFT(T716,1)="S",V716&gt;0),(R716/12)*V716,IF(AND(LEFT(T716,1)="S",V716=0),R716,IF(T716="DH",VLOOKUP(T716,ma_miengiam!$A$3:$B$80,2,0)*R716,0)))))))</f>
        <v>84</v>
      </c>
      <c r="Y716" s="220">
        <f t="shared" si="2349"/>
        <v>81</v>
      </c>
      <c r="Z716" s="220">
        <f t="shared" si="2258"/>
        <v>36</v>
      </c>
      <c r="AA716" s="220">
        <f>Q716</f>
        <v>270</v>
      </c>
      <c r="AB716" s="220">
        <f>R716</f>
        <v>120</v>
      </c>
      <c r="AC716" s="220">
        <f>W716</f>
        <v>189</v>
      </c>
      <c r="AD716" s="220">
        <f>X716</f>
        <v>84</v>
      </c>
      <c r="AE716" s="220">
        <f>Y716</f>
        <v>81</v>
      </c>
      <c r="AF716" s="220">
        <f>Z716</f>
        <v>36</v>
      </c>
      <c r="AG716" s="220">
        <f t="shared" ref="AG716:AG721" si="2359">AH716+AI716</f>
        <v>7.5</v>
      </c>
      <c r="AH716" s="220">
        <f t="shared" ref="AH716:AH721" si="2360">EO716</f>
        <v>7.5</v>
      </c>
      <c r="AI716" s="220">
        <f t="shared" ref="AI716:AI721" si="2361">EN716</f>
        <v>0</v>
      </c>
      <c r="AJ716" s="220">
        <f t="shared" si="2334"/>
        <v>-28.5</v>
      </c>
      <c r="AK716" s="216">
        <f t="shared" si="2254"/>
        <v>109.5</v>
      </c>
      <c r="AL716" s="220">
        <f t="shared" si="2238"/>
        <v>423.1</v>
      </c>
      <c r="AM716" s="220">
        <f t="shared" si="2239"/>
        <v>0</v>
      </c>
      <c r="AN716" s="221">
        <f t="shared" si="2240"/>
        <v>423.1</v>
      </c>
      <c r="AO716" s="220">
        <f t="shared" si="2241"/>
        <v>0</v>
      </c>
      <c r="AP716" s="220">
        <f t="shared" si="2242"/>
        <v>0</v>
      </c>
      <c r="AQ716" s="220">
        <f t="shared" si="2243"/>
        <v>0</v>
      </c>
      <c r="AR716" s="220">
        <f t="shared" si="2244"/>
        <v>0</v>
      </c>
      <c r="AS716" s="220">
        <f t="shared" si="2245"/>
        <v>0</v>
      </c>
      <c r="AT716" s="216">
        <f t="shared" si="2246"/>
        <v>423.1</v>
      </c>
      <c r="AU716" s="222">
        <f t="shared" si="2320"/>
        <v>313.60000000000002</v>
      </c>
      <c r="AV716" s="220"/>
      <c r="AW716" s="220">
        <f t="shared" si="2350"/>
        <v>313.60000000000002</v>
      </c>
      <c r="AX716" s="216">
        <f t="shared" si="2234"/>
        <v>0</v>
      </c>
      <c r="AY716" s="220">
        <f t="shared" ref="AY716:AY740" si="2362">IF(AN716&gt;=AK716,AO716,IF(AN716+AO716-AK716&gt;=0,AN716+AO716-AK716,0))</f>
        <v>0</v>
      </c>
      <c r="AZ716" s="220">
        <f t="shared" ref="AZ716:AZ740" si="2363">IF(OR(AN716&gt;=AK716,AN716+AO716&gt;=AK716),AP716,IF(AN716+AO716+AP716&gt;AK716,AN716+AO716+AP716-AK716,0))</f>
        <v>0</v>
      </c>
      <c r="BA716" s="220">
        <f t="shared" ref="BA716:BA740" si="2364">IF(OR(AN716&gt;=AK716,AN716+AO716&gt;=AK716,AN716+AO716+AP716&gt;=AK716),AQ716,IF(AN716+AO716+AP716+AQ716&gt;=AK716,AN716+AO716+AP716+AQ716-AK716,0))</f>
        <v>0</v>
      </c>
      <c r="BB716" s="220">
        <f t="shared" ref="BB716:BB740" si="2365">IF(OR(AN716&gt;=AK716,AN716+AO716&gt;=AK716,AN716+AO716+AP716&gt;=AK716,AN716+AO716+AP716+AQ716&gt;=AK716),AR716,IF(AN716+AO716+AP716+AQ716+AR716&gt;=AK716,AN716+AO716+AP716+AQ716+AR716-AK716,0))</f>
        <v>0</v>
      </c>
      <c r="BC716" s="220">
        <f t="shared" ref="BC716:BC740" si="2366">IF(OR(AN716&gt;=AK716,AN716+AO716&gt;=AK716,AN716+AO716+AP716&gt;=AK716,AN716+AO716+AP716+AQ716&gt;=AK716,AN716+AO716+AP716+AQ716+AR716&gt;=AK716),AS716,IF(AN716+AO716+AP716+AQ716+AR716+AS716&gt;=AK716,AN716+AO716+AP716+AQ716+AR716+AS716-AK716,0))</f>
        <v>0</v>
      </c>
      <c r="BD716" s="216">
        <f t="shared" si="2197"/>
        <v>0</v>
      </c>
      <c r="BE716" s="220">
        <f t="shared" si="2351"/>
        <v>0</v>
      </c>
      <c r="BF716" s="220">
        <f t="shared" si="2352"/>
        <v>0</v>
      </c>
      <c r="BG716" s="220">
        <f t="shared" si="2353"/>
        <v>0</v>
      </c>
      <c r="BH716" s="220">
        <f t="shared" si="2354"/>
        <v>0</v>
      </c>
      <c r="BI716" s="220">
        <f t="shared" si="2355"/>
        <v>0</v>
      </c>
      <c r="BJ716" s="88" t="s">
        <v>1961</v>
      </c>
      <c r="BK716" s="220"/>
      <c r="BL716" s="223">
        <f t="shared" si="2210"/>
        <v>313.60000000000002</v>
      </c>
      <c r="BM716" s="220">
        <v>5.42</v>
      </c>
      <c r="BN716" s="220"/>
      <c r="BO716" s="220">
        <f t="shared" ref="BO716:BO723" si="2367">ROUND(BM716+(BM716*BN716),2)</f>
        <v>5.42</v>
      </c>
      <c r="BP716" s="220">
        <f>IF(AND(BL716&gt;0,BL716&lt;tiet!$D$1),BL716,IF(BL716&lt;=0,0,IF(BL716&gt;tiet!$C$1,tiet!$C$1)))</f>
        <v>200</v>
      </c>
      <c r="BQ716" s="87">
        <f t="shared" si="2335"/>
        <v>65000</v>
      </c>
      <c r="BR716" s="224">
        <f t="shared" si="2336"/>
        <v>13000000</v>
      </c>
      <c r="BS716" s="220">
        <f t="shared" si="2356"/>
        <v>113.60000000000002</v>
      </c>
      <c r="BT716" s="224">
        <f>VLOOKUP(N716,ma_dinhmuc!$A$1:$J$31,10,0)</f>
        <v>55000</v>
      </c>
      <c r="BU716" s="224">
        <f>ROUND(IF(BS716&gt;0,VLOOKUP(N716,ma_dinhmuc!$A$1:$J$31,10,0)*BS716,0),0)</f>
        <v>6248000</v>
      </c>
      <c r="BV716" s="224">
        <f t="shared" si="2337"/>
        <v>19248000</v>
      </c>
      <c r="BW716" s="224"/>
      <c r="BX716" s="224">
        <v>0</v>
      </c>
      <c r="BY716" s="224"/>
      <c r="BZ716" s="224"/>
      <c r="CA716" s="224"/>
      <c r="CB716" s="224"/>
      <c r="CC716" s="225">
        <f t="shared" si="2338"/>
        <v>19248000</v>
      </c>
      <c r="CD716" s="224">
        <f t="shared" si="2339"/>
        <v>0</v>
      </c>
      <c r="CE716" s="224"/>
      <c r="CF716" s="226"/>
      <c r="CG716" s="87"/>
      <c r="CH716" s="87">
        <f t="shared" si="2348"/>
        <v>8</v>
      </c>
      <c r="CI716" s="227" t="str">
        <f t="shared" ref="CI716:CJ719" si="2368">F716</f>
        <v>Nguyễn Xuân</v>
      </c>
      <c r="CJ716" s="227" t="str">
        <f t="shared" si="2368"/>
        <v>Cừ</v>
      </c>
      <c r="CK716" s="87">
        <f t="shared" ref="CK716:CK721" si="2369">H716</f>
        <v>20</v>
      </c>
      <c r="CL716" s="227" t="str">
        <f t="shared" ref="CL716:CL721" si="2370">L716</f>
        <v>GDTC</v>
      </c>
      <c r="CM716" s="87" t="str">
        <f t="shared" si="2357"/>
        <v>TT3</v>
      </c>
      <c r="CN716" s="87">
        <f>Q716</f>
        <v>270</v>
      </c>
      <c r="CO716" s="87">
        <f>R716</f>
        <v>120</v>
      </c>
      <c r="CP716" s="229">
        <f t="shared" si="2142"/>
        <v>0</v>
      </c>
      <c r="CQ716" s="229">
        <f t="shared" si="2143"/>
        <v>50.3</v>
      </c>
      <c r="CR716" s="229">
        <f t="shared" si="2144"/>
        <v>20.2</v>
      </c>
      <c r="CS716" s="229">
        <f t="shared" si="2145"/>
        <v>0</v>
      </c>
      <c r="CT716" s="229">
        <f t="shared" si="2146"/>
        <v>0</v>
      </c>
      <c r="CU716" s="229">
        <f t="shared" si="2147"/>
        <v>352.6</v>
      </c>
      <c r="CV716" s="229">
        <f t="shared" si="2148"/>
        <v>0</v>
      </c>
      <c r="CW716" s="229">
        <f t="shared" si="2149"/>
        <v>0</v>
      </c>
      <c r="CX716" s="229">
        <f t="shared" si="2150"/>
        <v>0</v>
      </c>
      <c r="CY716" s="229">
        <f t="shared" si="2151"/>
        <v>0</v>
      </c>
      <c r="CZ716" s="229">
        <f t="shared" si="2152"/>
        <v>0</v>
      </c>
      <c r="DA716" s="229">
        <f t="shared" si="2153"/>
        <v>0</v>
      </c>
      <c r="DB716" s="228">
        <f t="shared" si="2235"/>
        <v>423.1</v>
      </c>
      <c r="DC716" s="229"/>
      <c r="DD716" s="229"/>
      <c r="DE716" s="229"/>
      <c r="DF716" s="229"/>
      <c r="DG716" s="229"/>
      <c r="DH716" s="229"/>
      <c r="DI716" s="229"/>
      <c r="DJ716" s="229"/>
      <c r="DK716" s="229"/>
      <c r="DL716" s="229"/>
      <c r="DM716" s="229"/>
      <c r="DN716" s="229"/>
      <c r="DO716" s="228">
        <f t="shared" si="2247"/>
        <v>0</v>
      </c>
      <c r="DP716" s="228">
        <f t="shared" si="2248"/>
        <v>423.1</v>
      </c>
      <c r="DQ716" s="229">
        <f t="shared" si="2154"/>
        <v>0</v>
      </c>
      <c r="DR716" s="229">
        <f t="shared" si="2155"/>
        <v>0</v>
      </c>
      <c r="DS716" s="229">
        <f t="shared" si="2156"/>
        <v>0</v>
      </c>
      <c r="DT716" s="229">
        <f t="shared" si="2157"/>
        <v>0</v>
      </c>
      <c r="DU716" s="229">
        <f t="shared" si="2158"/>
        <v>0</v>
      </c>
      <c r="DV716" s="229">
        <f t="shared" si="2159"/>
        <v>0</v>
      </c>
      <c r="DW716" s="229">
        <f t="shared" si="2160"/>
        <v>0</v>
      </c>
      <c r="DX716" s="228">
        <f t="shared" si="2236"/>
        <v>0</v>
      </c>
      <c r="DY716" s="229"/>
      <c r="DZ716" s="229"/>
      <c r="EA716" s="229"/>
      <c r="EB716" s="229"/>
      <c r="EC716" s="229"/>
      <c r="ED716" s="229"/>
      <c r="EE716" s="229"/>
      <c r="EF716" s="228">
        <f t="shared" ref="EF716:EF779" si="2371">SUM(DY716:EE716)</f>
        <v>0</v>
      </c>
      <c r="EG716" s="228">
        <f t="shared" si="2249"/>
        <v>0</v>
      </c>
      <c r="EH716" s="229">
        <f t="shared" ref="EH716:EH739" si="2372">FN716</f>
        <v>0</v>
      </c>
      <c r="EI716" s="229">
        <v>7.5</v>
      </c>
      <c r="EJ716" s="228">
        <f t="shared" si="2344"/>
        <v>7.5</v>
      </c>
      <c r="EK716" s="229"/>
      <c r="EL716" s="229"/>
      <c r="EM716" s="228">
        <f t="shared" si="2345"/>
        <v>0</v>
      </c>
      <c r="EN716" s="229">
        <f t="shared" si="2220"/>
        <v>0</v>
      </c>
      <c r="EO716" s="229">
        <f t="shared" si="2321"/>
        <v>7.5</v>
      </c>
      <c r="EP716" s="228">
        <f t="shared" si="2346"/>
        <v>7.5</v>
      </c>
      <c r="EQ716" s="173">
        <f t="shared" si="2358"/>
        <v>0</v>
      </c>
      <c r="ER716" s="189">
        <v>0</v>
      </c>
      <c r="ES716" s="189">
        <v>50.3</v>
      </c>
      <c r="ET716" s="189">
        <v>20.2</v>
      </c>
      <c r="EU716" s="189">
        <v>0</v>
      </c>
      <c r="EV716" s="189">
        <v>0</v>
      </c>
      <c r="EW716" s="189">
        <v>352.6</v>
      </c>
      <c r="EX716" s="189">
        <v>0</v>
      </c>
      <c r="EY716" s="189">
        <v>0</v>
      </c>
      <c r="EZ716" s="189">
        <v>0</v>
      </c>
      <c r="FA716" s="189">
        <v>0</v>
      </c>
      <c r="FB716" s="189">
        <v>0</v>
      </c>
      <c r="FC716" s="189">
        <v>0</v>
      </c>
      <c r="FD716" s="189">
        <v>0</v>
      </c>
      <c r="FE716" s="189">
        <v>0</v>
      </c>
      <c r="FF716" s="189">
        <v>0</v>
      </c>
      <c r="FG716" s="189">
        <v>0</v>
      </c>
      <c r="FH716" s="189">
        <v>0</v>
      </c>
      <c r="FI716" s="189">
        <v>0</v>
      </c>
      <c r="FJ716" s="189">
        <v>0</v>
      </c>
      <c r="FK716" s="189">
        <v>423.1</v>
      </c>
      <c r="FL716" s="189">
        <v>320</v>
      </c>
      <c r="FN716" s="132">
        <v>0</v>
      </c>
    </row>
    <row r="717" spans="1:170" ht="30.75" customHeight="1">
      <c r="A717" s="88">
        <f>COUNTIF($H$12:H717,H717)</f>
        <v>9</v>
      </c>
      <c r="B717" s="88" t="s">
        <v>1476</v>
      </c>
      <c r="C717" s="88" t="s">
        <v>307</v>
      </c>
      <c r="D717" s="88"/>
      <c r="E717" s="88"/>
      <c r="F717" s="301" t="s">
        <v>2401</v>
      </c>
      <c r="G717" s="89" t="s">
        <v>2785</v>
      </c>
      <c r="H717" s="88">
        <v>20</v>
      </c>
      <c r="I717" s="88">
        <v>20</v>
      </c>
      <c r="J717" s="88">
        <v>20</v>
      </c>
      <c r="K717" s="91" t="s">
        <v>2440</v>
      </c>
      <c r="L717" s="91" t="s">
        <v>2440</v>
      </c>
      <c r="M717" s="214"/>
      <c r="N717" s="88" t="s">
        <v>2220</v>
      </c>
      <c r="O717" s="216">
        <f t="shared" si="2306"/>
        <v>6.1</v>
      </c>
      <c r="P717" s="88" t="str">
        <f t="shared" si="2322"/>
        <v>B2_6</v>
      </c>
      <c r="Q717" s="88">
        <f t="shared" si="2323"/>
        <v>270</v>
      </c>
      <c r="R717" s="88">
        <f t="shared" si="2324"/>
        <v>120</v>
      </c>
      <c r="S717" s="218" t="s">
        <v>373</v>
      </c>
      <c r="T717" s="88" t="s">
        <v>1754</v>
      </c>
      <c r="U717" s="88">
        <f>IF(RIGHT(T717,1)="K",(VLOOKUP(T717,ma_miengiam!$A$3:$B$80,2,0)*100)/2,VLOOKUP(T717,ma_miengiam!$A$3:$B$80,2,0)*100)</f>
        <v>75</v>
      </c>
      <c r="V717" s="88"/>
      <c r="W717" s="220">
        <f>IF(AND(T717="NTS",V717&gt;0),(Q717-(Q717*V717)/12)*VLOOKUP(T717,ma_miengiam!$A$3:$B$80,2,0)+(Q717-(Q717*(12-V717))/12),IF(AND(RIGHT(T717,1)="K",V717&gt;0),(VLOOKUP(T717,ma_miengiam!$A$3:$B$80,2,0)/2)*(Q717*V717)/12,IF(RIGHT(T717,1)="K",(VLOOKUP(T717,ma_miengiam!$A$3:$B$80,2,0)*Q717)/2,IF(V717&gt;0,VLOOKUP(T717,ma_miengiam!$A$3:$B$80,2,0)*Q717*V717/12,VLOOKUP(T717,ma_miengiam!$A$3:$B$80,2,0)*Q717))))</f>
        <v>202.5</v>
      </c>
      <c r="X717" s="220">
        <f>IF(T717="NTS",VLOOKUP(T717,ma_miengiam!$A$3:$B$80,2,0)*R717*V717,IF(AND(T717="NTS",V717=0),0,IF(AND(LEFT(T717,1)="K",V717=0),VLOOKUP(T717,ma_miengiam!$A$3:$B$80,2,0)*R717,IF(LEFT(T717,1)="K",(VLOOKUP(T717,ma_miengiam!$A$3:$B$80,2,0)*R717/12)*V717,IF(AND(LEFT(T717,1)="S",V717&gt;0),(R717/12)*V717,IF(AND(LEFT(T717,1)="S",V717=0),R717,IF(T717="DH",VLOOKUP(T717,ma_miengiam!$A$3:$B$80,2,0)*R717,0)))))))</f>
        <v>90</v>
      </c>
      <c r="Y717" s="220">
        <f t="shared" si="2349"/>
        <v>67.5</v>
      </c>
      <c r="Z717" s="220">
        <f t="shared" si="2258"/>
        <v>30</v>
      </c>
      <c r="AA717" s="220">
        <f t="shared" ref="AA717:AB720" si="2373">Q717</f>
        <v>270</v>
      </c>
      <c r="AB717" s="220">
        <f t="shared" si="2373"/>
        <v>120</v>
      </c>
      <c r="AC717" s="220">
        <f t="shared" ref="AC717:AF720" si="2374">W717</f>
        <v>202.5</v>
      </c>
      <c r="AD717" s="220">
        <f t="shared" si="2374"/>
        <v>90</v>
      </c>
      <c r="AE717" s="220">
        <f t="shared" si="2374"/>
        <v>67.5</v>
      </c>
      <c r="AF717" s="220">
        <f t="shared" si="2374"/>
        <v>30</v>
      </c>
      <c r="AG717" s="220">
        <f t="shared" si="2359"/>
        <v>0</v>
      </c>
      <c r="AH717" s="220">
        <f t="shared" si="2360"/>
        <v>0</v>
      </c>
      <c r="AI717" s="220">
        <f t="shared" si="2361"/>
        <v>0</v>
      </c>
      <c r="AJ717" s="220">
        <f t="shared" si="2334"/>
        <v>-30</v>
      </c>
      <c r="AK717" s="216">
        <f t="shared" si="2254"/>
        <v>97.5</v>
      </c>
      <c r="AL717" s="220">
        <f t="shared" si="2238"/>
        <v>516.79999999999995</v>
      </c>
      <c r="AM717" s="220">
        <f t="shared" si="2239"/>
        <v>0</v>
      </c>
      <c r="AN717" s="221">
        <f t="shared" si="2240"/>
        <v>516.79999999999995</v>
      </c>
      <c r="AO717" s="220">
        <f t="shared" si="2241"/>
        <v>0</v>
      </c>
      <c r="AP717" s="220">
        <f t="shared" si="2242"/>
        <v>0</v>
      </c>
      <c r="AQ717" s="220">
        <f t="shared" si="2243"/>
        <v>0</v>
      </c>
      <c r="AR717" s="220">
        <f t="shared" si="2244"/>
        <v>0</v>
      </c>
      <c r="AS717" s="220">
        <f t="shared" si="2245"/>
        <v>0</v>
      </c>
      <c r="AT717" s="216">
        <f t="shared" si="2246"/>
        <v>516.79999999999995</v>
      </c>
      <c r="AU717" s="222">
        <f t="shared" si="2320"/>
        <v>419.29999999999995</v>
      </c>
      <c r="AV717" s="220"/>
      <c r="AW717" s="220">
        <f t="shared" si="2350"/>
        <v>419.29999999999995</v>
      </c>
      <c r="AX717" s="216">
        <f t="shared" si="2234"/>
        <v>0</v>
      </c>
      <c r="AY717" s="220">
        <f t="shared" si="2362"/>
        <v>0</v>
      </c>
      <c r="AZ717" s="220">
        <f t="shared" si="2363"/>
        <v>0</v>
      </c>
      <c r="BA717" s="220">
        <f t="shared" si="2364"/>
        <v>0</v>
      </c>
      <c r="BB717" s="220">
        <f t="shared" si="2365"/>
        <v>0</v>
      </c>
      <c r="BC717" s="220">
        <f t="shared" si="2366"/>
        <v>0</v>
      </c>
      <c r="BD717" s="216">
        <f t="shared" si="2197"/>
        <v>0</v>
      </c>
      <c r="BE717" s="220">
        <f t="shared" si="2351"/>
        <v>0</v>
      </c>
      <c r="BF717" s="220">
        <f t="shared" si="2352"/>
        <v>0</v>
      </c>
      <c r="BG717" s="220">
        <f t="shared" si="2353"/>
        <v>0</v>
      </c>
      <c r="BH717" s="220">
        <f t="shared" si="2354"/>
        <v>0</v>
      </c>
      <c r="BI717" s="220">
        <f t="shared" si="2355"/>
        <v>0</v>
      </c>
      <c r="BJ717" s="88" t="s">
        <v>1961</v>
      </c>
      <c r="BK717" s="220"/>
      <c r="BL717" s="223">
        <f t="shared" si="2210"/>
        <v>419.29999999999995</v>
      </c>
      <c r="BM717" s="220">
        <v>6.1</v>
      </c>
      <c r="BN717" s="220"/>
      <c r="BO717" s="220">
        <f t="shared" si="2367"/>
        <v>6.1</v>
      </c>
      <c r="BP717" s="220">
        <f>IF(AND(BL717&gt;0,BL717&lt;tiet!$D$1),BL717,IF(BL717&lt;=0,0,IF(BL717&gt;tiet!$C$1,tiet!$C$1)))</f>
        <v>200</v>
      </c>
      <c r="BQ717" s="87">
        <f t="shared" si="2335"/>
        <v>65000</v>
      </c>
      <c r="BR717" s="224">
        <f t="shared" si="2336"/>
        <v>13000000</v>
      </c>
      <c r="BS717" s="220">
        <f t="shared" si="2356"/>
        <v>219.29999999999995</v>
      </c>
      <c r="BT717" s="224">
        <f>VLOOKUP(N717,ma_dinhmuc!$A$1:$J$31,10,0)</f>
        <v>55000</v>
      </c>
      <c r="BU717" s="224">
        <f>ROUND(IF(BS717&gt;0,VLOOKUP(N717,ma_dinhmuc!$A$1:$J$31,10,0)*BS717,0),0)</f>
        <v>12061500</v>
      </c>
      <c r="BV717" s="224">
        <f t="shared" si="2337"/>
        <v>25061500</v>
      </c>
      <c r="BW717" s="224"/>
      <c r="BX717" s="224">
        <v>0</v>
      </c>
      <c r="BY717" s="224"/>
      <c r="BZ717" s="224"/>
      <c r="CA717" s="224"/>
      <c r="CB717" s="224"/>
      <c r="CC717" s="225">
        <f t="shared" si="2338"/>
        <v>25061500</v>
      </c>
      <c r="CD717" s="224">
        <f t="shared" si="2339"/>
        <v>0</v>
      </c>
      <c r="CE717" s="224"/>
      <c r="CF717" s="226"/>
      <c r="CG717" s="87"/>
      <c r="CH717" s="87">
        <f t="shared" si="2348"/>
        <v>9</v>
      </c>
      <c r="CI717" s="227" t="str">
        <f t="shared" si="2368"/>
        <v>Nguyễn Đăng</v>
      </c>
      <c r="CJ717" s="227" t="str">
        <f t="shared" si="2368"/>
        <v>Thiện</v>
      </c>
      <c r="CK717" s="87">
        <f t="shared" si="2369"/>
        <v>20</v>
      </c>
      <c r="CL717" s="227" t="str">
        <f t="shared" si="2370"/>
        <v>GDTC</v>
      </c>
      <c r="CM717" s="87" t="str">
        <f t="shared" si="2357"/>
        <v>TT3</v>
      </c>
      <c r="CN717" s="87">
        <f t="shared" ref="CN717:CO719" si="2375">Q717</f>
        <v>270</v>
      </c>
      <c r="CO717" s="87">
        <f t="shared" si="2375"/>
        <v>120</v>
      </c>
      <c r="CP717" s="229">
        <f t="shared" ref="CP717:CP740" si="2376">ER717</f>
        <v>0</v>
      </c>
      <c r="CQ717" s="229">
        <f t="shared" ref="CQ717:CQ740" si="2377">ES717</f>
        <v>68.400000000000006</v>
      </c>
      <c r="CR717" s="229">
        <f t="shared" ref="CR717:CR740" si="2378">ET717</f>
        <v>27.5</v>
      </c>
      <c r="CS717" s="229">
        <f t="shared" ref="CS717:CS740" si="2379">EU717</f>
        <v>0</v>
      </c>
      <c r="CT717" s="229">
        <f t="shared" ref="CT717:CT740" si="2380">EV717</f>
        <v>0</v>
      </c>
      <c r="CU717" s="229">
        <f t="shared" ref="CU717:CU740" si="2381">EW717</f>
        <v>420.9</v>
      </c>
      <c r="CV717" s="229">
        <f t="shared" ref="CV717:CV740" si="2382">EX717</f>
        <v>0</v>
      </c>
      <c r="CW717" s="229">
        <f t="shared" ref="CW717:CW740" si="2383">EY717</f>
        <v>0</v>
      </c>
      <c r="CX717" s="229">
        <f t="shared" ref="CX717:CX740" si="2384">EZ717</f>
        <v>0</v>
      </c>
      <c r="CY717" s="229">
        <f t="shared" ref="CY717:CY740" si="2385">FA717</f>
        <v>0</v>
      </c>
      <c r="CZ717" s="229">
        <f t="shared" ref="CZ717:CZ740" si="2386">FB717</f>
        <v>0</v>
      </c>
      <c r="DA717" s="229">
        <f t="shared" ref="DA717:DA740" si="2387">FC717</f>
        <v>0</v>
      </c>
      <c r="DB717" s="228">
        <f t="shared" si="2235"/>
        <v>516.79999999999995</v>
      </c>
      <c r="DC717" s="229"/>
      <c r="DD717" s="229"/>
      <c r="DE717" s="229"/>
      <c r="DF717" s="229"/>
      <c r="DG717" s="229"/>
      <c r="DH717" s="229"/>
      <c r="DI717" s="229"/>
      <c r="DJ717" s="229"/>
      <c r="DK717" s="229"/>
      <c r="DL717" s="229"/>
      <c r="DM717" s="229"/>
      <c r="DN717" s="229"/>
      <c r="DO717" s="228">
        <f t="shared" si="2247"/>
        <v>0</v>
      </c>
      <c r="DP717" s="228">
        <f t="shared" si="2248"/>
        <v>516.79999999999995</v>
      </c>
      <c r="DQ717" s="229">
        <f t="shared" ref="DQ717:DQ740" si="2388">FD717</f>
        <v>0</v>
      </c>
      <c r="DR717" s="229">
        <f t="shared" ref="DR717:DR740" si="2389">FE717</f>
        <v>0</v>
      </c>
      <c r="DS717" s="229">
        <f t="shared" ref="DS717:DS740" si="2390">FF717</f>
        <v>0</v>
      </c>
      <c r="DT717" s="229">
        <f t="shared" ref="DT717:DT740" si="2391">FG717</f>
        <v>0</v>
      </c>
      <c r="DU717" s="229">
        <f t="shared" ref="DU717:DU740" si="2392">FI717</f>
        <v>0</v>
      </c>
      <c r="DV717" s="229">
        <f t="shared" ref="DV717:DV740" si="2393">FH717</f>
        <v>0</v>
      </c>
      <c r="DW717" s="229">
        <f t="shared" ref="DW717:DW740" si="2394">FJ717</f>
        <v>0</v>
      </c>
      <c r="DX717" s="228">
        <f t="shared" si="2236"/>
        <v>0</v>
      </c>
      <c r="DY717" s="229"/>
      <c r="DZ717" s="229"/>
      <c r="EA717" s="229"/>
      <c r="EB717" s="229"/>
      <c r="EC717" s="229"/>
      <c r="ED717" s="229"/>
      <c r="EE717" s="229"/>
      <c r="EF717" s="228">
        <f t="shared" si="2371"/>
        <v>0</v>
      </c>
      <c r="EG717" s="228">
        <f t="shared" si="2249"/>
        <v>0</v>
      </c>
      <c r="EH717" s="229">
        <f t="shared" si="2372"/>
        <v>0</v>
      </c>
      <c r="EI717" s="229">
        <v>0</v>
      </c>
      <c r="EJ717" s="228">
        <f t="shared" si="2344"/>
        <v>0</v>
      </c>
      <c r="EK717" s="229"/>
      <c r="EL717" s="229"/>
      <c r="EM717" s="228">
        <f t="shared" si="2345"/>
        <v>0</v>
      </c>
      <c r="EN717" s="229">
        <f t="shared" si="2220"/>
        <v>0</v>
      </c>
      <c r="EO717" s="229">
        <f t="shared" si="2321"/>
        <v>0</v>
      </c>
      <c r="EP717" s="228">
        <f t="shared" si="2346"/>
        <v>0</v>
      </c>
      <c r="EQ717" s="173">
        <f t="shared" si="2358"/>
        <v>0</v>
      </c>
      <c r="ER717" s="189">
        <v>0</v>
      </c>
      <c r="ES717" s="189">
        <v>68.400000000000006</v>
      </c>
      <c r="ET717" s="189">
        <v>27.5</v>
      </c>
      <c r="EU717" s="189">
        <v>0</v>
      </c>
      <c r="EV717" s="189">
        <v>0</v>
      </c>
      <c r="EW717" s="189">
        <v>420.9</v>
      </c>
      <c r="EX717" s="189">
        <v>0</v>
      </c>
      <c r="EY717" s="189">
        <v>0</v>
      </c>
      <c r="EZ717" s="189">
        <v>0</v>
      </c>
      <c r="FA717" s="189">
        <v>0</v>
      </c>
      <c r="FB717" s="189">
        <v>0</v>
      </c>
      <c r="FC717" s="189">
        <v>0</v>
      </c>
      <c r="FD717" s="189">
        <v>0</v>
      </c>
      <c r="FE717" s="189">
        <v>0</v>
      </c>
      <c r="FF717" s="189">
        <v>0</v>
      </c>
      <c r="FG717" s="189">
        <v>0</v>
      </c>
      <c r="FH717" s="189">
        <v>0</v>
      </c>
      <c r="FI717" s="189">
        <v>0</v>
      </c>
      <c r="FJ717" s="189">
        <v>0</v>
      </c>
      <c r="FK717" s="189">
        <v>516.79999999999995</v>
      </c>
      <c r="FL717" s="189">
        <v>384</v>
      </c>
      <c r="FN717" s="132">
        <v>0</v>
      </c>
    </row>
    <row r="718" spans="1:170" ht="30" customHeight="1">
      <c r="A718" s="88">
        <f>COUNTIF($H$12:H718,H718)</f>
        <v>10</v>
      </c>
      <c r="B718" s="88" t="s">
        <v>1477</v>
      </c>
      <c r="C718" s="88" t="s">
        <v>1912</v>
      </c>
      <c r="D718" s="88"/>
      <c r="E718" s="88"/>
      <c r="F718" s="301" t="s">
        <v>169</v>
      </c>
      <c r="G718" s="303" t="s">
        <v>1114</v>
      </c>
      <c r="H718" s="88">
        <v>20</v>
      </c>
      <c r="I718" s="88">
        <v>20</v>
      </c>
      <c r="J718" s="88">
        <v>20</v>
      </c>
      <c r="K718" s="91" t="s">
        <v>2440</v>
      </c>
      <c r="L718" s="91" t="s">
        <v>2440</v>
      </c>
      <c r="M718" s="214"/>
      <c r="N718" s="88" t="s">
        <v>2219</v>
      </c>
      <c r="O718" s="216">
        <f t="shared" si="2306"/>
        <v>3.33</v>
      </c>
      <c r="P718" s="88" t="str">
        <f t="shared" si="2322"/>
        <v>B2_4</v>
      </c>
      <c r="Q718" s="88">
        <f t="shared" si="2323"/>
        <v>270</v>
      </c>
      <c r="R718" s="88">
        <f t="shared" si="2324"/>
        <v>80</v>
      </c>
      <c r="S718" s="218" t="s">
        <v>425</v>
      </c>
      <c r="T718" s="214" t="s">
        <v>3088</v>
      </c>
      <c r="U718" s="88">
        <f>IF(RIGHT(T718,1)="K",(VLOOKUP(T718,ma_miengiam!$A$3:$B$80,2,0)*100)/2,VLOOKUP(T718,ma_miengiam!$A$3:$B$80,2,0)*100)</f>
        <v>0</v>
      </c>
      <c r="V718" s="88"/>
      <c r="W718" s="220">
        <f>IF(AND(T718="NTS",V718&gt;0),(Q718-(Q718*V718)/12)*VLOOKUP(T718,ma_miengiam!$A$3:$B$80,2,0)+(Q718-(Q718*(12-V718))/12),IF(AND(RIGHT(T718,1)="K",V718&gt;0),(VLOOKUP(T718,ma_miengiam!$A$3:$B$80,2,0)/2)*(Q718*V718)/12,IF(RIGHT(T718,1)="K",(VLOOKUP(T718,ma_miengiam!$A$3:$B$80,2,0)*Q718)/2,IF(V718&gt;0,VLOOKUP(T718,ma_miengiam!$A$3:$B$80,2,0)*Q718*V718/12,VLOOKUP(T718,ma_miengiam!$A$3:$B$80,2,0)*Q718))))</f>
        <v>0</v>
      </c>
      <c r="X718" s="220">
        <f>IF(T718="NTS",VLOOKUP(T718,ma_miengiam!$A$3:$B$80,2,0)*R718*V718,IF(AND(T718="NTS",V718=0),0,IF(AND(LEFT(T718,1)="K",V718=0),VLOOKUP(T718,ma_miengiam!$A$3:$B$80,2,0)*R718,IF(LEFT(T718,1)="K",(VLOOKUP(T718,ma_miengiam!$A$3:$B$80,2,0)*R718/12)*V718,IF(AND(LEFT(T718,1)="S",V718&gt;0),(R718/12)*V718,IF(AND(LEFT(T718,1)="S",V718=0),R718,IF(T718="DH",VLOOKUP(T718,ma_miengiam!$A$3:$B$80,2,0)*R718,0)))))))</f>
        <v>0</v>
      </c>
      <c r="Y718" s="220">
        <f t="shared" si="2349"/>
        <v>270</v>
      </c>
      <c r="Z718" s="220">
        <f t="shared" si="2258"/>
        <v>80</v>
      </c>
      <c r="AA718" s="220">
        <f>Q718</f>
        <v>270</v>
      </c>
      <c r="AB718" s="220">
        <f>R718</f>
        <v>80</v>
      </c>
      <c r="AC718" s="220">
        <f>W718</f>
        <v>0</v>
      </c>
      <c r="AD718" s="220">
        <f>X718</f>
        <v>0</v>
      </c>
      <c r="AE718" s="220">
        <f>Y718</f>
        <v>270</v>
      </c>
      <c r="AF718" s="220">
        <f>Z718</f>
        <v>80</v>
      </c>
      <c r="AG718" s="220">
        <f>AH718+AI718</f>
        <v>0</v>
      </c>
      <c r="AH718" s="220">
        <f>EO718</f>
        <v>0</v>
      </c>
      <c r="AI718" s="220">
        <f>EN718</f>
        <v>0</v>
      </c>
      <c r="AJ718" s="220">
        <f t="shared" si="2334"/>
        <v>-80</v>
      </c>
      <c r="AK718" s="216">
        <f t="shared" si="2254"/>
        <v>350</v>
      </c>
      <c r="AL718" s="220">
        <f t="shared" si="2238"/>
        <v>645.1</v>
      </c>
      <c r="AM718" s="220">
        <f t="shared" si="2239"/>
        <v>0</v>
      </c>
      <c r="AN718" s="216">
        <f t="shared" si="2240"/>
        <v>645.1</v>
      </c>
      <c r="AO718" s="220">
        <f t="shared" si="2241"/>
        <v>0</v>
      </c>
      <c r="AP718" s="220">
        <f t="shared" si="2242"/>
        <v>0</v>
      </c>
      <c r="AQ718" s="220">
        <f t="shared" si="2243"/>
        <v>0</v>
      </c>
      <c r="AR718" s="220">
        <f t="shared" si="2244"/>
        <v>0</v>
      </c>
      <c r="AS718" s="220">
        <f t="shared" si="2245"/>
        <v>0</v>
      </c>
      <c r="AT718" s="216">
        <f t="shared" si="2246"/>
        <v>645.1</v>
      </c>
      <c r="AU718" s="220">
        <f t="shared" si="2320"/>
        <v>295.10000000000002</v>
      </c>
      <c r="AV718" s="220"/>
      <c r="AW718" s="220">
        <f t="shared" si="2350"/>
        <v>295.10000000000002</v>
      </c>
      <c r="AX718" s="216">
        <f t="shared" si="2234"/>
        <v>0</v>
      </c>
      <c r="AY718" s="220">
        <f t="shared" si="2362"/>
        <v>0</v>
      </c>
      <c r="AZ718" s="220">
        <f t="shared" si="2363"/>
        <v>0</v>
      </c>
      <c r="BA718" s="220">
        <f t="shared" si="2364"/>
        <v>0</v>
      </c>
      <c r="BB718" s="220">
        <f t="shared" si="2365"/>
        <v>0</v>
      </c>
      <c r="BC718" s="220">
        <f t="shared" si="2366"/>
        <v>0</v>
      </c>
      <c r="BD718" s="216">
        <f t="shared" si="2197"/>
        <v>0</v>
      </c>
      <c r="BE718" s="220">
        <f t="shared" si="2351"/>
        <v>0</v>
      </c>
      <c r="BF718" s="220">
        <f t="shared" si="2352"/>
        <v>0</v>
      </c>
      <c r="BG718" s="220">
        <f t="shared" si="2353"/>
        <v>0</v>
      </c>
      <c r="BH718" s="220">
        <f t="shared" si="2354"/>
        <v>0</v>
      </c>
      <c r="BI718" s="220">
        <f t="shared" si="2355"/>
        <v>0</v>
      </c>
      <c r="BJ718" s="88" t="s">
        <v>1961</v>
      </c>
      <c r="BK718" s="220"/>
      <c r="BL718" s="223">
        <f t="shared" si="2210"/>
        <v>295.10000000000002</v>
      </c>
      <c r="BM718" s="220">
        <v>3.33</v>
      </c>
      <c r="BN718" s="220"/>
      <c r="BO718" s="220">
        <f>ROUND(BM718+(BM718*BN718),2)</f>
        <v>3.33</v>
      </c>
      <c r="BP718" s="220">
        <f>IF(AND(BL718&gt;0,BL718&lt;tiet!$D$1),BL718,IF(BL718&lt;=0,0,IF(BL718&gt;tiet!$C$1,tiet!$C$1)))</f>
        <v>200</v>
      </c>
      <c r="BQ718" s="87">
        <f t="shared" si="2335"/>
        <v>55000</v>
      </c>
      <c r="BR718" s="224">
        <f t="shared" si="2336"/>
        <v>11000000</v>
      </c>
      <c r="BS718" s="220">
        <f t="shared" si="2356"/>
        <v>95.100000000000023</v>
      </c>
      <c r="BT718" s="224">
        <f>VLOOKUP(N718,ma_dinhmuc!$A$1:$J$31,10,0)</f>
        <v>51000</v>
      </c>
      <c r="BU718" s="224">
        <f>ROUND(IF(BS718&gt;0,VLOOKUP(N718,ma_dinhmuc!$A$1:$J$31,10,0)*BS718,0),0)</f>
        <v>4850100</v>
      </c>
      <c r="BV718" s="224">
        <f t="shared" si="2337"/>
        <v>15850100</v>
      </c>
      <c r="BW718" s="224"/>
      <c r="BX718" s="224">
        <v>0</v>
      </c>
      <c r="BY718" s="224"/>
      <c r="BZ718" s="224"/>
      <c r="CA718" s="224"/>
      <c r="CB718" s="224"/>
      <c r="CC718" s="225">
        <f t="shared" si="2338"/>
        <v>15850100</v>
      </c>
      <c r="CD718" s="224">
        <f t="shared" si="2339"/>
        <v>0</v>
      </c>
      <c r="CE718" s="224"/>
      <c r="CF718" s="226"/>
      <c r="CG718" s="87"/>
      <c r="CH718" s="87">
        <f>A718</f>
        <v>10</v>
      </c>
      <c r="CI718" s="227" t="str">
        <f>F718</f>
        <v>Đào Quang</v>
      </c>
      <c r="CJ718" s="227" t="str">
        <f>G718</f>
        <v>Trung</v>
      </c>
      <c r="CK718" s="87">
        <f t="shared" si="2369"/>
        <v>20</v>
      </c>
      <c r="CL718" s="227" t="str">
        <f>L718</f>
        <v>GDTC</v>
      </c>
      <c r="CM718" s="87" t="str">
        <f t="shared" si="2357"/>
        <v>TT2</v>
      </c>
      <c r="CN718" s="87">
        <f>Q718</f>
        <v>270</v>
      </c>
      <c r="CO718" s="87">
        <f>R718</f>
        <v>80</v>
      </c>
      <c r="CP718" s="229">
        <f t="shared" si="2376"/>
        <v>0</v>
      </c>
      <c r="CQ718" s="229">
        <f t="shared" si="2377"/>
        <v>87</v>
      </c>
      <c r="CR718" s="229">
        <f t="shared" si="2378"/>
        <v>35.1</v>
      </c>
      <c r="CS718" s="229">
        <f t="shared" si="2379"/>
        <v>0</v>
      </c>
      <c r="CT718" s="229">
        <f t="shared" si="2380"/>
        <v>0</v>
      </c>
      <c r="CU718" s="229">
        <f t="shared" si="2381"/>
        <v>523</v>
      </c>
      <c r="CV718" s="229">
        <f t="shared" si="2382"/>
        <v>0</v>
      </c>
      <c r="CW718" s="229">
        <f t="shared" si="2383"/>
        <v>0</v>
      </c>
      <c r="CX718" s="229">
        <f t="shared" si="2384"/>
        <v>0</v>
      </c>
      <c r="CY718" s="229">
        <f t="shared" si="2385"/>
        <v>0</v>
      </c>
      <c r="CZ718" s="229">
        <f t="shared" si="2386"/>
        <v>0</v>
      </c>
      <c r="DA718" s="229">
        <f t="shared" si="2387"/>
        <v>0</v>
      </c>
      <c r="DB718" s="228">
        <f t="shared" si="2235"/>
        <v>645.1</v>
      </c>
      <c r="DC718" s="229"/>
      <c r="DD718" s="229"/>
      <c r="DE718" s="229"/>
      <c r="DF718" s="229"/>
      <c r="DG718" s="229"/>
      <c r="DH718" s="229"/>
      <c r="DI718" s="229"/>
      <c r="DJ718" s="229"/>
      <c r="DK718" s="229"/>
      <c r="DL718" s="229"/>
      <c r="DM718" s="229"/>
      <c r="DN718" s="229"/>
      <c r="DO718" s="228">
        <f t="shared" si="2247"/>
        <v>0</v>
      </c>
      <c r="DP718" s="228">
        <f t="shared" si="2248"/>
        <v>645.1</v>
      </c>
      <c r="DQ718" s="229">
        <f t="shared" si="2388"/>
        <v>0</v>
      </c>
      <c r="DR718" s="229">
        <f t="shared" si="2389"/>
        <v>0</v>
      </c>
      <c r="DS718" s="229">
        <f t="shared" si="2390"/>
        <v>0</v>
      </c>
      <c r="DT718" s="229">
        <f t="shared" si="2391"/>
        <v>0</v>
      </c>
      <c r="DU718" s="229">
        <f t="shared" si="2392"/>
        <v>0</v>
      </c>
      <c r="DV718" s="229">
        <f t="shared" si="2393"/>
        <v>0</v>
      </c>
      <c r="DW718" s="229">
        <f t="shared" si="2394"/>
        <v>0</v>
      </c>
      <c r="DX718" s="228">
        <f t="shared" si="2236"/>
        <v>0</v>
      </c>
      <c r="DY718" s="229"/>
      <c r="DZ718" s="229"/>
      <c r="EA718" s="229"/>
      <c r="EB718" s="229"/>
      <c r="EC718" s="229"/>
      <c r="ED718" s="229"/>
      <c r="EE718" s="229"/>
      <c r="EF718" s="228">
        <f t="shared" si="2371"/>
        <v>0</v>
      </c>
      <c r="EG718" s="228">
        <f t="shared" si="2249"/>
        <v>0</v>
      </c>
      <c r="EH718" s="229">
        <f t="shared" si="2372"/>
        <v>0</v>
      </c>
      <c r="EI718" s="229">
        <v>0</v>
      </c>
      <c r="EJ718" s="228">
        <f t="shared" si="2344"/>
        <v>0</v>
      </c>
      <c r="EK718" s="229"/>
      <c r="EL718" s="229"/>
      <c r="EM718" s="228">
        <f>SUM(EK718:EL718)</f>
        <v>0</v>
      </c>
      <c r="EN718" s="229">
        <f t="shared" si="2220"/>
        <v>0</v>
      </c>
      <c r="EO718" s="229">
        <f t="shared" si="2321"/>
        <v>0</v>
      </c>
      <c r="EP718" s="228">
        <f>EM718+EJ718</f>
        <v>0</v>
      </c>
      <c r="EQ718" s="173">
        <f t="shared" si="2358"/>
        <v>0</v>
      </c>
      <c r="ER718" s="189">
        <v>0</v>
      </c>
      <c r="ES718" s="189">
        <v>87</v>
      </c>
      <c r="ET718" s="189">
        <v>35.1</v>
      </c>
      <c r="EU718" s="189">
        <v>0</v>
      </c>
      <c r="EV718" s="189">
        <v>0</v>
      </c>
      <c r="EW718" s="189">
        <v>523</v>
      </c>
      <c r="EX718" s="189">
        <v>0</v>
      </c>
      <c r="EY718" s="189">
        <v>0</v>
      </c>
      <c r="EZ718" s="189">
        <v>0</v>
      </c>
      <c r="FA718" s="189">
        <v>0</v>
      </c>
      <c r="FB718" s="189">
        <v>0</v>
      </c>
      <c r="FC718" s="189">
        <v>0</v>
      </c>
      <c r="FD718" s="189">
        <v>0</v>
      </c>
      <c r="FE718" s="189">
        <v>0</v>
      </c>
      <c r="FF718" s="189">
        <v>0</v>
      </c>
      <c r="FG718" s="189">
        <v>0</v>
      </c>
      <c r="FH718" s="189">
        <v>0</v>
      </c>
      <c r="FI718" s="189">
        <v>0</v>
      </c>
      <c r="FJ718" s="189">
        <v>0</v>
      </c>
      <c r="FK718" s="189">
        <v>645.1</v>
      </c>
      <c r="FL718" s="189">
        <v>480</v>
      </c>
      <c r="FN718" s="132">
        <v>0</v>
      </c>
    </row>
    <row r="719" spans="1:170" ht="27" customHeight="1">
      <c r="A719" s="88">
        <f>COUNTIF($H$12:H719,H719)</f>
        <v>11</v>
      </c>
      <c r="B719" s="88" t="s">
        <v>1478</v>
      </c>
      <c r="C719" s="88" t="s">
        <v>1913</v>
      </c>
      <c r="D719" s="88"/>
      <c r="E719" s="88"/>
      <c r="F719" s="301" t="s">
        <v>1884</v>
      </c>
      <c r="G719" s="303" t="s">
        <v>3085</v>
      </c>
      <c r="H719" s="88">
        <v>20</v>
      </c>
      <c r="I719" s="88">
        <v>20</v>
      </c>
      <c r="J719" s="88">
        <v>20</v>
      </c>
      <c r="K719" s="91" t="s">
        <v>2440</v>
      </c>
      <c r="L719" s="91" t="s">
        <v>2440</v>
      </c>
      <c r="M719" s="214"/>
      <c r="N719" s="88" t="s">
        <v>2219</v>
      </c>
      <c r="O719" s="216">
        <f t="shared" si="2306"/>
        <v>3.33</v>
      </c>
      <c r="P719" s="88" t="str">
        <f t="shared" si="2322"/>
        <v>B2_4</v>
      </c>
      <c r="Q719" s="88">
        <f t="shared" si="2323"/>
        <v>270</v>
      </c>
      <c r="R719" s="88">
        <f t="shared" si="2324"/>
        <v>80</v>
      </c>
      <c r="S719" s="218"/>
      <c r="T719" s="214" t="s">
        <v>3088</v>
      </c>
      <c r="U719" s="88">
        <f>IF(RIGHT(T719,1)="K",(VLOOKUP(T719,ma_miengiam!$A$3:$B$80,2,0)*100)/2,VLOOKUP(T719,ma_miengiam!$A$3:$B$80,2,0)*100)</f>
        <v>0</v>
      </c>
      <c r="V719" s="88"/>
      <c r="W719" s="220">
        <f>IF(AND(T719="NTS",V719&gt;0),(Q719-(Q719*V719)/12)*VLOOKUP(T719,ma_miengiam!$A$3:$B$80,2,0)+(Q719-(Q719*(12-V719))/12),IF(AND(RIGHT(T719,1)="K",V719&gt;0),(VLOOKUP(T719,ma_miengiam!$A$3:$B$80,2,0)/2)*(Q719*V719)/12,IF(RIGHT(T719,1)="K",(VLOOKUP(T719,ma_miengiam!$A$3:$B$80,2,0)*Q719)/2,IF(V719&gt;0,VLOOKUP(T719,ma_miengiam!$A$3:$B$80,2,0)*Q719*V719/12,VLOOKUP(T719,ma_miengiam!$A$3:$B$80,2,0)*Q719))))</f>
        <v>0</v>
      </c>
      <c r="X719" s="220">
        <f>IF(T719="NTS",VLOOKUP(T719,ma_miengiam!$A$3:$B$80,2,0)*R719*V719,IF(AND(T719="NTS",V719=0),0,IF(AND(LEFT(T719,1)="K",V719=0),VLOOKUP(T719,ma_miengiam!$A$3:$B$80,2,0)*R719,IF(LEFT(T719,1)="K",(VLOOKUP(T719,ma_miengiam!$A$3:$B$80,2,0)*R719/12)*V719,IF(AND(LEFT(T719,1)="S",V719&gt;0),(R719/12)*V719,IF(AND(LEFT(T719,1)="S",V719=0),R719,IF(T719="DH",VLOOKUP(T719,ma_miengiam!$A$3:$B$80,2,0)*R719,0)))))))</f>
        <v>0</v>
      </c>
      <c r="Y719" s="220">
        <f t="shared" si="2349"/>
        <v>270</v>
      </c>
      <c r="Z719" s="220">
        <f t="shared" si="2258"/>
        <v>80</v>
      </c>
      <c r="AA719" s="220">
        <f t="shared" si="2373"/>
        <v>270</v>
      </c>
      <c r="AB719" s="220">
        <f t="shared" si="2373"/>
        <v>80</v>
      </c>
      <c r="AC719" s="220">
        <f t="shared" si="2374"/>
        <v>0</v>
      </c>
      <c r="AD719" s="220">
        <f t="shared" si="2374"/>
        <v>0</v>
      </c>
      <c r="AE719" s="220">
        <f t="shared" si="2374"/>
        <v>270</v>
      </c>
      <c r="AF719" s="220">
        <f t="shared" si="2374"/>
        <v>80</v>
      </c>
      <c r="AG719" s="220">
        <f t="shared" si="2359"/>
        <v>33.33</v>
      </c>
      <c r="AH719" s="220">
        <f t="shared" si="2360"/>
        <v>0</v>
      </c>
      <c r="AI719" s="220">
        <f t="shared" si="2361"/>
        <v>33.33</v>
      </c>
      <c r="AJ719" s="220">
        <f t="shared" si="2334"/>
        <v>-46.67</v>
      </c>
      <c r="AK719" s="216">
        <f t="shared" si="2254"/>
        <v>316.67</v>
      </c>
      <c r="AL719" s="220">
        <f t="shared" si="2238"/>
        <v>650.90000000000009</v>
      </c>
      <c r="AM719" s="220">
        <f t="shared" si="2239"/>
        <v>0</v>
      </c>
      <c r="AN719" s="221">
        <f t="shared" si="2240"/>
        <v>650.90000000000009</v>
      </c>
      <c r="AO719" s="220">
        <f t="shared" si="2241"/>
        <v>0</v>
      </c>
      <c r="AP719" s="220">
        <f t="shared" si="2242"/>
        <v>0</v>
      </c>
      <c r="AQ719" s="220">
        <f t="shared" si="2243"/>
        <v>0</v>
      </c>
      <c r="AR719" s="220">
        <f t="shared" si="2244"/>
        <v>0</v>
      </c>
      <c r="AS719" s="220">
        <f t="shared" si="2245"/>
        <v>0</v>
      </c>
      <c r="AT719" s="216">
        <f t="shared" si="2246"/>
        <v>650.90000000000009</v>
      </c>
      <c r="AU719" s="222">
        <f t="shared" si="2320"/>
        <v>334.23000000000008</v>
      </c>
      <c r="AV719" s="220"/>
      <c r="AW719" s="220">
        <f t="shared" si="2350"/>
        <v>334.23000000000008</v>
      </c>
      <c r="AX719" s="216">
        <f t="shared" si="2234"/>
        <v>0</v>
      </c>
      <c r="AY719" s="220">
        <f t="shared" si="2362"/>
        <v>0</v>
      </c>
      <c r="AZ719" s="220">
        <f t="shared" si="2363"/>
        <v>0</v>
      </c>
      <c r="BA719" s="220">
        <f t="shared" si="2364"/>
        <v>0</v>
      </c>
      <c r="BB719" s="220">
        <f t="shared" si="2365"/>
        <v>0</v>
      </c>
      <c r="BC719" s="220">
        <f t="shared" si="2366"/>
        <v>0</v>
      </c>
      <c r="BD719" s="216">
        <f t="shared" si="2197"/>
        <v>0</v>
      </c>
      <c r="BE719" s="220">
        <f t="shared" si="2351"/>
        <v>0</v>
      </c>
      <c r="BF719" s="220">
        <f t="shared" si="2352"/>
        <v>0</v>
      </c>
      <c r="BG719" s="220">
        <f t="shared" si="2353"/>
        <v>0</v>
      </c>
      <c r="BH719" s="220">
        <f t="shared" si="2354"/>
        <v>0</v>
      </c>
      <c r="BI719" s="220">
        <f t="shared" si="2355"/>
        <v>0</v>
      </c>
      <c r="BJ719" s="88" t="s">
        <v>1961</v>
      </c>
      <c r="BK719" s="220"/>
      <c r="BL719" s="223">
        <f t="shared" si="2210"/>
        <v>334.23000000000008</v>
      </c>
      <c r="BM719" s="220">
        <v>3.33</v>
      </c>
      <c r="BN719" s="220"/>
      <c r="BO719" s="220">
        <f t="shared" si="2367"/>
        <v>3.33</v>
      </c>
      <c r="BP719" s="220">
        <f>IF(AND(BL719&gt;0,BL719&lt;tiet!$D$1),BL719,IF(BL719&lt;=0,0,IF(BL719&gt;tiet!$C$1,tiet!$C$1)))</f>
        <v>200</v>
      </c>
      <c r="BQ719" s="87">
        <f t="shared" si="2335"/>
        <v>55000</v>
      </c>
      <c r="BR719" s="224">
        <f t="shared" si="2336"/>
        <v>11000000</v>
      </c>
      <c r="BS719" s="220">
        <f t="shared" si="2356"/>
        <v>134.23000000000008</v>
      </c>
      <c r="BT719" s="224">
        <f>VLOOKUP(N719,ma_dinhmuc!$A$1:$J$31,10,0)</f>
        <v>51000</v>
      </c>
      <c r="BU719" s="224">
        <f>ROUND(IF(BS719&gt;0,VLOOKUP(N719,ma_dinhmuc!$A$1:$J$31,10,0)*BS719,0),0)</f>
        <v>6845730</v>
      </c>
      <c r="BV719" s="224">
        <f t="shared" si="2337"/>
        <v>17845730</v>
      </c>
      <c r="BW719" s="224"/>
      <c r="BX719" s="224">
        <v>0</v>
      </c>
      <c r="BY719" s="224"/>
      <c r="BZ719" s="224"/>
      <c r="CA719" s="224"/>
      <c r="CB719" s="224"/>
      <c r="CC719" s="225">
        <f t="shared" si="2338"/>
        <v>17845730</v>
      </c>
      <c r="CD719" s="224">
        <f t="shared" si="2339"/>
        <v>0</v>
      </c>
      <c r="CE719" s="224"/>
      <c r="CF719" s="226"/>
      <c r="CG719" s="87"/>
      <c r="CH719" s="87">
        <f t="shared" si="2348"/>
        <v>11</v>
      </c>
      <c r="CI719" s="227" t="str">
        <f t="shared" si="2368"/>
        <v>Lương Thanh</v>
      </c>
      <c r="CJ719" s="227" t="str">
        <f t="shared" si="2368"/>
        <v>Hoa</v>
      </c>
      <c r="CK719" s="87">
        <f t="shared" si="2369"/>
        <v>20</v>
      </c>
      <c r="CL719" s="227" t="str">
        <f t="shared" si="2370"/>
        <v>GDTC</v>
      </c>
      <c r="CM719" s="87" t="str">
        <f t="shared" si="2357"/>
        <v>TT2</v>
      </c>
      <c r="CN719" s="87">
        <f t="shared" si="2375"/>
        <v>270</v>
      </c>
      <c r="CO719" s="87">
        <f t="shared" si="2375"/>
        <v>80</v>
      </c>
      <c r="CP719" s="229">
        <f t="shared" si="2376"/>
        <v>0</v>
      </c>
      <c r="CQ719" s="229">
        <f t="shared" si="2377"/>
        <v>87.7</v>
      </c>
      <c r="CR719" s="229">
        <f t="shared" si="2378"/>
        <v>35.1</v>
      </c>
      <c r="CS719" s="229">
        <f t="shared" si="2379"/>
        <v>0</v>
      </c>
      <c r="CT719" s="229">
        <f t="shared" si="2380"/>
        <v>0</v>
      </c>
      <c r="CU719" s="229">
        <f t="shared" si="2381"/>
        <v>528.1</v>
      </c>
      <c r="CV719" s="229">
        <f t="shared" si="2382"/>
        <v>0</v>
      </c>
      <c r="CW719" s="229">
        <f t="shared" si="2383"/>
        <v>0</v>
      </c>
      <c r="CX719" s="229">
        <f t="shared" si="2384"/>
        <v>0</v>
      </c>
      <c r="CY719" s="229">
        <f t="shared" si="2385"/>
        <v>0</v>
      </c>
      <c r="CZ719" s="229">
        <f t="shared" si="2386"/>
        <v>0</v>
      </c>
      <c r="DA719" s="229">
        <f t="shared" si="2387"/>
        <v>0</v>
      </c>
      <c r="DB719" s="228">
        <f t="shared" si="2235"/>
        <v>650.90000000000009</v>
      </c>
      <c r="DC719" s="229"/>
      <c r="DD719" s="229"/>
      <c r="DE719" s="229"/>
      <c r="DF719" s="229"/>
      <c r="DG719" s="229"/>
      <c r="DH719" s="229"/>
      <c r="DI719" s="229"/>
      <c r="DJ719" s="229"/>
      <c r="DK719" s="229"/>
      <c r="DL719" s="229"/>
      <c r="DM719" s="229"/>
      <c r="DN719" s="229"/>
      <c r="DO719" s="228">
        <f t="shared" si="2247"/>
        <v>0</v>
      </c>
      <c r="DP719" s="228">
        <f t="shared" si="2248"/>
        <v>650.90000000000009</v>
      </c>
      <c r="DQ719" s="229">
        <f t="shared" si="2388"/>
        <v>0</v>
      </c>
      <c r="DR719" s="229">
        <f t="shared" si="2389"/>
        <v>0</v>
      </c>
      <c r="DS719" s="229">
        <f t="shared" si="2390"/>
        <v>0</v>
      </c>
      <c r="DT719" s="229">
        <f t="shared" si="2391"/>
        <v>0</v>
      </c>
      <c r="DU719" s="229">
        <f t="shared" si="2392"/>
        <v>0</v>
      </c>
      <c r="DV719" s="229">
        <f t="shared" si="2393"/>
        <v>0</v>
      </c>
      <c r="DW719" s="229">
        <f t="shared" si="2394"/>
        <v>0</v>
      </c>
      <c r="DX719" s="228">
        <f t="shared" si="2236"/>
        <v>0</v>
      </c>
      <c r="DY719" s="229"/>
      <c r="DZ719" s="229"/>
      <c r="EA719" s="229"/>
      <c r="EB719" s="229"/>
      <c r="EC719" s="229"/>
      <c r="ED719" s="229"/>
      <c r="EE719" s="229"/>
      <c r="EF719" s="228">
        <f t="shared" si="2371"/>
        <v>0</v>
      </c>
      <c r="EG719" s="228">
        <f t="shared" si="2249"/>
        <v>0</v>
      </c>
      <c r="EH719" s="229">
        <f t="shared" si="2372"/>
        <v>33.33</v>
      </c>
      <c r="EI719" s="229">
        <v>0</v>
      </c>
      <c r="EJ719" s="228">
        <f t="shared" si="2344"/>
        <v>33.33</v>
      </c>
      <c r="EK719" s="229"/>
      <c r="EL719" s="229"/>
      <c r="EM719" s="228">
        <f t="shared" si="2345"/>
        <v>0</v>
      </c>
      <c r="EN719" s="229">
        <f t="shared" si="2220"/>
        <v>33.33</v>
      </c>
      <c r="EO719" s="229">
        <f t="shared" si="2321"/>
        <v>0</v>
      </c>
      <c r="EP719" s="228">
        <f t="shared" si="2346"/>
        <v>33.33</v>
      </c>
      <c r="EQ719" s="173">
        <f t="shared" si="2358"/>
        <v>0</v>
      </c>
      <c r="ER719" s="189">
        <v>0</v>
      </c>
      <c r="ES719" s="189">
        <v>87.7</v>
      </c>
      <c r="ET719" s="189">
        <v>35.1</v>
      </c>
      <c r="EU719" s="189">
        <v>0</v>
      </c>
      <c r="EV719" s="189">
        <v>0</v>
      </c>
      <c r="EW719" s="189">
        <v>528.1</v>
      </c>
      <c r="EX719" s="189">
        <v>0</v>
      </c>
      <c r="EY719" s="189">
        <v>0</v>
      </c>
      <c r="EZ719" s="189">
        <v>0</v>
      </c>
      <c r="FA719" s="189">
        <v>0</v>
      </c>
      <c r="FB719" s="189">
        <v>0</v>
      </c>
      <c r="FC719" s="189">
        <v>0</v>
      </c>
      <c r="FD719" s="189">
        <v>0</v>
      </c>
      <c r="FE719" s="189">
        <v>0</v>
      </c>
      <c r="FF719" s="189">
        <v>0</v>
      </c>
      <c r="FG719" s="189">
        <v>0</v>
      </c>
      <c r="FH719" s="189">
        <v>0</v>
      </c>
      <c r="FI719" s="189">
        <v>0</v>
      </c>
      <c r="FJ719" s="189">
        <v>0</v>
      </c>
      <c r="FK719" s="189">
        <v>650.9</v>
      </c>
      <c r="FL719" s="189">
        <v>480</v>
      </c>
      <c r="FN719" s="132">
        <v>33.33</v>
      </c>
    </row>
    <row r="720" spans="1:170" ht="30" customHeight="1">
      <c r="A720" s="88">
        <f>COUNTIF($H$12:H720,H720)</f>
        <v>12</v>
      </c>
      <c r="B720" s="88" t="s">
        <v>1479</v>
      </c>
      <c r="C720" s="88" t="s">
        <v>1914</v>
      </c>
      <c r="D720" s="88"/>
      <c r="E720" s="88"/>
      <c r="F720" s="301" t="s">
        <v>31</v>
      </c>
      <c r="G720" s="89" t="s">
        <v>1885</v>
      </c>
      <c r="H720" s="88">
        <v>20</v>
      </c>
      <c r="I720" s="88">
        <v>20</v>
      </c>
      <c r="J720" s="88">
        <v>20</v>
      </c>
      <c r="K720" s="91" t="s">
        <v>2440</v>
      </c>
      <c r="L720" s="91" t="s">
        <v>2440</v>
      </c>
      <c r="M720" s="214"/>
      <c r="N720" s="88" t="s">
        <v>2219</v>
      </c>
      <c r="O720" s="216">
        <f t="shared" si="2306"/>
        <v>3</v>
      </c>
      <c r="P720" s="88" t="str">
        <f t="shared" si="2322"/>
        <v>B2_3</v>
      </c>
      <c r="Q720" s="88">
        <f t="shared" si="2323"/>
        <v>270</v>
      </c>
      <c r="R720" s="88">
        <f t="shared" si="2324"/>
        <v>60</v>
      </c>
      <c r="S720" s="233"/>
      <c r="T720" s="88" t="s">
        <v>3088</v>
      </c>
      <c r="U720" s="88">
        <f>IF(RIGHT(T720,1)="K",(VLOOKUP(T720,ma_miengiam!$A$3:$B$80,2,0)*100)/2,VLOOKUP(T720,ma_miengiam!$A$3:$B$80,2,0)*100)</f>
        <v>0</v>
      </c>
      <c r="V720" s="88"/>
      <c r="W720" s="220">
        <f>IF(AND(T720="NTS",V720&gt;0),(Q720-(Q720*V720)/12)*VLOOKUP(T720,ma_miengiam!$A$3:$B$80,2,0)+(Q720-(Q720*(12-V720))/12),IF(AND(RIGHT(T720,1)="K",V720&gt;0),(VLOOKUP(T720,ma_miengiam!$A$3:$B$80,2,0)/2)*(Q720*V720)/12,IF(RIGHT(T720,1)="K",(VLOOKUP(T720,ma_miengiam!$A$3:$B$80,2,0)*Q720)/2,IF(V720&gt;0,VLOOKUP(T720,ma_miengiam!$A$3:$B$80,2,0)*Q720*V720/12,VLOOKUP(T720,ma_miengiam!$A$3:$B$80,2,0)*Q720))))</f>
        <v>0</v>
      </c>
      <c r="X720" s="220">
        <f>IF(T720="NTS",VLOOKUP(T720,ma_miengiam!$A$3:$B$80,2,0)*R720*V720,IF(AND(T720="NTS",V720=0),0,IF(AND(LEFT(T720,1)="K",V720=0),VLOOKUP(T720,ma_miengiam!$A$3:$B$80,2,0)*R720,IF(LEFT(T720,1)="K",(VLOOKUP(T720,ma_miengiam!$A$3:$B$80,2,0)*R720/12)*V720,IF(AND(LEFT(T720,1)="S",V720&gt;0),(R720/12)*V720,IF(AND(LEFT(T720,1)="S",V720=0),R720,IF(T720="DH",VLOOKUP(T720,ma_miengiam!$A$3:$B$80,2,0)*R720,0)))))))</f>
        <v>0</v>
      </c>
      <c r="Y720" s="220">
        <f t="shared" si="2349"/>
        <v>270</v>
      </c>
      <c r="Z720" s="220">
        <f t="shared" si="2258"/>
        <v>60</v>
      </c>
      <c r="AA720" s="220">
        <f t="shared" si="2373"/>
        <v>270</v>
      </c>
      <c r="AB720" s="220">
        <f t="shared" si="2373"/>
        <v>60</v>
      </c>
      <c r="AC720" s="220">
        <f t="shared" si="2374"/>
        <v>0</v>
      </c>
      <c r="AD720" s="220">
        <f t="shared" si="2374"/>
        <v>0</v>
      </c>
      <c r="AE720" s="220">
        <f t="shared" si="2374"/>
        <v>270</v>
      </c>
      <c r="AF720" s="220">
        <f t="shared" si="2374"/>
        <v>60</v>
      </c>
      <c r="AG720" s="220">
        <f t="shared" si="2359"/>
        <v>0</v>
      </c>
      <c r="AH720" s="220">
        <f t="shared" si="2360"/>
        <v>0</v>
      </c>
      <c r="AI720" s="220">
        <f t="shared" si="2361"/>
        <v>0</v>
      </c>
      <c r="AJ720" s="220">
        <f t="shared" si="2334"/>
        <v>-60</v>
      </c>
      <c r="AK720" s="216">
        <f t="shared" si="2254"/>
        <v>330</v>
      </c>
      <c r="AL720" s="220">
        <f t="shared" si="2238"/>
        <v>366.6</v>
      </c>
      <c r="AM720" s="220">
        <f t="shared" si="2239"/>
        <v>0</v>
      </c>
      <c r="AN720" s="221">
        <f t="shared" si="2240"/>
        <v>366.6</v>
      </c>
      <c r="AO720" s="220">
        <f t="shared" si="2241"/>
        <v>0</v>
      </c>
      <c r="AP720" s="220">
        <f t="shared" si="2242"/>
        <v>0</v>
      </c>
      <c r="AQ720" s="220">
        <f t="shared" si="2243"/>
        <v>0</v>
      </c>
      <c r="AR720" s="220">
        <f t="shared" si="2244"/>
        <v>0</v>
      </c>
      <c r="AS720" s="220">
        <f t="shared" si="2245"/>
        <v>0</v>
      </c>
      <c r="AT720" s="216">
        <f t="shared" si="2246"/>
        <v>366.6</v>
      </c>
      <c r="AU720" s="222">
        <f t="shared" si="2320"/>
        <v>36.600000000000023</v>
      </c>
      <c r="AV720" s="220"/>
      <c r="AW720" s="220">
        <f t="shared" si="2350"/>
        <v>36.600000000000023</v>
      </c>
      <c r="AX720" s="216">
        <f t="shared" si="2234"/>
        <v>0</v>
      </c>
      <c r="AY720" s="220">
        <f t="shared" si="2362"/>
        <v>0</v>
      </c>
      <c r="AZ720" s="220">
        <f t="shared" si="2363"/>
        <v>0</v>
      </c>
      <c r="BA720" s="220">
        <f t="shared" si="2364"/>
        <v>0</v>
      </c>
      <c r="BB720" s="220">
        <f t="shared" si="2365"/>
        <v>0</v>
      </c>
      <c r="BC720" s="220">
        <f t="shared" si="2366"/>
        <v>0</v>
      </c>
      <c r="BD720" s="216">
        <f t="shared" si="2197"/>
        <v>0</v>
      </c>
      <c r="BE720" s="220">
        <f t="shared" si="2351"/>
        <v>0</v>
      </c>
      <c r="BF720" s="220">
        <f t="shared" si="2352"/>
        <v>0</v>
      </c>
      <c r="BG720" s="220">
        <f t="shared" si="2353"/>
        <v>0</v>
      </c>
      <c r="BH720" s="220">
        <f t="shared" si="2354"/>
        <v>0</v>
      </c>
      <c r="BI720" s="220">
        <f t="shared" si="2355"/>
        <v>0</v>
      </c>
      <c r="BJ720" s="88" t="s">
        <v>1961</v>
      </c>
      <c r="BK720" s="220"/>
      <c r="BL720" s="223">
        <f t="shared" si="2210"/>
        <v>36.600000000000023</v>
      </c>
      <c r="BM720" s="220">
        <v>3</v>
      </c>
      <c r="BN720" s="220"/>
      <c r="BO720" s="220">
        <f t="shared" si="2367"/>
        <v>3</v>
      </c>
      <c r="BP720" s="220">
        <f>IF(AND(BL720&gt;0,BL720&lt;tiet!$D$1),BL720,IF(BL720&lt;=0,0,IF(BL720&gt;tiet!$C$1,tiet!$C$1)))</f>
        <v>36.600000000000023</v>
      </c>
      <c r="BQ720" s="87">
        <f t="shared" si="2335"/>
        <v>50000</v>
      </c>
      <c r="BR720" s="224">
        <f t="shared" si="2336"/>
        <v>1830000</v>
      </c>
      <c r="BS720" s="220">
        <f t="shared" si="2356"/>
        <v>0</v>
      </c>
      <c r="BT720" s="224">
        <f>VLOOKUP(N720,ma_dinhmuc!$A$1:$J$31,10,0)</f>
        <v>51000</v>
      </c>
      <c r="BU720" s="224">
        <f>ROUND(IF(BS720&gt;0,VLOOKUP(N720,ma_dinhmuc!$A$1:$J$31,10,0)*BS720,0),0)</f>
        <v>0</v>
      </c>
      <c r="BV720" s="224">
        <f t="shared" si="2337"/>
        <v>1830000</v>
      </c>
      <c r="BW720" s="224"/>
      <c r="BX720" s="224">
        <v>0</v>
      </c>
      <c r="BY720" s="224"/>
      <c r="BZ720" s="224"/>
      <c r="CA720" s="224"/>
      <c r="CB720" s="224"/>
      <c r="CC720" s="225">
        <f t="shared" si="2338"/>
        <v>1830000</v>
      </c>
      <c r="CD720" s="224">
        <f t="shared" si="2339"/>
        <v>0</v>
      </c>
      <c r="CE720" s="224"/>
      <c r="CF720" s="226"/>
      <c r="CG720" s="87"/>
      <c r="CH720" s="87">
        <f t="shared" si="2348"/>
        <v>12</v>
      </c>
      <c r="CI720" s="227" t="str">
        <f t="shared" ref="CI720:CI725" si="2395">F720</f>
        <v>Nguyễn Thế</v>
      </c>
      <c r="CJ720" s="227" t="str">
        <f t="shared" ref="CJ720:CJ740" si="2396">G720</f>
        <v>Hãnh</v>
      </c>
      <c r="CK720" s="87">
        <f t="shared" si="2369"/>
        <v>20</v>
      </c>
      <c r="CL720" s="227" t="str">
        <f t="shared" si="2370"/>
        <v>GDTC</v>
      </c>
      <c r="CM720" s="87" t="str">
        <f t="shared" si="2357"/>
        <v>TT2</v>
      </c>
      <c r="CN720" s="87">
        <f t="shared" ref="CN720:CO722" si="2397">Q720</f>
        <v>270</v>
      </c>
      <c r="CO720" s="87">
        <f t="shared" si="2397"/>
        <v>60</v>
      </c>
      <c r="CP720" s="229">
        <f t="shared" si="2376"/>
        <v>0</v>
      </c>
      <c r="CQ720" s="229">
        <f t="shared" si="2377"/>
        <v>38.299999999999997</v>
      </c>
      <c r="CR720" s="229">
        <f t="shared" si="2378"/>
        <v>15.5</v>
      </c>
      <c r="CS720" s="229">
        <f t="shared" si="2379"/>
        <v>0</v>
      </c>
      <c r="CT720" s="229">
        <f t="shared" si="2380"/>
        <v>0</v>
      </c>
      <c r="CU720" s="229">
        <f t="shared" si="2381"/>
        <v>312.8</v>
      </c>
      <c r="CV720" s="229">
        <f t="shared" si="2382"/>
        <v>0</v>
      </c>
      <c r="CW720" s="229">
        <f t="shared" si="2383"/>
        <v>0</v>
      </c>
      <c r="CX720" s="229">
        <f t="shared" si="2384"/>
        <v>0</v>
      </c>
      <c r="CY720" s="229">
        <f t="shared" si="2385"/>
        <v>0</v>
      </c>
      <c r="CZ720" s="229">
        <f t="shared" si="2386"/>
        <v>0</v>
      </c>
      <c r="DA720" s="229">
        <f t="shared" si="2387"/>
        <v>0</v>
      </c>
      <c r="DB720" s="228">
        <f t="shared" si="2235"/>
        <v>366.6</v>
      </c>
      <c r="DC720" s="229"/>
      <c r="DD720" s="229"/>
      <c r="DE720" s="229"/>
      <c r="DF720" s="229"/>
      <c r="DG720" s="229"/>
      <c r="DH720" s="229"/>
      <c r="DI720" s="229"/>
      <c r="DJ720" s="229"/>
      <c r="DK720" s="229"/>
      <c r="DL720" s="229"/>
      <c r="DM720" s="229"/>
      <c r="DN720" s="229"/>
      <c r="DO720" s="228">
        <f t="shared" si="2247"/>
        <v>0</v>
      </c>
      <c r="DP720" s="228">
        <f t="shared" si="2248"/>
        <v>366.6</v>
      </c>
      <c r="DQ720" s="229">
        <f t="shared" si="2388"/>
        <v>0</v>
      </c>
      <c r="DR720" s="229">
        <f t="shared" si="2389"/>
        <v>0</v>
      </c>
      <c r="DS720" s="229">
        <f t="shared" si="2390"/>
        <v>0</v>
      </c>
      <c r="DT720" s="229">
        <f t="shared" si="2391"/>
        <v>0</v>
      </c>
      <c r="DU720" s="229">
        <f t="shared" si="2392"/>
        <v>0</v>
      </c>
      <c r="DV720" s="229">
        <f t="shared" si="2393"/>
        <v>0</v>
      </c>
      <c r="DW720" s="229">
        <f t="shared" si="2394"/>
        <v>0</v>
      </c>
      <c r="DX720" s="228">
        <f t="shared" si="2236"/>
        <v>0</v>
      </c>
      <c r="DY720" s="229"/>
      <c r="DZ720" s="229"/>
      <c r="EA720" s="229"/>
      <c r="EB720" s="229"/>
      <c r="EC720" s="229"/>
      <c r="ED720" s="229"/>
      <c r="EE720" s="229"/>
      <c r="EF720" s="228">
        <f t="shared" si="2371"/>
        <v>0</v>
      </c>
      <c r="EG720" s="228">
        <f t="shared" si="2249"/>
        <v>0</v>
      </c>
      <c r="EH720" s="229">
        <f t="shared" si="2372"/>
        <v>0</v>
      </c>
      <c r="EI720" s="229">
        <v>0</v>
      </c>
      <c r="EJ720" s="228">
        <f t="shared" si="2344"/>
        <v>0</v>
      </c>
      <c r="EK720" s="229"/>
      <c r="EL720" s="229"/>
      <c r="EM720" s="228">
        <f t="shared" si="2345"/>
        <v>0</v>
      </c>
      <c r="EN720" s="229">
        <f t="shared" si="2220"/>
        <v>0</v>
      </c>
      <c r="EO720" s="229">
        <f t="shared" si="2321"/>
        <v>0</v>
      </c>
      <c r="EP720" s="228">
        <f t="shared" si="2346"/>
        <v>0</v>
      </c>
      <c r="EQ720" s="173">
        <f t="shared" si="2358"/>
        <v>0</v>
      </c>
      <c r="ER720" s="189">
        <v>0</v>
      </c>
      <c r="ES720" s="189">
        <v>38.299999999999997</v>
      </c>
      <c r="ET720" s="189">
        <v>15.5</v>
      </c>
      <c r="EU720" s="189">
        <v>0</v>
      </c>
      <c r="EV720" s="189">
        <v>0</v>
      </c>
      <c r="EW720" s="189">
        <v>312.8</v>
      </c>
      <c r="EX720" s="189">
        <v>0</v>
      </c>
      <c r="EY720" s="189">
        <v>0</v>
      </c>
      <c r="EZ720" s="189">
        <v>0</v>
      </c>
      <c r="FA720" s="189">
        <v>0</v>
      </c>
      <c r="FB720" s="189">
        <v>0</v>
      </c>
      <c r="FC720" s="189">
        <v>0</v>
      </c>
      <c r="FD720" s="189">
        <v>0</v>
      </c>
      <c r="FE720" s="189">
        <v>0</v>
      </c>
      <c r="FF720" s="189">
        <v>0</v>
      </c>
      <c r="FG720" s="189">
        <v>0</v>
      </c>
      <c r="FH720" s="189">
        <v>0</v>
      </c>
      <c r="FI720" s="189">
        <v>0</v>
      </c>
      <c r="FJ720" s="189">
        <v>0</v>
      </c>
      <c r="FK720" s="189">
        <v>366.6</v>
      </c>
      <c r="FL720" s="189">
        <v>320</v>
      </c>
      <c r="FN720" s="132">
        <v>0</v>
      </c>
    </row>
    <row r="721" spans="1:170" ht="30" customHeight="1">
      <c r="A721" s="88">
        <f>COUNTIF($H$12:H721,H721)</f>
        <v>13</v>
      </c>
      <c r="B721" s="88" t="s">
        <v>1480</v>
      </c>
      <c r="C721" s="88" t="s">
        <v>1915</v>
      </c>
      <c r="D721" s="88"/>
      <c r="E721" s="88"/>
      <c r="F721" s="301" t="s">
        <v>182</v>
      </c>
      <c r="G721" s="303" t="s">
        <v>2088</v>
      </c>
      <c r="H721" s="88">
        <v>20</v>
      </c>
      <c r="I721" s="88">
        <v>20</v>
      </c>
      <c r="J721" s="88">
        <v>20</v>
      </c>
      <c r="K721" s="91" t="s">
        <v>2440</v>
      </c>
      <c r="L721" s="91" t="s">
        <v>2440</v>
      </c>
      <c r="M721" s="214"/>
      <c r="N721" s="88" t="s">
        <v>2219</v>
      </c>
      <c r="O721" s="216">
        <f t="shared" si="2306"/>
        <v>3</v>
      </c>
      <c r="P721" s="88" t="str">
        <f t="shared" si="2322"/>
        <v>B2_3</v>
      </c>
      <c r="Q721" s="88">
        <f t="shared" si="2323"/>
        <v>270</v>
      </c>
      <c r="R721" s="88">
        <f t="shared" si="2324"/>
        <v>60</v>
      </c>
      <c r="S721" s="233"/>
      <c r="T721" s="88" t="s">
        <v>3088</v>
      </c>
      <c r="U721" s="88">
        <f>IF(RIGHT(T721,1)="K",(VLOOKUP(T721,ma_miengiam!$A$3:$B$80,2,0)*100)/2,VLOOKUP(T721,ma_miengiam!$A$3:$B$80,2,0)*100)</f>
        <v>0</v>
      </c>
      <c r="V721" s="88"/>
      <c r="W721" s="220">
        <f>IF(AND(T721="NTS",V721&gt;0),(Q721-(Q721*V721)/12)*VLOOKUP(T721,ma_miengiam!$A$3:$B$80,2,0)+(Q721-(Q721*(12-V721))/12),IF(AND(RIGHT(T721,1)="K",V721&gt;0),(VLOOKUP(T721,ma_miengiam!$A$3:$B$80,2,0)/2)*(Q721*V721)/12,IF(RIGHT(T721,1)="K",(VLOOKUP(T721,ma_miengiam!$A$3:$B$80,2,0)*Q721)/2,IF(V721&gt;0,VLOOKUP(T721,ma_miengiam!$A$3:$B$80,2,0)*Q721*V721/12,VLOOKUP(T721,ma_miengiam!$A$3:$B$80,2,0)*Q721))))</f>
        <v>0</v>
      </c>
      <c r="X721" s="220">
        <f>IF(T721="NTS",VLOOKUP(T721,ma_miengiam!$A$3:$B$80,2,0)*R721*V721,IF(AND(T721="NTS",V721=0),0,IF(AND(LEFT(T721,1)="K",V721=0),VLOOKUP(T721,ma_miengiam!$A$3:$B$80,2,0)*R721,IF(LEFT(T721,1)="K",(VLOOKUP(T721,ma_miengiam!$A$3:$B$80,2,0)*R721/12)*V721,IF(AND(LEFT(T721,1)="S",V721&gt;0),(R721/12)*V721,IF(AND(LEFT(T721,1)="S",V721=0),R721,IF(T721="DH",VLOOKUP(T721,ma_miengiam!$A$3:$B$80,2,0)*R721,0)))))))</f>
        <v>0</v>
      </c>
      <c r="Y721" s="220">
        <f t="shared" si="2349"/>
        <v>270</v>
      </c>
      <c r="Z721" s="220">
        <f t="shared" si="2258"/>
        <v>60</v>
      </c>
      <c r="AA721" s="220">
        <f t="shared" ref="AA721:AB723" si="2398">Q721</f>
        <v>270</v>
      </c>
      <c r="AB721" s="220">
        <f t="shared" si="2398"/>
        <v>60</v>
      </c>
      <c r="AC721" s="220">
        <f t="shared" ref="AC721:AF723" si="2399">W721</f>
        <v>0</v>
      </c>
      <c r="AD721" s="220">
        <f t="shared" si="2399"/>
        <v>0</v>
      </c>
      <c r="AE721" s="220">
        <f t="shared" si="2399"/>
        <v>270</v>
      </c>
      <c r="AF721" s="220">
        <f t="shared" si="2399"/>
        <v>60</v>
      </c>
      <c r="AG721" s="220">
        <f t="shared" si="2359"/>
        <v>0</v>
      </c>
      <c r="AH721" s="220">
        <f t="shared" si="2360"/>
        <v>0</v>
      </c>
      <c r="AI721" s="220">
        <f t="shared" si="2361"/>
        <v>0</v>
      </c>
      <c r="AJ721" s="220">
        <f t="shared" si="2334"/>
        <v>-60</v>
      </c>
      <c r="AK721" s="216">
        <f t="shared" si="2254"/>
        <v>330</v>
      </c>
      <c r="AL721" s="220">
        <f t="shared" si="2238"/>
        <v>421.5</v>
      </c>
      <c r="AM721" s="220">
        <f t="shared" si="2239"/>
        <v>0</v>
      </c>
      <c r="AN721" s="221">
        <f t="shared" si="2240"/>
        <v>421.5</v>
      </c>
      <c r="AO721" s="220">
        <f t="shared" si="2241"/>
        <v>0</v>
      </c>
      <c r="AP721" s="220">
        <f t="shared" si="2242"/>
        <v>0</v>
      </c>
      <c r="AQ721" s="220">
        <f t="shared" si="2243"/>
        <v>0</v>
      </c>
      <c r="AR721" s="220">
        <f t="shared" si="2244"/>
        <v>0</v>
      </c>
      <c r="AS721" s="220">
        <f t="shared" si="2245"/>
        <v>0</v>
      </c>
      <c r="AT721" s="216">
        <f t="shared" si="2246"/>
        <v>421.5</v>
      </c>
      <c r="AU721" s="222">
        <f t="shared" si="2320"/>
        <v>91.5</v>
      </c>
      <c r="AV721" s="220"/>
      <c r="AW721" s="220">
        <f t="shared" si="2350"/>
        <v>91.5</v>
      </c>
      <c r="AX721" s="216">
        <f t="shared" si="2234"/>
        <v>0</v>
      </c>
      <c r="AY721" s="220">
        <f t="shared" si="2362"/>
        <v>0</v>
      </c>
      <c r="AZ721" s="220">
        <f t="shared" si="2363"/>
        <v>0</v>
      </c>
      <c r="BA721" s="220">
        <f t="shared" si="2364"/>
        <v>0</v>
      </c>
      <c r="BB721" s="220">
        <f t="shared" si="2365"/>
        <v>0</v>
      </c>
      <c r="BC721" s="220">
        <f t="shared" si="2366"/>
        <v>0</v>
      </c>
      <c r="BD721" s="216">
        <f t="shared" si="2197"/>
        <v>0</v>
      </c>
      <c r="BE721" s="220">
        <f t="shared" si="2351"/>
        <v>0</v>
      </c>
      <c r="BF721" s="220">
        <f t="shared" si="2352"/>
        <v>0</v>
      </c>
      <c r="BG721" s="220">
        <f t="shared" si="2353"/>
        <v>0</v>
      </c>
      <c r="BH721" s="220">
        <f t="shared" si="2354"/>
        <v>0</v>
      </c>
      <c r="BI721" s="220">
        <f t="shared" si="2355"/>
        <v>0</v>
      </c>
      <c r="BJ721" s="88" t="s">
        <v>1961</v>
      </c>
      <c r="BK721" s="220"/>
      <c r="BL721" s="223">
        <f t="shared" si="2210"/>
        <v>91.5</v>
      </c>
      <c r="BM721" s="220">
        <v>3</v>
      </c>
      <c r="BN721" s="220"/>
      <c r="BO721" s="220">
        <f t="shared" si="2367"/>
        <v>3</v>
      </c>
      <c r="BP721" s="220">
        <f>IF(AND(BL721&gt;0,BL721&lt;tiet!$D$1),BL721,IF(BL721&lt;=0,0,IF(BL721&gt;tiet!$C$1,tiet!$C$1)))</f>
        <v>91.5</v>
      </c>
      <c r="BQ721" s="87">
        <f t="shared" si="2335"/>
        <v>50000</v>
      </c>
      <c r="BR721" s="224">
        <f t="shared" si="2336"/>
        <v>4575000</v>
      </c>
      <c r="BS721" s="220">
        <f t="shared" si="2356"/>
        <v>0</v>
      </c>
      <c r="BT721" s="224">
        <f>VLOOKUP(N721,ma_dinhmuc!$A$1:$J$31,10,0)</f>
        <v>51000</v>
      </c>
      <c r="BU721" s="224">
        <f>ROUND(IF(BS721&gt;0,VLOOKUP(N721,ma_dinhmuc!$A$1:$J$31,10,0)*BS721,0),0)</f>
        <v>0</v>
      </c>
      <c r="BV721" s="224">
        <f t="shared" si="2337"/>
        <v>4575000</v>
      </c>
      <c r="BW721" s="224"/>
      <c r="BX721" s="224">
        <v>0</v>
      </c>
      <c r="BY721" s="224"/>
      <c r="BZ721" s="224"/>
      <c r="CA721" s="224"/>
      <c r="CB721" s="224"/>
      <c r="CC721" s="225">
        <f t="shared" si="2338"/>
        <v>4575000</v>
      </c>
      <c r="CD721" s="224">
        <f t="shared" si="2339"/>
        <v>0</v>
      </c>
      <c r="CE721" s="224"/>
      <c r="CF721" s="226"/>
      <c r="CG721" s="87"/>
      <c r="CH721" s="87">
        <f t="shared" si="2348"/>
        <v>13</v>
      </c>
      <c r="CI721" s="227" t="str">
        <f t="shared" si="2395"/>
        <v>Cao Trường</v>
      </c>
      <c r="CJ721" s="227" t="str">
        <f t="shared" si="2396"/>
        <v>Giang</v>
      </c>
      <c r="CK721" s="87">
        <f t="shared" si="2369"/>
        <v>20</v>
      </c>
      <c r="CL721" s="227" t="str">
        <f t="shared" si="2370"/>
        <v>GDTC</v>
      </c>
      <c r="CM721" s="87" t="str">
        <f t="shared" si="2357"/>
        <v>TT2</v>
      </c>
      <c r="CN721" s="87">
        <f t="shared" si="2397"/>
        <v>270</v>
      </c>
      <c r="CO721" s="87">
        <f t="shared" si="2397"/>
        <v>60</v>
      </c>
      <c r="CP721" s="229">
        <f t="shared" si="2376"/>
        <v>0</v>
      </c>
      <c r="CQ721" s="229">
        <f t="shared" si="2377"/>
        <v>50.9</v>
      </c>
      <c r="CR721" s="229">
        <f t="shared" si="2378"/>
        <v>20.3</v>
      </c>
      <c r="CS721" s="229">
        <f t="shared" si="2379"/>
        <v>0</v>
      </c>
      <c r="CT721" s="229">
        <f t="shared" si="2380"/>
        <v>0</v>
      </c>
      <c r="CU721" s="229">
        <f t="shared" si="2381"/>
        <v>350.3</v>
      </c>
      <c r="CV721" s="229">
        <f t="shared" si="2382"/>
        <v>0</v>
      </c>
      <c r="CW721" s="229">
        <f t="shared" si="2383"/>
        <v>0</v>
      </c>
      <c r="CX721" s="229">
        <f t="shared" si="2384"/>
        <v>0</v>
      </c>
      <c r="CY721" s="229">
        <f t="shared" si="2385"/>
        <v>0</v>
      </c>
      <c r="CZ721" s="229">
        <f t="shared" si="2386"/>
        <v>0</v>
      </c>
      <c r="DA721" s="229">
        <f t="shared" si="2387"/>
        <v>0</v>
      </c>
      <c r="DB721" s="228">
        <f t="shared" si="2235"/>
        <v>421.5</v>
      </c>
      <c r="DC721" s="229"/>
      <c r="DD721" s="229"/>
      <c r="DE721" s="229"/>
      <c r="DF721" s="229"/>
      <c r="DG721" s="229"/>
      <c r="DH721" s="229"/>
      <c r="DI721" s="229"/>
      <c r="DJ721" s="229"/>
      <c r="DK721" s="229"/>
      <c r="DL721" s="229"/>
      <c r="DM721" s="229"/>
      <c r="DN721" s="229"/>
      <c r="DO721" s="228">
        <f t="shared" si="2247"/>
        <v>0</v>
      </c>
      <c r="DP721" s="228">
        <f t="shared" si="2248"/>
        <v>421.5</v>
      </c>
      <c r="DQ721" s="229">
        <f t="shared" si="2388"/>
        <v>0</v>
      </c>
      <c r="DR721" s="229">
        <f t="shared" si="2389"/>
        <v>0</v>
      </c>
      <c r="DS721" s="229">
        <f t="shared" si="2390"/>
        <v>0</v>
      </c>
      <c r="DT721" s="229">
        <f t="shared" si="2391"/>
        <v>0</v>
      </c>
      <c r="DU721" s="229">
        <f t="shared" si="2392"/>
        <v>0</v>
      </c>
      <c r="DV721" s="229">
        <f t="shared" si="2393"/>
        <v>0</v>
      </c>
      <c r="DW721" s="229">
        <f t="shared" si="2394"/>
        <v>0</v>
      </c>
      <c r="DX721" s="228">
        <f t="shared" si="2236"/>
        <v>0</v>
      </c>
      <c r="DY721" s="229"/>
      <c r="DZ721" s="229"/>
      <c r="EA721" s="229"/>
      <c r="EB721" s="229"/>
      <c r="EC721" s="229"/>
      <c r="ED721" s="229"/>
      <c r="EE721" s="229"/>
      <c r="EF721" s="228">
        <f t="shared" si="2371"/>
        <v>0</v>
      </c>
      <c r="EG721" s="228">
        <f t="shared" si="2249"/>
        <v>0</v>
      </c>
      <c r="EH721" s="229">
        <f t="shared" si="2372"/>
        <v>0</v>
      </c>
      <c r="EI721" s="229">
        <v>0</v>
      </c>
      <c r="EJ721" s="228">
        <f t="shared" ref="EJ721:EJ740" si="2400">SUM(EH721:EI721)</f>
        <v>0</v>
      </c>
      <c r="EK721" s="229"/>
      <c r="EL721" s="229"/>
      <c r="EM721" s="228">
        <f t="shared" ref="EM721:EM740" si="2401">SUM(EK721:EL721)</f>
        <v>0</v>
      </c>
      <c r="EN721" s="229">
        <f t="shared" si="2220"/>
        <v>0</v>
      </c>
      <c r="EO721" s="229">
        <f t="shared" si="2321"/>
        <v>0</v>
      </c>
      <c r="EP721" s="228">
        <f t="shared" ref="EP721:EP740" si="2402">EM721+EJ721</f>
        <v>0</v>
      </c>
      <c r="EQ721" s="173">
        <f t="shared" si="2358"/>
        <v>0</v>
      </c>
      <c r="ER721" s="189">
        <v>0</v>
      </c>
      <c r="ES721" s="189">
        <v>50.9</v>
      </c>
      <c r="ET721" s="189">
        <v>20.3</v>
      </c>
      <c r="EU721" s="189">
        <v>0</v>
      </c>
      <c r="EV721" s="189">
        <v>0</v>
      </c>
      <c r="EW721" s="189">
        <v>350.3</v>
      </c>
      <c r="EX721" s="189">
        <v>0</v>
      </c>
      <c r="EY721" s="189">
        <v>0</v>
      </c>
      <c r="EZ721" s="189">
        <v>0</v>
      </c>
      <c r="FA721" s="189">
        <v>0</v>
      </c>
      <c r="FB721" s="189">
        <v>0</v>
      </c>
      <c r="FC721" s="189">
        <v>0</v>
      </c>
      <c r="FD721" s="189">
        <v>0</v>
      </c>
      <c r="FE721" s="189">
        <v>0</v>
      </c>
      <c r="FF721" s="189">
        <v>0</v>
      </c>
      <c r="FG721" s="189">
        <v>0</v>
      </c>
      <c r="FH721" s="189">
        <v>0</v>
      </c>
      <c r="FI721" s="189">
        <v>0</v>
      </c>
      <c r="FJ721" s="189">
        <v>0</v>
      </c>
      <c r="FK721" s="189">
        <v>421.5</v>
      </c>
      <c r="FL721" s="189">
        <v>320</v>
      </c>
      <c r="FN721" s="132">
        <v>0</v>
      </c>
    </row>
    <row r="722" spans="1:170" ht="30" customHeight="1">
      <c r="A722" s="88">
        <f>COUNTIF($H$12:H722,H722)</f>
        <v>14</v>
      </c>
      <c r="B722" s="88" t="s">
        <v>2014</v>
      </c>
      <c r="C722" s="88" t="s">
        <v>1916</v>
      </c>
      <c r="D722" s="88"/>
      <c r="E722" s="88"/>
      <c r="F722" s="301" t="s">
        <v>2465</v>
      </c>
      <c r="G722" s="89" t="s">
        <v>3204</v>
      </c>
      <c r="H722" s="88">
        <v>20</v>
      </c>
      <c r="I722" s="88">
        <v>20</v>
      </c>
      <c r="J722" s="88">
        <v>20</v>
      </c>
      <c r="K722" s="91" t="s">
        <v>2440</v>
      </c>
      <c r="L722" s="91" t="s">
        <v>2440</v>
      </c>
      <c r="M722" s="214"/>
      <c r="N722" s="88" t="s">
        <v>2219</v>
      </c>
      <c r="O722" s="216">
        <f t="shared" ref="O722:O740" si="2403">BO722</f>
        <v>2.67</v>
      </c>
      <c r="P722" s="88" t="str">
        <f t="shared" si="2322"/>
        <v>B2_3</v>
      </c>
      <c r="Q722" s="88">
        <f t="shared" si="2323"/>
        <v>270</v>
      </c>
      <c r="R722" s="88">
        <f t="shared" si="2324"/>
        <v>60</v>
      </c>
      <c r="S722" s="218"/>
      <c r="T722" s="88" t="s">
        <v>3088</v>
      </c>
      <c r="U722" s="88">
        <f>IF(RIGHT(T722,1)="K",(VLOOKUP(T722,ma_miengiam!$A$3:$B$80,2,0)*100)/2,VLOOKUP(T722,ma_miengiam!$A$3:$B$80,2,0)*100)</f>
        <v>0</v>
      </c>
      <c r="V722" s="88"/>
      <c r="W722" s="220">
        <f>IF(AND(T722="NTS",V722&gt;0),(Q722-(Q722*V722)/12)*VLOOKUP(T722,ma_miengiam!$A$3:$B$80,2,0)+(Q722-(Q722*(12-V722))/12),IF(AND(RIGHT(T722,1)="K",V722&gt;0),(VLOOKUP(T722,ma_miengiam!$A$3:$B$80,2,0)/2)*(Q722*V722)/12,IF(RIGHT(T722,1)="K",(VLOOKUP(T722,ma_miengiam!$A$3:$B$80,2,0)*Q722)/2,IF(V722&gt;0,VLOOKUP(T722,ma_miengiam!$A$3:$B$80,2,0)*Q722*V722/12,VLOOKUP(T722,ma_miengiam!$A$3:$B$80,2,0)*Q722))))</f>
        <v>0</v>
      </c>
      <c r="X722" s="220">
        <f>IF(T722="NTS",VLOOKUP(T722,ma_miengiam!$A$3:$B$80,2,0)*R722*V722,IF(AND(T722="NTS",V722=0),0,IF(AND(LEFT(T722,1)="K",V722=0),VLOOKUP(T722,ma_miengiam!$A$3:$B$80,2,0)*R722,IF(LEFT(T722,1)="K",(VLOOKUP(T722,ma_miengiam!$A$3:$B$80,2,0)*R722/12)*V722,IF(AND(LEFT(T722,1)="S",V722&gt;0),(R722/12)*V722,IF(AND(LEFT(T722,1)="S",V722=0),R722,IF(T722="DH",VLOOKUP(T722,ma_miengiam!$A$3:$B$80,2,0)*R722,0)))))))</f>
        <v>0</v>
      </c>
      <c r="Y722" s="220">
        <f t="shared" si="2349"/>
        <v>270</v>
      </c>
      <c r="Z722" s="220">
        <f t="shared" si="2258"/>
        <v>60</v>
      </c>
      <c r="AA722" s="220">
        <f t="shared" si="2398"/>
        <v>270</v>
      </c>
      <c r="AB722" s="220">
        <f t="shared" si="2398"/>
        <v>60</v>
      </c>
      <c r="AC722" s="220">
        <f t="shared" si="2399"/>
        <v>0</v>
      </c>
      <c r="AD722" s="220">
        <f t="shared" si="2399"/>
        <v>0</v>
      </c>
      <c r="AE722" s="220">
        <f t="shared" si="2399"/>
        <v>270</v>
      </c>
      <c r="AF722" s="220">
        <f t="shared" si="2399"/>
        <v>60</v>
      </c>
      <c r="AG722" s="220">
        <f>AH722+AI722</f>
        <v>0</v>
      </c>
      <c r="AH722" s="220">
        <f>EO722</f>
        <v>0</v>
      </c>
      <c r="AI722" s="220">
        <f>EN722</f>
        <v>0</v>
      </c>
      <c r="AJ722" s="220">
        <f t="shared" si="2334"/>
        <v>-60</v>
      </c>
      <c r="AK722" s="216">
        <f>IF(AJ722&gt;=0,Y722,Y722-AJ722)</f>
        <v>330</v>
      </c>
      <c r="AL722" s="220">
        <f t="shared" si="2238"/>
        <v>533.29999999999995</v>
      </c>
      <c r="AM722" s="220">
        <f t="shared" si="2239"/>
        <v>0</v>
      </c>
      <c r="AN722" s="221">
        <f t="shared" si="2240"/>
        <v>533.29999999999995</v>
      </c>
      <c r="AO722" s="220">
        <f t="shared" si="2241"/>
        <v>0</v>
      </c>
      <c r="AP722" s="220">
        <f t="shared" si="2242"/>
        <v>0</v>
      </c>
      <c r="AQ722" s="220">
        <f t="shared" si="2243"/>
        <v>0</v>
      </c>
      <c r="AR722" s="220">
        <f t="shared" si="2244"/>
        <v>0</v>
      </c>
      <c r="AS722" s="220">
        <f t="shared" si="2245"/>
        <v>0</v>
      </c>
      <c r="AT722" s="216">
        <f t="shared" si="2246"/>
        <v>533.29999999999995</v>
      </c>
      <c r="AU722" s="222">
        <f t="shared" si="2320"/>
        <v>203.29999999999995</v>
      </c>
      <c r="AV722" s="220"/>
      <c r="AW722" s="220">
        <f t="shared" si="2350"/>
        <v>203.29999999999995</v>
      </c>
      <c r="AX722" s="216">
        <f t="shared" si="2234"/>
        <v>0</v>
      </c>
      <c r="AY722" s="220">
        <f t="shared" si="2362"/>
        <v>0</v>
      </c>
      <c r="AZ722" s="220">
        <f t="shared" si="2363"/>
        <v>0</v>
      </c>
      <c r="BA722" s="220">
        <f t="shared" si="2364"/>
        <v>0</v>
      </c>
      <c r="BB722" s="220">
        <f t="shared" si="2365"/>
        <v>0</v>
      </c>
      <c r="BC722" s="220">
        <f t="shared" si="2366"/>
        <v>0</v>
      </c>
      <c r="BD722" s="216">
        <f t="shared" ref="BD722:BD740" si="2404">SUM(AY722:BC722)</f>
        <v>0</v>
      </c>
      <c r="BE722" s="220">
        <f t="shared" si="2351"/>
        <v>0</v>
      </c>
      <c r="BF722" s="220">
        <f t="shared" si="2352"/>
        <v>0</v>
      </c>
      <c r="BG722" s="220">
        <f t="shared" si="2353"/>
        <v>0</v>
      </c>
      <c r="BH722" s="220">
        <f t="shared" si="2354"/>
        <v>0</v>
      </c>
      <c r="BI722" s="220">
        <f t="shared" si="2355"/>
        <v>0</v>
      </c>
      <c r="BJ722" s="88" t="s">
        <v>1961</v>
      </c>
      <c r="BK722" s="220"/>
      <c r="BL722" s="223">
        <f t="shared" si="2210"/>
        <v>203.29999999999995</v>
      </c>
      <c r="BM722" s="220">
        <v>2.67</v>
      </c>
      <c r="BN722" s="220"/>
      <c r="BO722" s="220">
        <f t="shared" si="2367"/>
        <v>2.67</v>
      </c>
      <c r="BP722" s="220">
        <f>IF(AND(BL722&gt;0,BL722&lt;tiet!$D$1),BL722,IF(BL722&lt;=0,0,IF(BL722&gt;tiet!$C$1,tiet!$C$1)))</f>
        <v>200</v>
      </c>
      <c r="BQ722" s="87">
        <f t="shared" si="2335"/>
        <v>50000</v>
      </c>
      <c r="BR722" s="224">
        <f t="shared" si="2336"/>
        <v>10000000</v>
      </c>
      <c r="BS722" s="220">
        <f t="shared" si="2356"/>
        <v>3.2999999999999545</v>
      </c>
      <c r="BT722" s="224">
        <f>VLOOKUP(N722,ma_dinhmuc!$A$1:$J$31,10,0)</f>
        <v>51000</v>
      </c>
      <c r="BU722" s="224">
        <f>ROUND(IF(BS722&gt;0,VLOOKUP(N722,ma_dinhmuc!$A$1:$J$31,10,0)*BS722,0),0)</f>
        <v>168300</v>
      </c>
      <c r="BV722" s="224">
        <f t="shared" si="2337"/>
        <v>10168300</v>
      </c>
      <c r="BW722" s="224"/>
      <c r="BX722" s="224">
        <v>0</v>
      </c>
      <c r="BY722" s="224"/>
      <c r="BZ722" s="224"/>
      <c r="CA722" s="224"/>
      <c r="CB722" s="224"/>
      <c r="CC722" s="225">
        <f t="shared" si="2338"/>
        <v>10168300</v>
      </c>
      <c r="CD722" s="224">
        <f t="shared" si="2339"/>
        <v>0</v>
      </c>
      <c r="CE722" s="224"/>
      <c r="CF722" s="226"/>
      <c r="CG722" s="87"/>
      <c r="CH722" s="87">
        <f t="shared" ref="CH722:CH740" si="2405">A722</f>
        <v>14</v>
      </c>
      <c r="CI722" s="227" t="str">
        <f t="shared" si="2395"/>
        <v>Phạm Quốc</v>
      </c>
      <c r="CJ722" s="227" t="str">
        <f t="shared" si="2396"/>
        <v>Đạt</v>
      </c>
      <c r="CK722" s="87">
        <f t="shared" ref="CK722:CK729" si="2406">H722</f>
        <v>20</v>
      </c>
      <c r="CL722" s="227" t="str">
        <f t="shared" ref="CL722:CL740" si="2407">L722</f>
        <v>GDTC</v>
      </c>
      <c r="CM722" s="87" t="str">
        <f t="shared" si="2357"/>
        <v>TT2</v>
      </c>
      <c r="CN722" s="87">
        <f t="shared" si="2397"/>
        <v>270</v>
      </c>
      <c r="CO722" s="87">
        <f t="shared" si="2397"/>
        <v>60</v>
      </c>
      <c r="CP722" s="229">
        <f t="shared" si="2376"/>
        <v>0</v>
      </c>
      <c r="CQ722" s="229">
        <f t="shared" si="2377"/>
        <v>65</v>
      </c>
      <c r="CR722" s="229">
        <f t="shared" si="2378"/>
        <v>26.3</v>
      </c>
      <c r="CS722" s="229">
        <f t="shared" si="2379"/>
        <v>0</v>
      </c>
      <c r="CT722" s="229">
        <f t="shared" si="2380"/>
        <v>0</v>
      </c>
      <c r="CU722" s="229">
        <f t="shared" si="2381"/>
        <v>442</v>
      </c>
      <c r="CV722" s="229">
        <f t="shared" si="2382"/>
        <v>0</v>
      </c>
      <c r="CW722" s="229">
        <f t="shared" si="2383"/>
        <v>0</v>
      </c>
      <c r="CX722" s="229">
        <f t="shared" si="2384"/>
        <v>0</v>
      </c>
      <c r="CY722" s="229">
        <f t="shared" si="2385"/>
        <v>0</v>
      </c>
      <c r="CZ722" s="229">
        <f t="shared" si="2386"/>
        <v>0</v>
      </c>
      <c r="DA722" s="229">
        <f t="shared" si="2387"/>
        <v>0</v>
      </c>
      <c r="DB722" s="228">
        <f t="shared" si="2235"/>
        <v>533.29999999999995</v>
      </c>
      <c r="DC722" s="229"/>
      <c r="DD722" s="229"/>
      <c r="DE722" s="229"/>
      <c r="DF722" s="229"/>
      <c r="DG722" s="229"/>
      <c r="DH722" s="229"/>
      <c r="DI722" s="229"/>
      <c r="DJ722" s="229"/>
      <c r="DK722" s="229"/>
      <c r="DL722" s="229"/>
      <c r="DM722" s="229"/>
      <c r="DN722" s="229"/>
      <c r="DO722" s="228">
        <f t="shared" si="2247"/>
        <v>0</v>
      </c>
      <c r="DP722" s="228">
        <f t="shared" si="2248"/>
        <v>533.29999999999995</v>
      </c>
      <c r="DQ722" s="229">
        <f t="shared" si="2388"/>
        <v>0</v>
      </c>
      <c r="DR722" s="229">
        <f t="shared" si="2389"/>
        <v>0</v>
      </c>
      <c r="DS722" s="229">
        <f t="shared" si="2390"/>
        <v>0</v>
      </c>
      <c r="DT722" s="229">
        <f t="shared" si="2391"/>
        <v>0</v>
      </c>
      <c r="DU722" s="229">
        <f t="shared" si="2392"/>
        <v>0</v>
      </c>
      <c r="DV722" s="229">
        <f t="shared" si="2393"/>
        <v>0</v>
      </c>
      <c r="DW722" s="229">
        <f t="shared" si="2394"/>
        <v>0</v>
      </c>
      <c r="DX722" s="228">
        <f t="shared" si="2236"/>
        <v>0</v>
      </c>
      <c r="DY722" s="229"/>
      <c r="DZ722" s="229"/>
      <c r="EA722" s="229"/>
      <c r="EB722" s="229"/>
      <c r="EC722" s="229"/>
      <c r="ED722" s="229"/>
      <c r="EE722" s="229"/>
      <c r="EF722" s="228">
        <f t="shared" si="2371"/>
        <v>0</v>
      </c>
      <c r="EG722" s="228">
        <f t="shared" si="2249"/>
        <v>0</v>
      </c>
      <c r="EH722" s="229">
        <f t="shared" si="2372"/>
        <v>0</v>
      </c>
      <c r="EI722" s="229">
        <v>0</v>
      </c>
      <c r="EJ722" s="228">
        <f t="shared" si="2400"/>
        <v>0</v>
      </c>
      <c r="EK722" s="229"/>
      <c r="EL722" s="229"/>
      <c r="EM722" s="228">
        <f t="shared" si="2401"/>
        <v>0</v>
      </c>
      <c r="EN722" s="229">
        <f t="shared" si="2220"/>
        <v>0</v>
      </c>
      <c r="EO722" s="229">
        <f t="shared" si="2321"/>
        <v>0</v>
      </c>
      <c r="EP722" s="228">
        <f t="shared" si="2402"/>
        <v>0</v>
      </c>
      <c r="EQ722" s="173">
        <f t="shared" si="2358"/>
        <v>0</v>
      </c>
      <c r="ER722" s="189">
        <v>0</v>
      </c>
      <c r="ES722" s="189">
        <v>65</v>
      </c>
      <c r="ET722" s="189">
        <v>26.3</v>
      </c>
      <c r="EU722" s="189">
        <v>0</v>
      </c>
      <c r="EV722" s="189">
        <v>0</v>
      </c>
      <c r="EW722" s="189">
        <v>442</v>
      </c>
      <c r="EX722" s="189">
        <v>0</v>
      </c>
      <c r="EY722" s="189">
        <v>0</v>
      </c>
      <c r="EZ722" s="189">
        <v>0</v>
      </c>
      <c r="FA722" s="189">
        <v>0</v>
      </c>
      <c r="FB722" s="189">
        <v>0</v>
      </c>
      <c r="FC722" s="189">
        <v>0</v>
      </c>
      <c r="FD722" s="189">
        <v>0</v>
      </c>
      <c r="FE722" s="189">
        <v>0</v>
      </c>
      <c r="FF722" s="189">
        <v>0</v>
      </c>
      <c r="FG722" s="189">
        <v>0</v>
      </c>
      <c r="FH722" s="189">
        <v>0</v>
      </c>
      <c r="FI722" s="189">
        <v>0</v>
      </c>
      <c r="FJ722" s="189">
        <v>0</v>
      </c>
      <c r="FK722" s="189">
        <v>533.29999999999995</v>
      </c>
      <c r="FL722" s="189">
        <v>416</v>
      </c>
      <c r="FN722" s="132">
        <v>0</v>
      </c>
    </row>
    <row r="723" spans="1:170" ht="30" customHeight="1">
      <c r="A723" s="88">
        <f>COUNTIF($H$12:H723,H723)</f>
        <v>15</v>
      </c>
      <c r="B723" s="88" t="s">
        <v>2015</v>
      </c>
      <c r="C723" s="88" t="s">
        <v>1557</v>
      </c>
      <c r="D723" s="88"/>
      <c r="E723" s="88"/>
      <c r="F723" s="301" t="s">
        <v>1572</v>
      </c>
      <c r="G723" s="89" t="s">
        <v>2082</v>
      </c>
      <c r="H723" s="88">
        <v>20</v>
      </c>
      <c r="I723" s="88">
        <v>20</v>
      </c>
      <c r="J723" s="88">
        <v>20</v>
      </c>
      <c r="K723" s="91" t="s">
        <v>2440</v>
      </c>
      <c r="L723" s="91" t="s">
        <v>2440</v>
      </c>
      <c r="M723" s="214"/>
      <c r="N723" s="88" t="s">
        <v>2219</v>
      </c>
      <c r="O723" s="216">
        <f t="shared" si="2403"/>
        <v>2.67</v>
      </c>
      <c r="P723" s="88" t="str">
        <f t="shared" si="2322"/>
        <v>B2_3</v>
      </c>
      <c r="Q723" s="88">
        <f t="shared" si="2323"/>
        <v>270</v>
      </c>
      <c r="R723" s="88">
        <f t="shared" si="2324"/>
        <v>60</v>
      </c>
      <c r="S723" s="218"/>
      <c r="T723" s="88" t="s">
        <v>3088</v>
      </c>
      <c r="U723" s="88">
        <f>IF(RIGHT(T723,1)="K",(VLOOKUP(T723,ma_miengiam!$A$3:$B$80,2,0)*100)/2,VLOOKUP(T723,ma_miengiam!$A$3:$B$80,2,0)*100)</f>
        <v>0</v>
      </c>
      <c r="V723" s="88"/>
      <c r="W723" s="220">
        <f>IF(AND(T723="NTS",V723&gt;0),(Q723-(Q723*V723)/12)*VLOOKUP(T723,ma_miengiam!$A$3:$B$80,2,0)+(Q723-(Q723*(12-V723))/12),IF(AND(RIGHT(T723,1)="K",V723&gt;0),(VLOOKUP(T723,ma_miengiam!$A$3:$B$80,2,0)/2)*(Q723*V723)/12,IF(RIGHT(T723,1)="K",(VLOOKUP(T723,ma_miengiam!$A$3:$B$80,2,0)*Q723)/2,IF(V723&gt;0,VLOOKUP(T723,ma_miengiam!$A$3:$B$80,2,0)*Q723*V723/12,VLOOKUP(T723,ma_miengiam!$A$3:$B$80,2,0)*Q723))))</f>
        <v>0</v>
      </c>
      <c r="X723" s="220">
        <f>IF(T723="NTS",VLOOKUP(T723,ma_miengiam!$A$3:$B$80,2,0)*R723*V723,IF(AND(T723="NTS",V723=0),0,IF(AND(LEFT(T723,1)="K",V723=0),VLOOKUP(T723,ma_miengiam!$A$3:$B$80,2,0)*R723,IF(LEFT(T723,1)="K",(VLOOKUP(T723,ma_miengiam!$A$3:$B$80,2,0)*R723/12)*V723,IF(AND(LEFT(T723,1)="S",V723&gt;0),(R723/12)*V723,IF(AND(LEFT(T723,1)="S",V723=0),R723,IF(T723="DH",VLOOKUP(T723,ma_miengiam!$A$3:$B$80,2,0)*R723,0)))))))</f>
        <v>0</v>
      </c>
      <c r="Y723" s="220">
        <f t="shared" si="2349"/>
        <v>270</v>
      </c>
      <c r="Z723" s="220">
        <f t="shared" si="2258"/>
        <v>60</v>
      </c>
      <c r="AA723" s="220">
        <f t="shared" si="2398"/>
        <v>270</v>
      </c>
      <c r="AB723" s="220">
        <f t="shared" si="2398"/>
        <v>60</v>
      </c>
      <c r="AC723" s="220">
        <f t="shared" si="2399"/>
        <v>0</v>
      </c>
      <c r="AD723" s="220">
        <f t="shared" si="2399"/>
        <v>0</v>
      </c>
      <c r="AE723" s="220">
        <f t="shared" si="2399"/>
        <v>270</v>
      </c>
      <c r="AF723" s="220">
        <f t="shared" si="2399"/>
        <v>60</v>
      </c>
      <c r="AG723" s="220">
        <f>AH723+AI723</f>
        <v>0</v>
      </c>
      <c r="AH723" s="220">
        <f>EO723</f>
        <v>0</v>
      </c>
      <c r="AI723" s="220">
        <f>EN723</f>
        <v>0</v>
      </c>
      <c r="AJ723" s="220">
        <f t="shared" si="2334"/>
        <v>-60</v>
      </c>
      <c r="AK723" s="216">
        <f t="shared" ref="AK723:AK740" si="2408">IF(AJ723&gt;=0,Y723,Y723-AJ723)</f>
        <v>330</v>
      </c>
      <c r="AL723" s="220">
        <f t="shared" si="2238"/>
        <v>401.20000000000005</v>
      </c>
      <c r="AM723" s="220">
        <f t="shared" si="2239"/>
        <v>0</v>
      </c>
      <c r="AN723" s="221">
        <f t="shared" si="2240"/>
        <v>401.20000000000005</v>
      </c>
      <c r="AO723" s="220">
        <f t="shared" si="2241"/>
        <v>0</v>
      </c>
      <c r="AP723" s="220">
        <f t="shared" si="2242"/>
        <v>0</v>
      </c>
      <c r="AQ723" s="220">
        <f t="shared" si="2243"/>
        <v>0</v>
      </c>
      <c r="AR723" s="220">
        <f t="shared" si="2244"/>
        <v>0</v>
      </c>
      <c r="AS723" s="220">
        <f t="shared" si="2245"/>
        <v>0</v>
      </c>
      <c r="AT723" s="216">
        <f t="shared" si="2246"/>
        <v>401.20000000000005</v>
      </c>
      <c r="AU723" s="222">
        <f t="shared" si="2320"/>
        <v>71.200000000000045</v>
      </c>
      <c r="AV723" s="220"/>
      <c r="AW723" s="220">
        <f t="shared" si="2350"/>
        <v>71.200000000000045</v>
      </c>
      <c r="AX723" s="216">
        <f t="shared" si="2234"/>
        <v>0</v>
      </c>
      <c r="AY723" s="220">
        <f t="shared" si="2362"/>
        <v>0</v>
      </c>
      <c r="AZ723" s="220">
        <f t="shared" si="2363"/>
        <v>0</v>
      </c>
      <c r="BA723" s="220">
        <f t="shared" si="2364"/>
        <v>0</v>
      </c>
      <c r="BB723" s="220">
        <f t="shared" si="2365"/>
        <v>0</v>
      </c>
      <c r="BC723" s="220">
        <f t="shared" si="2366"/>
        <v>0</v>
      </c>
      <c r="BD723" s="216">
        <f t="shared" si="2404"/>
        <v>0</v>
      </c>
      <c r="BE723" s="220">
        <f t="shared" si="2351"/>
        <v>0</v>
      </c>
      <c r="BF723" s="220">
        <f t="shared" si="2352"/>
        <v>0</v>
      </c>
      <c r="BG723" s="220">
        <f t="shared" si="2353"/>
        <v>0</v>
      </c>
      <c r="BH723" s="220">
        <f t="shared" si="2354"/>
        <v>0</v>
      </c>
      <c r="BI723" s="220">
        <f t="shared" si="2355"/>
        <v>0</v>
      </c>
      <c r="BJ723" s="88" t="s">
        <v>1961</v>
      </c>
      <c r="BK723" s="220"/>
      <c r="BL723" s="223">
        <f t="shared" si="2210"/>
        <v>71.200000000000045</v>
      </c>
      <c r="BM723" s="220">
        <v>2.67</v>
      </c>
      <c r="BN723" s="220"/>
      <c r="BO723" s="220">
        <f t="shared" si="2367"/>
        <v>2.67</v>
      </c>
      <c r="BP723" s="220">
        <f>IF(AND(BL723&gt;0,BL723&lt;tiet!$D$1),BL723,IF(BL723&lt;=0,0,IF(BL723&gt;tiet!$C$1,tiet!$C$1)))</f>
        <v>71.200000000000045</v>
      </c>
      <c r="BQ723" s="87">
        <f t="shared" si="2335"/>
        <v>50000</v>
      </c>
      <c r="BR723" s="224">
        <f t="shared" si="2336"/>
        <v>3560000</v>
      </c>
      <c r="BS723" s="220">
        <f t="shared" si="2356"/>
        <v>0</v>
      </c>
      <c r="BT723" s="224">
        <f>VLOOKUP(N723,ma_dinhmuc!$A$1:$J$31,10,0)</f>
        <v>51000</v>
      </c>
      <c r="BU723" s="224">
        <f>ROUND(IF(BS723&gt;0,VLOOKUP(N723,ma_dinhmuc!$A$1:$J$31,10,0)*BS723,0),0)</f>
        <v>0</v>
      </c>
      <c r="BV723" s="224">
        <f t="shared" si="2337"/>
        <v>3560000</v>
      </c>
      <c r="BW723" s="224"/>
      <c r="BX723" s="224">
        <v>0</v>
      </c>
      <c r="BY723" s="224"/>
      <c r="BZ723" s="224"/>
      <c r="CA723" s="224"/>
      <c r="CB723" s="224"/>
      <c r="CC723" s="225">
        <f t="shared" si="2338"/>
        <v>3560000</v>
      </c>
      <c r="CD723" s="224">
        <f t="shared" si="2339"/>
        <v>0</v>
      </c>
      <c r="CE723" s="224"/>
      <c r="CF723" s="226"/>
      <c r="CG723" s="87"/>
      <c r="CH723" s="87">
        <f t="shared" si="2405"/>
        <v>15</v>
      </c>
      <c r="CI723" s="227" t="str">
        <f t="shared" si="2395"/>
        <v>Nguyễn Anh</v>
      </c>
      <c r="CJ723" s="227" t="str">
        <f t="shared" si="2396"/>
        <v>Tuấn</v>
      </c>
      <c r="CK723" s="87">
        <f t="shared" si="2406"/>
        <v>20</v>
      </c>
      <c r="CL723" s="227" t="str">
        <f t="shared" si="2407"/>
        <v>GDTC</v>
      </c>
      <c r="CM723" s="87" t="str">
        <f t="shared" si="2357"/>
        <v>TT2</v>
      </c>
      <c r="CN723" s="87">
        <f t="shared" ref="CN723:CO726" si="2409">Q723</f>
        <v>270</v>
      </c>
      <c r="CO723" s="87">
        <f t="shared" si="2409"/>
        <v>60</v>
      </c>
      <c r="CP723" s="229">
        <f t="shared" si="2376"/>
        <v>0</v>
      </c>
      <c r="CQ723" s="229">
        <f t="shared" si="2377"/>
        <v>54</v>
      </c>
      <c r="CR723" s="229">
        <f t="shared" si="2378"/>
        <v>21.6</v>
      </c>
      <c r="CS723" s="229">
        <f t="shared" si="2379"/>
        <v>0</v>
      </c>
      <c r="CT723" s="229">
        <f t="shared" si="2380"/>
        <v>0</v>
      </c>
      <c r="CU723" s="229">
        <f t="shared" si="2381"/>
        <v>325.60000000000002</v>
      </c>
      <c r="CV723" s="229">
        <f t="shared" si="2382"/>
        <v>0</v>
      </c>
      <c r="CW723" s="229">
        <f t="shared" si="2383"/>
        <v>0</v>
      </c>
      <c r="CX723" s="229">
        <f t="shared" si="2384"/>
        <v>0</v>
      </c>
      <c r="CY723" s="229">
        <f t="shared" si="2385"/>
        <v>0</v>
      </c>
      <c r="CZ723" s="229">
        <f t="shared" si="2386"/>
        <v>0</v>
      </c>
      <c r="DA723" s="229">
        <f t="shared" si="2387"/>
        <v>0</v>
      </c>
      <c r="DB723" s="228">
        <f t="shared" si="2235"/>
        <v>401.20000000000005</v>
      </c>
      <c r="DC723" s="229"/>
      <c r="DD723" s="229"/>
      <c r="DE723" s="229"/>
      <c r="DF723" s="229"/>
      <c r="DG723" s="229"/>
      <c r="DH723" s="229"/>
      <c r="DI723" s="229"/>
      <c r="DJ723" s="229"/>
      <c r="DK723" s="229"/>
      <c r="DL723" s="229"/>
      <c r="DM723" s="229"/>
      <c r="DN723" s="229"/>
      <c r="DO723" s="228">
        <f t="shared" si="2247"/>
        <v>0</v>
      </c>
      <c r="DP723" s="228">
        <f t="shared" si="2248"/>
        <v>401.20000000000005</v>
      </c>
      <c r="DQ723" s="229">
        <f t="shared" si="2388"/>
        <v>0</v>
      </c>
      <c r="DR723" s="229">
        <f t="shared" si="2389"/>
        <v>0</v>
      </c>
      <c r="DS723" s="229">
        <f t="shared" si="2390"/>
        <v>0</v>
      </c>
      <c r="DT723" s="229">
        <f t="shared" si="2391"/>
        <v>0</v>
      </c>
      <c r="DU723" s="229">
        <f t="shared" si="2392"/>
        <v>0</v>
      </c>
      <c r="DV723" s="229">
        <f t="shared" si="2393"/>
        <v>0</v>
      </c>
      <c r="DW723" s="229">
        <f t="shared" si="2394"/>
        <v>0</v>
      </c>
      <c r="DX723" s="228">
        <f t="shared" si="2236"/>
        <v>0</v>
      </c>
      <c r="DY723" s="229"/>
      <c r="DZ723" s="229"/>
      <c r="EA723" s="229"/>
      <c r="EB723" s="229"/>
      <c r="EC723" s="229"/>
      <c r="ED723" s="229"/>
      <c r="EE723" s="229"/>
      <c r="EF723" s="228">
        <f t="shared" si="2371"/>
        <v>0</v>
      </c>
      <c r="EG723" s="228">
        <f t="shared" si="2249"/>
        <v>0</v>
      </c>
      <c r="EH723" s="229">
        <f t="shared" si="2372"/>
        <v>0</v>
      </c>
      <c r="EI723" s="229">
        <v>0</v>
      </c>
      <c r="EJ723" s="228">
        <f t="shared" si="2400"/>
        <v>0</v>
      </c>
      <c r="EK723" s="229"/>
      <c r="EL723" s="229"/>
      <c r="EM723" s="228">
        <f t="shared" si="2401"/>
        <v>0</v>
      </c>
      <c r="EN723" s="229">
        <f t="shared" si="2220"/>
        <v>0</v>
      </c>
      <c r="EO723" s="229">
        <f t="shared" si="2321"/>
        <v>0</v>
      </c>
      <c r="EP723" s="228">
        <f t="shared" si="2402"/>
        <v>0</v>
      </c>
      <c r="EQ723" s="173">
        <f t="shared" si="2358"/>
        <v>0</v>
      </c>
      <c r="ER723" s="189">
        <v>0</v>
      </c>
      <c r="ES723" s="189">
        <v>54</v>
      </c>
      <c r="ET723" s="189">
        <v>21.6</v>
      </c>
      <c r="EU723" s="189">
        <v>0</v>
      </c>
      <c r="EV723" s="189">
        <v>0</v>
      </c>
      <c r="EW723" s="189">
        <v>325.60000000000002</v>
      </c>
      <c r="EX723" s="189">
        <v>0</v>
      </c>
      <c r="EY723" s="189">
        <v>0</v>
      </c>
      <c r="EZ723" s="189">
        <v>0</v>
      </c>
      <c r="FA723" s="189">
        <v>0</v>
      </c>
      <c r="FB723" s="189">
        <v>0</v>
      </c>
      <c r="FC723" s="189">
        <v>0</v>
      </c>
      <c r="FD723" s="189">
        <v>0</v>
      </c>
      <c r="FE723" s="189">
        <v>0</v>
      </c>
      <c r="FF723" s="189">
        <v>0</v>
      </c>
      <c r="FG723" s="189">
        <v>0</v>
      </c>
      <c r="FH723" s="189">
        <v>0</v>
      </c>
      <c r="FI723" s="189">
        <v>0</v>
      </c>
      <c r="FJ723" s="189">
        <v>0</v>
      </c>
      <c r="FK723" s="189">
        <v>401.2</v>
      </c>
      <c r="FL723" s="189">
        <v>288</v>
      </c>
      <c r="FN723" s="132">
        <v>0</v>
      </c>
    </row>
    <row r="724" spans="1:170" ht="30" customHeight="1">
      <c r="A724" s="88">
        <f>COUNTIF($H$12:H724,H724)</f>
        <v>16</v>
      </c>
      <c r="B724" s="88" t="s">
        <v>2016</v>
      </c>
      <c r="C724" s="88" t="s">
        <v>1558</v>
      </c>
      <c r="D724" s="88"/>
      <c r="E724" s="88"/>
      <c r="F724" s="301" t="s">
        <v>602</v>
      </c>
      <c r="G724" s="89" t="s">
        <v>603</v>
      </c>
      <c r="H724" s="88">
        <v>20</v>
      </c>
      <c r="I724" s="88">
        <v>20</v>
      </c>
      <c r="J724" s="88">
        <v>20</v>
      </c>
      <c r="K724" s="91" t="s">
        <v>2440</v>
      </c>
      <c r="L724" s="91" t="s">
        <v>2440</v>
      </c>
      <c r="M724" s="214"/>
      <c r="N724" s="88" t="s">
        <v>2219</v>
      </c>
      <c r="O724" s="216">
        <f t="shared" si="2403"/>
        <v>2.67</v>
      </c>
      <c r="P724" s="88" t="str">
        <f t="shared" si="2322"/>
        <v>B2_3</v>
      </c>
      <c r="Q724" s="88">
        <f t="shared" si="2323"/>
        <v>270</v>
      </c>
      <c r="R724" s="88">
        <f t="shared" si="2324"/>
        <v>60</v>
      </c>
      <c r="S724" s="231"/>
      <c r="T724" s="214" t="s">
        <v>3088</v>
      </c>
      <c r="U724" s="88">
        <f>IF(RIGHT(T724,1)="K",(VLOOKUP(T724,ma_miengiam!$A$3:$B$80,2,0)*100)/2,VLOOKUP(T724,ma_miengiam!$A$3:$B$80,2,0)*100)</f>
        <v>0</v>
      </c>
      <c r="V724" s="88"/>
      <c r="W724" s="220">
        <f>IF(AND(T724="NTS",V724&gt;0),(Q724-(Q724*V724)/12)*VLOOKUP(T724,ma_miengiam!$A$3:$B$80,2,0)+(Q724-(Q724*(12-V724))/12),IF(AND(RIGHT(T724,1)="K",V724&gt;0),(VLOOKUP(T724,ma_miengiam!$A$3:$B$80,2,0)/2)*(Q724*V724)/12,IF(RIGHT(T724,1)="K",(VLOOKUP(T724,ma_miengiam!$A$3:$B$80,2,0)*Q724)/2,IF(V724&gt;0,VLOOKUP(T724,ma_miengiam!$A$3:$B$80,2,0)*Q724*V724/12,VLOOKUP(T724,ma_miengiam!$A$3:$B$80,2,0)*Q724))))</f>
        <v>0</v>
      </c>
      <c r="X724" s="220">
        <f>IF(T724="NTS",VLOOKUP(T724,ma_miengiam!$A$3:$B$80,2,0)*R724*V724,IF(AND(T724="NTS",V724=0),0,IF(AND(LEFT(T724,1)="K",V724=0),VLOOKUP(T724,ma_miengiam!$A$3:$B$80,2,0)*R724,IF(LEFT(T724,1)="K",(VLOOKUP(T724,ma_miengiam!$A$3:$B$80,2,0)*R724/12)*V724,IF(AND(LEFT(T724,1)="S",V724&gt;0),(R724/12)*V724,IF(AND(LEFT(T724,1)="S",V724=0),R724,IF(T724="DH",VLOOKUP(T724,ma_miengiam!$A$3:$B$80,2,0)*R724,0)))))))</f>
        <v>0</v>
      </c>
      <c r="Y724" s="220">
        <f t="shared" si="2349"/>
        <v>270</v>
      </c>
      <c r="Z724" s="220">
        <f t="shared" si="2258"/>
        <v>60</v>
      </c>
      <c r="AA724" s="220">
        <f t="shared" ref="AA724:AB726" si="2410">Q724</f>
        <v>270</v>
      </c>
      <c r="AB724" s="220">
        <f t="shared" si="2410"/>
        <v>60</v>
      </c>
      <c r="AC724" s="220">
        <f t="shared" ref="AC724:AF725" si="2411">W724</f>
        <v>0</v>
      </c>
      <c r="AD724" s="220">
        <f t="shared" si="2411"/>
        <v>0</v>
      </c>
      <c r="AE724" s="220">
        <f t="shared" si="2411"/>
        <v>270</v>
      </c>
      <c r="AF724" s="220">
        <f t="shared" si="2411"/>
        <v>60</v>
      </c>
      <c r="AG724" s="220">
        <f>AH724+AI724</f>
        <v>0</v>
      </c>
      <c r="AH724" s="220">
        <f>EO724</f>
        <v>0</v>
      </c>
      <c r="AI724" s="220">
        <f>EN724</f>
        <v>0</v>
      </c>
      <c r="AJ724" s="220">
        <f t="shared" si="2334"/>
        <v>-60</v>
      </c>
      <c r="AK724" s="216">
        <f t="shared" si="2408"/>
        <v>330</v>
      </c>
      <c r="AL724" s="220">
        <f t="shared" si="2238"/>
        <v>420.09999999999997</v>
      </c>
      <c r="AM724" s="220">
        <f t="shared" si="2239"/>
        <v>0</v>
      </c>
      <c r="AN724" s="221">
        <f t="shared" si="2240"/>
        <v>420.09999999999997</v>
      </c>
      <c r="AO724" s="220">
        <f t="shared" si="2241"/>
        <v>0</v>
      </c>
      <c r="AP724" s="220">
        <f t="shared" si="2242"/>
        <v>0</v>
      </c>
      <c r="AQ724" s="220">
        <f t="shared" si="2243"/>
        <v>0</v>
      </c>
      <c r="AR724" s="220">
        <f t="shared" si="2244"/>
        <v>0</v>
      </c>
      <c r="AS724" s="220">
        <f t="shared" si="2245"/>
        <v>0</v>
      </c>
      <c r="AT724" s="216">
        <f t="shared" si="2246"/>
        <v>420.09999999999997</v>
      </c>
      <c r="AU724" s="222">
        <f t="shared" si="2320"/>
        <v>90.099999999999966</v>
      </c>
      <c r="AV724" s="220"/>
      <c r="AW724" s="220">
        <f t="shared" si="2350"/>
        <v>90.099999999999966</v>
      </c>
      <c r="AX724" s="216">
        <f t="shared" si="2234"/>
        <v>0</v>
      </c>
      <c r="AY724" s="220">
        <f t="shared" si="2362"/>
        <v>0</v>
      </c>
      <c r="AZ724" s="220">
        <f t="shared" si="2363"/>
        <v>0</v>
      </c>
      <c r="BA724" s="220">
        <f t="shared" si="2364"/>
        <v>0</v>
      </c>
      <c r="BB724" s="220">
        <f t="shared" si="2365"/>
        <v>0</v>
      </c>
      <c r="BC724" s="220">
        <f t="shared" si="2366"/>
        <v>0</v>
      </c>
      <c r="BD724" s="216">
        <f t="shared" si="2404"/>
        <v>0</v>
      </c>
      <c r="BE724" s="220">
        <f t="shared" si="2351"/>
        <v>0</v>
      </c>
      <c r="BF724" s="220">
        <f t="shared" si="2352"/>
        <v>0</v>
      </c>
      <c r="BG724" s="220">
        <f t="shared" si="2353"/>
        <v>0</v>
      </c>
      <c r="BH724" s="220">
        <f t="shared" si="2354"/>
        <v>0</v>
      </c>
      <c r="BI724" s="220">
        <f t="shared" si="2355"/>
        <v>0</v>
      </c>
      <c r="BJ724" s="88" t="s">
        <v>1961</v>
      </c>
      <c r="BK724" s="220"/>
      <c r="BL724" s="223">
        <f t="shared" si="2210"/>
        <v>90.099999999999966</v>
      </c>
      <c r="BM724" s="220">
        <v>2.67</v>
      </c>
      <c r="BN724" s="220"/>
      <c r="BO724" s="220">
        <f t="shared" ref="BO724:BO740" si="2412">ROUND(BM724+(BM724*BN724),2)</f>
        <v>2.67</v>
      </c>
      <c r="BP724" s="220">
        <f>IF(AND(BL724&gt;0,BL724&lt;tiet!$D$1),BL724,IF(BL724&lt;=0,0,IF(BL724&gt;tiet!$C$1,tiet!$C$1)))</f>
        <v>90.099999999999966</v>
      </c>
      <c r="BQ724" s="87">
        <f t="shared" si="2335"/>
        <v>50000</v>
      </c>
      <c r="BR724" s="224">
        <f t="shared" si="2336"/>
        <v>4505000</v>
      </c>
      <c r="BS724" s="220">
        <f t="shared" si="2356"/>
        <v>0</v>
      </c>
      <c r="BT724" s="224">
        <f>VLOOKUP(N724,ma_dinhmuc!$A$1:$J$31,10,0)</f>
        <v>51000</v>
      </c>
      <c r="BU724" s="224">
        <f>ROUND(IF(BS724&gt;0,VLOOKUP(N724,ma_dinhmuc!$A$1:$J$31,10,0)*BS724,0),0)</f>
        <v>0</v>
      </c>
      <c r="BV724" s="224">
        <f t="shared" si="2337"/>
        <v>4505000</v>
      </c>
      <c r="BW724" s="224"/>
      <c r="BX724" s="224">
        <v>0</v>
      </c>
      <c r="BY724" s="224"/>
      <c r="BZ724" s="224"/>
      <c r="CA724" s="224"/>
      <c r="CB724" s="224"/>
      <c r="CC724" s="225">
        <f t="shared" si="2338"/>
        <v>4505000</v>
      </c>
      <c r="CD724" s="224">
        <f t="shared" si="2339"/>
        <v>0</v>
      </c>
      <c r="CE724" s="224"/>
      <c r="CF724" s="226"/>
      <c r="CG724" s="87"/>
      <c r="CH724" s="87">
        <f t="shared" si="2405"/>
        <v>16</v>
      </c>
      <c r="CI724" s="227" t="str">
        <f t="shared" si="2395"/>
        <v>Lê Trọng</v>
      </c>
      <c r="CJ724" s="227" t="str">
        <f t="shared" si="2396"/>
        <v>Động</v>
      </c>
      <c r="CK724" s="87">
        <f t="shared" si="2406"/>
        <v>20</v>
      </c>
      <c r="CL724" s="227" t="str">
        <f t="shared" si="2407"/>
        <v>GDTC</v>
      </c>
      <c r="CM724" s="87" t="str">
        <f t="shared" si="2357"/>
        <v>TT2</v>
      </c>
      <c r="CN724" s="87">
        <f t="shared" si="2409"/>
        <v>270</v>
      </c>
      <c r="CO724" s="87">
        <f t="shared" si="2409"/>
        <v>60</v>
      </c>
      <c r="CP724" s="229">
        <f t="shared" si="2376"/>
        <v>0</v>
      </c>
      <c r="CQ724" s="229">
        <f t="shared" si="2377"/>
        <v>55.1</v>
      </c>
      <c r="CR724" s="229">
        <f t="shared" si="2378"/>
        <v>22.1</v>
      </c>
      <c r="CS724" s="229">
        <f t="shared" si="2379"/>
        <v>0</v>
      </c>
      <c r="CT724" s="229">
        <f t="shared" si="2380"/>
        <v>0</v>
      </c>
      <c r="CU724" s="229">
        <f t="shared" si="2381"/>
        <v>342.9</v>
      </c>
      <c r="CV724" s="229">
        <f t="shared" si="2382"/>
        <v>0</v>
      </c>
      <c r="CW724" s="229">
        <f t="shared" si="2383"/>
        <v>0</v>
      </c>
      <c r="CX724" s="229">
        <f t="shared" si="2384"/>
        <v>0</v>
      </c>
      <c r="CY724" s="229">
        <f t="shared" si="2385"/>
        <v>0</v>
      </c>
      <c r="CZ724" s="229">
        <f t="shared" si="2386"/>
        <v>0</v>
      </c>
      <c r="DA724" s="229">
        <f t="shared" si="2387"/>
        <v>0</v>
      </c>
      <c r="DB724" s="228">
        <f t="shared" si="2235"/>
        <v>420.09999999999997</v>
      </c>
      <c r="DC724" s="229"/>
      <c r="DD724" s="229"/>
      <c r="DE724" s="229"/>
      <c r="DF724" s="229"/>
      <c r="DG724" s="229"/>
      <c r="DH724" s="229"/>
      <c r="DI724" s="229"/>
      <c r="DJ724" s="229"/>
      <c r="DK724" s="229"/>
      <c r="DL724" s="229"/>
      <c r="DM724" s="229"/>
      <c r="DN724" s="229"/>
      <c r="DO724" s="228">
        <f t="shared" si="2247"/>
        <v>0</v>
      </c>
      <c r="DP724" s="228">
        <f t="shared" si="2248"/>
        <v>420.09999999999997</v>
      </c>
      <c r="DQ724" s="229">
        <f t="shared" si="2388"/>
        <v>0</v>
      </c>
      <c r="DR724" s="229">
        <f t="shared" si="2389"/>
        <v>0</v>
      </c>
      <c r="DS724" s="229">
        <f t="shared" si="2390"/>
        <v>0</v>
      </c>
      <c r="DT724" s="229">
        <f t="shared" si="2391"/>
        <v>0</v>
      </c>
      <c r="DU724" s="229">
        <f t="shared" si="2392"/>
        <v>0</v>
      </c>
      <c r="DV724" s="229">
        <f t="shared" si="2393"/>
        <v>0</v>
      </c>
      <c r="DW724" s="229">
        <f t="shared" si="2394"/>
        <v>0</v>
      </c>
      <c r="DX724" s="228">
        <f t="shared" si="2236"/>
        <v>0</v>
      </c>
      <c r="DY724" s="229"/>
      <c r="DZ724" s="229"/>
      <c r="EA724" s="229"/>
      <c r="EB724" s="229"/>
      <c r="EC724" s="229"/>
      <c r="ED724" s="229"/>
      <c r="EE724" s="229"/>
      <c r="EF724" s="228">
        <f t="shared" si="2371"/>
        <v>0</v>
      </c>
      <c r="EG724" s="228">
        <f t="shared" si="2249"/>
        <v>0</v>
      </c>
      <c r="EH724" s="229">
        <f t="shared" si="2372"/>
        <v>0</v>
      </c>
      <c r="EI724" s="229">
        <v>0</v>
      </c>
      <c r="EJ724" s="228">
        <f t="shared" si="2400"/>
        <v>0</v>
      </c>
      <c r="EK724" s="229"/>
      <c r="EL724" s="229"/>
      <c r="EM724" s="228">
        <f t="shared" si="2401"/>
        <v>0</v>
      </c>
      <c r="EN724" s="229">
        <f t="shared" si="2220"/>
        <v>0</v>
      </c>
      <c r="EO724" s="229">
        <f t="shared" si="2321"/>
        <v>0</v>
      </c>
      <c r="EP724" s="228">
        <f t="shared" si="2402"/>
        <v>0</v>
      </c>
      <c r="EQ724" s="173">
        <f t="shared" si="2358"/>
        <v>0</v>
      </c>
      <c r="ER724" s="189">
        <v>0</v>
      </c>
      <c r="ES724" s="189">
        <v>55.1</v>
      </c>
      <c r="ET724" s="189">
        <v>22.1</v>
      </c>
      <c r="EU724" s="189">
        <v>0</v>
      </c>
      <c r="EV724" s="189">
        <v>0</v>
      </c>
      <c r="EW724" s="189">
        <v>342.9</v>
      </c>
      <c r="EX724" s="189">
        <v>0</v>
      </c>
      <c r="EY724" s="189">
        <v>0</v>
      </c>
      <c r="EZ724" s="189">
        <v>0</v>
      </c>
      <c r="FA724" s="189">
        <v>0</v>
      </c>
      <c r="FB724" s="189">
        <v>0</v>
      </c>
      <c r="FC724" s="189">
        <v>0</v>
      </c>
      <c r="FD724" s="189">
        <v>0</v>
      </c>
      <c r="FE724" s="189">
        <v>0</v>
      </c>
      <c r="FF724" s="189">
        <v>0</v>
      </c>
      <c r="FG724" s="189">
        <v>0</v>
      </c>
      <c r="FH724" s="189">
        <v>0</v>
      </c>
      <c r="FI724" s="189">
        <v>0</v>
      </c>
      <c r="FJ724" s="189">
        <v>0</v>
      </c>
      <c r="FK724" s="189">
        <v>420.1</v>
      </c>
      <c r="FL724" s="189">
        <v>320</v>
      </c>
      <c r="FN724" s="132">
        <v>0</v>
      </c>
    </row>
    <row r="725" spans="1:170" ht="30" customHeight="1">
      <c r="A725" s="88">
        <f>COUNTIF($H$12:H725,H725)</f>
        <v>17</v>
      </c>
      <c r="B725" s="88" t="s">
        <v>2017</v>
      </c>
      <c r="C725" s="88" t="s">
        <v>1559</v>
      </c>
      <c r="D725" s="88"/>
      <c r="E725" s="88"/>
      <c r="F725" s="301" t="s">
        <v>47</v>
      </c>
      <c r="G725" s="89" t="s">
        <v>281</v>
      </c>
      <c r="H725" s="88">
        <v>20</v>
      </c>
      <c r="I725" s="88">
        <v>20</v>
      </c>
      <c r="J725" s="88">
        <v>20</v>
      </c>
      <c r="K725" s="91" t="s">
        <v>2440</v>
      </c>
      <c r="L725" s="91" t="s">
        <v>2440</v>
      </c>
      <c r="M725" s="214"/>
      <c r="N725" s="88" t="s">
        <v>2219</v>
      </c>
      <c r="O725" s="216">
        <f t="shared" si="2403"/>
        <v>2.67</v>
      </c>
      <c r="P725" s="88" t="str">
        <f t="shared" si="2322"/>
        <v>B2_3</v>
      </c>
      <c r="Q725" s="88">
        <f t="shared" si="2323"/>
        <v>270</v>
      </c>
      <c r="R725" s="88">
        <f t="shared" si="2324"/>
        <v>60</v>
      </c>
      <c r="S725" s="231"/>
      <c r="T725" s="214" t="s">
        <v>3088</v>
      </c>
      <c r="U725" s="88">
        <f>IF(RIGHT(T725,1)="K",(VLOOKUP(T725,ma_miengiam!$A$3:$B$80,2,0)*100)/2,VLOOKUP(T725,ma_miengiam!$A$3:$B$80,2,0)*100)</f>
        <v>0</v>
      </c>
      <c r="V725" s="88"/>
      <c r="W725" s="220">
        <f>IF(AND(T725="NTS",V725&gt;0),(Q725-(Q725*V725)/12)*VLOOKUP(T725,ma_miengiam!$A$3:$B$80,2,0)+(Q725-(Q725*(12-V725))/12),IF(AND(RIGHT(T725,1)="K",V725&gt;0),(VLOOKUP(T725,ma_miengiam!$A$3:$B$80,2,0)/2)*(Q725*V725)/12,IF(RIGHT(T725,1)="K",(VLOOKUP(T725,ma_miengiam!$A$3:$B$80,2,0)*Q725)/2,IF(V725&gt;0,VLOOKUP(T725,ma_miengiam!$A$3:$B$80,2,0)*Q725*V725/12,VLOOKUP(T725,ma_miengiam!$A$3:$B$80,2,0)*Q725))))</f>
        <v>0</v>
      </c>
      <c r="X725" s="220">
        <f>IF(T725="NTS",VLOOKUP(T725,ma_miengiam!$A$3:$B$80,2,0)*R725*V725,IF(AND(T725="NTS",V725=0),0,IF(AND(LEFT(T725,1)="K",V725=0),VLOOKUP(T725,ma_miengiam!$A$3:$B$80,2,0)*R725,IF(LEFT(T725,1)="K",(VLOOKUP(T725,ma_miengiam!$A$3:$B$80,2,0)*R725/12)*V725,IF(AND(LEFT(T725,1)="S",V725&gt;0),(R725/12)*V725,IF(AND(LEFT(T725,1)="S",V725=0),R725,IF(T725="DH",VLOOKUP(T725,ma_miengiam!$A$3:$B$80,2,0)*R725,0)))))))</f>
        <v>0</v>
      </c>
      <c r="Y725" s="220">
        <f t="shared" si="2349"/>
        <v>270</v>
      </c>
      <c r="Z725" s="220">
        <f>IF(AND(T725="SĐH",V725&gt;0),(R725/12)*V725-X725,IF(AND(T725="DH",V725&gt;0),(R725*V725/12),IF(AND(T725&lt;&gt;"NTS",V725&gt;0),(R725*V725/12)-X725,IF(AND(T725="NTS",V725&gt;0),R725-X725,R725-X725))))</f>
        <v>60</v>
      </c>
      <c r="AA725" s="220">
        <f t="shared" si="2410"/>
        <v>270</v>
      </c>
      <c r="AB725" s="220">
        <f t="shared" si="2410"/>
        <v>60</v>
      </c>
      <c r="AC725" s="220">
        <f t="shared" si="2411"/>
        <v>0</v>
      </c>
      <c r="AD725" s="220">
        <f t="shared" si="2411"/>
        <v>0</v>
      </c>
      <c r="AE725" s="220">
        <f t="shared" si="2411"/>
        <v>270</v>
      </c>
      <c r="AF725" s="220">
        <f t="shared" si="2411"/>
        <v>60</v>
      </c>
      <c r="AG725" s="220">
        <f>AH725+AI725</f>
        <v>0</v>
      </c>
      <c r="AH725" s="220">
        <f>EO725</f>
        <v>0</v>
      </c>
      <c r="AI725" s="220">
        <f>EN725</f>
        <v>0</v>
      </c>
      <c r="AJ725" s="220">
        <f t="shared" si="2334"/>
        <v>-60</v>
      </c>
      <c r="AK725" s="216">
        <f t="shared" si="2408"/>
        <v>330</v>
      </c>
      <c r="AL725" s="220">
        <f t="shared" si="2238"/>
        <v>456.8</v>
      </c>
      <c r="AM725" s="220">
        <f t="shared" si="2239"/>
        <v>0</v>
      </c>
      <c r="AN725" s="221">
        <f t="shared" si="2240"/>
        <v>456.8</v>
      </c>
      <c r="AO725" s="220">
        <f t="shared" si="2241"/>
        <v>0</v>
      </c>
      <c r="AP725" s="220">
        <f t="shared" si="2242"/>
        <v>0</v>
      </c>
      <c r="AQ725" s="220">
        <f t="shared" si="2243"/>
        <v>0</v>
      </c>
      <c r="AR725" s="220">
        <f t="shared" si="2244"/>
        <v>0</v>
      </c>
      <c r="AS725" s="220">
        <f t="shared" si="2245"/>
        <v>0</v>
      </c>
      <c r="AT725" s="216">
        <f t="shared" si="2246"/>
        <v>456.8</v>
      </c>
      <c r="AU725" s="222">
        <f t="shared" si="2320"/>
        <v>126.80000000000001</v>
      </c>
      <c r="AV725" s="220"/>
      <c r="AW725" s="220">
        <f t="shared" si="2350"/>
        <v>126.80000000000001</v>
      </c>
      <c r="AX725" s="216">
        <f t="shared" si="2234"/>
        <v>0</v>
      </c>
      <c r="AY725" s="220">
        <f t="shared" si="2362"/>
        <v>0</v>
      </c>
      <c r="AZ725" s="220">
        <f t="shared" si="2363"/>
        <v>0</v>
      </c>
      <c r="BA725" s="220">
        <f t="shared" si="2364"/>
        <v>0</v>
      </c>
      <c r="BB725" s="220">
        <f t="shared" si="2365"/>
        <v>0</v>
      </c>
      <c r="BC725" s="220">
        <f t="shared" si="2366"/>
        <v>0</v>
      </c>
      <c r="BD725" s="216">
        <f t="shared" si="2404"/>
        <v>0</v>
      </c>
      <c r="BE725" s="220">
        <f t="shared" si="2351"/>
        <v>0</v>
      </c>
      <c r="BF725" s="220">
        <f t="shared" si="2352"/>
        <v>0</v>
      </c>
      <c r="BG725" s="220">
        <f t="shared" si="2353"/>
        <v>0</v>
      </c>
      <c r="BH725" s="220">
        <f t="shared" si="2354"/>
        <v>0</v>
      </c>
      <c r="BI725" s="220">
        <f t="shared" si="2355"/>
        <v>0</v>
      </c>
      <c r="BJ725" s="88" t="s">
        <v>1961</v>
      </c>
      <c r="BK725" s="220"/>
      <c r="BL725" s="223">
        <f t="shared" si="2210"/>
        <v>126.80000000000001</v>
      </c>
      <c r="BM725" s="220">
        <v>2.67</v>
      </c>
      <c r="BN725" s="220"/>
      <c r="BO725" s="220">
        <f t="shared" si="2412"/>
        <v>2.67</v>
      </c>
      <c r="BP725" s="220">
        <f>IF(AND(BL725&gt;0,BL725&lt;tiet!$D$1),BL725,IF(BL725&lt;=0,0,IF(BL725&gt;tiet!$C$1,tiet!$C$1)))</f>
        <v>126.80000000000001</v>
      </c>
      <c r="BQ725" s="87">
        <f t="shared" si="2335"/>
        <v>50000</v>
      </c>
      <c r="BR725" s="224">
        <f t="shared" si="2336"/>
        <v>6340000</v>
      </c>
      <c r="BS725" s="220">
        <f t="shared" si="2356"/>
        <v>0</v>
      </c>
      <c r="BT725" s="224">
        <f>VLOOKUP(N725,ma_dinhmuc!$A$1:$J$31,10,0)</f>
        <v>51000</v>
      </c>
      <c r="BU725" s="224">
        <f>ROUND(IF(BS725&gt;0,VLOOKUP(N725,ma_dinhmuc!$A$1:$J$31,10,0)*BS725,0),0)</f>
        <v>0</v>
      </c>
      <c r="BV725" s="224">
        <f t="shared" si="2337"/>
        <v>6340000</v>
      </c>
      <c r="BW725" s="224"/>
      <c r="BX725" s="224">
        <v>0</v>
      </c>
      <c r="BY725" s="224"/>
      <c r="BZ725" s="224"/>
      <c r="CA725" s="224"/>
      <c r="CB725" s="224"/>
      <c r="CC725" s="225">
        <f t="shared" si="2338"/>
        <v>6340000</v>
      </c>
      <c r="CD725" s="224">
        <f t="shared" si="2339"/>
        <v>0</v>
      </c>
      <c r="CE725" s="224"/>
      <c r="CF725" s="226"/>
      <c r="CG725" s="87"/>
      <c r="CH725" s="87">
        <f t="shared" si="2405"/>
        <v>17</v>
      </c>
      <c r="CI725" s="227" t="str">
        <f t="shared" si="2395"/>
        <v>Nguyễn Tiến</v>
      </c>
      <c r="CJ725" s="227" t="str">
        <f t="shared" si="2396"/>
        <v>Tuân</v>
      </c>
      <c r="CK725" s="87">
        <f t="shared" si="2406"/>
        <v>20</v>
      </c>
      <c r="CL725" s="227" t="str">
        <f t="shared" si="2407"/>
        <v>GDTC</v>
      </c>
      <c r="CM725" s="87" t="str">
        <f t="shared" si="2357"/>
        <v>TT2</v>
      </c>
      <c r="CN725" s="87">
        <f t="shared" si="2409"/>
        <v>270</v>
      </c>
      <c r="CO725" s="87">
        <f t="shared" si="2409"/>
        <v>60</v>
      </c>
      <c r="CP725" s="229">
        <f t="shared" si="2376"/>
        <v>0</v>
      </c>
      <c r="CQ725" s="229">
        <f t="shared" si="2377"/>
        <v>51.9</v>
      </c>
      <c r="CR725" s="229">
        <f t="shared" si="2378"/>
        <v>20.9</v>
      </c>
      <c r="CS725" s="229">
        <f t="shared" si="2379"/>
        <v>0</v>
      </c>
      <c r="CT725" s="229">
        <f t="shared" si="2380"/>
        <v>0</v>
      </c>
      <c r="CU725" s="229">
        <f t="shared" si="2381"/>
        <v>384</v>
      </c>
      <c r="CV725" s="229">
        <f t="shared" si="2382"/>
        <v>0</v>
      </c>
      <c r="CW725" s="229">
        <f t="shared" si="2383"/>
        <v>0</v>
      </c>
      <c r="CX725" s="229">
        <f t="shared" si="2384"/>
        <v>0</v>
      </c>
      <c r="CY725" s="229">
        <f t="shared" si="2385"/>
        <v>0</v>
      </c>
      <c r="CZ725" s="229">
        <f t="shared" si="2386"/>
        <v>0</v>
      </c>
      <c r="DA725" s="229">
        <f t="shared" si="2387"/>
        <v>0</v>
      </c>
      <c r="DB725" s="228">
        <f t="shared" si="2235"/>
        <v>456.8</v>
      </c>
      <c r="DC725" s="229"/>
      <c r="DD725" s="229"/>
      <c r="DE725" s="229"/>
      <c r="DF725" s="229"/>
      <c r="DG725" s="229"/>
      <c r="DH725" s="229"/>
      <c r="DI725" s="229"/>
      <c r="DJ725" s="229"/>
      <c r="DK725" s="229"/>
      <c r="DL725" s="229"/>
      <c r="DM725" s="229"/>
      <c r="DN725" s="229"/>
      <c r="DO725" s="228">
        <f t="shared" si="2247"/>
        <v>0</v>
      </c>
      <c r="DP725" s="228">
        <f t="shared" si="2248"/>
        <v>456.8</v>
      </c>
      <c r="DQ725" s="229">
        <f t="shared" si="2388"/>
        <v>0</v>
      </c>
      <c r="DR725" s="229">
        <f t="shared" si="2389"/>
        <v>0</v>
      </c>
      <c r="DS725" s="229">
        <f t="shared" si="2390"/>
        <v>0</v>
      </c>
      <c r="DT725" s="229">
        <f t="shared" si="2391"/>
        <v>0</v>
      </c>
      <c r="DU725" s="229">
        <f t="shared" si="2392"/>
        <v>0</v>
      </c>
      <c r="DV725" s="229">
        <f t="shared" si="2393"/>
        <v>0</v>
      </c>
      <c r="DW725" s="229">
        <f t="shared" si="2394"/>
        <v>0</v>
      </c>
      <c r="DX725" s="228">
        <f t="shared" si="2236"/>
        <v>0</v>
      </c>
      <c r="DY725" s="229"/>
      <c r="DZ725" s="229"/>
      <c r="EA725" s="229"/>
      <c r="EB725" s="229"/>
      <c r="EC725" s="229"/>
      <c r="ED725" s="229"/>
      <c r="EE725" s="229"/>
      <c r="EF725" s="228">
        <f t="shared" si="2371"/>
        <v>0</v>
      </c>
      <c r="EG725" s="228">
        <f t="shared" si="2249"/>
        <v>0</v>
      </c>
      <c r="EH725" s="229">
        <f t="shared" si="2372"/>
        <v>0</v>
      </c>
      <c r="EI725" s="229">
        <v>0</v>
      </c>
      <c r="EJ725" s="228">
        <f t="shared" si="2400"/>
        <v>0</v>
      </c>
      <c r="EK725" s="229"/>
      <c r="EL725" s="229"/>
      <c r="EM725" s="228">
        <f t="shared" si="2401"/>
        <v>0</v>
      </c>
      <c r="EN725" s="229">
        <f t="shared" si="2220"/>
        <v>0</v>
      </c>
      <c r="EO725" s="229">
        <f t="shared" si="2321"/>
        <v>0</v>
      </c>
      <c r="EP725" s="228">
        <f t="shared" si="2402"/>
        <v>0</v>
      </c>
      <c r="EQ725" s="173">
        <f t="shared" si="2358"/>
        <v>0</v>
      </c>
      <c r="ER725" s="189">
        <v>0</v>
      </c>
      <c r="ES725" s="189">
        <v>51.9</v>
      </c>
      <c r="ET725" s="189">
        <v>20.9</v>
      </c>
      <c r="EU725" s="189">
        <v>0</v>
      </c>
      <c r="EV725" s="189">
        <v>0</v>
      </c>
      <c r="EW725" s="189">
        <v>384</v>
      </c>
      <c r="EX725" s="189">
        <v>0</v>
      </c>
      <c r="EY725" s="189">
        <v>0</v>
      </c>
      <c r="EZ725" s="189">
        <v>0</v>
      </c>
      <c r="FA725" s="189">
        <v>0</v>
      </c>
      <c r="FB725" s="189">
        <v>0</v>
      </c>
      <c r="FC725" s="189">
        <v>0</v>
      </c>
      <c r="FD725" s="189">
        <v>0</v>
      </c>
      <c r="FE725" s="189">
        <v>0</v>
      </c>
      <c r="FF725" s="189">
        <v>0</v>
      </c>
      <c r="FG725" s="189">
        <v>0</v>
      </c>
      <c r="FH725" s="189">
        <v>0</v>
      </c>
      <c r="FI725" s="189">
        <v>0</v>
      </c>
      <c r="FJ725" s="189">
        <v>0</v>
      </c>
      <c r="FK725" s="189">
        <v>456.8</v>
      </c>
      <c r="FL725" s="189">
        <v>384</v>
      </c>
      <c r="FN725" s="132">
        <v>0</v>
      </c>
    </row>
    <row r="726" spans="1:170" ht="30" customHeight="1">
      <c r="A726" s="88">
        <f>COUNTIF($H$12:H726,H726)</f>
        <v>18</v>
      </c>
      <c r="B726" s="88" t="s">
        <v>51</v>
      </c>
      <c r="C726" s="88" t="s">
        <v>3129</v>
      </c>
      <c r="D726" s="88"/>
      <c r="E726" s="88"/>
      <c r="F726" s="301" t="s">
        <v>3130</v>
      </c>
      <c r="G726" s="89" t="s">
        <v>1114</v>
      </c>
      <c r="H726" s="88">
        <v>20</v>
      </c>
      <c r="I726" s="88">
        <v>20</v>
      </c>
      <c r="J726" s="88">
        <v>20</v>
      </c>
      <c r="K726" s="91" t="s">
        <v>2440</v>
      </c>
      <c r="L726" s="91" t="s">
        <v>2440</v>
      </c>
      <c r="M726" s="214"/>
      <c r="N726" s="88" t="s">
        <v>2219</v>
      </c>
      <c r="O726" s="216">
        <f t="shared" si="2403"/>
        <v>2.34</v>
      </c>
      <c r="P726" s="88" t="str">
        <f t="shared" si="2322"/>
        <v>B2_3</v>
      </c>
      <c r="Q726" s="88">
        <f t="shared" si="2323"/>
        <v>270</v>
      </c>
      <c r="R726" s="88">
        <f t="shared" si="2324"/>
        <v>60</v>
      </c>
      <c r="S726" s="218"/>
      <c r="T726" s="219" t="s">
        <v>3088</v>
      </c>
      <c r="U726" s="88">
        <f>IF(RIGHT(T726,1)="K",(VLOOKUP(T726,ma_miengiam!$A$3:$B$80,2,0)*100)/2,VLOOKUP(T726,ma_miengiam!$A$3:$B$80,2,0)*100)</f>
        <v>0</v>
      </c>
      <c r="V726" s="88"/>
      <c r="W726" s="220">
        <f>IF(AND(T726="NTS",V726&gt;0),(Q726-(Q726*V726)/12)*VLOOKUP(T726,ma_miengiam!$A$3:$B$80,2,0)+(Q726-(Q726*(12-V726))/12),IF(AND(RIGHT(T726,1)="K",V726&gt;0),(VLOOKUP(T726,ma_miengiam!$A$3:$B$80,2,0)/2)*(Q726*V726)/12,IF(RIGHT(T726,1)="K",(VLOOKUP(T726,ma_miengiam!$A$3:$B$80,2,0)*Q726)/2,IF(V726&gt;0,VLOOKUP(T726,ma_miengiam!$A$3:$B$80,2,0)*Q726*V726/12,VLOOKUP(T726,ma_miengiam!$A$3:$B$80,2,0)*Q726))))</f>
        <v>0</v>
      </c>
      <c r="X726" s="220">
        <f>IF(T726="NTS",VLOOKUP(T726,ma_miengiam!$A$3:$B$80,2,0)*R726*V726,IF(AND(T726="NTS",V726=0),0,IF(AND(LEFT(T726,1)="K",V726=0),VLOOKUP(T726,ma_miengiam!$A$3:$B$80,2,0)*R726,IF(LEFT(T726,1)="K",(VLOOKUP(T726,ma_miengiam!$A$3:$B$80,2,0)*R726/12)*V726,IF(AND(LEFT(T726,1)="S",V726&gt;0),(R726/12)*V726,IF(AND(LEFT(T726,1)="S",V726=0),R726,IF(T726="DH",VLOOKUP(T726,ma_miengiam!$A$3:$B$80,2,0)*R726,0)))))))</f>
        <v>0</v>
      </c>
      <c r="Y726" s="220">
        <f>IF(AND(T726="DH",V726&gt;0),(S726*V726/12),IF(AND(T726&lt;&gt;"NTS",V726&gt;0),(Q726*V726/12)-W726,IF(AND(T726="NTS",V726&gt;0),Q726-W726,Q726-W726)))</f>
        <v>270</v>
      </c>
      <c r="Z726" s="220">
        <f>IF(AND(T726="SĐH",V726&gt;0),(R726/12)*V726-X726,IF(AND(T726="DH",V726&gt;0),(R726*V726/12),IF(AND(T726&lt;&gt;"NTS",V726&gt;0),(R726*V726/12)-X726,IF(AND(T726="NTS",V726&gt;0),R726-X726,R726-X726))))</f>
        <v>60</v>
      </c>
      <c r="AA726" s="220">
        <f t="shared" si="2410"/>
        <v>270</v>
      </c>
      <c r="AB726" s="220">
        <f t="shared" si="2410"/>
        <v>60</v>
      </c>
      <c r="AC726" s="220">
        <f t="shared" ref="AC726:AF727" si="2413">W726</f>
        <v>0</v>
      </c>
      <c r="AD726" s="220">
        <f t="shared" si="2413"/>
        <v>0</v>
      </c>
      <c r="AE726" s="220">
        <f t="shared" si="2413"/>
        <v>270</v>
      </c>
      <c r="AF726" s="220">
        <f t="shared" si="2413"/>
        <v>60</v>
      </c>
      <c r="AG726" s="220">
        <f>AH726+AI726</f>
        <v>0</v>
      </c>
      <c r="AH726" s="220">
        <f>EO726</f>
        <v>0</v>
      </c>
      <c r="AI726" s="220">
        <f>EN726</f>
        <v>0</v>
      </c>
      <c r="AJ726" s="220">
        <f>IF(AG726-Z726&gt;0,0,AG726-Z726)</f>
        <v>-60</v>
      </c>
      <c r="AK726" s="216">
        <f t="shared" si="2408"/>
        <v>330</v>
      </c>
      <c r="AL726" s="220">
        <f t="shared" si="2238"/>
        <v>187.2</v>
      </c>
      <c r="AM726" s="220">
        <f t="shared" si="2239"/>
        <v>0</v>
      </c>
      <c r="AN726" s="216">
        <f t="shared" si="2240"/>
        <v>187.2</v>
      </c>
      <c r="AO726" s="220">
        <f t="shared" si="2241"/>
        <v>0</v>
      </c>
      <c r="AP726" s="220">
        <f t="shared" si="2242"/>
        <v>0</v>
      </c>
      <c r="AQ726" s="220">
        <f t="shared" si="2243"/>
        <v>0</v>
      </c>
      <c r="AR726" s="220">
        <f t="shared" si="2244"/>
        <v>0</v>
      </c>
      <c r="AS726" s="220">
        <f t="shared" si="2245"/>
        <v>0</v>
      </c>
      <c r="AT726" s="216">
        <f t="shared" si="2246"/>
        <v>187.2</v>
      </c>
      <c r="AU726" s="220">
        <f>AN726-AK726</f>
        <v>-142.80000000000001</v>
      </c>
      <c r="AV726" s="220"/>
      <c r="AW726" s="220">
        <f>IF(AU726&gt;0,AU726,AV726+AU726)</f>
        <v>-142.80000000000001</v>
      </c>
      <c r="AX726" s="216">
        <f t="shared" si="2234"/>
        <v>-142.80000000000001</v>
      </c>
      <c r="AY726" s="220">
        <f>IF(AN726&gt;=AK726,AO726,IF(AN726+AO726-AK726&gt;=0,AN726+AO726-AK726,0))</f>
        <v>0</v>
      </c>
      <c r="AZ726" s="220">
        <f>IF(OR(AN726&gt;=AK726,AN726+AO726&gt;=AK726),AP726,IF(AN726+AO726+AP726&gt;AK726,AN726+AO726+AP726-AK726,0))</f>
        <v>0</v>
      </c>
      <c r="BA726" s="220">
        <f>IF(OR(AN726&gt;=AK726,AN726+AO726&gt;=AK726,AN726+AO726+AP726&gt;=AK726),AQ726,IF(AN726+AO726+AP726+AQ726&gt;=AK726,AN726+AO726+AP726+AQ726-AK726,0))</f>
        <v>0</v>
      </c>
      <c r="BB726" s="220">
        <f>IF(OR(AN726&gt;=AK726,AN726+AO726&gt;=AK726,AN726+AO726+AP726&gt;=AK726,AN726+AO726+AP726+AQ726&gt;=AK726),AR726,IF(AN726+AO726+AP726+AQ726+AR726&gt;=AK726,AN726+AO726+AP726+AQ726+AR726-AK726,0))</f>
        <v>0</v>
      </c>
      <c r="BC726" s="220">
        <f>IF(OR(AN726&gt;=AK726,AN726+AO726&gt;=AK726,AN726+AO726+AP726&gt;=AK726,AN726+AO726+AP726+AQ726&gt;=AK726,AN726+AO726+AP726+AQ726+AR726&gt;=AK726),AS726,IF(AN726+AO726+AP726+AQ726+AR726+AS726&gt;=AK726,AN726+AO726+AP726+AQ726+AR726+AS726-AK726,0))</f>
        <v>0</v>
      </c>
      <c r="BD726" s="216">
        <f t="shared" si="2404"/>
        <v>0</v>
      </c>
      <c r="BE726" s="220">
        <f t="shared" ref="BE726:BI727" si="2414">AY726-AO726</f>
        <v>0</v>
      </c>
      <c r="BF726" s="220">
        <f t="shared" si="2414"/>
        <v>0</v>
      </c>
      <c r="BG726" s="220">
        <f t="shared" si="2414"/>
        <v>0</v>
      </c>
      <c r="BH726" s="220">
        <f t="shared" si="2414"/>
        <v>0</v>
      </c>
      <c r="BI726" s="220">
        <f t="shared" si="2414"/>
        <v>0</v>
      </c>
      <c r="BJ726" s="88" t="s">
        <v>1961</v>
      </c>
      <c r="BK726" s="220"/>
      <c r="BL726" s="223">
        <f t="shared" si="2210"/>
        <v>0</v>
      </c>
      <c r="BM726" s="220">
        <v>2.34</v>
      </c>
      <c r="BN726" s="220"/>
      <c r="BO726" s="220">
        <f t="shared" si="2412"/>
        <v>2.34</v>
      </c>
      <c r="BP726" s="220">
        <f>IF(AND(BL726&gt;0,BL726&lt;tiet!$D$1),BL726,IF(BL726&lt;=0,0,IF(BL726&gt;tiet!$C$1,tiet!$C$1)))</f>
        <v>0</v>
      </c>
      <c r="BQ726" s="87">
        <f>VLOOKUP(P726,ma_dinhmuc_moi,4,0)</f>
        <v>50000</v>
      </c>
      <c r="BR726" s="224">
        <f>ROUND(BQ726*BP726,0)</f>
        <v>0</v>
      </c>
      <c r="BS726" s="220">
        <f t="shared" si="2356"/>
        <v>0</v>
      </c>
      <c r="BT726" s="224">
        <f>VLOOKUP(N726,ma_dinhmuc!$A$1:$J$31,10,0)</f>
        <v>51000</v>
      </c>
      <c r="BU726" s="224">
        <f>ROUND(IF(BS726&gt;0,VLOOKUP(N726,ma_dinhmuc!$A$1:$J$31,10,0)*BS726,0),0)</f>
        <v>0</v>
      </c>
      <c r="BV726" s="224">
        <f>ROUND(BU726+BR726,0)</f>
        <v>0</v>
      </c>
      <c r="BW726" s="224"/>
      <c r="BX726" s="224">
        <v>0</v>
      </c>
      <c r="BY726" s="224"/>
      <c r="BZ726" s="224"/>
      <c r="CA726" s="224"/>
      <c r="CB726" s="224"/>
      <c r="CC726" s="225">
        <f>ROUND(IF(BV726+BW726&gt;BX726+BY726+BZ726+CA726+CB726,(BW726+BV726)-(BX726+BY726+BZ726+CA726+CB726+CB726),0),0)</f>
        <v>0</v>
      </c>
      <c r="CD726" s="224">
        <f>ROUND(IF(BV726+BW726&lt;BX726+BY726+BZ726+CA726-CB726,(BX726+BY726+BZ726+CA726-CB726)-(BW726+BV726),0),0)</f>
        <v>0</v>
      </c>
      <c r="CE726" s="224"/>
      <c r="CF726" s="226"/>
      <c r="CG726" s="87"/>
      <c r="CH726" s="87">
        <f t="shared" si="2405"/>
        <v>18</v>
      </c>
      <c r="CI726" s="227" t="str">
        <f t="shared" ref="CI726:CI740" si="2415">F726</f>
        <v>Đỗ Thành</v>
      </c>
      <c r="CJ726" s="227" t="str">
        <f t="shared" si="2396"/>
        <v>Trung</v>
      </c>
      <c r="CK726" s="87">
        <f t="shared" si="2406"/>
        <v>20</v>
      </c>
      <c r="CL726" s="227" t="str">
        <f t="shared" si="2407"/>
        <v>GDTC</v>
      </c>
      <c r="CM726" s="87" t="str">
        <f>N726</f>
        <v>TT2</v>
      </c>
      <c r="CN726" s="87">
        <f t="shared" si="2409"/>
        <v>270</v>
      </c>
      <c r="CO726" s="87">
        <f t="shared" si="2409"/>
        <v>60</v>
      </c>
      <c r="CP726" s="229">
        <f t="shared" si="2376"/>
        <v>0</v>
      </c>
      <c r="CQ726" s="229">
        <f t="shared" si="2377"/>
        <v>25.4</v>
      </c>
      <c r="CR726" s="229">
        <f t="shared" si="2378"/>
        <v>10.199999999999999</v>
      </c>
      <c r="CS726" s="229">
        <f t="shared" si="2379"/>
        <v>0</v>
      </c>
      <c r="CT726" s="229">
        <f t="shared" si="2380"/>
        <v>0</v>
      </c>
      <c r="CU726" s="229">
        <f t="shared" si="2381"/>
        <v>151.6</v>
      </c>
      <c r="CV726" s="229">
        <f t="shared" si="2382"/>
        <v>0</v>
      </c>
      <c r="CW726" s="229">
        <f t="shared" si="2383"/>
        <v>0</v>
      </c>
      <c r="CX726" s="229">
        <f t="shared" si="2384"/>
        <v>0</v>
      </c>
      <c r="CY726" s="229">
        <f t="shared" si="2385"/>
        <v>0</v>
      </c>
      <c r="CZ726" s="229">
        <f t="shared" si="2386"/>
        <v>0</v>
      </c>
      <c r="DA726" s="229">
        <f t="shared" si="2387"/>
        <v>0</v>
      </c>
      <c r="DB726" s="228">
        <f t="shared" si="2235"/>
        <v>187.2</v>
      </c>
      <c r="DC726" s="229"/>
      <c r="DD726" s="229"/>
      <c r="DE726" s="229"/>
      <c r="DF726" s="229"/>
      <c r="DG726" s="229"/>
      <c r="DH726" s="229"/>
      <c r="DI726" s="229"/>
      <c r="DJ726" s="229"/>
      <c r="DK726" s="229"/>
      <c r="DL726" s="229"/>
      <c r="DM726" s="229"/>
      <c r="DN726" s="229"/>
      <c r="DO726" s="228">
        <f t="shared" si="2247"/>
        <v>0</v>
      </c>
      <c r="DP726" s="228">
        <f t="shared" si="2248"/>
        <v>187.2</v>
      </c>
      <c r="DQ726" s="229">
        <f t="shared" si="2388"/>
        <v>0</v>
      </c>
      <c r="DR726" s="229">
        <f t="shared" si="2389"/>
        <v>0</v>
      </c>
      <c r="DS726" s="229">
        <f t="shared" si="2390"/>
        <v>0</v>
      </c>
      <c r="DT726" s="229">
        <f t="shared" si="2391"/>
        <v>0</v>
      </c>
      <c r="DU726" s="229">
        <f t="shared" si="2392"/>
        <v>0</v>
      </c>
      <c r="DV726" s="229">
        <f t="shared" si="2393"/>
        <v>0</v>
      </c>
      <c r="DW726" s="229">
        <f t="shared" si="2394"/>
        <v>0</v>
      </c>
      <c r="DX726" s="228">
        <f t="shared" si="2236"/>
        <v>0</v>
      </c>
      <c r="DY726" s="229"/>
      <c r="DZ726" s="229"/>
      <c r="EA726" s="229"/>
      <c r="EB726" s="229"/>
      <c r="EC726" s="229"/>
      <c r="ED726" s="229"/>
      <c r="EE726" s="229"/>
      <c r="EF726" s="228">
        <f t="shared" si="2371"/>
        <v>0</v>
      </c>
      <c r="EG726" s="228">
        <f t="shared" si="2249"/>
        <v>0</v>
      </c>
      <c r="EH726" s="229">
        <f t="shared" si="2372"/>
        <v>0</v>
      </c>
      <c r="EI726" s="229">
        <v>0</v>
      </c>
      <c r="EJ726" s="228">
        <f>SUM(EH726:EI726)</f>
        <v>0</v>
      </c>
      <c r="EK726" s="229"/>
      <c r="EL726" s="229"/>
      <c r="EM726" s="228">
        <f t="shared" si="2401"/>
        <v>0</v>
      </c>
      <c r="EN726" s="229">
        <f t="shared" ref="EN726:EN740" si="2416">EK726+EH726+EL726</f>
        <v>0</v>
      </c>
      <c r="EO726" s="229">
        <f>EI726</f>
        <v>0</v>
      </c>
      <c r="EP726" s="228">
        <f t="shared" si="2402"/>
        <v>0</v>
      </c>
      <c r="EQ726" s="173">
        <f t="shared" si="2358"/>
        <v>0</v>
      </c>
      <c r="ER726" s="189">
        <v>0</v>
      </c>
      <c r="ES726" s="189">
        <v>25.4</v>
      </c>
      <c r="ET726" s="189">
        <v>10.199999999999999</v>
      </c>
      <c r="EU726" s="189">
        <v>0</v>
      </c>
      <c r="EV726" s="189">
        <v>0</v>
      </c>
      <c r="EW726" s="189">
        <v>151.6</v>
      </c>
      <c r="EX726" s="189">
        <v>0</v>
      </c>
      <c r="EY726" s="189">
        <v>0</v>
      </c>
      <c r="EZ726" s="189">
        <v>0</v>
      </c>
      <c r="FA726" s="189">
        <v>0</v>
      </c>
      <c r="FB726" s="189">
        <v>0</v>
      </c>
      <c r="FC726" s="189">
        <v>0</v>
      </c>
      <c r="FD726" s="189">
        <v>0</v>
      </c>
      <c r="FE726" s="189">
        <v>0</v>
      </c>
      <c r="FF726" s="189">
        <v>0</v>
      </c>
      <c r="FG726" s="189">
        <v>0</v>
      </c>
      <c r="FH726" s="189">
        <v>0</v>
      </c>
      <c r="FI726" s="189">
        <v>0</v>
      </c>
      <c r="FJ726" s="189">
        <v>0</v>
      </c>
      <c r="FK726" s="189">
        <v>187.2</v>
      </c>
      <c r="FL726" s="189">
        <v>128</v>
      </c>
      <c r="FN726" s="132">
        <v>0</v>
      </c>
    </row>
    <row r="727" spans="1:170" ht="45">
      <c r="A727" s="88">
        <f>COUNTIF($H$12:H742,H727)</f>
        <v>13</v>
      </c>
      <c r="B727" s="88" t="s">
        <v>2228</v>
      </c>
      <c r="C727" s="88" t="s">
        <v>2228</v>
      </c>
      <c r="D727" s="88"/>
      <c r="E727" s="88"/>
      <c r="F727" s="304" t="s">
        <v>727</v>
      </c>
      <c r="G727" s="305" t="s">
        <v>1494</v>
      </c>
      <c r="H727" s="88">
        <v>23</v>
      </c>
      <c r="I727" s="88">
        <v>23</v>
      </c>
      <c r="J727" s="88">
        <v>23</v>
      </c>
      <c r="K727" s="90" t="s">
        <v>2468</v>
      </c>
      <c r="L727" s="90" t="s">
        <v>2468</v>
      </c>
      <c r="M727" s="214"/>
      <c r="N727" s="215" t="s">
        <v>1748</v>
      </c>
      <c r="O727" s="216">
        <f t="shared" si="2403"/>
        <v>4.4000000000000004</v>
      </c>
      <c r="P727" s="88" t="str">
        <f>IF(BO727&lt;3.33,"B11_3",IF(AND(BO727&gt;=3.33,BO727&lt;4.65),"B11_4",IF(AND(BO727&gt;=4.65,BO727&lt;5.42),"B11_5",IF(AND(BO727&gt;=5.42,BO727&lt;6.44),"B11_6",IF(AND(BO727&gt;=6.44,BO727&lt;=6.92),"B11_7","B11_8")))))</f>
        <v>B11_4</v>
      </c>
      <c r="Q727" s="88">
        <f t="shared" si="2323"/>
        <v>270</v>
      </c>
      <c r="R727" s="88">
        <f t="shared" si="2324"/>
        <v>80</v>
      </c>
      <c r="S727" s="218" t="s">
        <v>424</v>
      </c>
      <c r="T727" s="215" t="s">
        <v>3095</v>
      </c>
      <c r="U727" s="88">
        <f>IF(RIGHT(T727,1)="K",(VLOOKUP(T727,ma_miengiam!$A$3:$B$80,2,0)*100)/2,VLOOKUP(T727,ma_miengiam!$A$3:$B$80,2,0)*100)</f>
        <v>40</v>
      </c>
      <c r="V727" s="88"/>
      <c r="W727" s="220">
        <f>IF(AND(T727="NTS",V727&gt;0),(Q727-(Q727*V727)/12)*VLOOKUP(T727,ma_miengiam!$A$3:$B$80,2,0)+(Q727-(Q727*(12-V727))/12),IF(AND(RIGHT(T727,1)="K",V727&gt;0),(VLOOKUP(T727,ma_miengiam!$A$3:$B$80,2,0)/2)*(Q727*V727)/12,IF(RIGHT(T727,1)="K",(VLOOKUP(T727,ma_miengiam!$A$3:$B$80,2,0)*Q727)/2,IF(V727&gt;0,VLOOKUP(T727,ma_miengiam!$A$3:$B$80,2,0)*Q727*V727/12,VLOOKUP(T727,ma_miengiam!$A$3:$B$80,2,0)*Q727))))</f>
        <v>108</v>
      </c>
      <c r="X727" s="220">
        <f>IF(T727="NTS",VLOOKUP(T727,ma_miengiam!$A$3:$B$80,2,0)*R727*V727,IF(AND(T727="NTS",V727=0),0,IF(AND(LEFT(T727,1)="K",V727=0),VLOOKUP(T727,ma_miengiam!$A$3:$B$80,2,0)*R727,IF(LEFT(T727,1)="K",(VLOOKUP(T727,ma_miengiam!$A$3:$B$80,2,0)*R727/12)*V727,IF(AND(LEFT(T727,1)="S",V727&gt;0),(R727/12)*V727,IF(AND(LEFT(T727,1)="S",V727=0),R727,IF(T727="DH",VLOOKUP(T727,ma_miengiam!$A$3:$B$80,2,0)*R727,0)))))))</f>
        <v>0</v>
      </c>
      <c r="Y727" s="220">
        <f>IF(AND(T727="DH",V727&gt;0),(S727*V727/12),IF(AND(T727&lt;&gt;"NTS",V727&gt;0),(Q727*V727/12)-W727,IF(AND(T727="NTS",V727&gt;0),Q727-W727,Q727-W727)))</f>
        <v>162</v>
      </c>
      <c r="Z727" s="220">
        <f>IF(AND(T727="SĐH",V727&gt;0),(R727/12)*V727-X727,IF(AND(T727="DH",V727&gt;0),(R727*V727/12),IF(AND(T727&lt;&gt;"NTS",V727&gt;0),(R727*V727/12)-X727,IF(AND(T727="NTS",V727&gt;0),R727-X727,R727-X727))))</f>
        <v>80</v>
      </c>
      <c r="AA727" s="220">
        <f t="shared" ref="AA727:AB735" si="2417">Q727</f>
        <v>270</v>
      </c>
      <c r="AB727" s="220">
        <f t="shared" si="2417"/>
        <v>80</v>
      </c>
      <c r="AC727" s="220">
        <f t="shared" si="2413"/>
        <v>108</v>
      </c>
      <c r="AD727" s="220">
        <f t="shared" si="2413"/>
        <v>0</v>
      </c>
      <c r="AE727" s="220">
        <f t="shared" si="2413"/>
        <v>162</v>
      </c>
      <c r="AF727" s="220">
        <f t="shared" si="2413"/>
        <v>80</v>
      </c>
      <c r="AG727" s="220">
        <f t="shared" ref="AG727:AG735" si="2418">AH727+AI727</f>
        <v>0</v>
      </c>
      <c r="AH727" s="220">
        <f t="shared" ref="AH727:AH735" si="2419">EO727</f>
        <v>0</v>
      </c>
      <c r="AI727" s="220">
        <f t="shared" ref="AI727:AI735" si="2420">EN727</f>
        <v>0</v>
      </c>
      <c r="AJ727" s="220">
        <f t="shared" ref="AJ727:AJ735" si="2421">IF(AG727-Z727&gt;0,0,AG727-Z727)</f>
        <v>-80</v>
      </c>
      <c r="AK727" s="216">
        <f>IF(AJ727&gt;=0,Y727,Y727-AJ727)</f>
        <v>242</v>
      </c>
      <c r="AL727" s="220">
        <f>SUM(CP727:CX727)+SUM(DC727:DK727)</f>
        <v>582.20000000000005</v>
      </c>
      <c r="AM727" s="220">
        <f>SUM(DQ727:DU727)+SUM(DY727:EC727)</f>
        <v>0</v>
      </c>
      <c r="AN727" s="216">
        <f>AM727+AL727</f>
        <v>582.20000000000005</v>
      </c>
      <c r="AO727" s="220">
        <f>CY727+DL727</f>
        <v>0</v>
      </c>
      <c r="AP727" s="220">
        <f>CZ727+DM727</f>
        <v>0</v>
      </c>
      <c r="AQ727" s="220">
        <f>DA727+DN727</f>
        <v>0</v>
      </c>
      <c r="AR727" s="220">
        <f>DV727+ED727</f>
        <v>0</v>
      </c>
      <c r="AS727" s="220">
        <f>DW727+EE727</f>
        <v>0</v>
      </c>
      <c r="AT727" s="216">
        <f>AN727+SUM(AO727:AS727)</f>
        <v>582.20000000000005</v>
      </c>
      <c r="AU727" s="220">
        <f>AN727-AK727</f>
        <v>340.20000000000005</v>
      </c>
      <c r="AV727" s="220"/>
      <c r="AW727" s="220">
        <f t="shared" ref="AW727:AW735" si="2422">IF(AU727&gt;0,AU727,AV727+AU727)</f>
        <v>340.20000000000005</v>
      </c>
      <c r="AX727" s="216">
        <f t="shared" si="2234"/>
        <v>0</v>
      </c>
      <c r="AY727" s="220">
        <f>IF(AN727&gt;=AK727,AO727,IF(AN727+AO727-AK727&gt;=0,AN727+AO727-AK727,0))</f>
        <v>0</v>
      </c>
      <c r="AZ727" s="220">
        <f>IF(OR(AN727&gt;=AK727,AN727+AO727&gt;=AK727),AP727,IF(AN727+AO727+AP727&gt;AK727,AN727+AO727+AP727-AK727,0))</f>
        <v>0</v>
      </c>
      <c r="BA727" s="220">
        <f>IF(OR(AN727&gt;=AK727,AN727+AO727&gt;=AK727,AN727+AO727+AP727&gt;=AK727),AQ727,IF(AN727+AO727+AP727+AQ727&gt;=AK727,AN727+AO727+AP727+AQ727-AK727,0))</f>
        <v>0</v>
      </c>
      <c r="BB727" s="220">
        <f>IF(OR(AN727&gt;=AK727,AN727+AO727&gt;=AK727,AN727+AO727+AP727&gt;=AK727,AN727+AO727+AP727+AQ727&gt;=AK727),AR727,IF(AN727+AO727+AP727+AQ727+AR727&gt;=AK727,AN727+AO727+AP727+AQ727+AR727-AK727,0))</f>
        <v>0</v>
      </c>
      <c r="BC727" s="220">
        <f>IF(OR(AN727&gt;=AK727,AN727+AO727&gt;=AK727,AN727+AO727+AP727&gt;=AK727,AN727+AO727+AP727+AQ727&gt;=AK727,AN727+AO727+AP727+AQ727+AR727&gt;=AK727),AS727,IF(AN727+AO727+AP727+AQ727+AR727+AS727&gt;=AK727,AN727+AO727+AP727+AQ727+AR727+AS727-AK727,0))</f>
        <v>0</v>
      </c>
      <c r="BD727" s="216">
        <f t="shared" si="2404"/>
        <v>0</v>
      </c>
      <c r="BE727" s="220">
        <f t="shared" si="2414"/>
        <v>0</v>
      </c>
      <c r="BF727" s="220">
        <f t="shared" si="2414"/>
        <v>0</v>
      </c>
      <c r="BG727" s="220">
        <f t="shared" si="2414"/>
        <v>0</v>
      </c>
      <c r="BH727" s="220">
        <f t="shared" si="2414"/>
        <v>0</v>
      </c>
      <c r="BI727" s="220">
        <f t="shared" si="2414"/>
        <v>0</v>
      </c>
      <c r="BJ727" s="220" t="s">
        <v>2469</v>
      </c>
      <c r="BK727" s="220"/>
      <c r="BL727" s="223">
        <f t="shared" ref="BL727:BL740" si="2423">IF(AW727&lt;BK727,0,IF(AND(BK727=0,AW727&gt;0),AW727,IF(AW727&lt;0,0,IF(BK727&gt;0,AW727-BK727,IF(BK727&lt;0,0,AW727)))))</f>
        <v>340.20000000000005</v>
      </c>
      <c r="BM727" s="216">
        <v>4.4000000000000004</v>
      </c>
      <c r="BN727" s="220"/>
      <c r="BO727" s="220">
        <f t="shared" si="2412"/>
        <v>4.4000000000000004</v>
      </c>
      <c r="BP727" s="220">
        <f>IF(AND(BL727&gt;0,BL727&lt;tiet!$D$1),BL727,IF(BL727&lt;=0,0,IF(BL727&gt;tiet!$C$1,tiet!$C$1)))</f>
        <v>200</v>
      </c>
      <c r="BQ727" s="87">
        <f>VLOOKUP(P727,ma_dinhmuc_moi,4,0)</f>
        <v>65000</v>
      </c>
      <c r="BR727" s="224">
        <f>ROUND(BQ727*BP727,0)</f>
        <v>13000000</v>
      </c>
      <c r="BS727" s="220">
        <f t="shared" si="2356"/>
        <v>140.20000000000005</v>
      </c>
      <c r="BT727" s="224">
        <f>VLOOKUP(N727,ma_dinhmuc!$A$1:$J$31,10,0)</f>
        <v>51000</v>
      </c>
      <c r="BU727" s="224">
        <f>ROUND(IF(BS727&gt;0,VLOOKUP(N727,ma_dinhmuc!$A$1:$J$31,10,0)*BS727,0),0)</f>
        <v>7150200</v>
      </c>
      <c r="BV727" s="224">
        <f>ROUND(BU727+BR727,0)</f>
        <v>20150200</v>
      </c>
      <c r="BW727" s="224"/>
      <c r="BX727" s="224">
        <v>0</v>
      </c>
      <c r="BY727" s="224"/>
      <c r="BZ727" s="224"/>
      <c r="CA727" s="224"/>
      <c r="CB727" s="224"/>
      <c r="CC727" s="225">
        <f>ROUND(IF(BV727+BW727&gt;BX727+BY727+BZ727+CA727+CB727,(BW727+BV727)-(BX727+BY727+BZ727+CA727+CB727+CB727),0),0)</f>
        <v>20150200</v>
      </c>
      <c r="CD727" s="224">
        <f>ROUND(IF(BV727+BW727&lt;BX727+BY727+BZ727+CA727-CB727,(BX727+BY727+BZ727+CA727-CB727)-(BW727+BV727),0),0)</f>
        <v>0</v>
      </c>
      <c r="CE727" s="224"/>
      <c r="CF727" s="226"/>
      <c r="CG727" s="87"/>
      <c r="CH727" s="87">
        <f t="shared" si="2405"/>
        <v>13</v>
      </c>
      <c r="CI727" s="227" t="str">
        <f t="shared" si="2415"/>
        <v>Nguyễn Hoàng</v>
      </c>
      <c r="CJ727" s="227" t="str">
        <f t="shared" si="2396"/>
        <v>Huấn</v>
      </c>
      <c r="CK727" s="87">
        <f t="shared" si="2406"/>
        <v>23</v>
      </c>
      <c r="CL727" s="227" t="str">
        <f t="shared" si="2407"/>
        <v>Quân sự chung</v>
      </c>
      <c r="CM727" s="87" t="str">
        <f>N727</f>
        <v>QS3</v>
      </c>
      <c r="CN727" s="87">
        <f t="shared" ref="CN727:CN740" si="2424">Q727</f>
        <v>270</v>
      </c>
      <c r="CO727" s="87">
        <f t="shared" ref="CO727:CO740" si="2425">R727</f>
        <v>80</v>
      </c>
      <c r="CP727" s="229">
        <f t="shared" si="2376"/>
        <v>0</v>
      </c>
      <c r="CQ727" s="229">
        <f t="shared" si="2377"/>
        <v>63.1</v>
      </c>
      <c r="CR727" s="229">
        <f t="shared" si="2378"/>
        <v>25.3</v>
      </c>
      <c r="CS727" s="229">
        <f t="shared" si="2379"/>
        <v>0</v>
      </c>
      <c r="CT727" s="229">
        <f t="shared" si="2380"/>
        <v>0</v>
      </c>
      <c r="CU727" s="229">
        <f t="shared" si="2381"/>
        <v>223.8</v>
      </c>
      <c r="CV727" s="229">
        <f t="shared" si="2382"/>
        <v>0</v>
      </c>
      <c r="CW727" s="229">
        <f t="shared" si="2383"/>
        <v>270</v>
      </c>
      <c r="CX727" s="229">
        <f t="shared" si="2384"/>
        <v>0</v>
      </c>
      <c r="CY727" s="229">
        <f t="shared" si="2385"/>
        <v>0</v>
      </c>
      <c r="CZ727" s="229">
        <f t="shared" si="2386"/>
        <v>0</v>
      </c>
      <c r="DA727" s="229">
        <f t="shared" si="2387"/>
        <v>0</v>
      </c>
      <c r="DB727" s="228">
        <f>SUM(CP727:DA727)</f>
        <v>582.20000000000005</v>
      </c>
      <c r="DC727" s="229"/>
      <c r="DD727" s="229"/>
      <c r="DE727" s="229"/>
      <c r="DF727" s="229"/>
      <c r="DG727" s="229"/>
      <c r="DH727" s="229"/>
      <c r="DI727" s="229"/>
      <c r="DJ727" s="229"/>
      <c r="DK727" s="229"/>
      <c r="DL727" s="229"/>
      <c r="DM727" s="229"/>
      <c r="DN727" s="229"/>
      <c r="DO727" s="228">
        <f>SUM(DC727:DN727)</f>
        <v>0</v>
      </c>
      <c r="DP727" s="228">
        <f>DO727+DB727</f>
        <v>582.20000000000005</v>
      </c>
      <c r="DQ727" s="229">
        <f t="shared" si="2388"/>
        <v>0</v>
      </c>
      <c r="DR727" s="229">
        <f t="shared" si="2389"/>
        <v>0</v>
      </c>
      <c r="DS727" s="229">
        <f t="shared" si="2390"/>
        <v>0</v>
      </c>
      <c r="DT727" s="229">
        <f t="shared" si="2391"/>
        <v>0</v>
      </c>
      <c r="DU727" s="229">
        <f t="shared" si="2392"/>
        <v>0</v>
      </c>
      <c r="DV727" s="229">
        <f t="shared" si="2393"/>
        <v>0</v>
      </c>
      <c r="DW727" s="229">
        <f t="shared" si="2394"/>
        <v>0</v>
      </c>
      <c r="DX727" s="228">
        <f>SUM(DQ727:DW727)</f>
        <v>0</v>
      </c>
      <c r="DY727" s="229"/>
      <c r="DZ727" s="229"/>
      <c r="EA727" s="229"/>
      <c r="EB727" s="229"/>
      <c r="EC727" s="229"/>
      <c r="ED727" s="229"/>
      <c r="EE727" s="229"/>
      <c r="EF727" s="228">
        <f t="shared" si="2371"/>
        <v>0</v>
      </c>
      <c r="EG727" s="228">
        <f>EF727+DX727</f>
        <v>0</v>
      </c>
      <c r="EH727" s="229">
        <f t="shared" si="2372"/>
        <v>0</v>
      </c>
      <c r="EI727" s="229">
        <v>0</v>
      </c>
      <c r="EJ727" s="228">
        <f>SUM(EH727:EI727)</f>
        <v>0</v>
      </c>
      <c r="EK727" s="229"/>
      <c r="EL727" s="229"/>
      <c r="EM727" s="228">
        <f t="shared" si="2401"/>
        <v>0</v>
      </c>
      <c r="EN727" s="229">
        <f t="shared" si="2416"/>
        <v>0</v>
      </c>
      <c r="EO727" s="229">
        <f>EI727</f>
        <v>0</v>
      </c>
      <c r="EP727" s="228">
        <f>EM727+EJ727</f>
        <v>0</v>
      </c>
      <c r="EQ727" s="173">
        <f t="shared" si="2358"/>
        <v>0</v>
      </c>
      <c r="ER727" s="189">
        <v>0</v>
      </c>
      <c r="ES727" s="189">
        <v>63.1</v>
      </c>
      <c r="ET727" s="189">
        <v>25.3</v>
      </c>
      <c r="EU727" s="189">
        <v>0</v>
      </c>
      <c r="EV727" s="189">
        <v>0</v>
      </c>
      <c r="EW727" s="189">
        <v>223.8</v>
      </c>
      <c r="EX727" s="189">
        <v>0</v>
      </c>
      <c r="EY727" s="189">
        <v>270</v>
      </c>
      <c r="EZ727" s="189">
        <v>0</v>
      </c>
      <c r="FA727" s="189">
        <v>0</v>
      </c>
      <c r="FB727" s="189">
        <v>0</v>
      </c>
      <c r="FC727" s="189">
        <v>0</v>
      </c>
      <c r="FD727" s="189">
        <v>0</v>
      </c>
      <c r="FE727" s="189">
        <v>0</v>
      </c>
      <c r="FF727" s="189">
        <v>0</v>
      </c>
      <c r="FG727" s="189">
        <v>0</v>
      </c>
      <c r="FH727" s="189">
        <v>0</v>
      </c>
      <c r="FI727" s="189">
        <v>0</v>
      </c>
      <c r="FJ727" s="189">
        <v>0</v>
      </c>
      <c r="FK727" s="189">
        <v>582.20000000000005</v>
      </c>
      <c r="FL727" s="189">
        <v>368</v>
      </c>
      <c r="FN727" s="132">
        <v>0</v>
      </c>
    </row>
    <row r="728" spans="1:170" ht="30" customHeight="1">
      <c r="A728" s="88">
        <f>COUNTIF($H$12:H740,H728)</f>
        <v>13</v>
      </c>
      <c r="B728" s="88" t="s">
        <v>2994</v>
      </c>
      <c r="C728" s="88" t="s">
        <v>2994</v>
      </c>
      <c r="D728" s="88"/>
      <c r="E728" s="88"/>
      <c r="F728" s="304" t="s">
        <v>3150</v>
      </c>
      <c r="G728" s="305" t="s">
        <v>19</v>
      </c>
      <c r="H728" s="88">
        <v>23</v>
      </c>
      <c r="I728" s="88">
        <v>23</v>
      </c>
      <c r="J728" s="88">
        <v>23</v>
      </c>
      <c r="K728" s="90" t="s">
        <v>2468</v>
      </c>
      <c r="L728" s="90" t="s">
        <v>2468</v>
      </c>
      <c r="M728" s="214"/>
      <c r="N728" s="215" t="s">
        <v>1748</v>
      </c>
      <c r="O728" s="216">
        <f t="shared" si="2403"/>
        <v>4.4000000000000004</v>
      </c>
      <c r="P728" s="88" t="str">
        <f t="shared" ref="P728:P738" si="2426">IF(BO728&lt;3.33,"B11_3",IF(AND(BO728&gt;=3.33,BO728&lt;4.65),"B11_4",IF(AND(BO728&gt;=4.65,BO728&lt;5.42),"B11_5",IF(AND(BO728&gt;=5.42,BO728&lt;6.44),"B11_6",IF(AND(BO728&gt;=6.44,BO728&lt;=6.92),"B11_7","B11_8")))))</f>
        <v>B11_4</v>
      </c>
      <c r="Q728" s="88">
        <f t="shared" si="2323"/>
        <v>270</v>
      </c>
      <c r="R728" s="88">
        <f t="shared" si="2324"/>
        <v>80</v>
      </c>
      <c r="S728" s="218" t="s">
        <v>1857</v>
      </c>
      <c r="T728" s="215" t="s">
        <v>3088</v>
      </c>
      <c r="U728" s="88">
        <f>IF(RIGHT(T728,1)="K",(VLOOKUP(T728,ma_miengiam!$A$3:$B$80,2,0)*100)/2,VLOOKUP(T728,ma_miengiam!$A$3:$B$80,2,0)*100)</f>
        <v>0</v>
      </c>
      <c r="V728" s="88"/>
      <c r="W728" s="220">
        <f>IF(AND(T728="NTS",V728&gt;0),(Q728-(Q728*V728)/12)*VLOOKUP(T728,ma_miengiam!$A$3:$B$80,2,0)+(Q728-(Q728*(12-V728))/12),IF(AND(RIGHT(T728,1)="K",V728&gt;0),(VLOOKUP(T728,ma_miengiam!$A$3:$B$80,2,0)/2)*(Q728*V728)/12,IF(RIGHT(T728,1)="K",(VLOOKUP(T728,ma_miengiam!$A$3:$B$80,2,0)*Q728)/2,IF(V728&gt;0,VLOOKUP(T728,ma_miengiam!$A$3:$B$80,2,0)*Q728*V728/12,VLOOKUP(T728,ma_miengiam!$A$3:$B$80,2,0)*Q728))))</f>
        <v>0</v>
      </c>
      <c r="X728" s="220">
        <f>IF(T728="NTS",VLOOKUP(T728,ma_miengiam!$A$3:$B$80,2,0)*R728*V728,IF(AND(T728="NTS",V728=0),0,IF(AND(LEFT(T728,1)="K",V728=0),VLOOKUP(T728,ma_miengiam!$A$3:$B$80,2,0)*R728,IF(LEFT(T728,1)="K",(VLOOKUP(T728,ma_miengiam!$A$3:$B$80,2,0)*R728/12)*V728,IF(AND(LEFT(T728,1)="S",V728&gt;0),(R728/12)*V728,IF(AND(LEFT(T728,1)="S",V728=0),R728,IF(T728="DH",VLOOKUP(T728,ma_miengiam!$A$3:$B$80,2,0)*R728,0)))))))</f>
        <v>0</v>
      </c>
      <c r="Y728" s="220">
        <f>IF(AND(T728="DH",V728&gt;0),(S728*V728/12),IF(AND(T728&lt;&gt;"NTS",V728&gt;0),(Q728*V728/12)-W728,IF(AND(T728="NTS",V728&gt;0),Q728-W728,Q728-W728)))</f>
        <v>270</v>
      </c>
      <c r="Z728" s="220">
        <f>IF(AND(T728="SĐH",V728&gt;0),(R728/12)*V728-X728,IF(AND(T728="DH",V728&gt;0),(R728*V728/12),IF(AND(T728&lt;&gt;"NTS",V728&gt;0),(R728*V728/12)-X728,IF(AND(T728="NTS",V728&gt;0),R728-X728,R728-X728))))</f>
        <v>80</v>
      </c>
      <c r="AA728" s="220">
        <f t="shared" si="2417"/>
        <v>270</v>
      </c>
      <c r="AB728" s="220">
        <f t="shared" si="2417"/>
        <v>80</v>
      </c>
      <c r="AC728" s="220">
        <f t="shared" ref="AC728:AF729" si="2427">W728</f>
        <v>0</v>
      </c>
      <c r="AD728" s="220">
        <f t="shared" si="2427"/>
        <v>0</v>
      </c>
      <c r="AE728" s="220">
        <f t="shared" si="2427"/>
        <v>270</v>
      </c>
      <c r="AF728" s="220">
        <f t="shared" si="2427"/>
        <v>80</v>
      </c>
      <c r="AG728" s="220">
        <f t="shared" si="2418"/>
        <v>0</v>
      </c>
      <c r="AH728" s="220">
        <f t="shared" si="2419"/>
        <v>0</v>
      </c>
      <c r="AI728" s="220">
        <f t="shared" si="2420"/>
        <v>0</v>
      </c>
      <c r="AJ728" s="220">
        <f t="shared" si="2421"/>
        <v>-80</v>
      </c>
      <c r="AK728" s="216">
        <f t="shared" si="2408"/>
        <v>350</v>
      </c>
      <c r="AL728" s="220">
        <f t="shared" si="2238"/>
        <v>518.5</v>
      </c>
      <c r="AM728" s="220">
        <f t="shared" si="2239"/>
        <v>0</v>
      </c>
      <c r="AN728" s="221">
        <f t="shared" si="2240"/>
        <v>518.5</v>
      </c>
      <c r="AO728" s="220">
        <f t="shared" si="2241"/>
        <v>0</v>
      </c>
      <c r="AP728" s="220">
        <f t="shared" si="2242"/>
        <v>0</v>
      </c>
      <c r="AQ728" s="220">
        <f t="shared" si="2243"/>
        <v>0</v>
      </c>
      <c r="AR728" s="220">
        <f t="shared" si="2244"/>
        <v>0</v>
      </c>
      <c r="AS728" s="220">
        <f t="shared" si="2245"/>
        <v>0</v>
      </c>
      <c r="AT728" s="216">
        <f t="shared" si="2246"/>
        <v>518.5</v>
      </c>
      <c r="AU728" s="220">
        <f>AN728-AK728</f>
        <v>168.5</v>
      </c>
      <c r="AV728" s="220"/>
      <c r="AW728" s="220">
        <f t="shared" si="2422"/>
        <v>168.5</v>
      </c>
      <c r="AX728" s="216">
        <f t="shared" si="2234"/>
        <v>0</v>
      </c>
      <c r="AY728" s="220">
        <f>IF(AN728&gt;=AK728,AO728,IF(AN728+AO728-AK728&gt;=0,AN728+AO728-AK728,0))</f>
        <v>0</v>
      </c>
      <c r="AZ728" s="220">
        <f>IF(OR(AN728&gt;=AK728,AN728+AO728&gt;=AK728),AP728,IF(AN728+AO728+AP728&gt;AK728,AN728+AO728+AP728-AK728,0))</f>
        <v>0</v>
      </c>
      <c r="BA728" s="220">
        <f>IF(OR(AN728&gt;=AK728,AN728+AO728&gt;=AK728,AN728+AO728+AP728&gt;=AK728),AQ728,IF(AN728+AO728+AP728+AQ728&gt;=AK728,AN728+AO728+AP728+AQ728-AK728,0))</f>
        <v>0</v>
      </c>
      <c r="BB728" s="220">
        <f>IF(OR(AN728&gt;=AK728,AN728+AO728&gt;=AK728,AN728+AO728+AP728&gt;=AK728,AN728+AO728+AP728+AQ728&gt;=AK728),AR728,IF(AN728+AO728+AP728+AQ728+AR728&gt;=AK728,AN728+AO728+AP728+AQ728+AR728-AK728,0))</f>
        <v>0</v>
      </c>
      <c r="BC728" s="220">
        <f>IF(OR(AN728&gt;=AK728,AN728+AO728&gt;=AK728,AN728+AO728+AP728&gt;=AK728,AN728+AO728+AP728+AQ728&gt;=AK728,AN728+AO728+AP728+AQ728+AR728&gt;=AK728),AS728,IF(AN728+AO728+AP728+AQ728+AR728+AS728&gt;=AK728,AN728+AO728+AP728+AQ728+AR728+AS728-AK728,0))</f>
        <v>0</v>
      </c>
      <c r="BD728" s="216">
        <f t="shared" si="2404"/>
        <v>0</v>
      </c>
      <c r="BE728" s="220">
        <f t="shared" ref="BE728:BI729" si="2428">AY728-AO728</f>
        <v>0</v>
      </c>
      <c r="BF728" s="220">
        <f t="shared" si="2428"/>
        <v>0</v>
      </c>
      <c r="BG728" s="220">
        <f t="shared" si="2428"/>
        <v>0</v>
      </c>
      <c r="BH728" s="220">
        <f t="shared" si="2428"/>
        <v>0</v>
      </c>
      <c r="BI728" s="220">
        <f t="shared" si="2428"/>
        <v>0</v>
      </c>
      <c r="BJ728" s="220" t="s">
        <v>2469</v>
      </c>
      <c r="BK728" s="220"/>
      <c r="BL728" s="223">
        <f t="shared" si="2423"/>
        <v>168.5</v>
      </c>
      <c r="BM728" s="216">
        <v>4.4000000000000004</v>
      </c>
      <c r="BN728" s="220"/>
      <c r="BO728" s="220">
        <f t="shared" si="2412"/>
        <v>4.4000000000000004</v>
      </c>
      <c r="BP728" s="220">
        <f>IF(AND(BL728&gt;0,BL728&lt;tiet!$D$1),BL728,IF(BL728&lt;=0,0,IF(BL728&gt;tiet!$C$1,tiet!$C$1)))</f>
        <v>168.5</v>
      </c>
      <c r="BQ728" s="87">
        <f>VLOOKUP(P728,ma_dinhmuc_moi,4,0)</f>
        <v>65000</v>
      </c>
      <c r="BR728" s="224">
        <f>ROUND(BQ728*BP728,0)</f>
        <v>10952500</v>
      </c>
      <c r="BS728" s="220">
        <f t="shared" si="2356"/>
        <v>0</v>
      </c>
      <c r="BT728" s="224">
        <f>VLOOKUP(N728,ma_dinhmuc!$A$1:$J$31,10,0)</f>
        <v>51000</v>
      </c>
      <c r="BU728" s="224">
        <f>ROUND(IF(BS728&gt;0,VLOOKUP(N728,ma_dinhmuc!$A$1:$J$31,10,0)*BS728,0),0)</f>
        <v>0</v>
      </c>
      <c r="BV728" s="224">
        <f>ROUND(BU728+BR728,0)</f>
        <v>10952500</v>
      </c>
      <c r="BW728" s="224"/>
      <c r="BX728" s="224">
        <v>0</v>
      </c>
      <c r="BY728" s="224"/>
      <c r="BZ728" s="224"/>
      <c r="CA728" s="224"/>
      <c r="CB728" s="224"/>
      <c r="CC728" s="225">
        <f>ROUND(IF(BV728+BW728&gt;BX728+BY728+BZ728+CA728+CB728,(BW728+BV728)-(BX728+BY728+BZ728+CA728+CB728+CB728),0),0)</f>
        <v>10952500</v>
      </c>
      <c r="CD728" s="224">
        <f>ROUND(IF(BV728+BW728&lt;BX728+BY728+BZ728+CA728-CB728,(BX728+BY728+BZ728+CA728-CB728)-(BW728+BV728),0),0)</f>
        <v>0</v>
      </c>
      <c r="CE728" s="224"/>
      <c r="CF728" s="226"/>
      <c r="CG728" s="87"/>
      <c r="CH728" s="87">
        <f t="shared" si="2405"/>
        <v>13</v>
      </c>
      <c r="CI728" s="227" t="str">
        <f t="shared" si="2415"/>
        <v>Lê Việt</v>
      </c>
      <c r="CJ728" s="227" t="str">
        <f t="shared" si="2396"/>
        <v>Cường</v>
      </c>
      <c r="CK728" s="87">
        <f t="shared" si="2406"/>
        <v>23</v>
      </c>
      <c r="CL728" s="227" t="str">
        <f t="shared" si="2407"/>
        <v>Quân sự chung</v>
      </c>
      <c r="CM728" s="87" t="str">
        <f>N728</f>
        <v>QS3</v>
      </c>
      <c r="CN728" s="87">
        <f t="shared" si="2424"/>
        <v>270</v>
      </c>
      <c r="CO728" s="87">
        <f t="shared" si="2425"/>
        <v>80</v>
      </c>
      <c r="CP728" s="229">
        <f t="shared" si="2376"/>
        <v>0</v>
      </c>
      <c r="CQ728" s="229">
        <f t="shared" si="2377"/>
        <v>53.2</v>
      </c>
      <c r="CR728" s="229">
        <f t="shared" si="2378"/>
        <v>21.4</v>
      </c>
      <c r="CS728" s="229">
        <f t="shared" si="2379"/>
        <v>0</v>
      </c>
      <c r="CT728" s="229">
        <f t="shared" si="2380"/>
        <v>0</v>
      </c>
      <c r="CU728" s="229">
        <f t="shared" si="2381"/>
        <v>188.9</v>
      </c>
      <c r="CV728" s="229">
        <f t="shared" si="2382"/>
        <v>0</v>
      </c>
      <c r="CW728" s="229">
        <f t="shared" si="2383"/>
        <v>255</v>
      </c>
      <c r="CX728" s="229">
        <f t="shared" si="2384"/>
        <v>0</v>
      </c>
      <c r="CY728" s="229">
        <f t="shared" si="2385"/>
        <v>0</v>
      </c>
      <c r="CZ728" s="229">
        <f t="shared" si="2386"/>
        <v>0</v>
      </c>
      <c r="DA728" s="229">
        <f t="shared" si="2387"/>
        <v>0</v>
      </c>
      <c r="DB728" s="228">
        <f t="shared" si="2235"/>
        <v>518.5</v>
      </c>
      <c r="DC728" s="229"/>
      <c r="DD728" s="229"/>
      <c r="DE728" s="229"/>
      <c r="DF728" s="229"/>
      <c r="DG728" s="229"/>
      <c r="DH728" s="229"/>
      <c r="DI728" s="229"/>
      <c r="DJ728" s="229"/>
      <c r="DK728" s="229"/>
      <c r="DL728" s="229"/>
      <c r="DM728" s="229"/>
      <c r="DN728" s="229"/>
      <c r="DO728" s="228">
        <f t="shared" si="2247"/>
        <v>0</v>
      </c>
      <c r="DP728" s="228">
        <f t="shared" si="2248"/>
        <v>518.5</v>
      </c>
      <c r="DQ728" s="229">
        <f t="shared" si="2388"/>
        <v>0</v>
      </c>
      <c r="DR728" s="229">
        <f t="shared" si="2389"/>
        <v>0</v>
      </c>
      <c r="DS728" s="229">
        <f t="shared" si="2390"/>
        <v>0</v>
      </c>
      <c r="DT728" s="229">
        <f t="shared" si="2391"/>
        <v>0</v>
      </c>
      <c r="DU728" s="229">
        <f t="shared" si="2392"/>
        <v>0</v>
      </c>
      <c r="DV728" s="229">
        <f t="shared" si="2393"/>
        <v>0</v>
      </c>
      <c r="DW728" s="229">
        <f t="shared" si="2394"/>
        <v>0</v>
      </c>
      <c r="DX728" s="228">
        <f t="shared" si="2236"/>
        <v>0</v>
      </c>
      <c r="DY728" s="229"/>
      <c r="DZ728" s="229"/>
      <c r="EA728" s="229"/>
      <c r="EB728" s="229"/>
      <c r="EC728" s="229"/>
      <c r="ED728" s="229"/>
      <c r="EE728" s="229"/>
      <c r="EF728" s="228">
        <f t="shared" si="2371"/>
        <v>0</v>
      </c>
      <c r="EG728" s="228">
        <f t="shared" si="2249"/>
        <v>0</v>
      </c>
      <c r="EH728" s="229">
        <f t="shared" si="2372"/>
        <v>0</v>
      </c>
      <c r="EI728" s="229">
        <v>0</v>
      </c>
      <c r="EJ728" s="228">
        <f t="shared" si="2400"/>
        <v>0</v>
      </c>
      <c r="EK728" s="229"/>
      <c r="EL728" s="229"/>
      <c r="EM728" s="228">
        <f t="shared" si="2401"/>
        <v>0</v>
      </c>
      <c r="EN728" s="229">
        <f t="shared" si="2416"/>
        <v>0</v>
      </c>
      <c r="EO728" s="229">
        <f>EI728</f>
        <v>0</v>
      </c>
      <c r="EP728" s="228">
        <f t="shared" si="2402"/>
        <v>0</v>
      </c>
      <c r="EQ728" s="173">
        <f t="shared" si="2358"/>
        <v>0</v>
      </c>
      <c r="ER728" s="189">
        <v>0</v>
      </c>
      <c r="ES728" s="189">
        <v>53.2</v>
      </c>
      <c r="ET728" s="189">
        <v>21.4</v>
      </c>
      <c r="EU728" s="189">
        <v>0</v>
      </c>
      <c r="EV728" s="189">
        <v>0</v>
      </c>
      <c r="EW728" s="189">
        <v>188.9</v>
      </c>
      <c r="EX728" s="189">
        <v>0</v>
      </c>
      <c r="EY728" s="189">
        <v>255</v>
      </c>
      <c r="EZ728" s="189">
        <v>0</v>
      </c>
      <c r="FA728" s="189">
        <v>0</v>
      </c>
      <c r="FB728" s="189">
        <v>0</v>
      </c>
      <c r="FC728" s="189">
        <v>0</v>
      </c>
      <c r="FD728" s="189">
        <v>0</v>
      </c>
      <c r="FE728" s="189">
        <v>0</v>
      </c>
      <c r="FF728" s="189">
        <v>0</v>
      </c>
      <c r="FG728" s="189">
        <v>0</v>
      </c>
      <c r="FH728" s="189">
        <v>0</v>
      </c>
      <c r="FI728" s="189">
        <v>0</v>
      </c>
      <c r="FJ728" s="189">
        <v>0</v>
      </c>
      <c r="FK728" s="189">
        <v>518.5</v>
      </c>
      <c r="FL728" s="189">
        <v>338</v>
      </c>
      <c r="FN728" s="132">
        <v>0</v>
      </c>
    </row>
    <row r="729" spans="1:170" ht="30" customHeight="1">
      <c r="A729" s="88">
        <f>COUNTIF($H$12:H741,H729)</f>
        <v>13</v>
      </c>
      <c r="B729" s="88" t="s">
        <v>3122</v>
      </c>
      <c r="C729" s="88" t="s">
        <v>3122</v>
      </c>
      <c r="D729" s="88"/>
      <c r="E729" s="88"/>
      <c r="F729" s="304" t="s">
        <v>3123</v>
      </c>
      <c r="G729" s="305" t="s">
        <v>14</v>
      </c>
      <c r="H729" s="88">
        <v>23</v>
      </c>
      <c r="I729" s="88">
        <v>23</v>
      </c>
      <c r="J729" s="88">
        <v>23</v>
      </c>
      <c r="K729" s="90" t="s">
        <v>2468</v>
      </c>
      <c r="L729" s="90" t="s">
        <v>2468</v>
      </c>
      <c r="M729" s="214"/>
      <c r="N729" s="215" t="s">
        <v>1748</v>
      </c>
      <c r="O729" s="216">
        <f t="shared" si="2403"/>
        <v>4.4000000000000004</v>
      </c>
      <c r="P729" s="88" t="str">
        <f t="shared" si="2426"/>
        <v>B11_4</v>
      </c>
      <c r="Q729" s="88">
        <f t="shared" si="2323"/>
        <v>270</v>
      </c>
      <c r="R729" s="88">
        <f t="shared" si="2324"/>
        <v>80</v>
      </c>
      <c r="S729" s="218" t="s">
        <v>3124</v>
      </c>
      <c r="T729" s="215" t="s">
        <v>3088</v>
      </c>
      <c r="U729" s="88">
        <f>IF(RIGHT(T729,1)="K",(VLOOKUP(T729,ma_miengiam!$A$3:$B$80,2,0)*100)/2,VLOOKUP(T729,ma_miengiam!$A$3:$B$80,2,0)*100)</f>
        <v>0</v>
      </c>
      <c r="V729" s="88"/>
      <c r="W729" s="220">
        <f>IF(AND(T729="NTS",V729&gt;0),(Q729-(Q729*V729)/12)*VLOOKUP(T729,ma_miengiam!$A$3:$B$80,2,0)+(Q729-(Q729*(12-V729))/12),IF(AND(RIGHT(T729,1)="K",V729&gt;0),(VLOOKUP(T729,ma_miengiam!$A$3:$B$80,2,0)/2)*(Q729*V729)/12,IF(RIGHT(T729,1)="K",(VLOOKUP(T729,ma_miengiam!$A$3:$B$80,2,0)*Q729)/2,IF(V729&gt;0,VLOOKUP(T729,ma_miengiam!$A$3:$B$80,2,0)*Q729*V729/12,VLOOKUP(T729,ma_miengiam!$A$3:$B$80,2,0)*Q729))))</f>
        <v>0</v>
      </c>
      <c r="X729" s="220">
        <f>IF(T729="NTS",VLOOKUP(T729,ma_miengiam!$A$3:$B$80,2,0)*R729*V729,IF(AND(T729="NTS",V729=0),0,IF(AND(LEFT(T729,1)="K",V729=0),VLOOKUP(T729,ma_miengiam!$A$3:$B$80,2,0)*R729,IF(LEFT(T729,1)="K",(VLOOKUP(T729,ma_miengiam!$A$3:$B$80,2,0)*R729/12)*V729,IF(AND(LEFT(T729,1)="S",V729&gt;0),(R729/12)*V729,IF(AND(LEFT(T729,1)="S",V729=0),R729,IF(T729="DH",VLOOKUP(T729,ma_miengiam!$A$3:$B$80,2,0)*R729,0)))))))</f>
        <v>0</v>
      </c>
      <c r="Y729" s="220">
        <f>IF(AND(T729="DH",V729&gt;0),(S729*V729/12),IF(AND(T729&lt;&gt;"NTS",V729&gt;0),(Q729*V729/12)-W729,IF(AND(T729="NTS",V729&gt;0),Q729-W729,Q729-W729)))</f>
        <v>270</v>
      </c>
      <c r="Z729" s="220">
        <f>IF(AND(T729="SĐH",V729&gt;0),(R729/12)*V729-X729,IF(AND(T729="DH",V729&gt;0),(R729*V729/12),IF(AND(T729&lt;&gt;"NTS",V729&gt;0),(R729*V729/12)-X729,IF(AND(T729="NTS",V729&gt;0),R729-X729,R729-X729))))</f>
        <v>80</v>
      </c>
      <c r="AA729" s="220">
        <f t="shared" si="2417"/>
        <v>270</v>
      </c>
      <c r="AB729" s="220">
        <f t="shared" si="2417"/>
        <v>80</v>
      </c>
      <c r="AC729" s="220">
        <f t="shared" si="2427"/>
        <v>0</v>
      </c>
      <c r="AD729" s="220">
        <f t="shared" si="2427"/>
        <v>0</v>
      </c>
      <c r="AE729" s="220">
        <f t="shared" si="2427"/>
        <v>270</v>
      </c>
      <c r="AF729" s="220">
        <f t="shared" si="2427"/>
        <v>80</v>
      </c>
      <c r="AG729" s="220">
        <f t="shared" si="2418"/>
        <v>0</v>
      </c>
      <c r="AH729" s="220">
        <f t="shared" si="2419"/>
        <v>0</v>
      </c>
      <c r="AI729" s="220">
        <f t="shared" si="2420"/>
        <v>0</v>
      </c>
      <c r="AJ729" s="220">
        <f t="shared" si="2421"/>
        <v>-80</v>
      </c>
      <c r="AK729" s="216">
        <f t="shared" si="2408"/>
        <v>350</v>
      </c>
      <c r="AL729" s="220">
        <f>SUM(CP729:CX729)+SUM(DC729:DK729)</f>
        <v>658.9</v>
      </c>
      <c r="AM729" s="220">
        <f>SUM(DQ729:DU729)+SUM(DY729:EC729)</f>
        <v>0</v>
      </c>
      <c r="AN729" s="216">
        <f>AM729+AL729</f>
        <v>658.9</v>
      </c>
      <c r="AO729" s="220">
        <f>CY729+DL729</f>
        <v>0</v>
      </c>
      <c r="AP729" s="220">
        <f>CZ729+DM729</f>
        <v>0</v>
      </c>
      <c r="AQ729" s="220">
        <f>DA729+DN729</f>
        <v>0</v>
      </c>
      <c r="AR729" s="220">
        <f>DV729+ED729</f>
        <v>0</v>
      </c>
      <c r="AS729" s="220">
        <f>DW729+EE729</f>
        <v>0</v>
      </c>
      <c r="AT729" s="216">
        <f>AN729+SUM(AO729:AS729)</f>
        <v>658.9</v>
      </c>
      <c r="AU729" s="220">
        <f>AN729-AK729</f>
        <v>308.89999999999998</v>
      </c>
      <c r="AV729" s="220"/>
      <c r="AW729" s="220">
        <f t="shared" si="2422"/>
        <v>308.89999999999998</v>
      </c>
      <c r="AX729" s="216">
        <f t="shared" si="2234"/>
        <v>0</v>
      </c>
      <c r="AY729" s="220">
        <f>IF(AN729&gt;=AK729,AO729,IF(AN729+AO729-AK729&gt;=0,AN729+AO729-AK729,0))</f>
        <v>0</v>
      </c>
      <c r="AZ729" s="220">
        <f>IF(OR(AN729&gt;=AK729,AN729+AO729&gt;=AK729),AP729,IF(AN729+AO729+AP729&gt;AK729,AN729+AO729+AP729-AK729,0))</f>
        <v>0</v>
      </c>
      <c r="BA729" s="220">
        <f>IF(OR(AN729&gt;=AK729,AN729+AO729&gt;=AK729,AN729+AO729+AP729&gt;=AK729),AQ729,IF(AN729+AO729+AP729+AQ729&gt;=AK729,AN729+AO729+AP729+AQ729-AK729,0))</f>
        <v>0</v>
      </c>
      <c r="BB729" s="220">
        <f>IF(OR(AN729&gt;=AK729,AN729+AO729&gt;=AK729,AN729+AO729+AP729&gt;=AK729,AN729+AO729+AP729+AQ729&gt;=AK729),AR729,IF(AN729+AO729+AP729+AQ729+AR729&gt;=AK729,AN729+AO729+AP729+AQ729+AR729-AK729,0))</f>
        <v>0</v>
      </c>
      <c r="BC729" s="220">
        <f>IF(OR(AN729&gt;=AK729,AN729+AO729&gt;=AK729,AN729+AO729+AP729&gt;=AK729,AN729+AO729+AP729+AQ729&gt;=AK729,AN729+AO729+AP729+AQ729+AR729&gt;=AK729),AS729,IF(AN729+AO729+AP729+AQ729+AR729+AS729&gt;=AK729,AN729+AO729+AP729+AQ729+AR729+AS729-AK729,0))</f>
        <v>0</v>
      </c>
      <c r="BD729" s="216">
        <f t="shared" si="2404"/>
        <v>0</v>
      </c>
      <c r="BE729" s="220">
        <f t="shared" si="2428"/>
        <v>0</v>
      </c>
      <c r="BF729" s="220">
        <f t="shared" si="2428"/>
        <v>0</v>
      </c>
      <c r="BG729" s="220">
        <f t="shared" si="2428"/>
        <v>0</v>
      </c>
      <c r="BH729" s="220">
        <f t="shared" si="2428"/>
        <v>0</v>
      </c>
      <c r="BI729" s="220">
        <f t="shared" si="2428"/>
        <v>0</v>
      </c>
      <c r="BJ729" s="220" t="s">
        <v>2469</v>
      </c>
      <c r="BK729" s="220"/>
      <c r="BL729" s="223">
        <f t="shared" si="2423"/>
        <v>308.89999999999998</v>
      </c>
      <c r="BM729" s="216">
        <v>4.4000000000000004</v>
      </c>
      <c r="BN729" s="220"/>
      <c r="BO729" s="220">
        <f t="shared" si="2412"/>
        <v>4.4000000000000004</v>
      </c>
      <c r="BP729" s="220">
        <f>IF(AND(BL729&gt;0,BL729&lt;tiet!$D$1),BL729,IF(BL729&lt;=0,0,IF(BL729&gt;tiet!$C$1,tiet!$C$1)))</f>
        <v>200</v>
      </c>
      <c r="BQ729" s="87">
        <f>VLOOKUP(P729,ma_dinhmuc_moi,4,0)</f>
        <v>65000</v>
      </c>
      <c r="BR729" s="224">
        <f>ROUND(BQ729*BP729,0)</f>
        <v>13000000</v>
      </c>
      <c r="BS729" s="220">
        <f t="shared" si="2356"/>
        <v>108.89999999999998</v>
      </c>
      <c r="BT729" s="224">
        <f>VLOOKUP(N729,ma_dinhmuc!$A$1:$J$31,10,0)</f>
        <v>51000</v>
      </c>
      <c r="BU729" s="224">
        <f>ROUND(IF(BS729&gt;0,VLOOKUP(N729,ma_dinhmuc!$A$1:$J$31,10,0)*BS729,0),0)</f>
        <v>5553900</v>
      </c>
      <c r="BV729" s="224">
        <f>ROUND(BU729+BR729,0)</f>
        <v>18553900</v>
      </c>
      <c r="BW729" s="224"/>
      <c r="BX729" s="224">
        <v>0</v>
      </c>
      <c r="BY729" s="224"/>
      <c r="BZ729" s="224"/>
      <c r="CA729" s="224"/>
      <c r="CB729" s="224"/>
      <c r="CC729" s="225">
        <f>ROUND(IF(BV729+BW729&gt;BX729+BY729+BZ729+CA729+CB729,(BW729+BV729)-(BX729+BY729+BZ729+CA729+CB729+CB729),0),0)</f>
        <v>18553900</v>
      </c>
      <c r="CD729" s="224">
        <f>ROUND(IF(BV729+BW729&lt;BX729+BY729+BZ729+CA729-CB729,(BX729+BY729+BZ729+CA729-CB729)-(BW729+BV729),0),0)</f>
        <v>0</v>
      </c>
      <c r="CE729" s="224"/>
      <c r="CF729" s="226"/>
      <c r="CG729" s="87"/>
      <c r="CH729" s="87">
        <f t="shared" si="2405"/>
        <v>13</v>
      </c>
      <c r="CI729" s="227" t="str">
        <f t="shared" si="2415"/>
        <v>Phạm Quyết</v>
      </c>
      <c r="CJ729" s="227" t="str">
        <f t="shared" si="2396"/>
        <v>Sơn</v>
      </c>
      <c r="CK729" s="87">
        <f t="shared" si="2406"/>
        <v>23</v>
      </c>
      <c r="CL729" s="227" t="str">
        <f t="shared" si="2407"/>
        <v>Quân sự chung</v>
      </c>
      <c r="CM729" s="87" t="str">
        <f>N729</f>
        <v>QS3</v>
      </c>
      <c r="CN729" s="87">
        <f t="shared" si="2424"/>
        <v>270</v>
      </c>
      <c r="CO729" s="87">
        <f t="shared" si="2425"/>
        <v>80</v>
      </c>
      <c r="CP729" s="229">
        <f t="shared" si="2376"/>
        <v>0</v>
      </c>
      <c r="CQ729" s="229">
        <f t="shared" si="2377"/>
        <v>69.5</v>
      </c>
      <c r="CR729" s="229">
        <f t="shared" si="2378"/>
        <v>28</v>
      </c>
      <c r="CS729" s="229">
        <f t="shared" si="2379"/>
        <v>0</v>
      </c>
      <c r="CT729" s="229">
        <f t="shared" si="2380"/>
        <v>0</v>
      </c>
      <c r="CU729" s="229">
        <f t="shared" si="2381"/>
        <v>253.9</v>
      </c>
      <c r="CV729" s="229">
        <f t="shared" si="2382"/>
        <v>0</v>
      </c>
      <c r="CW729" s="229">
        <f t="shared" si="2383"/>
        <v>307.5</v>
      </c>
      <c r="CX729" s="229">
        <f t="shared" si="2384"/>
        <v>0</v>
      </c>
      <c r="CY729" s="229">
        <f t="shared" si="2385"/>
        <v>0</v>
      </c>
      <c r="CZ729" s="229">
        <f t="shared" si="2386"/>
        <v>0</v>
      </c>
      <c r="DA729" s="229">
        <f t="shared" si="2387"/>
        <v>0</v>
      </c>
      <c r="DB729" s="228">
        <f>SUM(CP729:DA729)</f>
        <v>658.9</v>
      </c>
      <c r="DC729" s="229"/>
      <c r="DD729" s="229"/>
      <c r="DE729" s="229"/>
      <c r="DF729" s="229"/>
      <c r="DG729" s="229"/>
      <c r="DH729" s="229"/>
      <c r="DI729" s="229"/>
      <c r="DJ729" s="229"/>
      <c r="DK729" s="229"/>
      <c r="DL729" s="229"/>
      <c r="DM729" s="229"/>
      <c r="DN729" s="229"/>
      <c r="DO729" s="228">
        <f>SUM(DC729:DN729)</f>
        <v>0</v>
      </c>
      <c r="DP729" s="228">
        <f>DO729+DB729</f>
        <v>658.9</v>
      </c>
      <c r="DQ729" s="229">
        <f t="shared" si="2388"/>
        <v>0</v>
      </c>
      <c r="DR729" s="229">
        <f t="shared" si="2389"/>
        <v>0</v>
      </c>
      <c r="DS729" s="229">
        <f t="shared" si="2390"/>
        <v>0</v>
      </c>
      <c r="DT729" s="229">
        <f t="shared" si="2391"/>
        <v>0</v>
      </c>
      <c r="DU729" s="229">
        <f t="shared" si="2392"/>
        <v>0</v>
      </c>
      <c r="DV729" s="229">
        <f t="shared" si="2393"/>
        <v>0</v>
      </c>
      <c r="DW729" s="229">
        <f t="shared" si="2394"/>
        <v>0</v>
      </c>
      <c r="DX729" s="228">
        <f>SUM(DQ729:DW729)</f>
        <v>0</v>
      </c>
      <c r="DY729" s="229"/>
      <c r="DZ729" s="229"/>
      <c r="EA729" s="229"/>
      <c r="EB729" s="229"/>
      <c r="EC729" s="229"/>
      <c r="ED729" s="229"/>
      <c r="EE729" s="229"/>
      <c r="EF729" s="228">
        <f t="shared" si="2371"/>
        <v>0</v>
      </c>
      <c r="EG729" s="228">
        <f>EF729+DX729</f>
        <v>0</v>
      </c>
      <c r="EH729" s="229">
        <f t="shared" si="2372"/>
        <v>0</v>
      </c>
      <c r="EI729" s="229">
        <v>0</v>
      </c>
      <c r="EJ729" s="228">
        <f>SUM(EH729:EI729)</f>
        <v>0</v>
      </c>
      <c r="EK729" s="229"/>
      <c r="EL729" s="229"/>
      <c r="EM729" s="228">
        <f t="shared" si="2401"/>
        <v>0</v>
      </c>
      <c r="EN729" s="229">
        <f t="shared" si="2416"/>
        <v>0</v>
      </c>
      <c r="EO729" s="229">
        <f>EI729</f>
        <v>0</v>
      </c>
      <c r="EP729" s="228">
        <f t="shared" si="2402"/>
        <v>0</v>
      </c>
      <c r="EQ729" s="173">
        <f t="shared" si="2358"/>
        <v>0</v>
      </c>
      <c r="ER729" s="189">
        <v>0</v>
      </c>
      <c r="ES729" s="189">
        <v>69.5</v>
      </c>
      <c r="ET729" s="189">
        <v>28</v>
      </c>
      <c r="EU729" s="189">
        <v>0</v>
      </c>
      <c r="EV729" s="189">
        <v>0</v>
      </c>
      <c r="EW729" s="189">
        <v>253.9</v>
      </c>
      <c r="EX729" s="189">
        <v>0</v>
      </c>
      <c r="EY729" s="189">
        <v>307.5</v>
      </c>
      <c r="EZ729" s="189">
        <v>0</v>
      </c>
      <c r="FA729" s="189">
        <v>0</v>
      </c>
      <c r="FB729" s="189">
        <v>0</v>
      </c>
      <c r="FC729" s="189">
        <v>0</v>
      </c>
      <c r="FD729" s="189">
        <v>0</v>
      </c>
      <c r="FE729" s="189">
        <v>0</v>
      </c>
      <c r="FF729" s="189">
        <v>0</v>
      </c>
      <c r="FG729" s="189">
        <v>0</v>
      </c>
      <c r="FH729" s="189">
        <v>0</v>
      </c>
      <c r="FI729" s="189">
        <v>0</v>
      </c>
      <c r="FJ729" s="189">
        <v>0</v>
      </c>
      <c r="FK729" s="189">
        <v>658.9</v>
      </c>
      <c r="FL729" s="189">
        <v>430</v>
      </c>
      <c r="FN729" s="132">
        <v>0</v>
      </c>
    </row>
    <row r="730" spans="1:170" ht="45">
      <c r="A730" s="88">
        <f>COUNTIF($H$12:H740,H730)</f>
        <v>13</v>
      </c>
      <c r="B730" s="88" t="s">
        <v>2225</v>
      </c>
      <c r="C730" s="88" t="s">
        <v>2225</v>
      </c>
      <c r="D730" s="88"/>
      <c r="E730" s="88"/>
      <c r="F730" s="304" t="s">
        <v>2895</v>
      </c>
      <c r="G730" s="305" t="s">
        <v>1623</v>
      </c>
      <c r="H730" s="88">
        <v>23</v>
      </c>
      <c r="I730" s="88">
        <v>23</v>
      </c>
      <c r="J730" s="88">
        <v>23</v>
      </c>
      <c r="K730" s="90" t="s">
        <v>2850</v>
      </c>
      <c r="L730" s="90" t="s">
        <v>2850</v>
      </c>
      <c r="M730" s="214"/>
      <c r="N730" s="215" t="s">
        <v>1748</v>
      </c>
      <c r="O730" s="216">
        <f t="shared" si="2403"/>
        <v>4.4000000000000004</v>
      </c>
      <c r="P730" s="88" t="str">
        <f t="shared" si="2426"/>
        <v>B11_4</v>
      </c>
      <c r="Q730" s="88">
        <f t="shared" si="2323"/>
        <v>270</v>
      </c>
      <c r="R730" s="88">
        <f t="shared" si="2324"/>
        <v>80</v>
      </c>
      <c r="S730" s="218" t="s">
        <v>2650</v>
      </c>
      <c r="T730" s="215" t="s">
        <v>1013</v>
      </c>
      <c r="U730" s="88">
        <f>IF(RIGHT(T730,1)="K",(VLOOKUP(T730,ma_miengiam!$A$3:$B$80,2,0)*100)/2,VLOOKUP(T730,ma_miengiam!$A$3:$B$80,2,0)*100)</f>
        <v>75</v>
      </c>
      <c r="V730" s="88"/>
      <c r="W730" s="220">
        <f>IF(AND(T730="NTS",V730&gt;0),(Q730-(Q730*V730)/12)*VLOOKUP(T730,ma_miengiam!$A$3:$B$80,2,0)+(Q730-(Q730*(12-V730))/12),IF(AND(RIGHT(T730,1)="K",V730&gt;0),(VLOOKUP(T730,ma_miengiam!$A$3:$B$80,2,0)/2)*(Q730*V730)/12,IF(RIGHT(T730,1)="K",(VLOOKUP(T730,ma_miengiam!$A$3:$B$80,2,0)*Q730)/2,IF(V730&gt;0,VLOOKUP(T730,ma_miengiam!$A$3:$B$80,2,0)*Q730*V730/12,VLOOKUP(T730,ma_miengiam!$A$3:$B$80,2,0)*Q730))))</f>
        <v>202.5</v>
      </c>
      <c r="X730" s="220">
        <f>IF(T730="NTS",VLOOKUP(T730,ma_miengiam!$A$3:$B$80,2,0)*R730*V730,IF(AND(T730="NTS",V730=0),0,IF(AND(LEFT(T730,1)="K",V730=0),VLOOKUP(T730,ma_miengiam!$A$3:$B$80,2,0)*R730,IF(LEFT(T730,1)="K",(VLOOKUP(T730,ma_miengiam!$A$3:$B$80,2,0)*R730/12)*V730,IF(AND(LEFT(T730,1)="S",V730&gt;0),(R730/12)*V730,IF(AND(LEFT(T730,1)="S",V730=0),R730,IF(T730="DH",VLOOKUP(T730,ma_miengiam!$A$3:$B$80,2,0)*R730,0)))))))</f>
        <v>0</v>
      </c>
      <c r="Y730" s="220">
        <f t="shared" si="2349"/>
        <v>67.5</v>
      </c>
      <c r="Z730" s="220">
        <f t="shared" si="2258"/>
        <v>80</v>
      </c>
      <c r="AA730" s="220">
        <f t="shared" si="2417"/>
        <v>270</v>
      </c>
      <c r="AB730" s="220">
        <f t="shared" si="2417"/>
        <v>80</v>
      </c>
      <c r="AC730" s="220">
        <f t="shared" ref="AC730:AF731" si="2429">W730</f>
        <v>202.5</v>
      </c>
      <c r="AD730" s="220">
        <f t="shared" si="2429"/>
        <v>0</v>
      </c>
      <c r="AE730" s="220">
        <f t="shared" si="2429"/>
        <v>67.5</v>
      </c>
      <c r="AF730" s="220">
        <f t="shared" si="2429"/>
        <v>80</v>
      </c>
      <c r="AG730" s="220">
        <f t="shared" si="2418"/>
        <v>0</v>
      </c>
      <c r="AH730" s="220">
        <f t="shared" si="2419"/>
        <v>0</v>
      </c>
      <c r="AI730" s="220">
        <f t="shared" si="2420"/>
        <v>0</v>
      </c>
      <c r="AJ730" s="220">
        <f t="shared" si="2421"/>
        <v>-80</v>
      </c>
      <c r="AK730" s="216">
        <f t="shared" si="2408"/>
        <v>147.5</v>
      </c>
      <c r="AL730" s="220">
        <f t="shared" si="2238"/>
        <v>424.7</v>
      </c>
      <c r="AM730" s="220">
        <f t="shared" si="2239"/>
        <v>0</v>
      </c>
      <c r="AN730" s="221">
        <f t="shared" si="2240"/>
        <v>424.7</v>
      </c>
      <c r="AO730" s="220">
        <f t="shared" si="2241"/>
        <v>0</v>
      </c>
      <c r="AP730" s="220">
        <f t="shared" si="2242"/>
        <v>0</v>
      </c>
      <c r="AQ730" s="220">
        <f t="shared" si="2243"/>
        <v>0</v>
      </c>
      <c r="AR730" s="220">
        <f t="shared" si="2244"/>
        <v>0</v>
      </c>
      <c r="AS730" s="220">
        <f t="shared" si="2245"/>
        <v>0</v>
      </c>
      <c r="AT730" s="216">
        <f t="shared" si="2246"/>
        <v>424.7</v>
      </c>
      <c r="AU730" s="220">
        <f t="shared" si="2320"/>
        <v>277.2</v>
      </c>
      <c r="AV730" s="220"/>
      <c r="AW730" s="220">
        <f t="shared" si="2422"/>
        <v>277.2</v>
      </c>
      <c r="AX730" s="216">
        <f t="shared" si="2234"/>
        <v>0</v>
      </c>
      <c r="AY730" s="220">
        <f t="shared" si="2362"/>
        <v>0</v>
      </c>
      <c r="AZ730" s="220">
        <f t="shared" si="2363"/>
        <v>0</v>
      </c>
      <c r="BA730" s="220">
        <f t="shared" si="2364"/>
        <v>0</v>
      </c>
      <c r="BB730" s="220">
        <f t="shared" si="2365"/>
        <v>0</v>
      </c>
      <c r="BC730" s="220">
        <f t="shared" si="2366"/>
        <v>0</v>
      </c>
      <c r="BD730" s="216">
        <f t="shared" si="2404"/>
        <v>0</v>
      </c>
      <c r="BE730" s="220">
        <f t="shared" si="2351"/>
        <v>0</v>
      </c>
      <c r="BF730" s="220">
        <f t="shared" si="2352"/>
        <v>0</v>
      </c>
      <c r="BG730" s="220">
        <f t="shared" si="2353"/>
        <v>0</v>
      </c>
      <c r="BH730" s="220">
        <f t="shared" si="2354"/>
        <v>0</v>
      </c>
      <c r="BI730" s="220">
        <f t="shared" si="2355"/>
        <v>0</v>
      </c>
      <c r="BJ730" s="220" t="s">
        <v>2773</v>
      </c>
      <c r="BK730" s="220"/>
      <c r="BL730" s="223">
        <f t="shared" si="2423"/>
        <v>277.2</v>
      </c>
      <c r="BM730" s="216">
        <v>4.4000000000000004</v>
      </c>
      <c r="BN730" s="220"/>
      <c r="BO730" s="220">
        <f t="shared" si="2412"/>
        <v>4.4000000000000004</v>
      </c>
      <c r="BP730" s="220">
        <f>IF(AND(BL730&gt;0,BL730&lt;tiet!$D$1),BL730,IF(BL730&lt;=0,0,IF(BL730&gt;tiet!$C$1,tiet!$C$1)))</f>
        <v>200</v>
      </c>
      <c r="BQ730" s="87">
        <f t="shared" si="2335"/>
        <v>65000</v>
      </c>
      <c r="BR730" s="224">
        <f t="shared" si="2336"/>
        <v>13000000</v>
      </c>
      <c r="BS730" s="220">
        <f t="shared" si="2356"/>
        <v>77.199999999999989</v>
      </c>
      <c r="BT730" s="224">
        <f>VLOOKUP(N730,ma_dinhmuc!$A$1:$J$31,10,0)</f>
        <v>51000</v>
      </c>
      <c r="BU730" s="224">
        <f>ROUND(IF(BS730&gt;0,VLOOKUP(N730,ma_dinhmuc!$A$1:$J$31,10,0)*BS730,0),0)</f>
        <v>3937200</v>
      </c>
      <c r="BV730" s="224">
        <f t="shared" si="2337"/>
        <v>16937200</v>
      </c>
      <c r="BW730" s="224"/>
      <c r="BX730" s="224">
        <v>0</v>
      </c>
      <c r="BY730" s="224"/>
      <c r="BZ730" s="224"/>
      <c r="CA730" s="224"/>
      <c r="CB730" s="224"/>
      <c r="CC730" s="225">
        <f t="shared" si="2338"/>
        <v>16937200</v>
      </c>
      <c r="CD730" s="224">
        <f t="shared" si="2339"/>
        <v>0</v>
      </c>
      <c r="CE730" s="224"/>
      <c r="CF730" s="226"/>
      <c r="CG730" s="87"/>
      <c r="CH730" s="87">
        <f t="shared" si="2405"/>
        <v>13</v>
      </c>
      <c r="CI730" s="227" t="str">
        <f t="shared" si="2415"/>
        <v>Nguyễn Văn</v>
      </c>
      <c r="CJ730" s="227" t="str">
        <f t="shared" si="2396"/>
        <v>Tám</v>
      </c>
      <c r="CK730" s="87">
        <f t="shared" ref="CK730:CK740" si="2430">H730</f>
        <v>23</v>
      </c>
      <c r="CL730" s="227" t="str">
        <f t="shared" si="2407"/>
        <v>Đường lối quân sự</v>
      </c>
      <c r="CM730" s="87" t="str">
        <f t="shared" si="2357"/>
        <v>QS3</v>
      </c>
      <c r="CN730" s="87">
        <f t="shared" si="2424"/>
        <v>270</v>
      </c>
      <c r="CO730" s="87">
        <f t="shared" si="2425"/>
        <v>80</v>
      </c>
      <c r="CP730" s="229">
        <f t="shared" si="2376"/>
        <v>0</v>
      </c>
      <c r="CQ730" s="229">
        <f t="shared" si="2377"/>
        <v>62.6</v>
      </c>
      <c r="CR730" s="229">
        <f t="shared" si="2378"/>
        <v>25.1</v>
      </c>
      <c r="CS730" s="229">
        <f t="shared" si="2379"/>
        <v>0</v>
      </c>
      <c r="CT730" s="229">
        <f t="shared" si="2380"/>
        <v>0</v>
      </c>
      <c r="CU730" s="229">
        <f t="shared" si="2381"/>
        <v>337</v>
      </c>
      <c r="CV730" s="229">
        <f t="shared" si="2382"/>
        <v>0</v>
      </c>
      <c r="CW730" s="229">
        <f t="shared" si="2383"/>
        <v>0</v>
      </c>
      <c r="CX730" s="229">
        <f t="shared" si="2384"/>
        <v>0</v>
      </c>
      <c r="CY730" s="229">
        <f t="shared" si="2385"/>
        <v>0</v>
      </c>
      <c r="CZ730" s="229">
        <f t="shared" si="2386"/>
        <v>0</v>
      </c>
      <c r="DA730" s="229">
        <f t="shared" si="2387"/>
        <v>0</v>
      </c>
      <c r="DB730" s="228">
        <f t="shared" si="2235"/>
        <v>424.7</v>
      </c>
      <c r="DC730" s="229"/>
      <c r="DD730" s="229"/>
      <c r="DE730" s="229"/>
      <c r="DF730" s="229"/>
      <c r="DG730" s="229"/>
      <c r="DH730" s="229"/>
      <c r="DI730" s="229"/>
      <c r="DJ730" s="229"/>
      <c r="DK730" s="229"/>
      <c r="DL730" s="229"/>
      <c r="DM730" s="229"/>
      <c r="DN730" s="229"/>
      <c r="DO730" s="228">
        <f t="shared" si="2247"/>
        <v>0</v>
      </c>
      <c r="DP730" s="228">
        <f t="shared" si="2248"/>
        <v>424.7</v>
      </c>
      <c r="DQ730" s="229">
        <f t="shared" si="2388"/>
        <v>0</v>
      </c>
      <c r="DR730" s="229">
        <f t="shared" si="2389"/>
        <v>0</v>
      </c>
      <c r="DS730" s="229">
        <f t="shared" si="2390"/>
        <v>0</v>
      </c>
      <c r="DT730" s="229">
        <f t="shared" si="2391"/>
        <v>0</v>
      </c>
      <c r="DU730" s="229">
        <f t="shared" si="2392"/>
        <v>0</v>
      </c>
      <c r="DV730" s="229">
        <f t="shared" si="2393"/>
        <v>0</v>
      </c>
      <c r="DW730" s="229">
        <f t="shared" si="2394"/>
        <v>0</v>
      </c>
      <c r="DX730" s="228">
        <f t="shared" si="2236"/>
        <v>0</v>
      </c>
      <c r="DY730" s="229"/>
      <c r="DZ730" s="229"/>
      <c r="EA730" s="229"/>
      <c r="EB730" s="229"/>
      <c r="EC730" s="229"/>
      <c r="ED730" s="229"/>
      <c r="EE730" s="229"/>
      <c r="EF730" s="228">
        <f t="shared" si="2371"/>
        <v>0</v>
      </c>
      <c r="EG730" s="228">
        <f t="shared" si="2249"/>
        <v>0</v>
      </c>
      <c r="EH730" s="229">
        <f t="shared" si="2372"/>
        <v>0</v>
      </c>
      <c r="EI730" s="229">
        <v>0</v>
      </c>
      <c r="EJ730" s="228">
        <f t="shared" si="2400"/>
        <v>0</v>
      </c>
      <c r="EK730" s="229"/>
      <c r="EL730" s="229"/>
      <c r="EM730" s="228">
        <f t="shared" si="2401"/>
        <v>0</v>
      </c>
      <c r="EN730" s="229">
        <f t="shared" si="2416"/>
        <v>0</v>
      </c>
      <c r="EO730" s="229">
        <f t="shared" si="2321"/>
        <v>0</v>
      </c>
      <c r="EP730" s="228">
        <f t="shared" si="2402"/>
        <v>0</v>
      </c>
      <c r="EQ730" s="173">
        <f t="shared" si="2358"/>
        <v>0</v>
      </c>
      <c r="ER730" s="189">
        <v>0</v>
      </c>
      <c r="ES730" s="189">
        <v>62.6</v>
      </c>
      <c r="ET730" s="189">
        <v>25.1</v>
      </c>
      <c r="EU730" s="189">
        <v>0</v>
      </c>
      <c r="EV730" s="189">
        <v>0</v>
      </c>
      <c r="EW730" s="189">
        <v>337</v>
      </c>
      <c r="EX730" s="189">
        <v>0</v>
      </c>
      <c r="EY730" s="189">
        <v>0</v>
      </c>
      <c r="EZ730" s="189">
        <v>0</v>
      </c>
      <c r="FA730" s="189">
        <v>0</v>
      </c>
      <c r="FB730" s="189">
        <v>0</v>
      </c>
      <c r="FC730" s="189">
        <v>0</v>
      </c>
      <c r="FD730" s="189">
        <v>0</v>
      </c>
      <c r="FE730" s="189">
        <v>0</v>
      </c>
      <c r="FF730" s="189">
        <v>0</v>
      </c>
      <c r="FG730" s="189">
        <v>0</v>
      </c>
      <c r="FH730" s="189">
        <v>0</v>
      </c>
      <c r="FI730" s="189">
        <v>0</v>
      </c>
      <c r="FJ730" s="189">
        <v>0</v>
      </c>
      <c r="FK730" s="189">
        <v>424.7</v>
      </c>
      <c r="FL730" s="189">
        <v>188</v>
      </c>
      <c r="FN730" s="132">
        <v>0</v>
      </c>
    </row>
    <row r="731" spans="1:170" ht="60">
      <c r="A731" s="88">
        <f>COUNTIF($H$12:H740,H731)</f>
        <v>13</v>
      </c>
      <c r="B731" s="88" t="s">
        <v>2226</v>
      </c>
      <c r="C731" s="88" t="s">
        <v>2226</v>
      </c>
      <c r="D731" s="88"/>
      <c r="E731" s="88"/>
      <c r="F731" s="304" t="s">
        <v>1279</v>
      </c>
      <c r="G731" s="305" t="s">
        <v>1495</v>
      </c>
      <c r="H731" s="88">
        <v>23</v>
      </c>
      <c r="I731" s="88">
        <v>23</v>
      </c>
      <c r="J731" s="88">
        <v>23</v>
      </c>
      <c r="K731" s="90" t="s">
        <v>2850</v>
      </c>
      <c r="L731" s="90" t="s">
        <v>2850</v>
      </c>
      <c r="M731" s="214"/>
      <c r="N731" s="215" t="s">
        <v>1748</v>
      </c>
      <c r="O731" s="216">
        <f t="shared" si="2403"/>
        <v>4.4000000000000004</v>
      </c>
      <c r="P731" s="88" t="str">
        <f t="shared" si="2426"/>
        <v>B11_4</v>
      </c>
      <c r="Q731" s="88">
        <f t="shared" si="2323"/>
        <v>270</v>
      </c>
      <c r="R731" s="88">
        <f t="shared" si="2324"/>
        <v>80</v>
      </c>
      <c r="S731" s="218" t="s">
        <v>2670</v>
      </c>
      <c r="T731" s="215" t="s">
        <v>3095</v>
      </c>
      <c r="U731" s="88">
        <f>IF(RIGHT(T731,1)="K",(VLOOKUP(T731,ma_miengiam!$A$3:$B$80,2,0)*100)/2,VLOOKUP(T731,ma_miengiam!$A$3:$B$80,2,0)*100)</f>
        <v>40</v>
      </c>
      <c r="V731" s="88">
        <v>5</v>
      </c>
      <c r="W731" s="220">
        <f>IF(AND(T731="NTS",V731&gt;0),(Q731-(Q731*V731)/12)*VLOOKUP(T731,ma_miengiam!$A$3:$B$80,2,0)+(Q731-(Q731*(12-V731))/12),IF(AND(RIGHT(T731,1)="K",V731&gt;0),(VLOOKUP(T731,ma_miengiam!$A$3:$B$80,2,0)/2)*(Q731*V731)/12,IF(RIGHT(T731,1)="K",(VLOOKUP(T731,ma_miengiam!$A$3:$B$80,2,0)*Q731)/2,IF(V731&gt;0,VLOOKUP(T731,ma_miengiam!$A$3:$B$80,2,0)*Q731*V731/12,VLOOKUP(T731,ma_miengiam!$A$3:$B$80,2,0)*Q731))))</f>
        <v>45</v>
      </c>
      <c r="X731" s="220">
        <f>IF(T731="NTS",VLOOKUP(T731,ma_miengiam!$A$3:$B$80,2,0)*R731*V731,IF(AND(T731="NTS",V731=0),0,IF(AND(LEFT(T731,1)="K",V731=0),VLOOKUP(T731,ma_miengiam!$A$3:$B$80,2,0)*R731,IF(LEFT(T731,1)="K",(VLOOKUP(T731,ma_miengiam!$A$3:$B$80,2,0)*R731/12)*V731,IF(AND(LEFT(T731,1)="S",V731&gt;0),(R731/12)*V731,IF(AND(LEFT(T731,1)="S",V731=0),R731,IF(T731="DH",VLOOKUP(T731,ma_miengiam!$A$3:$B$80,2,0)*R731,0)))))))</f>
        <v>0</v>
      </c>
      <c r="Y731" s="220">
        <f t="shared" si="2349"/>
        <v>67.5</v>
      </c>
      <c r="Z731" s="220">
        <f t="shared" si="2258"/>
        <v>33.333333333333336</v>
      </c>
      <c r="AA731" s="220">
        <f t="shared" si="2417"/>
        <v>270</v>
      </c>
      <c r="AB731" s="220">
        <f t="shared" si="2417"/>
        <v>80</v>
      </c>
      <c r="AC731" s="220">
        <f t="shared" si="2429"/>
        <v>45</v>
      </c>
      <c r="AD731" s="220">
        <f t="shared" si="2429"/>
        <v>0</v>
      </c>
      <c r="AE731" s="220">
        <f t="shared" si="2429"/>
        <v>67.5</v>
      </c>
      <c r="AF731" s="220">
        <f t="shared" si="2429"/>
        <v>33.333333333333336</v>
      </c>
      <c r="AG731" s="220">
        <f t="shared" si="2418"/>
        <v>0</v>
      </c>
      <c r="AH731" s="220">
        <f t="shared" si="2419"/>
        <v>0</v>
      </c>
      <c r="AI731" s="220">
        <f t="shared" si="2420"/>
        <v>0</v>
      </c>
      <c r="AJ731" s="220">
        <f t="shared" si="2421"/>
        <v>-33.333333333333336</v>
      </c>
      <c r="AK731" s="216">
        <f t="shared" si="2408"/>
        <v>100.83333333333334</v>
      </c>
      <c r="AL731" s="220">
        <f t="shared" si="2238"/>
        <v>506.5</v>
      </c>
      <c r="AM731" s="220">
        <f t="shared" si="2239"/>
        <v>0</v>
      </c>
      <c r="AN731" s="221">
        <f t="shared" si="2240"/>
        <v>506.5</v>
      </c>
      <c r="AO731" s="220">
        <f t="shared" si="2241"/>
        <v>0</v>
      </c>
      <c r="AP731" s="220">
        <f t="shared" si="2242"/>
        <v>0</v>
      </c>
      <c r="AQ731" s="220">
        <f t="shared" si="2243"/>
        <v>0</v>
      </c>
      <c r="AR731" s="220">
        <f t="shared" si="2244"/>
        <v>0</v>
      </c>
      <c r="AS731" s="220">
        <f t="shared" si="2245"/>
        <v>0</v>
      </c>
      <c r="AT731" s="216">
        <f t="shared" si="2246"/>
        <v>506.5</v>
      </c>
      <c r="AU731" s="220">
        <f t="shared" si="2320"/>
        <v>405.66666666666663</v>
      </c>
      <c r="AV731" s="220"/>
      <c r="AW731" s="220">
        <f t="shared" si="2422"/>
        <v>405.66666666666663</v>
      </c>
      <c r="AX731" s="216">
        <f t="shared" ref="AX731:AX740" si="2431">IF(AN731&gt;AK731,0,IF(AW731&lt;0,AN731-AK731+AV731,IF(AW731&gt;=0,0)))</f>
        <v>0</v>
      </c>
      <c r="AY731" s="220">
        <f t="shared" si="2362"/>
        <v>0</v>
      </c>
      <c r="AZ731" s="220">
        <f t="shared" si="2363"/>
        <v>0</v>
      </c>
      <c r="BA731" s="220">
        <f t="shared" si="2364"/>
        <v>0</v>
      </c>
      <c r="BB731" s="220">
        <f t="shared" si="2365"/>
        <v>0</v>
      </c>
      <c r="BC731" s="220">
        <f t="shared" si="2366"/>
        <v>0</v>
      </c>
      <c r="BD731" s="216">
        <f t="shared" si="2404"/>
        <v>0</v>
      </c>
      <c r="BE731" s="220">
        <f t="shared" si="2351"/>
        <v>0</v>
      </c>
      <c r="BF731" s="220">
        <f t="shared" si="2352"/>
        <v>0</v>
      </c>
      <c r="BG731" s="220">
        <f t="shared" si="2353"/>
        <v>0</v>
      </c>
      <c r="BH731" s="220">
        <f t="shared" si="2354"/>
        <v>0</v>
      </c>
      <c r="BI731" s="220">
        <f t="shared" si="2355"/>
        <v>0</v>
      </c>
      <c r="BJ731" s="220" t="s">
        <v>2773</v>
      </c>
      <c r="BK731" s="220"/>
      <c r="BL731" s="223">
        <f t="shared" si="2423"/>
        <v>405.66666666666663</v>
      </c>
      <c r="BM731" s="216">
        <v>4.4000000000000004</v>
      </c>
      <c r="BN731" s="220"/>
      <c r="BO731" s="220">
        <f t="shared" si="2412"/>
        <v>4.4000000000000004</v>
      </c>
      <c r="BP731" s="220">
        <f>IF(AND(BL731&gt;0,BL731&lt;tiet!$D$1),BL731,IF(BL731&lt;=0,0,IF(BL731&gt;tiet!$C$1,tiet!$C$1)))</f>
        <v>200</v>
      </c>
      <c r="BQ731" s="87">
        <f t="shared" si="2335"/>
        <v>65000</v>
      </c>
      <c r="BR731" s="224">
        <f t="shared" si="2336"/>
        <v>13000000</v>
      </c>
      <c r="BS731" s="220">
        <f t="shared" si="2356"/>
        <v>205.66666666666663</v>
      </c>
      <c r="BT731" s="224">
        <f>VLOOKUP(N731,ma_dinhmuc!$A$1:$J$31,10,0)</f>
        <v>51000</v>
      </c>
      <c r="BU731" s="224">
        <f>ROUND(IF(BS731&gt;0,VLOOKUP(N731,ma_dinhmuc!$A$1:$J$31,10,0)*BS731,0),0)</f>
        <v>10489000</v>
      </c>
      <c r="BV731" s="224">
        <f t="shared" si="2337"/>
        <v>23489000</v>
      </c>
      <c r="BW731" s="224"/>
      <c r="BX731" s="224">
        <v>0</v>
      </c>
      <c r="BY731" s="224"/>
      <c r="BZ731" s="224"/>
      <c r="CA731" s="224"/>
      <c r="CB731" s="224"/>
      <c r="CC731" s="225">
        <f t="shared" si="2338"/>
        <v>23489000</v>
      </c>
      <c r="CD731" s="224">
        <f t="shared" si="2339"/>
        <v>0</v>
      </c>
      <c r="CE731" s="224"/>
      <c r="CF731" s="226"/>
      <c r="CG731" s="87"/>
      <c r="CH731" s="87">
        <f t="shared" si="2405"/>
        <v>13</v>
      </c>
      <c r="CI731" s="227" t="str">
        <f t="shared" si="2415"/>
        <v>Đào Xuân</v>
      </c>
      <c r="CJ731" s="227" t="str">
        <f t="shared" si="2396"/>
        <v>Tưởng</v>
      </c>
      <c r="CK731" s="87">
        <f t="shared" si="2430"/>
        <v>23</v>
      </c>
      <c r="CL731" s="227" t="str">
        <f t="shared" si="2407"/>
        <v>Đường lối quân sự</v>
      </c>
      <c r="CM731" s="87" t="str">
        <f t="shared" si="2357"/>
        <v>QS3</v>
      </c>
      <c r="CN731" s="87">
        <f t="shared" si="2424"/>
        <v>270</v>
      </c>
      <c r="CO731" s="87">
        <f t="shared" si="2425"/>
        <v>80</v>
      </c>
      <c r="CP731" s="229">
        <f t="shared" si="2376"/>
        <v>0</v>
      </c>
      <c r="CQ731" s="229">
        <f t="shared" si="2377"/>
        <v>77.400000000000006</v>
      </c>
      <c r="CR731" s="229">
        <f t="shared" si="2378"/>
        <v>31.1</v>
      </c>
      <c r="CS731" s="229">
        <f t="shared" si="2379"/>
        <v>0</v>
      </c>
      <c r="CT731" s="229">
        <f t="shared" si="2380"/>
        <v>0</v>
      </c>
      <c r="CU731" s="229">
        <f t="shared" si="2381"/>
        <v>398</v>
      </c>
      <c r="CV731" s="229">
        <f t="shared" si="2382"/>
        <v>0</v>
      </c>
      <c r="CW731" s="229">
        <f t="shared" si="2383"/>
        <v>0</v>
      </c>
      <c r="CX731" s="229">
        <f t="shared" si="2384"/>
        <v>0</v>
      </c>
      <c r="CY731" s="229">
        <f t="shared" si="2385"/>
        <v>0</v>
      </c>
      <c r="CZ731" s="229">
        <f t="shared" si="2386"/>
        <v>0</v>
      </c>
      <c r="DA731" s="229">
        <f t="shared" si="2387"/>
        <v>0</v>
      </c>
      <c r="DB731" s="228">
        <f t="shared" si="2235"/>
        <v>506.5</v>
      </c>
      <c r="DC731" s="229"/>
      <c r="DD731" s="229"/>
      <c r="DE731" s="229"/>
      <c r="DF731" s="229"/>
      <c r="DG731" s="229"/>
      <c r="DH731" s="229"/>
      <c r="DI731" s="229"/>
      <c r="DJ731" s="229"/>
      <c r="DK731" s="229"/>
      <c r="DL731" s="229"/>
      <c r="DM731" s="229"/>
      <c r="DN731" s="229"/>
      <c r="DO731" s="228">
        <f t="shared" si="2247"/>
        <v>0</v>
      </c>
      <c r="DP731" s="228">
        <f t="shared" si="2248"/>
        <v>506.5</v>
      </c>
      <c r="DQ731" s="229">
        <f t="shared" si="2388"/>
        <v>0</v>
      </c>
      <c r="DR731" s="229">
        <f t="shared" si="2389"/>
        <v>0</v>
      </c>
      <c r="DS731" s="229">
        <f t="shared" si="2390"/>
        <v>0</v>
      </c>
      <c r="DT731" s="229">
        <f t="shared" si="2391"/>
        <v>0</v>
      </c>
      <c r="DU731" s="229">
        <f t="shared" si="2392"/>
        <v>0</v>
      </c>
      <c r="DV731" s="229">
        <f t="shared" si="2393"/>
        <v>0</v>
      </c>
      <c r="DW731" s="229">
        <f t="shared" si="2394"/>
        <v>0</v>
      </c>
      <c r="DX731" s="228">
        <f t="shared" si="2236"/>
        <v>0</v>
      </c>
      <c r="DY731" s="229"/>
      <c r="DZ731" s="229"/>
      <c r="EA731" s="229"/>
      <c r="EB731" s="229"/>
      <c r="EC731" s="229"/>
      <c r="ED731" s="229"/>
      <c r="EE731" s="229"/>
      <c r="EF731" s="228">
        <f t="shared" si="2371"/>
        <v>0</v>
      </c>
      <c r="EG731" s="228">
        <f t="shared" si="2249"/>
        <v>0</v>
      </c>
      <c r="EH731" s="229">
        <f t="shared" si="2372"/>
        <v>0</v>
      </c>
      <c r="EI731" s="229">
        <v>0</v>
      </c>
      <c r="EJ731" s="228">
        <f t="shared" si="2400"/>
        <v>0</v>
      </c>
      <c r="EK731" s="229"/>
      <c r="EL731" s="229"/>
      <c r="EM731" s="228">
        <f t="shared" si="2401"/>
        <v>0</v>
      </c>
      <c r="EN731" s="229">
        <f t="shared" si="2416"/>
        <v>0</v>
      </c>
      <c r="EO731" s="229">
        <f t="shared" si="2321"/>
        <v>0</v>
      </c>
      <c r="EP731" s="228">
        <f t="shared" si="2402"/>
        <v>0</v>
      </c>
      <c r="EQ731" s="173">
        <f t="shared" si="2358"/>
        <v>0</v>
      </c>
      <c r="ER731" s="189">
        <v>0</v>
      </c>
      <c r="ES731" s="189">
        <v>77.400000000000006</v>
      </c>
      <c r="ET731" s="189">
        <v>31.1</v>
      </c>
      <c r="EU731" s="189">
        <v>0</v>
      </c>
      <c r="EV731" s="189">
        <v>0</v>
      </c>
      <c r="EW731" s="189">
        <v>398</v>
      </c>
      <c r="EX731" s="189">
        <v>0</v>
      </c>
      <c r="EY731" s="189">
        <v>0</v>
      </c>
      <c r="EZ731" s="189">
        <v>0</v>
      </c>
      <c r="FA731" s="189">
        <v>0</v>
      </c>
      <c r="FB731" s="189">
        <v>0</v>
      </c>
      <c r="FC731" s="189">
        <v>0</v>
      </c>
      <c r="FD731" s="189">
        <v>0</v>
      </c>
      <c r="FE731" s="189">
        <v>0</v>
      </c>
      <c r="FF731" s="189">
        <v>0</v>
      </c>
      <c r="FG731" s="189">
        <v>0</v>
      </c>
      <c r="FH731" s="189">
        <v>0</v>
      </c>
      <c r="FI731" s="189">
        <v>0</v>
      </c>
      <c r="FJ731" s="189">
        <v>0</v>
      </c>
      <c r="FK731" s="189">
        <v>506.5</v>
      </c>
      <c r="FL731" s="189">
        <v>235</v>
      </c>
      <c r="FN731" s="132">
        <v>0</v>
      </c>
    </row>
    <row r="732" spans="1:170" ht="30.75" customHeight="1">
      <c r="A732" s="88">
        <f>COUNTIF($H$12:H740,H732)</f>
        <v>13</v>
      </c>
      <c r="B732" s="88" t="s">
        <v>2227</v>
      </c>
      <c r="C732" s="88" t="s">
        <v>2227</v>
      </c>
      <c r="D732" s="88"/>
      <c r="E732" s="88"/>
      <c r="F732" s="304" t="s">
        <v>2793</v>
      </c>
      <c r="G732" s="305" t="s">
        <v>2794</v>
      </c>
      <c r="H732" s="88">
        <v>23</v>
      </c>
      <c r="I732" s="88"/>
      <c r="J732" s="88">
        <v>23</v>
      </c>
      <c r="K732" s="90"/>
      <c r="L732" s="90" t="s">
        <v>2468</v>
      </c>
      <c r="M732" s="214"/>
      <c r="N732" s="215" t="s">
        <v>1748</v>
      </c>
      <c r="O732" s="216">
        <f t="shared" si="2403"/>
        <v>4.4000000000000004</v>
      </c>
      <c r="P732" s="88" t="str">
        <f>IF(BO732&lt;3.33,"B11_3",IF(AND(BO732&gt;=3.33,BO732&lt;4.65),"B11_4",IF(AND(BO732&gt;=4.65,BO732&lt;5.42),"B11_5",IF(AND(BO732&gt;=5.42,BO732&lt;6.44),"B11_6",IF(AND(BO732&gt;=6.44,BO732&lt;=6.92),"B11_7","B11_8")))))</f>
        <v>B11_4</v>
      </c>
      <c r="Q732" s="88">
        <f>IF(M732&gt;0,VLOOKUP(P732,ma_dinhmuc_moi,2,0)/2,VLOOKUP(P732,ma_dinhmuc_moi,2,0))</f>
        <v>270</v>
      </c>
      <c r="R732" s="88">
        <f>IF(M732&gt;0,VLOOKUP(P732,ma_dinhmuc_moi,3,0)/2,VLOOKUP(P732,ma_dinhmuc_moi,3,0))</f>
        <v>80</v>
      </c>
      <c r="S732" s="218" t="s">
        <v>1493</v>
      </c>
      <c r="T732" s="215" t="s">
        <v>3088</v>
      </c>
      <c r="U732" s="88">
        <f>IF(RIGHT(T732,1)="K",(VLOOKUP(T732,ma_miengiam!$A$3:$B$80,2,0)*100)/2,VLOOKUP(T732,ma_miengiam!$A$3:$B$80,2,0)*100)</f>
        <v>0</v>
      </c>
      <c r="V732" s="88">
        <v>5</v>
      </c>
      <c r="W732" s="220">
        <f>IF(AND(T732="NTS",V732&gt;0),(Q732-(Q732*V732)/12)*VLOOKUP(T732,ma_miengiam!$A$3:$B$80,2,0)+(Q732-(Q732*(12-V732))/12),IF(AND(RIGHT(T732,1)="K",V732&gt;0),(VLOOKUP(T732,ma_miengiam!$A$3:$B$80,2,0)/2)*(Q732*V732)/12,IF(RIGHT(T732,1)="K",(VLOOKUP(T732,ma_miengiam!$A$3:$B$80,2,0)*Q732)/2,IF(V732&gt;0,VLOOKUP(T732,ma_miengiam!$A$3:$B$80,2,0)*Q732*V732/12,VLOOKUP(T732,ma_miengiam!$A$3:$B$80,2,0)*Q732))))</f>
        <v>0</v>
      </c>
      <c r="X732" s="220">
        <f>IF(T732="NTS",VLOOKUP(T732,ma_miengiam!$A$3:$B$80,2,0)*R732*V732,IF(AND(T732="NTS",V732=0),0,IF(AND(LEFT(T732,1)="K",V732=0),VLOOKUP(T732,ma_miengiam!$A$3:$B$80,2,0)*R732,IF(LEFT(T732,1)="K",(VLOOKUP(T732,ma_miengiam!$A$3:$B$80,2,0)*R732/12)*V732,IF(AND(LEFT(T732,1)="S",V732&gt;0),(R732/12)*V732,IF(AND(LEFT(T732,1)="S",V732=0),R732,IF(T732="DH",VLOOKUP(T732,ma_miengiam!$A$3:$B$80,2,0)*R732,0)))))))</f>
        <v>0</v>
      </c>
      <c r="Y732" s="220">
        <f>IF(AND(T732="DH",V732&gt;0),(S732*V732/12),IF(AND(T732&lt;&gt;"NTS",V732&gt;0),(Q732*V732/12)-W732,IF(AND(T732="NTS",V732&gt;0),Q732-W732,Q732-W732)))</f>
        <v>112.5</v>
      </c>
      <c r="Z732" s="220">
        <f>IF(AND(T732="SĐH",V732&gt;0),(R732/12)*V732-X732,IF(AND(T732="DH",V732&gt;0),(R732*V732/12),IF(AND(T732&lt;&gt;"NTS",V732&gt;0),(R732*V732/12)-X732,IF(AND(T732="NTS",V732&gt;0),R732-X732,R732-X732))))</f>
        <v>33.333333333333336</v>
      </c>
      <c r="AA732" s="220"/>
      <c r="AB732" s="220"/>
      <c r="AC732" s="220"/>
      <c r="AD732" s="220"/>
      <c r="AE732" s="220"/>
      <c r="AF732" s="220"/>
      <c r="AG732" s="220"/>
      <c r="AH732" s="220"/>
      <c r="AI732" s="220"/>
      <c r="AJ732" s="220"/>
      <c r="AK732" s="216"/>
      <c r="AL732" s="220"/>
      <c r="AM732" s="220"/>
      <c r="AN732" s="221"/>
      <c r="AO732" s="220"/>
      <c r="AP732" s="220"/>
      <c r="AQ732" s="220"/>
      <c r="AR732" s="220"/>
      <c r="AS732" s="220"/>
      <c r="AT732" s="216"/>
      <c r="AU732" s="220"/>
      <c r="AV732" s="220"/>
      <c r="AW732" s="220"/>
      <c r="AX732" s="216"/>
      <c r="AY732" s="220"/>
      <c r="AZ732" s="220"/>
      <c r="BA732" s="220"/>
      <c r="BB732" s="220"/>
      <c r="BC732" s="220"/>
      <c r="BD732" s="216"/>
      <c r="BE732" s="220"/>
      <c r="BF732" s="220"/>
      <c r="BG732" s="220"/>
      <c r="BH732" s="220"/>
      <c r="BI732" s="220"/>
      <c r="BJ732" s="220" t="s">
        <v>2469</v>
      </c>
      <c r="BK732" s="220"/>
      <c r="BL732" s="223">
        <f>IF(AW732&lt;BK732,0,IF(AND(BK732=0,AW732&gt;0),AW732,IF(AW732&lt;0,0,IF(BK732&gt;0,AW732-BK732,IF(BK732&lt;0,0,AW732)))))</f>
        <v>0</v>
      </c>
      <c r="BM732" s="216">
        <v>4.4000000000000004</v>
      </c>
      <c r="BN732" s="220"/>
      <c r="BO732" s="220">
        <f t="shared" si="2412"/>
        <v>4.4000000000000004</v>
      </c>
      <c r="BP732" s="220">
        <f>IF(AND(BL732&gt;0,BL732&lt;tiet!$D$1),BL732,IF(BL732&lt;=0,0,IF(BL732&gt;tiet!$C$1,tiet!$C$1)))</f>
        <v>0</v>
      </c>
      <c r="BQ732" s="87">
        <f>VLOOKUP(P732,ma_dinhmuc_moi,4,0)</f>
        <v>65000</v>
      </c>
      <c r="BR732" s="224">
        <f>ROUND(BQ732*BP732,0)</f>
        <v>0</v>
      </c>
      <c r="BS732" s="220">
        <f t="shared" si="2356"/>
        <v>0</v>
      </c>
      <c r="BT732" s="224">
        <f>VLOOKUP(N732,ma_dinhmuc!$A$1:$J$31,10,0)</f>
        <v>51000</v>
      </c>
      <c r="BU732" s="224">
        <f>ROUND(IF(BS732&gt;0,VLOOKUP(N732,ma_dinhmuc!$A$1:$J$31,10,0)*BS732,0),0)</f>
        <v>0</v>
      </c>
      <c r="BV732" s="224">
        <f>ROUND(BU732+BR732,0)</f>
        <v>0</v>
      </c>
      <c r="BW732" s="224"/>
      <c r="BX732" s="224">
        <v>0</v>
      </c>
      <c r="BY732" s="224"/>
      <c r="BZ732" s="224"/>
      <c r="CA732" s="224"/>
      <c r="CB732" s="224"/>
      <c r="CC732" s="225">
        <f t="shared" ref="CC732:CC739" si="2432">ROUND(IF(BV732+BW732&gt;BX732+BY732+BZ732+CA732+CB732,(BW732+BV732)-(BX732+BY732+BZ732+CA732+CB732+CB732),0),0)</f>
        <v>0</v>
      </c>
      <c r="CD732" s="224">
        <f t="shared" ref="CD732:CD739" si="2433">ROUND(IF(BV732+BW732&lt;BX732+BY732+BZ732+CA732-CB732,(BX732+BY732+BZ732+CA732-CB732)-(BW732+BV732),0),0)</f>
        <v>0</v>
      </c>
      <c r="CE732" s="224"/>
      <c r="CF732" s="226"/>
      <c r="CG732" s="87"/>
      <c r="CH732" s="87">
        <f t="shared" si="2405"/>
        <v>13</v>
      </c>
      <c r="CI732" s="227" t="str">
        <f t="shared" ref="CI732:CJ734" si="2434">F732</f>
        <v>Phạm Ngọc</v>
      </c>
      <c r="CJ732" s="227" t="str">
        <f t="shared" si="2434"/>
        <v>Thạch</v>
      </c>
      <c r="CK732" s="87">
        <f>H732</f>
        <v>23</v>
      </c>
      <c r="CL732" s="227" t="str">
        <f t="shared" si="2407"/>
        <v>Quân sự chung</v>
      </c>
      <c r="CM732" s="87" t="str">
        <f>N732</f>
        <v>QS3</v>
      </c>
      <c r="CN732" s="87">
        <f t="shared" si="2424"/>
        <v>270</v>
      </c>
      <c r="CO732" s="87">
        <f t="shared" si="2425"/>
        <v>80</v>
      </c>
      <c r="CP732" s="229">
        <f t="shared" si="2376"/>
        <v>0</v>
      </c>
      <c r="CQ732" s="229">
        <f t="shared" si="2377"/>
        <v>0</v>
      </c>
      <c r="CR732" s="229">
        <f t="shared" si="2378"/>
        <v>0</v>
      </c>
      <c r="CS732" s="229">
        <f t="shared" si="2379"/>
        <v>0</v>
      </c>
      <c r="CT732" s="229">
        <f t="shared" si="2380"/>
        <v>0</v>
      </c>
      <c r="CU732" s="229">
        <f t="shared" si="2381"/>
        <v>0</v>
      </c>
      <c r="CV732" s="229">
        <f t="shared" si="2382"/>
        <v>0</v>
      </c>
      <c r="CW732" s="229">
        <f t="shared" si="2383"/>
        <v>0</v>
      </c>
      <c r="CX732" s="229">
        <f t="shared" si="2384"/>
        <v>0</v>
      </c>
      <c r="CY732" s="229">
        <f t="shared" si="2385"/>
        <v>0</v>
      </c>
      <c r="CZ732" s="229">
        <f t="shared" si="2386"/>
        <v>0</v>
      </c>
      <c r="DA732" s="229">
        <f t="shared" si="2387"/>
        <v>0</v>
      </c>
      <c r="DB732" s="228">
        <f>SUM(CP732:DA732)</f>
        <v>0</v>
      </c>
      <c r="DC732" s="229"/>
      <c r="DD732" s="229"/>
      <c r="DE732" s="229"/>
      <c r="DF732" s="229"/>
      <c r="DG732" s="229"/>
      <c r="DH732" s="229"/>
      <c r="DI732" s="229"/>
      <c r="DJ732" s="229"/>
      <c r="DK732" s="229"/>
      <c r="DL732" s="229"/>
      <c r="DM732" s="229"/>
      <c r="DN732" s="229"/>
      <c r="DO732" s="228">
        <f>SUM(DC732:DN732)</f>
        <v>0</v>
      </c>
      <c r="DP732" s="228">
        <f>DO732+DB732</f>
        <v>0</v>
      </c>
      <c r="DQ732" s="229">
        <f t="shared" si="2388"/>
        <v>0</v>
      </c>
      <c r="DR732" s="229">
        <f t="shared" si="2389"/>
        <v>0</v>
      </c>
      <c r="DS732" s="229">
        <f t="shared" si="2390"/>
        <v>0</v>
      </c>
      <c r="DT732" s="229">
        <f t="shared" si="2391"/>
        <v>0</v>
      </c>
      <c r="DU732" s="229">
        <f t="shared" si="2392"/>
        <v>0</v>
      </c>
      <c r="DV732" s="229">
        <f t="shared" si="2393"/>
        <v>0</v>
      </c>
      <c r="DW732" s="229">
        <f t="shared" si="2394"/>
        <v>0</v>
      </c>
      <c r="DX732" s="228">
        <f>SUM(DQ732:DW732)</f>
        <v>0</v>
      </c>
      <c r="DY732" s="229"/>
      <c r="DZ732" s="229"/>
      <c r="EA732" s="229"/>
      <c r="EB732" s="229"/>
      <c r="EC732" s="229"/>
      <c r="ED732" s="229"/>
      <c r="EE732" s="229"/>
      <c r="EF732" s="228">
        <f t="shared" si="2371"/>
        <v>0</v>
      </c>
      <c r="EG732" s="228">
        <f>EF732+DX732</f>
        <v>0</v>
      </c>
      <c r="EH732" s="229">
        <f t="shared" si="2372"/>
        <v>0</v>
      </c>
      <c r="EI732" s="229">
        <v>0</v>
      </c>
      <c r="EJ732" s="228">
        <f>SUM(EH732:EI732)</f>
        <v>0</v>
      </c>
      <c r="EK732" s="229"/>
      <c r="EL732" s="229"/>
      <c r="EM732" s="228">
        <f t="shared" si="2401"/>
        <v>0</v>
      </c>
      <c r="EN732" s="229">
        <f t="shared" si="2416"/>
        <v>0</v>
      </c>
      <c r="EO732" s="229">
        <f t="shared" ref="EO732:EO739" si="2435">EI732</f>
        <v>0</v>
      </c>
      <c r="EP732" s="228">
        <f>EM732+EJ732</f>
        <v>0</v>
      </c>
      <c r="EQ732" s="173">
        <f t="shared" si="2358"/>
        <v>0</v>
      </c>
      <c r="ER732" s="189">
        <v>0</v>
      </c>
      <c r="ES732" s="189">
        <v>0</v>
      </c>
      <c r="ET732" s="189">
        <v>0</v>
      </c>
      <c r="EU732" s="189">
        <v>0</v>
      </c>
      <c r="EV732" s="189">
        <v>0</v>
      </c>
      <c r="EW732" s="189">
        <v>0</v>
      </c>
      <c r="EX732" s="189">
        <v>0</v>
      </c>
      <c r="EY732" s="189">
        <v>0</v>
      </c>
      <c r="EZ732" s="189">
        <v>0</v>
      </c>
      <c r="FA732" s="189">
        <v>0</v>
      </c>
      <c r="FB732" s="189">
        <v>0</v>
      </c>
      <c r="FC732" s="189">
        <v>0</v>
      </c>
      <c r="FD732" s="189">
        <v>0</v>
      </c>
      <c r="FE732" s="189">
        <v>0</v>
      </c>
      <c r="FF732" s="189">
        <v>0</v>
      </c>
      <c r="FG732" s="189">
        <v>0</v>
      </c>
      <c r="FH732" s="189">
        <v>0</v>
      </c>
      <c r="FI732" s="189">
        <v>0</v>
      </c>
      <c r="FJ732" s="189">
        <v>0</v>
      </c>
      <c r="FK732" s="189">
        <v>0</v>
      </c>
      <c r="FL732" s="189">
        <v>0</v>
      </c>
      <c r="FN732" s="132">
        <v>0</v>
      </c>
    </row>
    <row r="733" spans="1:170" ht="30.75" customHeight="1">
      <c r="A733" s="88">
        <f>COUNTIF($H$12:H741,H733)</f>
        <v>13</v>
      </c>
      <c r="B733" s="88" t="s">
        <v>2227</v>
      </c>
      <c r="C733" s="88" t="s">
        <v>2227</v>
      </c>
      <c r="D733" s="88"/>
      <c r="E733" s="88"/>
      <c r="F733" s="304" t="s">
        <v>2793</v>
      </c>
      <c r="G733" s="305" t="s">
        <v>2794</v>
      </c>
      <c r="H733" s="88">
        <v>23</v>
      </c>
      <c r="I733" s="88"/>
      <c r="J733" s="88">
        <v>23</v>
      </c>
      <c r="K733" s="90"/>
      <c r="L733" s="90" t="s">
        <v>2468</v>
      </c>
      <c r="M733" s="214"/>
      <c r="N733" s="215" t="s">
        <v>1748</v>
      </c>
      <c r="O733" s="216">
        <f t="shared" si="2403"/>
        <v>4.4000000000000004</v>
      </c>
      <c r="P733" s="88" t="str">
        <f>IF(BO733&lt;3.33,"B11_3",IF(AND(BO733&gt;=3.33,BO733&lt;4.65),"B11_4",IF(AND(BO733&gt;=4.65,BO733&lt;5.42),"B11_5",IF(AND(BO733&gt;=5.42,BO733&lt;6.44),"B11_6",IF(AND(BO733&gt;=6.44,BO733&lt;=6.92),"B11_7","B11_8")))))</f>
        <v>B11_4</v>
      </c>
      <c r="Q733" s="88">
        <f>IF(M733&gt;0,VLOOKUP(P733,ma_dinhmuc_moi,2,0)/2,VLOOKUP(P733,ma_dinhmuc_moi,2,0))</f>
        <v>270</v>
      </c>
      <c r="R733" s="88">
        <f>IF(M733&gt;0,VLOOKUP(P733,ma_dinhmuc_moi,3,0)/2,VLOOKUP(P733,ma_dinhmuc_moi,3,0))</f>
        <v>80</v>
      </c>
      <c r="S733" s="218" t="s">
        <v>1420</v>
      </c>
      <c r="T733" s="215" t="s">
        <v>3095</v>
      </c>
      <c r="U733" s="88">
        <f>IF(RIGHT(T733,1)="K",(VLOOKUP(T733,ma_miengiam!$A$3:$B$80,2,0)*100)/2,VLOOKUP(T733,ma_miengiam!$A$3:$B$80,2,0)*100)</f>
        <v>40</v>
      </c>
      <c r="V733" s="88">
        <v>7</v>
      </c>
      <c r="W733" s="220">
        <f>IF(AND(T733="NTS",V733&gt;0),(Q733-(Q733*V733)/12)*VLOOKUP(T733,ma_miengiam!$A$3:$B$80,2,0)+(Q733-(Q733*(12-V733))/12),IF(AND(RIGHT(T733,1)="K",V733&gt;0),(VLOOKUP(T733,ma_miengiam!$A$3:$B$80,2,0)/2)*(Q733*V733)/12,IF(RIGHT(T733,1)="K",(VLOOKUP(T733,ma_miengiam!$A$3:$B$80,2,0)*Q733)/2,IF(V733&gt;0,VLOOKUP(T733,ma_miengiam!$A$3:$B$80,2,0)*Q733*V733/12,VLOOKUP(T733,ma_miengiam!$A$3:$B$80,2,0)*Q733))))</f>
        <v>63</v>
      </c>
      <c r="X733" s="220">
        <f>IF(T733="NTS",VLOOKUP(T733,ma_miengiam!$A$3:$B$80,2,0)*R733*V733,IF(AND(T733="NTS",V733=0),0,IF(AND(LEFT(T733,1)="K",V733=0),VLOOKUP(T733,ma_miengiam!$A$3:$B$80,2,0)*R733,IF(LEFT(T733,1)="K",(VLOOKUP(T733,ma_miengiam!$A$3:$B$80,2,0)*R733/12)*V733,IF(AND(LEFT(T733,1)="S",V733&gt;0),(R733/12)*V733,IF(AND(LEFT(T733,1)="S",V733=0),R733,IF(T733="DH",VLOOKUP(T733,ma_miengiam!$A$3:$B$80,2,0)*R733,0)))))))</f>
        <v>0</v>
      </c>
      <c r="Y733" s="220">
        <f>IF(AND(T733="DH",V733&gt;0),(S733*V733/12),IF(AND(T733&lt;&gt;"NTS",V733&gt;0),(Q733*V733/12)-W733,IF(AND(T733="NTS",V733&gt;0),Q733-W733,Q733-W733)))</f>
        <v>94.5</v>
      </c>
      <c r="Z733" s="220">
        <f>IF(AND(T733="SĐH",V733&gt;0),(R733/12)*V733-X733,IF(AND(T733="DH",V733&gt;0),(R733*V733/12),IF(AND(T733&lt;&gt;"NTS",V733&gt;0),(R733*V733/12)-X733,IF(AND(T733="NTS",V733&gt;0),R733-X733,R733-X733))))</f>
        <v>46.666666666666664</v>
      </c>
      <c r="AA733" s="220"/>
      <c r="AB733" s="220"/>
      <c r="AC733" s="220"/>
      <c r="AD733" s="220"/>
      <c r="AE733" s="220"/>
      <c r="AF733" s="220"/>
      <c r="AG733" s="220"/>
      <c r="AH733" s="220"/>
      <c r="AI733" s="220"/>
      <c r="AJ733" s="220"/>
      <c r="AK733" s="216"/>
      <c r="AL733" s="220"/>
      <c r="AM733" s="220"/>
      <c r="AN733" s="221"/>
      <c r="AO733" s="220"/>
      <c r="AP733" s="220"/>
      <c r="AQ733" s="220"/>
      <c r="AR733" s="220"/>
      <c r="AS733" s="220"/>
      <c r="AT733" s="216"/>
      <c r="AU733" s="220"/>
      <c r="AV733" s="220"/>
      <c r="AW733" s="220"/>
      <c r="AX733" s="216"/>
      <c r="AY733" s="220"/>
      <c r="AZ733" s="220"/>
      <c r="BA733" s="220"/>
      <c r="BB733" s="220"/>
      <c r="BC733" s="220"/>
      <c r="BD733" s="216"/>
      <c r="BE733" s="220"/>
      <c r="BF733" s="220"/>
      <c r="BG733" s="220"/>
      <c r="BH733" s="220"/>
      <c r="BI733" s="220"/>
      <c r="BJ733" s="220" t="s">
        <v>2469</v>
      </c>
      <c r="BK733" s="220"/>
      <c r="BL733" s="223">
        <f>IF(AW733&lt;BK733,0,IF(AND(BK733=0,AW733&gt;0),AW733,IF(AW733&lt;0,0,IF(BK733&gt;0,AW733-BK733,IF(BK733&lt;0,0,AW733)))))</f>
        <v>0</v>
      </c>
      <c r="BM733" s="216">
        <v>4.4000000000000004</v>
      </c>
      <c r="BN733" s="220"/>
      <c r="BO733" s="220">
        <f t="shared" si="2412"/>
        <v>4.4000000000000004</v>
      </c>
      <c r="BP733" s="220">
        <f>IF(AND(BL733&gt;0,BL733&lt;tiet!$D$1),BL733,IF(BL733&lt;=0,0,IF(BL733&gt;tiet!$C$1,tiet!$C$1)))</f>
        <v>0</v>
      </c>
      <c r="BQ733" s="87">
        <f>VLOOKUP(P733,ma_dinhmuc_moi,4,0)</f>
        <v>65000</v>
      </c>
      <c r="BR733" s="224">
        <f>ROUND(BQ733*BP733,0)</f>
        <v>0</v>
      </c>
      <c r="BS733" s="220">
        <f t="shared" si="2356"/>
        <v>0</v>
      </c>
      <c r="BT733" s="224">
        <f>VLOOKUP(N733,ma_dinhmuc!$A$1:$J$31,10,0)</f>
        <v>51000</v>
      </c>
      <c r="BU733" s="224">
        <f>ROUND(IF(BS733&gt;0,VLOOKUP(N733,ma_dinhmuc!$A$1:$J$31,10,0)*BS733,0),0)</f>
        <v>0</v>
      </c>
      <c r="BV733" s="224">
        <f>ROUND(BU733+BR733,0)</f>
        <v>0</v>
      </c>
      <c r="BW733" s="224"/>
      <c r="BX733" s="224">
        <v>0</v>
      </c>
      <c r="BY733" s="224"/>
      <c r="BZ733" s="224"/>
      <c r="CA733" s="224"/>
      <c r="CB733" s="224"/>
      <c r="CC733" s="225">
        <f t="shared" si="2432"/>
        <v>0</v>
      </c>
      <c r="CD733" s="224">
        <f t="shared" si="2433"/>
        <v>0</v>
      </c>
      <c r="CE733" s="224"/>
      <c r="CF733" s="226"/>
      <c r="CG733" s="87"/>
      <c r="CH733" s="87">
        <f t="shared" si="2405"/>
        <v>13</v>
      </c>
      <c r="CI733" s="227" t="str">
        <f t="shared" si="2434"/>
        <v>Phạm Ngọc</v>
      </c>
      <c r="CJ733" s="227" t="str">
        <f t="shared" si="2434"/>
        <v>Thạch</v>
      </c>
      <c r="CK733" s="87">
        <f>H733</f>
        <v>23</v>
      </c>
      <c r="CL733" s="227" t="str">
        <f t="shared" si="2407"/>
        <v>Quân sự chung</v>
      </c>
      <c r="CM733" s="87" t="str">
        <f>N733</f>
        <v>QS3</v>
      </c>
      <c r="CN733" s="87">
        <f t="shared" si="2424"/>
        <v>270</v>
      </c>
      <c r="CO733" s="87">
        <f t="shared" si="2425"/>
        <v>80</v>
      </c>
      <c r="CP733" s="229">
        <f t="shared" si="2376"/>
        <v>0</v>
      </c>
      <c r="CQ733" s="229">
        <f t="shared" si="2377"/>
        <v>0</v>
      </c>
      <c r="CR733" s="229">
        <f t="shared" si="2378"/>
        <v>0</v>
      </c>
      <c r="CS733" s="229">
        <f t="shared" si="2379"/>
        <v>0</v>
      </c>
      <c r="CT733" s="229">
        <f t="shared" si="2380"/>
        <v>0</v>
      </c>
      <c r="CU733" s="229">
        <f t="shared" si="2381"/>
        <v>0</v>
      </c>
      <c r="CV733" s="229">
        <f t="shared" si="2382"/>
        <v>0</v>
      </c>
      <c r="CW733" s="229">
        <f t="shared" si="2383"/>
        <v>0</v>
      </c>
      <c r="CX733" s="229">
        <f t="shared" si="2384"/>
        <v>0</v>
      </c>
      <c r="CY733" s="229">
        <f t="shared" si="2385"/>
        <v>0</v>
      </c>
      <c r="CZ733" s="229">
        <f t="shared" si="2386"/>
        <v>0</v>
      </c>
      <c r="DA733" s="229">
        <f t="shared" si="2387"/>
        <v>0</v>
      </c>
      <c r="DB733" s="228">
        <f>SUM(CP733:DA733)</f>
        <v>0</v>
      </c>
      <c r="DC733" s="229"/>
      <c r="DD733" s="229"/>
      <c r="DE733" s="229"/>
      <c r="DF733" s="229"/>
      <c r="DG733" s="229"/>
      <c r="DH733" s="229"/>
      <c r="DI733" s="229"/>
      <c r="DJ733" s="229"/>
      <c r="DK733" s="229"/>
      <c r="DL733" s="229"/>
      <c r="DM733" s="229"/>
      <c r="DN733" s="229"/>
      <c r="DO733" s="228">
        <f>SUM(DC733:DN733)</f>
        <v>0</v>
      </c>
      <c r="DP733" s="228">
        <f>DO733+DB733</f>
        <v>0</v>
      </c>
      <c r="DQ733" s="229">
        <f t="shared" si="2388"/>
        <v>0</v>
      </c>
      <c r="DR733" s="229">
        <f t="shared" si="2389"/>
        <v>0</v>
      </c>
      <c r="DS733" s="229">
        <f t="shared" si="2390"/>
        <v>0</v>
      </c>
      <c r="DT733" s="229">
        <f t="shared" si="2391"/>
        <v>0</v>
      </c>
      <c r="DU733" s="229">
        <f t="shared" si="2392"/>
        <v>0</v>
      </c>
      <c r="DV733" s="229">
        <f t="shared" si="2393"/>
        <v>0</v>
      </c>
      <c r="DW733" s="229">
        <f t="shared" si="2394"/>
        <v>0</v>
      </c>
      <c r="DX733" s="228">
        <f>SUM(DQ733:DW733)</f>
        <v>0</v>
      </c>
      <c r="DY733" s="229"/>
      <c r="DZ733" s="229"/>
      <c r="EA733" s="229"/>
      <c r="EB733" s="229"/>
      <c r="EC733" s="229"/>
      <c r="ED733" s="229"/>
      <c r="EE733" s="229"/>
      <c r="EF733" s="228">
        <f t="shared" si="2371"/>
        <v>0</v>
      </c>
      <c r="EG733" s="228">
        <f>EF733+DX733</f>
        <v>0</v>
      </c>
      <c r="EH733" s="229">
        <f t="shared" si="2372"/>
        <v>0</v>
      </c>
      <c r="EI733" s="229">
        <v>0</v>
      </c>
      <c r="EJ733" s="228">
        <f>SUM(EH733:EI733)</f>
        <v>0</v>
      </c>
      <c r="EK733" s="229"/>
      <c r="EL733" s="229"/>
      <c r="EM733" s="228">
        <f t="shared" si="2401"/>
        <v>0</v>
      </c>
      <c r="EN733" s="229">
        <f t="shared" si="2416"/>
        <v>0</v>
      </c>
      <c r="EO733" s="229">
        <f t="shared" si="2435"/>
        <v>0</v>
      </c>
      <c r="EP733" s="228">
        <f>EM733+EJ733</f>
        <v>0</v>
      </c>
      <c r="EQ733" s="173">
        <f t="shared" si="2358"/>
        <v>0</v>
      </c>
      <c r="ER733" s="189">
        <v>0</v>
      </c>
      <c r="ES733" s="189">
        <v>0</v>
      </c>
      <c r="ET733" s="189">
        <v>0</v>
      </c>
      <c r="EU733" s="189">
        <v>0</v>
      </c>
      <c r="EV733" s="189">
        <v>0</v>
      </c>
      <c r="EW733" s="189">
        <v>0</v>
      </c>
      <c r="EX733" s="189">
        <v>0</v>
      </c>
      <c r="EY733" s="189">
        <v>0</v>
      </c>
      <c r="EZ733" s="189">
        <v>0</v>
      </c>
      <c r="FA733" s="189">
        <v>0</v>
      </c>
      <c r="FB733" s="189">
        <v>0</v>
      </c>
      <c r="FC733" s="189">
        <v>0</v>
      </c>
      <c r="FD733" s="189">
        <v>0</v>
      </c>
      <c r="FE733" s="189">
        <v>0</v>
      </c>
      <c r="FF733" s="189">
        <v>0</v>
      </c>
      <c r="FG733" s="189">
        <v>0</v>
      </c>
      <c r="FH733" s="189">
        <v>0</v>
      </c>
      <c r="FI733" s="189">
        <v>0</v>
      </c>
      <c r="FJ733" s="189">
        <v>0</v>
      </c>
      <c r="FK733" s="189">
        <v>0</v>
      </c>
      <c r="FL733" s="189">
        <v>0</v>
      </c>
      <c r="FN733" s="132">
        <v>0</v>
      </c>
    </row>
    <row r="734" spans="1:170" ht="30.75" customHeight="1">
      <c r="A734" s="88">
        <f>COUNTIF($H$12:H742,H734)</f>
        <v>13</v>
      </c>
      <c r="B734" s="88" t="s">
        <v>2227</v>
      </c>
      <c r="C734" s="88" t="s">
        <v>2227</v>
      </c>
      <c r="D734" s="88"/>
      <c r="E734" s="88"/>
      <c r="F734" s="304" t="s">
        <v>2793</v>
      </c>
      <c r="G734" s="305" t="s">
        <v>2794</v>
      </c>
      <c r="H734" s="88">
        <v>23</v>
      </c>
      <c r="I734" s="88">
        <v>23</v>
      </c>
      <c r="J734" s="88">
        <v>23</v>
      </c>
      <c r="K734" s="90" t="s">
        <v>2468</v>
      </c>
      <c r="L734" s="90" t="s">
        <v>2468</v>
      </c>
      <c r="M734" s="214"/>
      <c r="N734" s="215" t="s">
        <v>1748</v>
      </c>
      <c r="O734" s="216">
        <f t="shared" si="2403"/>
        <v>4.4000000000000004</v>
      </c>
      <c r="P734" s="88" t="str">
        <f>IF(BO734&lt;3.33,"B11_3",IF(AND(BO734&gt;=3.33,BO734&lt;4.65),"B11_4",IF(AND(BO734&gt;=4.65,BO734&lt;5.42),"B11_5",IF(AND(BO734&gt;=5.42,BO734&lt;6.44),"B11_6",IF(AND(BO734&gt;=6.44,BO734&lt;=6.92),"B11_7","B11_8")))))</f>
        <v>B11_4</v>
      </c>
      <c r="Q734" s="88">
        <f>IF(M734&gt;0,VLOOKUP(P734,ma_dinhmuc_moi,2,0)/2,VLOOKUP(P734,ma_dinhmuc_moi,2,0))</f>
        <v>270</v>
      </c>
      <c r="R734" s="88">
        <f>IF(M734&gt;0,VLOOKUP(P734,ma_dinhmuc_moi,3,0)/2,VLOOKUP(P734,ma_dinhmuc_moi,3,0))</f>
        <v>80</v>
      </c>
      <c r="S734" s="218" t="s">
        <v>1420</v>
      </c>
      <c r="T734" s="215" t="s">
        <v>3095</v>
      </c>
      <c r="U734" s="88">
        <f>IF(RIGHT(T734,1)="K",(VLOOKUP(T734,ma_miengiam!$A$3:$B$80,2,0)*100)/2,VLOOKUP(T734,ma_miengiam!$A$3:$B$80,2,0)*100)</f>
        <v>40</v>
      </c>
      <c r="V734" s="88"/>
      <c r="W734" s="220">
        <f>W733+W732</f>
        <v>63</v>
      </c>
      <c r="X734" s="220">
        <f>X733+X732</f>
        <v>0</v>
      </c>
      <c r="Y734" s="220">
        <f>Y733+Y732</f>
        <v>207</v>
      </c>
      <c r="Z734" s="220">
        <f>Z733+Z732</f>
        <v>80</v>
      </c>
      <c r="AA734" s="220">
        <f>Q734</f>
        <v>270</v>
      </c>
      <c r="AB734" s="220">
        <f>R734</f>
        <v>80</v>
      </c>
      <c r="AC734" s="220">
        <f t="shared" ref="AC734:AF735" si="2436">W734</f>
        <v>63</v>
      </c>
      <c r="AD734" s="220">
        <f t="shared" si="2436"/>
        <v>0</v>
      </c>
      <c r="AE734" s="220">
        <f t="shared" si="2436"/>
        <v>207</v>
      </c>
      <c r="AF734" s="220">
        <f t="shared" si="2436"/>
        <v>80</v>
      </c>
      <c r="AG734" s="220">
        <f>AH734+AI734</f>
        <v>0</v>
      </c>
      <c r="AH734" s="220">
        <f>EO734</f>
        <v>0</v>
      </c>
      <c r="AI734" s="220">
        <f>EN734</f>
        <v>0</v>
      </c>
      <c r="AJ734" s="220">
        <f>IF(AG734-Z734&gt;0,0,AG734-Z734)</f>
        <v>-80</v>
      </c>
      <c r="AK734" s="216">
        <f>IF(AJ734&gt;=0,Y734,Y734-AJ734)</f>
        <v>287</v>
      </c>
      <c r="AL734" s="220">
        <f>SUM(CP734:CX734)+SUM(DC734:DK734)</f>
        <v>361.7</v>
      </c>
      <c r="AM734" s="220">
        <f>SUM(DQ734:DU734)+SUM(DY734:EC734)</f>
        <v>0</v>
      </c>
      <c r="AN734" s="221">
        <f>AM734+AL734</f>
        <v>361.7</v>
      </c>
      <c r="AO734" s="220">
        <f t="shared" ref="AO734:AQ736" si="2437">CY734+DL734</f>
        <v>0</v>
      </c>
      <c r="AP734" s="220">
        <f t="shared" si="2437"/>
        <v>0</v>
      </c>
      <c r="AQ734" s="220">
        <f t="shared" si="2437"/>
        <v>0</v>
      </c>
      <c r="AR734" s="220">
        <f t="shared" ref="AR734:AS736" si="2438">DV734+ED734</f>
        <v>0</v>
      </c>
      <c r="AS734" s="220">
        <f t="shared" si="2438"/>
        <v>0</v>
      </c>
      <c r="AT734" s="216">
        <f>AN734+SUM(AO734:AS734)</f>
        <v>361.7</v>
      </c>
      <c r="AU734" s="220">
        <f t="shared" ref="AU734:AU739" si="2439">AN734-AK734</f>
        <v>74.699999999999989</v>
      </c>
      <c r="AV734" s="220"/>
      <c r="AW734" s="220">
        <f>IF(AU734&gt;0,AU734,AV734+AU734)</f>
        <v>74.699999999999989</v>
      </c>
      <c r="AX734" s="216">
        <f>IF(AN734&gt;AK734,0,IF(AW734&lt;0,AN734-AK734+AV734,IF(AW734&gt;=0,0)))</f>
        <v>0</v>
      </c>
      <c r="AY734" s="220">
        <f t="shared" ref="AY734:AY739" si="2440">IF(AN734&gt;=AK734,AO734,IF(AN734+AO734-AK734&gt;=0,AN734+AO734-AK734,0))</f>
        <v>0</v>
      </c>
      <c r="AZ734" s="220">
        <f t="shared" ref="AZ734:AZ739" si="2441">IF(OR(AN734&gt;=AK734,AN734+AO734&gt;=AK734),AP734,IF(AN734+AO734+AP734&gt;AK734,AN734+AO734+AP734-AK734,0))</f>
        <v>0</v>
      </c>
      <c r="BA734" s="220">
        <f t="shared" ref="BA734:BA739" si="2442">IF(OR(AN734&gt;=AK734,AN734+AO734&gt;=AK734,AN734+AO734+AP734&gt;=AK734),AQ734,IF(AN734+AO734+AP734+AQ734&gt;=AK734,AN734+AO734+AP734+AQ734-AK734,0))</f>
        <v>0</v>
      </c>
      <c r="BB734" s="220">
        <f t="shared" ref="BB734:BB739" si="2443">IF(OR(AN734&gt;=AK734,AN734+AO734&gt;=AK734,AN734+AO734+AP734&gt;=AK734,AN734+AO734+AP734+AQ734&gt;=AK734),AR734,IF(AN734+AO734+AP734+AQ734+AR734&gt;=AK734,AN734+AO734+AP734+AQ734+AR734-AK734,0))</f>
        <v>0</v>
      </c>
      <c r="BC734" s="220">
        <f t="shared" ref="BC734:BC739" si="2444">IF(OR(AN734&gt;=AK734,AN734+AO734&gt;=AK734,AN734+AO734+AP734&gt;=AK734,AN734+AO734+AP734+AQ734&gt;=AK734,AN734+AO734+AP734+AQ734+AR734&gt;=AK734),AS734,IF(AN734+AO734+AP734+AQ734+AR734+AS734&gt;=AK734,AN734+AO734+AP734+AQ734+AR734+AS734-AK734,0))</f>
        <v>0</v>
      </c>
      <c r="BD734" s="216">
        <f>SUM(AY734:BC734)</f>
        <v>0</v>
      </c>
      <c r="BE734" s="220">
        <f t="shared" ref="BE734:BI736" si="2445">AY734-AO734</f>
        <v>0</v>
      </c>
      <c r="BF734" s="220">
        <f t="shared" si="2445"/>
        <v>0</v>
      </c>
      <c r="BG734" s="220">
        <f t="shared" si="2445"/>
        <v>0</v>
      </c>
      <c r="BH734" s="220">
        <f t="shared" si="2445"/>
        <v>0</v>
      </c>
      <c r="BI734" s="220">
        <f t="shared" si="2445"/>
        <v>0</v>
      </c>
      <c r="BJ734" s="220" t="s">
        <v>2469</v>
      </c>
      <c r="BK734" s="220"/>
      <c r="BL734" s="223">
        <f>IF(AW734&lt;BK734,0,IF(AND(BK734=0,AW734&gt;0),AW734,IF(AW734&lt;0,0,IF(BK734&gt;0,AW734-BK734,IF(BK734&lt;0,0,AW734)))))</f>
        <v>74.699999999999989</v>
      </c>
      <c r="BM734" s="216">
        <v>4.4000000000000004</v>
      </c>
      <c r="BN734" s="220"/>
      <c r="BO734" s="220">
        <f t="shared" si="2412"/>
        <v>4.4000000000000004</v>
      </c>
      <c r="BP734" s="220">
        <f>IF(AND(BL734&gt;0,BL734&lt;tiet!$D$1),BL734,IF(BL734&lt;=0,0,IF(BL734&gt;tiet!$C$1,tiet!$C$1)))</f>
        <v>74.699999999999989</v>
      </c>
      <c r="BQ734" s="87">
        <f>VLOOKUP(P734,ma_dinhmuc_moi,4,0)</f>
        <v>65000</v>
      </c>
      <c r="BR734" s="224">
        <f>ROUND(BQ734*BP734,0)</f>
        <v>4855500</v>
      </c>
      <c r="BS734" s="220">
        <f t="shared" si="2356"/>
        <v>0</v>
      </c>
      <c r="BT734" s="224">
        <f>VLOOKUP(N734,ma_dinhmuc!$A$1:$J$31,10,0)</f>
        <v>51000</v>
      </c>
      <c r="BU734" s="224">
        <f>ROUND(IF(BS734&gt;0,VLOOKUP(N734,ma_dinhmuc!$A$1:$J$31,10,0)*BS734,0),0)</f>
        <v>0</v>
      </c>
      <c r="BV734" s="224">
        <f>ROUND(BU734+BR734,0)</f>
        <v>4855500</v>
      </c>
      <c r="BW734" s="224"/>
      <c r="BX734" s="224">
        <v>0</v>
      </c>
      <c r="BY734" s="224"/>
      <c r="BZ734" s="224"/>
      <c r="CA734" s="224"/>
      <c r="CB734" s="224"/>
      <c r="CC734" s="225">
        <f t="shared" si="2432"/>
        <v>4855500</v>
      </c>
      <c r="CD734" s="224">
        <f t="shared" si="2433"/>
        <v>0</v>
      </c>
      <c r="CE734" s="224"/>
      <c r="CF734" s="226"/>
      <c r="CG734" s="87"/>
      <c r="CH734" s="87">
        <f t="shared" si="2405"/>
        <v>13</v>
      </c>
      <c r="CI734" s="227" t="str">
        <f t="shared" si="2434"/>
        <v>Phạm Ngọc</v>
      </c>
      <c r="CJ734" s="227" t="str">
        <f t="shared" si="2434"/>
        <v>Thạch</v>
      </c>
      <c r="CK734" s="87">
        <f>H734</f>
        <v>23</v>
      </c>
      <c r="CL734" s="227" t="str">
        <f t="shared" si="2407"/>
        <v>Quân sự chung</v>
      </c>
      <c r="CM734" s="87" t="str">
        <f>N734</f>
        <v>QS3</v>
      </c>
      <c r="CN734" s="87">
        <f t="shared" si="2424"/>
        <v>270</v>
      </c>
      <c r="CO734" s="87">
        <f t="shared" si="2425"/>
        <v>80</v>
      </c>
      <c r="CP734" s="229">
        <f t="shared" si="2376"/>
        <v>0</v>
      </c>
      <c r="CQ734" s="229">
        <f t="shared" si="2377"/>
        <v>50.3</v>
      </c>
      <c r="CR734" s="229">
        <f t="shared" si="2378"/>
        <v>20.2</v>
      </c>
      <c r="CS734" s="229">
        <f t="shared" si="2379"/>
        <v>0</v>
      </c>
      <c r="CT734" s="229">
        <f t="shared" si="2380"/>
        <v>0</v>
      </c>
      <c r="CU734" s="229">
        <f t="shared" si="2381"/>
        <v>291.2</v>
      </c>
      <c r="CV734" s="229">
        <f t="shared" si="2382"/>
        <v>0</v>
      </c>
      <c r="CW734" s="229">
        <f t="shared" si="2383"/>
        <v>0</v>
      </c>
      <c r="CX734" s="229">
        <f t="shared" si="2384"/>
        <v>0</v>
      </c>
      <c r="CY734" s="229">
        <f t="shared" si="2385"/>
        <v>0</v>
      </c>
      <c r="CZ734" s="229">
        <f t="shared" si="2386"/>
        <v>0</v>
      </c>
      <c r="DA734" s="229">
        <f t="shared" si="2387"/>
        <v>0</v>
      </c>
      <c r="DB734" s="228">
        <f>SUM(CP734:DA734)</f>
        <v>361.7</v>
      </c>
      <c r="DC734" s="229"/>
      <c r="DD734" s="229"/>
      <c r="DE734" s="229"/>
      <c r="DF734" s="229"/>
      <c r="DG734" s="229"/>
      <c r="DH734" s="229"/>
      <c r="DI734" s="229"/>
      <c r="DJ734" s="229"/>
      <c r="DK734" s="229"/>
      <c r="DL734" s="229"/>
      <c r="DM734" s="229"/>
      <c r="DN734" s="229"/>
      <c r="DO734" s="228">
        <f>SUM(DC734:DN734)</f>
        <v>0</v>
      </c>
      <c r="DP734" s="228">
        <f>DO734+DB734</f>
        <v>361.7</v>
      </c>
      <c r="DQ734" s="229">
        <f t="shared" si="2388"/>
        <v>0</v>
      </c>
      <c r="DR734" s="229">
        <f t="shared" si="2389"/>
        <v>0</v>
      </c>
      <c r="DS734" s="229">
        <f t="shared" si="2390"/>
        <v>0</v>
      </c>
      <c r="DT734" s="229">
        <f t="shared" si="2391"/>
        <v>0</v>
      </c>
      <c r="DU734" s="229">
        <f t="shared" si="2392"/>
        <v>0</v>
      </c>
      <c r="DV734" s="229">
        <f t="shared" si="2393"/>
        <v>0</v>
      </c>
      <c r="DW734" s="229">
        <f t="shared" si="2394"/>
        <v>0</v>
      </c>
      <c r="DX734" s="228">
        <f>SUM(DQ734:DW734)</f>
        <v>0</v>
      </c>
      <c r="DY734" s="229"/>
      <c r="DZ734" s="229"/>
      <c r="EA734" s="229"/>
      <c r="EB734" s="229"/>
      <c r="EC734" s="229"/>
      <c r="ED734" s="229"/>
      <c r="EE734" s="229"/>
      <c r="EF734" s="228">
        <f t="shared" si="2371"/>
        <v>0</v>
      </c>
      <c r="EG734" s="228">
        <f>EF734+DX734</f>
        <v>0</v>
      </c>
      <c r="EH734" s="229">
        <f t="shared" si="2372"/>
        <v>0</v>
      </c>
      <c r="EI734" s="229">
        <v>0</v>
      </c>
      <c r="EJ734" s="228">
        <f>SUM(EH734:EI734)</f>
        <v>0</v>
      </c>
      <c r="EK734" s="229"/>
      <c r="EL734" s="229"/>
      <c r="EM734" s="228">
        <f t="shared" si="2401"/>
        <v>0</v>
      </c>
      <c r="EN734" s="229">
        <f t="shared" si="2416"/>
        <v>0</v>
      </c>
      <c r="EO734" s="229">
        <f t="shared" si="2435"/>
        <v>0</v>
      </c>
      <c r="EP734" s="228">
        <f>EM734+EJ734</f>
        <v>0</v>
      </c>
      <c r="EQ734" s="173">
        <f t="shared" si="2358"/>
        <v>0</v>
      </c>
      <c r="ER734" s="189">
        <v>0</v>
      </c>
      <c r="ES734" s="189">
        <v>50.3</v>
      </c>
      <c r="ET734" s="189">
        <v>20.2</v>
      </c>
      <c r="EU734" s="189">
        <v>0</v>
      </c>
      <c r="EV734" s="189">
        <v>0</v>
      </c>
      <c r="EW734" s="189">
        <v>291.2</v>
      </c>
      <c r="EX734" s="189">
        <v>0</v>
      </c>
      <c r="EY734" s="189">
        <v>0</v>
      </c>
      <c r="EZ734" s="189">
        <v>0</v>
      </c>
      <c r="FA734" s="189">
        <v>0</v>
      </c>
      <c r="FB734" s="189">
        <v>0</v>
      </c>
      <c r="FC734" s="189">
        <v>0</v>
      </c>
      <c r="FD734" s="189">
        <v>0</v>
      </c>
      <c r="FE734" s="189">
        <v>0</v>
      </c>
      <c r="FF734" s="189">
        <v>0</v>
      </c>
      <c r="FG734" s="189">
        <v>0</v>
      </c>
      <c r="FH734" s="189">
        <v>0</v>
      </c>
      <c r="FI734" s="189">
        <v>0</v>
      </c>
      <c r="FJ734" s="189">
        <v>0</v>
      </c>
      <c r="FK734" s="189">
        <v>361.7</v>
      </c>
      <c r="FL734" s="189">
        <v>188</v>
      </c>
      <c r="FN734" s="132">
        <v>0</v>
      </c>
    </row>
    <row r="735" spans="1:170" ht="30" customHeight="1">
      <c r="A735" s="88">
        <f>COUNTIF($H$12:H746,H735)</f>
        <v>13</v>
      </c>
      <c r="B735" s="88" t="s">
        <v>2995</v>
      </c>
      <c r="C735" s="88" t="s">
        <v>2995</v>
      </c>
      <c r="D735" s="88"/>
      <c r="E735" s="88"/>
      <c r="F735" s="304" t="s">
        <v>2910</v>
      </c>
      <c r="G735" s="305" t="s">
        <v>1116</v>
      </c>
      <c r="H735" s="88">
        <v>23</v>
      </c>
      <c r="I735" s="88">
        <v>23</v>
      </c>
      <c r="J735" s="88">
        <v>23</v>
      </c>
      <c r="K735" s="90" t="s">
        <v>2470</v>
      </c>
      <c r="L735" s="90" t="s">
        <v>2470</v>
      </c>
      <c r="M735" s="214"/>
      <c r="N735" s="215" t="s">
        <v>1748</v>
      </c>
      <c r="O735" s="216">
        <f t="shared" si="2403"/>
        <v>4.4000000000000004</v>
      </c>
      <c r="P735" s="88" t="str">
        <f t="shared" si="2426"/>
        <v>B11_4</v>
      </c>
      <c r="Q735" s="88">
        <f t="shared" si="2323"/>
        <v>270</v>
      </c>
      <c r="R735" s="88">
        <f t="shared" si="2324"/>
        <v>80</v>
      </c>
      <c r="S735" s="218" t="s">
        <v>1857</v>
      </c>
      <c r="T735" s="215" t="s">
        <v>3088</v>
      </c>
      <c r="U735" s="88">
        <f>IF(RIGHT(T735,1)="K",(VLOOKUP(T735,ma_miengiam!$A$3:$B$80,2,0)*100)/2,VLOOKUP(T735,ma_miengiam!$A$3:$B$80,2,0)*100)</f>
        <v>0</v>
      </c>
      <c r="V735" s="88"/>
      <c r="W735" s="220">
        <f>IF(AND(T735="NTS",V735&gt;0),(Q735-(Q735*V735)/12)*VLOOKUP(T735,ma_miengiam!$A$3:$B$80,2,0)+(Q735-(Q735*(12-V735))/12),IF(AND(RIGHT(T735,1)="K",V735&gt;0),(VLOOKUP(T735,ma_miengiam!$A$3:$B$80,2,0)/2)*(Q735*V735)/12,IF(RIGHT(T735,1)="K",(VLOOKUP(T735,ma_miengiam!$A$3:$B$80,2,0)*Q735)/2,IF(V735&gt;0,VLOOKUP(T735,ma_miengiam!$A$3:$B$80,2,0)*Q735*V735/12,VLOOKUP(T735,ma_miengiam!$A$3:$B$80,2,0)*Q735))))</f>
        <v>0</v>
      </c>
      <c r="X735" s="220">
        <f>IF(T735="NTS",VLOOKUP(T735,ma_miengiam!$A$3:$B$80,2,0)*R735*V735,IF(AND(T735="NTS",V735=0),0,IF(AND(LEFT(T735,1)="K",V735=0),VLOOKUP(T735,ma_miengiam!$A$3:$B$80,2,0)*R735,IF(LEFT(T735,1)="K",(VLOOKUP(T735,ma_miengiam!$A$3:$B$80,2,0)*R735/12)*V735,IF(AND(LEFT(T735,1)="S",V735&gt;0),(R735/12)*V735,IF(AND(LEFT(T735,1)="S",V735=0),R735,IF(T735="DH",VLOOKUP(T735,ma_miengiam!$A$3:$B$80,2,0)*R735,0)))))))</f>
        <v>0</v>
      </c>
      <c r="Y735" s="220">
        <f>IF(AND(T735="DH",V735&gt;0),(S735*V735/12),IF(AND(T735&lt;&gt;"NTS",V735&gt;0),(Q735*V735/12)-W735,IF(AND(T735="NTS",V735&gt;0),Q735-W735,Q735-W735)))</f>
        <v>270</v>
      </c>
      <c r="Z735" s="220">
        <f>IF(AND(T735="SĐH",V735&gt;0),(R735/12)*V735-X735,IF(AND(T735="DH",V735&gt;0),(R735*V735/12),IF(AND(T735&lt;&gt;"NTS",V735&gt;0),(R735*V735/12)-X735,IF(AND(T735="NTS",V735&gt;0),R735-X735,R735-X735))))</f>
        <v>80</v>
      </c>
      <c r="AA735" s="220">
        <f t="shared" si="2417"/>
        <v>270</v>
      </c>
      <c r="AB735" s="220">
        <f t="shared" si="2417"/>
        <v>80</v>
      </c>
      <c r="AC735" s="220">
        <f t="shared" si="2436"/>
        <v>0</v>
      </c>
      <c r="AD735" s="220">
        <f t="shared" si="2436"/>
        <v>0</v>
      </c>
      <c r="AE735" s="220">
        <f t="shared" si="2436"/>
        <v>270</v>
      </c>
      <c r="AF735" s="220">
        <f t="shared" si="2436"/>
        <v>80</v>
      </c>
      <c r="AG735" s="220">
        <f t="shared" si="2418"/>
        <v>0</v>
      </c>
      <c r="AH735" s="220">
        <f t="shared" si="2419"/>
        <v>0</v>
      </c>
      <c r="AI735" s="220">
        <f t="shared" si="2420"/>
        <v>0</v>
      </c>
      <c r="AJ735" s="220">
        <f t="shared" si="2421"/>
        <v>-80</v>
      </c>
      <c r="AK735" s="216">
        <f t="shared" si="2408"/>
        <v>350</v>
      </c>
      <c r="AL735" s="220">
        <f>SUM(CP735:CX735)+SUM(DC735:DK735)</f>
        <v>418.8</v>
      </c>
      <c r="AM735" s="220">
        <f>SUM(DQ735:DU735)+SUM(DY735:EC735)</f>
        <v>0</v>
      </c>
      <c r="AN735" s="216">
        <f>AM735+AL735</f>
        <v>418.8</v>
      </c>
      <c r="AO735" s="220">
        <f t="shared" si="2437"/>
        <v>0</v>
      </c>
      <c r="AP735" s="220">
        <f t="shared" si="2437"/>
        <v>0</v>
      </c>
      <c r="AQ735" s="220">
        <f t="shared" si="2437"/>
        <v>0</v>
      </c>
      <c r="AR735" s="220">
        <f t="shared" si="2438"/>
        <v>0</v>
      </c>
      <c r="AS735" s="220">
        <f t="shared" si="2438"/>
        <v>0</v>
      </c>
      <c r="AT735" s="216">
        <f>AN735+SUM(AO735:AS735)</f>
        <v>418.8</v>
      </c>
      <c r="AU735" s="220">
        <f t="shared" si="2439"/>
        <v>68.800000000000011</v>
      </c>
      <c r="AV735" s="220"/>
      <c r="AW735" s="220">
        <f t="shared" si="2422"/>
        <v>68.800000000000011</v>
      </c>
      <c r="AX735" s="216">
        <f t="shared" si="2431"/>
        <v>0</v>
      </c>
      <c r="AY735" s="220">
        <f t="shared" si="2440"/>
        <v>0</v>
      </c>
      <c r="AZ735" s="220">
        <f t="shared" si="2441"/>
        <v>0</v>
      </c>
      <c r="BA735" s="220">
        <f t="shared" si="2442"/>
        <v>0</v>
      </c>
      <c r="BB735" s="220">
        <f t="shared" si="2443"/>
        <v>0</v>
      </c>
      <c r="BC735" s="220">
        <f t="shared" si="2444"/>
        <v>0</v>
      </c>
      <c r="BD735" s="216">
        <f t="shared" si="2404"/>
        <v>0</v>
      </c>
      <c r="BE735" s="220">
        <f t="shared" si="2445"/>
        <v>0</v>
      </c>
      <c r="BF735" s="220">
        <f t="shared" si="2445"/>
        <v>0</v>
      </c>
      <c r="BG735" s="220">
        <f t="shared" si="2445"/>
        <v>0</v>
      </c>
      <c r="BH735" s="220">
        <f t="shared" si="2445"/>
        <v>0</v>
      </c>
      <c r="BI735" s="220">
        <f t="shared" si="2445"/>
        <v>0</v>
      </c>
      <c r="BJ735" s="220" t="s">
        <v>2471</v>
      </c>
      <c r="BK735" s="220"/>
      <c r="BL735" s="223">
        <f t="shared" si="2423"/>
        <v>68.800000000000011</v>
      </c>
      <c r="BM735" s="216">
        <v>4.4000000000000004</v>
      </c>
      <c r="BN735" s="220"/>
      <c r="BO735" s="220">
        <f t="shared" si="2412"/>
        <v>4.4000000000000004</v>
      </c>
      <c r="BP735" s="220">
        <f>IF(AND(BL735&gt;0,BL735&lt;tiet!$D$1),BL735,IF(BL735&lt;=0,0,IF(BL735&gt;tiet!$C$1,tiet!$C$1)))</f>
        <v>68.800000000000011</v>
      </c>
      <c r="BQ735" s="87">
        <f>VLOOKUP(P735,ma_dinhmuc_moi,4,0)</f>
        <v>65000</v>
      </c>
      <c r="BR735" s="224">
        <f>ROUND(BQ735*BP735,0)</f>
        <v>4472000</v>
      </c>
      <c r="BS735" s="220">
        <f t="shared" si="2356"/>
        <v>0</v>
      </c>
      <c r="BT735" s="224">
        <f>VLOOKUP(N735,ma_dinhmuc!$A$1:$J$31,10,0)</f>
        <v>51000</v>
      </c>
      <c r="BU735" s="224">
        <f>ROUND(IF(BS735&gt;0,VLOOKUP(N735,ma_dinhmuc!$A$1:$J$31,10,0)*BS735,0),0)</f>
        <v>0</v>
      </c>
      <c r="BV735" s="224">
        <f>ROUND(BU735+BR735,0)</f>
        <v>4472000</v>
      </c>
      <c r="BW735" s="224"/>
      <c r="BX735" s="224">
        <v>0</v>
      </c>
      <c r="BY735" s="224"/>
      <c r="BZ735" s="224"/>
      <c r="CA735" s="224"/>
      <c r="CB735" s="224"/>
      <c r="CC735" s="225">
        <f t="shared" si="2432"/>
        <v>4472000</v>
      </c>
      <c r="CD735" s="224">
        <f t="shared" si="2433"/>
        <v>0</v>
      </c>
      <c r="CE735" s="224"/>
      <c r="CF735" s="226"/>
      <c r="CG735" s="87"/>
      <c r="CH735" s="87">
        <f t="shared" si="2405"/>
        <v>13</v>
      </c>
      <c r="CI735" s="227" t="str">
        <f t="shared" si="2415"/>
        <v>Hoàng Văn</v>
      </c>
      <c r="CJ735" s="227" t="str">
        <f t="shared" si="2396"/>
        <v>Quý</v>
      </c>
      <c r="CK735" s="87">
        <f t="shared" si="2430"/>
        <v>23</v>
      </c>
      <c r="CL735" s="227" t="str">
        <f t="shared" si="2407"/>
        <v>Công tác QP-AN</v>
      </c>
      <c r="CM735" s="87" t="str">
        <f>N735</f>
        <v>QS3</v>
      </c>
      <c r="CN735" s="87">
        <f t="shared" si="2424"/>
        <v>270</v>
      </c>
      <c r="CO735" s="87">
        <f t="shared" si="2425"/>
        <v>80</v>
      </c>
      <c r="CP735" s="229">
        <f t="shared" si="2376"/>
        <v>0</v>
      </c>
      <c r="CQ735" s="229">
        <f t="shared" si="2377"/>
        <v>83.6</v>
      </c>
      <c r="CR735" s="229">
        <f t="shared" si="2378"/>
        <v>33.6</v>
      </c>
      <c r="CS735" s="229">
        <f t="shared" si="2379"/>
        <v>0</v>
      </c>
      <c r="CT735" s="229">
        <f t="shared" si="2380"/>
        <v>0</v>
      </c>
      <c r="CU735" s="229">
        <f t="shared" si="2381"/>
        <v>301.60000000000002</v>
      </c>
      <c r="CV735" s="229">
        <f t="shared" si="2382"/>
        <v>0</v>
      </c>
      <c r="CW735" s="229">
        <f t="shared" si="2383"/>
        <v>0</v>
      </c>
      <c r="CX735" s="229">
        <f t="shared" si="2384"/>
        <v>0</v>
      </c>
      <c r="CY735" s="229">
        <f t="shared" si="2385"/>
        <v>0</v>
      </c>
      <c r="CZ735" s="229">
        <f t="shared" si="2386"/>
        <v>0</v>
      </c>
      <c r="DA735" s="229">
        <f t="shared" si="2387"/>
        <v>0</v>
      </c>
      <c r="DB735" s="228">
        <f>SUM(CP735:DA735)</f>
        <v>418.8</v>
      </c>
      <c r="DC735" s="229"/>
      <c r="DD735" s="229"/>
      <c r="DE735" s="229"/>
      <c r="DF735" s="229"/>
      <c r="DG735" s="229"/>
      <c r="DH735" s="229"/>
      <c r="DI735" s="229"/>
      <c r="DJ735" s="229"/>
      <c r="DK735" s="229"/>
      <c r="DL735" s="229"/>
      <c r="DM735" s="229"/>
      <c r="DN735" s="229"/>
      <c r="DO735" s="228">
        <f>SUM(DC735:DN735)</f>
        <v>0</v>
      </c>
      <c r="DP735" s="228">
        <f>DO735+DB735</f>
        <v>418.8</v>
      </c>
      <c r="DQ735" s="229">
        <f t="shared" si="2388"/>
        <v>0</v>
      </c>
      <c r="DR735" s="229">
        <f t="shared" si="2389"/>
        <v>0</v>
      </c>
      <c r="DS735" s="229">
        <f t="shared" si="2390"/>
        <v>0</v>
      </c>
      <c r="DT735" s="229">
        <f t="shared" si="2391"/>
        <v>0</v>
      </c>
      <c r="DU735" s="229">
        <f t="shared" si="2392"/>
        <v>0</v>
      </c>
      <c r="DV735" s="229">
        <f t="shared" si="2393"/>
        <v>0</v>
      </c>
      <c r="DW735" s="229">
        <f t="shared" si="2394"/>
        <v>0</v>
      </c>
      <c r="DX735" s="228">
        <f>SUM(DQ735:DW735)</f>
        <v>0</v>
      </c>
      <c r="DY735" s="229"/>
      <c r="DZ735" s="229"/>
      <c r="EA735" s="229"/>
      <c r="EB735" s="229"/>
      <c r="EC735" s="229"/>
      <c r="ED735" s="229"/>
      <c r="EE735" s="229"/>
      <c r="EF735" s="228">
        <f t="shared" si="2371"/>
        <v>0</v>
      </c>
      <c r="EG735" s="228">
        <f>EF735+DX735</f>
        <v>0</v>
      </c>
      <c r="EH735" s="229">
        <f t="shared" si="2372"/>
        <v>0</v>
      </c>
      <c r="EI735" s="229">
        <v>0</v>
      </c>
      <c r="EJ735" s="228">
        <f>SUM(EH735:EI735)</f>
        <v>0</v>
      </c>
      <c r="EK735" s="229"/>
      <c r="EL735" s="229"/>
      <c r="EM735" s="228">
        <f t="shared" si="2401"/>
        <v>0</v>
      </c>
      <c r="EN735" s="229">
        <f t="shared" si="2416"/>
        <v>0</v>
      </c>
      <c r="EO735" s="229">
        <f t="shared" si="2435"/>
        <v>0</v>
      </c>
      <c r="EP735" s="228">
        <f t="shared" si="2402"/>
        <v>0</v>
      </c>
      <c r="EQ735" s="173">
        <f t="shared" si="2358"/>
        <v>0</v>
      </c>
      <c r="ER735" s="189">
        <v>0</v>
      </c>
      <c r="ES735" s="189">
        <v>83.6</v>
      </c>
      <c r="ET735" s="189">
        <v>33.6</v>
      </c>
      <c r="EU735" s="189">
        <v>0</v>
      </c>
      <c r="EV735" s="189">
        <v>0</v>
      </c>
      <c r="EW735" s="189">
        <v>301.60000000000002</v>
      </c>
      <c r="EX735" s="189">
        <v>0</v>
      </c>
      <c r="EY735" s="189">
        <v>0</v>
      </c>
      <c r="EZ735" s="189">
        <v>0</v>
      </c>
      <c r="FA735" s="189">
        <v>0</v>
      </c>
      <c r="FB735" s="189">
        <v>0</v>
      </c>
      <c r="FC735" s="189">
        <v>0</v>
      </c>
      <c r="FD735" s="189">
        <v>0</v>
      </c>
      <c r="FE735" s="189">
        <v>0</v>
      </c>
      <c r="FF735" s="189">
        <v>0</v>
      </c>
      <c r="FG735" s="189">
        <v>0</v>
      </c>
      <c r="FH735" s="189">
        <v>0</v>
      </c>
      <c r="FI735" s="189">
        <v>0</v>
      </c>
      <c r="FJ735" s="189">
        <v>0</v>
      </c>
      <c r="FK735" s="189">
        <v>418.8</v>
      </c>
      <c r="FL735" s="189">
        <v>192</v>
      </c>
      <c r="FN735" s="132">
        <v>0</v>
      </c>
    </row>
    <row r="736" spans="1:170" ht="30.75" customHeight="1">
      <c r="A736" s="88">
        <f>COUNTIF($H$12:H742,H736)</f>
        <v>13</v>
      </c>
      <c r="B736" s="88" t="s">
        <v>2223</v>
      </c>
      <c r="C736" s="88" t="s">
        <v>2223</v>
      </c>
      <c r="D736" s="88"/>
      <c r="E736" s="88"/>
      <c r="F736" s="304" t="s">
        <v>1496</v>
      </c>
      <c r="G736" s="305" t="s">
        <v>2852</v>
      </c>
      <c r="H736" s="88">
        <v>23</v>
      </c>
      <c r="I736" s="88">
        <v>23</v>
      </c>
      <c r="J736" s="88">
        <v>23</v>
      </c>
      <c r="K736" s="90" t="s">
        <v>2470</v>
      </c>
      <c r="L736" s="90" t="s">
        <v>2470</v>
      </c>
      <c r="M736" s="214"/>
      <c r="N736" s="215" t="s">
        <v>1748</v>
      </c>
      <c r="O736" s="216">
        <f t="shared" si="2403"/>
        <v>4.4000000000000004</v>
      </c>
      <c r="P736" s="88" t="str">
        <f>IF(BO736&lt;3.33,"B11_3",IF(AND(BO736&gt;=3.33,BO736&lt;4.65),"B11_4",IF(AND(BO736&gt;=4.65,BO736&lt;5.42),"B11_5",IF(AND(BO736&gt;=5.42,BO736&lt;6.44),"B11_6",IF(AND(BO736&gt;=6.44,BO736&lt;=6.92),"B11_7","B11_8")))))</f>
        <v>B11_4</v>
      </c>
      <c r="Q736" s="88">
        <f t="shared" si="2323"/>
        <v>270</v>
      </c>
      <c r="R736" s="88">
        <f t="shared" si="2324"/>
        <v>80</v>
      </c>
      <c r="S736" s="218" t="s">
        <v>423</v>
      </c>
      <c r="T736" s="215" t="s">
        <v>3088</v>
      </c>
      <c r="U736" s="88">
        <f>IF(RIGHT(T736,1)="K",(VLOOKUP(T736,ma_miengiam!$A$3:$B$80,2,0)*100)/2,VLOOKUP(T736,ma_miengiam!$A$3:$B$80,2,0)*100)</f>
        <v>0</v>
      </c>
      <c r="V736" s="88"/>
      <c r="W736" s="220">
        <f>IF(AND(T736="NTS",V736&gt;0),(Q736-(Q736*V736)/12)*VLOOKUP(T736,ma_miengiam!$A$3:$B$80,2,0)+(Q736-(Q736*(12-V736))/12),IF(AND(RIGHT(T736,1)="K",V736&gt;0),(VLOOKUP(T736,ma_miengiam!$A$3:$B$80,2,0)/2)*(Q736*V736)/12,IF(RIGHT(T736,1)="K",(VLOOKUP(T736,ma_miengiam!$A$3:$B$80,2,0)*Q736)/2,IF(V736&gt;0,VLOOKUP(T736,ma_miengiam!$A$3:$B$80,2,0)*Q736*V736/12,VLOOKUP(T736,ma_miengiam!$A$3:$B$80,2,0)*Q736))))</f>
        <v>0</v>
      </c>
      <c r="X736" s="220">
        <f>IF(T736="NTS",VLOOKUP(T736,ma_miengiam!$A$3:$B$80,2,0)*R736*V736,IF(AND(T736="NTS",V736=0),0,IF(AND(LEFT(T736,1)="K",V736=0),VLOOKUP(T736,ma_miengiam!$A$3:$B$80,2,0)*R736,IF(LEFT(T736,1)="K",(VLOOKUP(T736,ma_miengiam!$A$3:$B$80,2,0)*R736/12)*V736,IF(AND(LEFT(T736,1)="S",V736&gt;0),(R736/12)*V736,IF(AND(LEFT(T736,1)="S",V736=0),R736,IF(T736="DH",VLOOKUP(T736,ma_miengiam!$A$3:$B$80,2,0)*R736,0)))))))</f>
        <v>0</v>
      </c>
      <c r="Y736" s="220">
        <f>IF(AND(T736="DH",V736&gt;0),(S736*V736/12),IF(AND(T736&lt;&gt;"NTS",V736&gt;0),(Q736*V736/12)-W736,IF(AND(T736="NTS",V736&gt;0),Q736-W736,Q736-W736)))</f>
        <v>270</v>
      </c>
      <c r="Z736" s="220">
        <f>IF(AND(T736="SĐH",V736&gt;0),(R736/12)*V736-X736,IF(AND(T736="DH",V736&gt;0),(R736*V736/12),IF(AND(T736&lt;&gt;"NTS",V736&gt;0),(R736*V736/12)-X736,IF(AND(T736="NTS",V736&gt;0),R736-X736,R736-X736))))</f>
        <v>80</v>
      </c>
      <c r="AA736" s="220">
        <f t="shared" ref="AA736:AB740" si="2446">Q736</f>
        <v>270</v>
      </c>
      <c r="AB736" s="220">
        <f t="shared" si="2446"/>
        <v>80</v>
      </c>
      <c r="AC736" s="220">
        <f t="shared" ref="AC736:AF737" si="2447">W736</f>
        <v>0</v>
      </c>
      <c r="AD736" s="220">
        <f t="shared" si="2447"/>
        <v>0</v>
      </c>
      <c r="AE736" s="220">
        <f t="shared" si="2447"/>
        <v>270</v>
      </c>
      <c r="AF736" s="220">
        <f t="shared" si="2447"/>
        <v>80</v>
      </c>
      <c r="AG736" s="220">
        <f>AH736+AI736</f>
        <v>0</v>
      </c>
      <c r="AH736" s="220">
        <f>EO736</f>
        <v>0</v>
      </c>
      <c r="AI736" s="220">
        <f>EN736</f>
        <v>0</v>
      </c>
      <c r="AJ736" s="220">
        <f>IF(AG736-Z736&gt;0,0,AG736-Z736)</f>
        <v>-80</v>
      </c>
      <c r="AK736" s="216">
        <f>IF(AJ736&gt;=0,Y736,Y736-AJ736)</f>
        <v>350</v>
      </c>
      <c r="AL736" s="220">
        <f>SUM(CP736:CX736)+SUM(DC736:DK736)</f>
        <v>657.2</v>
      </c>
      <c r="AM736" s="220">
        <f>SUM(DQ736:DU736)+SUM(DY736:EC736)</f>
        <v>0</v>
      </c>
      <c r="AN736" s="216">
        <f>AM736+AL736</f>
        <v>657.2</v>
      </c>
      <c r="AO736" s="220">
        <f t="shared" si="2437"/>
        <v>0</v>
      </c>
      <c r="AP736" s="220">
        <f t="shared" si="2437"/>
        <v>0</v>
      </c>
      <c r="AQ736" s="220">
        <f t="shared" si="2437"/>
        <v>0</v>
      </c>
      <c r="AR736" s="220">
        <f t="shared" si="2438"/>
        <v>0</v>
      </c>
      <c r="AS736" s="220">
        <f t="shared" si="2438"/>
        <v>0</v>
      </c>
      <c r="AT736" s="216">
        <f>AN736+SUM(AO736:AS736)</f>
        <v>657.2</v>
      </c>
      <c r="AU736" s="220">
        <f t="shared" si="2439"/>
        <v>307.20000000000005</v>
      </c>
      <c r="AV736" s="220"/>
      <c r="AW736" s="220">
        <f>IF(AU736&gt;0,AU736,AV736+AU736)</f>
        <v>307.20000000000005</v>
      </c>
      <c r="AX736" s="216">
        <f t="shared" si="2431"/>
        <v>0</v>
      </c>
      <c r="AY736" s="220">
        <f t="shared" si="2440"/>
        <v>0</v>
      </c>
      <c r="AZ736" s="220">
        <f t="shared" si="2441"/>
        <v>0</v>
      </c>
      <c r="BA736" s="220">
        <f t="shared" si="2442"/>
        <v>0</v>
      </c>
      <c r="BB736" s="220">
        <f t="shared" si="2443"/>
        <v>0</v>
      </c>
      <c r="BC736" s="220">
        <f t="shared" si="2444"/>
        <v>0</v>
      </c>
      <c r="BD736" s="216">
        <f t="shared" si="2404"/>
        <v>0</v>
      </c>
      <c r="BE736" s="220">
        <f t="shared" si="2445"/>
        <v>0</v>
      </c>
      <c r="BF736" s="220">
        <f t="shared" si="2445"/>
        <v>0</v>
      </c>
      <c r="BG736" s="220">
        <f t="shared" si="2445"/>
        <v>0</v>
      </c>
      <c r="BH736" s="220">
        <f t="shared" si="2445"/>
        <v>0</v>
      </c>
      <c r="BI736" s="220">
        <f t="shared" si="2445"/>
        <v>0</v>
      </c>
      <c r="BJ736" s="220" t="s">
        <v>2471</v>
      </c>
      <c r="BK736" s="220"/>
      <c r="BL736" s="223">
        <f t="shared" si="2423"/>
        <v>307.20000000000005</v>
      </c>
      <c r="BM736" s="216">
        <v>4.4000000000000004</v>
      </c>
      <c r="BN736" s="220"/>
      <c r="BO736" s="220">
        <f t="shared" si="2412"/>
        <v>4.4000000000000004</v>
      </c>
      <c r="BP736" s="220">
        <f>IF(AND(BL736&gt;0,BL736&lt;tiet!$D$1),BL736,IF(BL736&lt;=0,0,IF(BL736&gt;tiet!$C$1,tiet!$C$1)))</f>
        <v>200</v>
      </c>
      <c r="BQ736" s="87">
        <f>VLOOKUP(P736,ma_dinhmuc_moi,4,0)</f>
        <v>65000</v>
      </c>
      <c r="BR736" s="224">
        <f>ROUND(BQ736*BP736,0)</f>
        <v>13000000</v>
      </c>
      <c r="BS736" s="220">
        <f t="shared" si="2356"/>
        <v>107.20000000000005</v>
      </c>
      <c r="BT736" s="224">
        <f>VLOOKUP(N736,ma_dinhmuc!$A$1:$J$31,10,0)</f>
        <v>51000</v>
      </c>
      <c r="BU736" s="224">
        <f>ROUND(IF(BS736&gt;0,VLOOKUP(N736,ma_dinhmuc!$A$1:$J$31,10,0)*BS736,0),0)</f>
        <v>5467200</v>
      </c>
      <c r="BV736" s="224">
        <f>ROUND(BU736+BR736,0)</f>
        <v>18467200</v>
      </c>
      <c r="BW736" s="224"/>
      <c r="BX736" s="224">
        <v>0</v>
      </c>
      <c r="BY736" s="224"/>
      <c r="BZ736" s="224"/>
      <c r="CA736" s="224"/>
      <c r="CB736" s="224"/>
      <c r="CC736" s="225">
        <f t="shared" si="2432"/>
        <v>18467200</v>
      </c>
      <c r="CD736" s="224">
        <f t="shared" si="2433"/>
        <v>0</v>
      </c>
      <c r="CE736" s="224"/>
      <c r="CF736" s="226"/>
      <c r="CG736" s="87"/>
      <c r="CH736" s="87">
        <f t="shared" si="2405"/>
        <v>13</v>
      </c>
      <c r="CI736" s="227" t="str">
        <f t="shared" si="2415"/>
        <v>Lê Quốc</v>
      </c>
      <c r="CJ736" s="227" t="str">
        <f t="shared" si="2396"/>
        <v>Bình</v>
      </c>
      <c r="CK736" s="87">
        <f t="shared" si="2430"/>
        <v>23</v>
      </c>
      <c r="CL736" s="227" t="str">
        <f t="shared" si="2407"/>
        <v>Công tác QP-AN</v>
      </c>
      <c r="CM736" s="87" t="str">
        <f>N736</f>
        <v>QS3</v>
      </c>
      <c r="CN736" s="87">
        <f t="shared" si="2424"/>
        <v>270</v>
      </c>
      <c r="CO736" s="87">
        <f t="shared" si="2425"/>
        <v>80</v>
      </c>
      <c r="CP736" s="229">
        <f t="shared" si="2376"/>
        <v>0</v>
      </c>
      <c r="CQ736" s="229">
        <f t="shared" si="2377"/>
        <v>66.900000000000006</v>
      </c>
      <c r="CR736" s="229">
        <f t="shared" si="2378"/>
        <v>27</v>
      </c>
      <c r="CS736" s="229">
        <f t="shared" si="2379"/>
        <v>0</v>
      </c>
      <c r="CT736" s="229">
        <f t="shared" si="2380"/>
        <v>0</v>
      </c>
      <c r="CU736" s="229">
        <f t="shared" si="2381"/>
        <v>240.8</v>
      </c>
      <c r="CV736" s="229">
        <f t="shared" si="2382"/>
        <v>0</v>
      </c>
      <c r="CW736" s="229">
        <f t="shared" si="2383"/>
        <v>322.5</v>
      </c>
      <c r="CX736" s="229">
        <f t="shared" si="2384"/>
        <v>0</v>
      </c>
      <c r="CY736" s="229">
        <f t="shared" si="2385"/>
        <v>0</v>
      </c>
      <c r="CZ736" s="229">
        <f t="shared" si="2386"/>
        <v>0</v>
      </c>
      <c r="DA736" s="229">
        <f t="shared" si="2387"/>
        <v>0</v>
      </c>
      <c r="DB736" s="228">
        <f>SUM(CP736:DA736)</f>
        <v>657.2</v>
      </c>
      <c r="DC736" s="229"/>
      <c r="DD736" s="229"/>
      <c r="DE736" s="229"/>
      <c r="DF736" s="229"/>
      <c r="DG736" s="229"/>
      <c r="DH736" s="229"/>
      <c r="DI736" s="229"/>
      <c r="DJ736" s="229"/>
      <c r="DK736" s="229"/>
      <c r="DL736" s="229"/>
      <c r="DM736" s="229"/>
      <c r="DN736" s="229"/>
      <c r="DO736" s="228">
        <f>SUM(DC736:DN736)</f>
        <v>0</v>
      </c>
      <c r="DP736" s="228">
        <f>DO736+DB736</f>
        <v>657.2</v>
      </c>
      <c r="DQ736" s="229">
        <f t="shared" si="2388"/>
        <v>0</v>
      </c>
      <c r="DR736" s="229">
        <f t="shared" si="2389"/>
        <v>0</v>
      </c>
      <c r="DS736" s="229">
        <f t="shared" si="2390"/>
        <v>0</v>
      </c>
      <c r="DT736" s="229">
        <f t="shared" si="2391"/>
        <v>0</v>
      </c>
      <c r="DU736" s="229">
        <f t="shared" si="2392"/>
        <v>0</v>
      </c>
      <c r="DV736" s="229">
        <f t="shared" si="2393"/>
        <v>0</v>
      </c>
      <c r="DW736" s="229">
        <f t="shared" si="2394"/>
        <v>0</v>
      </c>
      <c r="DX736" s="228">
        <f>SUM(DQ736:DW736)</f>
        <v>0</v>
      </c>
      <c r="DY736" s="229"/>
      <c r="DZ736" s="229"/>
      <c r="EA736" s="229"/>
      <c r="EB736" s="229"/>
      <c r="EC736" s="229"/>
      <c r="ED736" s="229"/>
      <c r="EE736" s="229"/>
      <c r="EF736" s="228">
        <f t="shared" si="2371"/>
        <v>0</v>
      </c>
      <c r="EG736" s="228">
        <f>EF736+DX736</f>
        <v>0</v>
      </c>
      <c r="EH736" s="229">
        <f t="shared" si="2372"/>
        <v>0</v>
      </c>
      <c r="EI736" s="229">
        <v>0</v>
      </c>
      <c r="EJ736" s="228">
        <f>SUM(EH736:EI736)</f>
        <v>0</v>
      </c>
      <c r="EK736" s="229"/>
      <c r="EL736" s="229"/>
      <c r="EM736" s="228">
        <f t="shared" si="2401"/>
        <v>0</v>
      </c>
      <c r="EN736" s="229">
        <f t="shared" si="2416"/>
        <v>0</v>
      </c>
      <c r="EO736" s="229">
        <f t="shared" si="2435"/>
        <v>0</v>
      </c>
      <c r="EP736" s="228">
        <f>EM736+EJ736</f>
        <v>0</v>
      </c>
      <c r="EQ736" s="173">
        <f t="shared" si="2358"/>
        <v>0</v>
      </c>
      <c r="ER736" s="189">
        <v>0</v>
      </c>
      <c r="ES736" s="189">
        <v>66.900000000000006</v>
      </c>
      <c r="ET736" s="189">
        <v>27</v>
      </c>
      <c r="EU736" s="189">
        <v>0</v>
      </c>
      <c r="EV736" s="189">
        <v>0</v>
      </c>
      <c r="EW736" s="189">
        <v>240.8</v>
      </c>
      <c r="EX736" s="189">
        <v>0</v>
      </c>
      <c r="EY736" s="189">
        <v>322.5</v>
      </c>
      <c r="EZ736" s="189">
        <v>0</v>
      </c>
      <c r="FA736" s="189">
        <v>0</v>
      </c>
      <c r="FB736" s="189">
        <v>0</v>
      </c>
      <c r="FC736" s="189">
        <v>0</v>
      </c>
      <c r="FD736" s="189">
        <v>0</v>
      </c>
      <c r="FE736" s="189">
        <v>0</v>
      </c>
      <c r="FF736" s="189">
        <v>0</v>
      </c>
      <c r="FG736" s="189">
        <v>0</v>
      </c>
      <c r="FH736" s="189">
        <v>0</v>
      </c>
      <c r="FI736" s="189">
        <v>0</v>
      </c>
      <c r="FJ736" s="189">
        <v>0</v>
      </c>
      <c r="FK736" s="189">
        <v>657.2</v>
      </c>
      <c r="FL736" s="189">
        <v>430</v>
      </c>
      <c r="FN736" s="132">
        <v>0</v>
      </c>
    </row>
    <row r="737" spans="1:170" ht="30" customHeight="1">
      <c r="A737" s="88">
        <f>COUNTIF($H$12:H737,H737)</f>
        <v>11</v>
      </c>
      <c r="B737" s="88" t="s">
        <v>2224</v>
      </c>
      <c r="C737" s="88" t="s">
        <v>2224</v>
      </c>
      <c r="D737" s="88"/>
      <c r="E737" s="88"/>
      <c r="F737" s="304" t="s">
        <v>815</v>
      </c>
      <c r="G737" s="305" t="s">
        <v>1129</v>
      </c>
      <c r="H737" s="88">
        <v>23</v>
      </c>
      <c r="I737" s="88">
        <v>23</v>
      </c>
      <c r="J737" s="88">
        <v>23</v>
      </c>
      <c r="K737" s="90" t="s">
        <v>2470</v>
      </c>
      <c r="L737" s="90" t="s">
        <v>2470</v>
      </c>
      <c r="M737" s="214"/>
      <c r="N737" s="215" t="s">
        <v>1748</v>
      </c>
      <c r="O737" s="216">
        <f t="shared" si="2403"/>
        <v>4.4000000000000004</v>
      </c>
      <c r="P737" s="88" t="str">
        <f t="shared" si="2426"/>
        <v>B11_4</v>
      </c>
      <c r="Q737" s="88">
        <f t="shared" si="2323"/>
        <v>270</v>
      </c>
      <c r="R737" s="88">
        <f t="shared" si="2324"/>
        <v>80</v>
      </c>
      <c r="S737" s="218" t="s">
        <v>2265</v>
      </c>
      <c r="T737" s="215" t="s">
        <v>3095</v>
      </c>
      <c r="U737" s="88">
        <f>IF(RIGHT(T737,1)="K",(VLOOKUP(T737,ma_miengiam!$A$3:$B$80,2,0)*100)/2,VLOOKUP(T737,ma_miengiam!$A$3:$B$80,2,0)*100)</f>
        <v>40</v>
      </c>
      <c r="V737" s="88"/>
      <c r="W737" s="220">
        <f>IF(AND(T737="NTS",V737&gt;0),(Q737-(Q737*V737)/12)*VLOOKUP(T737,ma_miengiam!$A$3:$B$80,2,0)+(Q737-(Q737*(12-V737))/12),IF(AND(RIGHT(T737,1)="K",V737&gt;0),(VLOOKUP(T737,ma_miengiam!$A$3:$B$80,2,0)/2)*(Q737*V737)/12,IF(RIGHT(T737,1)="K",(VLOOKUP(T737,ma_miengiam!$A$3:$B$80,2,0)*Q737)/2,IF(V737&gt;0,VLOOKUP(T737,ma_miengiam!$A$3:$B$80,2,0)*Q737*V737/12,VLOOKUP(T737,ma_miengiam!$A$3:$B$80,2,0)*Q737))))</f>
        <v>108</v>
      </c>
      <c r="X737" s="220">
        <f>IF(T737="NTS",VLOOKUP(T737,ma_miengiam!$A$3:$B$80,2,0)*R737*V737,IF(AND(T737="NTS",V737=0),0,IF(AND(LEFT(T737,1)="K",V737=0),VLOOKUP(T737,ma_miengiam!$A$3:$B$80,2,0)*R737,IF(LEFT(T737,1)="K",(VLOOKUP(T737,ma_miengiam!$A$3:$B$80,2,0)*R737/12)*V737,IF(AND(LEFT(T737,1)="S",V737&gt;0),(R737/12)*V737,IF(AND(LEFT(T737,1)="S",V737=0),R737,IF(T737="DH",VLOOKUP(T737,ma_miengiam!$A$3:$B$80,2,0)*R737,0)))))))</f>
        <v>0</v>
      </c>
      <c r="Y737" s="220">
        <f t="shared" si="2349"/>
        <v>162</v>
      </c>
      <c r="Z737" s="220">
        <f>IF(AND(T737="SĐH",V737&gt;0),(R737/12)*V737-X737,IF(AND(T737="DH",V737&gt;0),(R737*V737/12),IF(AND(T737&lt;&gt;"NTS",V737&gt;0),(R737*V737/12)-X737,IF(AND(T737="NTS",V737&gt;0),R737-X737,R737-X737))))</f>
        <v>80</v>
      </c>
      <c r="AA737" s="220">
        <f t="shared" si="2446"/>
        <v>270</v>
      </c>
      <c r="AB737" s="220">
        <f t="shared" si="2446"/>
        <v>80</v>
      </c>
      <c r="AC737" s="220">
        <f t="shared" si="2447"/>
        <v>108</v>
      </c>
      <c r="AD737" s="220">
        <f t="shared" si="2447"/>
        <v>0</v>
      </c>
      <c r="AE737" s="220">
        <f t="shared" si="2447"/>
        <v>162</v>
      </c>
      <c r="AF737" s="220">
        <f t="shared" si="2447"/>
        <v>80</v>
      </c>
      <c r="AG737" s="220">
        <f>AH737+AI737</f>
        <v>0</v>
      </c>
      <c r="AH737" s="220">
        <f>EO737</f>
        <v>0</v>
      </c>
      <c r="AI737" s="220">
        <f>EN737</f>
        <v>0</v>
      </c>
      <c r="AJ737" s="220">
        <f>IF(AG737-Z737&gt;0,0,AG737-Z737)</f>
        <v>-80</v>
      </c>
      <c r="AK737" s="216">
        <f t="shared" si="2408"/>
        <v>242</v>
      </c>
      <c r="AL737" s="220">
        <f t="shared" si="2238"/>
        <v>381.1</v>
      </c>
      <c r="AM737" s="220">
        <f t="shared" si="2239"/>
        <v>0</v>
      </c>
      <c r="AN737" s="216">
        <f t="shared" si="2240"/>
        <v>381.1</v>
      </c>
      <c r="AO737" s="220">
        <f t="shared" si="2241"/>
        <v>0</v>
      </c>
      <c r="AP737" s="220">
        <f t="shared" si="2242"/>
        <v>0</v>
      </c>
      <c r="AQ737" s="220">
        <f t="shared" si="2243"/>
        <v>0</v>
      </c>
      <c r="AR737" s="220">
        <f t="shared" si="2244"/>
        <v>0</v>
      </c>
      <c r="AS737" s="220">
        <f t="shared" si="2245"/>
        <v>0</v>
      </c>
      <c r="AT737" s="216">
        <f t="shared" si="2246"/>
        <v>381.1</v>
      </c>
      <c r="AU737" s="220">
        <f t="shared" si="2439"/>
        <v>139.10000000000002</v>
      </c>
      <c r="AV737" s="220"/>
      <c r="AW737" s="220">
        <f>IF(AU737&gt;0,AU737,AV737+AU737)</f>
        <v>139.10000000000002</v>
      </c>
      <c r="AX737" s="216">
        <f t="shared" si="2431"/>
        <v>0</v>
      </c>
      <c r="AY737" s="220">
        <f t="shared" si="2440"/>
        <v>0</v>
      </c>
      <c r="AZ737" s="220">
        <f t="shared" si="2441"/>
        <v>0</v>
      </c>
      <c r="BA737" s="220">
        <f t="shared" si="2442"/>
        <v>0</v>
      </c>
      <c r="BB737" s="220">
        <f t="shared" si="2443"/>
        <v>0</v>
      </c>
      <c r="BC737" s="220">
        <f t="shared" si="2444"/>
        <v>0</v>
      </c>
      <c r="BD737" s="216">
        <f t="shared" si="2404"/>
        <v>0</v>
      </c>
      <c r="BE737" s="220">
        <f t="shared" si="2351"/>
        <v>0</v>
      </c>
      <c r="BF737" s="220">
        <f t="shared" si="2352"/>
        <v>0</v>
      </c>
      <c r="BG737" s="220">
        <f t="shared" si="2353"/>
        <v>0</v>
      </c>
      <c r="BH737" s="220">
        <f t="shared" si="2354"/>
        <v>0</v>
      </c>
      <c r="BI737" s="220">
        <f t="shared" si="2355"/>
        <v>0</v>
      </c>
      <c r="BJ737" s="220" t="s">
        <v>2471</v>
      </c>
      <c r="BK737" s="220"/>
      <c r="BL737" s="223">
        <f t="shared" si="2423"/>
        <v>139.10000000000002</v>
      </c>
      <c r="BM737" s="216">
        <v>4.4000000000000004</v>
      </c>
      <c r="BN737" s="220"/>
      <c r="BO737" s="220">
        <f t="shared" si="2412"/>
        <v>4.4000000000000004</v>
      </c>
      <c r="BP737" s="220">
        <f>IF(AND(BL737&gt;0,BL737&lt;tiet!$D$1),BL737,IF(BL737&lt;=0,0,IF(BL737&gt;tiet!$C$1,tiet!$C$1)))</f>
        <v>139.10000000000002</v>
      </c>
      <c r="BQ737" s="87">
        <f t="shared" si="2335"/>
        <v>65000</v>
      </c>
      <c r="BR737" s="224">
        <f t="shared" si="2336"/>
        <v>9041500</v>
      </c>
      <c r="BS737" s="220">
        <f t="shared" si="2356"/>
        <v>0</v>
      </c>
      <c r="BT737" s="224">
        <f>VLOOKUP(N737,ma_dinhmuc!$A$1:$J$31,10,0)</f>
        <v>51000</v>
      </c>
      <c r="BU737" s="224">
        <f>ROUND(IF(BS737&gt;0,VLOOKUP(N737,ma_dinhmuc!$A$1:$J$31,10,0)*BS737,0),0)</f>
        <v>0</v>
      </c>
      <c r="BV737" s="224">
        <f t="shared" si="2337"/>
        <v>9041500</v>
      </c>
      <c r="BW737" s="224"/>
      <c r="BX737" s="224">
        <v>0</v>
      </c>
      <c r="BY737" s="224"/>
      <c r="BZ737" s="224"/>
      <c r="CA737" s="224"/>
      <c r="CB737" s="224"/>
      <c r="CC737" s="225">
        <f t="shared" si="2432"/>
        <v>9041500</v>
      </c>
      <c r="CD737" s="224">
        <f t="shared" si="2433"/>
        <v>0</v>
      </c>
      <c r="CE737" s="224"/>
      <c r="CF737" s="226"/>
      <c r="CG737" s="87"/>
      <c r="CH737" s="87">
        <f t="shared" si="2405"/>
        <v>11</v>
      </c>
      <c r="CI737" s="227" t="str">
        <f t="shared" si="2415"/>
        <v>Đinh Quang</v>
      </c>
      <c r="CJ737" s="227" t="str">
        <f t="shared" si="2396"/>
        <v>Chiến</v>
      </c>
      <c r="CK737" s="87">
        <f t="shared" si="2430"/>
        <v>23</v>
      </c>
      <c r="CL737" s="227" t="str">
        <f t="shared" si="2407"/>
        <v>Công tác QP-AN</v>
      </c>
      <c r="CM737" s="87" t="str">
        <f t="shared" si="2357"/>
        <v>QS3</v>
      </c>
      <c r="CN737" s="87">
        <f t="shared" si="2424"/>
        <v>270</v>
      </c>
      <c r="CO737" s="87">
        <f t="shared" si="2425"/>
        <v>80</v>
      </c>
      <c r="CP737" s="229">
        <f t="shared" si="2376"/>
        <v>0</v>
      </c>
      <c r="CQ737" s="229">
        <f t="shared" si="2377"/>
        <v>77.400000000000006</v>
      </c>
      <c r="CR737" s="229">
        <f t="shared" si="2378"/>
        <v>31.1</v>
      </c>
      <c r="CS737" s="229">
        <f t="shared" si="2379"/>
        <v>0</v>
      </c>
      <c r="CT737" s="229">
        <f t="shared" si="2380"/>
        <v>0</v>
      </c>
      <c r="CU737" s="229">
        <f t="shared" si="2381"/>
        <v>272.60000000000002</v>
      </c>
      <c r="CV737" s="229">
        <f t="shared" si="2382"/>
        <v>0</v>
      </c>
      <c r="CW737" s="229">
        <f t="shared" si="2383"/>
        <v>0</v>
      </c>
      <c r="CX737" s="229">
        <f t="shared" si="2384"/>
        <v>0</v>
      </c>
      <c r="CY737" s="229">
        <f t="shared" si="2385"/>
        <v>0</v>
      </c>
      <c r="CZ737" s="229">
        <f t="shared" si="2386"/>
        <v>0</v>
      </c>
      <c r="DA737" s="229">
        <f t="shared" si="2387"/>
        <v>0</v>
      </c>
      <c r="DB737" s="228">
        <f t="shared" si="2235"/>
        <v>381.1</v>
      </c>
      <c r="DC737" s="229"/>
      <c r="DD737" s="229"/>
      <c r="DE737" s="229"/>
      <c r="DF737" s="229"/>
      <c r="DG737" s="229"/>
      <c r="DH737" s="229"/>
      <c r="DI737" s="229"/>
      <c r="DJ737" s="229"/>
      <c r="DK737" s="229"/>
      <c r="DL737" s="229"/>
      <c r="DM737" s="229"/>
      <c r="DN737" s="229"/>
      <c r="DO737" s="228">
        <f t="shared" si="2247"/>
        <v>0</v>
      </c>
      <c r="DP737" s="228">
        <f t="shared" si="2248"/>
        <v>381.1</v>
      </c>
      <c r="DQ737" s="229">
        <f t="shared" si="2388"/>
        <v>0</v>
      </c>
      <c r="DR737" s="229">
        <f t="shared" si="2389"/>
        <v>0</v>
      </c>
      <c r="DS737" s="229">
        <f t="shared" si="2390"/>
        <v>0</v>
      </c>
      <c r="DT737" s="229">
        <f t="shared" si="2391"/>
        <v>0</v>
      </c>
      <c r="DU737" s="229">
        <f t="shared" si="2392"/>
        <v>0</v>
      </c>
      <c r="DV737" s="229">
        <f t="shared" si="2393"/>
        <v>0</v>
      </c>
      <c r="DW737" s="229">
        <f t="shared" si="2394"/>
        <v>0</v>
      </c>
      <c r="DX737" s="228">
        <f t="shared" si="2236"/>
        <v>0</v>
      </c>
      <c r="DY737" s="229"/>
      <c r="DZ737" s="229"/>
      <c r="EA737" s="229"/>
      <c r="EB737" s="229"/>
      <c r="EC737" s="229"/>
      <c r="ED737" s="229"/>
      <c r="EE737" s="229"/>
      <c r="EF737" s="228">
        <f t="shared" si="2371"/>
        <v>0</v>
      </c>
      <c r="EG737" s="228">
        <f t="shared" si="2249"/>
        <v>0</v>
      </c>
      <c r="EH737" s="229">
        <f t="shared" si="2372"/>
        <v>0</v>
      </c>
      <c r="EI737" s="229">
        <v>0</v>
      </c>
      <c r="EJ737" s="228">
        <f t="shared" si="2400"/>
        <v>0</v>
      </c>
      <c r="EK737" s="229"/>
      <c r="EL737" s="229"/>
      <c r="EM737" s="228">
        <f t="shared" si="2401"/>
        <v>0</v>
      </c>
      <c r="EN737" s="229">
        <f t="shared" si="2416"/>
        <v>0</v>
      </c>
      <c r="EO737" s="229">
        <f t="shared" si="2435"/>
        <v>0</v>
      </c>
      <c r="EP737" s="228">
        <f t="shared" si="2402"/>
        <v>0</v>
      </c>
      <c r="EQ737" s="173">
        <f t="shared" si="2358"/>
        <v>0</v>
      </c>
      <c r="ER737" s="189">
        <v>0</v>
      </c>
      <c r="ES737" s="189">
        <v>77.400000000000006</v>
      </c>
      <c r="ET737" s="189">
        <v>31.1</v>
      </c>
      <c r="EU737" s="189">
        <v>0</v>
      </c>
      <c r="EV737" s="189">
        <v>0</v>
      </c>
      <c r="EW737" s="189">
        <v>272.60000000000002</v>
      </c>
      <c r="EX737" s="189">
        <v>0</v>
      </c>
      <c r="EY737" s="189">
        <v>0</v>
      </c>
      <c r="EZ737" s="189">
        <v>0</v>
      </c>
      <c r="FA737" s="189">
        <v>0</v>
      </c>
      <c r="FB737" s="189">
        <v>0</v>
      </c>
      <c r="FC737" s="189">
        <v>0</v>
      </c>
      <c r="FD737" s="189">
        <v>0</v>
      </c>
      <c r="FE737" s="189">
        <v>0</v>
      </c>
      <c r="FF737" s="189">
        <v>0</v>
      </c>
      <c r="FG737" s="189">
        <v>0</v>
      </c>
      <c r="FH737" s="189">
        <v>0</v>
      </c>
      <c r="FI737" s="189">
        <v>0</v>
      </c>
      <c r="FJ737" s="189">
        <v>0</v>
      </c>
      <c r="FK737" s="189">
        <v>381.1</v>
      </c>
      <c r="FL737" s="189">
        <v>160</v>
      </c>
      <c r="FN737" s="132">
        <v>0</v>
      </c>
    </row>
    <row r="738" spans="1:170" ht="30" customHeight="1">
      <c r="A738" s="88">
        <f>COUNTIF($H$12:H750,H738)</f>
        <v>13</v>
      </c>
      <c r="B738" s="88" t="s">
        <v>3125</v>
      </c>
      <c r="C738" s="88" t="s">
        <v>3125</v>
      </c>
      <c r="D738" s="88"/>
      <c r="E738" s="88"/>
      <c r="F738" s="304" t="s">
        <v>3126</v>
      </c>
      <c r="G738" s="305" t="s">
        <v>14</v>
      </c>
      <c r="H738" s="88">
        <v>23</v>
      </c>
      <c r="I738" s="88">
        <v>23</v>
      </c>
      <c r="J738" s="88">
        <v>23</v>
      </c>
      <c r="K738" s="90" t="s">
        <v>2470</v>
      </c>
      <c r="L738" s="90" t="s">
        <v>2470</v>
      </c>
      <c r="M738" s="214"/>
      <c r="N738" s="215" t="s">
        <v>1748</v>
      </c>
      <c r="O738" s="216">
        <f t="shared" si="2403"/>
        <v>4.4000000000000004</v>
      </c>
      <c r="P738" s="88" t="str">
        <f t="shared" si="2426"/>
        <v>B11_4</v>
      </c>
      <c r="Q738" s="88">
        <f t="shared" si="2323"/>
        <v>270</v>
      </c>
      <c r="R738" s="88">
        <f t="shared" si="2324"/>
        <v>80</v>
      </c>
      <c r="S738" s="218" t="s">
        <v>3124</v>
      </c>
      <c r="T738" s="215" t="s">
        <v>3088</v>
      </c>
      <c r="U738" s="88">
        <f>IF(RIGHT(T738,1)="K",(VLOOKUP(T738,ma_miengiam!$A$3:$B$80,2,0)*100)/2,VLOOKUP(T738,ma_miengiam!$A$3:$B$80,2,0)*100)</f>
        <v>0</v>
      </c>
      <c r="V738" s="88"/>
      <c r="W738" s="220">
        <f>IF(AND(T738="NTS",V738&gt;0),(Q738-(Q738*V738)/12)*VLOOKUP(T738,ma_miengiam!$A$3:$B$80,2,0)+(Q738-(Q738*(12-V738))/12),IF(AND(RIGHT(T738,1)="K",V738&gt;0),(VLOOKUP(T738,ma_miengiam!$A$3:$B$80,2,0)/2)*(Q738*V738)/12,IF(RIGHT(T738,1)="K",(VLOOKUP(T738,ma_miengiam!$A$3:$B$80,2,0)*Q738)/2,IF(V738&gt;0,VLOOKUP(T738,ma_miengiam!$A$3:$B$80,2,0)*Q738*V738/12,VLOOKUP(T738,ma_miengiam!$A$3:$B$80,2,0)*Q738))))</f>
        <v>0</v>
      </c>
      <c r="X738" s="220">
        <f>IF(T738="NTS",VLOOKUP(T738,ma_miengiam!$A$3:$B$80,2,0)*R738*V738,IF(AND(T738="NTS",V738=0),0,IF(AND(LEFT(T738,1)="K",V738=0),VLOOKUP(T738,ma_miengiam!$A$3:$B$80,2,0)*R738,IF(LEFT(T738,1)="K",(VLOOKUP(T738,ma_miengiam!$A$3:$B$80,2,0)*R738/12)*V738,IF(AND(LEFT(T738,1)="S",V738&gt;0),(R738/12)*V738,IF(AND(LEFT(T738,1)="S",V738=0),R738,IF(T738="DH",VLOOKUP(T738,ma_miengiam!$A$3:$B$80,2,0)*R738,0)))))))</f>
        <v>0</v>
      </c>
      <c r="Y738" s="220">
        <f>IF(AND(T738="DH",V738&gt;0),(S738*V738/12),IF(AND(T738&lt;&gt;"NTS",V738&gt;0),(Q738*V738/12)-W738,IF(AND(T738="NTS",V738&gt;0),Q738-W738,Q738-W738)))</f>
        <v>270</v>
      </c>
      <c r="Z738" s="220">
        <f>IF(AND(T738="SĐH",V738&gt;0),(R738/12)*V738-X738,IF(AND(T738="DH",V738&gt;0),(R738*V738/12),IF(AND(T738&lt;&gt;"NTS",V738&gt;0),(R738*V738/12)-X738,IF(AND(T738="NTS",V738&gt;0),R738-X738,R738-X738))))</f>
        <v>80</v>
      </c>
      <c r="AA738" s="220">
        <f t="shared" si="2446"/>
        <v>270</v>
      </c>
      <c r="AB738" s="220">
        <f t="shared" si="2446"/>
        <v>80</v>
      </c>
      <c r="AC738" s="220">
        <f t="shared" ref="AC738:AF740" si="2448">W738</f>
        <v>0</v>
      </c>
      <c r="AD738" s="220">
        <f t="shared" si="2448"/>
        <v>0</v>
      </c>
      <c r="AE738" s="220">
        <f t="shared" si="2448"/>
        <v>270</v>
      </c>
      <c r="AF738" s="220">
        <f t="shared" si="2448"/>
        <v>80</v>
      </c>
      <c r="AG738" s="220">
        <f>AH738+AI738</f>
        <v>0</v>
      </c>
      <c r="AH738" s="220">
        <f>EO738</f>
        <v>0</v>
      </c>
      <c r="AI738" s="220">
        <f>EN738</f>
        <v>0</v>
      </c>
      <c r="AJ738" s="220">
        <f>IF(AG738-Z738&gt;0,0,AG738-Z738)</f>
        <v>-80</v>
      </c>
      <c r="AK738" s="216">
        <f t="shared" si="2408"/>
        <v>350</v>
      </c>
      <c r="AL738" s="220">
        <f>SUM(CP738:CX738)+SUM(DC738:DK738)</f>
        <v>416.2</v>
      </c>
      <c r="AM738" s="220">
        <f>SUM(DQ738:DU738)+SUM(DY738:EC738)</f>
        <v>0</v>
      </c>
      <c r="AN738" s="216">
        <f>AM738+AL738</f>
        <v>416.2</v>
      </c>
      <c r="AO738" s="220">
        <f t="shared" ref="AO738:AQ739" si="2449">CY738+DL738</f>
        <v>0</v>
      </c>
      <c r="AP738" s="220">
        <f t="shared" si="2449"/>
        <v>0</v>
      </c>
      <c r="AQ738" s="220">
        <f t="shared" si="2449"/>
        <v>0</v>
      </c>
      <c r="AR738" s="220">
        <f>DV738+ED738</f>
        <v>0</v>
      </c>
      <c r="AS738" s="220">
        <f>DW738+EE738</f>
        <v>0</v>
      </c>
      <c r="AT738" s="216">
        <f>AN738+SUM(AO738:AS738)</f>
        <v>416.2</v>
      </c>
      <c r="AU738" s="220">
        <f t="shared" si="2439"/>
        <v>66.199999999999989</v>
      </c>
      <c r="AV738" s="220"/>
      <c r="AW738" s="220">
        <f>IF(AU738&gt;0,AU738,AV738+AU738)</f>
        <v>66.199999999999989</v>
      </c>
      <c r="AX738" s="216">
        <f t="shared" si="2431"/>
        <v>0</v>
      </c>
      <c r="AY738" s="220">
        <f t="shared" si="2440"/>
        <v>0</v>
      </c>
      <c r="AZ738" s="220">
        <f t="shared" si="2441"/>
        <v>0</v>
      </c>
      <c r="BA738" s="220">
        <f t="shared" si="2442"/>
        <v>0</v>
      </c>
      <c r="BB738" s="220">
        <f t="shared" si="2443"/>
        <v>0</v>
      </c>
      <c r="BC738" s="220">
        <f t="shared" si="2444"/>
        <v>0</v>
      </c>
      <c r="BD738" s="216">
        <f t="shared" si="2404"/>
        <v>0</v>
      </c>
      <c r="BE738" s="220">
        <f t="shared" ref="BE738:BI739" si="2450">AY738-AO738</f>
        <v>0</v>
      </c>
      <c r="BF738" s="220">
        <f t="shared" si="2450"/>
        <v>0</v>
      </c>
      <c r="BG738" s="220">
        <f t="shared" si="2450"/>
        <v>0</v>
      </c>
      <c r="BH738" s="220">
        <f t="shared" si="2450"/>
        <v>0</v>
      </c>
      <c r="BI738" s="220">
        <f t="shared" si="2450"/>
        <v>0</v>
      </c>
      <c r="BJ738" s="220" t="s">
        <v>2469</v>
      </c>
      <c r="BK738" s="220"/>
      <c r="BL738" s="223">
        <f t="shared" si="2423"/>
        <v>66.199999999999989</v>
      </c>
      <c r="BM738" s="216">
        <v>4.4000000000000004</v>
      </c>
      <c r="BN738" s="220"/>
      <c r="BO738" s="220">
        <f t="shared" si="2412"/>
        <v>4.4000000000000004</v>
      </c>
      <c r="BP738" s="220">
        <f>IF(AND(BL738&gt;0,BL738&lt;tiet!$D$1),BL738,IF(BL738&lt;=0,0,IF(BL738&gt;tiet!$C$1,tiet!$C$1)))</f>
        <v>66.199999999999989</v>
      </c>
      <c r="BQ738" s="87">
        <f>VLOOKUP(P738,ma_dinhmuc_moi,4,0)</f>
        <v>65000</v>
      </c>
      <c r="BR738" s="224">
        <f>ROUND(BQ738*BP738,0)</f>
        <v>4303000</v>
      </c>
      <c r="BS738" s="220">
        <f t="shared" si="2356"/>
        <v>0</v>
      </c>
      <c r="BT738" s="224">
        <f>VLOOKUP(N738,ma_dinhmuc!$A$1:$J$31,10,0)</f>
        <v>51000</v>
      </c>
      <c r="BU738" s="224">
        <f>ROUND(IF(BS738&gt;0,VLOOKUP(N738,ma_dinhmuc!$A$1:$J$31,10,0)*BS738,0),0)</f>
        <v>0</v>
      </c>
      <c r="BV738" s="224">
        <f>ROUND(BU738+BR738,0)</f>
        <v>4303000</v>
      </c>
      <c r="BW738" s="224"/>
      <c r="BX738" s="224">
        <v>0</v>
      </c>
      <c r="BY738" s="224"/>
      <c r="BZ738" s="224"/>
      <c r="CA738" s="224"/>
      <c r="CB738" s="224"/>
      <c r="CC738" s="225">
        <f t="shared" si="2432"/>
        <v>4303000</v>
      </c>
      <c r="CD738" s="224">
        <f t="shared" si="2433"/>
        <v>0</v>
      </c>
      <c r="CE738" s="224"/>
      <c r="CF738" s="226"/>
      <c r="CG738" s="87"/>
      <c r="CH738" s="87">
        <f t="shared" si="2405"/>
        <v>13</v>
      </c>
      <c r="CI738" s="227" t="str">
        <f t="shared" si="2415"/>
        <v>Trịnh Hùng</v>
      </c>
      <c r="CJ738" s="227" t="str">
        <f t="shared" si="2396"/>
        <v>Sơn</v>
      </c>
      <c r="CK738" s="87">
        <f t="shared" si="2430"/>
        <v>23</v>
      </c>
      <c r="CL738" s="227" t="str">
        <f t="shared" si="2407"/>
        <v>Công tác QP-AN</v>
      </c>
      <c r="CM738" s="87" t="str">
        <f>N738</f>
        <v>QS3</v>
      </c>
      <c r="CN738" s="87">
        <f t="shared" si="2424"/>
        <v>270</v>
      </c>
      <c r="CO738" s="87">
        <f t="shared" si="2425"/>
        <v>80</v>
      </c>
      <c r="CP738" s="229">
        <f t="shared" si="2376"/>
        <v>0</v>
      </c>
      <c r="CQ738" s="229">
        <f t="shared" si="2377"/>
        <v>80.5</v>
      </c>
      <c r="CR738" s="229">
        <f t="shared" si="2378"/>
        <v>32.5</v>
      </c>
      <c r="CS738" s="229">
        <f t="shared" si="2379"/>
        <v>0</v>
      </c>
      <c r="CT738" s="229">
        <f t="shared" si="2380"/>
        <v>0</v>
      </c>
      <c r="CU738" s="229">
        <f t="shared" si="2381"/>
        <v>303.2</v>
      </c>
      <c r="CV738" s="229">
        <f t="shared" si="2382"/>
        <v>0</v>
      </c>
      <c r="CW738" s="229">
        <f t="shared" si="2383"/>
        <v>0</v>
      </c>
      <c r="CX738" s="229">
        <f t="shared" si="2384"/>
        <v>0</v>
      </c>
      <c r="CY738" s="229">
        <f t="shared" si="2385"/>
        <v>0</v>
      </c>
      <c r="CZ738" s="229">
        <f t="shared" si="2386"/>
        <v>0</v>
      </c>
      <c r="DA738" s="229">
        <f t="shared" si="2387"/>
        <v>0</v>
      </c>
      <c r="DB738" s="228">
        <f>SUM(CP738:DA738)</f>
        <v>416.2</v>
      </c>
      <c r="DC738" s="229"/>
      <c r="DD738" s="229"/>
      <c r="DE738" s="229"/>
      <c r="DF738" s="229"/>
      <c r="DG738" s="229"/>
      <c r="DH738" s="229"/>
      <c r="DI738" s="229"/>
      <c r="DJ738" s="229"/>
      <c r="DK738" s="229"/>
      <c r="DL738" s="229"/>
      <c r="DM738" s="229"/>
      <c r="DN738" s="229"/>
      <c r="DO738" s="228">
        <f>SUM(DC738:DN738)</f>
        <v>0</v>
      </c>
      <c r="DP738" s="228">
        <f>DO738+DB738</f>
        <v>416.2</v>
      </c>
      <c r="DQ738" s="229">
        <f t="shared" si="2388"/>
        <v>0</v>
      </c>
      <c r="DR738" s="229">
        <f t="shared" si="2389"/>
        <v>0</v>
      </c>
      <c r="DS738" s="229">
        <f t="shared" si="2390"/>
        <v>0</v>
      </c>
      <c r="DT738" s="229">
        <f t="shared" si="2391"/>
        <v>0</v>
      </c>
      <c r="DU738" s="229">
        <f t="shared" si="2392"/>
        <v>0</v>
      </c>
      <c r="DV738" s="229">
        <f t="shared" si="2393"/>
        <v>0</v>
      </c>
      <c r="DW738" s="229">
        <f t="shared" si="2394"/>
        <v>0</v>
      </c>
      <c r="DX738" s="228">
        <f>SUM(DQ738:DW738)</f>
        <v>0</v>
      </c>
      <c r="DY738" s="229"/>
      <c r="DZ738" s="229"/>
      <c r="EA738" s="229"/>
      <c r="EB738" s="229"/>
      <c r="EC738" s="229"/>
      <c r="ED738" s="229"/>
      <c r="EE738" s="229"/>
      <c r="EF738" s="228">
        <f t="shared" si="2371"/>
        <v>0</v>
      </c>
      <c r="EG738" s="228">
        <f>EF738+DX738</f>
        <v>0</v>
      </c>
      <c r="EH738" s="229">
        <f t="shared" si="2372"/>
        <v>0</v>
      </c>
      <c r="EI738" s="229">
        <v>0</v>
      </c>
      <c r="EJ738" s="228">
        <f>SUM(EH738:EI738)</f>
        <v>0</v>
      </c>
      <c r="EK738" s="229"/>
      <c r="EL738" s="229"/>
      <c r="EM738" s="228">
        <f t="shared" si="2401"/>
        <v>0</v>
      </c>
      <c r="EN738" s="229">
        <f t="shared" si="2416"/>
        <v>0</v>
      </c>
      <c r="EO738" s="229">
        <f t="shared" si="2435"/>
        <v>0</v>
      </c>
      <c r="EP738" s="228">
        <f t="shared" si="2402"/>
        <v>0</v>
      </c>
      <c r="EQ738" s="173">
        <f t="shared" si="2358"/>
        <v>0</v>
      </c>
      <c r="ER738" s="189">
        <v>0</v>
      </c>
      <c r="ES738" s="189">
        <v>80.5</v>
      </c>
      <c r="ET738" s="189">
        <v>32.5</v>
      </c>
      <c r="EU738" s="189">
        <v>0</v>
      </c>
      <c r="EV738" s="189">
        <v>0</v>
      </c>
      <c r="EW738" s="189">
        <v>303.2</v>
      </c>
      <c r="EX738" s="189">
        <v>0</v>
      </c>
      <c r="EY738" s="189">
        <v>0</v>
      </c>
      <c r="EZ738" s="189">
        <v>0</v>
      </c>
      <c r="FA738" s="189">
        <v>0</v>
      </c>
      <c r="FB738" s="189">
        <v>0</v>
      </c>
      <c r="FC738" s="189">
        <v>0</v>
      </c>
      <c r="FD738" s="189">
        <v>0</v>
      </c>
      <c r="FE738" s="189">
        <v>0</v>
      </c>
      <c r="FF738" s="189">
        <v>0</v>
      </c>
      <c r="FG738" s="189">
        <v>0</v>
      </c>
      <c r="FH738" s="189">
        <v>0</v>
      </c>
      <c r="FI738" s="189">
        <v>0</v>
      </c>
      <c r="FJ738" s="189">
        <v>0</v>
      </c>
      <c r="FK738" s="189">
        <v>416.2</v>
      </c>
      <c r="FL738" s="189">
        <v>192</v>
      </c>
      <c r="FN738" s="132">
        <v>0</v>
      </c>
    </row>
    <row r="739" spans="1:170" ht="30" customHeight="1">
      <c r="A739" s="88">
        <f>COUNTIF($H$12:H751,H739)</f>
        <v>13</v>
      </c>
      <c r="B739" s="88" t="s">
        <v>1421</v>
      </c>
      <c r="C739" s="88" t="s">
        <v>1421</v>
      </c>
      <c r="D739" s="88"/>
      <c r="E739" s="88"/>
      <c r="F739" s="304" t="s">
        <v>2895</v>
      </c>
      <c r="G739" s="305" t="s">
        <v>1726</v>
      </c>
      <c r="H739" s="88">
        <v>23</v>
      </c>
      <c r="I739" s="88">
        <v>23</v>
      </c>
      <c r="J739" s="88">
        <v>23</v>
      </c>
      <c r="K739" s="90" t="s">
        <v>2470</v>
      </c>
      <c r="L739" s="90" t="s">
        <v>2470</v>
      </c>
      <c r="M739" s="214"/>
      <c r="N739" s="215" t="s">
        <v>1748</v>
      </c>
      <c r="O739" s="216">
        <f t="shared" si="2403"/>
        <v>4.4000000000000004</v>
      </c>
      <c r="P739" s="88" t="str">
        <f>IF(BO739&lt;3.33,"B11_3",IF(AND(BO739&gt;=3.33,BO739&lt;4.65),"B11_4",IF(AND(BO739&gt;=4.65,BO739&lt;5.42),"B11_5",IF(AND(BO739&gt;=5.42,BO739&lt;6.44),"B11_6",IF(AND(BO739&gt;=6.44,BO739&lt;=6.92),"B11_7","B11_8")))))</f>
        <v>B11_4</v>
      </c>
      <c r="Q739" s="88">
        <f>IF(M739&gt;0,VLOOKUP(P739,ma_dinhmuc_moi,2,0)/2,VLOOKUP(P739,ma_dinhmuc_moi,2,0))</f>
        <v>270</v>
      </c>
      <c r="R739" s="88">
        <f>IF(M739&gt;0,VLOOKUP(P739,ma_dinhmuc_moi,3,0)/2,VLOOKUP(P739,ma_dinhmuc_moi,3,0))</f>
        <v>80</v>
      </c>
      <c r="S739" s="218" t="s">
        <v>2659</v>
      </c>
      <c r="T739" s="215" t="s">
        <v>3088</v>
      </c>
      <c r="U739" s="88">
        <f>IF(RIGHT(T739,1)="K",(VLOOKUP(T739,ma_miengiam!$A$3:$B$80,2,0)*100)/2,VLOOKUP(T739,ma_miengiam!$A$3:$B$80,2,0)*100)</f>
        <v>0</v>
      </c>
      <c r="V739" s="88"/>
      <c r="W739" s="220">
        <f>IF(AND(T739="NTS",V739&gt;0),(Q739-(Q739*V739)/12)*VLOOKUP(T739,ma_miengiam!$A$3:$B$80,2,0)+(Q739-(Q739*(12-V739))/12),IF(AND(RIGHT(T739,1)="K",V739&gt;0),(VLOOKUP(T739,ma_miengiam!$A$3:$B$80,2,0)/2)*(Q739*V739)/12,IF(RIGHT(T739,1)="K",(VLOOKUP(T739,ma_miengiam!$A$3:$B$80,2,0)*Q739)/2,IF(V739&gt;0,VLOOKUP(T739,ma_miengiam!$A$3:$B$80,2,0)*Q739*V739/12,VLOOKUP(T739,ma_miengiam!$A$3:$B$80,2,0)*Q739))))</f>
        <v>0</v>
      </c>
      <c r="X739" s="220">
        <f>IF(T739="NTS",VLOOKUP(T739,ma_miengiam!$A$3:$B$80,2,0)*R739*V739,IF(AND(T739="NTS",V739=0),0,IF(AND(LEFT(T739,1)="K",V739=0),VLOOKUP(T739,ma_miengiam!$A$3:$B$80,2,0)*R739,IF(LEFT(T739,1)="K",(VLOOKUP(T739,ma_miengiam!$A$3:$B$80,2,0)*R739/12)*V739,IF(AND(LEFT(T739,1)="S",V739&gt;0),(R739/12)*V739,IF(AND(LEFT(T739,1)="S",V739=0),R739,IF(T739="DH",VLOOKUP(T739,ma_miengiam!$A$3:$B$80,2,0)*R739,0)))))))</f>
        <v>0</v>
      </c>
      <c r="Y739" s="220">
        <f>IF(AND(T739="DH",V739&gt;0),(S739*V739/12),IF(AND(T739&lt;&gt;"NTS",V739&gt;0),(Q739*V739/12)-W739,IF(AND(T739="NTS",V739&gt;0),Q739-W739,Q739-W739)))</f>
        <v>270</v>
      </c>
      <c r="Z739" s="220">
        <f>IF(AND(T739="SĐH",V739&gt;0),(R739/12)*V739-X739,IF(AND(T739="DH",V739&gt;0),(R739*V739/12),IF(AND(T739&lt;&gt;"NTS",V739&gt;0),(R739*V739/12)-X739,IF(AND(T739="NTS",V739&gt;0),R739-X739,R739-X739))))</f>
        <v>80</v>
      </c>
      <c r="AA739" s="220">
        <f>Q739</f>
        <v>270</v>
      </c>
      <c r="AB739" s="220">
        <f>R739</f>
        <v>80</v>
      </c>
      <c r="AC739" s="220">
        <f>W739</f>
        <v>0</v>
      </c>
      <c r="AD739" s="220">
        <f>X739</f>
        <v>0</v>
      </c>
      <c r="AE739" s="220">
        <f>Y739</f>
        <v>270</v>
      </c>
      <c r="AF739" s="220">
        <f>Z739</f>
        <v>80</v>
      </c>
      <c r="AG739" s="220">
        <f>AH739+AI739</f>
        <v>0</v>
      </c>
      <c r="AH739" s="220">
        <f>EO739</f>
        <v>0</v>
      </c>
      <c r="AI739" s="220">
        <f>EN739</f>
        <v>0</v>
      </c>
      <c r="AJ739" s="220">
        <f>IF(AG739-Z739&gt;0,0,AG739-Z739)</f>
        <v>-80</v>
      </c>
      <c r="AK739" s="216">
        <f>IF(AJ739&gt;=0,Y739,Y739-AJ739)</f>
        <v>350</v>
      </c>
      <c r="AL739" s="220">
        <f>SUM(CP739:CX739)+SUM(DC739:DK739)</f>
        <v>363.79999999999995</v>
      </c>
      <c r="AM739" s="220">
        <f>SUM(DQ739:DU739)+SUM(DY739:EC739)</f>
        <v>0</v>
      </c>
      <c r="AN739" s="216">
        <f>AM739+AL739</f>
        <v>363.79999999999995</v>
      </c>
      <c r="AO739" s="220">
        <f t="shared" si="2449"/>
        <v>0</v>
      </c>
      <c r="AP739" s="220">
        <f t="shared" si="2449"/>
        <v>0</v>
      </c>
      <c r="AQ739" s="220">
        <f t="shared" si="2449"/>
        <v>0</v>
      </c>
      <c r="AR739" s="220">
        <f>DV739+ED739</f>
        <v>0</v>
      </c>
      <c r="AS739" s="220">
        <f>DW739+EE739</f>
        <v>0</v>
      </c>
      <c r="AT739" s="216">
        <f>AN739+SUM(AO739:AS739)</f>
        <v>363.79999999999995</v>
      </c>
      <c r="AU739" s="220">
        <f t="shared" si="2439"/>
        <v>13.799999999999955</v>
      </c>
      <c r="AV739" s="220"/>
      <c r="AW739" s="220">
        <f>IF(AU739&gt;0,AU739,AV739+AU739)</f>
        <v>13.799999999999955</v>
      </c>
      <c r="AX739" s="216">
        <f>IF(AN739&gt;AK739,0,IF(AW739&lt;0,AN739-AK739+AV739,IF(AW739&gt;=0,0)))</f>
        <v>0</v>
      </c>
      <c r="AY739" s="220">
        <f t="shared" si="2440"/>
        <v>0</v>
      </c>
      <c r="AZ739" s="220">
        <f t="shared" si="2441"/>
        <v>0</v>
      </c>
      <c r="BA739" s="220">
        <f t="shared" si="2442"/>
        <v>0</v>
      </c>
      <c r="BB739" s="220">
        <f t="shared" si="2443"/>
        <v>0</v>
      </c>
      <c r="BC739" s="220">
        <f t="shared" si="2444"/>
        <v>0</v>
      </c>
      <c r="BD739" s="216">
        <f>SUM(AY739:BC739)</f>
        <v>0</v>
      </c>
      <c r="BE739" s="220">
        <f t="shared" si="2450"/>
        <v>0</v>
      </c>
      <c r="BF739" s="220">
        <f t="shared" si="2450"/>
        <v>0</v>
      </c>
      <c r="BG739" s="220">
        <f t="shared" si="2450"/>
        <v>0</v>
      </c>
      <c r="BH739" s="220">
        <f t="shared" si="2450"/>
        <v>0</v>
      </c>
      <c r="BI739" s="220">
        <f t="shared" si="2450"/>
        <v>0</v>
      </c>
      <c r="BJ739" s="220" t="s">
        <v>2469</v>
      </c>
      <c r="BK739" s="220"/>
      <c r="BL739" s="223">
        <f>IF(AW739&lt;BK739,0,IF(AND(BK739=0,AW739&gt;0),AW739,IF(AW739&lt;0,0,IF(BK739&gt;0,AW739-BK739,IF(BK739&lt;0,0,AW739)))))</f>
        <v>13.799999999999955</v>
      </c>
      <c r="BM739" s="216">
        <v>4.4000000000000004</v>
      </c>
      <c r="BN739" s="220"/>
      <c r="BO739" s="220">
        <f t="shared" si="2412"/>
        <v>4.4000000000000004</v>
      </c>
      <c r="BP739" s="220">
        <f>IF(AND(BL739&gt;0,BL739&lt;tiet!$D$1),BL739,IF(BL739&lt;=0,0,IF(BL739&gt;tiet!$C$1,tiet!$C$1)))</f>
        <v>13.799999999999955</v>
      </c>
      <c r="BQ739" s="87">
        <f>VLOOKUP(P739,ma_dinhmuc_moi,4,0)</f>
        <v>65000</v>
      </c>
      <c r="BR739" s="224">
        <f>ROUND(BQ739*BP739,0)</f>
        <v>897000</v>
      </c>
      <c r="BS739" s="220">
        <f t="shared" si="2356"/>
        <v>0</v>
      </c>
      <c r="BT739" s="224">
        <f>VLOOKUP(N739,ma_dinhmuc!$A$1:$J$31,10,0)</f>
        <v>51000</v>
      </c>
      <c r="BU739" s="224">
        <f>ROUND(IF(BS739&gt;0,VLOOKUP(N739,ma_dinhmuc!$A$1:$J$31,10,0)*BS739,0),0)</f>
        <v>0</v>
      </c>
      <c r="BV739" s="224">
        <f>ROUND(BU739+BR739,0)</f>
        <v>897000</v>
      </c>
      <c r="BW739" s="224"/>
      <c r="BX739" s="224">
        <v>0</v>
      </c>
      <c r="BY739" s="224"/>
      <c r="BZ739" s="224"/>
      <c r="CA739" s="224"/>
      <c r="CB739" s="224"/>
      <c r="CC739" s="225">
        <f t="shared" si="2432"/>
        <v>897000</v>
      </c>
      <c r="CD739" s="224">
        <f t="shared" si="2433"/>
        <v>0</v>
      </c>
      <c r="CE739" s="224"/>
      <c r="CF739" s="226"/>
      <c r="CG739" s="87"/>
      <c r="CH739" s="87">
        <f t="shared" si="2405"/>
        <v>13</v>
      </c>
      <c r="CI739" s="227" t="str">
        <f>F739</f>
        <v>Nguyễn Văn</v>
      </c>
      <c r="CJ739" s="227" t="str">
        <f>G739</f>
        <v>Chung</v>
      </c>
      <c r="CK739" s="87">
        <f>H739</f>
        <v>23</v>
      </c>
      <c r="CL739" s="227" t="str">
        <f t="shared" si="2407"/>
        <v>Công tác QP-AN</v>
      </c>
      <c r="CM739" s="87" t="str">
        <f>N739</f>
        <v>QS3</v>
      </c>
      <c r="CN739" s="87">
        <f t="shared" si="2424"/>
        <v>270</v>
      </c>
      <c r="CO739" s="87">
        <f t="shared" si="2425"/>
        <v>80</v>
      </c>
      <c r="CP739" s="229">
        <f t="shared" si="2376"/>
        <v>0</v>
      </c>
      <c r="CQ739" s="229">
        <f t="shared" si="2377"/>
        <v>51.9</v>
      </c>
      <c r="CR739" s="229">
        <f t="shared" si="2378"/>
        <v>21</v>
      </c>
      <c r="CS739" s="229">
        <f t="shared" si="2379"/>
        <v>0</v>
      </c>
      <c r="CT739" s="229">
        <f t="shared" si="2380"/>
        <v>0</v>
      </c>
      <c r="CU739" s="229">
        <f t="shared" si="2381"/>
        <v>290.89999999999998</v>
      </c>
      <c r="CV739" s="229">
        <f t="shared" si="2382"/>
        <v>0</v>
      </c>
      <c r="CW739" s="229">
        <f t="shared" si="2383"/>
        <v>0</v>
      </c>
      <c r="CX739" s="229">
        <f t="shared" si="2384"/>
        <v>0</v>
      </c>
      <c r="CY739" s="229">
        <f t="shared" si="2385"/>
        <v>0</v>
      </c>
      <c r="CZ739" s="229">
        <f t="shared" si="2386"/>
        <v>0</v>
      </c>
      <c r="DA739" s="229">
        <f t="shared" si="2387"/>
        <v>0</v>
      </c>
      <c r="DB739" s="228">
        <f>SUM(CP739:DA739)</f>
        <v>363.79999999999995</v>
      </c>
      <c r="DC739" s="229"/>
      <c r="DD739" s="229"/>
      <c r="DE739" s="229"/>
      <c r="DF739" s="229"/>
      <c r="DG739" s="229"/>
      <c r="DH739" s="229"/>
      <c r="DI739" s="229"/>
      <c r="DJ739" s="229"/>
      <c r="DK739" s="229"/>
      <c r="DL739" s="229"/>
      <c r="DM739" s="229"/>
      <c r="DN739" s="229"/>
      <c r="DO739" s="228">
        <f>SUM(DC739:DN739)</f>
        <v>0</v>
      </c>
      <c r="DP739" s="228">
        <f>DO739+DB739</f>
        <v>363.79999999999995</v>
      </c>
      <c r="DQ739" s="229">
        <f t="shared" si="2388"/>
        <v>0</v>
      </c>
      <c r="DR739" s="229">
        <f t="shared" si="2389"/>
        <v>0</v>
      </c>
      <c r="DS739" s="229">
        <f t="shared" si="2390"/>
        <v>0</v>
      </c>
      <c r="DT739" s="229">
        <f t="shared" si="2391"/>
        <v>0</v>
      </c>
      <c r="DU739" s="229">
        <f t="shared" si="2392"/>
        <v>0</v>
      </c>
      <c r="DV739" s="229">
        <f t="shared" si="2393"/>
        <v>0</v>
      </c>
      <c r="DW739" s="229">
        <f t="shared" si="2394"/>
        <v>0</v>
      </c>
      <c r="DX739" s="228">
        <f>SUM(DQ739:DW739)</f>
        <v>0</v>
      </c>
      <c r="DY739" s="229"/>
      <c r="DZ739" s="229"/>
      <c r="EA739" s="229"/>
      <c r="EB739" s="229"/>
      <c r="EC739" s="229"/>
      <c r="ED739" s="229"/>
      <c r="EE739" s="229"/>
      <c r="EF739" s="228">
        <f t="shared" si="2371"/>
        <v>0</v>
      </c>
      <c r="EG739" s="228">
        <f>EF739+DX739</f>
        <v>0</v>
      </c>
      <c r="EH739" s="229">
        <f t="shared" si="2372"/>
        <v>0</v>
      </c>
      <c r="EI739" s="229">
        <v>0</v>
      </c>
      <c r="EJ739" s="228">
        <f>SUM(EH739:EI739)</f>
        <v>0</v>
      </c>
      <c r="EK739" s="229"/>
      <c r="EL739" s="229"/>
      <c r="EM739" s="228">
        <f t="shared" si="2401"/>
        <v>0</v>
      </c>
      <c r="EN739" s="229">
        <f t="shared" si="2416"/>
        <v>0</v>
      </c>
      <c r="EO739" s="229">
        <f t="shared" si="2435"/>
        <v>0</v>
      </c>
      <c r="EP739" s="228">
        <f>EM739+EJ739</f>
        <v>0</v>
      </c>
      <c r="EQ739" s="173">
        <f t="shared" si="2358"/>
        <v>0</v>
      </c>
      <c r="ER739" s="189">
        <v>0</v>
      </c>
      <c r="ES739" s="189">
        <v>51.9</v>
      </c>
      <c r="ET739" s="189">
        <v>21</v>
      </c>
      <c r="EU739" s="189">
        <v>0</v>
      </c>
      <c r="EV739" s="189">
        <v>0</v>
      </c>
      <c r="EW739" s="189">
        <v>290.89999999999998</v>
      </c>
      <c r="EX739" s="189">
        <v>0</v>
      </c>
      <c r="EY739" s="189">
        <v>0</v>
      </c>
      <c r="EZ739" s="189">
        <v>0</v>
      </c>
      <c r="FA739" s="189">
        <v>0</v>
      </c>
      <c r="FB739" s="189">
        <v>0</v>
      </c>
      <c r="FC739" s="189">
        <v>0</v>
      </c>
      <c r="FD739" s="189">
        <v>0</v>
      </c>
      <c r="FE739" s="189">
        <v>0</v>
      </c>
      <c r="FF739" s="189">
        <v>0</v>
      </c>
      <c r="FG739" s="189">
        <v>0</v>
      </c>
      <c r="FH739" s="189">
        <v>0</v>
      </c>
      <c r="FI739" s="189">
        <v>0</v>
      </c>
      <c r="FJ739" s="189">
        <v>0</v>
      </c>
      <c r="FK739" s="189">
        <v>363.8</v>
      </c>
      <c r="FL739" s="189">
        <v>188</v>
      </c>
      <c r="FN739" s="132">
        <v>0</v>
      </c>
    </row>
    <row r="740" spans="1:170" ht="30.75" customHeight="1">
      <c r="A740" s="88">
        <f>COUNTIF($H$12:H740,H740)</f>
        <v>1</v>
      </c>
      <c r="B740" s="88" t="s">
        <v>50</v>
      </c>
      <c r="C740" s="88" t="s">
        <v>3121</v>
      </c>
      <c r="D740" s="88"/>
      <c r="E740" s="88"/>
      <c r="F740" s="304" t="s">
        <v>1502</v>
      </c>
      <c r="G740" s="305" t="s">
        <v>2819</v>
      </c>
      <c r="H740" s="88">
        <v>51</v>
      </c>
      <c r="I740" s="88">
        <v>51</v>
      </c>
      <c r="J740" s="88">
        <v>51</v>
      </c>
      <c r="K740" s="90" t="s">
        <v>3119</v>
      </c>
      <c r="L740" s="90" t="s">
        <v>3119</v>
      </c>
      <c r="M740" s="214"/>
      <c r="N740" s="88" t="s">
        <v>1940</v>
      </c>
      <c r="O740" s="216">
        <f t="shared" si="2403"/>
        <v>2.67</v>
      </c>
      <c r="P740" s="88" t="str">
        <f>IF(BO740&lt;3.33,"B3_3",IF(AND(BO740&gt;=3.33,BO740&lt;4.65),"B3_4",IF(AND(BO740&gt;=4.65,BO740&lt;5.42),"B3_5",IF(AND(BO740&gt;=5.42,BO740&lt;6.44),"B3_6",IF(AND(BO740&gt;=6.44,BO740&lt;=6.92),"B3_7","B3_8")))))</f>
        <v>B3_3</v>
      </c>
      <c r="Q740" s="88">
        <f t="shared" si="2323"/>
        <v>270</v>
      </c>
      <c r="R740" s="88">
        <f t="shared" si="2324"/>
        <v>60</v>
      </c>
      <c r="S740" s="218"/>
      <c r="T740" s="215" t="s">
        <v>3088</v>
      </c>
      <c r="U740" s="88">
        <f>IF(RIGHT(T740,1)="K",(VLOOKUP(T740,ma_miengiam!$A$3:$B$80,2,0)*100)/2,VLOOKUP(T740,ma_miengiam!$A$3:$B$80,2,0)*100)</f>
        <v>0</v>
      </c>
      <c r="V740" s="88"/>
      <c r="W740" s="220">
        <f>IF(AND(T740="NTS",V740&gt;0),(Q740-(Q740*V740)/12)*VLOOKUP(T740,ma_miengiam!$A$3:$B$80,2,0)+(Q740-(Q740*(12-V740))/12),IF(AND(RIGHT(T740,1)="K",V740&gt;0),(VLOOKUP(T740,ma_miengiam!$A$3:$B$80,2,0)/2)*(Q740*V740)/12,IF(RIGHT(T740,1)="K",(VLOOKUP(T740,ma_miengiam!$A$3:$B$80,2,0)*Q740)/2,IF(V740&gt;0,VLOOKUP(T740,ma_miengiam!$A$3:$B$80,2,0)*Q740*V740/12,VLOOKUP(T740,ma_miengiam!$A$3:$B$80,2,0)*Q740))))</f>
        <v>0</v>
      </c>
      <c r="X740" s="220">
        <f>IF(T740="NTS",VLOOKUP(T740,ma_miengiam!$A$3:$B$80,2,0)*R740*V740,IF(AND(T740="NTS",V740=0),0,IF(AND(LEFT(T740,1)="K",V740=0),VLOOKUP(T740,ma_miengiam!$A$3:$B$80,2,0)*R740,IF(LEFT(T740,1)="K",(VLOOKUP(T740,ma_miengiam!$A$3:$B$80,2,0)*R740/12)*V740,IF(AND(LEFT(T740,1)="S",V740&gt;0),(R740/12)*V740,IF(AND(LEFT(T740,1)="S",V740=0),R740,IF(T740="DH",VLOOKUP(T740,ma_miengiam!$A$3:$B$80,2,0)*R740,0)))))))</f>
        <v>0</v>
      </c>
      <c r="Y740" s="220">
        <f t="shared" si="2349"/>
        <v>270</v>
      </c>
      <c r="Z740" s="220">
        <f t="shared" si="2258"/>
        <v>60</v>
      </c>
      <c r="AA740" s="220">
        <f t="shared" si="2446"/>
        <v>270</v>
      </c>
      <c r="AB740" s="220">
        <f t="shared" si="2446"/>
        <v>60</v>
      </c>
      <c r="AC740" s="220">
        <f t="shared" si="2448"/>
        <v>0</v>
      </c>
      <c r="AD740" s="220">
        <f t="shared" si="2448"/>
        <v>0</v>
      </c>
      <c r="AE740" s="220">
        <f t="shared" si="2448"/>
        <v>270</v>
      </c>
      <c r="AF740" s="220">
        <f t="shared" si="2448"/>
        <v>60</v>
      </c>
      <c r="AG740" s="220">
        <f>AH740+AI740</f>
        <v>0</v>
      </c>
      <c r="AH740" s="220">
        <f>EO740</f>
        <v>0</v>
      </c>
      <c r="AI740" s="220">
        <f>EN740</f>
        <v>0</v>
      </c>
      <c r="AJ740" s="220">
        <f>IF(AG740-Z740&gt;0,0,AG740-Z740)</f>
        <v>-60</v>
      </c>
      <c r="AK740" s="216">
        <f t="shared" si="2408"/>
        <v>330</v>
      </c>
      <c r="AL740" s="220">
        <f t="shared" si="2238"/>
        <v>0</v>
      </c>
      <c r="AM740" s="220">
        <f t="shared" si="2239"/>
        <v>0</v>
      </c>
      <c r="AN740" s="216">
        <f t="shared" si="2240"/>
        <v>0</v>
      </c>
      <c r="AO740" s="220">
        <f t="shared" si="2241"/>
        <v>0</v>
      </c>
      <c r="AP740" s="220">
        <f t="shared" si="2242"/>
        <v>0</v>
      </c>
      <c r="AQ740" s="220">
        <f t="shared" si="2243"/>
        <v>0</v>
      </c>
      <c r="AR740" s="220">
        <f t="shared" si="2244"/>
        <v>0</v>
      </c>
      <c r="AS740" s="220">
        <f t="shared" si="2245"/>
        <v>0</v>
      </c>
      <c r="AT740" s="216">
        <f t="shared" si="2246"/>
        <v>0</v>
      </c>
      <c r="AU740" s="220">
        <f t="shared" si="2320"/>
        <v>-330</v>
      </c>
      <c r="AV740" s="220"/>
      <c r="AW740" s="220">
        <f>IF(AU740&gt;0,AU740,AV740+AU740)</f>
        <v>-330</v>
      </c>
      <c r="AX740" s="216">
        <f t="shared" si="2431"/>
        <v>-330</v>
      </c>
      <c r="AY740" s="220">
        <f t="shared" si="2362"/>
        <v>0</v>
      </c>
      <c r="AZ740" s="220">
        <f t="shared" si="2363"/>
        <v>0</v>
      </c>
      <c r="BA740" s="220">
        <f t="shared" si="2364"/>
        <v>0</v>
      </c>
      <c r="BB740" s="220">
        <f t="shared" si="2365"/>
        <v>0</v>
      </c>
      <c r="BC740" s="220">
        <f t="shared" si="2366"/>
        <v>0</v>
      </c>
      <c r="BD740" s="216">
        <f t="shared" si="2404"/>
        <v>0</v>
      </c>
      <c r="BE740" s="220">
        <f t="shared" si="2351"/>
        <v>0</v>
      </c>
      <c r="BF740" s="220">
        <f t="shared" si="2352"/>
        <v>0</v>
      </c>
      <c r="BG740" s="220">
        <f t="shared" si="2353"/>
        <v>0</v>
      </c>
      <c r="BH740" s="220">
        <f t="shared" si="2354"/>
        <v>0</v>
      </c>
      <c r="BI740" s="220">
        <f t="shared" si="2355"/>
        <v>0</v>
      </c>
      <c r="BJ740" s="220" t="s">
        <v>3120</v>
      </c>
      <c r="BK740" s="220"/>
      <c r="BL740" s="223">
        <f t="shared" si="2423"/>
        <v>0</v>
      </c>
      <c r="BM740" s="216">
        <v>2.67</v>
      </c>
      <c r="BN740" s="220"/>
      <c r="BO740" s="220">
        <f t="shared" si="2412"/>
        <v>2.67</v>
      </c>
      <c r="BP740" s="220">
        <f>IF(AND(BL740&gt;0,BL740&lt;tiet!$D$1),BL740,IF(BL740&lt;=0,0,IF(BL740&gt;tiet!$C$1,tiet!$C$1)))</f>
        <v>0</v>
      </c>
      <c r="BQ740" s="87">
        <f t="shared" si="2335"/>
        <v>50000</v>
      </c>
      <c r="BR740" s="224">
        <f t="shared" si="2336"/>
        <v>0</v>
      </c>
      <c r="BS740" s="220">
        <f t="shared" si="2356"/>
        <v>0</v>
      </c>
      <c r="BT740" s="224">
        <f>VLOOKUP(N740,ma_dinhmuc!$A$1:$J$31,10,0)</f>
        <v>55000</v>
      </c>
      <c r="BU740" s="224">
        <f>ROUND(IF(BS740&gt;0,VLOOKUP(N740,ma_dinhmuc!$A$1:$J$31,10,0)*BS740,0),0)</f>
        <v>0</v>
      </c>
      <c r="BV740" s="224">
        <f t="shared" si="2337"/>
        <v>0</v>
      </c>
      <c r="BW740" s="224"/>
      <c r="BX740" s="224">
        <v>0</v>
      </c>
      <c r="BY740" s="224"/>
      <c r="BZ740" s="224"/>
      <c r="CA740" s="224"/>
      <c r="CB740" s="224"/>
      <c r="CC740" s="225">
        <f t="shared" si="2338"/>
        <v>0</v>
      </c>
      <c r="CD740" s="224">
        <f t="shared" si="2339"/>
        <v>0</v>
      </c>
      <c r="CE740" s="224"/>
      <c r="CF740" s="226"/>
      <c r="CG740" s="87"/>
      <c r="CH740" s="87">
        <f t="shared" si="2405"/>
        <v>1</v>
      </c>
      <c r="CI740" s="227" t="str">
        <f t="shared" si="2415"/>
        <v>Nguyễn Thu</v>
      </c>
      <c r="CJ740" s="227" t="str">
        <f t="shared" si="2396"/>
        <v>Thủy</v>
      </c>
      <c r="CK740" s="87">
        <f t="shared" si="2430"/>
        <v>51</v>
      </c>
      <c r="CL740" s="227" t="str">
        <f t="shared" si="2407"/>
        <v>Dạy - Rèn nghề</v>
      </c>
      <c r="CM740" s="87" t="str">
        <f t="shared" si="2357"/>
        <v>HD3</v>
      </c>
      <c r="CN740" s="87">
        <f t="shared" si="2424"/>
        <v>270</v>
      </c>
      <c r="CO740" s="87">
        <f t="shared" si="2425"/>
        <v>60</v>
      </c>
      <c r="CP740" s="229">
        <f t="shared" si="2376"/>
        <v>0</v>
      </c>
      <c r="CQ740" s="229">
        <f t="shared" si="2377"/>
        <v>0</v>
      </c>
      <c r="CR740" s="229">
        <f t="shared" si="2378"/>
        <v>0</v>
      </c>
      <c r="CS740" s="229">
        <f t="shared" si="2379"/>
        <v>0</v>
      </c>
      <c r="CT740" s="229">
        <f t="shared" si="2380"/>
        <v>0</v>
      </c>
      <c r="CU740" s="229">
        <f t="shared" si="2381"/>
        <v>0</v>
      </c>
      <c r="CV740" s="229">
        <f t="shared" si="2382"/>
        <v>0</v>
      </c>
      <c r="CW740" s="229">
        <f t="shared" si="2383"/>
        <v>0</v>
      </c>
      <c r="CX740" s="229">
        <f t="shared" si="2384"/>
        <v>0</v>
      </c>
      <c r="CY740" s="229">
        <f t="shared" si="2385"/>
        <v>0</v>
      </c>
      <c r="CZ740" s="229">
        <f t="shared" si="2386"/>
        <v>0</v>
      </c>
      <c r="DA740" s="229">
        <f t="shared" si="2387"/>
        <v>0</v>
      </c>
      <c r="DB740" s="228">
        <f t="shared" si="2235"/>
        <v>0</v>
      </c>
      <c r="DC740" s="229"/>
      <c r="DD740" s="229"/>
      <c r="DE740" s="229"/>
      <c r="DF740" s="229"/>
      <c r="DG740" s="229"/>
      <c r="DH740" s="229"/>
      <c r="DI740" s="229"/>
      <c r="DJ740" s="229"/>
      <c r="DK740" s="229"/>
      <c r="DL740" s="229"/>
      <c r="DM740" s="229"/>
      <c r="DN740" s="229"/>
      <c r="DO740" s="228">
        <f t="shared" si="2247"/>
        <v>0</v>
      </c>
      <c r="DP740" s="228">
        <f t="shared" si="2248"/>
        <v>0</v>
      </c>
      <c r="DQ740" s="229">
        <f t="shared" si="2388"/>
        <v>0</v>
      </c>
      <c r="DR740" s="229">
        <f t="shared" si="2389"/>
        <v>0</v>
      </c>
      <c r="DS740" s="229">
        <f t="shared" si="2390"/>
        <v>0</v>
      </c>
      <c r="DT740" s="229">
        <f t="shared" si="2391"/>
        <v>0</v>
      </c>
      <c r="DU740" s="229">
        <f t="shared" si="2392"/>
        <v>0</v>
      </c>
      <c r="DV740" s="229">
        <f t="shared" si="2393"/>
        <v>0</v>
      </c>
      <c r="DW740" s="229">
        <f t="shared" si="2394"/>
        <v>0</v>
      </c>
      <c r="DX740" s="228">
        <f t="shared" si="2236"/>
        <v>0</v>
      </c>
      <c r="DY740" s="229"/>
      <c r="DZ740" s="229"/>
      <c r="EA740" s="229"/>
      <c r="EB740" s="229"/>
      <c r="EC740" s="229"/>
      <c r="ED740" s="229"/>
      <c r="EE740" s="229"/>
      <c r="EF740" s="228">
        <f t="shared" si="2371"/>
        <v>0</v>
      </c>
      <c r="EG740" s="228">
        <f t="shared" si="2249"/>
        <v>0</v>
      </c>
      <c r="EH740" s="229">
        <f>FN740</f>
        <v>0</v>
      </c>
      <c r="EI740" s="229">
        <v>0</v>
      </c>
      <c r="EJ740" s="228">
        <f t="shared" si="2400"/>
        <v>0</v>
      </c>
      <c r="EK740" s="229"/>
      <c r="EL740" s="229"/>
      <c r="EM740" s="228">
        <f t="shared" si="2401"/>
        <v>0</v>
      </c>
      <c r="EN740" s="229">
        <f t="shared" si="2416"/>
        <v>0</v>
      </c>
      <c r="EO740" s="229">
        <f t="shared" si="2321"/>
        <v>0</v>
      </c>
      <c r="EP740" s="228">
        <f t="shared" si="2402"/>
        <v>0</v>
      </c>
      <c r="EQ740" s="173">
        <f t="shared" si="2358"/>
        <v>0</v>
      </c>
      <c r="ER740" s="189">
        <v>0</v>
      </c>
      <c r="ES740" s="189">
        <v>0</v>
      </c>
      <c r="ET740" s="189">
        <v>0</v>
      </c>
      <c r="EU740" s="189">
        <v>0</v>
      </c>
      <c r="EV740" s="189">
        <v>0</v>
      </c>
      <c r="EW740" s="189">
        <v>0</v>
      </c>
      <c r="EX740" s="189">
        <v>0</v>
      </c>
      <c r="EY740" s="189">
        <v>0</v>
      </c>
      <c r="EZ740" s="189">
        <v>0</v>
      </c>
      <c r="FA740" s="189">
        <v>0</v>
      </c>
      <c r="FB740" s="189">
        <v>0</v>
      </c>
      <c r="FC740" s="189">
        <v>0</v>
      </c>
      <c r="FD740" s="189">
        <v>0</v>
      </c>
      <c r="FE740" s="189">
        <v>0</v>
      </c>
      <c r="FF740" s="189">
        <v>0</v>
      </c>
      <c r="FG740" s="189">
        <v>0</v>
      </c>
      <c r="FH740" s="189">
        <v>0</v>
      </c>
      <c r="FI740" s="189">
        <v>0</v>
      </c>
      <c r="FJ740" s="189">
        <v>0</v>
      </c>
      <c r="FK740" s="189">
        <v>0</v>
      </c>
      <c r="FL740" s="189">
        <v>0</v>
      </c>
      <c r="FN740" s="132">
        <v>0</v>
      </c>
    </row>
    <row r="741" spans="1:170" ht="27" customHeight="1">
      <c r="A741" s="88"/>
      <c r="B741" s="88"/>
      <c r="C741" s="88"/>
      <c r="D741" s="88"/>
      <c r="E741" s="88"/>
      <c r="F741" s="306"/>
      <c r="G741" s="307"/>
      <c r="H741" s="88"/>
      <c r="I741" s="88"/>
      <c r="J741" s="88"/>
      <c r="K741" s="88"/>
      <c r="L741" s="279"/>
      <c r="M741" s="214"/>
      <c r="N741" s="215"/>
      <c r="O741" s="217"/>
      <c r="P741" s="215"/>
      <c r="Q741" s="88"/>
      <c r="R741" s="88"/>
      <c r="S741" s="233"/>
      <c r="T741" s="215"/>
      <c r="U741" s="88"/>
      <c r="V741" s="88"/>
      <c r="W741" s="220"/>
      <c r="X741" s="220"/>
      <c r="Y741" s="220"/>
      <c r="Z741" s="220"/>
      <c r="AA741" s="220"/>
      <c r="AB741" s="220"/>
      <c r="AC741" s="220"/>
      <c r="AD741" s="220"/>
      <c r="AE741" s="220"/>
      <c r="AF741" s="220"/>
      <c r="AG741" s="220"/>
      <c r="AH741" s="220"/>
      <c r="AI741" s="216"/>
      <c r="AJ741" s="220"/>
      <c r="AK741" s="216"/>
      <c r="AL741" s="220"/>
      <c r="AM741" s="220"/>
      <c r="AN741" s="221"/>
      <c r="AO741" s="220"/>
      <c r="AP741" s="220"/>
      <c r="AQ741" s="220"/>
      <c r="AR741" s="220"/>
      <c r="AS741" s="220"/>
      <c r="AT741" s="216"/>
      <c r="AU741" s="222"/>
      <c r="AV741" s="220"/>
      <c r="AW741" s="220"/>
      <c r="AX741" s="216"/>
      <c r="AY741" s="220"/>
      <c r="AZ741" s="220"/>
      <c r="BA741" s="220"/>
      <c r="BB741" s="220"/>
      <c r="BC741" s="220"/>
      <c r="BD741" s="216"/>
      <c r="BE741" s="220"/>
      <c r="BF741" s="220"/>
      <c r="BG741" s="220"/>
      <c r="BH741" s="220"/>
      <c r="BI741" s="220"/>
      <c r="BJ741" s="220"/>
      <c r="BK741" s="220"/>
      <c r="BL741" s="220"/>
      <c r="BM741" s="220"/>
      <c r="BN741" s="220"/>
      <c r="BO741" s="220"/>
      <c r="BP741" s="220"/>
      <c r="BQ741" s="220"/>
      <c r="BR741" s="280"/>
      <c r="BS741" s="220"/>
      <c r="BT741" s="220"/>
      <c r="BU741" s="280"/>
      <c r="BV741" s="280"/>
      <c r="BW741" s="280"/>
      <c r="BX741" s="280"/>
      <c r="BY741" s="224"/>
      <c r="BZ741" s="224"/>
      <c r="CA741" s="224"/>
      <c r="CB741" s="224"/>
      <c r="CC741" s="224"/>
      <c r="CD741" s="224"/>
      <c r="CE741" s="224"/>
      <c r="CF741" s="226"/>
      <c r="CG741" s="87"/>
      <c r="CH741" s="87"/>
      <c r="CI741" s="227"/>
      <c r="CJ741" s="227"/>
      <c r="CK741" s="87"/>
      <c r="CL741" s="227"/>
      <c r="CM741" s="87"/>
      <c r="CN741" s="87"/>
      <c r="CO741" s="87"/>
      <c r="CP741" s="229"/>
      <c r="CQ741" s="229"/>
      <c r="CR741" s="229"/>
      <c r="CS741" s="229"/>
      <c r="CT741" s="229"/>
      <c r="CU741" s="229"/>
      <c r="CV741" s="229"/>
      <c r="CW741" s="229"/>
      <c r="CX741" s="229"/>
      <c r="CY741" s="229"/>
      <c r="CZ741" s="229"/>
      <c r="DA741" s="229"/>
      <c r="DB741" s="228"/>
      <c r="DC741" s="229"/>
      <c r="DD741" s="229"/>
      <c r="DE741" s="229"/>
      <c r="DF741" s="229"/>
      <c r="DG741" s="229"/>
      <c r="DH741" s="229"/>
      <c r="DI741" s="229"/>
      <c r="DJ741" s="229"/>
      <c r="DK741" s="229"/>
      <c r="DL741" s="229"/>
      <c r="DM741" s="229"/>
      <c r="DN741" s="229"/>
      <c r="DO741" s="228"/>
      <c r="DP741" s="228"/>
      <c r="DQ741" s="229"/>
      <c r="DR741" s="229"/>
      <c r="DS741" s="229"/>
      <c r="DT741" s="229"/>
      <c r="DU741" s="229"/>
      <c r="DV741" s="229"/>
      <c r="DW741" s="229"/>
      <c r="DX741" s="228"/>
      <c r="DY741" s="229"/>
      <c r="DZ741" s="229"/>
      <c r="EA741" s="229"/>
      <c r="EB741" s="229"/>
      <c r="EC741" s="229"/>
      <c r="ED741" s="229"/>
      <c r="EE741" s="229"/>
      <c r="EF741" s="228"/>
      <c r="EG741" s="228"/>
      <c r="EH741" s="229"/>
      <c r="EI741" s="229"/>
      <c r="EJ741" s="228"/>
      <c r="EK741" s="229"/>
      <c r="EL741" s="229"/>
      <c r="EM741" s="228"/>
      <c r="EN741" s="229"/>
      <c r="EO741" s="229"/>
      <c r="EP741" s="228"/>
      <c r="EQ741" s="173"/>
    </row>
    <row r="742" spans="1:170" s="134" customFormat="1" ht="21.75" customHeight="1">
      <c r="A742" s="281"/>
      <c r="B742" s="281"/>
      <c r="C742" s="281"/>
      <c r="D742" s="281"/>
      <c r="E742" s="281"/>
      <c r="F742" s="325" t="s">
        <v>806</v>
      </c>
      <c r="G742" s="326"/>
      <c r="H742" s="281">
        <f>SUBTOTAL(3,H12:H741)</f>
        <v>729</v>
      </c>
      <c r="I742" s="281">
        <f>SUBTOTAL(3,madvi1)</f>
        <v>683</v>
      </c>
      <c r="J742" s="281">
        <f>SUBTOTAL(3,J12:J741)</f>
        <v>729</v>
      </c>
      <c r="K742" s="281"/>
      <c r="L742" s="283"/>
      <c r="M742" s="282"/>
      <c r="N742" s="281"/>
      <c r="O742" s="281"/>
      <c r="P742" s="281"/>
      <c r="Q742" s="284">
        <f>SUBTOTAL(9,Q12:Q741)</f>
        <v>196425</v>
      </c>
      <c r="R742" s="284">
        <f>SUBTOTAL(9,R12:R741)</f>
        <v>89585</v>
      </c>
      <c r="S742" s="285"/>
      <c r="T742" s="281"/>
      <c r="U742" s="284"/>
      <c r="V742" s="281"/>
      <c r="W742" s="284">
        <f t="shared" ref="W742:BI742" si="2451">SUBTOTAL(9,W12:W741)</f>
        <v>57330</v>
      </c>
      <c r="X742" s="284">
        <f t="shared" si="2451"/>
        <v>19175</v>
      </c>
      <c r="Y742" s="284">
        <f t="shared" si="2451"/>
        <v>126405</v>
      </c>
      <c r="Z742" s="284">
        <f t="shared" si="2451"/>
        <v>64130</v>
      </c>
      <c r="AA742" s="284">
        <f t="shared" si="2451"/>
        <v>184275</v>
      </c>
      <c r="AB742" s="284">
        <f t="shared" si="2451"/>
        <v>83490</v>
      </c>
      <c r="AC742" s="284">
        <f t="shared" si="2451"/>
        <v>56461.5</v>
      </c>
      <c r="AD742" s="284">
        <f t="shared" si="2451"/>
        <v>19139</v>
      </c>
      <c r="AE742" s="284">
        <f t="shared" si="2451"/>
        <v>121164.75</v>
      </c>
      <c r="AF742" s="284">
        <f t="shared" si="2451"/>
        <v>61113.083333333328</v>
      </c>
      <c r="AG742" s="284">
        <f t="shared" si="2451"/>
        <v>114274.90000000013</v>
      </c>
      <c r="AH742" s="284">
        <f t="shared" si="2451"/>
        <v>50397.55000000001</v>
      </c>
      <c r="AI742" s="284">
        <f t="shared" si="2451"/>
        <v>63877.350000000013</v>
      </c>
      <c r="AJ742" s="284">
        <f t="shared" si="2451"/>
        <v>-14306.616666666672</v>
      </c>
      <c r="AK742" s="284">
        <f t="shared" si="2451"/>
        <v>135471.36666666667</v>
      </c>
      <c r="AL742" s="286">
        <f t="shared" si="2451"/>
        <v>144092.3000000001</v>
      </c>
      <c r="AM742" s="286">
        <f t="shared" si="2451"/>
        <v>24398.600000000013</v>
      </c>
      <c r="AN742" s="287">
        <f t="shared" si="2451"/>
        <v>168490.90000000017</v>
      </c>
      <c r="AO742" s="286">
        <f t="shared" si="2451"/>
        <v>620</v>
      </c>
      <c r="AP742" s="286">
        <f t="shared" si="2451"/>
        <v>855</v>
      </c>
      <c r="AQ742" s="286">
        <f t="shared" si="2451"/>
        <v>30760</v>
      </c>
      <c r="AR742" s="286">
        <f t="shared" si="2451"/>
        <v>21552</v>
      </c>
      <c r="AS742" s="286">
        <f t="shared" si="2451"/>
        <v>2155</v>
      </c>
      <c r="AT742" s="286">
        <f t="shared" si="2451"/>
        <v>224432.90000000014</v>
      </c>
      <c r="AU742" s="288">
        <f t="shared" si="2451"/>
        <v>33019.533333333318</v>
      </c>
      <c r="AV742" s="288">
        <f t="shared" si="2451"/>
        <v>0</v>
      </c>
      <c r="AW742" s="288">
        <f t="shared" si="2451"/>
        <v>33019.533333333318</v>
      </c>
      <c r="AX742" s="240">
        <f t="shared" si="2451"/>
        <v>-30234.973333333346</v>
      </c>
      <c r="AY742" s="240">
        <f t="shared" si="2451"/>
        <v>274.89999999999998</v>
      </c>
      <c r="AZ742" s="240">
        <f t="shared" si="2451"/>
        <v>600</v>
      </c>
      <c r="BA742" s="240">
        <f t="shared" si="2451"/>
        <v>23394.915000000001</v>
      </c>
      <c r="BB742" s="240">
        <f t="shared" si="2451"/>
        <v>19012.605</v>
      </c>
      <c r="BC742" s="240">
        <f t="shared" si="2451"/>
        <v>1964</v>
      </c>
      <c r="BD742" s="240">
        <f t="shared" si="2451"/>
        <v>45246.419999999991</v>
      </c>
      <c r="BE742" s="240">
        <f t="shared" si="2451"/>
        <v>-345.1</v>
      </c>
      <c r="BF742" s="240">
        <f t="shared" si="2451"/>
        <v>-255</v>
      </c>
      <c r="BG742" s="240">
        <f t="shared" si="2451"/>
        <v>-7365.0850000000019</v>
      </c>
      <c r="BH742" s="240">
        <f t="shared" si="2451"/>
        <v>-2539.395</v>
      </c>
      <c r="BI742" s="240">
        <f t="shared" si="2451"/>
        <v>-191</v>
      </c>
      <c r="BJ742" s="289"/>
      <c r="BK742" s="240">
        <f>SUBTOTAL(9,BK12:BK741)</f>
        <v>0</v>
      </c>
      <c r="BL742" s="240">
        <f>SUBTOTAL(9,BL12:BL741)</f>
        <v>63254.506666666675</v>
      </c>
      <c r="BM742" s="240"/>
      <c r="BN742" s="240"/>
      <c r="BO742" s="240"/>
      <c r="BP742" s="240">
        <f>SUBTOTAL(9,BP12:BP741)</f>
        <v>42985.084999999999</v>
      </c>
      <c r="BQ742" s="240"/>
      <c r="BR742" s="239">
        <f>SUBTOTAL(9,BR12:BR741)</f>
        <v>2860840617</v>
      </c>
      <c r="BS742" s="284">
        <f>SUBTOTAL(9,BS12:BS741)</f>
        <v>20269.421666666658</v>
      </c>
      <c r="BT742" s="240"/>
      <c r="BU742" s="239">
        <f t="shared" ref="BU742:CE742" si="2452">SUBTOTAL(9,BU12:BU741)</f>
        <v>1103750185</v>
      </c>
      <c r="BV742" s="239">
        <f t="shared" si="2452"/>
        <v>3964590802</v>
      </c>
      <c r="BW742" s="239">
        <f t="shared" si="2452"/>
        <v>2577000</v>
      </c>
      <c r="BX742" s="239">
        <f t="shared" si="2452"/>
        <v>15315481</v>
      </c>
      <c r="BY742" s="239">
        <f t="shared" si="2452"/>
        <v>0</v>
      </c>
      <c r="BZ742" s="239">
        <f t="shared" si="2452"/>
        <v>0</v>
      </c>
      <c r="CA742" s="239">
        <f t="shared" si="2452"/>
        <v>0</v>
      </c>
      <c r="CB742" s="239">
        <f t="shared" si="2452"/>
        <v>0</v>
      </c>
      <c r="CC742" s="239">
        <f t="shared" si="2452"/>
        <v>3965619802</v>
      </c>
      <c r="CD742" s="239">
        <f t="shared" si="2452"/>
        <v>13767481</v>
      </c>
      <c r="CE742" s="239">
        <f t="shared" si="2452"/>
        <v>0</v>
      </c>
      <c r="CF742" s="290"/>
      <c r="CG742" s="281"/>
      <c r="CH742" s="281"/>
      <c r="CI742" s="325" t="s">
        <v>806</v>
      </c>
      <c r="CJ742" s="326"/>
      <c r="CK742" s="281"/>
      <c r="CL742" s="291"/>
      <c r="CM742" s="281"/>
      <c r="CN742" s="284">
        <f>SUBTOTAL(9,CN12:CN741)</f>
        <v>196425</v>
      </c>
      <c r="CO742" s="284">
        <f>SUBTOTAL(9,CO12:CO741)</f>
        <v>89585</v>
      </c>
      <c r="CP742" s="240">
        <f>SUBTOTAL(9,CP12:CP741)</f>
        <v>0</v>
      </c>
      <c r="CQ742" s="240">
        <f>SUBTOTAL(9,CQ12:CQ741)</f>
        <v>15911.899999999996</v>
      </c>
      <c r="CR742" s="240">
        <f>SUBTOTAL(9,CR12:CR741)</f>
        <v>6254.5999999999967</v>
      </c>
      <c r="CS742" s="240"/>
      <c r="CT742" s="240">
        <f t="shared" ref="CT742:DM742" si="2453">SUBTOTAL(9,CT12:CT741)</f>
        <v>0</v>
      </c>
      <c r="CU742" s="240">
        <f t="shared" si="2453"/>
        <v>84924.500000000015</v>
      </c>
      <c r="CV742" s="240">
        <f t="shared" si="2453"/>
        <v>0</v>
      </c>
      <c r="CW742" s="240">
        <f t="shared" si="2453"/>
        <v>25823.5</v>
      </c>
      <c r="CX742" s="240">
        <f t="shared" si="2453"/>
        <v>0</v>
      </c>
      <c r="CY742" s="240">
        <f t="shared" si="2453"/>
        <v>620</v>
      </c>
      <c r="CZ742" s="240">
        <f t="shared" si="2453"/>
        <v>855</v>
      </c>
      <c r="DA742" s="240">
        <f t="shared" si="2453"/>
        <v>30760</v>
      </c>
      <c r="DB742" s="240">
        <f t="shared" si="2453"/>
        <v>176327.30000000008</v>
      </c>
      <c r="DC742" s="240">
        <f t="shared" si="2453"/>
        <v>0</v>
      </c>
      <c r="DD742" s="240">
        <f t="shared" si="2453"/>
        <v>0</v>
      </c>
      <c r="DE742" s="240">
        <f t="shared" si="2453"/>
        <v>0</v>
      </c>
      <c r="DF742" s="240">
        <f t="shared" si="2453"/>
        <v>0</v>
      </c>
      <c r="DG742" s="240">
        <f t="shared" si="2453"/>
        <v>0</v>
      </c>
      <c r="DH742" s="240">
        <f t="shared" si="2453"/>
        <v>0</v>
      </c>
      <c r="DI742" s="240">
        <f t="shared" si="2453"/>
        <v>0</v>
      </c>
      <c r="DJ742" s="240">
        <f t="shared" si="2453"/>
        <v>0</v>
      </c>
      <c r="DK742" s="240">
        <f t="shared" si="2453"/>
        <v>0</v>
      </c>
      <c r="DL742" s="240">
        <f t="shared" si="2453"/>
        <v>0</v>
      </c>
      <c r="DM742" s="240">
        <f t="shared" si="2453"/>
        <v>0</v>
      </c>
      <c r="DN742" s="240"/>
      <c r="DO742" s="240">
        <f t="shared" ref="DO742:EQ742" si="2454">SUBTOTAL(9,DO12:DO741)</f>
        <v>0</v>
      </c>
      <c r="DP742" s="240">
        <f t="shared" si="2454"/>
        <v>176327.30000000008</v>
      </c>
      <c r="DQ742" s="240">
        <f t="shared" si="2454"/>
        <v>22719.5</v>
      </c>
      <c r="DR742" s="240">
        <f t="shared" si="2454"/>
        <v>1050</v>
      </c>
      <c r="DS742" s="240">
        <f t="shared" si="2454"/>
        <v>0</v>
      </c>
      <c r="DT742" s="240">
        <f t="shared" si="2454"/>
        <v>404.09999999999962</v>
      </c>
      <c r="DU742" s="240">
        <f t="shared" si="2454"/>
        <v>225</v>
      </c>
      <c r="DV742" s="240">
        <f t="shared" si="2454"/>
        <v>21552</v>
      </c>
      <c r="DW742" s="240">
        <f t="shared" si="2454"/>
        <v>2155</v>
      </c>
      <c r="DX742" s="240">
        <f t="shared" si="2454"/>
        <v>48105.599999999999</v>
      </c>
      <c r="DY742" s="240">
        <f t="shared" si="2454"/>
        <v>0</v>
      </c>
      <c r="DZ742" s="240">
        <f t="shared" si="2454"/>
        <v>0</v>
      </c>
      <c r="EA742" s="240">
        <f t="shared" si="2454"/>
        <v>0</v>
      </c>
      <c r="EB742" s="240">
        <f t="shared" si="2454"/>
        <v>0</v>
      </c>
      <c r="EC742" s="240">
        <f t="shared" si="2454"/>
        <v>0</v>
      </c>
      <c r="ED742" s="240">
        <f t="shared" si="2454"/>
        <v>0</v>
      </c>
      <c r="EE742" s="240">
        <f t="shared" si="2454"/>
        <v>0</v>
      </c>
      <c r="EF742" s="240">
        <f t="shared" si="2454"/>
        <v>0</v>
      </c>
      <c r="EG742" s="240">
        <f t="shared" si="2454"/>
        <v>48105.599999999999</v>
      </c>
      <c r="EH742" s="240">
        <f t="shared" si="2454"/>
        <v>63877.350000000013</v>
      </c>
      <c r="EI742" s="240">
        <f t="shared" si="2454"/>
        <v>52918.010000000017</v>
      </c>
      <c r="EJ742" s="240">
        <f t="shared" si="2454"/>
        <v>116795.36000000015</v>
      </c>
      <c r="EK742" s="240">
        <f t="shared" si="2454"/>
        <v>0</v>
      </c>
      <c r="EL742" s="240">
        <f t="shared" si="2454"/>
        <v>0</v>
      </c>
      <c r="EM742" s="240">
        <f t="shared" si="2454"/>
        <v>0</v>
      </c>
      <c r="EN742" s="240">
        <f t="shared" si="2454"/>
        <v>63877.350000000013</v>
      </c>
      <c r="EO742" s="240">
        <f t="shared" si="2454"/>
        <v>52918.010000000017</v>
      </c>
      <c r="EP742" s="240">
        <f t="shared" si="2454"/>
        <v>116737.20000000014</v>
      </c>
      <c r="EQ742" s="173">
        <f t="shared" si="2454"/>
        <v>26427.283333333344</v>
      </c>
      <c r="ER742" s="173">
        <f t="shared" ref="ER742:FN742" si="2455">SUBTOTAL(9,ER12:ER741)</f>
        <v>0</v>
      </c>
      <c r="ES742" s="173">
        <f t="shared" si="2455"/>
        <v>15911.899999999996</v>
      </c>
      <c r="ET742" s="173">
        <f t="shared" si="2455"/>
        <v>6254.5999999999967</v>
      </c>
      <c r="EU742" s="173">
        <f t="shared" si="2455"/>
        <v>11177.79999999999</v>
      </c>
      <c r="EV742" s="173">
        <f t="shared" si="2455"/>
        <v>0</v>
      </c>
      <c r="EW742" s="173">
        <f t="shared" si="2455"/>
        <v>84924.500000000015</v>
      </c>
      <c r="EX742" s="173">
        <f t="shared" si="2455"/>
        <v>0</v>
      </c>
      <c r="EY742" s="173">
        <f t="shared" si="2455"/>
        <v>25823.5</v>
      </c>
      <c r="EZ742" s="173">
        <f t="shared" si="2455"/>
        <v>0</v>
      </c>
      <c r="FA742" s="173">
        <f t="shared" si="2455"/>
        <v>620</v>
      </c>
      <c r="FB742" s="173">
        <f t="shared" si="2455"/>
        <v>855</v>
      </c>
      <c r="FC742" s="173">
        <f t="shared" si="2455"/>
        <v>30760</v>
      </c>
      <c r="FD742" s="173">
        <f t="shared" si="2455"/>
        <v>22719.5</v>
      </c>
      <c r="FE742" s="173">
        <f t="shared" si="2455"/>
        <v>1050</v>
      </c>
      <c r="FF742" s="173">
        <f t="shared" si="2455"/>
        <v>0</v>
      </c>
      <c r="FG742" s="173">
        <f t="shared" si="2455"/>
        <v>404.09999999999962</v>
      </c>
      <c r="FH742" s="173">
        <f t="shared" si="2455"/>
        <v>21552</v>
      </c>
      <c r="FI742" s="173">
        <f t="shared" si="2455"/>
        <v>225</v>
      </c>
      <c r="FJ742" s="173">
        <f t="shared" si="2455"/>
        <v>2155</v>
      </c>
      <c r="FK742" s="173">
        <f t="shared" si="2455"/>
        <v>224432.90000000014</v>
      </c>
      <c r="FL742" s="173">
        <f t="shared" si="2455"/>
        <v>178835.69999999984</v>
      </c>
      <c r="FM742" s="173">
        <f t="shared" si="2455"/>
        <v>0</v>
      </c>
      <c r="FN742" s="173">
        <f t="shared" si="2455"/>
        <v>63877.350000000013</v>
      </c>
    </row>
    <row r="743" spans="1:170">
      <c r="AA743" s="136"/>
      <c r="AL743" s="188"/>
      <c r="AM743" s="188"/>
      <c r="AN743" s="292"/>
      <c r="AO743" s="188"/>
      <c r="AP743" s="188"/>
      <c r="AQ743" s="188"/>
      <c r="AR743" s="188"/>
      <c r="AS743" s="188"/>
      <c r="AT743" s="188"/>
      <c r="AU743" s="202"/>
      <c r="AV743" s="188"/>
      <c r="AW743" s="188"/>
      <c r="AX743" s="188"/>
      <c r="AY743" s="188"/>
      <c r="AZ743" s="188"/>
      <c r="BA743" s="188"/>
      <c r="BB743" s="188"/>
      <c r="BC743" s="188"/>
      <c r="BD743" s="188"/>
      <c r="BE743" s="188"/>
      <c r="BF743" s="188"/>
      <c r="BG743" s="188"/>
      <c r="BH743" s="188"/>
      <c r="BI743" s="188"/>
      <c r="BJ743" s="188"/>
      <c r="BK743" s="188"/>
      <c r="BV743" s="138"/>
      <c r="BY743" s="150"/>
      <c r="BZ743" s="150"/>
      <c r="CA743" s="150"/>
      <c r="CB743" s="150"/>
      <c r="CC743" s="150"/>
      <c r="CD743" s="150"/>
      <c r="CE743" s="150"/>
      <c r="CF743" s="150"/>
      <c r="CP743" s="149"/>
      <c r="CQ743" s="149"/>
      <c r="CR743" s="149"/>
      <c r="CS743" s="149"/>
      <c r="CT743" s="149"/>
      <c r="CU743" s="149"/>
      <c r="CV743" s="149"/>
      <c r="CW743" s="149"/>
      <c r="CX743" s="149"/>
      <c r="CY743" s="149"/>
      <c r="CZ743" s="149"/>
      <c r="DA743" s="149"/>
      <c r="DB743" s="173"/>
      <c r="DC743" s="149"/>
      <c r="DD743" s="149"/>
      <c r="DE743" s="149"/>
      <c r="DF743" s="149"/>
      <c r="DG743" s="149"/>
      <c r="DH743" s="149"/>
      <c r="DI743" s="149"/>
      <c r="DJ743" s="149"/>
      <c r="DK743" s="149"/>
      <c r="DL743" s="149"/>
      <c r="DM743" s="149"/>
      <c r="DN743" s="149"/>
      <c r="DQ743" s="170"/>
      <c r="DR743" s="191"/>
      <c r="DS743" s="191"/>
      <c r="DT743" s="191"/>
      <c r="DU743" s="191"/>
      <c r="DV743" s="191"/>
      <c r="DW743" s="191"/>
      <c r="DX743" s="147"/>
      <c r="EA743" s="191"/>
      <c r="EB743" s="191"/>
      <c r="EC743" s="191"/>
      <c r="EH743" s="189"/>
    </row>
    <row r="744" spans="1:170">
      <c r="AA744" s="136"/>
      <c r="AL744" s="188"/>
      <c r="AM744" s="188"/>
      <c r="AN744" s="292"/>
      <c r="AO744" s="188"/>
      <c r="AP744" s="188"/>
      <c r="AQ744" s="188"/>
      <c r="AR744" s="188"/>
      <c r="AS744" s="188"/>
      <c r="AT744" s="188"/>
      <c r="AU744" s="202"/>
      <c r="AV744" s="188"/>
      <c r="AW744" s="188"/>
      <c r="AX744" s="188"/>
      <c r="AY744" s="188"/>
      <c r="AZ744" s="188"/>
      <c r="BA744" s="188"/>
      <c r="BB744" s="188"/>
      <c r="BC744" s="188"/>
      <c r="BD744" s="188"/>
      <c r="BE744" s="188"/>
      <c r="BF744" s="188"/>
      <c r="BG744" s="188"/>
      <c r="BH744" s="188"/>
      <c r="BI744" s="188"/>
      <c r="BJ744" s="188"/>
      <c r="BK744" s="188"/>
      <c r="BV744" s="138"/>
      <c r="BY744" s="150"/>
      <c r="BZ744" s="150"/>
      <c r="CA744" s="150"/>
      <c r="CB744" s="150"/>
      <c r="CC744" s="150"/>
      <c r="CD744" s="150"/>
      <c r="CE744" s="150"/>
      <c r="CF744" s="150"/>
      <c r="CP744" s="149"/>
      <c r="CQ744" s="149"/>
      <c r="CR744" s="149"/>
      <c r="CS744" s="149"/>
      <c r="CT744" s="149"/>
      <c r="CU744" s="149"/>
      <c r="CV744" s="149"/>
      <c r="CW744" s="149"/>
      <c r="CX744" s="149"/>
      <c r="CY744" s="149"/>
      <c r="CZ744" s="149"/>
      <c r="DA744" s="149"/>
      <c r="DB744" s="173"/>
      <c r="DC744" s="149"/>
      <c r="DD744" s="149"/>
      <c r="DE744" s="149"/>
      <c r="DF744" s="149"/>
      <c r="DG744" s="149"/>
      <c r="DH744" s="149"/>
      <c r="DI744" s="149"/>
      <c r="DJ744" s="149"/>
      <c r="DK744" s="149"/>
      <c r="DL744" s="149"/>
      <c r="DM744" s="149"/>
      <c r="DN744" s="149"/>
      <c r="DO744" s="173"/>
      <c r="DQ744" s="170"/>
      <c r="DR744" s="191"/>
      <c r="DS744" s="191"/>
      <c r="DT744" s="191"/>
      <c r="DU744" s="191"/>
      <c r="DV744" s="191"/>
      <c r="DW744" s="191"/>
      <c r="DX744" s="147"/>
      <c r="EA744" s="191"/>
      <c r="EB744" s="191"/>
      <c r="EC744" s="191"/>
      <c r="EG744" s="203"/>
      <c r="EH744" s="189"/>
      <c r="ER744" s="189">
        <f>IF(I744=0,0,VLOOKUP(B744,[1]gio_day_2018_2019!$A$4:$Z$579,8,0))</f>
        <v>0</v>
      </c>
      <c r="ES744" s="189">
        <f>IF(I744=0,0,VLOOKUP(B744,[1]gio_day_2018_2019!$A$4:$Z$579,9,0))</f>
        <v>0</v>
      </c>
      <c r="ET744" s="189">
        <f>IF(I744=0,0,VLOOKUP(B744,[1]gio_day_2018_2019!$A$4:$Z$579,10,0))</f>
        <v>0</v>
      </c>
      <c r="EU744" s="189">
        <f>IF(I744=0,0,VLOOKUP(B744,[1]gio_day_2018_2019!$A$4:$Z$579,11,0))</f>
        <v>0</v>
      </c>
      <c r="EV744" s="189">
        <f>IF(I744=0,0,VLOOKUP(B744,[1]gio_day_2018_2019!$A$4:$Z$579,12,0))</f>
        <v>0</v>
      </c>
      <c r="EW744" s="189">
        <f>IF(I744=0,0,VLOOKUP(B744,[1]gio_day_2018_2019!$A$4:$Z$579,13,0))</f>
        <v>0</v>
      </c>
      <c r="EX744" s="189">
        <f>IF(I744=0,0,VLOOKUP(B744,[1]gio_day_2018_2019!$A$4:$Z$579,14,0))</f>
        <v>0</v>
      </c>
      <c r="EY744" s="189">
        <f>IF(I744=0,0,VLOOKUP(B744,[1]gio_day_2018_2019!$A$4:$Z$579,15,0))</f>
        <v>0</v>
      </c>
      <c r="EZ744" s="189">
        <f>IF(I744=0,0,VLOOKUP(B744,[1]gio_day_2018_2019!$A$4:$Z$579,16,0))</f>
        <v>0</v>
      </c>
      <c r="FA744" s="189">
        <f>IF(I744=0,0,VLOOKUP(B744,[1]gio_day_2018_2019!$A$4:$Z$579,17,0))</f>
        <v>0</v>
      </c>
      <c r="FB744" s="189">
        <f>IF(I744=0,0,VLOOKUP(B744,[1]gio_day_2018_2019!$A$4:$Z$579,18,0))</f>
        <v>0</v>
      </c>
      <c r="FC744" s="189">
        <f>IF(I744=0,0,VLOOKUP(B744,[1]gio_day_2018_2019!$A$4:$Z$579,19,0))</f>
        <v>0</v>
      </c>
      <c r="FD744" s="189">
        <f>IF(I744=0,0,VLOOKUP(B744,[1]gio_day_2018_2019!$A$4:$Z$579,20,0))</f>
        <v>0</v>
      </c>
      <c r="FE744" s="189">
        <f>IF(I744=0,0,VLOOKUP(B744,[1]gio_day_2018_2019!$A$4:$Z$579,21,0))</f>
        <v>0</v>
      </c>
      <c r="FF744" s="189">
        <f>IF(I744=0,0,VLOOKUP(B744,[1]gio_day_2018_2019!$A$4:$Z$579,22,0))</f>
        <v>0</v>
      </c>
      <c r="FG744" s="189">
        <f>IF(I744=0,0,VLOOKUP(B744,[1]gio_day_2018_2019!$A$4:$Z$579,23,0))</f>
        <v>0</v>
      </c>
      <c r="FH744" s="189">
        <f>IF(I744=0,0,VLOOKUP(B744,[1]gio_day_2018_2019!$A$4:$Z$579,24,0))</f>
        <v>0</v>
      </c>
      <c r="FI744" s="189">
        <f>IF(I744=0,0,VLOOKUP(B744,[1]gio_day_2018_2019!$A$4:$Z$579,25,0))</f>
        <v>0</v>
      </c>
      <c r="FJ744" s="189">
        <f>IF(I744=0,0,VLOOKUP(B744,[1]gio_day_2018_2019!$A$4:$Z$579,26,0))</f>
        <v>0</v>
      </c>
      <c r="FK744" s="189">
        <f>SUM(ER744:FJ744)</f>
        <v>0</v>
      </c>
      <c r="FL744" s="189">
        <f>IF(I744=0,0,VLOOKUP(B744,[1]gio_day_2018_2019!$A$4:$Z$579,6,0))</f>
        <v>0</v>
      </c>
    </row>
    <row r="745" spans="1:170">
      <c r="S745" s="192"/>
      <c r="AA745" s="136"/>
      <c r="AL745" s="188"/>
      <c r="AM745" s="188"/>
      <c r="AN745" s="292"/>
      <c r="AO745" s="188"/>
      <c r="AP745" s="188"/>
      <c r="AQ745" s="188"/>
      <c r="AR745" s="188"/>
      <c r="AS745" s="188"/>
      <c r="AT745" s="188"/>
      <c r="AU745" s="202"/>
      <c r="AV745" s="188"/>
      <c r="AW745" s="188"/>
      <c r="AX745" s="188"/>
      <c r="AY745" s="188"/>
      <c r="AZ745" s="188"/>
      <c r="BA745" s="188"/>
      <c r="BB745" s="188"/>
      <c r="BC745" s="188"/>
      <c r="BD745" s="188"/>
      <c r="BE745" s="188"/>
      <c r="BF745" s="188"/>
      <c r="BG745" s="188"/>
      <c r="BH745" s="188"/>
      <c r="BI745" s="188"/>
      <c r="BJ745" s="188"/>
      <c r="BK745" s="188"/>
      <c r="BL745" s="178"/>
      <c r="BR745" s="138"/>
      <c r="BV745" s="138"/>
      <c r="BY745" s="150"/>
      <c r="BZ745" s="150"/>
      <c r="CA745" s="150"/>
      <c r="CB745" s="150"/>
      <c r="CC745" s="150"/>
      <c r="CD745" s="150"/>
      <c r="CE745" s="150"/>
      <c r="CF745" s="150"/>
      <c r="CP745" s="173"/>
      <c r="CQ745" s="173"/>
      <c r="CR745" s="173"/>
      <c r="CS745" s="173"/>
      <c r="CT745" s="173"/>
      <c r="CU745" s="173"/>
      <c r="CV745" s="173"/>
      <c r="CW745" s="173"/>
      <c r="CX745" s="173"/>
      <c r="CY745" s="173"/>
      <c r="CZ745" s="173"/>
      <c r="DA745" s="173"/>
      <c r="DB745" s="173"/>
      <c r="DC745" s="173"/>
      <c r="DD745" s="173"/>
      <c r="DE745" s="173"/>
      <c r="DF745" s="173"/>
      <c r="DG745" s="173"/>
      <c r="DH745" s="173"/>
      <c r="DI745" s="173"/>
      <c r="DJ745" s="173"/>
      <c r="DK745" s="173"/>
      <c r="DL745" s="173"/>
      <c r="DM745" s="173"/>
      <c r="DN745" s="173"/>
      <c r="DQ745" s="170"/>
      <c r="DR745" s="191"/>
      <c r="DS745" s="191"/>
      <c r="DT745" s="191"/>
      <c r="DU745" s="191"/>
      <c r="DV745" s="191"/>
      <c r="DW745" s="191"/>
      <c r="DX745" s="147"/>
      <c r="EA745" s="191"/>
      <c r="EB745" s="191"/>
      <c r="EC745" s="191"/>
      <c r="EH745" s="189"/>
    </row>
    <row r="746" spans="1:170" ht="25.5" customHeight="1">
      <c r="F746" s="193" t="s">
        <v>164</v>
      </c>
      <c r="G746" s="194"/>
      <c r="H746" s="194"/>
      <c r="I746" s="194"/>
      <c r="J746" s="194"/>
      <c r="K746" s="194"/>
      <c r="M746" s="206"/>
      <c r="N746" s="317">
        <f>BV742</f>
        <v>3964590802</v>
      </c>
      <c r="O746" s="317"/>
      <c r="P746" s="317"/>
      <c r="Q746" s="317"/>
      <c r="R746" s="195" t="s">
        <v>807</v>
      </c>
      <c r="S746" s="196"/>
      <c r="AL746" s="188"/>
      <c r="AM746" s="188"/>
      <c r="AN746" s="292"/>
      <c r="AO746" s="188"/>
      <c r="AP746" s="188"/>
      <c r="AQ746" s="188"/>
      <c r="AR746" s="188"/>
      <c r="AS746" s="188"/>
      <c r="AT746" s="188"/>
      <c r="AU746" s="202"/>
      <c r="AV746" s="188"/>
      <c r="AW746" s="188"/>
      <c r="AX746" s="188"/>
      <c r="AY746" s="188"/>
      <c r="AZ746" s="188"/>
      <c r="BA746" s="188"/>
      <c r="BB746" s="188"/>
      <c r="BC746" s="188"/>
      <c r="BD746" s="188"/>
      <c r="BE746" s="188"/>
      <c r="BF746" s="188"/>
      <c r="BG746" s="188"/>
      <c r="BH746" s="188"/>
      <c r="BI746" s="188"/>
      <c r="BJ746" s="188"/>
      <c r="BK746" s="183"/>
      <c r="BL746" s="178"/>
      <c r="BQ746" s="144"/>
      <c r="BV746" s="138"/>
      <c r="BW746" s="138"/>
      <c r="BX746" s="138"/>
      <c r="BY746" s="150"/>
      <c r="BZ746" s="150"/>
      <c r="CA746" s="150"/>
      <c r="CB746" s="150"/>
      <c r="CC746" s="184">
        <f>ROUND(IF(BV746+BW746&gt;BX746+BY746+BZ746+CA746,(BW746+BV746)-(BX746+BY746+BZ746+CA746),0),0)</f>
        <v>0</v>
      </c>
      <c r="CD746" s="138">
        <f>ROUND(IF(BV746+BW746&lt;BX746+BY746+BZ746+CA746,(BX746+BY746+BZ746+CA746)-(BW746+BV746),0),0)</f>
        <v>0</v>
      </c>
      <c r="CE746" s="138"/>
      <c r="CF746" s="150"/>
      <c r="CP746" s="149"/>
      <c r="CQ746" s="149"/>
      <c r="CR746" s="149"/>
      <c r="CS746" s="149"/>
      <c r="CT746" s="149"/>
      <c r="CU746" s="149"/>
      <c r="CV746" s="149"/>
      <c r="CW746" s="149"/>
      <c r="CX746" s="149"/>
      <c r="CY746" s="149"/>
      <c r="CZ746" s="149"/>
      <c r="DA746" s="149"/>
      <c r="DB746" s="173"/>
      <c r="DC746" s="149"/>
      <c r="DD746" s="149"/>
      <c r="DE746" s="149"/>
      <c r="DF746" s="189"/>
      <c r="DG746" s="149"/>
      <c r="DH746" s="149"/>
      <c r="DI746" s="149"/>
      <c r="DJ746" s="149"/>
      <c r="DK746" s="149"/>
      <c r="DL746" s="149"/>
      <c r="DM746" s="149"/>
      <c r="DN746" s="149"/>
      <c r="DQ746" s="170"/>
      <c r="DR746" s="191"/>
      <c r="DS746" s="191"/>
      <c r="DT746" s="191"/>
      <c r="DU746" s="191"/>
      <c r="DV746" s="191"/>
      <c r="DW746" s="191"/>
      <c r="DX746" s="147"/>
      <c r="EA746" s="191"/>
      <c r="EB746" s="191"/>
      <c r="EC746" s="191"/>
      <c r="EH746" s="189"/>
    </row>
    <row r="747" spans="1:170" ht="25.5" customHeight="1">
      <c r="F747" s="197" t="s">
        <v>289</v>
      </c>
      <c r="G747" s="193"/>
      <c r="H747" s="198"/>
      <c r="I747" s="198"/>
      <c r="J747" s="198"/>
      <c r="K747" s="198"/>
      <c r="M747" s="206"/>
      <c r="N747" s="317">
        <f>BW742</f>
        <v>2577000</v>
      </c>
      <c r="O747" s="318"/>
      <c r="P747" s="318"/>
      <c r="Q747" s="318"/>
      <c r="R747" s="195" t="s">
        <v>807</v>
      </c>
      <c r="S747" s="199"/>
      <c r="AL747" s="178"/>
      <c r="AM747" s="178"/>
      <c r="AN747" s="293"/>
      <c r="AO747" s="178"/>
      <c r="AP747" s="178"/>
      <c r="AQ747" s="178"/>
      <c r="AR747" s="178"/>
      <c r="AS747" s="178"/>
      <c r="BQ747" s="144"/>
      <c r="BV747" s="138"/>
      <c r="BW747" s="138"/>
      <c r="BX747" s="138"/>
      <c r="BY747" s="150"/>
      <c r="BZ747" s="150"/>
      <c r="CA747" s="150"/>
      <c r="CB747" s="150"/>
      <c r="CC747" s="150"/>
      <c r="CD747" s="150"/>
      <c r="CE747" s="150"/>
      <c r="CF747" s="150"/>
      <c r="CP747" s="149"/>
      <c r="CQ747" s="149"/>
      <c r="CR747" s="149"/>
      <c r="CS747" s="149"/>
      <c r="CT747" s="149"/>
      <c r="CU747" s="149"/>
      <c r="CV747" s="149"/>
      <c r="CW747" s="149"/>
      <c r="CX747" s="149"/>
      <c r="CY747" s="149"/>
      <c r="CZ747" s="149"/>
      <c r="DA747" s="149"/>
      <c r="DB747" s="173"/>
      <c r="DC747" s="149"/>
      <c r="DD747" s="149"/>
      <c r="DE747" s="149"/>
      <c r="DF747" s="149"/>
      <c r="DG747" s="149"/>
      <c r="DH747" s="149"/>
      <c r="DI747" s="149"/>
      <c r="DJ747" s="149"/>
      <c r="DK747" s="149"/>
      <c r="DL747" s="149"/>
      <c r="DM747" s="149"/>
      <c r="DN747" s="149"/>
      <c r="DQ747" s="170"/>
      <c r="DR747" s="191"/>
      <c r="DS747" s="191"/>
      <c r="DT747" s="191"/>
      <c r="DU747" s="191"/>
      <c r="DV747" s="191"/>
      <c r="DW747" s="191"/>
      <c r="DX747" s="147"/>
      <c r="EA747" s="191"/>
      <c r="EB747" s="191"/>
      <c r="EC747" s="191"/>
      <c r="EH747" s="189"/>
    </row>
    <row r="748" spans="1:170" ht="25.5" customHeight="1">
      <c r="F748" s="197" t="s">
        <v>2026</v>
      </c>
      <c r="G748" s="193"/>
      <c r="H748" s="198"/>
      <c r="I748" s="198"/>
      <c r="J748" s="198"/>
      <c r="K748" s="198"/>
      <c r="M748" s="206"/>
      <c r="N748" s="317">
        <f>BY742+BZ742</f>
        <v>0</v>
      </c>
      <c r="O748" s="318"/>
      <c r="P748" s="318"/>
      <c r="Q748" s="318"/>
      <c r="R748" s="195" t="s">
        <v>807</v>
      </c>
      <c r="S748" s="199"/>
      <c r="AL748" s="178"/>
      <c r="AM748" s="178"/>
      <c r="AN748" s="293"/>
      <c r="AO748" s="178"/>
      <c r="AP748" s="178"/>
      <c r="AQ748" s="178"/>
      <c r="AR748" s="178"/>
      <c r="AS748" s="178"/>
      <c r="BQ748" s="144"/>
      <c r="BV748" s="138"/>
      <c r="BW748" s="138"/>
      <c r="BX748" s="138"/>
      <c r="BY748" s="150"/>
      <c r="BZ748" s="150"/>
      <c r="CA748" s="150"/>
      <c r="CB748" s="150"/>
      <c r="CC748" s="150"/>
      <c r="CD748" s="150"/>
      <c r="CE748" s="150"/>
      <c r="CF748" s="150"/>
      <c r="CP748" s="149"/>
      <c r="CQ748" s="149"/>
      <c r="CR748" s="149"/>
      <c r="CS748" s="149"/>
      <c r="CT748" s="149"/>
      <c r="CU748" s="149"/>
      <c r="CV748" s="149"/>
      <c r="CW748" s="149"/>
      <c r="CX748" s="149"/>
      <c r="CY748" s="149"/>
      <c r="CZ748" s="149"/>
      <c r="DA748" s="149"/>
      <c r="DB748" s="173"/>
      <c r="DC748" s="149"/>
      <c r="DD748" s="149"/>
      <c r="DE748" s="149"/>
      <c r="DF748" s="149"/>
      <c r="DG748" s="149"/>
      <c r="DH748" s="149"/>
      <c r="DI748" s="149"/>
      <c r="DJ748" s="149"/>
      <c r="DK748" s="149"/>
      <c r="DL748" s="149"/>
      <c r="DM748" s="149"/>
      <c r="DN748" s="149"/>
      <c r="DQ748" s="170"/>
      <c r="DR748" s="191"/>
      <c r="DS748" s="191"/>
      <c r="DT748" s="191"/>
      <c r="DU748" s="191"/>
      <c r="DV748" s="191"/>
      <c r="DW748" s="191"/>
      <c r="DX748" s="147"/>
      <c r="EA748" s="191"/>
      <c r="EB748" s="191"/>
      <c r="EC748" s="191"/>
      <c r="EH748" s="189"/>
    </row>
    <row r="749" spans="1:170" ht="25.5" customHeight="1">
      <c r="F749" s="197" t="s">
        <v>2838</v>
      </c>
      <c r="G749" s="193"/>
      <c r="H749" s="198"/>
      <c r="I749" s="198"/>
      <c r="J749" s="198"/>
      <c r="K749" s="198"/>
      <c r="M749" s="206"/>
      <c r="N749" s="317">
        <f>BX742</f>
        <v>15315481</v>
      </c>
      <c r="O749" s="318"/>
      <c r="P749" s="318"/>
      <c r="Q749" s="318"/>
      <c r="R749" s="195" t="s">
        <v>807</v>
      </c>
      <c r="S749" s="199"/>
      <c r="AL749" s="178"/>
      <c r="AM749" s="178"/>
      <c r="AN749" s="293"/>
      <c r="AO749" s="178"/>
      <c r="AP749" s="178"/>
      <c r="AQ749" s="178"/>
      <c r="AR749" s="178"/>
      <c r="AS749" s="178"/>
      <c r="BQ749" s="144"/>
      <c r="BV749" s="138"/>
      <c r="BW749" s="138"/>
      <c r="BX749" s="138"/>
      <c r="BY749" s="150"/>
      <c r="BZ749" s="150"/>
      <c r="CA749" s="150"/>
      <c r="CB749" s="150"/>
      <c r="CC749" s="150"/>
      <c r="CD749" s="150"/>
      <c r="CE749" s="150"/>
      <c r="CF749" s="150"/>
      <c r="CP749" s="149"/>
      <c r="CQ749" s="149"/>
      <c r="CR749" s="149"/>
      <c r="CS749" s="149"/>
      <c r="CT749" s="149"/>
      <c r="CU749" s="149"/>
      <c r="CV749" s="149"/>
      <c r="CW749" s="149"/>
      <c r="CX749" s="149"/>
      <c r="CY749" s="149"/>
      <c r="CZ749" s="149"/>
      <c r="DA749" s="149"/>
      <c r="DB749" s="173"/>
      <c r="DC749" s="149"/>
      <c r="DD749" s="149"/>
      <c r="DE749" s="149"/>
      <c r="DF749" s="149"/>
      <c r="DG749" s="149"/>
      <c r="DH749" s="149"/>
      <c r="DI749" s="149"/>
      <c r="DJ749" s="149"/>
      <c r="DK749" s="149"/>
      <c r="DL749" s="149"/>
      <c r="DM749" s="149"/>
      <c r="DN749" s="149"/>
      <c r="DQ749" s="170"/>
      <c r="DR749" s="191"/>
      <c r="DS749" s="191"/>
      <c r="DT749" s="191"/>
      <c r="DU749" s="191"/>
      <c r="DV749" s="191"/>
      <c r="DW749" s="191"/>
      <c r="DX749" s="147"/>
      <c r="EA749" s="191"/>
      <c r="EB749" s="191"/>
      <c r="EC749" s="191"/>
      <c r="EH749" s="189"/>
    </row>
    <row r="750" spans="1:170" ht="25.5" customHeight="1">
      <c r="F750" s="197" t="s">
        <v>2027</v>
      </c>
      <c r="G750" s="193"/>
      <c r="H750" s="198"/>
      <c r="I750" s="198"/>
      <c r="J750" s="198"/>
      <c r="K750" s="198"/>
      <c r="M750" s="206"/>
      <c r="N750" s="317">
        <f>CB742</f>
        <v>0</v>
      </c>
      <c r="O750" s="318"/>
      <c r="P750" s="318"/>
      <c r="Q750" s="318"/>
      <c r="R750" s="195" t="s">
        <v>807</v>
      </c>
      <c r="S750" s="199"/>
      <c r="AL750" s="178"/>
      <c r="AM750" s="178"/>
      <c r="AN750" s="293"/>
      <c r="AO750" s="178"/>
      <c r="AP750" s="178"/>
      <c r="AQ750" s="178"/>
      <c r="AR750" s="178"/>
      <c r="AS750" s="178"/>
      <c r="BQ750" s="144"/>
      <c r="BV750" s="138"/>
      <c r="BW750" s="138"/>
      <c r="BX750" s="138"/>
      <c r="BY750" s="150"/>
      <c r="BZ750" s="150"/>
      <c r="CA750" s="150"/>
      <c r="CB750" s="150"/>
      <c r="CC750" s="150"/>
      <c r="CD750" s="150"/>
      <c r="CE750" s="150"/>
      <c r="CF750" s="150"/>
      <c r="CP750" s="149"/>
      <c r="CQ750" s="149"/>
      <c r="CR750" s="149"/>
      <c r="CS750" s="149"/>
      <c r="CT750" s="149"/>
      <c r="CU750" s="149"/>
      <c r="CV750" s="149"/>
      <c r="CW750" s="149"/>
      <c r="CX750" s="149"/>
      <c r="CY750" s="149"/>
      <c r="CZ750" s="149"/>
      <c r="DA750" s="149"/>
      <c r="DB750" s="173"/>
      <c r="DC750" s="149"/>
      <c r="DD750" s="149"/>
      <c r="DE750" s="149"/>
      <c r="DF750" s="149"/>
      <c r="DG750" s="149"/>
      <c r="DH750" s="149"/>
      <c r="DI750" s="149"/>
      <c r="DJ750" s="149"/>
      <c r="DK750" s="149"/>
      <c r="DL750" s="149"/>
      <c r="DM750" s="149"/>
      <c r="DN750" s="149"/>
      <c r="DQ750" s="170"/>
      <c r="DR750" s="191"/>
      <c r="DS750" s="191"/>
      <c r="DT750" s="191"/>
      <c r="DU750" s="191"/>
      <c r="DV750" s="191"/>
      <c r="DW750" s="191"/>
      <c r="DX750" s="147"/>
      <c r="EA750" s="191"/>
      <c r="EB750" s="191"/>
      <c r="EC750" s="191"/>
      <c r="EH750" s="189"/>
    </row>
    <row r="751" spans="1:170" ht="25.5" customHeight="1">
      <c r="F751" s="197" t="s">
        <v>3110</v>
      </c>
      <c r="G751" s="193"/>
      <c r="H751" s="198"/>
      <c r="I751" s="198"/>
      <c r="J751" s="198"/>
      <c r="K751" s="198"/>
      <c r="M751" s="206"/>
      <c r="N751" s="317">
        <f>CD742</f>
        <v>13767481</v>
      </c>
      <c r="O751" s="318"/>
      <c r="P751" s="318"/>
      <c r="Q751" s="318"/>
      <c r="R751" s="195" t="s">
        <v>807</v>
      </c>
      <c r="S751" s="199"/>
      <c r="AL751" s="178"/>
      <c r="AM751" s="178"/>
      <c r="AN751" s="293"/>
      <c r="AO751" s="178"/>
      <c r="AP751" s="178"/>
      <c r="AQ751" s="178"/>
      <c r="AR751" s="178"/>
      <c r="AS751" s="178"/>
      <c r="BQ751" s="144"/>
      <c r="BV751" s="138"/>
      <c r="BW751" s="138"/>
      <c r="BX751" s="138"/>
      <c r="BY751" s="150"/>
      <c r="BZ751" s="150"/>
      <c r="CA751" s="150"/>
      <c r="CB751" s="150"/>
      <c r="CC751" s="150"/>
      <c r="CD751" s="150"/>
      <c r="CE751" s="150"/>
      <c r="CF751" s="150"/>
      <c r="CP751" s="149"/>
      <c r="CQ751" s="149"/>
      <c r="CR751" s="149"/>
      <c r="CS751" s="149"/>
      <c r="CT751" s="149"/>
      <c r="CU751" s="149"/>
      <c r="CV751" s="149"/>
      <c r="CW751" s="149"/>
      <c r="CX751" s="149"/>
      <c r="CY751" s="149"/>
      <c r="CZ751" s="149"/>
      <c r="DA751" s="149"/>
      <c r="DB751" s="173"/>
      <c r="DC751" s="149"/>
      <c r="DD751" s="149"/>
      <c r="DE751" s="149"/>
      <c r="DF751" s="149"/>
      <c r="DG751" s="149"/>
      <c r="DH751" s="149"/>
      <c r="DI751" s="149"/>
      <c r="DJ751" s="149"/>
      <c r="DK751" s="149"/>
      <c r="DL751" s="149"/>
      <c r="DM751" s="149"/>
      <c r="DN751" s="149"/>
      <c r="DQ751" s="170"/>
      <c r="DR751" s="191"/>
      <c r="DS751" s="191"/>
      <c r="DT751" s="191"/>
      <c r="DU751" s="191"/>
      <c r="DV751" s="191"/>
      <c r="DW751" s="191"/>
      <c r="DX751" s="147"/>
      <c r="EA751" s="191"/>
      <c r="EB751" s="191"/>
      <c r="EC751" s="191"/>
      <c r="EH751" s="189"/>
    </row>
    <row r="752" spans="1:170" ht="25.5" customHeight="1">
      <c r="F752" s="197" t="s">
        <v>3111</v>
      </c>
      <c r="G752" s="193"/>
      <c r="H752" s="198"/>
      <c r="I752" s="198"/>
      <c r="J752" s="198"/>
      <c r="K752" s="198"/>
      <c r="M752" s="206"/>
      <c r="N752" s="319">
        <f>CC742</f>
        <v>3965619802</v>
      </c>
      <c r="O752" s="320"/>
      <c r="P752" s="320"/>
      <c r="Q752" s="320"/>
      <c r="R752" s="195" t="s">
        <v>807</v>
      </c>
      <c r="S752" s="309" t="str">
        <f>tien_so!C6</f>
        <v>Ba tỷ chín trăm sáu mươi lăm triệu sáu trăm mười chín ngàn tám trăm lẻ hai đồng./.</v>
      </c>
      <c r="T752" s="308"/>
      <c r="U752" s="308"/>
      <c r="AL752" s="178"/>
      <c r="AM752" s="178"/>
      <c r="AN752" s="293"/>
      <c r="AO752" s="178"/>
      <c r="AP752" s="178"/>
      <c r="AQ752" s="178"/>
      <c r="AR752" s="178"/>
      <c r="AS752" s="178"/>
      <c r="BQ752" s="144"/>
      <c r="BV752" s="138"/>
      <c r="BW752" s="138"/>
      <c r="BX752" s="138"/>
      <c r="BY752" s="150"/>
      <c r="BZ752" s="150"/>
      <c r="CA752" s="150"/>
      <c r="CB752" s="150"/>
      <c r="CC752" s="150"/>
      <c r="CD752" s="150"/>
      <c r="CE752" s="150"/>
      <c r="CF752" s="150"/>
      <c r="CP752" s="149"/>
      <c r="CQ752" s="149"/>
      <c r="CR752" s="149"/>
      <c r="CS752" s="149"/>
      <c r="CT752" s="149"/>
      <c r="CU752" s="149"/>
      <c r="CV752" s="149"/>
      <c r="CW752" s="149"/>
      <c r="CX752" s="149"/>
      <c r="CY752" s="149"/>
      <c r="CZ752" s="149"/>
      <c r="DA752" s="149"/>
      <c r="DB752" s="173"/>
      <c r="DC752" s="149"/>
      <c r="DD752" s="149"/>
      <c r="DE752" s="149"/>
      <c r="DF752" s="149"/>
      <c r="DG752" s="149"/>
      <c r="DH752" s="149"/>
      <c r="DI752" s="149"/>
      <c r="DJ752" s="149"/>
      <c r="DK752" s="149"/>
      <c r="DL752" s="149"/>
      <c r="DM752" s="149"/>
      <c r="DN752" s="149"/>
      <c r="DQ752" s="170"/>
      <c r="DR752" s="191"/>
      <c r="DS752" s="191"/>
      <c r="DT752" s="191"/>
      <c r="DU752" s="191"/>
      <c r="DV752" s="191"/>
      <c r="DW752" s="191"/>
      <c r="DX752" s="147"/>
      <c r="EA752" s="191"/>
      <c r="EB752" s="191"/>
      <c r="EC752" s="191"/>
      <c r="EH752" s="189"/>
    </row>
  </sheetData>
  <autoFilter ref="A11:FM740"/>
  <mergeCells count="111">
    <mergeCell ref="BZ7:BZ9"/>
    <mergeCell ref="BY7:BY9"/>
    <mergeCell ref="BP8:BP9"/>
    <mergeCell ref="BQ8:BQ9"/>
    <mergeCell ref="CL7:CL9"/>
    <mergeCell ref="CI7:CI9"/>
    <mergeCell ref="CF7:CF9"/>
    <mergeCell ref="CJ7:CJ9"/>
    <mergeCell ref="BP7:BV7"/>
    <mergeCell ref="CB7:CB9"/>
    <mergeCell ref="BS8:BS9"/>
    <mergeCell ref="CA7:CA9"/>
    <mergeCell ref="BU8:BU9"/>
    <mergeCell ref="BV8:BV9"/>
    <mergeCell ref="DR1:DW1"/>
    <mergeCell ref="DP8:DP9"/>
    <mergeCell ref="DQ7:EG7"/>
    <mergeCell ref="EG8:EG9"/>
    <mergeCell ref="CN8:CN9"/>
    <mergeCell ref="CE7:CE9"/>
    <mergeCell ref="CK7:CK9"/>
    <mergeCell ref="CM7:CO7"/>
    <mergeCell ref="CO8:CO9"/>
    <mergeCell ref="CM8:CM9"/>
    <mergeCell ref="CP8:DB9"/>
    <mergeCell ref="EN8:EP9"/>
    <mergeCell ref="EK8:EM9"/>
    <mergeCell ref="DC8:DO9"/>
    <mergeCell ref="DQ8:DX9"/>
    <mergeCell ref="CP7:DP7"/>
    <mergeCell ref="A7:A9"/>
    <mergeCell ref="F7:F9"/>
    <mergeCell ref="G7:G9"/>
    <mergeCell ref="H7:H9"/>
    <mergeCell ref="D7:D9"/>
    <mergeCell ref="E7:E9"/>
    <mergeCell ref="B7:B9"/>
    <mergeCell ref="C7:C9"/>
    <mergeCell ref="CI742:CJ742"/>
    <mergeCell ref="AK7:AK9"/>
    <mergeCell ref="CH7:CH9"/>
    <mergeCell ref="AU7:AU9"/>
    <mergeCell ref="BJ7:BJ9"/>
    <mergeCell ref="AL8:AN8"/>
    <mergeCell ref="AX7:AX9"/>
    <mergeCell ref="BT8:BT9"/>
    <mergeCell ref="CG7:CG9"/>
    <mergeCell ref="BR8:BR9"/>
    <mergeCell ref="AA8:AA9"/>
    <mergeCell ref="AE8:AE9"/>
    <mergeCell ref="O8:O9"/>
    <mergeCell ref="X8:X9"/>
    <mergeCell ref="V8:V9"/>
    <mergeCell ref="W8:W9"/>
    <mergeCell ref="U8:U9"/>
    <mergeCell ref="Q8:Q9"/>
    <mergeCell ref="AJ7:AJ9"/>
    <mergeCell ref="Y8:Y9"/>
    <mergeCell ref="AC8:AC9"/>
    <mergeCell ref="AB8:AB9"/>
    <mergeCell ref="AD8:AD9"/>
    <mergeCell ref="AG7:AI7"/>
    <mergeCell ref="AG8:AG9"/>
    <mergeCell ref="AC7:AD7"/>
    <mergeCell ref="Y7:Z7"/>
    <mergeCell ref="Z8:Z9"/>
    <mergeCell ref="AO8:AS8"/>
    <mergeCell ref="AL7:AT7"/>
    <mergeCell ref="K7:K9"/>
    <mergeCell ref="AT8:AT9"/>
    <mergeCell ref="S7:X7"/>
    <mergeCell ref="AA7:AB7"/>
    <mergeCell ref="AH8:AI8"/>
    <mergeCell ref="AE7:AF7"/>
    <mergeCell ref="AF8:AF9"/>
    <mergeCell ref="M7:M9"/>
    <mergeCell ref="P8:P9"/>
    <mergeCell ref="T8:T9"/>
    <mergeCell ref="R8:R9"/>
    <mergeCell ref="S8:S9"/>
    <mergeCell ref="J7:J9"/>
    <mergeCell ref="F742:G742"/>
    <mergeCell ref="L7:L9"/>
    <mergeCell ref="I7:I9"/>
    <mergeCell ref="N7:R7"/>
    <mergeCell ref="N8:N9"/>
    <mergeCell ref="N746:Q746"/>
    <mergeCell ref="N747:Q747"/>
    <mergeCell ref="N752:Q752"/>
    <mergeCell ref="N748:Q748"/>
    <mergeCell ref="N751:Q751"/>
    <mergeCell ref="N750:Q750"/>
    <mergeCell ref="N749:Q749"/>
    <mergeCell ref="BM8:BM9"/>
    <mergeCell ref="BL7:BL9"/>
    <mergeCell ref="AV7:AV9"/>
    <mergeCell ref="AW7:AW9"/>
    <mergeCell ref="AY7:BD8"/>
    <mergeCell ref="BE7:BI8"/>
    <mergeCell ref="BM7:BO7"/>
    <mergeCell ref="BK7:BK9"/>
    <mergeCell ref="FN7:FN8"/>
    <mergeCell ref="BN8:BN9"/>
    <mergeCell ref="BO8:BO9"/>
    <mergeCell ref="CD7:CD9"/>
    <mergeCell ref="CC7:CC9"/>
    <mergeCell ref="BW7:BW9"/>
    <mergeCell ref="BX7:BX9"/>
    <mergeCell ref="EH8:EJ9"/>
    <mergeCell ref="EH7:EP7"/>
    <mergeCell ref="DY8:EF9"/>
  </mergeCells>
  <phoneticPr fontId="0" type="noConversion"/>
  <pageMargins left="0.17" right="0.3" top="0.4" bottom="0.54" header="0.28999999999999998" footer="0.32"/>
  <pageSetup paperSize="8" scale="49" orientation="landscape" r:id="rId1"/>
  <headerFooter alignWithMargins="0">
    <oddFooter>&amp;C&amp;P&amp;R&amp;F</oddFooter>
  </headerFooter>
  <legacyDrawing r:id="rId2"/>
</worksheet>
</file>

<file path=xl/worksheets/sheet5.xml><?xml version="1.0" encoding="utf-8"?>
<worksheet xmlns="http://schemas.openxmlformats.org/spreadsheetml/2006/main" xmlns:r="http://schemas.openxmlformats.org/officeDocument/2006/relationships">
  <sheetPr codeName="Sheet5" enableFormatConditionsCalculation="0">
    <tabColor indexed="42"/>
  </sheetPr>
  <dimension ref="A1:AN115"/>
  <sheetViews>
    <sheetView showZeros="0" workbookViewId="0">
      <selection activeCell="A2" sqref="A2"/>
    </sheetView>
  </sheetViews>
  <sheetFormatPr defaultRowHeight="14.25" outlineLevelRow="2"/>
  <cols>
    <col min="1" max="1" width="4" style="13" bestFit="1" customWidth="1"/>
    <col min="2" max="2" width="3.125" style="13" bestFit="1" customWidth="1"/>
    <col min="3" max="3" width="23.75" style="11" bestFit="1" customWidth="1"/>
    <col min="4" max="4" width="5.75" style="13" bestFit="1" customWidth="1"/>
    <col min="5" max="6" width="6.375" style="18" bestFit="1" customWidth="1"/>
    <col min="7" max="8" width="7.25" style="11" customWidth="1"/>
    <col min="9" max="9" width="7.375" style="11" bestFit="1" customWidth="1"/>
    <col min="10" max="11" width="7.375" style="11" customWidth="1"/>
    <col min="12" max="12" width="7" style="18" bestFit="1" customWidth="1"/>
    <col min="13" max="13" width="8.375" style="11" bestFit="1" customWidth="1"/>
    <col min="14" max="14" width="7.375" style="18" bestFit="1" customWidth="1"/>
    <col min="15" max="15" width="7.875" style="18" customWidth="1"/>
    <col min="16" max="16" width="7.375" style="18" bestFit="1" customWidth="1"/>
    <col min="17" max="17" width="8" style="11" customWidth="1"/>
    <col min="18" max="18" width="6.625" style="18" customWidth="1"/>
    <col min="19" max="19" width="7.375" style="18" bestFit="1" customWidth="1"/>
    <col min="20" max="20" width="7.375" style="11" bestFit="1" customWidth="1"/>
    <col min="21" max="21" width="12.375" style="18" bestFit="1" customWidth="1"/>
    <col min="22" max="22" width="7.375" style="18" bestFit="1" customWidth="1"/>
    <col min="23" max="24" width="13.5" style="18" bestFit="1" customWidth="1"/>
    <col min="25" max="25" width="10.25" style="18" hidden="1" customWidth="1"/>
    <col min="26" max="26" width="9.875" style="18" hidden="1" customWidth="1"/>
    <col min="27" max="27" width="13.5" style="18" hidden="1" customWidth="1"/>
    <col min="28" max="28" width="9.75" style="18" hidden="1" customWidth="1"/>
    <col min="29" max="29" width="13.5" style="18" hidden="1" customWidth="1"/>
    <col min="30" max="30" width="9.625" style="11" hidden="1" customWidth="1"/>
    <col min="31" max="32" width="7.625" style="13" customWidth="1"/>
    <col min="33" max="33" width="7.375" style="13" bestFit="1" customWidth="1"/>
    <col min="34" max="34" width="10.5" style="11" bestFit="1" customWidth="1"/>
    <col min="35" max="35" width="6.625" style="13" hidden="1" customWidth="1"/>
    <col min="36" max="36" width="4.125" style="13" hidden="1" customWidth="1"/>
    <col min="37" max="38" width="4.75" style="13" hidden="1" customWidth="1"/>
    <col min="39" max="39" width="5.25" style="13" hidden="1" customWidth="1"/>
    <col min="40" max="40" width="6.375" style="13" hidden="1" customWidth="1"/>
    <col min="41" max="41" width="10.75" style="11" bestFit="1" customWidth="1"/>
    <col min="42" max="16384" width="9" style="11"/>
  </cols>
  <sheetData>
    <row r="1" spans="1:40" ht="21">
      <c r="A1" s="338" t="s">
        <v>165</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row>
    <row r="3" spans="1:40" s="15" customFormat="1" ht="15" customHeight="1">
      <c r="A3" s="321" t="s">
        <v>1312</v>
      </c>
      <c r="B3" s="324" t="s">
        <v>1338</v>
      </c>
      <c r="C3" s="324" t="s">
        <v>956</v>
      </c>
      <c r="D3" s="314" t="s">
        <v>1586</v>
      </c>
      <c r="E3" s="314" t="s">
        <v>957</v>
      </c>
      <c r="F3" s="321"/>
      <c r="G3" s="314" t="s">
        <v>1159</v>
      </c>
      <c r="H3" s="313"/>
      <c r="I3" s="314" t="s">
        <v>960</v>
      </c>
      <c r="J3" s="313"/>
      <c r="K3" s="313"/>
      <c r="L3" s="340" t="s">
        <v>961</v>
      </c>
      <c r="M3" s="314" t="s">
        <v>962</v>
      </c>
      <c r="N3" s="314" t="s">
        <v>2363</v>
      </c>
      <c r="O3" s="313"/>
      <c r="P3" s="313"/>
      <c r="Q3" s="314" t="s">
        <v>1820</v>
      </c>
      <c r="R3" s="340" t="s">
        <v>958</v>
      </c>
      <c r="S3" s="340" t="s">
        <v>959</v>
      </c>
      <c r="T3" s="324" t="s">
        <v>1353</v>
      </c>
      <c r="U3" s="321"/>
      <c r="V3" s="321"/>
      <c r="W3" s="321"/>
      <c r="X3" s="321"/>
      <c r="Y3" s="341" t="s">
        <v>1024</v>
      </c>
      <c r="Z3" s="341" t="s">
        <v>2292</v>
      </c>
      <c r="AA3" s="341" t="s">
        <v>3068</v>
      </c>
      <c r="AB3" s="340" t="s">
        <v>1023</v>
      </c>
      <c r="AC3" s="340" t="s">
        <v>211</v>
      </c>
      <c r="AD3" s="314" t="s">
        <v>1025</v>
      </c>
      <c r="AE3" s="314" t="s">
        <v>1026</v>
      </c>
      <c r="AF3" s="314" t="s">
        <v>3001</v>
      </c>
      <c r="AG3" s="314" t="s">
        <v>651</v>
      </c>
      <c r="AH3" s="314" t="s">
        <v>652</v>
      </c>
      <c r="AI3" s="324" t="s">
        <v>1083</v>
      </c>
      <c r="AJ3" s="321"/>
      <c r="AK3" s="321"/>
      <c r="AL3" s="321"/>
      <c r="AM3" s="321"/>
      <c r="AN3" s="321"/>
    </row>
    <row r="4" spans="1:40" s="13" customFormat="1" ht="15" customHeight="1">
      <c r="A4" s="321"/>
      <c r="B4" s="321"/>
      <c r="C4" s="321"/>
      <c r="D4" s="313"/>
      <c r="E4" s="321"/>
      <c r="F4" s="321"/>
      <c r="G4" s="313"/>
      <c r="H4" s="313"/>
      <c r="I4" s="322" t="s">
        <v>1826</v>
      </c>
      <c r="J4" s="322" t="s">
        <v>1827</v>
      </c>
      <c r="K4" s="323"/>
      <c r="L4" s="340"/>
      <c r="M4" s="313"/>
      <c r="N4" s="313"/>
      <c r="O4" s="313"/>
      <c r="P4" s="313"/>
      <c r="Q4" s="313"/>
      <c r="R4" s="340"/>
      <c r="S4" s="340"/>
      <c r="T4" s="321"/>
      <c r="U4" s="321"/>
      <c r="V4" s="321"/>
      <c r="W4" s="321"/>
      <c r="X4" s="321"/>
      <c r="Y4" s="342"/>
      <c r="Z4" s="342"/>
      <c r="AA4" s="342"/>
      <c r="AB4" s="340"/>
      <c r="AC4" s="340"/>
      <c r="AD4" s="313"/>
      <c r="AE4" s="321"/>
      <c r="AF4" s="321"/>
      <c r="AG4" s="321"/>
      <c r="AH4" s="321"/>
      <c r="AI4" s="314" t="s">
        <v>1084</v>
      </c>
      <c r="AJ4" s="314" t="s">
        <v>2407</v>
      </c>
      <c r="AK4" s="314" t="s">
        <v>2408</v>
      </c>
      <c r="AL4" s="314" t="s">
        <v>2544</v>
      </c>
      <c r="AM4" s="314" t="s">
        <v>198</v>
      </c>
      <c r="AN4" s="314" t="s">
        <v>199</v>
      </c>
    </row>
    <row r="5" spans="1:40" s="13" customFormat="1" ht="63" customHeight="1">
      <c r="A5" s="321"/>
      <c r="B5" s="321"/>
      <c r="C5" s="321"/>
      <c r="D5" s="313"/>
      <c r="E5" s="123" t="s">
        <v>1824</v>
      </c>
      <c r="F5" s="123" t="s">
        <v>1825</v>
      </c>
      <c r="G5" s="82" t="s">
        <v>1824</v>
      </c>
      <c r="H5" s="82" t="s">
        <v>1825</v>
      </c>
      <c r="I5" s="327"/>
      <c r="J5" s="82" t="s">
        <v>2272</v>
      </c>
      <c r="K5" s="82" t="s">
        <v>566</v>
      </c>
      <c r="L5" s="340"/>
      <c r="M5" s="313"/>
      <c r="N5" s="92" t="s">
        <v>1349</v>
      </c>
      <c r="O5" s="92" t="s">
        <v>1350</v>
      </c>
      <c r="P5" s="92" t="s">
        <v>1351</v>
      </c>
      <c r="Q5" s="313"/>
      <c r="R5" s="340"/>
      <c r="S5" s="340"/>
      <c r="T5" s="81" t="s">
        <v>653</v>
      </c>
      <c r="U5" s="92" t="s">
        <v>654</v>
      </c>
      <c r="V5" s="92" t="s">
        <v>655</v>
      </c>
      <c r="W5" s="92" t="s">
        <v>654</v>
      </c>
      <c r="X5" s="92" t="s">
        <v>656</v>
      </c>
      <c r="Y5" s="343"/>
      <c r="Z5" s="343"/>
      <c r="AA5" s="343"/>
      <c r="AB5" s="340"/>
      <c r="AC5" s="340"/>
      <c r="AD5" s="313"/>
      <c r="AE5" s="321"/>
      <c r="AF5" s="321"/>
      <c r="AG5" s="321"/>
      <c r="AH5" s="321"/>
      <c r="AI5" s="313"/>
      <c r="AJ5" s="313"/>
      <c r="AK5" s="313"/>
      <c r="AL5" s="313"/>
      <c r="AM5" s="313"/>
      <c r="AN5" s="313"/>
    </row>
    <row r="6" spans="1:40" s="13" customFormat="1" ht="14.25" hidden="1" customHeight="1">
      <c r="A6" s="84"/>
      <c r="B6" s="84"/>
      <c r="C6" s="84"/>
      <c r="D6" s="86"/>
      <c r="E6" s="124"/>
      <c r="F6" s="124"/>
      <c r="G6" s="101"/>
      <c r="H6" s="101"/>
      <c r="I6" s="86"/>
      <c r="J6" s="86"/>
      <c r="K6" s="86"/>
      <c r="L6" s="102"/>
      <c r="M6" s="86"/>
      <c r="N6" s="102"/>
      <c r="O6" s="102"/>
      <c r="P6" s="102"/>
      <c r="Q6" s="86"/>
      <c r="R6" s="102"/>
      <c r="S6" s="102"/>
      <c r="T6" s="86"/>
      <c r="U6" s="102"/>
      <c r="V6" s="102"/>
      <c r="W6" s="102"/>
      <c r="X6" s="102"/>
      <c r="Y6" s="102"/>
      <c r="Z6" s="102"/>
      <c r="AA6" s="102"/>
      <c r="AB6" s="102"/>
      <c r="AC6" s="102"/>
      <c r="AD6" s="86"/>
      <c r="AE6" s="84"/>
      <c r="AF6" s="84"/>
      <c r="AG6" s="84"/>
      <c r="AH6" s="84"/>
      <c r="AI6" s="103"/>
      <c r="AJ6" s="103"/>
      <c r="AK6" s="103"/>
      <c r="AL6" s="103"/>
      <c r="AM6" s="313"/>
      <c r="AN6" s="103"/>
    </row>
    <row r="7" spans="1:40" s="13" customFormat="1">
      <c r="A7" s="93" t="s">
        <v>1801</v>
      </c>
      <c r="B7" s="93" t="s">
        <v>1802</v>
      </c>
      <c r="C7" s="93" t="s">
        <v>1798</v>
      </c>
      <c r="D7" s="94" t="s">
        <v>1799</v>
      </c>
      <c r="E7" s="122">
        <v>1</v>
      </c>
      <c r="F7" s="122">
        <v>2</v>
      </c>
      <c r="G7" s="104">
        <v>3</v>
      </c>
      <c r="H7" s="104">
        <v>4</v>
      </c>
      <c r="I7" s="104">
        <v>5</v>
      </c>
      <c r="J7" s="104">
        <f>I7+1</f>
        <v>6</v>
      </c>
      <c r="K7" s="104">
        <f>J7+1</f>
        <v>7</v>
      </c>
      <c r="L7" s="104">
        <f t="shared" ref="L7:AH7" si="0">K7+1</f>
        <v>8</v>
      </c>
      <c r="M7" s="104">
        <f t="shared" si="0"/>
        <v>9</v>
      </c>
      <c r="N7" s="104">
        <f t="shared" si="0"/>
        <v>10</v>
      </c>
      <c r="O7" s="104">
        <f t="shared" si="0"/>
        <v>11</v>
      </c>
      <c r="P7" s="104">
        <f t="shared" si="0"/>
        <v>12</v>
      </c>
      <c r="Q7" s="104">
        <f t="shared" si="0"/>
        <v>13</v>
      </c>
      <c r="R7" s="104">
        <f t="shared" si="0"/>
        <v>14</v>
      </c>
      <c r="S7" s="104">
        <f t="shared" si="0"/>
        <v>15</v>
      </c>
      <c r="T7" s="104">
        <f t="shared" si="0"/>
        <v>16</v>
      </c>
      <c r="U7" s="104">
        <f t="shared" si="0"/>
        <v>17</v>
      </c>
      <c r="V7" s="104">
        <f t="shared" si="0"/>
        <v>18</v>
      </c>
      <c r="W7" s="104">
        <f t="shared" si="0"/>
        <v>19</v>
      </c>
      <c r="X7" s="104">
        <f t="shared" si="0"/>
        <v>20</v>
      </c>
      <c r="Y7" s="104">
        <f t="shared" si="0"/>
        <v>21</v>
      </c>
      <c r="Z7" s="104">
        <f t="shared" si="0"/>
        <v>22</v>
      </c>
      <c r="AA7" s="104">
        <f t="shared" si="0"/>
        <v>23</v>
      </c>
      <c r="AB7" s="104">
        <f t="shared" si="0"/>
        <v>24</v>
      </c>
      <c r="AC7" s="104">
        <f t="shared" si="0"/>
        <v>25</v>
      </c>
      <c r="AD7" s="104">
        <f t="shared" si="0"/>
        <v>26</v>
      </c>
      <c r="AE7" s="104">
        <f>AD7+1</f>
        <v>27</v>
      </c>
      <c r="AF7" s="104">
        <f>AE7+1</f>
        <v>28</v>
      </c>
      <c r="AG7" s="104">
        <f>AE7+1</f>
        <v>28</v>
      </c>
      <c r="AH7" s="104">
        <f t="shared" si="0"/>
        <v>29</v>
      </c>
      <c r="AI7" s="104">
        <v>23</v>
      </c>
      <c r="AJ7" s="101">
        <v>24</v>
      </c>
      <c r="AK7" s="101">
        <v>25</v>
      </c>
      <c r="AL7" s="101">
        <v>26</v>
      </c>
      <c r="AM7" s="80">
        <v>25</v>
      </c>
      <c r="AN7" s="80">
        <v>26</v>
      </c>
    </row>
    <row r="8" spans="1:40" ht="17.100000000000001" customHeight="1" outlineLevel="2">
      <c r="A8" s="105">
        <v>1</v>
      </c>
      <c r="B8" s="105">
        <v>1</v>
      </c>
      <c r="C8" s="95" t="s">
        <v>3070</v>
      </c>
      <c r="D8" s="105">
        <f>COUNTIF(vuot2019_2020_I!$K$12:$K$741,C8)</f>
        <v>8</v>
      </c>
      <c r="E8" s="106">
        <f>SUMIF(vuot2019_2020_I!$L$12:$L$741,C8,vuot2019_2020_I!$AC$12:$AC$741)</f>
        <v>661.5</v>
      </c>
      <c r="F8" s="106">
        <f>SUMIF(vuot2019_2020_I!$L$12:$L$741,C8,vuot2019_2020_I!$AD$12:$AD$741)</f>
        <v>316</v>
      </c>
      <c r="G8" s="106">
        <f>SUMIF(vuot2019_2020_I!$L$12:$L$741,C8,vuot2019_2020_I!$AE$12:$AE$741)</f>
        <v>1476</v>
      </c>
      <c r="H8" s="106">
        <f>SUMIF(vuot2019_2020_I!$L$12:$L$741,C8,vuot2019_2020_I!$AF$12:$AF$741)</f>
        <v>884</v>
      </c>
      <c r="I8" s="107">
        <f>SUMIF(vuot2019_2020_I!$L$12:$L$741,C8,vuot2019_2020_I!$AG$12:$AG$741)</f>
        <v>1221.1133333333332</v>
      </c>
      <c r="J8" s="107">
        <f>SUMIF(vuot2019_2020_I!$L$12:$L$741,C8,vuot2019_2020_I!$AH$12:$AH$741)</f>
        <v>545.24333333333334</v>
      </c>
      <c r="K8" s="107">
        <f>SUMIF(vuot2019_2020_I!$L$12:$L$741,C8,vuot2019_2020_I!$AI$12:$AI$741)</f>
        <v>675.87</v>
      </c>
      <c r="L8" s="107">
        <f>SUMIF(vuot2019_2020_I!$L$12:$L$741,C8,vuot2019_2020_I!$AJ$12:$AJ$741)</f>
        <v>-244.81</v>
      </c>
      <c r="M8" s="107">
        <f>SUMIF(vuot2019_2020_I!$L$12:$L$741,C8,vuot2019_2020_I!$AK$12:$AK$741)</f>
        <v>1720.81</v>
      </c>
      <c r="N8" s="107">
        <f>SUMIF(vuot2019_2020_I!$L$12:$L$741,C8,vuot2019_2020_I!$AL$12:$AL$741)</f>
        <v>846</v>
      </c>
      <c r="O8" s="107">
        <f>SUMIF(vuot2019_2020_I!$L$12:$L$741,C8,vuot2019_2020_I!$AM$12:$AM$741)</f>
        <v>190.5</v>
      </c>
      <c r="P8" s="107">
        <f>SUMIF(vuot2019_2020_I!$L$12:$L$741,C8,vuot2019_2020_I!$AN$12:$AN$741)</f>
        <v>1036.5</v>
      </c>
      <c r="Q8" s="107">
        <f>SUMIF(vuot2019_2020_I!$L$12:$L$752,C8,vuot2019_2020_I!$AU$12:$AU$752)</f>
        <v>-684.31</v>
      </c>
      <c r="R8" s="107">
        <f>SUMIF(vuot2019_2020_I!$L$12:$L$752,C8,vuot2019_2020_I!$BK$12:$BK$752)</f>
        <v>0</v>
      </c>
      <c r="S8" s="107">
        <f>SUMIF(vuot2019_2020_I!$L$12:$L$741,C8,vuot2019_2020_I!$BL$12:$BL$741)</f>
        <v>28.5</v>
      </c>
      <c r="T8" s="107">
        <f>SUMIF(vuot2019_2020_I!$L$12:$L$741,C8,vuot2019_2020_I!$BP$12:$BP$741)</f>
        <v>28.5</v>
      </c>
      <c r="U8" s="108">
        <f>SUMIF(vuot2019_2020_I!$L$12:$L$741,C8,vuot2019_2020_I!$BR$12:$BR$741)</f>
        <v>2422500</v>
      </c>
      <c r="V8" s="107">
        <f>SUMIF(vuot2019_2020_I!$L$12:$L$741,C8,vuot2019_2020_I!$BS$12:$BS$741)</f>
        <v>0</v>
      </c>
      <c r="W8" s="108">
        <f>SUMIF(vuot2019_2020_I!$L$12:$L$741,C8,vuot2019_2020_I!$BU$12:$BU$741)</f>
        <v>0</v>
      </c>
      <c r="X8" s="108">
        <f>SUMIF(vuot2019_2020_I!$L$12:$L$741,C8,vuot2019_2020_I!$BV$12:$BV$741)</f>
        <v>2422500</v>
      </c>
      <c r="Y8" s="108">
        <f>SUMIF(vuot2019_2020_I!$L$12:$L$741,C8,vuot2019_2020_I!$BW$12:$BW$741)</f>
        <v>0</v>
      </c>
      <c r="Z8" s="109">
        <f>SUMIF(vuot2019_2020_I!$L$12:$L$741,C8,vuot2019_2020_I!$BX$12:$BX$741)</f>
        <v>0</v>
      </c>
      <c r="AA8" s="109">
        <f>SUMIF(vuot2019_2020_I!$L$12:$L$741,C8,vuot2019_2020_I!$BY$12:$BY$741)+SUMIF(vuot2019_2020_I!$L$12:$L$741,C8,vuot2019_2020_I!$BZ$12:$BZ$741)</f>
        <v>0</v>
      </c>
      <c r="AB8" s="108">
        <f>SUMIF(vuot2019_2020_I!$L$12:$L$741,C8,vuot2019_2020_I!$CB$12:$CB$741)</f>
        <v>0</v>
      </c>
      <c r="AC8" s="108">
        <f>SUMIF(vuot2019_2020_I!$L$12:$L$741,C8,vuot2019_2020_I!$CC$12:$CC$741)+SUMIF(vuot2019_2020_I!$L$12:$L$741,C8,vuot2019_2020_I!$CA$12:$CA$741)</f>
        <v>2422500</v>
      </c>
      <c r="AD8" s="108">
        <f>SUMIF(vuot2019_2020_I!$L$12:$L$741,C8,vuot2019_2020_I!$CD$12:$CD$741)</f>
        <v>0</v>
      </c>
      <c r="AE8" s="110">
        <f t="shared" ref="AE8:AE39" si="1">P8/D8</f>
        <v>129.5625</v>
      </c>
      <c r="AF8" s="110">
        <f>S8/D8</f>
        <v>3.5625</v>
      </c>
      <c r="AG8" s="87">
        <f t="shared" ref="AG8:AG17" si="2">I8/D8</f>
        <v>152.63916666666665</v>
      </c>
      <c r="AH8" s="107">
        <f t="shared" ref="AH8:AH17" si="3">X8/D8</f>
        <v>302812.5</v>
      </c>
      <c r="AI8" s="87">
        <f t="shared" ref="AI8:AI39" si="4">P8/(AJ8+AK8)</f>
        <v>129.5625</v>
      </c>
      <c r="AJ8" s="88">
        <f t="shared" ref="AJ8:AJ17" si="5">D8</f>
        <v>8</v>
      </c>
      <c r="AK8" s="88"/>
      <c r="AL8" s="88">
        <f t="shared" ref="AL8:AL17" si="6">AK8+AJ8</f>
        <v>8</v>
      </c>
      <c r="AM8" s="88">
        <f t="shared" ref="AM8:AM17" si="7">ROUND(P8/630,0)</f>
        <v>2</v>
      </c>
      <c r="AN8" s="88"/>
    </row>
    <row r="9" spans="1:40" ht="17.100000000000001" customHeight="1" outlineLevel="2">
      <c r="A9" s="88">
        <v>2</v>
      </c>
      <c r="B9" s="88">
        <v>1</v>
      </c>
      <c r="C9" s="90" t="s">
        <v>3073</v>
      </c>
      <c r="D9" s="105">
        <f>COUNTIF(vuot2019_2020_I!$K$12:$K$741,C9)</f>
        <v>7</v>
      </c>
      <c r="E9" s="106">
        <f>SUMIF(vuot2019_2020_I!$L$12:$L$741,C9,vuot2019_2020_I!$AC$12:$AC$741)</f>
        <v>472.5</v>
      </c>
      <c r="F9" s="106">
        <f>SUMIF(vuot2019_2020_I!$L$12:$L$741,C9,vuot2019_2020_I!$AD$12:$AD$741)</f>
        <v>120</v>
      </c>
      <c r="G9" s="106">
        <f>SUMIF(vuot2019_2020_I!$L$12:$L$741,C9,vuot2019_2020_I!$AE$12:$AE$741)</f>
        <v>1417.5</v>
      </c>
      <c r="H9" s="106">
        <f>SUMIF(vuot2019_2020_I!$L$12:$L$741,C9,vuot2019_2020_I!$AF$12:$AF$741)</f>
        <v>1040</v>
      </c>
      <c r="I9" s="107">
        <f>SUMIF(vuot2019_2020_I!$L$12:$L$741,C9,vuot2019_2020_I!$AG$12:$AG$741)</f>
        <v>752.19</v>
      </c>
      <c r="J9" s="107">
        <f>SUMIF(vuot2019_2020_I!$L$12:$L$741,C9,vuot2019_2020_I!$AH$12:$AH$741)</f>
        <v>238.72999999999996</v>
      </c>
      <c r="K9" s="107">
        <f>SUMIF(vuot2019_2020_I!$L$12:$L$741,C9,vuot2019_2020_I!$AI$12:$AI$741)</f>
        <v>513.46</v>
      </c>
      <c r="L9" s="107">
        <f>SUMIF(vuot2019_2020_I!$L$12:$L$741,C9,vuot2019_2020_I!$AJ$12:$AJ$741)</f>
        <v>-432.21000000000004</v>
      </c>
      <c r="M9" s="107">
        <f>SUMIF(vuot2019_2020_I!$L$12:$L$741,C9,vuot2019_2020_I!$AK$12:$AK$741)</f>
        <v>1849.7099999999998</v>
      </c>
      <c r="N9" s="107">
        <f>SUMIF(vuot2019_2020_I!$L$12:$L$741,C9,vuot2019_2020_I!$AL$12:$AL$741)</f>
        <v>1177</v>
      </c>
      <c r="O9" s="107">
        <f>SUMIF(vuot2019_2020_I!$L$12:$L$741,C9,vuot2019_2020_I!$AM$12:$AM$741)</f>
        <v>192.3</v>
      </c>
      <c r="P9" s="107">
        <f>SUMIF(vuot2019_2020_I!$L$12:$L$741,C9,vuot2019_2020_I!$AN$12:$AN$741)</f>
        <v>1369.3000000000002</v>
      </c>
      <c r="Q9" s="107">
        <f>SUMIF(vuot2019_2020_I!$L$12:$L$752,C9,vuot2019_2020_I!$AU$12:$AU$752)</f>
        <v>-480.40999999999991</v>
      </c>
      <c r="R9" s="107">
        <f>SUMIF(vuot2019_2020_I!$L$12:$L$752,C9,vuot2019_2020_I!$BK$12:$BK$752)</f>
        <v>0</v>
      </c>
      <c r="S9" s="107">
        <f>SUMIF(vuot2019_2020_I!$L$12:$L$741,C9,vuot2019_2020_I!$BL$12:$BL$741)</f>
        <v>0</v>
      </c>
      <c r="T9" s="107">
        <f>SUMIF(vuot2019_2020_I!$L$12:$L$741,C9,vuot2019_2020_I!$BP$12:$BP$741)</f>
        <v>0</v>
      </c>
      <c r="U9" s="108">
        <f>SUMIF(vuot2019_2020_I!$L$12:$L$741,C9,vuot2019_2020_I!$BR$12:$BR$741)</f>
        <v>0</v>
      </c>
      <c r="V9" s="107">
        <f>SUMIF(vuot2019_2020_I!$L$12:$L$741,C9,vuot2019_2020_I!$BS$12:$BS$741)</f>
        <v>0</v>
      </c>
      <c r="W9" s="108">
        <f>SUMIF(vuot2019_2020_I!$L$12:$L$741,C9,vuot2019_2020_I!$BU$12:$BU$741)</f>
        <v>0</v>
      </c>
      <c r="X9" s="108">
        <f>SUMIF(vuot2019_2020_I!$L$12:$L$741,C9,vuot2019_2020_I!$BV$12:$BV$741)</f>
        <v>0</v>
      </c>
      <c r="Y9" s="108">
        <f>SUMIF(vuot2019_2020_I!$L$12:$L$741,C9,vuot2019_2020_I!$BW$12:$BW$741)</f>
        <v>0</v>
      </c>
      <c r="Z9" s="109">
        <f>SUMIF(vuot2019_2020_I!$L$12:$L$741,C9,vuot2019_2020_I!$BX$12:$BX$741)</f>
        <v>0</v>
      </c>
      <c r="AA9" s="109">
        <f>SUMIF(vuot2019_2020_I!$L$12:$L$741,C9,vuot2019_2020_I!$BY$12:$BY$741)+SUMIF(vuot2019_2020_I!$L$12:$L$741,C9,vuot2019_2020_I!$BZ$12:$BZ$741)</f>
        <v>0</v>
      </c>
      <c r="AB9" s="108">
        <f>SUMIF(vuot2019_2020_I!$L$12:$L$741,C9,vuot2019_2020_I!$CB$12:$CB$741)</f>
        <v>0</v>
      </c>
      <c r="AC9" s="108">
        <f>SUMIF(vuot2019_2020_I!$L$12:$L$741,C9,vuot2019_2020_I!$CC$12:$CC$741)+SUMIF(vuot2019_2020_I!$L$12:$L$741,C9,vuot2019_2020_I!$CA$12:$CA$741)</f>
        <v>0</v>
      </c>
      <c r="AD9" s="108">
        <f>SUMIF(vuot2019_2020_I!$L$12:$L$741,C9,vuot2019_2020_I!$CD$12:$CD$741)</f>
        <v>0</v>
      </c>
      <c r="AE9" s="110">
        <f t="shared" si="1"/>
        <v>195.61428571428573</v>
      </c>
      <c r="AF9" s="110">
        <f t="shared" ref="AF9:AF72" si="8">S9/D9</f>
        <v>0</v>
      </c>
      <c r="AG9" s="87">
        <f t="shared" si="2"/>
        <v>107.45571428571429</v>
      </c>
      <c r="AH9" s="107">
        <f t="shared" si="3"/>
        <v>0</v>
      </c>
      <c r="AI9" s="87">
        <f t="shared" si="4"/>
        <v>195.61428571428573</v>
      </c>
      <c r="AJ9" s="88">
        <f t="shared" si="5"/>
        <v>7</v>
      </c>
      <c r="AK9" s="88"/>
      <c r="AL9" s="88">
        <f t="shared" si="6"/>
        <v>7</v>
      </c>
      <c r="AM9" s="88">
        <f t="shared" si="7"/>
        <v>2</v>
      </c>
      <c r="AN9" s="88"/>
    </row>
    <row r="10" spans="1:40" ht="17.100000000000001" customHeight="1" outlineLevel="2">
      <c r="A10" s="88">
        <v>3</v>
      </c>
      <c r="B10" s="88">
        <v>1</v>
      </c>
      <c r="C10" s="90" t="s">
        <v>3074</v>
      </c>
      <c r="D10" s="105">
        <f>COUNTIF(vuot2019_2020_I!$K$12:$K$741,C10)</f>
        <v>6</v>
      </c>
      <c r="E10" s="106">
        <f>SUMIF(vuot2019_2020_I!$L$12:$L$741,C10,vuot2019_2020_I!$AC$12:$AC$741)</f>
        <v>625.5</v>
      </c>
      <c r="F10" s="106">
        <f>SUMIF(vuot2019_2020_I!$L$12:$L$741,C10,vuot2019_2020_I!$AD$12:$AD$741)</f>
        <v>220</v>
      </c>
      <c r="G10" s="106">
        <f>SUMIF(vuot2019_2020_I!$L$12:$L$741,C10,vuot2019_2020_I!$AE$12:$AE$741)</f>
        <v>994.5</v>
      </c>
      <c r="H10" s="106">
        <f>SUMIF(vuot2019_2020_I!$L$12:$L$741,C10,vuot2019_2020_I!$AF$12:$AF$741)</f>
        <v>610</v>
      </c>
      <c r="I10" s="107">
        <f>SUMIF(vuot2019_2020_I!$L$12:$L$741,C10,vuot2019_2020_I!$AG$12:$AG$741)</f>
        <v>1502.52</v>
      </c>
      <c r="J10" s="107">
        <f>SUMIF(vuot2019_2020_I!$L$12:$L$741,C10,vuot2019_2020_I!$AH$12:$AH$741)</f>
        <v>441.48999999999995</v>
      </c>
      <c r="K10" s="107">
        <f>SUMIF(vuot2019_2020_I!$L$12:$L$741,C10,vuot2019_2020_I!$AI$12:$AI$741)</f>
        <v>1061.03</v>
      </c>
      <c r="L10" s="107">
        <f>SUMIF(vuot2019_2020_I!$L$12:$L$741,C10,vuot2019_2020_I!$AJ$12:$AJ$741)</f>
        <v>-150</v>
      </c>
      <c r="M10" s="107">
        <f>SUMIF(vuot2019_2020_I!$L$12:$L$741,C10,vuot2019_2020_I!$AK$12:$AK$741)</f>
        <v>1144.5</v>
      </c>
      <c r="N10" s="107">
        <f>SUMIF(vuot2019_2020_I!$L$12:$L$741,C10,vuot2019_2020_I!$AL$12:$AL$741)</f>
        <v>623.19999999999993</v>
      </c>
      <c r="O10" s="107">
        <f>SUMIF(vuot2019_2020_I!$L$12:$L$741,C10,vuot2019_2020_I!$AM$12:$AM$741)</f>
        <v>29</v>
      </c>
      <c r="P10" s="107">
        <f>SUMIF(vuot2019_2020_I!$L$12:$L$741,C10,vuot2019_2020_I!$AN$12:$AN$741)</f>
        <v>652.19999999999993</v>
      </c>
      <c r="Q10" s="107">
        <f>SUMIF(vuot2019_2020_I!$L$12:$L$752,C10,vuot2019_2020_I!$AU$12:$AU$752)</f>
        <v>-492.30000000000007</v>
      </c>
      <c r="R10" s="107">
        <f>SUMIF(vuot2019_2020_I!$L$12:$L$752,C10,vuot2019_2020_I!$BK$12:$BK$752)</f>
        <v>0</v>
      </c>
      <c r="S10" s="107">
        <f>SUMIF(vuot2019_2020_I!$L$12:$L$741,C10,vuot2019_2020_I!$BL$12:$BL$741)</f>
        <v>0</v>
      </c>
      <c r="T10" s="107">
        <f>SUMIF(vuot2019_2020_I!$L$12:$L$741,C10,vuot2019_2020_I!$BP$12:$BP$741)</f>
        <v>0</v>
      </c>
      <c r="U10" s="108">
        <f>SUMIF(vuot2019_2020_I!$L$12:$L$741,C10,vuot2019_2020_I!$BR$12:$BR$741)</f>
        <v>0</v>
      </c>
      <c r="V10" s="107">
        <f>SUMIF(vuot2019_2020_I!$L$12:$L$741,C10,vuot2019_2020_I!$BS$12:$BS$741)</f>
        <v>0</v>
      </c>
      <c r="W10" s="108">
        <f>SUMIF(vuot2019_2020_I!$L$12:$L$741,C10,vuot2019_2020_I!$BU$12:$BU$741)</f>
        <v>0</v>
      </c>
      <c r="X10" s="108">
        <f>SUMIF(vuot2019_2020_I!$L$12:$L$741,C10,vuot2019_2020_I!$BV$12:$BV$741)</f>
        <v>0</v>
      </c>
      <c r="Y10" s="108">
        <f>SUMIF(vuot2019_2020_I!$L$12:$L$741,C10,vuot2019_2020_I!$BW$12:$BW$741)</f>
        <v>0</v>
      </c>
      <c r="Z10" s="109">
        <f>SUMIF(vuot2019_2020_I!$L$12:$L$741,C10,vuot2019_2020_I!$BX$12:$BX$741)</f>
        <v>0</v>
      </c>
      <c r="AA10" s="109">
        <f>SUMIF(vuot2019_2020_I!$L$12:$L$741,C10,vuot2019_2020_I!$BY$12:$BY$741)+SUMIF(vuot2019_2020_I!$L$12:$L$741,C10,vuot2019_2020_I!$BZ$12:$BZ$741)</f>
        <v>0</v>
      </c>
      <c r="AB10" s="108">
        <f>SUMIF(vuot2019_2020_I!$L$12:$L$741,C10,vuot2019_2020_I!$CB$12:$CB$741)</f>
        <v>0</v>
      </c>
      <c r="AC10" s="108">
        <f>SUMIF(vuot2019_2020_I!$L$12:$L$741,C10,vuot2019_2020_I!$CC$12:$CC$741)+SUMIF(vuot2019_2020_I!$L$12:$L$741,C10,vuot2019_2020_I!$CA$12:$CA$741)</f>
        <v>0</v>
      </c>
      <c r="AD10" s="108">
        <f>SUMIF(vuot2019_2020_I!$L$12:$L$741,C10,vuot2019_2020_I!$CD$12:$CD$741)</f>
        <v>0</v>
      </c>
      <c r="AE10" s="110">
        <f t="shared" si="1"/>
        <v>108.69999999999999</v>
      </c>
      <c r="AF10" s="110">
        <f t="shared" si="8"/>
        <v>0</v>
      </c>
      <c r="AG10" s="87">
        <f t="shared" si="2"/>
        <v>250.42</v>
      </c>
      <c r="AH10" s="107">
        <f t="shared" si="3"/>
        <v>0</v>
      </c>
      <c r="AI10" s="87">
        <f t="shared" si="4"/>
        <v>108.69999999999999</v>
      </c>
      <c r="AJ10" s="88">
        <f t="shared" si="5"/>
        <v>6</v>
      </c>
      <c r="AK10" s="88"/>
      <c r="AL10" s="88">
        <f t="shared" si="6"/>
        <v>6</v>
      </c>
      <c r="AM10" s="88">
        <f t="shared" si="7"/>
        <v>1</v>
      </c>
      <c r="AN10" s="88"/>
    </row>
    <row r="11" spans="1:40" ht="17.100000000000001" customHeight="1" outlineLevel="2">
      <c r="A11" s="88">
        <v>4</v>
      </c>
      <c r="B11" s="88">
        <v>1</v>
      </c>
      <c r="C11" s="90" t="s">
        <v>3075</v>
      </c>
      <c r="D11" s="105">
        <f>COUNTIF(vuot2019_2020_I!$K$12:$K$741,C11)</f>
        <v>7</v>
      </c>
      <c r="E11" s="106">
        <f>SUMIF(vuot2019_2020_I!$L$12:$L$741,C11,vuot2019_2020_I!$AC$12:$AC$741)</f>
        <v>999</v>
      </c>
      <c r="F11" s="106">
        <f>SUMIF(vuot2019_2020_I!$L$12:$L$741,C11,vuot2019_2020_I!$AD$12:$AD$741)</f>
        <v>499</v>
      </c>
      <c r="G11" s="106">
        <f>SUMIF(vuot2019_2020_I!$L$12:$L$741,C11,vuot2019_2020_I!$AE$12:$AE$741)</f>
        <v>891</v>
      </c>
      <c r="H11" s="106">
        <f>SUMIF(vuot2019_2020_I!$L$12:$L$741,C11,vuot2019_2020_I!$AF$12:$AF$741)</f>
        <v>691</v>
      </c>
      <c r="I11" s="107">
        <f>SUMIF(vuot2019_2020_I!$L$12:$L$741,C11,vuot2019_2020_I!$AG$12:$AG$741)</f>
        <v>2446.7900000000004</v>
      </c>
      <c r="J11" s="107">
        <f>SUMIF(vuot2019_2020_I!$L$12:$L$741,C11,vuot2019_2020_I!$AH$12:$AH$741)</f>
        <v>983.0200000000001</v>
      </c>
      <c r="K11" s="107">
        <f>SUMIF(vuot2019_2020_I!$L$12:$L$741,C11,vuot2019_2020_I!$AI$12:$AI$741)</f>
        <v>1463.7700000000002</v>
      </c>
      <c r="L11" s="107">
        <f>SUMIF(vuot2019_2020_I!$L$12:$L$741,C11,vuot2019_2020_I!$AJ$12:$AJ$741)</f>
        <v>-63.379999999999995</v>
      </c>
      <c r="M11" s="107">
        <f>SUMIF(vuot2019_2020_I!$L$12:$L$741,C11,vuot2019_2020_I!$AK$12:$AK$741)</f>
        <v>954.38</v>
      </c>
      <c r="N11" s="107">
        <f>SUMIF(vuot2019_2020_I!$L$12:$L$741,C11,vuot2019_2020_I!$AL$12:$AL$741)</f>
        <v>441.29999999999995</v>
      </c>
      <c r="O11" s="107">
        <f>SUMIF(vuot2019_2020_I!$L$12:$L$741,C11,vuot2019_2020_I!$AM$12:$AM$741)</f>
        <v>150</v>
      </c>
      <c r="P11" s="107">
        <f>SUMIF(vuot2019_2020_I!$L$12:$L$741,C11,vuot2019_2020_I!$AN$12:$AN$741)</f>
        <v>591.29999999999995</v>
      </c>
      <c r="Q11" s="107">
        <f>SUMIF(vuot2019_2020_I!$L$12:$L$752,C11,vuot2019_2020_I!$AU$12:$AU$752)</f>
        <v>-363.08</v>
      </c>
      <c r="R11" s="107">
        <f>SUMIF(vuot2019_2020_I!$L$12:$L$752,C11,vuot2019_2020_I!$BK$12:$BK$752)</f>
        <v>0</v>
      </c>
      <c r="S11" s="107">
        <f>SUMIF(vuot2019_2020_I!$L$12:$L$741,C11,vuot2019_2020_I!$BL$12:$BL$741)</f>
        <v>25.799999999999997</v>
      </c>
      <c r="T11" s="107">
        <f>SUMIF(vuot2019_2020_I!$L$12:$L$741,C11,vuot2019_2020_I!$BP$12:$BP$741)</f>
        <v>25.799999999999997</v>
      </c>
      <c r="U11" s="108">
        <f>SUMIF(vuot2019_2020_I!$L$12:$L$741,C11,vuot2019_2020_I!$BR$12:$BR$741)</f>
        <v>1935000</v>
      </c>
      <c r="V11" s="107">
        <f>SUMIF(vuot2019_2020_I!$L$12:$L$741,C11,vuot2019_2020_I!$BS$12:$BS$741)</f>
        <v>0</v>
      </c>
      <c r="W11" s="108">
        <f>SUMIF(vuot2019_2020_I!$L$12:$L$741,C11,vuot2019_2020_I!$BU$12:$BU$741)</f>
        <v>0</v>
      </c>
      <c r="X11" s="108">
        <f>SUMIF(vuot2019_2020_I!$L$12:$L$741,C11,vuot2019_2020_I!$BV$12:$BV$741)</f>
        <v>1935000</v>
      </c>
      <c r="Y11" s="108">
        <f>SUMIF(vuot2019_2020_I!$L$12:$L$741,C11,vuot2019_2020_I!$BW$12:$BW$741)</f>
        <v>0</v>
      </c>
      <c r="Z11" s="109">
        <f>SUMIF(vuot2019_2020_I!$L$12:$L$741,C11,vuot2019_2020_I!$BX$12:$BX$741)</f>
        <v>0</v>
      </c>
      <c r="AA11" s="109">
        <f>SUMIF(vuot2019_2020_I!$L$12:$L$741,C11,vuot2019_2020_I!$BY$12:$BY$741)+SUMIF(vuot2019_2020_I!$L$12:$L$741,C11,vuot2019_2020_I!$BZ$12:$BZ$741)</f>
        <v>0</v>
      </c>
      <c r="AB11" s="108">
        <f>SUMIF(vuot2019_2020_I!$L$12:$L$741,C11,vuot2019_2020_I!$CB$12:$CB$741)</f>
        <v>0</v>
      </c>
      <c r="AC11" s="108">
        <f>SUMIF(vuot2019_2020_I!$L$12:$L$741,C11,vuot2019_2020_I!$CC$12:$CC$741)+SUMIF(vuot2019_2020_I!$L$12:$L$741,C11,vuot2019_2020_I!$CA$12:$CA$741)</f>
        <v>1935000</v>
      </c>
      <c r="AD11" s="108">
        <f>SUMIF(vuot2019_2020_I!$L$12:$L$741,C11,vuot2019_2020_I!$CD$12:$CD$741)</f>
        <v>0</v>
      </c>
      <c r="AE11" s="110">
        <f t="shared" si="1"/>
        <v>84.471428571428561</v>
      </c>
      <c r="AF11" s="110">
        <f t="shared" si="8"/>
        <v>3.6857142857142855</v>
      </c>
      <c r="AG11" s="87">
        <f t="shared" si="2"/>
        <v>349.54142857142864</v>
      </c>
      <c r="AH11" s="107">
        <f t="shared" si="3"/>
        <v>276428.57142857142</v>
      </c>
      <c r="AI11" s="87">
        <f t="shared" si="4"/>
        <v>84.471428571428561</v>
      </c>
      <c r="AJ11" s="88">
        <f t="shared" si="5"/>
        <v>7</v>
      </c>
      <c r="AK11" s="88"/>
      <c r="AL11" s="88">
        <f t="shared" si="6"/>
        <v>7</v>
      </c>
      <c r="AM11" s="88">
        <f t="shared" si="7"/>
        <v>1</v>
      </c>
      <c r="AN11" s="88"/>
    </row>
    <row r="12" spans="1:40" ht="17.100000000000001" customHeight="1" outlineLevel="2">
      <c r="A12" s="88">
        <v>5</v>
      </c>
      <c r="B12" s="88">
        <v>1</v>
      </c>
      <c r="C12" s="90" t="s">
        <v>3076</v>
      </c>
      <c r="D12" s="105">
        <f>COUNTIF(vuot2019_2020_I!$K$12:$K$741,C12)</f>
        <v>8</v>
      </c>
      <c r="E12" s="106">
        <f>SUMIF(vuot2019_2020_I!$L$12:$L$741,C12,vuot2019_2020_I!$AC$12:$AC$741)</f>
        <v>681.75</v>
      </c>
      <c r="F12" s="106">
        <f>SUMIF(vuot2019_2020_I!$L$12:$L$741,C12,vuot2019_2020_I!$AD$12:$AD$741)</f>
        <v>220</v>
      </c>
      <c r="G12" s="106">
        <f>SUMIF(vuot2019_2020_I!$L$12:$L$741,C12,vuot2019_2020_I!$AE$12:$AE$741)</f>
        <v>1253.25</v>
      </c>
      <c r="H12" s="106">
        <f>SUMIF(vuot2019_2020_I!$L$12:$L$741,C12,vuot2019_2020_I!$AF$12:$AF$741)</f>
        <v>770</v>
      </c>
      <c r="I12" s="107">
        <f>SUMIF(vuot2019_2020_I!$L$12:$L$741,C12,vuot2019_2020_I!$AG$12:$AG$741)</f>
        <v>1283.5900000000001</v>
      </c>
      <c r="J12" s="107">
        <f>SUMIF(vuot2019_2020_I!$L$12:$L$741,C12,vuot2019_2020_I!$AH$12:$AH$741)</f>
        <v>206.68</v>
      </c>
      <c r="K12" s="107">
        <f>SUMIF(vuot2019_2020_I!$L$12:$L$741,C12,vuot2019_2020_I!$AI$12:$AI$741)</f>
        <v>1076.9100000000001</v>
      </c>
      <c r="L12" s="107">
        <f>SUMIF(vuot2019_2020_I!$L$12:$L$741,C12,vuot2019_2020_I!$AJ$12:$AJ$741)</f>
        <v>-185.68</v>
      </c>
      <c r="M12" s="107">
        <f>SUMIF(vuot2019_2020_I!$L$12:$L$741,C12,vuot2019_2020_I!$AK$12:$AK$741)</f>
        <v>1438.93</v>
      </c>
      <c r="N12" s="107">
        <f>SUMIF(vuot2019_2020_I!$L$12:$L$741,C12,vuot2019_2020_I!$AL$12:$AL$741)</f>
        <v>1094</v>
      </c>
      <c r="O12" s="107">
        <f>SUMIF(vuot2019_2020_I!$L$12:$L$741,C12,vuot2019_2020_I!$AM$12:$AM$741)</f>
        <v>115.80000000000001</v>
      </c>
      <c r="P12" s="107">
        <f>SUMIF(vuot2019_2020_I!$L$12:$L$741,C12,vuot2019_2020_I!$AN$12:$AN$741)</f>
        <v>1209.8000000000002</v>
      </c>
      <c r="Q12" s="107">
        <f>SUMIF(vuot2019_2020_I!$L$12:$L$752,C12,vuot2019_2020_I!$AU$12:$AU$752)</f>
        <v>-229.13</v>
      </c>
      <c r="R12" s="107">
        <f>SUMIF(vuot2019_2020_I!$L$12:$L$752,C12,vuot2019_2020_I!$BK$12:$BK$752)</f>
        <v>0</v>
      </c>
      <c r="S12" s="107">
        <f>SUMIF(vuot2019_2020_I!$L$12:$L$741,C12,vuot2019_2020_I!$BL$12:$BL$741)</f>
        <v>64.54000000000002</v>
      </c>
      <c r="T12" s="107">
        <f>SUMIF(vuot2019_2020_I!$L$12:$L$741,C12,vuot2019_2020_I!$BP$12:$BP$741)</f>
        <v>64.54000000000002</v>
      </c>
      <c r="U12" s="108">
        <f>SUMIF(vuot2019_2020_I!$L$12:$L$741,C12,vuot2019_2020_I!$BR$12:$BR$741)</f>
        <v>4840500</v>
      </c>
      <c r="V12" s="107">
        <f>SUMIF(vuot2019_2020_I!$L$12:$L$741,C12,vuot2019_2020_I!$BS$12:$BS$741)</f>
        <v>0</v>
      </c>
      <c r="W12" s="108">
        <f>SUMIF(vuot2019_2020_I!$L$12:$L$741,C12,vuot2019_2020_I!$BU$12:$BU$741)</f>
        <v>0</v>
      </c>
      <c r="X12" s="108">
        <f>SUMIF(vuot2019_2020_I!$L$12:$L$741,C12,vuot2019_2020_I!$BV$12:$BV$741)</f>
        <v>4840500</v>
      </c>
      <c r="Y12" s="108">
        <f>SUMIF(vuot2019_2020_I!$L$12:$L$741,C12,vuot2019_2020_I!$BW$12:$BW$741)</f>
        <v>0</v>
      </c>
      <c r="Z12" s="109">
        <f>SUMIF(vuot2019_2020_I!$L$12:$L$741,C12,vuot2019_2020_I!$BX$12:$BX$741)</f>
        <v>0</v>
      </c>
      <c r="AA12" s="109">
        <f>SUMIF(vuot2019_2020_I!$L$12:$L$741,C12,vuot2019_2020_I!$BY$12:$BY$741)+SUMIF(vuot2019_2020_I!$L$12:$L$741,C12,vuot2019_2020_I!$BZ$12:$BZ$741)</f>
        <v>0</v>
      </c>
      <c r="AB12" s="108">
        <f>SUMIF(vuot2019_2020_I!$L$12:$L$741,C12,vuot2019_2020_I!$CB$12:$CB$741)</f>
        <v>0</v>
      </c>
      <c r="AC12" s="108">
        <f>SUMIF(vuot2019_2020_I!$L$12:$L$741,C12,vuot2019_2020_I!$CC$12:$CC$741)+SUMIF(vuot2019_2020_I!$L$12:$L$741,C12,vuot2019_2020_I!$CA$12:$CA$741)</f>
        <v>4840500</v>
      </c>
      <c r="AD12" s="108">
        <f>SUMIF(vuot2019_2020_I!$L$12:$L$741,C12,vuot2019_2020_I!$CD$12:$CD$741)</f>
        <v>0</v>
      </c>
      <c r="AE12" s="110">
        <f t="shared" si="1"/>
        <v>151.22500000000002</v>
      </c>
      <c r="AF12" s="110">
        <f t="shared" si="8"/>
        <v>8.0675000000000026</v>
      </c>
      <c r="AG12" s="87">
        <f t="shared" si="2"/>
        <v>160.44875000000002</v>
      </c>
      <c r="AH12" s="107">
        <f t="shared" si="3"/>
        <v>605062.5</v>
      </c>
      <c r="AI12" s="87">
        <f t="shared" si="4"/>
        <v>151.22500000000002</v>
      </c>
      <c r="AJ12" s="88">
        <f t="shared" si="5"/>
        <v>8</v>
      </c>
      <c r="AK12" s="88"/>
      <c r="AL12" s="88">
        <f t="shared" si="6"/>
        <v>8</v>
      </c>
      <c r="AM12" s="88">
        <f t="shared" si="7"/>
        <v>2</v>
      </c>
      <c r="AN12" s="88"/>
    </row>
    <row r="13" spans="1:40" ht="17.100000000000001" customHeight="1" outlineLevel="2">
      <c r="A13" s="88">
        <v>6</v>
      </c>
      <c r="B13" s="88">
        <v>1</v>
      </c>
      <c r="C13" s="90" t="s">
        <v>2830</v>
      </c>
      <c r="D13" s="105">
        <f>COUNTIF(vuot2019_2020_I!$K$12:$K$741,C13)</f>
        <v>6</v>
      </c>
      <c r="E13" s="106">
        <f>SUMIF(vuot2019_2020_I!$L$12:$L$741,C13,vuot2019_2020_I!$AC$12:$AC$741)</f>
        <v>540</v>
      </c>
      <c r="F13" s="106">
        <f>SUMIF(vuot2019_2020_I!$L$12:$L$741,C13,vuot2019_2020_I!$AD$12:$AD$741)</f>
        <v>220</v>
      </c>
      <c r="G13" s="106">
        <f>SUMIF(vuot2019_2020_I!$L$12:$L$741,C13,vuot2019_2020_I!$AE$12:$AE$741)</f>
        <v>1080</v>
      </c>
      <c r="H13" s="106">
        <f>SUMIF(vuot2019_2020_I!$L$12:$L$741,C13,vuot2019_2020_I!$AF$12:$AF$741)</f>
        <v>640</v>
      </c>
      <c r="I13" s="107">
        <f>SUMIF(vuot2019_2020_I!$L$12:$L$741,C13,vuot2019_2020_I!$AG$12:$AG$741)</f>
        <v>467.31</v>
      </c>
      <c r="J13" s="107">
        <f>SUMIF(vuot2019_2020_I!$L$12:$L$741,C13,vuot2019_2020_I!$AH$12:$AH$741)</f>
        <v>169.40000000000003</v>
      </c>
      <c r="K13" s="107">
        <f>SUMIF(vuot2019_2020_I!$L$12:$L$741,C13,vuot2019_2020_I!$AI$12:$AI$741)</f>
        <v>297.90999999999997</v>
      </c>
      <c r="L13" s="107">
        <f>SUMIF(vuot2019_2020_I!$L$12:$L$741,C13,vuot2019_2020_I!$AJ$12:$AJ$741)</f>
        <v>-403.8</v>
      </c>
      <c r="M13" s="107">
        <f>SUMIF(vuot2019_2020_I!$L$12:$L$741,C13,vuot2019_2020_I!$AK$12:$AK$741)</f>
        <v>1483.8</v>
      </c>
      <c r="N13" s="107">
        <f>SUMIF(vuot2019_2020_I!$L$12:$L$741,C13,vuot2019_2020_I!$AL$12:$AL$741)</f>
        <v>816.2</v>
      </c>
      <c r="O13" s="107">
        <f>SUMIF(vuot2019_2020_I!$L$12:$L$741,C13,vuot2019_2020_I!$AM$12:$AM$741)</f>
        <v>140.69999999999999</v>
      </c>
      <c r="P13" s="107">
        <f>SUMIF(vuot2019_2020_I!$L$12:$L$741,C13,vuot2019_2020_I!$AN$12:$AN$741)</f>
        <v>956.9</v>
      </c>
      <c r="Q13" s="107">
        <f>SUMIF(vuot2019_2020_I!$L$12:$L$752,C13,vuot2019_2020_I!$AU$12:$AU$752)</f>
        <v>-526.9</v>
      </c>
      <c r="R13" s="107">
        <f>SUMIF(vuot2019_2020_I!$L$12:$L$752,C13,vuot2019_2020_I!$BK$12:$BK$752)</f>
        <v>0</v>
      </c>
      <c r="S13" s="107">
        <f>SUMIF(vuot2019_2020_I!$L$12:$L$741,C13,vuot2019_2020_I!$BL$12:$BL$741)</f>
        <v>70.600000000000023</v>
      </c>
      <c r="T13" s="107">
        <f>SUMIF(vuot2019_2020_I!$L$12:$L$741,C13,vuot2019_2020_I!$BP$12:$BP$741)</f>
        <v>70.600000000000023</v>
      </c>
      <c r="U13" s="108">
        <f>SUMIF(vuot2019_2020_I!$L$12:$L$741,C13,vuot2019_2020_I!$BR$12:$BR$741)</f>
        <v>4589000</v>
      </c>
      <c r="V13" s="107">
        <f>SUMIF(vuot2019_2020_I!$L$12:$L$741,C13,vuot2019_2020_I!$BS$12:$BS$741)</f>
        <v>0</v>
      </c>
      <c r="W13" s="108">
        <f>SUMIF(vuot2019_2020_I!$L$12:$L$741,C13,vuot2019_2020_I!$BU$12:$BU$741)</f>
        <v>0</v>
      </c>
      <c r="X13" s="108">
        <f>SUMIF(vuot2019_2020_I!$L$12:$L$741,C13,vuot2019_2020_I!$BV$12:$BV$741)</f>
        <v>4589000</v>
      </c>
      <c r="Y13" s="108">
        <f>SUMIF(vuot2019_2020_I!$L$12:$L$741,C13,vuot2019_2020_I!$BW$12:$BW$741)</f>
        <v>0</v>
      </c>
      <c r="Z13" s="109">
        <f>SUMIF(vuot2019_2020_I!$L$12:$L$741,C13,vuot2019_2020_I!$BX$12:$BX$741)</f>
        <v>0</v>
      </c>
      <c r="AA13" s="109">
        <f>SUMIF(vuot2019_2020_I!$L$12:$L$741,C13,vuot2019_2020_I!$BY$12:$BY$741)+SUMIF(vuot2019_2020_I!$L$12:$L$741,C13,vuot2019_2020_I!$BZ$12:$BZ$741)</f>
        <v>0</v>
      </c>
      <c r="AB13" s="108">
        <f>SUMIF(vuot2019_2020_I!$L$12:$L$741,C13,vuot2019_2020_I!$CB$12:$CB$741)</f>
        <v>0</v>
      </c>
      <c r="AC13" s="108">
        <f>SUMIF(vuot2019_2020_I!$L$12:$L$741,C13,vuot2019_2020_I!$CC$12:$CC$741)+SUMIF(vuot2019_2020_I!$L$12:$L$741,C13,vuot2019_2020_I!$CA$12:$CA$741)</f>
        <v>4589000</v>
      </c>
      <c r="AD13" s="108">
        <f>SUMIF(vuot2019_2020_I!$L$12:$L$741,C13,vuot2019_2020_I!$CD$12:$CD$741)</f>
        <v>0</v>
      </c>
      <c r="AE13" s="110">
        <f t="shared" si="1"/>
        <v>159.48333333333332</v>
      </c>
      <c r="AF13" s="110">
        <f t="shared" si="8"/>
        <v>11.766666666666671</v>
      </c>
      <c r="AG13" s="87">
        <f t="shared" si="2"/>
        <v>77.885000000000005</v>
      </c>
      <c r="AH13" s="107">
        <f t="shared" si="3"/>
        <v>764833.33333333337</v>
      </c>
      <c r="AI13" s="87">
        <f t="shared" si="4"/>
        <v>159.48333333333332</v>
      </c>
      <c r="AJ13" s="88">
        <f t="shared" si="5"/>
        <v>6</v>
      </c>
      <c r="AK13" s="88"/>
      <c r="AL13" s="88">
        <f t="shared" si="6"/>
        <v>6</v>
      </c>
      <c r="AM13" s="88">
        <f t="shared" si="7"/>
        <v>2</v>
      </c>
      <c r="AN13" s="88"/>
    </row>
    <row r="14" spans="1:40" ht="17.100000000000001" customHeight="1" outlineLevel="2">
      <c r="A14" s="88">
        <v>7</v>
      </c>
      <c r="B14" s="88">
        <v>1</v>
      </c>
      <c r="C14" s="90" t="s">
        <v>2831</v>
      </c>
      <c r="D14" s="105">
        <f>COUNTIF(vuot2019_2020_I!$K$12:$K$741,C14)</f>
        <v>11</v>
      </c>
      <c r="E14" s="106">
        <f>SUMIF(vuot2019_2020_I!$L$12:$L$741,C14,vuot2019_2020_I!$AC$12:$AC$741)</f>
        <v>729</v>
      </c>
      <c r="F14" s="106">
        <f>SUMIF(vuot2019_2020_I!$L$12:$L$741,C14,vuot2019_2020_I!$AD$12:$AD$741)</f>
        <v>330</v>
      </c>
      <c r="G14" s="106">
        <f>SUMIF(vuot2019_2020_I!$L$12:$L$741,C14,vuot2019_2020_I!$AE$12:$AE$741)</f>
        <v>2241</v>
      </c>
      <c r="H14" s="106">
        <f>SUMIF(vuot2019_2020_I!$L$12:$L$741,C14,vuot2019_2020_I!$AF$12:$AF$741)</f>
        <v>1240</v>
      </c>
      <c r="I14" s="107">
        <f>SUMIF(vuot2019_2020_I!$L$12:$L$741,C14,vuot2019_2020_I!$AG$12:$AG$741)</f>
        <v>2177.4200000000005</v>
      </c>
      <c r="J14" s="107">
        <f>SUMIF(vuot2019_2020_I!$L$12:$L$741,C14,vuot2019_2020_I!$AH$12:$AH$741)</f>
        <v>620.13999999999987</v>
      </c>
      <c r="K14" s="107">
        <f>SUMIF(vuot2019_2020_I!$L$12:$L$741,C14,vuot2019_2020_I!$AI$12:$AI$741)</f>
        <v>1557.2800000000002</v>
      </c>
      <c r="L14" s="107">
        <f>SUMIF(vuot2019_2020_I!$L$12:$L$741,C14,vuot2019_2020_I!$AJ$12:$AJ$741)</f>
        <v>-218.57999999999998</v>
      </c>
      <c r="M14" s="107">
        <f>SUMIF(vuot2019_2020_I!$L$12:$L$741,C14,vuot2019_2020_I!$AK$12:$AK$741)</f>
        <v>2459.58</v>
      </c>
      <c r="N14" s="107">
        <f>SUMIF(vuot2019_2020_I!$L$12:$L$741,C14,vuot2019_2020_I!$AL$12:$AL$741)</f>
        <v>1398.3999999999999</v>
      </c>
      <c r="O14" s="107">
        <f>SUMIF(vuot2019_2020_I!$L$12:$L$741,C14,vuot2019_2020_I!$AM$12:$AM$741)</f>
        <v>29.8</v>
      </c>
      <c r="P14" s="107">
        <f>SUMIF(vuot2019_2020_I!$L$12:$L$741,C14,vuot2019_2020_I!$AN$12:$AN$741)</f>
        <v>1428.1999999999998</v>
      </c>
      <c r="Q14" s="107">
        <f>SUMIF(vuot2019_2020_I!$L$12:$L$752,C14,vuot2019_2020_I!$AU$12:$AU$752)</f>
        <v>-1031.3800000000001</v>
      </c>
      <c r="R14" s="107">
        <f>SUMIF(vuot2019_2020_I!$L$12:$L$752,C14,vuot2019_2020_I!$BK$12:$BK$752)</f>
        <v>0</v>
      </c>
      <c r="S14" s="107">
        <f>SUMIF(vuot2019_2020_I!$L$12:$L$741,C14,vuot2019_2020_I!$BL$12:$BL$741)</f>
        <v>13.319999999999993</v>
      </c>
      <c r="T14" s="107">
        <f>SUMIF(vuot2019_2020_I!$L$12:$L$741,C14,vuot2019_2020_I!$BP$12:$BP$741)</f>
        <v>13.319999999999993</v>
      </c>
      <c r="U14" s="108">
        <f>SUMIF(vuot2019_2020_I!$L$12:$L$741,C14,vuot2019_2020_I!$BR$12:$BR$741)</f>
        <v>865800</v>
      </c>
      <c r="V14" s="107">
        <f>SUMIF(vuot2019_2020_I!$L$12:$L$741,C14,vuot2019_2020_I!$BS$12:$BS$741)</f>
        <v>0</v>
      </c>
      <c r="W14" s="108">
        <f>SUMIF(vuot2019_2020_I!$L$12:$L$741,C14,vuot2019_2020_I!$BU$12:$BU$741)</f>
        <v>0</v>
      </c>
      <c r="X14" s="108">
        <f>SUMIF(vuot2019_2020_I!$L$12:$L$741,C14,vuot2019_2020_I!$BV$12:$BV$741)</f>
        <v>865800</v>
      </c>
      <c r="Y14" s="108">
        <f>SUMIF(vuot2019_2020_I!$L$12:$L$741,C14,vuot2019_2020_I!$BW$12:$BW$741)</f>
        <v>0</v>
      </c>
      <c r="Z14" s="109">
        <f>SUMIF(vuot2019_2020_I!$L$12:$L$741,C14,vuot2019_2020_I!$BX$12:$BX$741)</f>
        <v>0</v>
      </c>
      <c r="AA14" s="109">
        <f>SUMIF(vuot2019_2020_I!$L$12:$L$741,C14,vuot2019_2020_I!$BY$12:$BY$741)+SUMIF(vuot2019_2020_I!$L$12:$L$741,C14,vuot2019_2020_I!$BZ$12:$BZ$741)</f>
        <v>0</v>
      </c>
      <c r="AB14" s="108">
        <f>SUMIF(vuot2019_2020_I!$L$12:$L$741,C14,vuot2019_2020_I!$CB$12:$CB$741)</f>
        <v>0</v>
      </c>
      <c r="AC14" s="108">
        <f>SUMIF(vuot2019_2020_I!$L$12:$L$741,C14,vuot2019_2020_I!$CC$12:$CC$741)+SUMIF(vuot2019_2020_I!$L$12:$L$741,C14,vuot2019_2020_I!$CA$12:$CA$741)</f>
        <v>865800</v>
      </c>
      <c r="AD14" s="108">
        <f>SUMIF(vuot2019_2020_I!$L$12:$L$741,C14,vuot2019_2020_I!$CD$12:$CD$741)</f>
        <v>0</v>
      </c>
      <c r="AE14" s="110">
        <f t="shared" si="1"/>
        <v>129.83636363636361</v>
      </c>
      <c r="AF14" s="110">
        <f t="shared" si="8"/>
        <v>1.2109090909090903</v>
      </c>
      <c r="AG14" s="87">
        <f t="shared" si="2"/>
        <v>197.94727272727278</v>
      </c>
      <c r="AH14" s="107">
        <f t="shared" si="3"/>
        <v>78709.090909090912</v>
      </c>
      <c r="AI14" s="87">
        <f t="shared" si="4"/>
        <v>129.83636363636361</v>
      </c>
      <c r="AJ14" s="88">
        <f t="shared" si="5"/>
        <v>11</v>
      </c>
      <c r="AK14" s="88"/>
      <c r="AL14" s="88">
        <f t="shared" si="6"/>
        <v>11</v>
      </c>
      <c r="AM14" s="88">
        <f t="shared" si="7"/>
        <v>2</v>
      </c>
      <c r="AN14" s="88"/>
    </row>
    <row r="15" spans="1:40" ht="17.100000000000001" customHeight="1" outlineLevel="2">
      <c r="A15" s="88">
        <v>8</v>
      </c>
      <c r="B15" s="88">
        <v>1</v>
      </c>
      <c r="C15" s="91" t="s">
        <v>1165</v>
      </c>
      <c r="D15" s="105">
        <f>COUNTIF(vuot2019_2020_I!$K$12:$K$741,C15)</f>
        <v>8</v>
      </c>
      <c r="E15" s="106">
        <f>SUMIF(vuot2019_2020_I!$L$12:$L$741,C15,vuot2019_2020_I!$AC$12:$AC$741)</f>
        <v>729</v>
      </c>
      <c r="F15" s="106">
        <f>SUMIF(vuot2019_2020_I!$L$12:$L$741,C15,vuot2019_2020_I!$AD$12:$AD$741)</f>
        <v>327.5</v>
      </c>
      <c r="G15" s="106">
        <f>SUMIF(vuot2019_2020_I!$L$12:$L$741,C15,vuot2019_2020_I!$AE$12:$AE$741)</f>
        <v>1408.5</v>
      </c>
      <c r="H15" s="106">
        <f>SUMIF(vuot2019_2020_I!$L$12:$L$741,C15,vuot2019_2020_I!$AF$12:$AF$741)</f>
        <v>644.16666666666674</v>
      </c>
      <c r="I15" s="107">
        <f>SUMIF(vuot2019_2020_I!$L$12:$L$741,C15,vuot2019_2020_I!$AG$12:$AG$741)</f>
        <v>1419.56</v>
      </c>
      <c r="J15" s="107">
        <f>SUMIF(vuot2019_2020_I!$L$12:$L$741,C15,vuot2019_2020_I!$AH$12:$AH$741)</f>
        <v>209.9</v>
      </c>
      <c r="K15" s="107">
        <f>SUMIF(vuot2019_2020_I!$L$12:$L$741,C15,vuot2019_2020_I!$AI$12:$AI$741)</f>
        <v>1209.6600000000001</v>
      </c>
      <c r="L15" s="107">
        <f>SUMIF(vuot2019_2020_I!$L$12:$L$741,C15,vuot2019_2020_I!$AJ$12:$AJ$741)</f>
        <v>-65.976666666666674</v>
      </c>
      <c r="M15" s="107">
        <f>SUMIF(vuot2019_2020_I!$L$12:$L$741,C15,vuot2019_2020_I!$AK$12:$AK$741)</f>
        <v>1474.4766666666667</v>
      </c>
      <c r="N15" s="107">
        <f>SUMIF(vuot2019_2020_I!$L$12:$L$741,C15,vuot2019_2020_I!$AL$12:$AL$741)</f>
        <v>1444.3999999999999</v>
      </c>
      <c r="O15" s="107">
        <f>SUMIF(vuot2019_2020_I!$L$12:$L$741,C15,vuot2019_2020_I!$AM$12:$AM$741)</f>
        <v>102.3</v>
      </c>
      <c r="P15" s="107">
        <f>SUMIF(vuot2019_2020_I!$L$12:$L$741,C15,vuot2019_2020_I!$AN$12:$AN$741)</f>
        <v>1546.6999999999998</v>
      </c>
      <c r="Q15" s="107">
        <f>SUMIF(vuot2019_2020_I!$L$12:$L$752,C15,vuot2019_2020_I!$AU$12:$AU$752)</f>
        <v>72.223333333333329</v>
      </c>
      <c r="R15" s="107">
        <f>SUMIF(vuot2019_2020_I!$L$12:$L$752,C15,vuot2019_2020_I!$BK$12:$BK$752)</f>
        <v>0</v>
      </c>
      <c r="S15" s="107">
        <f>SUMIF(vuot2019_2020_I!$L$12:$L$741,C15,vuot2019_2020_I!$BL$12:$BL$741)</f>
        <v>330.33500000000004</v>
      </c>
      <c r="T15" s="107">
        <f>SUMIF(vuot2019_2020_I!$L$12:$L$741,C15,vuot2019_2020_I!$BP$12:$BP$741)</f>
        <v>269.03500000000003</v>
      </c>
      <c r="U15" s="108">
        <f>SUMIF(vuot2019_2020_I!$L$12:$L$741,C15,vuot2019_2020_I!$BR$12:$BR$741)</f>
        <v>19487275</v>
      </c>
      <c r="V15" s="107">
        <f>SUMIF(vuot2019_2020_I!$L$12:$L$741,C15,vuot2019_2020_I!$BS$12:$BS$741)</f>
        <v>61.300000000000011</v>
      </c>
      <c r="W15" s="108">
        <f>SUMIF(vuot2019_2020_I!$L$12:$L$741,C15,vuot2019_2020_I!$BU$12:$BU$741)</f>
        <v>3984500</v>
      </c>
      <c r="X15" s="108">
        <f>SUMIF(vuot2019_2020_I!$L$12:$L$741,C15,vuot2019_2020_I!$BV$12:$BV$741)</f>
        <v>23471775</v>
      </c>
      <c r="Y15" s="108">
        <f>SUMIF(vuot2019_2020_I!$L$12:$L$741,C15,vuot2019_2020_I!$BW$12:$BW$741)</f>
        <v>0</v>
      </c>
      <c r="Z15" s="109">
        <f>SUMIF(vuot2019_2020_I!$L$12:$L$741,C15,vuot2019_2020_I!$BX$12:$BX$741)</f>
        <v>0</v>
      </c>
      <c r="AA15" s="109">
        <f>SUMIF(vuot2019_2020_I!$L$12:$L$741,C15,vuot2019_2020_I!$BY$12:$BY$741)+SUMIF(vuot2019_2020_I!$L$12:$L$741,C15,vuot2019_2020_I!$BZ$12:$BZ$741)</f>
        <v>0</v>
      </c>
      <c r="AB15" s="108">
        <f>SUMIF(vuot2019_2020_I!$L$12:$L$741,C15,vuot2019_2020_I!$CB$12:$CB$741)</f>
        <v>0</v>
      </c>
      <c r="AC15" s="108">
        <f>SUMIF(vuot2019_2020_I!$L$12:$L$741,C15,vuot2019_2020_I!$CC$12:$CC$741)+SUMIF(vuot2019_2020_I!$L$12:$L$741,C15,vuot2019_2020_I!$CA$12:$CA$741)</f>
        <v>23471775</v>
      </c>
      <c r="AD15" s="108">
        <f>SUMIF(vuot2019_2020_I!$L$12:$L$741,C15,vuot2019_2020_I!$CD$12:$CD$741)</f>
        <v>0</v>
      </c>
      <c r="AE15" s="110">
        <f t="shared" si="1"/>
        <v>193.33749999999998</v>
      </c>
      <c r="AF15" s="110">
        <f t="shared" si="8"/>
        <v>41.291875000000005</v>
      </c>
      <c r="AG15" s="87">
        <f t="shared" si="2"/>
        <v>177.44499999999999</v>
      </c>
      <c r="AH15" s="107">
        <f t="shared" si="3"/>
        <v>2933971.875</v>
      </c>
      <c r="AI15" s="87">
        <f t="shared" si="4"/>
        <v>193.33749999999998</v>
      </c>
      <c r="AJ15" s="88">
        <f t="shared" si="5"/>
        <v>8</v>
      </c>
      <c r="AK15" s="88"/>
      <c r="AL15" s="88">
        <f t="shared" si="6"/>
        <v>8</v>
      </c>
      <c r="AM15" s="88">
        <f t="shared" si="7"/>
        <v>2</v>
      </c>
      <c r="AN15" s="88"/>
    </row>
    <row r="16" spans="1:40" ht="17.100000000000001" customHeight="1" outlineLevel="2">
      <c r="A16" s="88">
        <v>9</v>
      </c>
      <c r="B16" s="88">
        <v>1</v>
      </c>
      <c r="C16" s="90" t="s">
        <v>1134</v>
      </c>
      <c r="D16" s="105">
        <f>COUNTIF(vuot2019_2020_I!$K$12:$K$741,C16)</f>
        <v>7</v>
      </c>
      <c r="E16" s="106">
        <f>SUMIF(vuot2019_2020_I!$L$12:$L$741,C16,vuot2019_2020_I!$AC$12:$AC$741)</f>
        <v>351</v>
      </c>
      <c r="F16" s="106">
        <f>SUMIF(vuot2019_2020_I!$L$12:$L$741,C16,vuot2019_2020_I!$AD$12:$AD$741)</f>
        <v>120</v>
      </c>
      <c r="G16" s="106">
        <f>SUMIF(vuot2019_2020_I!$L$12:$L$741,C16,vuot2019_2020_I!$AE$12:$AE$741)</f>
        <v>1539</v>
      </c>
      <c r="H16" s="106">
        <f>SUMIF(vuot2019_2020_I!$L$12:$L$741,C16,vuot2019_2020_I!$AF$12:$AF$741)</f>
        <v>730</v>
      </c>
      <c r="I16" s="107">
        <f>SUMIF(vuot2019_2020_I!$L$12:$L$741,C16,vuot2019_2020_I!$AG$12:$AG$741)</f>
        <v>621.26666666666665</v>
      </c>
      <c r="J16" s="107">
        <f>SUMIF(vuot2019_2020_I!$L$12:$L$741,C16,vuot2019_2020_I!$AH$12:$AH$741)</f>
        <v>217.51666666666668</v>
      </c>
      <c r="K16" s="107">
        <f>SUMIF(vuot2019_2020_I!$L$12:$L$741,C16,vuot2019_2020_I!$AI$12:$AI$741)</f>
        <v>403.75</v>
      </c>
      <c r="L16" s="107">
        <f>SUMIF(vuot2019_2020_I!$L$12:$L$741,C16,vuot2019_2020_I!$AJ$12:$AJ$741)</f>
        <v>-414.58333333333337</v>
      </c>
      <c r="M16" s="107">
        <f>SUMIF(vuot2019_2020_I!$L$12:$L$741,C16,vuot2019_2020_I!$AK$12:$AK$741)</f>
        <v>1953.5833333333333</v>
      </c>
      <c r="N16" s="107">
        <f>SUMIF(vuot2019_2020_I!$L$12:$L$741,C16,vuot2019_2020_I!$AL$12:$AL$741)</f>
        <v>1143.1999999999998</v>
      </c>
      <c r="O16" s="107">
        <f>SUMIF(vuot2019_2020_I!$L$12:$L$741,C16,vuot2019_2020_I!$AM$12:$AM$741)</f>
        <v>0</v>
      </c>
      <c r="P16" s="107">
        <f>SUMIF(vuot2019_2020_I!$L$12:$L$741,C16,vuot2019_2020_I!$AN$12:$AN$741)</f>
        <v>1143.1999999999998</v>
      </c>
      <c r="Q16" s="107">
        <f>SUMIF(vuot2019_2020_I!$L$12:$L$752,C16,vuot2019_2020_I!$AU$12:$AU$752)</f>
        <v>-810.38333333333344</v>
      </c>
      <c r="R16" s="107">
        <f>SUMIF(vuot2019_2020_I!$L$12:$L$752,C16,vuot2019_2020_I!$BK$12:$BK$752)</f>
        <v>0</v>
      </c>
      <c r="S16" s="107">
        <f>SUMIF(vuot2019_2020_I!$L$12:$L$741,C16,vuot2019_2020_I!$BL$12:$BL$741)</f>
        <v>0</v>
      </c>
      <c r="T16" s="107">
        <f>SUMIF(vuot2019_2020_I!$L$12:$L$741,C16,vuot2019_2020_I!$BP$12:$BP$741)</f>
        <v>0</v>
      </c>
      <c r="U16" s="108">
        <f>SUMIF(vuot2019_2020_I!$L$12:$L$741,C16,vuot2019_2020_I!$BR$12:$BR$741)</f>
        <v>0</v>
      </c>
      <c r="V16" s="107">
        <f>SUMIF(vuot2019_2020_I!$L$12:$L$741,C16,vuot2019_2020_I!$BS$12:$BS$741)</f>
        <v>0</v>
      </c>
      <c r="W16" s="108">
        <f>SUMIF(vuot2019_2020_I!$L$12:$L$741,C16,vuot2019_2020_I!$BU$12:$BU$741)</f>
        <v>0</v>
      </c>
      <c r="X16" s="108">
        <f>SUMIF(vuot2019_2020_I!$L$12:$L$741,C16,vuot2019_2020_I!$BV$12:$BV$741)</f>
        <v>0</v>
      </c>
      <c r="Y16" s="108">
        <f>SUMIF(vuot2019_2020_I!$L$12:$L$741,C16,vuot2019_2020_I!$BW$12:$BW$741)</f>
        <v>0</v>
      </c>
      <c r="Z16" s="109">
        <f>SUMIF(vuot2019_2020_I!$L$12:$L$741,C16,vuot2019_2020_I!$BX$12:$BX$741)</f>
        <v>0</v>
      </c>
      <c r="AA16" s="109">
        <f>SUMIF(vuot2019_2020_I!$L$12:$L$741,C16,vuot2019_2020_I!$BY$12:$BY$741)+SUMIF(vuot2019_2020_I!$L$12:$L$741,C16,vuot2019_2020_I!$BZ$12:$BZ$741)</f>
        <v>0</v>
      </c>
      <c r="AB16" s="108">
        <f>SUMIF(vuot2019_2020_I!$L$12:$L$741,C16,vuot2019_2020_I!$CB$12:$CB$741)</f>
        <v>0</v>
      </c>
      <c r="AC16" s="108">
        <f>SUMIF(vuot2019_2020_I!$L$12:$L$741,C16,vuot2019_2020_I!$CC$12:$CC$741)+SUMIF(vuot2019_2020_I!$L$12:$L$741,C16,vuot2019_2020_I!$CA$12:$CA$741)</f>
        <v>0</v>
      </c>
      <c r="AD16" s="108">
        <f>SUMIF(vuot2019_2020_I!$L$12:$L$741,C16,vuot2019_2020_I!$CD$12:$CD$741)</f>
        <v>0</v>
      </c>
      <c r="AE16" s="110">
        <f t="shared" si="1"/>
        <v>163.31428571428569</v>
      </c>
      <c r="AF16" s="110">
        <f t="shared" si="8"/>
        <v>0</v>
      </c>
      <c r="AG16" s="87">
        <f t="shared" si="2"/>
        <v>88.752380952380946</v>
      </c>
      <c r="AH16" s="107">
        <f t="shared" si="3"/>
        <v>0</v>
      </c>
      <c r="AI16" s="87">
        <f t="shared" si="4"/>
        <v>163.31428571428569</v>
      </c>
      <c r="AJ16" s="88">
        <f t="shared" si="5"/>
        <v>7</v>
      </c>
      <c r="AK16" s="88"/>
      <c r="AL16" s="88">
        <f t="shared" si="6"/>
        <v>7</v>
      </c>
      <c r="AM16" s="88">
        <f t="shared" si="7"/>
        <v>2</v>
      </c>
      <c r="AN16" s="88"/>
    </row>
    <row r="17" spans="1:40" ht="17.100000000000001" customHeight="1" outlineLevel="2">
      <c r="A17" s="88">
        <v>10</v>
      </c>
      <c r="B17" s="88">
        <v>1</v>
      </c>
      <c r="C17" s="90" t="s">
        <v>1136</v>
      </c>
      <c r="D17" s="105">
        <f>COUNTIF(vuot2019_2020_I!$K$12:$K$741,C17)</f>
        <v>6</v>
      </c>
      <c r="E17" s="106">
        <f>SUMIF(vuot2019_2020_I!$L$12:$L$741,C17,vuot2019_2020_I!$AC$12:$AC$741)</f>
        <v>418.5</v>
      </c>
      <c r="F17" s="106">
        <f>SUMIF(vuot2019_2020_I!$L$12:$L$741,C17,vuot2019_2020_I!$AD$12:$AD$741)</f>
        <v>80</v>
      </c>
      <c r="G17" s="106">
        <f>SUMIF(vuot2019_2020_I!$L$12:$L$741,C17,vuot2019_2020_I!$AE$12:$AE$741)</f>
        <v>1201.5</v>
      </c>
      <c r="H17" s="106">
        <f>SUMIF(vuot2019_2020_I!$L$12:$L$741,C17,vuot2019_2020_I!$AF$12:$AF$741)</f>
        <v>380</v>
      </c>
      <c r="I17" s="107">
        <f>SUMIF(vuot2019_2020_I!$L$12:$L$741,C17,vuot2019_2020_I!$AG$12:$AG$741)</f>
        <v>753.45</v>
      </c>
      <c r="J17" s="107">
        <f>SUMIF(vuot2019_2020_I!$L$12:$L$741,C17,vuot2019_2020_I!$AH$12:$AH$741)</f>
        <v>240.82</v>
      </c>
      <c r="K17" s="107">
        <f>SUMIF(vuot2019_2020_I!$L$12:$L$741,C17,vuot2019_2020_I!$AI$12:$AI$741)</f>
        <v>512.63</v>
      </c>
      <c r="L17" s="107">
        <f>SUMIF(vuot2019_2020_I!$L$12:$L$741,C17,vuot2019_2020_I!$AJ$12:$AJ$741)</f>
        <v>-84.47</v>
      </c>
      <c r="M17" s="107">
        <f>SUMIF(vuot2019_2020_I!$L$12:$L$741,C17,vuot2019_2020_I!$AK$12:$AK$741)</f>
        <v>1285.97</v>
      </c>
      <c r="N17" s="107">
        <f>SUMIF(vuot2019_2020_I!$L$12:$L$741,C17,vuot2019_2020_I!$AL$12:$AL$741)</f>
        <v>580.1</v>
      </c>
      <c r="O17" s="107">
        <f>SUMIF(vuot2019_2020_I!$L$12:$L$741,C17,vuot2019_2020_I!$AM$12:$AM$741)</f>
        <v>0</v>
      </c>
      <c r="P17" s="107">
        <f>SUMIF(vuot2019_2020_I!$L$12:$L$741,C17,vuot2019_2020_I!$AN$12:$AN$741)</f>
        <v>580.1</v>
      </c>
      <c r="Q17" s="107">
        <f>SUMIF(vuot2019_2020_I!$L$12:$L$752,C17,vuot2019_2020_I!$AU$12:$AU$752)</f>
        <v>-705.87000000000012</v>
      </c>
      <c r="R17" s="107">
        <f>SUMIF(vuot2019_2020_I!$L$12:$L$752,C17,vuot2019_2020_I!$BK$12:$BK$752)</f>
        <v>0</v>
      </c>
      <c r="S17" s="107">
        <f>SUMIF(vuot2019_2020_I!$L$12:$L$741,C17,vuot2019_2020_I!$BL$12:$BL$741)</f>
        <v>0</v>
      </c>
      <c r="T17" s="107">
        <f>SUMIF(vuot2019_2020_I!$L$12:$L$741,C17,vuot2019_2020_I!$BP$12:$BP$741)</f>
        <v>0</v>
      </c>
      <c r="U17" s="108">
        <f>SUMIF(vuot2019_2020_I!$L$12:$L$741,C17,vuot2019_2020_I!$BR$12:$BR$741)</f>
        <v>0</v>
      </c>
      <c r="V17" s="107">
        <f>SUMIF(vuot2019_2020_I!$L$12:$L$741,C17,vuot2019_2020_I!$BS$12:$BS$741)</f>
        <v>0</v>
      </c>
      <c r="W17" s="108">
        <f>SUMIF(vuot2019_2020_I!$L$12:$L$741,C17,vuot2019_2020_I!$BU$12:$BU$741)</f>
        <v>0</v>
      </c>
      <c r="X17" s="108">
        <f>SUMIF(vuot2019_2020_I!$L$12:$L$741,C17,vuot2019_2020_I!$BV$12:$BV$741)</f>
        <v>0</v>
      </c>
      <c r="Y17" s="108">
        <f>SUMIF(vuot2019_2020_I!$L$12:$L$741,C17,vuot2019_2020_I!$BW$12:$BW$741)</f>
        <v>0</v>
      </c>
      <c r="Z17" s="109">
        <f>SUMIF(vuot2019_2020_I!$L$12:$L$741,C17,vuot2019_2020_I!$BX$12:$BX$741)</f>
        <v>0</v>
      </c>
      <c r="AA17" s="109">
        <f>SUMIF(vuot2019_2020_I!$L$12:$L$741,C17,vuot2019_2020_I!$BY$12:$BY$741)+SUMIF(vuot2019_2020_I!$L$12:$L$741,C17,vuot2019_2020_I!$BZ$12:$BZ$741)</f>
        <v>0</v>
      </c>
      <c r="AB17" s="108">
        <f>SUMIF(vuot2019_2020_I!$L$12:$L$741,C17,vuot2019_2020_I!$CB$12:$CB$741)</f>
        <v>0</v>
      </c>
      <c r="AC17" s="108">
        <f>SUMIF(vuot2019_2020_I!$L$12:$L$741,C17,vuot2019_2020_I!$CC$12:$CC$741)+SUMIF(vuot2019_2020_I!$L$12:$L$741,C17,vuot2019_2020_I!$CA$12:$CA$741)</f>
        <v>0</v>
      </c>
      <c r="AD17" s="108">
        <f>SUMIF(vuot2019_2020_I!$L$12:$L$741,C17,vuot2019_2020_I!$CD$12:$CD$741)</f>
        <v>0</v>
      </c>
      <c r="AE17" s="110">
        <f t="shared" si="1"/>
        <v>96.683333333333337</v>
      </c>
      <c r="AF17" s="110">
        <f t="shared" si="8"/>
        <v>0</v>
      </c>
      <c r="AG17" s="87">
        <f t="shared" si="2"/>
        <v>125.575</v>
      </c>
      <c r="AH17" s="107">
        <f t="shared" si="3"/>
        <v>0</v>
      </c>
      <c r="AI17" s="87">
        <f t="shared" si="4"/>
        <v>96.683333333333337</v>
      </c>
      <c r="AJ17" s="88">
        <f t="shared" si="5"/>
        <v>6</v>
      </c>
      <c r="AK17" s="88"/>
      <c r="AL17" s="88">
        <f t="shared" si="6"/>
        <v>6</v>
      </c>
      <c r="AM17" s="88">
        <f t="shared" si="7"/>
        <v>1</v>
      </c>
      <c r="AN17" s="88"/>
    </row>
    <row r="18" spans="1:40" s="12" customFormat="1" ht="17.100000000000001" customHeight="1" outlineLevel="1">
      <c r="A18" s="97"/>
      <c r="B18" s="96" t="s">
        <v>661</v>
      </c>
      <c r="C18" s="111"/>
      <c r="D18" s="96">
        <f t="shared" ref="D18:AD18" si="9">SUBTOTAL(9,D8:D17)</f>
        <v>74</v>
      </c>
      <c r="E18" s="112">
        <f t="shared" si="9"/>
        <v>6207.75</v>
      </c>
      <c r="F18" s="112">
        <f t="shared" si="9"/>
        <v>2452.5</v>
      </c>
      <c r="G18" s="112">
        <f t="shared" si="9"/>
        <v>13502.25</v>
      </c>
      <c r="H18" s="112">
        <f t="shared" si="9"/>
        <v>7629.166666666667</v>
      </c>
      <c r="I18" s="112">
        <f t="shared" si="9"/>
        <v>12645.210000000001</v>
      </c>
      <c r="J18" s="112">
        <f>SUBTOTAL(9,J8:J17)</f>
        <v>3872.9400000000005</v>
      </c>
      <c r="K18" s="112">
        <f>SUBTOTAL(9,K8:K17)</f>
        <v>8772.2699999999986</v>
      </c>
      <c r="L18" s="112">
        <f t="shared" si="9"/>
        <v>-2263.4899999999998</v>
      </c>
      <c r="M18" s="112">
        <f t="shared" si="9"/>
        <v>15765.74</v>
      </c>
      <c r="N18" s="112">
        <f t="shared" si="9"/>
        <v>9563.7999999999993</v>
      </c>
      <c r="O18" s="112">
        <f t="shared" si="9"/>
        <v>950.39999999999986</v>
      </c>
      <c r="P18" s="112">
        <f t="shared" si="9"/>
        <v>10514.199999999999</v>
      </c>
      <c r="Q18" s="112">
        <f t="shared" si="9"/>
        <v>-5251.54</v>
      </c>
      <c r="R18" s="112">
        <f t="shared" si="9"/>
        <v>0</v>
      </c>
      <c r="S18" s="112">
        <f t="shared" si="9"/>
        <v>533.09500000000003</v>
      </c>
      <c r="T18" s="112">
        <f t="shared" si="9"/>
        <v>471.79500000000007</v>
      </c>
      <c r="U18" s="113">
        <f t="shared" si="9"/>
        <v>34140075</v>
      </c>
      <c r="V18" s="112">
        <f t="shared" si="9"/>
        <v>61.300000000000011</v>
      </c>
      <c r="W18" s="113">
        <f t="shared" si="9"/>
        <v>3984500</v>
      </c>
      <c r="X18" s="113">
        <f t="shared" si="9"/>
        <v>38124575</v>
      </c>
      <c r="Y18" s="113">
        <f>SUBTOTAL(9,Y8:Y17)</f>
        <v>0</v>
      </c>
      <c r="Z18" s="113">
        <f>SUBTOTAL(9,Z8:Z17)</f>
        <v>0</v>
      </c>
      <c r="AA18" s="113">
        <f>SUBTOTAL(9,AA8:AA17)</f>
        <v>0</v>
      </c>
      <c r="AB18" s="113">
        <f>SUBTOTAL(9,AB8:AB17)</f>
        <v>0</v>
      </c>
      <c r="AC18" s="113">
        <f t="shared" si="9"/>
        <v>38124575</v>
      </c>
      <c r="AD18" s="113">
        <f t="shared" si="9"/>
        <v>0</v>
      </c>
      <c r="AE18" s="114">
        <f t="shared" si="1"/>
        <v>142.08378378378376</v>
      </c>
      <c r="AF18" s="207">
        <f t="shared" si="8"/>
        <v>7.2039864864864871</v>
      </c>
      <c r="AG18" s="96">
        <f>I18/D18</f>
        <v>170.88121621621622</v>
      </c>
      <c r="AH18" s="112">
        <f>X18/D18</f>
        <v>515196.95945945947</v>
      </c>
      <c r="AI18" s="96">
        <f t="shared" si="4"/>
        <v>142.08378378378376</v>
      </c>
      <c r="AJ18" s="115">
        <f>SUBTOTAL(9,AJ8:AJ17)</f>
        <v>74</v>
      </c>
      <c r="AK18" s="115">
        <f>SUBTOTAL(9,AK8:AK17)</f>
        <v>0</v>
      </c>
      <c r="AL18" s="115">
        <f>SUBTOTAL(9,AL8:AL17)</f>
        <v>74</v>
      </c>
      <c r="AM18" s="115">
        <f>SUBTOTAL(9,AM8:AM17)</f>
        <v>17</v>
      </c>
      <c r="AN18" s="97">
        <f>AM18-AJ18</f>
        <v>-57</v>
      </c>
    </row>
    <row r="19" spans="1:40" ht="17.100000000000001" customHeight="1" outlineLevel="2">
      <c r="A19" s="88">
        <v>11</v>
      </c>
      <c r="B19" s="88">
        <v>2</v>
      </c>
      <c r="C19" s="90" t="s">
        <v>1137</v>
      </c>
      <c r="D19" s="105">
        <f>COUNTIF(vuot2019_2020_I!$K$12:$K$741,C19)</f>
        <v>13</v>
      </c>
      <c r="E19" s="106">
        <f>SUMIF(vuot2019_2020_I!$L$12:$L$741,C19,vuot2019_2020_I!$AC$12:$AC$741)</f>
        <v>2322</v>
      </c>
      <c r="F19" s="106">
        <f>SUMIF(vuot2019_2020_I!$L$12:$L$741,C19,vuot2019_2020_I!$AD$12:$AD$741)</f>
        <v>1060</v>
      </c>
      <c r="G19" s="106">
        <f>SUMIF(vuot2019_2020_I!$L$12:$L$741,C19,vuot2019_2020_I!$AE$12:$AE$741)</f>
        <v>1188</v>
      </c>
      <c r="H19" s="106">
        <f>SUMIF(vuot2019_2020_I!$L$12:$L$741,C19,vuot2019_2020_I!$AF$12:$AF$741)</f>
        <v>1000</v>
      </c>
      <c r="I19" s="107">
        <f>SUMIF(vuot2019_2020_I!$L$12:$L$741,C19,vuot2019_2020_I!$AG$12:$AG$741)</f>
        <v>3001.61</v>
      </c>
      <c r="J19" s="107">
        <f>SUMIF(vuot2019_2020_I!$L$12:$L$741,C19,vuot2019_2020_I!$AH$12:$AH$741)</f>
        <v>1701.37</v>
      </c>
      <c r="K19" s="107">
        <f>SUMIF(vuot2019_2020_I!$L$12:$L$741,C19,vuot2019_2020_I!$AI$12:$AI$741)</f>
        <v>1300.24</v>
      </c>
      <c r="L19" s="107">
        <f>SUMIF(vuot2019_2020_I!$L$12:$L$741,C19,vuot2019_2020_I!$AJ$12:$AJ$741)</f>
        <v>-124.84</v>
      </c>
      <c r="M19" s="107">
        <f>SUMIF(vuot2019_2020_I!$L$12:$L$741,C19,vuot2019_2020_I!$AK$12:$AK$741)</f>
        <v>1312.84</v>
      </c>
      <c r="N19" s="107">
        <f>SUMIF(vuot2019_2020_I!$L$12:$L$741,C19,vuot2019_2020_I!$AL$12:$AL$741)</f>
        <v>4138.3</v>
      </c>
      <c r="O19" s="107">
        <f>SUMIF(vuot2019_2020_I!$L$12:$L$741,C19,vuot2019_2020_I!$AM$12:$AM$741)</f>
        <v>129.29999999999998</v>
      </c>
      <c r="P19" s="107">
        <f>SUMIF(vuot2019_2020_I!$L$12:$L$741,C19,vuot2019_2020_I!$AN$12:$AN$741)</f>
        <v>4267.6000000000004</v>
      </c>
      <c r="Q19" s="107">
        <f>SUMIF(vuot2019_2020_I!$L$12:$L$752,C19,vuot2019_2020_I!$AU$12:$AU$752)</f>
        <v>2954.76</v>
      </c>
      <c r="R19" s="107">
        <f>SUMIF(vuot2019_2020_I!$L$12:$L$752,C19,vuot2019_2020_I!$BK$12:$BK$752)</f>
        <v>0</v>
      </c>
      <c r="S19" s="107">
        <f>SUMIF(vuot2019_2020_I!$L$12:$L$741,C19,vuot2019_2020_I!$BL$12:$BL$741)</f>
        <v>2954.76</v>
      </c>
      <c r="T19" s="107">
        <f>SUMIF(vuot2019_2020_I!$L$12:$L$741,C19,vuot2019_2020_I!$BP$12:$BP$741)</f>
        <v>1583</v>
      </c>
      <c r="U19" s="108">
        <f>SUMIF(vuot2019_2020_I!$L$12:$L$741,C19,vuot2019_2020_I!$BR$12:$BR$741)</f>
        <v>117640000</v>
      </c>
      <c r="V19" s="107">
        <f>SUMIF(vuot2019_2020_I!$L$12:$L$741,C19,vuot2019_2020_I!$BS$12:$BS$741)</f>
        <v>1371.76</v>
      </c>
      <c r="W19" s="108">
        <f>SUMIF(vuot2019_2020_I!$L$12:$L$741,C19,vuot2019_2020_I!$BU$12:$BU$741)</f>
        <v>78750000</v>
      </c>
      <c r="X19" s="108">
        <f>SUMIF(vuot2019_2020_I!$L$12:$L$741,C19,vuot2019_2020_I!$BV$12:$BV$741)</f>
        <v>196390000</v>
      </c>
      <c r="Y19" s="108">
        <f>SUMIF(vuot2019_2020_I!$L$12:$L$741,C19,vuot2019_2020_I!$BW$12:$BW$741)</f>
        <v>0</v>
      </c>
      <c r="Z19" s="109">
        <f>SUMIF(vuot2019_2020_I!$L$12:$L$741,C19,vuot2019_2020_I!$BX$12:$BX$741)</f>
        <v>0</v>
      </c>
      <c r="AA19" s="109">
        <f>SUMIF(vuot2019_2020_I!$L$12:$L$741,C19,vuot2019_2020_I!$BY$12:$BY$741)+SUMIF(vuot2019_2020_I!$L$12:$L$741,C19,vuot2019_2020_I!$BZ$12:$BZ$741)</f>
        <v>0</v>
      </c>
      <c r="AB19" s="108">
        <f>SUMIF(vuot2019_2020_I!$L$12:$L$741,C19,vuot2019_2020_I!$CB$12:$CB$741)</f>
        <v>0</v>
      </c>
      <c r="AC19" s="108">
        <f>SUMIF(vuot2019_2020_I!$L$12:$L$741,C19,vuot2019_2020_I!$CC$12:$CC$741)+SUMIF(vuot2019_2020_I!$L$12:$L$741,C19,vuot2019_2020_I!$CA$12:$CA$741)</f>
        <v>196390000</v>
      </c>
      <c r="AD19" s="108">
        <f>SUMIF(vuot2019_2020_I!$L$12:$L$741,C19,vuot2019_2020_I!$CD$12:$CD$741)</f>
        <v>0</v>
      </c>
      <c r="AE19" s="110">
        <f t="shared" si="1"/>
        <v>328.27692307692308</v>
      </c>
      <c r="AF19" s="110">
        <f t="shared" si="8"/>
        <v>227.28923076923078</v>
      </c>
      <c r="AG19" s="87">
        <f t="shared" ref="AG19:AG24" si="10">I19/D19</f>
        <v>230.89307692307693</v>
      </c>
      <c r="AH19" s="107">
        <f t="shared" ref="AH19:AH24" si="11">X19/D19</f>
        <v>15106923.076923076</v>
      </c>
      <c r="AI19" s="87">
        <f t="shared" si="4"/>
        <v>328.27692307692308</v>
      </c>
      <c r="AJ19" s="88">
        <f t="shared" ref="AJ19:AJ24" si="12">D19</f>
        <v>13</v>
      </c>
      <c r="AK19" s="88"/>
      <c r="AL19" s="88">
        <f t="shared" ref="AL19:AL24" si="13">AK19+AJ19</f>
        <v>13</v>
      </c>
      <c r="AM19" s="88">
        <f t="shared" ref="AM19:AM24" si="14">ROUND(P19/630,0)</f>
        <v>7</v>
      </c>
      <c r="AN19" s="88"/>
    </row>
    <row r="20" spans="1:40" ht="17.100000000000001" customHeight="1" outlineLevel="2">
      <c r="A20" s="88">
        <v>12</v>
      </c>
      <c r="B20" s="88">
        <v>2</v>
      </c>
      <c r="C20" s="90" t="s">
        <v>1412</v>
      </c>
      <c r="D20" s="105">
        <f>COUNTIF(vuot2019_2020_I!$K$12:$K$741,C20)</f>
        <v>7</v>
      </c>
      <c r="E20" s="106">
        <f>SUMIF(vuot2019_2020_I!$L$12:$L$741,C20,vuot2019_2020_I!$AC$12:$AC$741)</f>
        <v>972</v>
      </c>
      <c r="F20" s="106">
        <f>SUMIF(vuot2019_2020_I!$L$12:$L$741,C20,vuot2019_2020_I!$AD$12:$AD$741)</f>
        <v>460</v>
      </c>
      <c r="G20" s="106">
        <f>SUMIF(vuot2019_2020_I!$L$12:$L$741,C20,vuot2019_2020_I!$AE$12:$AE$741)</f>
        <v>918</v>
      </c>
      <c r="H20" s="106">
        <f>SUMIF(vuot2019_2020_I!$L$12:$L$741,C20,vuot2019_2020_I!$AF$12:$AF$741)</f>
        <v>470</v>
      </c>
      <c r="I20" s="107">
        <f>SUMIF(vuot2019_2020_I!$L$12:$L$741,C20,vuot2019_2020_I!$AG$12:$AG$741)</f>
        <v>1895.8899999999999</v>
      </c>
      <c r="J20" s="107">
        <f>SUMIF(vuot2019_2020_I!$L$12:$L$741,C20,vuot2019_2020_I!$AH$12:$AH$741)</f>
        <v>790.6</v>
      </c>
      <c r="K20" s="107">
        <f>SUMIF(vuot2019_2020_I!$L$12:$L$741,C20,vuot2019_2020_I!$AI$12:$AI$741)</f>
        <v>1105.29</v>
      </c>
      <c r="L20" s="107">
        <f>SUMIF(vuot2019_2020_I!$L$12:$L$741,C20,vuot2019_2020_I!$AJ$12:$AJ$741)</f>
        <v>0</v>
      </c>
      <c r="M20" s="107">
        <f>SUMIF(vuot2019_2020_I!$L$12:$L$741,C20,vuot2019_2020_I!$AK$12:$AK$741)</f>
        <v>918</v>
      </c>
      <c r="N20" s="107">
        <f>SUMIF(vuot2019_2020_I!$L$12:$L$741,C20,vuot2019_2020_I!$AL$12:$AL$741)</f>
        <v>555.6</v>
      </c>
      <c r="O20" s="107">
        <f>SUMIF(vuot2019_2020_I!$L$12:$L$741,C20,vuot2019_2020_I!$AM$12:$AM$741)</f>
        <v>186</v>
      </c>
      <c r="P20" s="107">
        <f>SUMIF(vuot2019_2020_I!$L$12:$L$741,C20,vuot2019_2020_I!$AN$12:$AN$741)</f>
        <v>741.59999999999991</v>
      </c>
      <c r="Q20" s="107">
        <f>SUMIF(vuot2019_2020_I!$L$12:$L$752,C20,vuot2019_2020_I!$AU$12:$AU$752)</f>
        <v>-176.4</v>
      </c>
      <c r="R20" s="107">
        <f>SUMIF(vuot2019_2020_I!$L$12:$L$752,C20,vuot2019_2020_I!$BK$12:$BK$752)</f>
        <v>0</v>
      </c>
      <c r="S20" s="107">
        <f>SUMIF(vuot2019_2020_I!$L$12:$L$741,C20,vuot2019_2020_I!$BL$12:$BL$741)</f>
        <v>149.19999999999999</v>
      </c>
      <c r="T20" s="107">
        <f>SUMIF(vuot2019_2020_I!$L$12:$L$741,C20,vuot2019_2020_I!$BP$12:$BP$741)</f>
        <v>149.19999999999999</v>
      </c>
      <c r="U20" s="108">
        <f>SUMIF(vuot2019_2020_I!$L$12:$L$741,C20,vuot2019_2020_I!$BR$12:$BR$741)</f>
        <v>10002500</v>
      </c>
      <c r="V20" s="107">
        <f>SUMIF(vuot2019_2020_I!$L$12:$L$741,C20,vuot2019_2020_I!$BS$12:$BS$741)</f>
        <v>0</v>
      </c>
      <c r="W20" s="108">
        <f>SUMIF(vuot2019_2020_I!$L$12:$L$741,C20,vuot2019_2020_I!$BU$12:$BU$741)</f>
        <v>0</v>
      </c>
      <c r="X20" s="108">
        <f>SUMIF(vuot2019_2020_I!$L$12:$L$741,C20,vuot2019_2020_I!$BV$12:$BV$741)</f>
        <v>10002500</v>
      </c>
      <c r="Y20" s="108">
        <f>SUMIF(vuot2019_2020_I!$L$12:$L$741,C20,vuot2019_2020_I!$BW$12:$BW$741)</f>
        <v>0</v>
      </c>
      <c r="Z20" s="109">
        <f>SUMIF(vuot2019_2020_I!$L$12:$L$741,C20,vuot2019_2020_I!$BX$12:$BX$741)</f>
        <v>0</v>
      </c>
      <c r="AA20" s="109">
        <f>SUMIF(vuot2019_2020_I!$L$12:$L$741,C20,vuot2019_2020_I!$BY$12:$BY$741)+SUMIF(vuot2019_2020_I!$L$12:$L$741,C20,vuot2019_2020_I!$BZ$12:$BZ$741)</f>
        <v>0</v>
      </c>
      <c r="AB20" s="108">
        <f>SUMIF(vuot2019_2020_I!$L$12:$L$741,C20,vuot2019_2020_I!$CB$12:$CB$741)</f>
        <v>0</v>
      </c>
      <c r="AC20" s="108">
        <f>SUMIF(vuot2019_2020_I!$L$12:$L$741,C20,vuot2019_2020_I!$CC$12:$CC$741)+SUMIF(vuot2019_2020_I!$L$12:$L$741,C20,vuot2019_2020_I!$CA$12:$CA$741)</f>
        <v>10002500</v>
      </c>
      <c r="AD20" s="108">
        <f>SUMIF(vuot2019_2020_I!$L$12:$L$741,C20,vuot2019_2020_I!$CD$12:$CD$741)</f>
        <v>0</v>
      </c>
      <c r="AE20" s="110">
        <f t="shared" si="1"/>
        <v>105.94285714285714</v>
      </c>
      <c r="AF20" s="110">
        <f t="shared" si="8"/>
        <v>21.314285714285713</v>
      </c>
      <c r="AG20" s="87">
        <f t="shared" si="10"/>
        <v>270.84142857142854</v>
      </c>
      <c r="AH20" s="107">
        <f t="shared" si="11"/>
        <v>1428928.5714285714</v>
      </c>
      <c r="AI20" s="87">
        <f t="shared" si="4"/>
        <v>105.94285714285714</v>
      </c>
      <c r="AJ20" s="88">
        <f t="shared" si="12"/>
        <v>7</v>
      </c>
      <c r="AK20" s="88"/>
      <c r="AL20" s="88">
        <f t="shared" si="13"/>
        <v>7</v>
      </c>
      <c r="AM20" s="88">
        <f t="shared" si="14"/>
        <v>1</v>
      </c>
      <c r="AN20" s="88"/>
    </row>
    <row r="21" spans="1:40" ht="17.100000000000001" customHeight="1" outlineLevel="2">
      <c r="A21" s="88">
        <v>13</v>
      </c>
      <c r="B21" s="88">
        <v>2</v>
      </c>
      <c r="C21" s="90" t="s">
        <v>1613</v>
      </c>
      <c r="D21" s="105">
        <f>COUNTIF(vuot2019_2020_I!$K$12:$K$741,C21)</f>
        <v>4</v>
      </c>
      <c r="E21" s="106">
        <f>SUMIF(vuot2019_2020_I!$L$12:$L$741,C21,vuot2019_2020_I!$AC$12:$AC$741)</f>
        <v>337.5</v>
      </c>
      <c r="F21" s="106">
        <f>SUMIF(vuot2019_2020_I!$L$12:$L$741,C21,vuot2019_2020_I!$AD$12:$AD$741)</f>
        <v>80</v>
      </c>
      <c r="G21" s="106">
        <f>SUMIF(vuot2019_2020_I!$L$12:$L$741,C21,vuot2019_2020_I!$AE$12:$AE$741)</f>
        <v>742.5</v>
      </c>
      <c r="H21" s="106">
        <f>SUMIF(vuot2019_2020_I!$L$12:$L$741,C21,vuot2019_2020_I!$AF$12:$AF$741)</f>
        <v>300</v>
      </c>
      <c r="I21" s="107">
        <f>SUMIF(vuot2019_2020_I!$L$12:$L$741,C21,vuot2019_2020_I!$AG$12:$AG$741)</f>
        <v>418.13</v>
      </c>
      <c r="J21" s="107">
        <f>SUMIF(vuot2019_2020_I!$L$12:$L$741,C21,vuot2019_2020_I!$AH$12:$AH$741)</f>
        <v>169.41000000000003</v>
      </c>
      <c r="K21" s="107">
        <f>SUMIF(vuot2019_2020_I!$L$12:$L$741,C21,vuot2019_2020_I!$AI$12:$AI$741)</f>
        <v>248.72</v>
      </c>
      <c r="L21" s="107">
        <f>SUMIF(vuot2019_2020_I!$L$12:$L$741,C21,vuot2019_2020_I!$AJ$12:$AJ$741)</f>
        <v>-70</v>
      </c>
      <c r="M21" s="107">
        <f>SUMIF(vuot2019_2020_I!$L$12:$L$741,C21,vuot2019_2020_I!$AK$12:$AK$741)</f>
        <v>812.5</v>
      </c>
      <c r="N21" s="107">
        <f>SUMIF(vuot2019_2020_I!$L$12:$L$741,C21,vuot2019_2020_I!$AL$12:$AL$741)</f>
        <v>261</v>
      </c>
      <c r="O21" s="107">
        <f>SUMIF(vuot2019_2020_I!$L$12:$L$741,C21,vuot2019_2020_I!$AM$12:$AM$741)</f>
        <v>0</v>
      </c>
      <c r="P21" s="107">
        <f>SUMIF(vuot2019_2020_I!$L$12:$L$741,C21,vuot2019_2020_I!$AN$12:$AN$741)</f>
        <v>261</v>
      </c>
      <c r="Q21" s="107">
        <f>SUMIF(vuot2019_2020_I!$L$12:$L$752,C21,vuot2019_2020_I!$AU$12:$AU$752)</f>
        <v>-551.5</v>
      </c>
      <c r="R21" s="107">
        <f>SUMIF(vuot2019_2020_I!$L$12:$L$752,C21,vuot2019_2020_I!$BK$12:$BK$752)</f>
        <v>0</v>
      </c>
      <c r="S21" s="107">
        <f>SUMIF(vuot2019_2020_I!$L$12:$L$741,C21,vuot2019_2020_I!$BL$12:$BL$741)</f>
        <v>0</v>
      </c>
      <c r="T21" s="107">
        <f>SUMIF(vuot2019_2020_I!$L$12:$L$741,C21,vuot2019_2020_I!$BP$12:$BP$741)</f>
        <v>0</v>
      </c>
      <c r="U21" s="108">
        <f>SUMIF(vuot2019_2020_I!$L$12:$L$741,C21,vuot2019_2020_I!$BR$12:$BR$741)</f>
        <v>0</v>
      </c>
      <c r="V21" s="107">
        <f>SUMIF(vuot2019_2020_I!$L$12:$L$741,C21,vuot2019_2020_I!$BS$12:$BS$741)</f>
        <v>0</v>
      </c>
      <c r="W21" s="108">
        <f>SUMIF(vuot2019_2020_I!$L$12:$L$741,C21,vuot2019_2020_I!$BU$12:$BU$741)</f>
        <v>0</v>
      </c>
      <c r="X21" s="108">
        <f>SUMIF(vuot2019_2020_I!$L$12:$L$741,C21,vuot2019_2020_I!$BV$12:$BV$741)</f>
        <v>0</v>
      </c>
      <c r="Y21" s="108">
        <f>SUMIF(vuot2019_2020_I!$L$12:$L$741,C21,vuot2019_2020_I!$BW$12:$BW$741)</f>
        <v>0</v>
      </c>
      <c r="Z21" s="109">
        <f>SUMIF(vuot2019_2020_I!$L$12:$L$741,C21,vuot2019_2020_I!$BX$12:$BX$741)</f>
        <v>0</v>
      </c>
      <c r="AA21" s="109">
        <f>SUMIF(vuot2019_2020_I!$L$12:$L$741,C21,vuot2019_2020_I!$BY$12:$BY$741)+SUMIF(vuot2019_2020_I!$L$12:$L$741,C21,vuot2019_2020_I!$BZ$12:$BZ$741)</f>
        <v>0</v>
      </c>
      <c r="AB21" s="108">
        <f>SUMIF(vuot2019_2020_I!$L$12:$L$741,C21,vuot2019_2020_I!$CB$12:$CB$741)</f>
        <v>0</v>
      </c>
      <c r="AC21" s="108">
        <f>SUMIF(vuot2019_2020_I!$L$12:$L$741,C21,vuot2019_2020_I!$CC$12:$CC$741)+SUMIF(vuot2019_2020_I!$L$12:$L$741,C21,vuot2019_2020_I!$CA$12:$CA$741)</f>
        <v>0</v>
      </c>
      <c r="AD21" s="108">
        <f>SUMIF(vuot2019_2020_I!$L$12:$L$741,C21,vuot2019_2020_I!$CD$12:$CD$741)</f>
        <v>0</v>
      </c>
      <c r="AE21" s="110">
        <f t="shared" si="1"/>
        <v>65.25</v>
      </c>
      <c r="AF21" s="110">
        <f t="shared" si="8"/>
        <v>0</v>
      </c>
      <c r="AG21" s="87">
        <f t="shared" si="10"/>
        <v>104.5325</v>
      </c>
      <c r="AH21" s="107">
        <f t="shared" si="11"/>
        <v>0</v>
      </c>
      <c r="AI21" s="87">
        <f t="shared" si="4"/>
        <v>65.25</v>
      </c>
      <c r="AJ21" s="88">
        <f t="shared" si="12"/>
        <v>4</v>
      </c>
      <c r="AK21" s="88"/>
      <c r="AL21" s="88">
        <f t="shared" si="13"/>
        <v>4</v>
      </c>
      <c r="AM21" s="88">
        <f t="shared" si="14"/>
        <v>0</v>
      </c>
      <c r="AN21" s="88"/>
    </row>
    <row r="22" spans="1:40" ht="17.100000000000001" customHeight="1" outlineLevel="2">
      <c r="A22" s="88">
        <v>14</v>
      </c>
      <c r="B22" s="88">
        <v>2</v>
      </c>
      <c r="C22" s="90" t="s">
        <v>1614</v>
      </c>
      <c r="D22" s="105">
        <f>COUNTIF(vuot2019_2020_I!$K$12:$K$741,C22)</f>
        <v>6</v>
      </c>
      <c r="E22" s="106">
        <f>SUMIF(vuot2019_2020_I!$L$12:$L$741,C22,vuot2019_2020_I!$AC$12:$AC$741)</f>
        <v>381.375</v>
      </c>
      <c r="F22" s="106">
        <f>SUMIF(vuot2019_2020_I!$L$12:$L$741,C22,vuot2019_2020_I!$AD$12:$AD$741)</f>
        <v>100</v>
      </c>
      <c r="G22" s="106">
        <f>SUMIF(vuot2019_2020_I!$L$12:$L$741,C22,vuot2019_2020_I!$AE$12:$AE$741)</f>
        <v>1171.125</v>
      </c>
      <c r="H22" s="106">
        <f>SUMIF(vuot2019_2020_I!$L$12:$L$741,C22,vuot2019_2020_I!$AF$12:$AF$741)</f>
        <v>787.5</v>
      </c>
      <c r="I22" s="107">
        <f>SUMIF(vuot2019_2020_I!$L$12:$L$741,C22,vuot2019_2020_I!$AG$12:$AG$741)</f>
        <v>710.35</v>
      </c>
      <c r="J22" s="107">
        <f>SUMIF(vuot2019_2020_I!$L$12:$L$741,C22,vuot2019_2020_I!$AH$12:$AH$741)</f>
        <v>100</v>
      </c>
      <c r="K22" s="107">
        <f>SUMIF(vuot2019_2020_I!$L$12:$L$741,C22,vuot2019_2020_I!$AI$12:$AI$741)</f>
        <v>610.35</v>
      </c>
      <c r="L22" s="107">
        <f>SUMIF(vuot2019_2020_I!$L$12:$L$741,C22,vuot2019_2020_I!$AJ$12:$AJ$741)</f>
        <v>-336.14</v>
      </c>
      <c r="M22" s="107">
        <f>SUMIF(vuot2019_2020_I!$L$12:$L$741,C22,vuot2019_2020_I!$AK$12:$AK$741)</f>
        <v>1507.2650000000001</v>
      </c>
      <c r="N22" s="107">
        <f>SUMIF(vuot2019_2020_I!$L$12:$L$741,C22,vuot2019_2020_I!$AL$12:$AL$741)</f>
        <v>1411.1</v>
      </c>
      <c r="O22" s="107">
        <f>SUMIF(vuot2019_2020_I!$L$12:$L$741,C22,vuot2019_2020_I!$AM$12:$AM$741)</f>
        <v>286.3</v>
      </c>
      <c r="P22" s="107">
        <f>SUMIF(vuot2019_2020_I!$L$12:$L$741,C22,vuot2019_2020_I!$AN$12:$AN$741)</f>
        <v>1697.3999999999999</v>
      </c>
      <c r="Q22" s="107">
        <f>SUMIF(vuot2019_2020_I!$L$12:$L$752,C22,vuot2019_2020_I!$AU$12:$AU$752)</f>
        <v>190.13500000000002</v>
      </c>
      <c r="R22" s="107">
        <f>SUMIF(vuot2019_2020_I!$L$12:$L$752,C22,vuot2019_2020_I!$BK$12:$BK$752)</f>
        <v>0</v>
      </c>
      <c r="S22" s="107">
        <f>SUMIF(vuot2019_2020_I!$L$12:$L$741,C22,vuot2019_2020_I!$BL$12:$BL$741)</f>
        <v>404.65999999999997</v>
      </c>
      <c r="T22" s="107">
        <f>SUMIF(vuot2019_2020_I!$L$12:$L$741,C22,vuot2019_2020_I!$BP$12:$BP$741)</f>
        <v>318.15999999999997</v>
      </c>
      <c r="U22" s="108">
        <f>SUMIF(vuot2019_2020_I!$L$12:$L$741,C22,vuot2019_2020_I!$BR$12:$BR$741)</f>
        <v>22680400</v>
      </c>
      <c r="V22" s="107">
        <f>SUMIF(vuot2019_2020_I!$L$12:$L$741,C22,vuot2019_2020_I!$BS$12:$BS$741)</f>
        <v>86.5</v>
      </c>
      <c r="W22" s="108">
        <f>SUMIF(vuot2019_2020_I!$L$12:$L$741,C22,vuot2019_2020_I!$BU$12:$BU$741)</f>
        <v>5622500</v>
      </c>
      <c r="X22" s="108">
        <f>SUMIF(vuot2019_2020_I!$L$12:$L$741,C22,vuot2019_2020_I!$BV$12:$BV$741)</f>
        <v>28302900</v>
      </c>
      <c r="Y22" s="108">
        <f>SUMIF(vuot2019_2020_I!$L$12:$L$741,C22,vuot2019_2020_I!$BW$12:$BW$741)</f>
        <v>0</v>
      </c>
      <c r="Z22" s="109">
        <f>SUMIF(vuot2019_2020_I!$L$12:$L$741,C22,vuot2019_2020_I!$BX$12:$BX$741)</f>
        <v>0</v>
      </c>
      <c r="AA22" s="109">
        <f>SUMIF(vuot2019_2020_I!$L$12:$L$741,C22,vuot2019_2020_I!$BY$12:$BY$741)+SUMIF(vuot2019_2020_I!$L$12:$L$741,C22,vuot2019_2020_I!$BZ$12:$BZ$741)</f>
        <v>0</v>
      </c>
      <c r="AB22" s="108">
        <f>SUMIF(vuot2019_2020_I!$L$12:$L$741,C22,vuot2019_2020_I!$CB$12:$CB$741)</f>
        <v>0</v>
      </c>
      <c r="AC22" s="108">
        <f>SUMIF(vuot2019_2020_I!$L$12:$L$741,C22,vuot2019_2020_I!$CC$12:$CC$741)+SUMIF(vuot2019_2020_I!$L$12:$L$741,C22,vuot2019_2020_I!$CA$12:$CA$741)</f>
        <v>28302900</v>
      </c>
      <c r="AD22" s="108">
        <f>SUMIF(vuot2019_2020_I!$L$12:$L$741,C22,vuot2019_2020_I!$CD$12:$CD$741)</f>
        <v>0</v>
      </c>
      <c r="AE22" s="110">
        <f t="shared" si="1"/>
        <v>282.89999999999998</v>
      </c>
      <c r="AF22" s="110">
        <f t="shared" si="8"/>
        <v>67.443333333333328</v>
      </c>
      <c r="AG22" s="87">
        <f t="shared" si="10"/>
        <v>118.39166666666667</v>
      </c>
      <c r="AH22" s="107">
        <f t="shared" si="11"/>
        <v>4717150</v>
      </c>
      <c r="AI22" s="87">
        <f t="shared" si="4"/>
        <v>282.89999999999998</v>
      </c>
      <c r="AJ22" s="88">
        <f t="shared" si="12"/>
        <v>6</v>
      </c>
      <c r="AK22" s="88"/>
      <c r="AL22" s="88">
        <f t="shared" si="13"/>
        <v>6</v>
      </c>
      <c r="AM22" s="88">
        <f t="shared" si="14"/>
        <v>3</v>
      </c>
      <c r="AN22" s="88"/>
    </row>
    <row r="23" spans="1:40" ht="17.100000000000001" customHeight="1" outlineLevel="2">
      <c r="A23" s="88">
        <v>16</v>
      </c>
      <c r="B23" s="88">
        <v>2</v>
      </c>
      <c r="C23" s="90" t="s">
        <v>3083</v>
      </c>
      <c r="D23" s="105">
        <f>COUNTIF(vuot2019_2020_I!$K$12:$K$741,C23)</f>
        <v>4</v>
      </c>
      <c r="E23" s="106">
        <f>SUMIF(vuot2019_2020_I!$L$12:$L$741,C23,vuot2019_2020_I!$AC$12:$AC$741)</f>
        <v>594</v>
      </c>
      <c r="F23" s="106">
        <f>SUMIF(vuot2019_2020_I!$L$12:$L$741,C23,vuot2019_2020_I!$AD$12:$AD$741)</f>
        <v>240</v>
      </c>
      <c r="G23" s="106">
        <f>SUMIF(vuot2019_2020_I!$L$12:$L$741,C23,vuot2019_2020_I!$AE$12:$AE$741)</f>
        <v>486</v>
      </c>
      <c r="H23" s="106">
        <f>SUMIF(vuot2019_2020_I!$L$12:$L$741,C23,vuot2019_2020_I!$AF$12:$AF$741)</f>
        <v>300</v>
      </c>
      <c r="I23" s="107">
        <f>SUMIF(vuot2019_2020_I!$L$12:$L$741,C23,vuot2019_2020_I!$AG$12:$AG$741)</f>
        <v>0</v>
      </c>
      <c r="J23" s="107">
        <f>SUMIF(vuot2019_2020_I!$L$12:$L$741,C23,vuot2019_2020_I!$AH$12:$AH$741)</f>
        <v>0</v>
      </c>
      <c r="K23" s="107">
        <f>SUMIF(vuot2019_2020_I!$L$12:$L$741,C23,vuot2019_2020_I!$AI$12:$AI$741)</f>
        <v>0</v>
      </c>
      <c r="L23" s="107">
        <f>SUMIF(vuot2019_2020_I!$L$12:$L$741,C23,vuot2019_2020_I!$AJ$12:$AJ$741)</f>
        <v>-300</v>
      </c>
      <c r="M23" s="107">
        <f>SUMIF(vuot2019_2020_I!$L$12:$L$741,C23,vuot2019_2020_I!$AK$12:$AK$741)</f>
        <v>786</v>
      </c>
      <c r="N23" s="107">
        <f>SUMIF(vuot2019_2020_I!$L$12:$L$741,C23,vuot2019_2020_I!$AL$12:$AL$741)</f>
        <v>1374.3</v>
      </c>
      <c r="O23" s="107">
        <f>SUMIF(vuot2019_2020_I!$L$12:$L$741,C23,vuot2019_2020_I!$AM$12:$AM$741)</f>
        <v>0</v>
      </c>
      <c r="P23" s="107">
        <f>SUMIF(vuot2019_2020_I!$L$12:$L$741,C23,vuot2019_2020_I!$AN$12:$AN$741)</f>
        <v>1374.3</v>
      </c>
      <c r="Q23" s="107">
        <f>SUMIF(vuot2019_2020_I!$L$12:$L$752,C23,vuot2019_2020_I!$AU$12:$AU$752)</f>
        <v>588.29999999999995</v>
      </c>
      <c r="R23" s="107">
        <f>SUMIF(vuot2019_2020_I!$L$12:$L$752,C23,vuot2019_2020_I!$BK$12:$BK$752)</f>
        <v>0</v>
      </c>
      <c r="S23" s="107">
        <f>SUMIF(vuot2019_2020_I!$L$12:$L$741,C23,vuot2019_2020_I!$BL$12:$BL$741)</f>
        <v>588.29999999999995</v>
      </c>
      <c r="T23" s="107">
        <f>SUMIF(vuot2019_2020_I!$L$12:$L$741,C23,vuot2019_2020_I!$BP$12:$BP$741)</f>
        <v>226</v>
      </c>
      <c r="U23" s="108">
        <f>SUMIF(vuot2019_2020_I!$L$12:$L$741,C23,vuot2019_2020_I!$BR$12:$BR$741)</f>
        <v>17560000</v>
      </c>
      <c r="V23" s="107">
        <f>SUMIF(vuot2019_2020_I!$L$12:$L$741,C23,vuot2019_2020_I!$BS$12:$BS$741)</f>
        <v>362.29999999999995</v>
      </c>
      <c r="W23" s="108">
        <f>SUMIF(vuot2019_2020_I!$L$12:$L$741,C23,vuot2019_2020_I!$BU$12:$BU$741)</f>
        <v>23549500</v>
      </c>
      <c r="X23" s="108">
        <f>SUMIF(vuot2019_2020_I!$L$12:$L$741,C23,vuot2019_2020_I!$BV$12:$BV$741)</f>
        <v>41109500</v>
      </c>
      <c r="Y23" s="108">
        <f>SUMIF(vuot2019_2020_I!$L$12:$L$741,C23,vuot2019_2020_I!$BW$12:$BW$741)</f>
        <v>0</v>
      </c>
      <c r="Z23" s="109">
        <f>SUMIF(vuot2019_2020_I!$L$12:$L$741,C23,vuot2019_2020_I!$BX$12:$BX$741)</f>
        <v>0</v>
      </c>
      <c r="AA23" s="109">
        <f>SUMIF(vuot2019_2020_I!$L$12:$L$741,C23,vuot2019_2020_I!$BY$12:$BY$741)+SUMIF(vuot2019_2020_I!$L$12:$L$741,C23,vuot2019_2020_I!$BZ$12:$BZ$741)</f>
        <v>0</v>
      </c>
      <c r="AB23" s="108">
        <f>SUMIF(vuot2019_2020_I!$L$12:$L$741,C23,vuot2019_2020_I!$CB$12:$CB$741)</f>
        <v>0</v>
      </c>
      <c r="AC23" s="108">
        <f>SUMIF(vuot2019_2020_I!$L$12:$L$741,C23,vuot2019_2020_I!$CC$12:$CC$741)+SUMIF(vuot2019_2020_I!$L$12:$L$741,C23,vuot2019_2020_I!$CA$12:$CA$741)</f>
        <v>41109500</v>
      </c>
      <c r="AD23" s="108">
        <f>SUMIF(vuot2019_2020_I!$L$12:$L$741,C23,vuot2019_2020_I!$CD$12:$CD$741)</f>
        <v>0</v>
      </c>
      <c r="AE23" s="110">
        <f t="shared" si="1"/>
        <v>343.57499999999999</v>
      </c>
      <c r="AF23" s="110">
        <f t="shared" si="8"/>
        <v>147.07499999999999</v>
      </c>
      <c r="AG23" s="87">
        <f>I23/D23</f>
        <v>0</v>
      </c>
      <c r="AH23" s="107">
        <f>X23/D23</f>
        <v>10277375</v>
      </c>
      <c r="AI23" s="87">
        <f t="shared" si="4"/>
        <v>343.57499999999999</v>
      </c>
      <c r="AJ23" s="88">
        <f>D23</f>
        <v>4</v>
      </c>
      <c r="AK23" s="88"/>
      <c r="AL23" s="88">
        <f>AK23+AJ23</f>
        <v>4</v>
      </c>
      <c r="AM23" s="88">
        <f>ROUND(P23/630,0)</f>
        <v>2</v>
      </c>
      <c r="AN23" s="88"/>
    </row>
    <row r="24" spans="1:40" ht="17.100000000000001" customHeight="1" outlineLevel="2">
      <c r="A24" s="88">
        <v>16</v>
      </c>
      <c r="B24" s="88">
        <v>2</v>
      </c>
      <c r="C24" s="90" t="s">
        <v>2951</v>
      </c>
      <c r="D24" s="105">
        <f>COUNTIF(vuot2019_2020_I!$K$12:$K$741,C24)</f>
        <v>5</v>
      </c>
      <c r="E24" s="106">
        <f>SUMIF(vuot2019_2020_I!$L$12:$L$741,C24,vuot2019_2020_I!$AC$12:$AC$741)</f>
        <v>445.5</v>
      </c>
      <c r="F24" s="106">
        <f>SUMIF(vuot2019_2020_I!$L$12:$L$741,C24,vuot2019_2020_I!$AD$12:$AD$741)</f>
        <v>100</v>
      </c>
      <c r="G24" s="106">
        <f>SUMIF(vuot2019_2020_I!$L$12:$L$741,C24,vuot2019_2020_I!$AE$12:$AE$741)</f>
        <v>904.5</v>
      </c>
      <c r="H24" s="106">
        <f>SUMIF(vuot2019_2020_I!$L$12:$L$741,C24,vuot2019_2020_I!$AF$12:$AF$741)</f>
        <v>610</v>
      </c>
      <c r="I24" s="107">
        <f>SUMIF(vuot2019_2020_I!$L$12:$L$741,C24,vuot2019_2020_I!$AG$12:$AG$741)</f>
        <v>1089.04</v>
      </c>
      <c r="J24" s="107">
        <f>SUMIF(vuot2019_2020_I!$L$12:$L$741,C24,vuot2019_2020_I!$AH$12:$AH$741)</f>
        <v>346.99</v>
      </c>
      <c r="K24" s="107">
        <f>SUMIF(vuot2019_2020_I!$L$12:$L$741,C24,vuot2019_2020_I!$AI$12:$AI$741)</f>
        <v>742.05</v>
      </c>
      <c r="L24" s="107">
        <f>SUMIF(vuot2019_2020_I!$L$12:$L$741,C24,vuot2019_2020_I!$AJ$12:$AJ$741)</f>
        <v>-82.5</v>
      </c>
      <c r="M24" s="107">
        <f>SUMIF(vuot2019_2020_I!$L$12:$L$741,C24,vuot2019_2020_I!$AK$12:$AK$741)</f>
        <v>987</v>
      </c>
      <c r="N24" s="107">
        <f>SUMIF(vuot2019_2020_I!$L$12:$L$741,C24,vuot2019_2020_I!$AL$12:$AL$741)</f>
        <v>1064.3</v>
      </c>
      <c r="O24" s="107">
        <f>SUMIF(vuot2019_2020_I!$L$12:$L$741,C24,vuot2019_2020_I!$AM$12:$AM$741)</f>
        <v>140</v>
      </c>
      <c r="P24" s="107">
        <f>SUMIF(vuot2019_2020_I!$L$12:$L$741,C24,vuot2019_2020_I!$AN$12:$AN$741)</f>
        <v>1204.3000000000002</v>
      </c>
      <c r="Q24" s="107">
        <f>SUMIF(vuot2019_2020_I!$L$12:$L$752,C24,vuot2019_2020_I!$AU$12:$AU$752)</f>
        <v>217.30000000000004</v>
      </c>
      <c r="R24" s="107">
        <f>SUMIF(vuot2019_2020_I!$L$12:$L$752,C24,vuot2019_2020_I!$BK$12:$BK$752)</f>
        <v>0</v>
      </c>
      <c r="S24" s="107">
        <f>SUMIF(vuot2019_2020_I!$L$12:$L$741,C24,vuot2019_2020_I!$BL$12:$BL$741)</f>
        <v>237.90000000000003</v>
      </c>
      <c r="T24" s="107">
        <f>SUMIF(vuot2019_2020_I!$L$12:$L$741,C24,vuot2019_2020_I!$BP$12:$BP$741)</f>
        <v>237.90000000000003</v>
      </c>
      <c r="U24" s="108">
        <f>SUMIF(vuot2019_2020_I!$L$12:$L$741,C24,vuot2019_2020_I!$BR$12:$BR$741)</f>
        <v>18405000</v>
      </c>
      <c r="V24" s="107">
        <f>SUMIF(vuot2019_2020_I!$L$12:$L$741,C24,vuot2019_2020_I!$BS$12:$BS$741)</f>
        <v>0</v>
      </c>
      <c r="W24" s="108">
        <f>SUMIF(vuot2019_2020_I!$L$12:$L$741,C24,vuot2019_2020_I!$BU$12:$BU$741)</f>
        <v>0</v>
      </c>
      <c r="X24" s="108">
        <f>SUMIF(vuot2019_2020_I!$L$12:$L$741,C24,vuot2019_2020_I!$BV$12:$BV$741)</f>
        <v>18405000</v>
      </c>
      <c r="Y24" s="108">
        <f>SUMIF(vuot2019_2020_I!$L$12:$L$741,C24,vuot2019_2020_I!$BW$12:$BW$741)</f>
        <v>0</v>
      </c>
      <c r="Z24" s="109">
        <f>SUMIF(vuot2019_2020_I!$L$12:$L$741,C24,vuot2019_2020_I!$BX$12:$BX$741)</f>
        <v>0</v>
      </c>
      <c r="AA24" s="109">
        <f>SUMIF(vuot2019_2020_I!$L$12:$L$741,C24,vuot2019_2020_I!$BY$12:$BY$741)+SUMIF(vuot2019_2020_I!$L$12:$L$741,C24,vuot2019_2020_I!$BZ$12:$BZ$741)</f>
        <v>0</v>
      </c>
      <c r="AB24" s="108">
        <f>SUMIF(vuot2019_2020_I!$L$12:$L$741,C24,vuot2019_2020_I!$CB$12:$CB$741)</f>
        <v>0</v>
      </c>
      <c r="AC24" s="108">
        <f>SUMIF(vuot2019_2020_I!$L$12:$L$741,C24,vuot2019_2020_I!$CC$12:$CC$741)+SUMIF(vuot2019_2020_I!$L$12:$L$741,C24,vuot2019_2020_I!$CA$12:$CA$741)</f>
        <v>18405000</v>
      </c>
      <c r="AD24" s="108">
        <f>SUMIF(vuot2019_2020_I!$L$12:$L$741,C24,vuot2019_2020_I!$CD$12:$CD$741)</f>
        <v>0</v>
      </c>
      <c r="AE24" s="110">
        <f t="shared" si="1"/>
        <v>240.86000000000004</v>
      </c>
      <c r="AF24" s="110">
        <f t="shared" si="8"/>
        <v>47.580000000000005</v>
      </c>
      <c r="AG24" s="87">
        <f t="shared" si="10"/>
        <v>217.80799999999999</v>
      </c>
      <c r="AH24" s="107">
        <f t="shared" si="11"/>
        <v>3681000</v>
      </c>
      <c r="AI24" s="87">
        <f t="shared" si="4"/>
        <v>240.86000000000004</v>
      </c>
      <c r="AJ24" s="88">
        <f t="shared" si="12"/>
        <v>5</v>
      </c>
      <c r="AK24" s="88"/>
      <c r="AL24" s="88">
        <f t="shared" si="13"/>
        <v>5</v>
      </c>
      <c r="AM24" s="88">
        <f t="shared" si="14"/>
        <v>2</v>
      </c>
      <c r="AN24" s="88"/>
    </row>
    <row r="25" spans="1:40" s="12" customFormat="1" ht="17.100000000000001" customHeight="1" outlineLevel="1">
      <c r="A25" s="97"/>
      <c r="B25" s="97" t="s">
        <v>2432</v>
      </c>
      <c r="C25" s="111"/>
      <c r="D25" s="96">
        <f t="shared" ref="D25:AD25" si="15">SUBTOTAL(9,D19:D24)</f>
        <v>39</v>
      </c>
      <c r="E25" s="112">
        <f t="shared" si="15"/>
        <v>5052.375</v>
      </c>
      <c r="F25" s="112">
        <f t="shared" si="15"/>
        <v>2040</v>
      </c>
      <c r="G25" s="112">
        <f t="shared" si="15"/>
        <v>5410.125</v>
      </c>
      <c r="H25" s="112">
        <f t="shared" si="15"/>
        <v>3467.5</v>
      </c>
      <c r="I25" s="112">
        <f t="shared" si="15"/>
        <v>7115.02</v>
      </c>
      <c r="J25" s="112">
        <f>SUBTOTAL(9,J19:J24)</f>
        <v>3108.37</v>
      </c>
      <c r="K25" s="112">
        <f>SUBTOTAL(9,K19:K24)</f>
        <v>4006.6499999999996</v>
      </c>
      <c r="L25" s="112">
        <f t="shared" si="15"/>
        <v>-913.48</v>
      </c>
      <c r="M25" s="112">
        <f t="shared" si="15"/>
        <v>6323.6050000000005</v>
      </c>
      <c r="N25" s="112">
        <f t="shared" si="15"/>
        <v>8804.6</v>
      </c>
      <c r="O25" s="112">
        <f t="shared" si="15"/>
        <v>741.59999999999991</v>
      </c>
      <c r="P25" s="112">
        <f t="shared" si="15"/>
        <v>9546.2000000000007</v>
      </c>
      <c r="Q25" s="112">
        <f t="shared" si="15"/>
        <v>3222.5950000000003</v>
      </c>
      <c r="R25" s="112">
        <f t="shared" si="15"/>
        <v>0</v>
      </c>
      <c r="S25" s="112">
        <f t="shared" si="15"/>
        <v>4334.82</v>
      </c>
      <c r="T25" s="112">
        <f t="shared" si="15"/>
        <v>2514.2600000000002</v>
      </c>
      <c r="U25" s="113">
        <f t="shared" si="15"/>
        <v>186287900</v>
      </c>
      <c r="V25" s="112">
        <f t="shared" si="15"/>
        <v>1820.56</v>
      </c>
      <c r="W25" s="113">
        <f t="shared" si="15"/>
        <v>107922000</v>
      </c>
      <c r="X25" s="113">
        <f t="shared" si="15"/>
        <v>294209900</v>
      </c>
      <c r="Y25" s="113">
        <f t="shared" si="15"/>
        <v>0</v>
      </c>
      <c r="Z25" s="113">
        <f t="shared" si="15"/>
        <v>0</v>
      </c>
      <c r="AA25" s="113">
        <f t="shared" si="15"/>
        <v>0</v>
      </c>
      <c r="AB25" s="113">
        <f t="shared" si="15"/>
        <v>0</v>
      </c>
      <c r="AC25" s="113">
        <f t="shared" si="15"/>
        <v>294209900</v>
      </c>
      <c r="AD25" s="113">
        <f t="shared" si="15"/>
        <v>0</v>
      </c>
      <c r="AE25" s="114">
        <f t="shared" si="1"/>
        <v>244.77435897435899</v>
      </c>
      <c r="AF25" s="114">
        <f t="shared" si="8"/>
        <v>111.14923076923075</v>
      </c>
      <c r="AG25" s="96">
        <f>I25/D25</f>
        <v>182.43641025641026</v>
      </c>
      <c r="AH25" s="112">
        <f>X25/D25</f>
        <v>7543843.58974359</v>
      </c>
      <c r="AI25" s="96">
        <f t="shared" si="4"/>
        <v>244.77435897435899</v>
      </c>
      <c r="AJ25" s="115">
        <f>SUBTOTAL(9,AJ19:AJ24)</f>
        <v>39</v>
      </c>
      <c r="AK25" s="115">
        <f>SUBTOTAL(9,AK19:AK24)</f>
        <v>0</v>
      </c>
      <c r="AL25" s="115">
        <f>SUBTOTAL(9,AL19:AL24)</f>
        <v>39</v>
      </c>
      <c r="AM25" s="115">
        <f>SUBTOTAL(9,AM19:AM24)</f>
        <v>15</v>
      </c>
      <c r="AN25" s="97">
        <f>AM25-AJ25</f>
        <v>-24</v>
      </c>
    </row>
    <row r="26" spans="1:40" ht="17.100000000000001" customHeight="1" outlineLevel="2">
      <c r="A26" s="88">
        <v>18</v>
      </c>
      <c r="B26" s="88">
        <v>3</v>
      </c>
      <c r="C26" s="90" t="s">
        <v>1618</v>
      </c>
      <c r="D26" s="105">
        <f>COUNTIF(vuot2019_2020_I!$K$12:$K$741,C26)</f>
        <v>6</v>
      </c>
      <c r="E26" s="106">
        <f>SUMIF(vuot2019_2020_I!$L$12:$L$741,C26,vuot2019_2020_I!$AC$12:$AC$741)</f>
        <v>450</v>
      </c>
      <c r="F26" s="106">
        <f>SUMIF(vuot2019_2020_I!$L$12:$L$741,C26,vuot2019_2020_I!$AD$12:$AD$741)</f>
        <v>100</v>
      </c>
      <c r="G26" s="106">
        <f>SUMIF(vuot2019_2020_I!$L$12:$L$741,C26,vuot2019_2020_I!$AE$12:$AE$741)</f>
        <v>1170</v>
      </c>
      <c r="H26" s="106">
        <f>SUMIF(vuot2019_2020_I!$L$12:$L$741,C26,vuot2019_2020_I!$AF$12:$AF$741)</f>
        <v>1050</v>
      </c>
      <c r="I26" s="107">
        <f>SUMIF(vuot2019_2020_I!$L$12:$L$741,C26,vuot2019_2020_I!$AG$12:$AG$741)</f>
        <v>765.63</v>
      </c>
      <c r="J26" s="107">
        <f>SUMIF(vuot2019_2020_I!$L$12:$L$741,C26,vuot2019_2020_I!$AH$12:$AH$741)</f>
        <v>125.84</v>
      </c>
      <c r="K26" s="107">
        <f>SUMIF(vuot2019_2020_I!$L$12:$L$741,C26,vuot2019_2020_I!$AI$12:$AI$741)</f>
        <v>639.79</v>
      </c>
      <c r="L26" s="107">
        <f>SUMIF(vuot2019_2020_I!$L$12:$L$741,C26,vuot2019_2020_I!$AJ$12:$AJ$741)</f>
        <v>-490.42000000000007</v>
      </c>
      <c r="M26" s="107">
        <f>SUMIF(vuot2019_2020_I!$L$12:$L$741,C26,vuot2019_2020_I!$AK$12:$AK$741)</f>
        <v>1660.42</v>
      </c>
      <c r="N26" s="107">
        <f>SUMIF(vuot2019_2020_I!$L$12:$L$741,C26,vuot2019_2020_I!$AL$12:$AL$741)</f>
        <v>386.9</v>
      </c>
      <c r="O26" s="107">
        <f>SUMIF(vuot2019_2020_I!$L$12:$L$741,C26,vuot2019_2020_I!$AM$12:$AM$741)</f>
        <v>195.3</v>
      </c>
      <c r="P26" s="107">
        <f>SUMIF(vuot2019_2020_I!$L$12:$L$741,C26,vuot2019_2020_I!$AN$12:$AN$741)</f>
        <v>582.20000000000005</v>
      </c>
      <c r="Q26" s="107">
        <f>SUMIF(vuot2019_2020_I!$L$12:$L$752,C26,vuot2019_2020_I!$AU$12:$AU$752)</f>
        <v>-1078.22</v>
      </c>
      <c r="R26" s="107">
        <f>SUMIF(vuot2019_2020_I!$L$12:$L$752,C26,vuot2019_2020_I!$BK$12:$BK$752)</f>
        <v>0</v>
      </c>
      <c r="S26" s="107">
        <f>SUMIF(vuot2019_2020_I!$L$12:$L$741,C26,vuot2019_2020_I!$BL$12:$BL$741)</f>
        <v>0</v>
      </c>
      <c r="T26" s="107">
        <f>SUMIF(vuot2019_2020_I!$L$12:$L$741,C26,vuot2019_2020_I!$BP$12:$BP$741)</f>
        <v>0</v>
      </c>
      <c r="U26" s="108">
        <f>SUMIF(vuot2019_2020_I!$L$12:$L$741,C26,vuot2019_2020_I!$BR$12:$BR$741)</f>
        <v>0</v>
      </c>
      <c r="V26" s="107">
        <f>SUMIF(vuot2019_2020_I!$L$12:$L$741,C26,vuot2019_2020_I!$BS$12:$BS$741)</f>
        <v>0</v>
      </c>
      <c r="W26" s="108">
        <f>SUMIF(vuot2019_2020_I!$L$12:$L$741,C26,vuot2019_2020_I!$BU$12:$BU$741)</f>
        <v>0</v>
      </c>
      <c r="X26" s="108">
        <f>SUMIF(vuot2019_2020_I!$L$12:$L$741,C26,vuot2019_2020_I!$BV$12:$BV$741)</f>
        <v>0</v>
      </c>
      <c r="Y26" s="108">
        <f>SUMIF(vuot2019_2020_I!$L$12:$L$741,C26,vuot2019_2020_I!$BW$12:$BW$741)</f>
        <v>909500</v>
      </c>
      <c r="Z26" s="109">
        <f>SUMIF(vuot2019_2020_I!$L$12:$L$741,C26,vuot2019_2020_I!$BX$12:$BX$741)</f>
        <v>0</v>
      </c>
      <c r="AA26" s="109">
        <f>SUMIF(vuot2019_2020_I!$L$12:$L$741,C26,vuot2019_2020_I!$BY$12:$BY$741)+SUMIF(vuot2019_2020_I!$L$12:$L$741,C26,vuot2019_2020_I!$BZ$12:$BZ$741)</f>
        <v>0</v>
      </c>
      <c r="AB26" s="108">
        <f>SUMIF(vuot2019_2020_I!$L$12:$L$741,C26,vuot2019_2020_I!$CB$12:$CB$741)</f>
        <v>0</v>
      </c>
      <c r="AC26" s="108">
        <f>SUMIF(vuot2019_2020_I!$L$12:$L$741,C26,vuot2019_2020_I!$CC$12:$CC$741)+SUMIF(vuot2019_2020_I!$L$12:$L$741,C26,vuot2019_2020_I!$CA$12:$CA$741)</f>
        <v>909500</v>
      </c>
      <c r="AD26" s="108">
        <f>SUMIF(vuot2019_2020_I!$L$12:$L$741,C26,vuot2019_2020_I!$CD$12:$CD$741)</f>
        <v>0</v>
      </c>
      <c r="AE26" s="110">
        <f t="shared" si="1"/>
        <v>97.033333333333346</v>
      </c>
      <c r="AF26" s="110">
        <f t="shared" si="8"/>
        <v>0</v>
      </c>
      <c r="AG26" s="87">
        <f t="shared" ref="AG26:AG32" si="16">I26/D26</f>
        <v>127.605</v>
      </c>
      <c r="AH26" s="107">
        <f t="shared" ref="AH26:AH32" si="17">X26/D26</f>
        <v>0</v>
      </c>
      <c r="AI26" s="87">
        <f t="shared" si="4"/>
        <v>97.033333333333346</v>
      </c>
      <c r="AJ26" s="88">
        <f t="shared" ref="AJ26:AJ32" si="18">D26</f>
        <v>6</v>
      </c>
      <c r="AK26" s="88"/>
      <c r="AL26" s="88">
        <f t="shared" ref="AL26:AL32" si="19">AK26+AJ26</f>
        <v>6</v>
      </c>
      <c r="AM26" s="88">
        <f t="shared" ref="AM26:AM32" si="20">ROUND(P26/630,0)</f>
        <v>1</v>
      </c>
      <c r="AN26" s="88"/>
    </row>
    <row r="27" spans="1:40" ht="17.100000000000001" customHeight="1" outlineLevel="2">
      <c r="A27" s="88">
        <v>20</v>
      </c>
      <c r="B27" s="88">
        <v>3</v>
      </c>
      <c r="C27" s="90" t="s">
        <v>1620</v>
      </c>
      <c r="D27" s="105">
        <f>COUNTIF(vuot2019_2020_I!$K$12:$K$741,C27)</f>
        <v>6</v>
      </c>
      <c r="E27" s="106">
        <f>SUMIF(vuot2019_2020_I!$L$12:$L$741,C27,vuot2019_2020_I!$AC$12:$AC$741)</f>
        <v>283.5</v>
      </c>
      <c r="F27" s="106">
        <f>SUMIF(vuot2019_2020_I!$L$12:$L$741,C27,vuot2019_2020_I!$AD$12:$AD$741)</f>
        <v>120</v>
      </c>
      <c r="G27" s="106">
        <f>SUMIF(vuot2019_2020_I!$L$12:$L$741,C27,vuot2019_2020_I!$AE$12:$AE$741)</f>
        <v>931.5</v>
      </c>
      <c r="H27" s="106">
        <f>SUMIF(vuot2019_2020_I!$L$12:$L$741,C27,vuot2019_2020_I!$AF$12:$AF$741)</f>
        <v>582.5</v>
      </c>
      <c r="I27" s="107">
        <f>SUMIF(vuot2019_2020_I!$L$12:$L$741,C27,vuot2019_2020_I!$AG$12:$AG$741)</f>
        <v>1237.04</v>
      </c>
      <c r="J27" s="107">
        <f>SUMIF(vuot2019_2020_I!$L$12:$L$741,C27,vuot2019_2020_I!$AH$12:$AH$741)</f>
        <v>506.5</v>
      </c>
      <c r="K27" s="107">
        <f>SUMIF(vuot2019_2020_I!$L$12:$L$741,C27,vuot2019_2020_I!$AI$12:$AI$741)</f>
        <v>730.54</v>
      </c>
      <c r="L27" s="107">
        <f>SUMIF(vuot2019_2020_I!$L$12:$L$741,C27,vuot2019_2020_I!$AJ$12:$AJ$741)</f>
        <v>-6.25</v>
      </c>
      <c r="M27" s="107">
        <f>SUMIF(vuot2019_2020_I!$L$12:$L$741,C27,vuot2019_2020_I!$AK$12:$AK$741)</f>
        <v>937.75</v>
      </c>
      <c r="N27" s="107">
        <f>SUMIF(vuot2019_2020_I!$L$12:$L$741,C27,vuot2019_2020_I!$AL$12:$AL$741)</f>
        <v>456.3</v>
      </c>
      <c r="O27" s="107">
        <f>SUMIF(vuot2019_2020_I!$L$12:$L$741,C27,vuot2019_2020_I!$AM$12:$AM$741)</f>
        <v>212.5</v>
      </c>
      <c r="P27" s="107">
        <f>SUMIF(vuot2019_2020_I!$L$12:$L$741,C27,vuot2019_2020_I!$AN$12:$AN$741)</f>
        <v>668.8</v>
      </c>
      <c r="Q27" s="107">
        <f>SUMIF(vuot2019_2020_I!$L$12:$L$752,C27,vuot2019_2020_I!$AU$12:$AU$752)</f>
        <v>-268.95000000000005</v>
      </c>
      <c r="R27" s="107">
        <f>SUMIF(vuot2019_2020_I!$L$12:$L$752,C27,vuot2019_2020_I!$BK$12:$BK$752)</f>
        <v>0</v>
      </c>
      <c r="S27" s="107">
        <f>SUMIF(vuot2019_2020_I!$L$12:$L$741,C27,vuot2019_2020_I!$BL$12:$BL$741)</f>
        <v>19.5</v>
      </c>
      <c r="T27" s="107">
        <f>SUMIF(vuot2019_2020_I!$L$12:$L$741,C27,vuot2019_2020_I!$BP$12:$BP$741)</f>
        <v>19.5</v>
      </c>
      <c r="U27" s="108">
        <f>SUMIF(vuot2019_2020_I!$L$12:$L$741,C27,vuot2019_2020_I!$BR$12:$BR$741)</f>
        <v>1267500</v>
      </c>
      <c r="V27" s="107">
        <f>SUMIF(vuot2019_2020_I!$L$12:$L$741,C27,vuot2019_2020_I!$BS$12:$BS$741)</f>
        <v>0</v>
      </c>
      <c r="W27" s="108">
        <f>SUMIF(vuot2019_2020_I!$L$12:$L$741,C27,vuot2019_2020_I!$BU$12:$BU$741)</f>
        <v>0</v>
      </c>
      <c r="X27" s="108">
        <f>SUMIF(vuot2019_2020_I!$L$12:$L$741,C27,vuot2019_2020_I!$BV$12:$BV$741)</f>
        <v>1267500</v>
      </c>
      <c r="Y27" s="108">
        <f>SUMIF(vuot2019_2020_I!$L$12:$L$741,C27,vuot2019_2020_I!$BW$12:$BW$741)</f>
        <v>0</v>
      </c>
      <c r="Z27" s="109">
        <f>SUMIF(vuot2019_2020_I!$L$12:$L$741,C27,vuot2019_2020_I!$BX$12:$BX$741)</f>
        <v>1565200</v>
      </c>
      <c r="AA27" s="109">
        <f>SUMIF(vuot2019_2020_I!$L$12:$L$741,C27,vuot2019_2020_I!$BY$12:$BY$741)+SUMIF(vuot2019_2020_I!$L$12:$L$741,C27,vuot2019_2020_I!$BZ$12:$BZ$741)</f>
        <v>0</v>
      </c>
      <c r="AB27" s="108">
        <f>SUMIF(vuot2019_2020_I!$L$12:$L$741,C27,vuot2019_2020_I!$CB$12:$CB$741)</f>
        <v>0</v>
      </c>
      <c r="AC27" s="108">
        <f>SUMIF(vuot2019_2020_I!$L$12:$L$741,C27,vuot2019_2020_I!$CC$12:$CC$741)+SUMIF(vuot2019_2020_I!$L$12:$L$741,C27,vuot2019_2020_I!$CA$12:$CA$741)</f>
        <v>1267500</v>
      </c>
      <c r="AD27" s="108">
        <f>SUMIF(vuot2019_2020_I!$L$12:$L$741,C27,vuot2019_2020_I!$CD$12:$CD$741)</f>
        <v>1565200</v>
      </c>
      <c r="AE27" s="110">
        <f t="shared" si="1"/>
        <v>111.46666666666665</v>
      </c>
      <c r="AF27" s="110">
        <f t="shared" si="8"/>
        <v>3.25</v>
      </c>
      <c r="AG27" s="87">
        <f t="shared" si="16"/>
        <v>206.17333333333332</v>
      </c>
      <c r="AH27" s="107">
        <f t="shared" si="17"/>
        <v>211250</v>
      </c>
      <c r="AI27" s="87">
        <f t="shared" si="4"/>
        <v>111.46666666666665</v>
      </c>
      <c r="AJ27" s="88">
        <f t="shared" si="18"/>
        <v>6</v>
      </c>
      <c r="AK27" s="88"/>
      <c r="AL27" s="88">
        <f t="shared" si="19"/>
        <v>6</v>
      </c>
      <c r="AM27" s="88">
        <f t="shared" si="20"/>
        <v>1</v>
      </c>
      <c r="AN27" s="88"/>
    </row>
    <row r="28" spans="1:40" ht="17.100000000000001" customHeight="1" outlineLevel="2">
      <c r="A28" s="88">
        <v>21</v>
      </c>
      <c r="B28" s="88">
        <v>3</v>
      </c>
      <c r="C28" s="90" t="s">
        <v>1621</v>
      </c>
      <c r="D28" s="105">
        <f>COUNTIF(vuot2019_2020_I!$K$12:$K$741,C28)</f>
        <v>8</v>
      </c>
      <c r="E28" s="106">
        <f>SUMIF(vuot2019_2020_I!$L$12:$L$741,C28,vuot2019_2020_I!$AC$12:$AC$741)</f>
        <v>378</v>
      </c>
      <c r="F28" s="106">
        <f>SUMIF(vuot2019_2020_I!$L$12:$L$741,C28,vuot2019_2020_I!$AD$12:$AD$741)</f>
        <v>140</v>
      </c>
      <c r="G28" s="106">
        <f>SUMIF(vuot2019_2020_I!$L$12:$L$741,C28,vuot2019_2020_I!$AE$12:$AE$741)</f>
        <v>1782</v>
      </c>
      <c r="H28" s="106">
        <f>SUMIF(vuot2019_2020_I!$L$12:$L$741,C28,vuot2019_2020_I!$AF$12:$AF$741)</f>
        <v>940</v>
      </c>
      <c r="I28" s="107">
        <f>SUMIF(vuot2019_2020_I!$L$12:$L$741,C28,vuot2019_2020_I!$AG$12:$AG$741)</f>
        <v>1107.0783333333334</v>
      </c>
      <c r="J28" s="107">
        <f>SUMIF(vuot2019_2020_I!$L$12:$L$741,C28,vuot2019_2020_I!$AH$12:$AH$741)</f>
        <v>768.32833333333326</v>
      </c>
      <c r="K28" s="107">
        <f>SUMIF(vuot2019_2020_I!$L$12:$L$741,C28,vuot2019_2020_I!$AI$12:$AI$741)</f>
        <v>338.75</v>
      </c>
      <c r="L28" s="107">
        <f>SUMIF(vuot2019_2020_I!$L$12:$L$741,C28,vuot2019_2020_I!$AJ$12:$AJ$741)</f>
        <v>-182.13000000000002</v>
      </c>
      <c r="M28" s="107">
        <f>SUMIF(vuot2019_2020_I!$L$12:$L$741,C28,vuot2019_2020_I!$AK$12:$AK$741)</f>
        <v>1964.13</v>
      </c>
      <c r="N28" s="107">
        <f>SUMIF(vuot2019_2020_I!$L$12:$L$741,C28,vuot2019_2020_I!$AL$12:$AL$741)</f>
        <v>963.2</v>
      </c>
      <c r="O28" s="107">
        <f>SUMIF(vuot2019_2020_I!$L$12:$L$741,C28,vuot2019_2020_I!$AM$12:$AM$741)</f>
        <v>895.80000000000007</v>
      </c>
      <c r="P28" s="107">
        <f>SUMIF(vuot2019_2020_I!$L$12:$L$741,C28,vuot2019_2020_I!$AN$12:$AN$741)</f>
        <v>1859.0000000000002</v>
      </c>
      <c r="Q28" s="107">
        <f>SUMIF(vuot2019_2020_I!$L$12:$L$752,C28,vuot2019_2020_I!$AU$12:$AU$752)</f>
        <v>-105.12999999999994</v>
      </c>
      <c r="R28" s="107">
        <f>SUMIF(vuot2019_2020_I!$L$12:$L$752,C28,vuot2019_2020_I!$BK$12:$BK$752)</f>
        <v>0</v>
      </c>
      <c r="S28" s="107">
        <f>SUMIF(vuot2019_2020_I!$L$12:$L$741,C28,vuot2019_2020_I!$BL$12:$BL$741)</f>
        <v>406.35000000000008</v>
      </c>
      <c r="T28" s="107">
        <f>SUMIF(vuot2019_2020_I!$L$12:$L$741,C28,vuot2019_2020_I!$BP$12:$BP$741)</f>
        <v>350.05</v>
      </c>
      <c r="U28" s="108">
        <f>SUMIF(vuot2019_2020_I!$L$12:$L$741,C28,vuot2019_2020_I!$BR$12:$BR$741)</f>
        <v>26800000</v>
      </c>
      <c r="V28" s="107">
        <f>SUMIF(vuot2019_2020_I!$L$12:$L$741,C28,vuot2019_2020_I!$BS$12:$BS$741)</f>
        <v>56.300000000000068</v>
      </c>
      <c r="W28" s="108">
        <f>SUMIF(vuot2019_2020_I!$L$12:$L$741,C28,vuot2019_2020_I!$BU$12:$BU$741)</f>
        <v>3659500</v>
      </c>
      <c r="X28" s="108">
        <f>SUMIF(vuot2019_2020_I!$L$12:$L$741,C28,vuot2019_2020_I!$BV$12:$BV$741)</f>
        <v>30459500</v>
      </c>
      <c r="Y28" s="108">
        <f>SUMIF(vuot2019_2020_I!$L$12:$L$741,C28,vuot2019_2020_I!$BW$12:$BW$741)</f>
        <v>0</v>
      </c>
      <c r="Z28" s="109">
        <f>SUMIF(vuot2019_2020_I!$L$12:$L$741,C28,vuot2019_2020_I!$BX$12:$BX$741)</f>
        <v>0</v>
      </c>
      <c r="AA28" s="109">
        <f>SUMIF(vuot2019_2020_I!$L$12:$L$741,C28,vuot2019_2020_I!$BY$12:$BY$741)+SUMIF(vuot2019_2020_I!$L$12:$L$741,C28,vuot2019_2020_I!$BZ$12:$BZ$741)</f>
        <v>0</v>
      </c>
      <c r="AB28" s="108">
        <f>SUMIF(vuot2019_2020_I!$L$12:$L$741,C28,vuot2019_2020_I!$CB$12:$CB$741)</f>
        <v>0</v>
      </c>
      <c r="AC28" s="108">
        <f>SUMIF(vuot2019_2020_I!$L$12:$L$741,C28,vuot2019_2020_I!$CC$12:$CC$741)+SUMIF(vuot2019_2020_I!$L$12:$L$741,C28,vuot2019_2020_I!$CA$12:$CA$741)</f>
        <v>30459500</v>
      </c>
      <c r="AD28" s="108">
        <f>SUMIF(vuot2019_2020_I!$L$12:$L$741,C28,vuot2019_2020_I!$CD$12:$CD$741)</f>
        <v>0</v>
      </c>
      <c r="AE28" s="110">
        <f t="shared" si="1"/>
        <v>232.37500000000003</v>
      </c>
      <c r="AF28" s="110">
        <f t="shared" si="8"/>
        <v>50.79375000000001</v>
      </c>
      <c r="AG28" s="87">
        <f t="shared" si="16"/>
        <v>138.38479166666667</v>
      </c>
      <c r="AH28" s="107">
        <f t="shared" si="17"/>
        <v>3807437.5</v>
      </c>
      <c r="AI28" s="87">
        <f t="shared" si="4"/>
        <v>232.37500000000003</v>
      </c>
      <c r="AJ28" s="88">
        <f t="shared" si="18"/>
        <v>8</v>
      </c>
      <c r="AK28" s="88"/>
      <c r="AL28" s="88">
        <f t="shared" si="19"/>
        <v>8</v>
      </c>
      <c r="AM28" s="88">
        <f t="shared" si="20"/>
        <v>3</v>
      </c>
      <c r="AN28" s="88"/>
    </row>
    <row r="29" spans="1:40" ht="17.100000000000001" customHeight="1" outlineLevel="2">
      <c r="A29" s="88">
        <v>22</v>
      </c>
      <c r="B29" s="88">
        <v>3</v>
      </c>
      <c r="C29" s="90" t="s">
        <v>1622</v>
      </c>
      <c r="D29" s="105">
        <f>COUNTIF(vuot2019_2020_I!$K$12:$K$741,C29)</f>
        <v>10</v>
      </c>
      <c r="E29" s="106">
        <f>SUMIF(vuot2019_2020_I!$L$12:$L$741,C29,vuot2019_2020_I!$AC$12:$AC$741)</f>
        <v>594</v>
      </c>
      <c r="F29" s="106">
        <f>SUMIF(vuot2019_2020_I!$L$12:$L$741,C29,vuot2019_2020_I!$AD$12:$AD$741)</f>
        <v>212.5</v>
      </c>
      <c r="G29" s="106">
        <f>SUMIF(vuot2019_2020_I!$L$12:$L$741,C29,vuot2019_2020_I!$AE$12:$AE$741)</f>
        <v>2106</v>
      </c>
      <c r="H29" s="106">
        <f>SUMIF(vuot2019_2020_I!$L$12:$L$741,C29,vuot2019_2020_I!$AF$12:$AF$741)</f>
        <v>1187.5</v>
      </c>
      <c r="I29" s="107">
        <f>SUMIF(vuot2019_2020_I!$L$12:$L$741,C29,vuot2019_2020_I!$AG$12:$AG$741)</f>
        <v>2385.1933333333332</v>
      </c>
      <c r="J29" s="107">
        <f>SUMIF(vuot2019_2020_I!$L$12:$L$741,C29,vuot2019_2020_I!$AH$12:$AH$741)</f>
        <v>1302.0433333333333</v>
      </c>
      <c r="K29" s="107">
        <f>SUMIF(vuot2019_2020_I!$L$12:$L$741,C29,vuot2019_2020_I!$AI$12:$AI$741)</f>
        <v>1083.1499999999999</v>
      </c>
      <c r="L29" s="107">
        <f>SUMIF(vuot2019_2020_I!$L$12:$L$741,C29,vuot2019_2020_I!$AJ$12:$AJ$741)</f>
        <v>-328.52000000000004</v>
      </c>
      <c r="M29" s="107">
        <f>SUMIF(vuot2019_2020_I!$L$12:$L$741,C29,vuot2019_2020_I!$AK$12:$AK$741)</f>
        <v>2434.52</v>
      </c>
      <c r="N29" s="107">
        <f>SUMIF(vuot2019_2020_I!$L$12:$L$741,C29,vuot2019_2020_I!$AL$12:$AL$741)</f>
        <v>654</v>
      </c>
      <c r="O29" s="107">
        <f>SUMIF(vuot2019_2020_I!$L$12:$L$741,C29,vuot2019_2020_I!$AM$12:$AM$741)</f>
        <v>1380.8</v>
      </c>
      <c r="P29" s="107">
        <f>SUMIF(vuot2019_2020_I!$L$12:$L$741,C29,vuot2019_2020_I!$AN$12:$AN$741)</f>
        <v>2034.8000000000002</v>
      </c>
      <c r="Q29" s="107">
        <f>SUMIF(vuot2019_2020_I!$L$12:$L$752,C29,vuot2019_2020_I!$AU$12:$AU$752)</f>
        <v>-399.72000000000014</v>
      </c>
      <c r="R29" s="107">
        <f>SUMIF(vuot2019_2020_I!$L$12:$L$752,C29,vuot2019_2020_I!$BK$12:$BK$752)</f>
        <v>0</v>
      </c>
      <c r="S29" s="107">
        <f>SUMIF(vuot2019_2020_I!$L$12:$L$741,C29,vuot2019_2020_I!$BL$12:$BL$741)</f>
        <v>599.69999999999993</v>
      </c>
      <c r="T29" s="107">
        <f>SUMIF(vuot2019_2020_I!$L$12:$L$741,C29,vuot2019_2020_I!$BP$12:$BP$741)</f>
        <v>551.89999999999986</v>
      </c>
      <c r="U29" s="108">
        <f>SUMIF(vuot2019_2020_I!$L$12:$L$741,C29,vuot2019_2020_I!$BR$12:$BR$741)</f>
        <v>40423500</v>
      </c>
      <c r="V29" s="107">
        <f>SUMIF(vuot2019_2020_I!$L$12:$L$741,C29,vuot2019_2020_I!$BS$12:$BS$741)</f>
        <v>47.800000000000011</v>
      </c>
      <c r="W29" s="108">
        <f>SUMIF(vuot2019_2020_I!$L$12:$L$741,C29,vuot2019_2020_I!$BU$12:$BU$741)</f>
        <v>2629000</v>
      </c>
      <c r="X29" s="108">
        <f>SUMIF(vuot2019_2020_I!$L$12:$L$741,C29,vuot2019_2020_I!$BV$12:$BV$741)</f>
        <v>43052500</v>
      </c>
      <c r="Y29" s="108">
        <f>SUMIF(vuot2019_2020_I!$L$12:$L$741,C29,vuot2019_2020_I!$BW$12:$BW$741)</f>
        <v>0</v>
      </c>
      <c r="Z29" s="109">
        <f>SUMIF(vuot2019_2020_I!$L$12:$L$741,C29,vuot2019_2020_I!$BX$12:$BX$741)</f>
        <v>803000</v>
      </c>
      <c r="AA29" s="109">
        <f>SUMIF(vuot2019_2020_I!$L$12:$L$741,C29,vuot2019_2020_I!$BY$12:$BY$741)+SUMIF(vuot2019_2020_I!$L$12:$L$741,C29,vuot2019_2020_I!$BZ$12:$BZ$741)</f>
        <v>0</v>
      </c>
      <c r="AB29" s="108">
        <f>SUMIF(vuot2019_2020_I!$L$12:$L$741,C29,vuot2019_2020_I!$CB$12:$CB$741)</f>
        <v>0</v>
      </c>
      <c r="AC29" s="108">
        <f>SUMIF(vuot2019_2020_I!$L$12:$L$741,C29,vuot2019_2020_I!$CC$12:$CC$741)+SUMIF(vuot2019_2020_I!$L$12:$L$741,C29,vuot2019_2020_I!$CA$12:$CA$741)</f>
        <v>43052500</v>
      </c>
      <c r="AD29" s="108">
        <f>SUMIF(vuot2019_2020_I!$L$12:$L$741,C29,vuot2019_2020_I!$CD$12:$CD$741)</f>
        <v>803000</v>
      </c>
      <c r="AE29" s="110">
        <f t="shared" si="1"/>
        <v>203.48000000000002</v>
      </c>
      <c r="AF29" s="110">
        <f t="shared" si="8"/>
        <v>59.969999999999992</v>
      </c>
      <c r="AG29" s="87">
        <f t="shared" si="16"/>
        <v>238.51933333333332</v>
      </c>
      <c r="AH29" s="107">
        <f t="shared" si="17"/>
        <v>4305250</v>
      </c>
      <c r="AI29" s="87">
        <f t="shared" si="4"/>
        <v>203.48000000000002</v>
      </c>
      <c r="AJ29" s="88">
        <f t="shared" si="18"/>
        <v>10</v>
      </c>
      <c r="AK29" s="88"/>
      <c r="AL29" s="88">
        <f t="shared" si="19"/>
        <v>10</v>
      </c>
      <c r="AM29" s="88">
        <f t="shared" si="20"/>
        <v>3</v>
      </c>
      <c r="AN29" s="88"/>
    </row>
    <row r="30" spans="1:40" ht="17.100000000000001" customHeight="1" outlineLevel="2">
      <c r="A30" s="88">
        <v>23</v>
      </c>
      <c r="B30" s="88">
        <v>3</v>
      </c>
      <c r="C30" s="90" t="s">
        <v>2952</v>
      </c>
      <c r="D30" s="105">
        <f>COUNTIF(vuot2019_2020_I!$K$12:$K$741,C30)</f>
        <v>7</v>
      </c>
      <c r="E30" s="106">
        <f>SUMIF(vuot2019_2020_I!$L$12:$L$741,C30,vuot2019_2020_I!$AC$12:$AC$741)</f>
        <v>351</v>
      </c>
      <c r="F30" s="106">
        <f>SUMIF(vuot2019_2020_I!$L$12:$L$741,C30,vuot2019_2020_I!$AD$12:$AD$741)</f>
        <v>106</v>
      </c>
      <c r="G30" s="106">
        <f>SUMIF(vuot2019_2020_I!$L$12:$L$741,C30,vuot2019_2020_I!$AE$12:$AE$741)</f>
        <v>1314</v>
      </c>
      <c r="H30" s="106">
        <f>SUMIF(vuot2019_2020_I!$L$12:$L$741,C30,vuot2019_2020_I!$AF$12:$AF$741)</f>
        <v>690.66666666666663</v>
      </c>
      <c r="I30" s="107">
        <f>SUMIF(vuot2019_2020_I!$L$12:$L$741,C30,vuot2019_2020_I!$AG$12:$AG$741)</f>
        <v>2012.48</v>
      </c>
      <c r="J30" s="107">
        <f>SUMIF(vuot2019_2020_I!$L$12:$L$741,C30,vuot2019_2020_I!$AH$12:$AH$741)</f>
        <v>849.3</v>
      </c>
      <c r="K30" s="107">
        <f>SUMIF(vuot2019_2020_I!$L$12:$L$741,C30,vuot2019_2020_I!$AI$12:$AI$741)</f>
        <v>1163.18</v>
      </c>
      <c r="L30" s="107">
        <f>SUMIF(vuot2019_2020_I!$L$12:$L$741,C30,vuot2019_2020_I!$AJ$12:$AJ$741)</f>
        <v>-54.940000000000012</v>
      </c>
      <c r="M30" s="107">
        <f>SUMIF(vuot2019_2020_I!$L$12:$L$741,C30,vuot2019_2020_I!$AK$12:$AK$741)</f>
        <v>1368.94</v>
      </c>
      <c r="N30" s="107">
        <f>SUMIF(vuot2019_2020_I!$L$12:$L$741,C30,vuot2019_2020_I!$AL$12:$AL$741)</f>
        <v>813.90000000000009</v>
      </c>
      <c r="O30" s="107">
        <f>SUMIF(vuot2019_2020_I!$L$12:$L$741,C30,vuot2019_2020_I!$AM$12:$AM$741)</f>
        <v>1137.5</v>
      </c>
      <c r="P30" s="107">
        <f>SUMIF(vuot2019_2020_I!$L$12:$L$741,C30,vuot2019_2020_I!$AN$12:$AN$741)</f>
        <v>1951.4</v>
      </c>
      <c r="Q30" s="107">
        <f>SUMIF(vuot2019_2020_I!$L$12:$L$752,C30,vuot2019_2020_I!$AU$12:$AU$752)</f>
        <v>582.46</v>
      </c>
      <c r="R30" s="107">
        <f>SUMIF(vuot2019_2020_I!$L$12:$L$752,C30,vuot2019_2020_I!$BK$12:$BK$752)</f>
        <v>0</v>
      </c>
      <c r="S30" s="107">
        <f>SUMIF(vuot2019_2020_I!$L$12:$L$741,C30,vuot2019_2020_I!$BL$12:$BL$741)</f>
        <v>829.56000000000006</v>
      </c>
      <c r="T30" s="107">
        <f>SUMIF(vuot2019_2020_I!$L$12:$L$741,C30,vuot2019_2020_I!$BP$12:$BP$741)</f>
        <v>641.18999999999994</v>
      </c>
      <c r="U30" s="108">
        <f>SUMIF(vuot2019_2020_I!$L$12:$L$741,C30,vuot2019_2020_I!$BR$12:$BR$741)</f>
        <v>45469250</v>
      </c>
      <c r="V30" s="107">
        <f>SUMIF(vuot2019_2020_I!$L$12:$L$741,C30,vuot2019_2020_I!$BS$12:$BS$741)</f>
        <v>188.37000000000006</v>
      </c>
      <c r="W30" s="108">
        <f>SUMIF(vuot2019_2020_I!$L$12:$L$741,C30,vuot2019_2020_I!$BU$12:$BU$741)</f>
        <v>11058050</v>
      </c>
      <c r="X30" s="108">
        <f>SUMIF(vuot2019_2020_I!$L$12:$L$741,C30,vuot2019_2020_I!$BV$12:$BV$741)</f>
        <v>56527300</v>
      </c>
      <c r="Y30" s="108">
        <f>SUMIF(vuot2019_2020_I!$L$12:$L$741,C30,vuot2019_2020_I!$BW$12:$BW$741)</f>
        <v>0</v>
      </c>
      <c r="Z30" s="109">
        <f>SUMIF(vuot2019_2020_I!$L$12:$L$741,C30,vuot2019_2020_I!$BX$12:$BX$741)</f>
        <v>0</v>
      </c>
      <c r="AA30" s="109">
        <f>SUMIF(vuot2019_2020_I!$L$12:$L$741,C30,vuot2019_2020_I!$BY$12:$BY$741)+SUMIF(vuot2019_2020_I!$L$12:$L$741,C30,vuot2019_2020_I!$BZ$12:$BZ$741)</f>
        <v>0</v>
      </c>
      <c r="AB30" s="108">
        <f>SUMIF(vuot2019_2020_I!$L$12:$L$741,C30,vuot2019_2020_I!$CB$12:$CB$741)</f>
        <v>0</v>
      </c>
      <c r="AC30" s="108">
        <f>SUMIF(vuot2019_2020_I!$L$12:$L$741,C30,vuot2019_2020_I!$CC$12:$CC$741)+SUMIF(vuot2019_2020_I!$L$12:$L$741,C30,vuot2019_2020_I!$CA$12:$CA$741)</f>
        <v>56527300</v>
      </c>
      <c r="AD30" s="108">
        <f>SUMIF(vuot2019_2020_I!$L$12:$L$741,C30,vuot2019_2020_I!$CD$12:$CD$741)</f>
        <v>0</v>
      </c>
      <c r="AE30" s="110">
        <f t="shared" si="1"/>
        <v>278.7714285714286</v>
      </c>
      <c r="AF30" s="110">
        <f t="shared" si="8"/>
        <v>118.50857142857144</v>
      </c>
      <c r="AG30" s="87">
        <f t="shared" si="16"/>
        <v>287.49714285714288</v>
      </c>
      <c r="AH30" s="107">
        <f t="shared" si="17"/>
        <v>8075328.5714285718</v>
      </c>
      <c r="AI30" s="87">
        <f t="shared" si="4"/>
        <v>278.7714285714286</v>
      </c>
      <c r="AJ30" s="88">
        <f t="shared" si="18"/>
        <v>7</v>
      </c>
      <c r="AK30" s="88"/>
      <c r="AL30" s="88">
        <f t="shared" si="19"/>
        <v>7</v>
      </c>
      <c r="AM30" s="88">
        <f t="shared" si="20"/>
        <v>3</v>
      </c>
      <c r="AN30" s="88"/>
    </row>
    <row r="31" spans="1:40" ht="17.100000000000001" customHeight="1" outlineLevel="2">
      <c r="A31" s="88">
        <v>23</v>
      </c>
      <c r="B31" s="88">
        <v>3</v>
      </c>
      <c r="C31" s="90" t="s">
        <v>2953</v>
      </c>
      <c r="D31" s="105">
        <f>COUNTIF(vuot2019_2020_I!$K$12:$K$741,C31)</f>
        <v>6</v>
      </c>
      <c r="E31" s="106">
        <f>SUMIF(vuot2019_2020_I!$L$12:$L$741,C31,vuot2019_2020_I!$AC$12:$AC$741)</f>
        <v>337.5</v>
      </c>
      <c r="F31" s="106">
        <f>SUMIF(vuot2019_2020_I!$L$12:$L$741,C31,vuot2019_2020_I!$AD$12:$AD$741)</f>
        <v>120</v>
      </c>
      <c r="G31" s="106">
        <f>SUMIF(vuot2019_2020_I!$L$12:$L$741,C31,vuot2019_2020_I!$AE$12:$AE$741)</f>
        <v>1282.5</v>
      </c>
      <c r="H31" s="106">
        <f>SUMIF(vuot2019_2020_I!$L$12:$L$741,C31,vuot2019_2020_I!$AF$12:$AF$741)</f>
        <v>630</v>
      </c>
      <c r="I31" s="107">
        <f>SUMIF(vuot2019_2020_I!$L$12:$L$741,C31,vuot2019_2020_I!$AG$12:$AG$741)</f>
        <v>848.01</v>
      </c>
      <c r="J31" s="107">
        <f>SUMIF(vuot2019_2020_I!$L$12:$L$741,C31,vuot2019_2020_I!$AH$12:$AH$741)</f>
        <v>567.29999999999995</v>
      </c>
      <c r="K31" s="107">
        <f>SUMIF(vuot2019_2020_I!$L$12:$L$741,C31,vuot2019_2020_I!$AI$12:$AI$741)</f>
        <v>280.71000000000004</v>
      </c>
      <c r="L31" s="107">
        <f>SUMIF(vuot2019_2020_I!$L$12:$L$741,C31,vuot2019_2020_I!$AJ$12:$AJ$741)</f>
        <v>-95.25</v>
      </c>
      <c r="M31" s="107">
        <f>SUMIF(vuot2019_2020_I!$L$12:$L$741,C31,vuot2019_2020_I!$AK$12:$AK$741)</f>
        <v>1377.75</v>
      </c>
      <c r="N31" s="107">
        <f>SUMIF(vuot2019_2020_I!$L$12:$L$741,C31,vuot2019_2020_I!$AL$12:$AL$741)</f>
        <v>1075.2</v>
      </c>
      <c r="O31" s="107">
        <f>SUMIF(vuot2019_2020_I!$L$12:$L$741,C31,vuot2019_2020_I!$AM$12:$AM$741)</f>
        <v>732.5</v>
      </c>
      <c r="P31" s="107">
        <f>SUMIF(vuot2019_2020_I!$L$12:$L$741,C31,vuot2019_2020_I!$AN$12:$AN$741)</f>
        <v>1807.7</v>
      </c>
      <c r="Q31" s="107">
        <f>SUMIF(vuot2019_2020_I!$L$12:$L$752,C31,vuot2019_2020_I!$AU$12:$AU$752)</f>
        <v>429.95000000000005</v>
      </c>
      <c r="R31" s="107">
        <f>SUMIF(vuot2019_2020_I!$L$12:$L$752,C31,vuot2019_2020_I!$BK$12:$BK$752)</f>
        <v>0</v>
      </c>
      <c r="S31" s="107">
        <f>SUMIF(vuot2019_2020_I!$L$12:$L$741,C31,vuot2019_2020_I!$BL$12:$BL$741)</f>
        <v>528.73</v>
      </c>
      <c r="T31" s="107">
        <f>SUMIF(vuot2019_2020_I!$L$12:$L$741,C31,vuot2019_2020_I!$BP$12:$BP$741)</f>
        <v>441.83</v>
      </c>
      <c r="U31" s="108">
        <f>SUMIF(vuot2019_2020_I!$L$12:$L$741,C31,vuot2019_2020_I!$BR$12:$BR$741)</f>
        <v>30615450</v>
      </c>
      <c r="V31" s="107">
        <f>SUMIF(vuot2019_2020_I!$L$12:$L$741,C31,vuot2019_2020_I!$BS$12:$BS$741)</f>
        <v>86.900000000000034</v>
      </c>
      <c r="W31" s="108">
        <f>SUMIF(vuot2019_2020_I!$L$12:$L$741,C31,vuot2019_2020_I!$BU$12:$BU$741)</f>
        <v>5648500</v>
      </c>
      <c r="X31" s="108">
        <f>SUMIF(vuot2019_2020_I!$L$12:$L$741,C31,vuot2019_2020_I!$BV$12:$BV$741)</f>
        <v>36263950</v>
      </c>
      <c r="Y31" s="108">
        <f>SUMIF(vuot2019_2020_I!$L$12:$L$741,C31,vuot2019_2020_I!$BW$12:$BW$741)</f>
        <v>0</v>
      </c>
      <c r="Z31" s="109">
        <f>SUMIF(vuot2019_2020_I!$L$12:$L$741,C31,vuot2019_2020_I!$BX$12:$BX$741)</f>
        <v>0</v>
      </c>
      <c r="AA31" s="109">
        <f>SUMIF(vuot2019_2020_I!$L$12:$L$741,C31,vuot2019_2020_I!$BY$12:$BY$741)+SUMIF(vuot2019_2020_I!$L$12:$L$741,C31,vuot2019_2020_I!$BZ$12:$BZ$741)</f>
        <v>0</v>
      </c>
      <c r="AB31" s="108">
        <f>SUMIF(vuot2019_2020_I!$L$12:$L$741,C31,vuot2019_2020_I!$CB$12:$CB$741)</f>
        <v>0</v>
      </c>
      <c r="AC31" s="108">
        <f>SUMIF(vuot2019_2020_I!$L$12:$L$741,C31,vuot2019_2020_I!$CC$12:$CC$741)+SUMIF(vuot2019_2020_I!$L$12:$L$741,C31,vuot2019_2020_I!$CA$12:$CA$741)</f>
        <v>36263950</v>
      </c>
      <c r="AD31" s="108">
        <f>SUMIF(vuot2019_2020_I!$L$12:$L$741,C31,vuot2019_2020_I!$CD$12:$CD$741)</f>
        <v>0</v>
      </c>
      <c r="AE31" s="110">
        <f t="shared" si="1"/>
        <v>301.28333333333336</v>
      </c>
      <c r="AF31" s="110">
        <f t="shared" si="8"/>
        <v>88.12166666666667</v>
      </c>
      <c r="AG31" s="87">
        <f>I31/D31</f>
        <v>141.33500000000001</v>
      </c>
      <c r="AH31" s="107">
        <f>X31/D31</f>
        <v>6043991.666666667</v>
      </c>
      <c r="AI31" s="87">
        <f t="shared" si="4"/>
        <v>301.28333333333336</v>
      </c>
      <c r="AJ31" s="88">
        <f>D31</f>
        <v>6</v>
      </c>
      <c r="AK31" s="88"/>
      <c r="AL31" s="88">
        <f>AK31+AJ31</f>
        <v>6</v>
      </c>
      <c r="AM31" s="88">
        <f>ROUND(P31/630,0)</f>
        <v>3</v>
      </c>
      <c r="AN31" s="88"/>
    </row>
    <row r="32" spans="1:40" ht="17.100000000000001" customHeight="1" outlineLevel="2">
      <c r="A32" s="88">
        <v>26</v>
      </c>
      <c r="B32" s="88">
        <v>3</v>
      </c>
      <c r="C32" s="90" t="s">
        <v>2445</v>
      </c>
      <c r="D32" s="105">
        <f>COUNTIF(vuot2019_2020_I!$K$12:$K$741,C32)</f>
        <v>4</v>
      </c>
      <c r="E32" s="106">
        <f>SUMIF(vuot2019_2020_I!$L$12:$L$741,C32,vuot2019_2020_I!$AC$12:$AC$741)</f>
        <v>324</v>
      </c>
      <c r="F32" s="106">
        <f>SUMIF(vuot2019_2020_I!$L$12:$L$741,C32,vuot2019_2020_I!$AD$12:$AD$741)</f>
        <v>120</v>
      </c>
      <c r="G32" s="106">
        <f>SUMIF(vuot2019_2020_I!$L$12:$L$741,C32,vuot2019_2020_I!$AE$12:$AE$741)</f>
        <v>756</v>
      </c>
      <c r="H32" s="106">
        <f>SUMIF(vuot2019_2020_I!$L$12:$L$741,C32,vuot2019_2020_I!$AF$12:$AF$741)</f>
        <v>340</v>
      </c>
      <c r="I32" s="107">
        <f>SUMIF(vuot2019_2020_I!$L$12:$L$741,C32,vuot2019_2020_I!$AG$12:$AG$741)</f>
        <v>903.95499999999993</v>
      </c>
      <c r="J32" s="107">
        <f>SUMIF(vuot2019_2020_I!$L$12:$L$741,C32,vuot2019_2020_I!$AH$12:$AH$741)</f>
        <v>447.07499999999999</v>
      </c>
      <c r="K32" s="107">
        <f>SUMIF(vuot2019_2020_I!$L$12:$L$741,C32,vuot2019_2020_I!$AI$12:$AI$741)</f>
        <v>456.88</v>
      </c>
      <c r="L32" s="107">
        <f>SUMIF(vuot2019_2020_I!$L$12:$L$741,C32,vuot2019_2020_I!$AJ$12:$AJ$741)</f>
        <v>-34.799999999999997</v>
      </c>
      <c r="M32" s="107">
        <f>SUMIF(vuot2019_2020_I!$L$12:$L$741,C32,vuot2019_2020_I!$AK$12:$AK$741)</f>
        <v>790.8</v>
      </c>
      <c r="N32" s="107">
        <f>SUMIF(vuot2019_2020_I!$L$12:$L$741,C32,vuot2019_2020_I!$AL$12:$AL$741)</f>
        <v>113.10000000000001</v>
      </c>
      <c r="O32" s="107">
        <f>SUMIF(vuot2019_2020_I!$L$12:$L$741,C32,vuot2019_2020_I!$AM$12:$AM$741)</f>
        <v>27.400000000000002</v>
      </c>
      <c r="P32" s="107">
        <f>SUMIF(vuot2019_2020_I!$L$12:$L$741,C32,vuot2019_2020_I!$AN$12:$AN$741)</f>
        <v>140.5</v>
      </c>
      <c r="Q32" s="107">
        <f>SUMIF(vuot2019_2020_I!$L$12:$L$752,C32,vuot2019_2020_I!$AU$12:$AU$752)</f>
        <v>-650.29999999999995</v>
      </c>
      <c r="R32" s="107">
        <f>SUMIF(vuot2019_2020_I!$L$12:$L$752,C32,vuot2019_2020_I!$BK$12:$BK$752)</f>
        <v>0</v>
      </c>
      <c r="S32" s="107">
        <f>SUMIF(vuot2019_2020_I!$L$12:$L$741,C32,vuot2019_2020_I!$BL$12:$BL$741)</f>
        <v>0</v>
      </c>
      <c r="T32" s="107">
        <f>SUMIF(vuot2019_2020_I!$L$12:$L$741,C32,vuot2019_2020_I!$BP$12:$BP$741)</f>
        <v>0</v>
      </c>
      <c r="U32" s="108">
        <f>SUMIF(vuot2019_2020_I!$L$12:$L$741,C32,vuot2019_2020_I!$BR$12:$BR$741)</f>
        <v>0</v>
      </c>
      <c r="V32" s="107">
        <f>SUMIF(vuot2019_2020_I!$L$12:$L$741,C32,vuot2019_2020_I!$BS$12:$BS$741)</f>
        <v>0</v>
      </c>
      <c r="W32" s="108">
        <f>SUMIF(vuot2019_2020_I!$L$12:$L$741,C32,vuot2019_2020_I!$BU$12:$BU$741)</f>
        <v>0</v>
      </c>
      <c r="X32" s="108">
        <f>SUMIF(vuot2019_2020_I!$L$12:$L$741,C32,vuot2019_2020_I!$BV$12:$BV$741)</f>
        <v>0</v>
      </c>
      <c r="Y32" s="108">
        <f>SUMIF(vuot2019_2020_I!$L$12:$L$741,C32,vuot2019_2020_I!$BW$12:$BW$741)</f>
        <v>0</v>
      </c>
      <c r="Z32" s="109">
        <f>SUMIF(vuot2019_2020_I!$L$12:$L$741,C32,vuot2019_2020_I!$BX$12:$BX$741)</f>
        <v>0</v>
      </c>
      <c r="AA32" s="109">
        <f>SUMIF(vuot2019_2020_I!$L$12:$L$741,C32,vuot2019_2020_I!$BY$12:$BY$741)+SUMIF(vuot2019_2020_I!$L$12:$L$741,C32,vuot2019_2020_I!$BZ$12:$BZ$741)</f>
        <v>0</v>
      </c>
      <c r="AB32" s="108">
        <f>SUMIF(vuot2019_2020_I!$L$12:$L$741,C32,vuot2019_2020_I!$CB$12:$CB$741)</f>
        <v>0</v>
      </c>
      <c r="AC32" s="108">
        <f>SUMIF(vuot2019_2020_I!$L$12:$L$741,C32,vuot2019_2020_I!$CC$12:$CC$741)+SUMIF(vuot2019_2020_I!$L$12:$L$741,C32,vuot2019_2020_I!$CA$12:$CA$741)</f>
        <v>0</v>
      </c>
      <c r="AD32" s="108">
        <f>SUMIF(vuot2019_2020_I!$L$12:$L$741,C32,vuot2019_2020_I!$CD$12:$CD$741)</f>
        <v>0</v>
      </c>
      <c r="AE32" s="110">
        <f t="shared" si="1"/>
        <v>35.125</v>
      </c>
      <c r="AF32" s="110">
        <f t="shared" si="8"/>
        <v>0</v>
      </c>
      <c r="AG32" s="87">
        <f t="shared" si="16"/>
        <v>225.98874999999998</v>
      </c>
      <c r="AH32" s="107">
        <f t="shared" si="17"/>
        <v>0</v>
      </c>
      <c r="AI32" s="87">
        <f t="shared" si="4"/>
        <v>35.125</v>
      </c>
      <c r="AJ32" s="88">
        <f t="shared" si="18"/>
        <v>4</v>
      </c>
      <c r="AK32" s="88"/>
      <c r="AL32" s="88">
        <f t="shared" si="19"/>
        <v>4</v>
      </c>
      <c r="AM32" s="88">
        <f t="shared" si="20"/>
        <v>0</v>
      </c>
      <c r="AN32" s="88"/>
    </row>
    <row r="33" spans="1:40" s="12" customFormat="1" ht="17.100000000000001" customHeight="1" outlineLevel="1">
      <c r="A33" s="97"/>
      <c r="B33" s="97" t="s">
        <v>2433</v>
      </c>
      <c r="C33" s="111"/>
      <c r="D33" s="96">
        <f t="shared" ref="D33:AD33" si="21">SUBTOTAL(9,D26:D32)</f>
        <v>47</v>
      </c>
      <c r="E33" s="112">
        <f t="shared" si="21"/>
        <v>2718</v>
      </c>
      <c r="F33" s="112">
        <f t="shared" si="21"/>
        <v>918.5</v>
      </c>
      <c r="G33" s="112">
        <f t="shared" si="21"/>
        <v>9342</v>
      </c>
      <c r="H33" s="112">
        <f t="shared" si="21"/>
        <v>5420.666666666667</v>
      </c>
      <c r="I33" s="112">
        <f t="shared" si="21"/>
        <v>9259.3866666666672</v>
      </c>
      <c r="J33" s="112">
        <f>SUBTOTAL(9,J26:J32)</f>
        <v>4566.3866666666663</v>
      </c>
      <c r="K33" s="112">
        <f>SUBTOTAL(9,K26:K32)</f>
        <v>4693</v>
      </c>
      <c r="L33" s="112">
        <f t="shared" si="21"/>
        <v>-1192.3100000000002</v>
      </c>
      <c r="M33" s="112">
        <f t="shared" si="21"/>
        <v>10534.31</v>
      </c>
      <c r="N33" s="112">
        <f t="shared" si="21"/>
        <v>4462.6000000000004</v>
      </c>
      <c r="O33" s="112">
        <f t="shared" si="21"/>
        <v>4581.7999999999993</v>
      </c>
      <c r="P33" s="112">
        <f t="shared" si="21"/>
        <v>9044.4000000000015</v>
      </c>
      <c r="Q33" s="112">
        <f t="shared" si="21"/>
        <v>-1489.9099999999999</v>
      </c>
      <c r="R33" s="112">
        <f t="shared" si="21"/>
        <v>0</v>
      </c>
      <c r="S33" s="112">
        <f t="shared" si="21"/>
        <v>2383.84</v>
      </c>
      <c r="T33" s="112">
        <f t="shared" si="21"/>
        <v>2004.4699999999998</v>
      </c>
      <c r="U33" s="113">
        <f t="shared" si="21"/>
        <v>144575700</v>
      </c>
      <c r="V33" s="112">
        <f t="shared" si="21"/>
        <v>379.37000000000018</v>
      </c>
      <c r="W33" s="113">
        <f t="shared" si="21"/>
        <v>22995050</v>
      </c>
      <c r="X33" s="113">
        <f t="shared" si="21"/>
        <v>167570750</v>
      </c>
      <c r="Y33" s="113">
        <f t="shared" si="21"/>
        <v>909500</v>
      </c>
      <c r="Z33" s="113">
        <f t="shared" si="21"/>
        <v>2368200</v>
      </c>
      <c r="AA33" s="113">
        <f t="shared" si="21"/>
        <v>0</v>
      </c>
      <c r="AB33" s="113">
        <f t="shared" si="21"/>
        <v>0</v>
      </c>
      <c r="AC33" s="113">
        <f t="shared" si="21"/>
        <v>168480250</v>
      </c>
      <c r="AD33" s="113">
        <f t="shared" si="21"/>
        <v>2368200</v>
      </c>
      <c r="AE33" s="114">
        <f t="shared" si="1"/>
        <v>192.43404255319152</v>
      </c>
      <c r="AF33" s="114">
        <f t="shared" si="8"/>
        <v>50.720000000000006</v>
      </c>
      <c r="AG33" s="96">
        <f t="shared" ref="AG33:AG82" si="22">I33/D33</f>
        <v>197.00822695035461</v>
      </c>
      <c r="AH33" s="112">
        <f t="shared" ref="AH33:AH82" si="23">X33/D33</f>
        <v>3565335.1063829786</v>
      </c>
      <c r="AI33" s="96">
        <f t="shared" si="4"/>
        <v>192.43404255319152</v>
      </c>
      <c r="AJ33" s="115">
        <f>SUBTOTAL(9,AJ26:AJ32)</f>
        <v>47</v>
      </c>
      <c r="AK33" s="115">
        <f>SUBTOTAL(9,AK26:AK32)</f>
        <v>0</v>
      </c>
      <c r="AL33" s="115">
        <f>SUBTOTAL(9,AL26:AL32)</f>
        <v>47</v>
      </c>
      <c r="AM33" s="115">
        <f>SUBTOTAL(9,AM26:AM32)</f>
        <v>14</v>
      </c>
      <c r="AN33" s="97">
        <f>AM33-AJ33</f>
        <v>-33</v>
      </c>
    </row>
    <row r="34" spans="1:40" ht="17.100000000000001" customHeight="1" outlineLevel="2">
      <c r="A34" s="88">
        <v>28</v>
      </c>
      <c r="B34" s="88">
        <v>4</v>
      </c>
      <c r="C34" s="90" t="s">
        <v>557</v>
      </c>
      <c r="D34" s="105">
        <f>COUNTIF(vuot2019_2020_I!$K$12:$K$741,C34)</f>
        <v>6</v>
      </c>
      <c r="E34" s="106">
        <f>SUMIF(vuot2019_2020_I!$L$12:$L$741,C34,vuot2019_2020_I!$AC$12:$AC$741)</f>
        <v>553.5</v>
      </c>
      <c r="F34" s="106">
        <f>SUMIF(vuot2019_2020_I!$L$12:$L$741,C34,vuot2019_2020_I!$AD$12:$AD$741)</f>
        <v>204</v>
      </c>
      <c r="G34" s="106">
        <f>SUMIF(vuot2019_2020_I!$L$12:$L$741,C34,vuot2019_2020_I!$AE$12:$AE$741)</f>
        <v>1066.5</v>
      </c>
      <c r="H34" s="106">
        <f>SUMIF(vuot2019_2020_I!$L$12:$L$741,C34,vuot2019_2020_I!$AF$12:$AF$741)</f>
        <v>766</v>
      </c>
      <c r="I34" s="107">
        <f>SUMIF(vuot2019_2020_I!$L$12:$L$741,C34,vuot2019_2020_I!$AG$12:$AG$741)</f>
        <v>1272.6100000000001</v>
      </c>
      <c r="J34" s="107">
        <f>SUMIF(vuot2019_2020_I!$L$12:$L$741,C34,vuot2019_2020_I!$AH$12:$AH$741)</f>
        <v>819.27</v>
      </c>
      <c r="K34" s="107">
        <f>SUMIF(vuot2019_2020_I!$L$12:$L$741,C34,vuot2019_2020_I!$AI$12:$AI$741)</f>
        <v>453.34000000000003</v>
      </c>
      <c r="L34" s="107">
        <f>SUMIF(vuot2019_2020_I!$L$12:$L$741,C34,vuot2019_2020_I!$AJ$12:$AJ$741)</f>
        <v>-133.63</v>
      </c>
      <c r="M34" s="107">
        <f>SUMIF(vuot2019_2020_I!$L$12:$L$741,C34,vuot2019_2020_I!$AK$12:$AK$741)</f>
        <v>1200.1300000000001</v>
      </c>
      <c r="N34" s="107">
        <f>SUMIF(vuot2019_2020_I!$L$12:$L$741,C34,vuot2019_2020_I!$AL$12:$AL$741)</f>
        <v>1194.0999999999999</v>
      </c>
      <c r="O34" s="107">
        <f>SUMIF(vuot2019_2020_I!$L$12:$L$741,C34,vuot2019_2020_I!$AM$12:$AM$741)</f>
        <v>0</v>
      </c>
      <c r="P34" s="107">
        <f>SUMIF(vuot2019_2020_I!$L$12:$L$741,C34,vuot2019_2020_I!$AN$12:$AN$741)</f>
        <v>1194.0999999999999</v>
      </c>
      <c r="Q34" s="107">
        <f>SUMIF(vuot2019_2020_I!$L$12:$L$752,C34,vuot2019_2020_I!$AU$12:$AU$752)</f>
        <v>-6.0299999999999727</v>
      </c>
      <c r="R34" s="107">
        <f>SUMIF(vuot2019_2020_I!$L$12:$L$752,C34,vuot2019_2020_I!$BK$12:$BK$752)</f>
        <v>0</v>
      </c>
      <c r="S34" s="107">
        <f>SUMIF(vuot2019_2020_I!$L$12:$L$741,C34,vuot2019_2020_I!$BL$12:$BL$741)</f>
        <v>226.89999999999998</v>
      </c>
      <c r="T34" s="107">
        <f>SUMIF(vuot2019_2020_I!$L$12:$L$741,C34,vuot2019_2020_I!$BP$12:$BP$741)</f>
        <v>226.89999999999998</v>
      </c>
      <c r="U34" s="108">
        <f>SUMIF(vuot2019_2020_I!$L$12:$L$741,C34,vuot2019_2020_I!$BR$12:$BR$741)</f>
        <v>14690000</v>
      </c>
      <c r="V34" s="107">
        <f>SUMIF(vuot2019_2020_I!$L$12:$L$741,C34,vuot2019_2020_I!$BS$12:$BS$741)</f>
        <v>0</v>
      </c>
      <c r="W34" s="108">
        <f>SUMIF(vuot2019_2020_I!$L$12:$L$741,C34,vuot2019_2020_I!$BU$12:$BU$741)</f>
        <v>0</v>
      </c>
      <c r="X34" s="108">
        <f>SUMIF(vuot2019_2020_I!$L$12:$L$741,C34,vuot2019_2020_I!$BV$12:$BV$741)</f>
        <v>14690000</v>
      </c>
      <c r="Y34" s="108">
        <f>SUMIF(vuot2019_2020_I!$L$12:$L$741,C34,vuot2019_2020_I!$BW$12:$BW$741)</f>
        <v>0</v>
      </c>
      <c r="Z34" s="109">
        <f>SUMIF(vuot2019_2020_I!$L$12:$L$741,C34,vuot2019_2020_I!$BX$12:$BX$741)</f>
        <v>0</v>
      </c>
      <c r="AA34" s="109">
        <f>SUMIF(vuot2019_2020_I!$L$12:$L$741,C34,vuot2019_2020_I!$BY$12:$BY$741)+SUMIF(vuot2019_2020_I!$L$12:$L$741,C34,vuot2019_2020_I!$BZ$12:$BZ$741)</f>
        <v>0</v>
      </c>
      <c r="AB34" s="108">
        <f>SUMIF(vuot2019_2020_I!$L$12:$L$741,C34,vuot2019_2020_I!$CB$12:$CB$741)</f>
        <v>0</v>
      </c>
      <c r="AC34" s="108">
        <f>SUMIF(vuot2019_2020_I!$L$12:$L$741,C34,vuot2019_2020_I!$CC$12:$CC$741)+SUMIF(vuot2019_2020_I!$L$12:$L$741,C34,vuot2019_2020_I!$CA$12:$CA$741)</f>
        <v>14690000</v>
      </c>
      <c r="AD34" s="108">
        <f>SUMIF(vuot2019_2020_I!$L$12:$L$741,C34,vuot2019_2020_I!$CD$12:$CD$741)</f>
        <v>0</v>
      </c>
      <c r="AE34" s="110">
        <f t="shared" si="1"/>
        <v>199.01666666666665</v>
      </c>
      <c r="AF34" s="110">
        <f t="shared" si="8"/>
        <v>37.816666666666663</v>
      </c>
      <c r="AG34" s="87">
        <f t="shared" si="22"/>
        <v>212.10166666666669</v>
      </c>
      <c r="AH34" s="107">
        <f t="shared" si="23"/>
        <v>2448333.3333333335</v>
      </c>
      <c r="AI34" s="87">
        <f t="shared" si="4"/>
        <v>199.01666666666665</v>
      </c>
      <c r="AJ34" s="88">
        <f t="shared" ref="AJ34:AJ41" si="24">D34</f>
        <v>6</v>
      </c>
      <c r="AK34" s="88"/>
      <c r="AL34" s="88">
        <f t="shared" ref="AL34:AL41" si="25">AK34+AJ34</f>
        <v>6</v>
      </c>
      <c r="AM34" s="88">
        <f t="shared" ref="AM34:AM41" si="26">ROUND(P34/630,0)</f>
        <v>2</v>
      </c>
      <c r="AN34" s="88"/>
    </row>
    <row r="35" spans="1:40" ht="17.100000000000001" customHeight="1" outlineLevel="2">
      <c r="A35" s="88">
        <v>29</v>
      </c>
      <c r="B35" s="88">
        <v>4</v>
      </c>
      <c r="C35" s="90" t="s">
        <v>1075</v>
      </c>
      <c r="D35" s="105">
        <f>COUNTIF(vuot2019_2020_I!$K$12:$K$741,C35)</f>
        <v>6</v>
      </c>
      <c r="E35" s="106">
        <f>SUMIF(vuot2019_2020_I!$L$12:$L$741,C35,vuot2019_2020_I!$AC$12:$AC$741)</f>
        <v>148.5</v>
      </c>
      <c r="F35" s="106">
        <f>SUMIF(vuot2019_2020_I!$L$12:$L$741,C35,vuot2019_2020_I!$AD$12:$AD$741)</f>
        <v>0</v>
      </c>
      <c r="G35" s="106">
        <f>SUMIF(vuot2019_2020_I!$L$12:$L$741,C35,vuot2019_2020_I!$AE$12:$AE$741)</f>
        <v>1066.5</v>
      </c>
      <c r="H35" s="106">
        <f>SUMIF(vuot2019_2020_I!$L$12:$L$741,C35,vuot2019_2020_I!$AF$12:$AF$741)</f>
        <v>525</v>
      </c>
      <c r="I35" s="107">
        <f>SUMIF(vuot2019_2020_I!$L$12:$L$741,C35,vuot2019_2020_I!$AG$12:$AG$741)</f>
        <v>473.33000000000004</v>
      </c>
      <c r="J35" s="107">
        <f>SUMIF(vuot2019_2020_I!$L$12:$L$741,C35,vuot2019_2020_I!$AH$12:$AH$741)</f>
        <v>238.33</v>
      </c>
      <c r="K35" s="107">
        <f>SUMIF(vuot2019_2020_I!$L$12:$L$741,C35,vuot2019_2020_I!$AI$12:$AI$741)</f>
        <v>235</v>
      </c>
      <c r="L35" s="107">
        <f>SUMIF(vuot2019_2020_I!$L$12:$L$741,C35,vuot2019_2020_I!$AJ$12:$AJ$741)</f>
        <v>-225</v>
      </c>
      <c r="M35" s="107">
        <f>SUMIF(vuot2019_2020_I!$L$12:$L$741,C35,vuot2019_2020_I!$AK$12:$AK$741)</f>
        <v>1291.5</v>
      </c>
      <c r="N35" s="107">
        <f>SUMIF(vuot2019_2020_I!$L$12:$L$741,C35,vuot2019_2020_I!$AL$12:$AL$741)</f>
        <v>1176.0999999999999</v>
      </c>
      <c r="O35" s="107">
        <f>SUMIF(vuot2019_2020_I!$L$12:$L$741,C35,vuot2019_2020_I!$AM$12:$AM$741)</f>
        <v>0</v>
      </c>
      <c r="P35" s="107">
        <f>SUMIF(vuot2019_2020_I!$L$12:$L$741,C35,vuot2019_2020_I!$AN$12:$AN$741)</f>
        <v>1176.0999999999999</v>
      </c>
      <c r="Q35" s="107">
        <f>SUMIF(vuot2019_2020_I!$L$12:$L$752,C35,vuot2019_2020_I!$AU$12:$AU$752)</f>
        <v>-115.39999999999999</v>
      </c>
      <c r="R35" s="107">
        <f>SUMIF(vuot2019_2020_I!$L$12:$L$752,C35,vuot2019_2020_I!$BK$12:$BK$752)</f>
        <v>0</v>
      </c>
      <c r="S35" s="107">
        <f>SUMIF(vuot2019_2020_I!$L$12:$L$741,C35,vuot2019_2020_I!$BL$12:$BL$741)</f>
        <v>53.133333333333326</v>
      </c>
      <c r="T35" s="107">
        <f>SUMIF(vuot2019_2020_I!$L$12:$L$741,C35,vuot2019_2020_I!$BP$12:$BP$741)</f>
        <v>53.133333333333326</v>
      </c>
      <c r="U35" s="108">
        <f>SUMIF(vuot2019_2020_I!$L$12:$L$741,C35,vuot2019_2020_I!$BR$12:$BR$741)</f>
        <v>3879000</v>
      </c>
      <c r="V35" s="107">
        <f>SUMIF(vuot2019_2020_I!$L$12:$L$741,C35,vuot2019_2020_I!$BS$12:$BS$741)</f>
        <v>0</v>
      </c>
      <c r="W35" s="108">
        <f>SUMIF(vuot2019_2020_I!$L$12:$L$741,C35,vuot2019_2020_I!$BU$12:$BU$741)</f>
        <v>0</v>
      </c>
      <c r="X35" s="108">
        <f>SUMIF(vuot2019_2020_I!$L$12:$L$741,C35,vuot2019_2020_I!$BV$12:$BV$741)</f>
        <v>3879000</v>
      </c>
      <c r="Y35" s="108">
        <f>SUMIF(vuot2019_2020_I!$L$12:$L$741,C35,vuot2019_2020_I!$BW$12:$BW$741)</f>
        <v>0</v>
      </c>
      <c r="Z35" s="109">
        <f>SUMIF(vuot2019_2020_I!$L$12:$L$741,C35,vuot2019_2020_I!$BX$12:$BX$741)</f>
        <v>0</v>
      </c>
      <c r="AA35" s="109">
        <f>SUMIF(vuot2019_2020_I!$L$12:$L$741,C35,vuot2019_2020_I!$BY$12:$BY$741)+SUMIF(vuot2019_2020_I!$L$12:$L$741,C35,vuot2019_2020_I!$BZ$12:$BZ$741)</f>
        <v>0</v>
      </c>
      <c r="AB35" s="108">
        <f>SUMIF(vuot2019_2020_I!$L$12:$L$741,C35,vuot2019_2020_I!$CB$12:$CB$741)</f>
        <v>0</v>
      </c>
      <c r="AC35" s="108">
        <f>SUMIF(vuot2019_2020_I!$L$12:$L$741,C35,vuot2019_2020_I!$CC$12:$CC$741)+SUMIF(vuot2019_2020_I!$L$12:$L$741,C35,vuot2019_2020_I!$CA$12:$CA$741)</f>
        <v>3879000</v>
      </c>
      <c r="AD35" s="108">
        <f>SUMIF(vuot2019_2020_I!$L$12:$L$741,C35,vuot2019_2020_I!$CD$12:$CD$741)</f>
        <v>0</v>
      </c>
      <c r="AE35" s="110">
        <f t="shared" si="1"/>
        <v>196.01666666666665</v>
      </c>
      <c r="AF35" s="110">
        <f t="shared" si="8"/>
        <v>8.8555555555555543</v>
      </c>
      <c r="AG35" s="87">
        <f t="shared" si="22"/>
        <v>78.888333333333335</v>
      </c>
      <c r="AH35" s="107">
        <f t="shared" si="23"/>
        <v>646500</v>
      </c>
      <c r="AI35" s="87">
        <f t="shared" si="4"/>
        <v>196.01666666666665</v>
      </c>
      <c r="AJ35" s="88">
        <f t="shared" si="24"/>
        <v>6</v>
      </c>
      <c r="AK35" s="88"/>
      <c r="AL35" s="88">
        <f t="shared" si="25"/>
        <v>6</v>
      </c>
      <c r="AM35" s="88">
        <f t="shared" si="26"/>
        <v>2</v>
      </c>
      <c r="AN35" s="88"/>
    </row>
    <row r="36" spans="1:40" ht="17.100000000000001" customHeight="1" outlineLevel="2">
      <c r="A36" s="88">
        <v>29</v>
      </c>
      <c r="B36" s="88">
        <v>4</v>
      </c>
      <c r="C36" s="90" t="s">
        <v>1066</v>
      </c>
      <c r="D36" s="105">
        <f>COUNTIF(vuot2019_2020_I!$K$12:$K$741,C36)</f>
        <v>5</v>
      </c>
      <c r="E36" s="106">
        <f>SUMIF(vuot2019_2020_I!$L$12:$L$741,C36,vuot2019_2020_I!$AC$12:$AC$741)</f>
        <v>202.5</v>
      </c>
      <c r="F36" s="106">
        <f>SUMIF(vuot2019_2020_I!$L$12:$L$741,C36,vuot2019_2020_I!$AD$12:$AD$741)</f>
        <v>0</v>
      </c>
      <c r="G36" s="106">
        <f>SUMIF(vuot2019_2020_I!$L$12:$L$741,C36,vuot2019_2020_I!$AE$12:$AE$741)</f>
        <v>1147.5</v>
      </c>
      <c r="H36" s="106">
        <f>SUMIF(vuot2019_2020_I!$L$12:$L$741,C36,vuot2019_2020_I!$AF$12:$AF$741)</f>
        <v>610</v>
      </c>
      <c r="I36" s="107">
        <f>SUMIF(vuot2019_2020_I!$L$12:$L$741,C36,vuot2019_2020_I!$AG$12:$AG$741)</f>
        <v>1152.46</v>
      </c>
      <c r="J36" s="107">
        <f>SUMIF(vuot2019_2020_I!$L$12:$L$741,C36,vuot2019_2020_I!$AH$12:$AH$741)</f>
        <v>385.80999999999995</v>
      </c>
      <c r="K36" s="107">
        <f>SUMIF(vuot2019_2020_I!$L$12:$L$741,C36,vuot2019_2020_I!$AI$12:$AI$741)</f>
        <v>766.65</v>
      </c>
      <c r="L36" s="107">
        <f>SUMIF(vuot2019_2020_I!$L$12:$L$741,C36,vuot2019_2020_I!$AJ$12:$AJ$741)</f>
        <v>0</v>
      </c>
      <c r="M36" s="107">
        <f>SUMIF(vuot2019_2020_I!$L$12:$L$741,C36,vuot2019_2020_I!$AK$12:$AK$741)</f>
        <v>1147.5</v>
      </c>
      <c r="N36" s="107">
        <f>SUMIF(vuot2019_2020_I!$L$12:$L$741,C36,vuot2019_2020_I!$AL$12:$AL$741)</f>
        <v>793.09999999999991</v>
      </c>
      <c r="O36" s="107">
        <f>SUMIF(vuot2019_2020_I!$L$12:$L$741,C36,vuot2019_2020_I!$AM$12:$AM$741)</f>
        <v>0</v>
      </c>
      <c r="P36" s="107">
        <f>SUMIF(vuot2019_2020_I!$L$12:$L$741,C36,vuot2019_2020_I!$AN$12:$AN$741)</f>
        <v>793.09999999999991</v>
      </c>
      <c r="Q36" s="107">
        <f>SUMIF(vuot2019_2020_I!$L$12:$L$752,C36,vuot2019_2020_I!$AU$12:$AU$752)</f>
        <v>-354.4</v>
      </c>
      <c r="R36" s="107">
        <f>SUMIF(vuot2019_2020_I!$L$12:$L$752,C36,vuot2019_2020_I!$BK$12:$BK$752)</f>
        <v>0</v>
      </c>
      <c r="S36" s="107">
        <f>SUMIF(vuot2019_2020_I!$L$12:$L$741,C36,vuot2019_2020_I!$BL$12:$BL$741)</f>
        <v>0</v>
      </c>
      <c r="T36" s="107">
        <f>SUMIF(vuot2019_2020_I!$L$12:$L$741,C36,vuot2019_2020_I!$BP$12:$BP$741)</f>
        <v>0</v>
      </c>
      <c r="U36" s="108">
        <f>SUMIF(vuot2019_2020_I!$L$12:$L$741,C36,vuot2019_2020_I!$BR$12:$BR$741)</f>
        <v>0</v>
      </c>
      <c r="V36" s="107">
        <f>SUMIF(vuot2019_2020_I!$L$12:$L$741,C36,vuot2019_2020_I!$BS$12:$BS$741)</f>
        <v>0</v>
      </c>
      <c r="W36" s="108">
        <f>SUMIF(vuot2019_2020_I!$L$12:$L$741,C36,vuot2019_2020_I!$BU$12:$BU$741)</f>
        <v>0</v>
      </c>
      <c r="X36" s="108">
        <f>SUMIF(vuot2019_2020_I!$L$12:$L$741,C36,vuot2019_2020_I!$BV$12:$BV$741)</f>
        <v>0</v>
      </c>
      <c r="Y36" s="108">
        <f>SUMIF(vuot2019_2020_I!$L$12:$L$741,C36,vuot2019_2020_I!$BW$12:$BW$741)</f>
        <v>0</v>
      </c>
      <c r="Z36" s="109">
        <f>SUMIF(vuot2019_2020_I!$L$12:$L$741,C36,vuot2019_2020_I!$BX$12:$BX$741)</f>
        <v>0</v>
      </c>
      <c r="AA36" s="109">
        <f>SUMIF(vuot2019_2020_I!$L$12:$L$741,C36,vuot2019_2020_I!$BY$12:$BY$741)+SUMIF(vuot2019_2020_I!$L$12:$L$741,C36,vuot2019_2020_I!$BZ$12:$BZ$741)</f>
        <v>0</v>
      </c>
      <c r="AB36" s="108">
        <f>SUMIF(vuot2019_2020_I!$L$12:$L$741,C36,vuot2019_2020_I!$CB$12:$CB$741)</f>
        <v>0</v>
      </c>
      <c r="AC36" s="108">
        <f>SUMIF(vuot2019_2020_I!$L$12:$L$741,C36,vuot2019_2020_I!$CC$12:$CC$741)+SUMIF(vuot2019_2020_I!$L$12:$L$741,C36,vuot2019_2020_I!$CA$12:$CA$741)</f>
        <v>0</v>
      </c>
      <c r="AD36" s="108">
        <f>SUMIF(vuot2019_2020_I!$L$12:$L$741,C36,vuot2019_2020_I!$CD$12:$CD$741)</f>
        <v>0</v>
      </c>
      <c r="AE36" s="110">
        <f t="shared" si="1"/>
        <v>158.61999999999998</v>
      </c>
      <c r="AF36" s="110">
        <f t="shared" si="8"/>
        <v>0</v>
      </c>
      <c r="AG36" s="87">
        <f>I36/D36</f>
        <v>230.49200000000002</v>
      </c>
      <c r="AH36" s="107">
        <f>X36/D36</f>
        <v>0</v>
      </c>
      <c r="AI36" s="87">
        <f t="shared" si="4"/>
        <v>158.61999999999998</v>
      </c>
      <c r="AJ36" s="88">
        <f>D36</f>
        <v>5</v>
      </c>
      <c r="AK36" s="88"/>
      <c r="AL36" s="88">
        <f>AK36+AJ36</f>
        <v>5</v>
      </c>
      <c r="AM36" s="88">
        <f>ROUND(P36/630,0)</f>
        <v>1</v>
      </c>
      <c r="AN36" s="88"/>
    </row>
    <row r="37" spans="1:40" ht="17.100000000000001" customHeight="1" outlineLevel="2">
      <c r="A37" s="88">
        <v>30</v>
      </c>
      <c r="B37" s="88">
        <v>4</v>
      </c>
      <c r="C37" s="90" t="s">
        <v>1076</v>
      </c>
      <c r="D37" s="105">
        <f>COUNTIF(vuot2019_2020_I!$K$12:$K$741,C37)</f>
        <v>6</v>
      </c>
      <c r="E37" s="106">
        <f>SUMIF(vuot2019_2020_I!$L$12:$L$741,C37,vuot2019_2020_I!$AC$12:$AC$741)</f>
        <v>189</v>
      </c>
      <c r="F37" s="106">
        <f>SUMIF(vuot2019_2020_I!$L$12:$L$741,C37,vuot2019_2020_I!$AD$12:$AD$741)</f>
        <v>0</v>
      </c>
      <c r="G37" s="106">
        <f>SUMIF(vuot2019_2020_I!$L$12:$L$741,C37,vuot2019_2020_I!$AE$12:$AE$741)</f>
        <v>1228.5</v>
      </c>
      <c r="H37" s="106">
        <f>SUMIF(vuot2019_2020_I!$L$12:$L$741,C37,vuot2019_2020_I!$AF$12:$AF$741)</f>
        <v>665</v>
      </c>
      <c r="I37" s="107">
        <f>SUMIF(vuot2019_2020_I!$L$12:$L$741,C37,vuot2019_2020_I!$AG$12:$AG$741)</f>
        <v>1789.82</v>
      </c>
      <c r="J37" s="107">
        <f>SUMIF(vuot2019_2020_I!$L$12:$L$741,C37,vuot2019_2020_I!$AH$12:$AH$741)</f>
        <v>753.3</v>
      </c>
      <c r="K37" s="107">
        <f>SUMIF(vuot2019_2020_I!$L$12:$L$741,C37,vuot2019_2020_I!$AI$12:$AI$741)</f>
        <v>1036.52</v>
      </c>
      <c r="L37" s="107">
        <f>SUMIF(vuot2019_2020_I!$L$12:$L$741,C37,vuot2019_2020_I!$AJ$12:$AJ$741)</f>
        <v>-112.31</v>
      </c>
      <c r="M37" s="107">
        <f>SUMIF(vuot2019_2020_I!$L$12:$L$741,C37,vuot2019_2020_I!$AK$12:$AK$741)</f>
        <v>1340.81</v>
      </c>
      <c r="N37" s="107">
        <f>SUMIF(vuot2019_2020_I!$L$12:$L$741,C37,vuot2019_2020_I!$AL$12:$AL$741)</f>
        <v>1560.8999999999999</v>
      </c>
      <c r="O37" s="107">
        <f>SUMIF(vuot2019_2020_I!$L$12:$L$741,C37,vuot2019_2020_I!$AM$12:$AM$741)</f>
        <v>0</v>
      </c>
      <c r="P37" s="107">
        <f>SUMIF(vuot2019_2020_I!$L$12:$L$741,C37,vuot2019_2020_I!$AN$12:$AN$741)</f>
        <v>1560.8999999999999</v>
      </c>
      <c r="Q37" s="107">
        <f>SUMIF(vuot2019_2020_I!$L$12:$L$752,C37,vuot2019_2020_I!$AU$12:$AU$752)</f>
        <v>220.09</v>
      </c>
      <c r="R37" s="107">
        <f>SUMIF(vuot2019_2020_I!$L$12:$L$752,C37,vuot2019_2020_I!$BK$12:$BK$752)</f>
        <v>0</v>
      </c>
      <c r="S37" s="107">
        <f>SUMIF(vuot2019_2020_I!$L$12:$L$741,C37,vuot2019_2020_I!$BL$12:$BL$741)</f>
        <v>361</v>
      </c>
      <c r="T37" s="107">
        <f>SUMIF(vuot2019_2020_I!$L$12:$L$741,C37,vuot2019_2020_I!$BP$12:$BP$741)</f>
        <v>210.1</v>
      </c>
      <c r="U37" s="108">
        <f>SUMIF(vuot2019_2020_I!$L$12:$L$741,C37,vuot2019_2020_I!$BR$12:$BR$741)</f>
        <v>13606000</v>
      </c>
      <c r="V37" s="107">
        <f>SUMIF(vuot2019_2020_I!$L$12:$L$741,C37,vuot2019_2020_I!$BS$12:$BS$741)</f>
        <v>150.89999999999998</v>
      </c>
      <c r="W37" s="108">
        <f>SUMIF(vuot2019_2020_I!$L$12:$L$741,C37,vuot2019_2020_I!$BU$12:$BU$741)</f>
        <v>7695900</v>
      </c>
      <c r="X37" s="108">
        <f>SUMIF(vuot2019_2020_I!$L$12:$L$741,C37,vuot2019_2020_I!$BV$12:$BV$741)</f>
        <v>21301900</v>
      </c>
      <c r="Y37" s="108">
        <f>SUMIF(vuot2019_2020_I!$L$12:$L$741,C37,vuot2019_2020_I!$BW$12:$BW$741)</f>
        <v>0</v>
      </c>
      <c r="Z37" s="109">
        <f>SUMIF(vuot2019_2020_I!$L$12:$L$741,C37,vuot2019_2020_I!$BX$12:$BX$741)</f>
        <v>0</v>
      </c>
      <c r="AA37" s="109">
        <f>SUMIF(vuot2019_2020_I!$L$12:$L$741,C37,vuot2019_2020_I!$BY$12:$BY$741)+SUMIF(vuot2019_2020_I!$L$12:$L$741,C37,vuot2019_2020_I!$BZ$12:$BZ$741)</f>
        <v>0</v>
      </c>
      <c r="AB37" s="108">
        <f>SUMIF(vuot2019_2020_I!$L$12:$L$741,C37,vuot2019_2020_I!$CB$12:$CB$741)</f>
        <v>0</v>
      </c>
      <c r="AC37" s="108">
        <f>SUMIF(vuot2019_2020_I!$L$12:$L$741,C37,vuot2019_2020_I!$CC$12:$CC$741)+SUMIF(vuot2019_2020_I!$L$12:$L$741,C37,vuot2019_2020_I!$CA$12:$CA$741)</f>
        <v>21301900</v>
      </c>
      <c r="AD37" s="108">
        <f>SUMIF(vuot2019_2020_I!$L$12:$L$741,C37,vuot2019_2020_I!$CD$12:$CD$741)</f>
        <v>0</v>
      </c>
      <c r="AE37" s="110">
        <f t="shared" si="1"/>
        <v>260.14999999999998</v>
      </c>
      <c r="AF37" s="110">
        <f t="shared" si="8"/>
        <v>60.166666666666664</v>
      </c>
      <c r="AG37" s="87">
        <f t="shared" si="22"/>
        <v>298.30333333333334</v>
      </c>
      <c r="AH37" s="107">
        <f t="shared" si="23"/>
        <v>3550316.6666666665</v>
      </c>
      <c r="AI37" s="87">
        <f t="shared" si="4"/>
        <v>260.14999999999998</v>
      </c>
      <c r="AJ37" s="88">
        <f t="shared" si="24"/>
        <v>6</v>
      </c>
      <c r="AK37" s="88"/>
      <c r="AL37" s="88">
        <f t="shared" si="25"/>
        <v>6</v>
      </c>
      <c r="AM37" s="88">
        <f t="shared" si="26"/>
        <v>2</v>
      </c>
      <c r="AN37" s="88"/>
    </row>
    <row r="38" spans="1:40" ht="17.100000000000001" customHeight="1" outlineLevel="2">
      <c r="A38" s="88">
        <v>31</v>
      </c>
      <c r="B38" s="88">
        <v>4</v>
      </c>
      <c r="C38" s="90" t="s">
        <v>1077</v>
      </c>
      <c r="D38" s="105">
        <f>COUNTIF(vuot2019_2020_I!$K$12:$K$741,C38)</f>
        <v>5</v>
      </c>
      <c r="E38" s="106">
        <f>SUMIF(vuot2019_2020_I!$L$12:$L$741,C38,vuot2019_2020_I!$AC$12:$AC$741)</f>
        <v>378</v>
      </c>
      <c r="F38" s="106">
        <f>SUMIF(vuot2019_2020_I!$L$12:$L$741,C38,vuot2019_2020_I!$AD$12:$AD$741)</f>
        <v>212.5</v>
      </c>
      <c r="G38" s="106">
        <f>SUMIF(vuot2019_2020_I!$L$12:$L$741,C38,vuot2019_2020_I!$AE$12:$AE$741)</f>
        <v>972</v>
      </c>
      <c r="H38" s="106">
        <f>SUMIF(vuot2019_2020_I!$L$12:$L$741,C38,vuot2019_2020_I!$AF$12:$AF$741)</f>
        <v>557.5</v>
      </c>
      <c r="I38" s="107">
        <f>SUMIF(vuot2019_2020_I!$L$12:$L$741,C38,vuot2019_2020_I!$AG$12:$AG$741)</f>
        <v>564.71</v>
      </c>
      <c r="J38" s="107">
        <f>SUMIF(vuot2019_2020_I!$L$12:$L$741,C38,vuot2019_2020_I!$AH$12:$AH$741)</f>
        <v>319.66999999999996</v>
      </c>
      <c r="K38" s="107">
        <f>SUMIF(vuot2019_2020_I!$L$12:$L$741,C38,vuot2019_2020_I!$AI$12:$AI$741)</f>
        <v>245.04000000000002</v>
      </c>
      <c r="L38" s="107">
        <f>SUMIF(vuot2019_2020_I!$L$12:$L$741,C38,vuot2019_2020_I!$AJ$12:$AJ$741)</f>
        <v>-290.82</v>
      </c>
      <c r="M38" s="107">
        <f>SUMIF(vuot2019_2020_I!$L$12:$L$741,C38,vuot2019_2020_I!$AK$12:$AK$741)</f>
        <v>1262.82</v>
      </c>
      <c r="N38" s="107">
        <f>SUMIF(vuot2019_2020_I!$L$12:$L$741,C38,vuot2019_2020_I!$AL$12:$AL$741)</f>
        <v>395.5</v>
      </c>
      <c r="O38" s="107">
        <f>SUMIF(vuot2019_2020_I!$L$12:$L$741,C38,vuot2019_2020_I!$AM$12:$AM$741)</f>
        <v>0</v>
      </c>
      <c r="P38" s="107">
        <f>SUMIF(vuot2019_2020_I!$L$12:$L$741,C38,vuot2019_2020_I!$AN$12:$AN$741)</f>
        <v>395.5</v>
      </c>
      <c r="Q38" s="107">
        <f>SUMIF(vuot2019_2020_I!$L$12:$L$752,C38,vuot2019_2020_I!$AU$12:$AU$752)</f>
        <v>-867.31999999999994</v>
      </c>
      <c r="R38" s="107">
        <f>SUMIF(vuot2019_2020_I!$L$12:$L$752,C38,vuot2019_2020_I!$BK$12:$BK$752)</f>
        <v>0</v>
      </c>
      <c r="S38" s="107">
        <f>SUMIF(vuot2019_2020_I!$L$12:$L$741,C38,vuot2019_2020_I!$BL$12:$BL$741)</f>
        <v>0</v>
      </c>
      <c r="T38" s="107">
        <f>SUMIF(vuot2019_2020_I!$L$12:$L$741,C38,vuot2019_2020_I!$BP$12:$BP$741)</f>
        <v>0</v>
      </c>
      <c r="U38" s="108">
        <f>SUMIF(vuot2019_2020_I!$L$12:$L$741,C38,vuot2019_2020_I!$BR$12:$BR$741)</f>
        <v>0</v>
      </c>
      <c r="V38" s="107">
        <f>SUMIF(vuot2019_2020_I!$L$12:$L$741,C38,vuot2019_2020_I!$BS$12:$BS$741)</f>
        <v>0</v>
      </c>
      <c r="W38" s="108">
        <f>SUMIF(vuot2019_2020_I!$L$12:$L$741,C38,vuot2019_2020_I!$BU$12:$BU$741)</f>
        <v>0</v>
      </c>
      <c r="X38" s="108">
        <f>SUMIF(vuot2019_2020_I!$L$12:$L$741,C38,vuot2019_2020_I!$BV$12:$BV$741)</f>
        <v>0</v>
      </c>
      <c r="Y38" s="108">
        <f>SUMIF(vuot2019_2020_I!$L$12:$L$741,C38,vuot2019_2020_I!$BW$12:$BW$741)</f>
        <v>0</v>
      </c>
      <c r="Z38" s="109">
        <f>SUMIF(vuot2019_2020_I!$L$12:$L$741,C38,vuot2019_2020_I!$BX$12:$BX$741)</f>
        <v>0</v>
      </c>
      <c r="AA38" s="109">
        <f>SUMIF(vuot2019_2020_I!$L$12:$L$741,C38,vuot2019_2020_I!$BY$12:$BY$741)+SUMIF(vuot2019_2020_I!$L$12:$L$741,C38,vuot2019_2020_I!$BZ$12:$BZ$741)</f>
        <v>0</v>
      </c>
      <c r="AB38" s="108">
        <f>SUMIF(vuot2019_2020_I!$L$12:$L$741,C38,vuot2019_2020_I!$CB$12:$CB$741)</f>
        <v>0</v>
      </c>
      <c r="AC38" s="108">
        <f>SUMIF(vuot2019_2020_I!$L$12:$L$741,C38,vuot2019_2020_I!$CC$12:$CC$741)+SUMIF(vuot2019_2020_I!$L$12:$L$741,C38,vuot2019_2020_I!$CA$12:$CA$741)</f>
        <v>0</v>
      </c>
      <c r="AD38" s="108">
        <f>SUMIF(vuot2019_2020_I!$L$12:$L$741,C38,vuot2019_2020_I!$CD$12:$CD$741)</f>
        <v>0</v>
      </c>
      <c r="AE38" s="110">
        <f t="shared" si="1"/>
        <v>79.099999999999994</v>
      </c>
      <c r="AF38" s="110">
        <f t="shared" si="8"/>
        <v>0</v>
      </c>
      <c r="AG38" s="87">
        <f t="shared" si="22"/>
        <v>112.94200000000001</v>
      </c>
      <c r="AH38" s="107">
        <f t="shared" si="23"/>
        <v>0</v>
      </c>
      <c r="AI38" s="87">
        <f t="shared" si="4"/>
        <v>79.099999999999994</v>
      </c>
      <c r="AJ38" s="88">
        <f t="shared" si="24"/>
        <v>5</v>
      </c>
      <c r="AK38" s="88"/>
      <c r="AL38" s="88">
        <f t="shared" si="25"/>
        <v>5</v>
      </c>
      <c r="AM38" s="88">
        <f t="shared" si="26"/>
        <v>1</v>
      </c>
      <c r="AN38" s="88"/>
    </row>
    <row r="39" spans="1:40" ht="17.100000000000001" customHeight="1" outlineLevel="2">
      <c r="A39" s="88">
        <v>32</v>
      </c>
      <c r="B39" s="88">
        <v>4</v>
      </c>
      <c r="C39" s="90" t="s">
        <v>1078</v>
      </c>
      <c r="D39" s="105">
        <f>COUNTIF(vuot2019_2020_I!$K$12:$K$741,C39)</f>
        <v>8</v>
      </c>
      <c r="E39" s="106">
        <f>SUMIF(vuot2019_2020_I!$L$12:$L$741,C39,vuot2019_2020_I!$AC$12:$AC$741)</f>
        <v>651.375</v>
      </c>
      <c r="F39" s="106">
        <f>SUMIF(vuot2019_2020_I!$L$12:$L$741,C39,vuot2019_2020_I!$AD$12:$AD$741)</f>
        <v>220</v>
      </c>
      <c r="G39" s="106">
        <f>SUMIF(vuot2019_2020_I!$L$12:$L$741,C39,vuot2019_2020_I!$AE$12:$AE$741)</f>
        <v>1193.625</v>
      </c>
      <c r="H39" s="106">
        <f>SUMIF(vuot2019_2020_I!$L$12:$L$741,C39,vuot2019_2020_I!$AF$12:$AF$741)</f>
        <v>900</v>
      </c>
      <c r="I39" s="107">
        <f>SUMIF(vuot2019_2020_I!$L$12:$L$741,C39,vuot2019_2020_I!$AG$12:$AG$741)</f>
        <v>1001.3700000000001</v>
      </c>
      <c r="J39" s="107">
        <f>SUMIF(vuot2019_2020_I!$L$12:$L$741,C39,vuot2019_2020_I!$AH$12:$AH$741)</f>
        <v>614.91</v>
      </c>
      <c r="K39" s="107">
        <f>SUMIF(vuot2019_2020_I!$L$12:$L$741,C39,vuot2019_2020_I!$AI$12:$AI$741)</f>
        <v>386.46000000000004</v>
      </c>
      <c r="L39" s="107">
        <f>SUMIF(vuot2019_2020_I!$L$12:$L$741,C39,vuot2019_2020_I!$AJ$12:$AJ$741)</f>
        <v>-469.17333333333335</v>
      </c>
      <c r="M39" s="107">
        <f>SUMIF(vuot2019_2020_I!$L$12:$L$741,C39,vuot2019_2020_I!$AK$12:$AK$741)</f>
        <v>1662.7983333333334</v>
      </c>
      <c r="N39" s="107">
        <f>SUMIF(vuot2019_2020_I!$L$12:$L$741,C39,vuot2019_2020_I!$AL$12:$AL$741)</f>
        <v>753.59999999999991</v>
      </c>
      <c r="O39" s="107">
        <f>SUMIF(vuot2019_2020_I!$L$12:$L$741,C39,vuot2019_2020_I!$AM$12:$AM$741)</f>
        <v>0</v>
      </c>
      <c r="P39" s="107">
        <f>SUMIF(vuot2019_2020_I!$L$12:$L$741,C39,vuot2019_2020_I!$AN$12:$AN$741)</f>
        <v>753.59999999999991</v>
      </c>
      <c r="Q39" s="107">
        <f>SUMIF(vuot2019_2020_I!$L$12:$L$752,C39,vuot2019_2020_I!$AU$12:$AU$752)</f>
        <v>-909.19833333333349</v>
      </c>
      <c r="R39" s="107">
        <f>SUMIF(vuot2019_2020_I!$L$12:$L$752,C39,vuot2019_2020_I!$BK$12:$BK$752)</f>
        <v>0</v>
      </c>
      <c r="S39" s="107">
        <f>SUMIF(vuot2019_2020_I!$L$12:$L$741,C39,vuot2019_2020_I!$BL$12:$BL$741)</f>
        <v>0</v>
      </c>
      <c r="T39" s="107">
        <f>SUMIF(vuot2019_2020_I!$L$12:$L$741,C39,vuot2019_2020_I!$BP$12:$BP$741)</f>
        <v>0</v>
      </c>
      <c r="U39" s="108">
        <f>SUMIF(vuot2019_2020_I!$L$12:$L$741,C39,vuot2019_2020_I!$BR$12:$BR$741)</f>
        <v>0</v>
      </c>
      <c r="V39" s="107">
        <f>SUMIF(vuot2019_2020_I!$L$12:$L$741,C39,vuot2019_2020_I!$BS$12:$BS$741)</f>
        <v>0</v>
      </c>
      <c r="W39" s="108">
        <f>SUMIF(vuot2019_2020_I!$L$12:$L$741,C39,vuot2019_2020_I!$BU$12:$BU$741)</f>
        <v>0</v>
      </c>
      <c r="X39" s="108">
        <f>SUMIF(vuot2019_2020_I!$L$12:$L$741,C39,vuot2019_2020_I!$BV$12:$BV$741)</f>
        <v>0</v>
      </c>
      <c r="Y39" s="108">
        <f>SUMIF(vuot2019_2020_I!$L$12:$L$741,C39,vuot2019_2020_I!$BW$12:$BW$741)</f>
        <v>0</v>
      </c>
      <c r="Z39" s="109">
        <f>SUMIF(vuot2019_2020_I!$L$12:$L$741,C39,vuot2019_2020_I!$BX$12:$BX$741)</f>
        <v>1644281</v>
      </c>
      <c r="AA39" s="109">
        <f>SUMIF(vuot2019_2020_I!$L$12:$L$741,C39,vuot2019_2020_I!$BY$12:$BY$741)+SUMIF(vuot2019_2020_I!$L$12:$L$741,C39,vuot2019_2020_I!$BZ$12:$BZ$741)</f>
        <v>0</v>
      </c>
      <c r="AB39" s="108">
        <f>SUMIF(vuot2019_2020_I!$L$12:$L$741,C39,vuot2019_2020_I!$CB$12:$CB$741)</f>
        <v>0</v>
      </c>
      <c r="AC39" s="108">
        <f>SUMIF(vuot2019_2020_I!$L$12:$L$741,C39,vuot2019_2020_I!$CC$12:$CC$741)+SUMIF(vuot2019_2020_I!$L$12:$L$741,C39,vuot2019_2020_I!$CA$12:$CA$741)</f>
        <v>0</v>
      </c>
      <c r="AD39" s="108">
        <f>SUMIF(vuot2019_2020_I!$L$12:$L$741,C39,vuot2019_2020_I!$CD$12:$CD$741)</f>
        <v>1644281</v>
      </c>
      <c r="AE39" s="110">
        <f t="shared" si="1"/>
        <v>94.199999999999989</v>
      </c>
      <c r="AF39" s="110">
        <f t="shared" si="8"/>
        <v>0</v>
      </c>
      <c r="AG39" s="87">
        <f t="shared" si="22"/>
        <v>125.17125000000001</v>
      </c>
      <c r="AH39" s="107">
        <f t="shared" si="23"/>
        <v>0</v>
      </c>
      <c r="AI39" s="87">
        <f t="shared" si="4"/>
        <v>94.199999999999989</v>
      </c>
      <c r="AJ39" s="88">
        <f t="shared" si="24"/>
        <v>8</v>
      </c>
      <c r="AK39" s="88"/>
      <c r="AL39" s="88">
        <f t="shared" si="25"/>
        <v>8</v>
      </c>
      <c r="AM39" s="88">
        <f t="shared" si="26"/>
        <v>1</v>
      </c>
      <c r="AN39" s="88"/>
    </row>
    <row r="40" spans="1:40" ht="17.100000000000001" customHeight="1" outlineLevel="2">
      <c r="A40" s="88">
        <v>33</v>
      </c>
      <c r="B40" s="88">
        <v>4</v>
      </c>
      <c r="C40" s="90" t="s">
        <v>1079</v>
      </c>
      <c r="D40" s="105">
        <f>COUNTIF(vuot2019_2020_I!$K$12:$K$741,C40)</f>
        <v>6</v>
      </c>
      <c r="E40" s="106">
        <f>SUMIF(vuot2019_2020_I!$L$12:$L$741,C40,vuot2019_2020_I!$AC$12:$AC$741)</f>
        <v>378</v>
      </c>
      <c r="F40" s="106">
        <f>SUMIF(vuot2019_2020_I!$L$12:$L$741,C40,vuot2019_2020_I!$AD$12:$AD$741)</f>
        <v>100</v>
      </c>
      <c r="G40" s="106">
        <f>SUMIF(vuot2019_2020_I!$L$12:$L$741,C40,vuot2019_2020_I!$AE$12:$AE$741)</f>
        <v>1242</v>
      </c>
      <c r="H40" s="106">
        <f>SUMIF(vuot2019_2020_I!$L$12:$L$741,C40,vuot2019_2020_I!$AF$12:$AF$741)</f>
        <v>790</v>
      </c>
      <c r="I40" s="107">
        <f>SUMIF(vuot2019_2020_I!$L$12:$L$741,C40,vuot2019_2020_I!$AG$12:$AG$741)</f>
        <v>1229.23</v>
      </c>
      <c r="J40" s="107">
        <f>SUMIF(vuot2019_2020_I!$L$12:$L$741,C40,vuot2019_2020_I!$AH$12:$AH$741)</f>
        <v>571.54</v>
      </c>
      <c r="K40" s="107">
        <f>SUMIF(vuot2019_2020_I!$L$12:$L$741,C40,vuot2019_2020_I!$AI$12:$AI$741)</f>
        <v>657.69</v>
      </c>
      <c r="L40" s="107">
        <f>SUMIF(vuot2019_2020_I!$L$12:$L$741,C40,vuot2019_2020_I!$AJ$12:$AJ$741)</f>
        <v>-48.620000000000005</v>
      </c>
      <c r="M40" s="107">
        <f>SUMIF(vuot2019_2020_I!$L$12:$L$741,C40,vuot2019_2020_I!$AK$12:$AK$741)</f>
        <v>1290.6199999999999</v>
      </c>
      <c r="N40" s="107">
        <f>SUMIF(vuot2019_2020_I!$L$12:$L$741,C40,vuot2019_2020_I!$AL$12:$AL$741)</f>
        <v>1168.5</v>
      </c>
      <c r="O40" s="107">
        <f>SUMIF(vuot2019_2020_I!$L$12:$L$741,C40,vuot2019_2020_I!$AM$12:$AM$741)</f>
        <v>0</v>
      </c>
      <c r="P40" s="107">
        <f>SUMIF(vuot2019_2020_I!$L$12:$L$741,C40,vuot2019_2020_I!$AN$12:$AN$741)</f>
        <v>1168.5</v>
      </c>
      <c r="Q40" s="107">
        <f>SUMIF(vuot2019_2020_I!$L$12:$L$752,C40,vuot2019_2020_I!$AU$12:$AU$752)</f>
        <v>-122.12</v>
      </c>
      <c r="R40" s="107">
        <f>SUMIF(vuot2019_2020_I!$L$12:$L$752,C40,vuot2019_2020_I!$BK$12:$BK$752)</f>
        <v>0</v>
      </c>
      <c r="S40" s="107">
        <f>SUMIF(vuot2019_2020_I!$L$12:$L$741,C40,vuot2019_2020_I!$BL$12:$BL$741)</f>
        <v>162.88</v>
      </c>
      <c r="T40" s="107">
        <f>SUMIF(vuot2019_2020_I!$L$12:$L$741,C40,vuot2019_2020_I!$BP$12:$BP$741)</f>
        <v>162.88</v>
      </c>
      <c r="U40" s="108">
        <f>SUMIF(vuot2019_2020_I!$L$12:$L$741,C40,vuot2019_2020_I!$BR$12:$BR$741)</f>
        <v>12412800</v>
      </c>
      <c r="V40" s="107">
        <f>SUMIF(vuot2019_2020_I!$L$12:$L$741,C40,vuot2019_2020_I!$BS$12:$BS$741)</f>
        <v>0</v>
      </c>
      <c r="W40" s="108">
        <f>SUMIF(vuot2019_2020_I!$L$12:$L$741,C40,vuot2019_2020_I!$BU$12:$BU$741)</f>
        <v>0</v>
      </c>
      <c r="X40" s="108">
        <f>SUMIF(vuot2019_2020_I!$L$12:$L$741,C40,vuot2019_2020_I!$BV$12:$BV$741)</f>
        <v>12412800</v>
      </c>
      <c r="Y40" s="108">
        <f>SUMIF(vuot2019_2020_I!$L$12:$L$741,C40,vuot2019_2020_I!$BW$12:$BW$741)</f>
        <v>0</v>
      </c>
      <c r="Z40" s="109">
        <f>SUMIF(vuot2019_2020_I!$L$12:$L$741,C40,vuot2019_2020_I!$BX$12:$BX$741)</f>
        <v>0</v>
      </c>
      <c r="AA40" s="109">
        <f>SUMIF(vuot2019_2020_I!$L$12:$L$741,C40,vuot2019_2020_I!$BY$12:$BY$741)+SUMIF(vuot2019_2020_I!$L$12:$L$741,C40,vuot2019_2020_I!$BZ$12:$BZ$741)</f>
        <v>0</v>
      </c>
      <c r="AB40" s="108">
        <f>SUMIF(vuot2019_2020_I!$L$12:$L$741,C40,vuot2019_2020_I!$CB$12:$CB$741)</f>
        <v>0</v>
      </c>
      <c r="AC40" s="108">
        <f>SUMIF(vuot2019_2020_I!$L$12:$L$741,C40,vuot2019_2020_I!$CC$12:$CC$741)+SUMIF(vuot2019_2020_I!$L$12:$L$741,C40,vuot2019_2020_I!$CA$12:$CA$741)</f>
        <v>12412800</v>
      </c>
      <c r="AD40" s="108">
        <f>SUMIF(vuot2019_2020_I!$L$12:$L$741,C40,vuot2019_2020_I!$CD$12:$CD$741)</f>
        <v>0</v>
      </c>
      <c r="AE40" s="110">
        <f t="shared" ref="AE40:AE71" si="27">P40/D40</f>
        <v>194.75</v>
      </c>
      <c r="AF40" s="110">
        <f t="shared" si="8"/>
        <v>27.146666666666665</v>
      </c>
      <c r="AG40" s="87">
        <f t="shared" si="22"/>
        <v>204.87166666666667</v>
      </c>
      <c r="AH40" s="107">
        <f t="shared" si="23"/>
        <v>2068800</v>
      </c>
      <c r="AI40" s="87">
        <f t="shared" ref="AI40:AI71" si="28">P40/(AJ40+AK40)</f>
        <v>194.75</v>
      </c>
      <c r="AJ40" s="88">
        <f t="shared" si="24"/>
        <v>6</v>
      </c>
      <c r="AK40" s="88"/>
      <c r="AL40" s="88">
        <f t="shared" si="25"/>
        <v>6</v>
      </c>
      <c r="AM40" s="88">
        <f t="shared" si="26"/>
        <v>2</v>
      </c>
      <c r="AN40" s="88"/>
    </row>
    <row r="41" spans="1:40" ht="17.100000000000001" customHeight="1" outlineLevel="2">
      <c r="A41" s="88">
        <v>34</v>
      </c>
      <c r="B41" s="88">
        <v>4</v>
      </c>
      <c r="C41" s="90" t="s">
        <v>1939</v>
      </c>
      <c r="D41" s="105">
        <f>COUNTIF(vuot2019_2020_I!$K$12:$K$741,C41)</f>
        <v>8</v>
      </c>
      <c r="E41" s="106">
        <f>SUMIF(vuot2019_2020_I!$L$12:$L$741,C41,vuot2019_2020_I!$AC$12:$AC$741)</f>
        <v>688.5</v>
      </c>
      <c r="F41" s="106">
        <f>SUMIF(vuot2019_2020_I!$L$12:$L$741,C41,vuot2019_2020_I!$AD$12:$AD$741)</f>
        <v>240</v>
      </c>
      <c r="G41" s="106">
        <f>SUMIF(vuot2019_2020_I!$L$12:$L$741,C41,vuot2019_2020_I!$AE$12:$AE$741)</f>
        <v>1471.5</v>
      </c>
      <c r="H41" s="106">
        <f>SUMIF(vuot2019_2020_I!$L$12:$L$741,C41,vuot2019_2020_I!$AF$12:$AF$741)</f>
        <v>730</v>
      </c>
      <c r="I41" s="107">
        <f>SUMIF(vuot2019_2020_I!$L$12:$L$741,C41,vuot2019_2020_I!$AG$12:$AG$741)</f>
        <v>1351.6299999999999</v>
      </c>
      <c r="J41" s="107">
        <f>SUMIF(vuot2019_2020_I!$L$12:$L$741,C41,vuot2019_2020_I!$AH$12:$AH$741)</f>
        <v>564.99</v>
      </c>
      <c r="K41" s="107">
        <f>SUMIF(vuot2019_2020_I!$L$12:$L$741,C41,vuot2019_2020_I!$AI$12:$AI$741)</f>
        <v>786.6400000000001</v>
      </c>
      <c r="L41" s="107">
        <f>SUMIF(vuot2019_2020_I!$L$12:$L$741,C41,vuot2019_2020_I!$AJ$12:$AJ$741)</f>
        <v>-49.17</v>
      </c>
      <c r="M41" s="107">
        <f>SUMIF(vuot2019_2020_I!$L$12:$L$741,C41,vuot2019_2020_I!$AK$12:$AK$741)</f>
        <v>1520.67</v>
      </c>
      <c r="N41" s="107">
        <f>SUMIF(vuot2019_2020_I!$L$12:$L$741,C41,vuot2019_2020_I!$AL$12:$AL$741)</f>
        <v>1159.7000000000003</v>
      </c>
      <c r="O41" s="107">
        <f>SUMIF(vuot2019_2020_I!$L$12:$L$741,C41,vuot2019_2020_I!$AM$12:$AM$741)</f>
        <v>0</v>
      </c>
      <c r="P41" s="107">
        <f>SUMIF(vuot2019_2020_I!$L$12:$L$741,C41,vuot2019_2020_I!$AN$12:$AN$741)</f>
        <v>1159.7000000000003</v>
      </c>
      <c r="Q41" s="107">
        <f>SUMIF(vuot2019_2020_I!$L$12:$L$752,C41,vuot2019_2020_I!$AU$12:$AU$752)</f>
        <v>-360.97</v>
      </c>
      <c r="R41" s="107">
        <f>SUMIF(vuot2019_2020_I!$L$12:$L$752,C41,vuot2019_2020_I!$BK$12:$BK$752)</f>
        <v>0</v>
      </c>
      <c r="S41" s="107">
        <f>SUMIF(vuot2019_2020_I!$L$12:$L$741,C41,vuot2019_2020_I!$BL$12:$BL$741)</f>
        <v>37.800000000000011</v>
      </c>
      <c r="T41" s="107">
        <f>SUMIF(vuot2019_2020_I!$L$12:$L$741,C41,vuot2019_2020_I!$BP$12:$BP$741)</f>
        <v>37.800000000000011</v>
      </c>
      <c r="U41" s="108">
        <f>SUMIF(vuot2019_2020_I!$L$12:$L$741,C41,vuot2019_2020_I!$BR$12:$BR$741)</f>
        <v>2457000</v>
      </c>
      <c r="V41" s="107">
        <f>SUMIF(vuot2019_2020_I!$L$12:$L$741,C41,vuot2019_2020_I!$BS$12:$BS$741)</f>
        <v>0</v>
      </c>
      <c r="W41" s="108">
        <f>SUMIF(vuot2019_2020_I!$L$12:$L$741,C41,vuot2019_2020_I!$BU$12:$BU$741)</f>
        <v>0</v>
      </c>
      <c r="X41" s="108">
        <f>SUMIF(vuot2019_2020_I!$L$12:$L$741,C41,vuot2019_2020_I!$BV$12:$BV$741)</f>
        <v>2457000</v>
      </c>
      <c r="Y41" s="108">
        <f>SUMIF(vuot2019_2020_I!$L$12:$L$741,C41,vuot2019_2020_I!$BW$12:$BW$741)</f>
        <v>0</v>
      </c>
      <c r="Z41" s="109">
        <f>SUMIF(vuot2019_2020_I!$L$12:$L$741,C41,vuot2019_2020_I!$BX$12:$BX$741)</f>
        <v>0</v>
      </c>
      <c r="AA41" s="109">
        <f>SUMIF(vuot2019_2020_I!$L$12:$L$741,C41,vuot2019_2020_I!$BY$12:$BY$741)+SUMIF(vuot2019_2020_I!$L$12:$L$741,C41,vuot2019_2020_I!$BZ$12:$BZ$741)</f>
        <v>0</v>
      </c>
      <c r="AB41" s="108">
        <f>SUMIF(vuot2019_2020_I!$L$12:$L$741,C41,vuot2019_2020_I!$CB$12:$CB$741)</f>
        <v>0</v>
      </c>
      <c r="AC41" s="108">
        <f>SUMIF(vuot2019_2020_I!$L$12:$L$741,C41,vuot2019_2020_I!$CC$12:$CC$741)+SUMIF(vuot2019_2020_I!$L$12:$L$741,C41,vuot2019_2020_I!$CA$12:$CA$741)</f>
        <v>2457000</v>
      </c>
      <c r="AD41" s="108">
        <f>SUMIF(vuot2019_2020_I!$L$12:$L$741,C41,vuot2019_2020_I!$CD$12:$CD$741)</f>
        <v>0</v>
      </c>
      <c r="AE41" s="110">
        <f t="shared" si="27"/>
        <v>144.96250000000003</v>
      </c>
      <c r="AF41" s="110">
        <f t="shared" si="8"/>
        <v>4.7250000000000014</v>
      </c>
      <c r="AG41" s="87">
        <f t="shared" si="22"/>
        <v>168.95374999999999</v>
      </c>
      <c r="AH41" s="107">
        <f t="shared" si="23"/>
        <v>307125</v>
      </c>
      <c r="AI41" s="87">
        <f t="shared" si="28"/>
        <v>144.96250000000003</v>
      </c>
      <c r="AJ41" s="88">
        <f t="shared" si="24"/>
        <v>8</v>
      </c>
      <c r="AK41" s="88"/>
      <c r="AL41" s="88">
        <f t="shared" si="25"/>
        <v>8</v>
      </c>
      <c r="AM41" s="88">
        <f t="shared" si="26"/>
        <v>2</v>
      </c>
      <c r="AN41" s="88"/>
    </row>
    <row r="42" spans="1:40" s="12" customFormat="1" ht="17.100000000000001" customHeight="1" outlineLevel="1">
      <c r="A42" s="97"/>
      <c r="B42" s="97" t="s">
        <v>3099</v>
      </c>
      <c r="C42" s="111"/>
      <c r="D42" s="96">
        <f t="shared" ref="D42:AD42" si="29">SUBTOTAL(9,D34:D41)</f>
        <v>50</v>
      </c>
      <c r="E42" s="112">
        <f t="shared" si="29"/>
        <v>3189.375</v>
      </c>
      <c r="F42" s="112">
        <f t="shared" si="29"/>
        <v>976.5</v>
      </c>
      <c r="G42" s="112">
        <f t="shared" si="29"/>
        <v>9388.125</v>
      </c>
      <c r="H42" s="112">
        <f t="shared" si="29"/>
        <v>5543.5</v>
      </c>
      <c r="I42" s="112">
        <f t="shared" si="29"/>
        <v>8835.16</v>
      </c>
      <c r="J42" s="112">
        <f>SUBTOTAL(9,J34:J41)</f>
        <v>4267.82</v>
      </c>
      <c r="K42" s="112">
        <f>SUBTOTAL(9,K34:K41)</f>
        <v>4567.34</v>
      </c>
      <c r="L42" s="112">
        <f t="shared" si="29"/>
        <v>-1328.7233333333334</v>
      </c>
      <c r="M42" s="112">
        <f t="shared" si="29"/>
        <v>10716.848333333333</v>
      </c>
      <c r="N42" s="112">
        <f t="shared" si="29"/>
        <v>8201.5</v>
      </c>
      <c r="O42" s="112">
        <f t="shared" si="29"/>
        <v>0</v>
      </c>
      <c r="P42" s="112">
        <f t="shared" si="29"/>
        <v>8201.5</v>
      </c>
      <c r="Q42" s="112">
        <f>SUBTOTAL(9,Q34:Q41)</f>
        <v>-2515.3483333333334</v>
      </c>
      <c r="R42" s="112">
        <f>SUBTOTAL(9,R34:R41)</f>
        <v>0</v>
      </c>
      <c r="S42" s="112">
        <f t="shared" si="29"/>
        <v>841.71333333333337</v>
      </c>
      <c r="T42" s="112">
        <f t="shared" si="29"/>
        <v>690.81333333333328</v>
      </c>
      <c r="U42" s="113">
        <f t="shared" si="29"/>
        <v>47044800</v>
      </c>
      <c r="V42" s="112">
        <f t="shared" si="29"/>
        <v>150.89999999999998</v>
      </c>
      <c r="W42" s="113">
        <f t="shared" si="29"/>
        <v>7695900</v>
      </c>
      <c r="X42" s="113">
        <f t="shared" si="29"/>
        <v>54740700</v>
      </c>
      <c r="Y42" s="113">
        <f>SUBTOTAL(9,Y34:Y41)</f>
        <v>0</v>
      </c>
      <c r="Z42" s="113">
        <f>SUBTOTAL(9,Z34:Z41)</f>
        <v>1644281</v>
      </c>
      <c r="AA42" s="113">
        <f>SUBTOTAL(9,AA34:AA41)</f>
        <v>0</v>
      </c>
      <c r="AB42" s="113">
        <f>SUBTOTAL(9,AB34:AB41)</f>
        <v>0</v>
      </c>
      <c r="AC42" s="113">
        <f t="shared" si="29"/>
        <v>54740700</v>
      </c>
      <c r="AD42" s="113">
        <f t="shared" si="29"/>
        <v>1644281</v>
      </c>
      <c r="AE42" s="114">
        <f t="shared" si="27"/>
        <v>164.03</v>
      </c>
      <c r="AF42" s="114">
        <f t="shared" si="8"/>
        <v>16.834266666666668</v>
      </c>
      <c r="AG42" s="96">
        <f t="shared" si="22"/>
        <v>176.70320000000001</v>
      </c>
      <c r="AH42" s="112">
        <f t="shared" si="23"/>
        <v>1094814</v>
      </c>
      <c r="AI42" s="96">
        <f t="shared" si="28"/>
        <v>164.03</v>
      </c>
      <c r="AJ42" s="115">
        <f>SUBTOTAL(9,AJ34:AJ41)</f>
        <v>50</v>
      </c>
      <c r="AK42" s="115">
        <f>SUBTOTAL(9,AK34:AK41)</f>
        <v>0</v>
      </c>
      <c r="AL42" s="115">
        <f>SUBTOTAL(9,AL34:AL41)</f>
        <v>50</v>
      </c>
      <c r="AM42" s="115">
        <f>SUBTOTAL(9,AM34:AM41)</f>
        <v>13</v>
      </c>
      <c r="AN42" s="97">
        <f>AM42-AJ42</f>
        <v>-37</v>
      </c>
    </row>
    <row r="43" spans="1:40" ht="17.100000000000001" customHeight="1" outlineLevel="2">
      <c r="A43" s="88">
        <v>35</v>
      </c>
      <c r="B43" s="88">
        <v>5</v>
      </c>
      <c r="C43" s="90" t="s">
        <v>1085</v>
      </c>
      <c r="D43" s="105">
        <f>COUNTIF(vuot2019_2020_I!$K$12:$K$741,C43)</f>
        <v>11</v>
      </c>
      <c r="E43" s="106">
        <f>SUMIF(vuot2019_2020_I!$L$12:$L$741,C43,vuot2019_2020_I!$AC$12:$AC$741)</f>
        <v>1647</v>
      </c>
      <c r="F43" s="106">
        <f>SUMIF(vuot2019_2020_I!$L$12:$L$741,C43,vuot2019_2020_I!$AD$12:$AD$741)</f>
        <v>720</v>
      </c>
      <c r="G43" s="106">
        <f>SUMIF(vuot2019_2020_I!$L$12:$L$741,C43,vuot2019_2020_I!$AE$12:$AE$741)</f>
        <v>1098</v>
      </c>
      <c r="H43" s="106">
        <f>SUMIF(vuot2019_2020_I!$L$12:$L$741,C43,vuot2019_2020_I!$AF$12:$AF$741)</f>
        <v>380</v>
      </c>
      <c r="I43" s="107">
        <f>SUMIF(vuot2019_2020_I!$L$12:$L$741,C43,vuot2019_2020_I!$AG$12:$AG$741)</f>
        <v>1659.08</v>
      </c>
      <c r="J43" s="107">
        <f>SUMIF(vuot2019_2020_I!$L$12:$L$741,C43,vuot2019_2020_I!$AH$12:$AH$741)</f>
        <v>1375.73</v>
      </c>
      <c r="K43" s="107">
        <f>SUMIF(vuot2019_2020_I!$L$12:$L$741,C43,vuot2019_2020_I!$AI$12:$AI$741)</f>
        <v>283.35000000000002</v>
      </c>
      <c r="L43" s="107">
        <f>SUMIF(vuot2019_2020_I!$L$12:$L$741,C43,vuot2019_2020_I!$AJ$12:$AJ$741)</f>
        <v>-100.80000000000001</v>
      </c>
      <c r="M43" s="107">
        <f>SUMIF(vuot2019_2020_I!$L$12:$L$741,C43,vuot2019_2020_I!$AK$12:$AK$741)</f>
        <v>1198.8</v>
      </c>
      <c r="N43" s="107">
        <f>SUMIF(vuot2019_2020_I!$L$12:$L$741,C43,vuot2019_2020_I!$AL$12:$AL$741)</f>
        <v>2794.9</v>
      </c>
      <c r="O43" s="107">
        <f>SUMIF(vuot2019_2020_I!$L$12:$L$741,C43,vuot2019_2020_I!$AM$12:$AM$741)</f>
        <v>456.8</v>
      </c>
      <c r="P43" s="107">
        <f>SUMIF(vuot2019_2020_I!$L$12:$L$741,C43,vuot2019_2020_I!$AN$12:$AN$741)</f>
        <v>3251.7</v>
      </c>
      <c r="Q43" s="107">
        <f>SUMIF(vuot2019_2020_I!$L$12:$L$752,C43,vuot2019_2020_I!$AU$12:$AU$752)</f>
        <v>2052.8999999999996</v>
      </c>
      <c r="R43" s="107">
        <f>SUMIF(vuot2019_2020_I!$L$12:$L$752,C43,vuot2019_2020_I!$BK$12:$BK$752)</f>
        <v>0</v>
      </c>
      <c r="S43" s="107">
        <f>SUMIF(vuot2019_2020_I!$L$12:$L$741,C43,vuot2019_2020_I!$BL$12:$BL$741)</f>
        <v>2263.6999999999998</v>
      </c>
      <c r="T43" s="107">
        <f>SUMIF(vuot2019_2020_I!$L$12:$L$741,C43,vuot2019_2020_I!$BP$12:$BP$741)</f>
        <v>1310.8</v>
      </c>
      <c r="U43" s="108">
        <f>SUMIF(vuot2019_2020_I!$L$12:$L$741,C43,vuot2019_2020_I!$BR$12:$BR$741)</f>
        <v>81648000</v>
      </c>
      <c r="V43" s="107">
        <f>SUMIF(vuot2019_2020_I!$L$12:$L$741,C43,vuot2019_2020_I!$BS$12:$BS$741)</f>
        <v>952.9</v>
      </c>
      <c r="W43" s="108">
        <f>SUMIF(vuot2019_2020_I!$L$12:$L$741,C43,vuot2019_2020_I!$BU$12:$BU$741)</f>
        <v>50471900</v>
      </c>
      <c r="X43" s="108">
        <f>SUMIF(vuot2019_2020_I!$L$12:$L$741,C43,vuot2019_2020_I!$BV$12:$BV$741)</f>
        <v>132119900</v>
      </c>
      <c r="Y43" s="108">
        <f>SUMIF(vuot2019_2020_I!$L$12:$L$741,C43,vuot2019_2020_I!$BW$12:$BW$741)</f>
        <v>0</v>
      </c>
      <c r="Z43" s="109">
        <f>SUMIF(vuot2019_2020_I!$L$12:$L$741,C43,vuot2019_2020_I!$BX$12:$BX$741)</f>
        <v>297000</v>
      </c>
      <c r="AA43" s="109">
        <f>SUMIF(vuot2019_2020_I!$L$12:$L$741,C43,vuot2019_2020_I!$BY$12:$BY$741)+SUMIF(vuot2019_2020_I!$L$12:$L$741,C43,vuot2019_2020_I!$BZ$12:$BZ$741)</f>
        <v>0</v>
      </c>
      <c r="AB43" s="108">
        <f>SUMIF(vuot2019_2020_I!$L$12:$L$741,C43,vuot2019_2020_I!$CB$12:$CB$741)</f>
        <v>0</v>
      </c>
      <c r="AC43" s="108">
        <f>SUMIF(vuot2019_2020_I!$L$12:$L$741,C43,vuot2019_2020_I!$CC$12:$CC$741)+SUMIF(vuot2019_2020_I!$L$12:$L$741,C43,vuot2019_2020_I!$CA$12:$CA$741)</f>
        <v>132119900</v>
      </c>
      <c r="AD43" s="108">
        <f>SUMIF(vuot2019_2020_I!$L$12:$L$741,C43,vuot2019_2020_I!$CD$12:$CD$741)</f>
        <v>297000</v>
      </c>
      <c r="AE43" s="110">
        <f t="shared" si="27"/>
        <v>295.60909090909087</v>
      </c>
      <c r="AF43" s="110">
        <f t="shared" si="8"/>
        <v>205.79090909090908</v>
      </c>
      <c r="AG43" s="87">
        <f t="shared" si="22"/>
        <v>150.82545454545453</v>
      </c>
      <c r="AH43" s="107">
        <f t="shared" si="23"/>
        <v>12010900</v>
      </c>
      <c r="AI43" s="87">
        <f t="shared" si="28"/>
        <v>295.60909090909087</v>
      </c>
      <c r="AJ43" s="88">
        <f t="shared" ref="AJ43:AJ48" si="30">D43</f>
        <v>11</v>
      </c>
      <c r="AK43" s="88"/>
      <c r="AL43" s="88">
        <f t="shared" ref="AL43:AL48" si="31">AK43+AJ43</f>
        <v>11</v>
      </c>
      <c r="AM43" s="88">
        <f t="shared" ref="AM43:AM48" si="32">ROUND(P43/630,0)</f>
        <v>5</v>
      </c>
      <c r="AN43" s="88"/>
    </row>
    <row r="44" spans="1:40" ht="17.100000000000001" customHeight="1" outlineLevel="2">
      <c r="A44" s="88">
        <v>36</v>
      </c>
      <c r="B44" s="88">
        <v>5</v>
      </c>
      <c r="C44" s="90" t="s">
        <v>1086</v>
      </c>
      <c r="D44" s="105">
        <f>COUNTIF(vuot2019_2020_I!$K$12:$K$741,C44)</f>
        <v>13</v>
      </c>
      <c r="E44" s="106">
        <f>SUMIF(vuot2019_2020_I!$L$12:$L$741,C44,vuot2019_2020_I!$AC$12:$AC$741)</f>
        <v>1674</v>
      </c>
      <c r="F44" s="106">
        <f>SUMIF(vuot2019_2020_I!$L$12:$L$741,C44,vuot2019_2020_I!$AD$12:$AD$741)</f>
        <v>660</v>
      </c>
      <c r="G44" s="106">
        <f>SUMIF(vuot2019_2020_I!$L$12:$L$741,C44,vuot2019_2020_I!$AE$12:$AE$741)</f>
        <v>1746</v>
      </c>
      <c r="H44" s="106">
        <f>SUMIF(vuot2019_2020_I!$L$12:$L$741,C44,vuot2019_2020_I!$AF$12:$AF$741)</f>
        <v>920</v>
      </c>
      <c r="I44" s="107">
        <f>SUMIF(vuot2019_2020_I!$L$12:$L$741,C44,vuot2019_2020_I!$AG$12:$AG$741)</f>
        <v>3041.2699999999995</v>
      </c>
      <c r="J44" s="107">
        <f>SUMIF(vuot2019_2020_I!$L$12:$L$741,C44,vuot2019_2020_I!$AH$12:$AH$741)</f>
        <v>1387.8</v>
      </c>
      <c r="K44" s="107">
        <f>SUMIF(vuot2019_2020_I!$L$12:$L$741,C44,vuot2019_2020_I!$AI$12:$AI$741)</f>
        <v>1653.4699999999998</v>
      </c>
      <c r="L44" s="107">
        <f>SUMIF(vuot2019_2020_I!$L$12:$L$741,C44,vuot2019_2020_I!$AJ$12:$AJ$741)</f>
        <v>-22.92</v>
      </c>
      <c r="M44" s="107">
        <f>SUMIF(vuot2019_2020_I!$L$12:$L$741,C44,vuot2019_2020_I!$AK$12:$AK$741)</f>
        <v>1768.92</v>
      </c>
      <c r="N44" s="107">
        <f>SUMIF(vuot2019_2020_I!$L$12:$L$741,C44,vuot2019_2020_I!$AL$12:$AL$741)</f>
        <v>1599.5</v>
      </c>
      <c r="O44" s="107">
        <f>SUMIF(vuot2019_2020_I!$L$12:$L$741,C44,vuot2019_2020_I!$AM$12:$AM$741)</f>
        <v>1230.8000000000002</v>
      </c>
      <c r="P44" s="107">
        <f>SUMIF(vuot2019_2020_I!$L$12:$L$741,C44,vuot2019_2020_I!$AN$12:$AN$741)</f>
        <v>2830.3</v>
      </c>
      <c r="Q44" s="107">
        <f>SUMIF(vuot2019_2020_I!$L$12:$L$752,C44,vuot2019_2020_I!$AU$12:$AU$752)</f>
        <v>1061.3799999999999</v>
      </c>
      <c r="R44" s="107">
        <f>SUMIF(vuot2019_2020_I!$L$12:$L$752,C44,vuot2019_2020_I!$BK$12:$BK$752)</f>
        <v>0</v>
      </c>
      <c r="S44" s="107">
        <f>SUMIF(vuot2019_2020_I!$L$12:$L$741,C44,vuot2019_2020_I!$BL$12:$BL$741)</f>
        <v>1247.0000000000002</v>
      </c>
      <c r="T44" s="107">
        <f>SUMIF(vuot2019_2020_I!$L$12:$L$741,C44,vuot2019_2020_I!$BP$12:$BP$741)</f>
        <v>851.5</v>
      </c>
      <c r="U44" s="108">
        <f>SUMIF(vuot2019_2020_I!$L$12:$L$741,C44,vuot2019_2020_I!$BR$12:$BR$741)</f>
        <v>60399000</v>
      </c>
      <c r="V44" s="107">
        <f>SUMIF(vuot2019_2020_I!$L$12:$L$741,C44,vuot2019_2020_I!$BS$12:$BS$741)</f>
        <v>395.5</v>
      </c>
      <c r="W44" s="108">
        <f>SUMIF(vuot2019_2020_I!$L$12:$L$741,C44,vuot2019_2020_I!$BU$12:$BU$741)</f>
        <v>25707500</v>
      </c>
      <c r="X44" s="108">
        <f>SUMIF(vuot2019_2020_I!$L$12:$L$741,C44,vuot2019_2020_I!$BV$12:$BV$741)</f>
        <v>86106500</v>
      </c>
      <c r="Y44" s="108">
        <f>SUMIF(vuot2019_2020_I!$L$12:$L$741,C44,vuot2019_2020_I!$BW$12:$BW$741)</f>
        <v>0</v>
      </c>
      <c r="Z44" s="109">
        <f>SUMIF(vuot2019_2020_I!$L$12:$L$741,C44,vuot2019_2020_I!$BX$12:$BX$741)</f>
        <v>0</v>
      </c>
      <c r="AA44" s="109">
        <f>SUMIF(vuot2019_2020_I!$L$12:$L$741,C44,vuot2019_2020_I!$BY$12:$BY$741)+SUMIF(vuot2019_2020_I!$L$12:$L$741,C44,vuot2019_2020_I!$BZ$12:$BZ$741)</f>
        <v>0</v>
      </c>
      <c r="AB44" s="108">
        <f>SUMIF(vuot2019_2020_I!$L$12:$L$741,C44,vuot2019_2020_I!$CB$12:$CB$741)</f>
        <v>0</v>
      </c>
      <c r="AC44" s="108">
        <f>SUMIF(vuot2019_2020_I!$L$12:$L$741,C44,vuot2019_2020_I!$CC$12:$CC$741)+SUMIF(vuot2019_2020_I!$L$12:$L$741,C44,vuot2019_2020_I!$CA$12:$CA$741)</f>
        <v>86106500</v>
      </c>
      <c r="AD44" s="108">
        <f>SUMIF(vuot2019_2020_I!$L$12:$L$741,C44,vuot2019_2020_I!$CD$12:$CD$741)</f>
        <v>0</v>
      </c>
      <c r="AE44" s="110">
        <f t="shared" si="27"/>
        <v>217.71538461538464</v>
      </c>
      <c r="AF44" s="110">
        <f t="shared" si="8"/>
        <v>95.923076923076934</v>
      </c>
      <c r="AG44" s="87">
        <f t="shared" si="22"/>
        <v>233.94384615384612</v>
      </c>
      <c r="AH44" s="107">
        <f t="shared" si="23"/>
        <v>6623576.923076923</v>
      </c>
      <c r="AI44" s="87">
        <f t="shared" si="28"/>
        <v>217.71538461538464</v>
      </c>
      <c r="AJ44" s="88">
        <f t="shared" si="30"/>
        <v>13</v>
      </c>
      <c r="AK44" s="88"/>
      <c r="AL44" s="88">
        <f t="shared" si="31"/>
        <v>13</v>
      </c>
      <c r="AM44" s="88">
        <f t="shared" si="32"/>
        <v>4</v>
      </c>
      <c r="AN44" s="88"/>
    </row>
    <row r="45" spans="1:40" ht="17.100000000000001" customHeight="1" outlineLevel="2">
      <c r="A45" s="88">
        <v>37</v>
      </c>
      <c r="B45" s="88">
        <v>5</v>
      </c>
      <c r="C45" s="90" t="s">
        <v>1087</v>
      </c>
      <c r="D45" s="105">
        <f>COUNTIF(vuot2019_2020_I!$K$12:$K$741,C45)</f>
        <v>13</v>
      </c>
      <c r="E45" s="106">
        <f>SUMIF(vuot2019_2020_I!$L$12:$L$741,C45,vuot2019_2020_I!$AC$12:$AC$741)</f>
        <v>796.5</v>
      </c>
      <c r="F45" s="106">
        <f>SUMIF(vuot2019_2020_I!$L$12:$L$741,C45,vuot2019_2020_I!$AD$12:$AD$741)</f>
        <v>220</v>
      </c>
      <c r="G45" s="106">
        <f>SUMIF(vuot2019_2020_I!$L$12:$L$741,C45,vuot2019_2020_I!$AE$12:$AE$741)</f>
        <v>2263.5</v>
      </c>
      <c r="H45" s="106">
        <f>SUMIF(vuot2019_2020_I!$L$12:$L$741,C45,vuot2019_2020_I!$AF$12:$AF$741)</f>
        <v>1373.3333333333333</v>
      </c>
      <c r="I45" s="107">
        <f>SUMIF(vuot2019_2020_I!$L$12:$L$741,C45,vuot2019_2020_I!$AG$12:$AG$741)</f>
        <v>2515.2133333333336</v>
      </c>
      <c r="J45" s="107">
        <f>SUMIF(vuot2019_2020_I!$L$12:$L$741,C45,vuot2019_2020_I!$AH$12:$AH$741)</f>
        <v>1242.6233333333334</v>
      </c>
      <c r="K45" s="107">
        <f>SUMIF(vuot2019_2020_I!$L$12:$L$741,C45,vuot2019_2020_I!$AI$12:$AI$741)</f>
        <v>1272.5899999999999</v>
      </c>
      <c r="L45" s="107">
        <f>SUMIF(vuot2019_2020_I!$L$12:$L$741,C45,vuot2019_2020_I!$AJ$12:$AJ$741)</f>
        <v>-41.13666666666667</v>
      </c>
      <c r="M45" s="107">
        <f>SUMIF(vuot2019_2020_I!$L$12:$L$741,C45,vuot2019_2020_I!$AK$12:$AK$741)</f>
        <v>2304.6366666666668</v>
      </c>
      <c r="N45" s="107">
        <f>SUMIF(vuot2019_2020_I!$L$12:$L$741,C45,vuot2019_2020_I!$AL$12:$AL$741)</f>
        <v>2215.6000000000004</v>
      </c>
      <c r="O45" s="107">
        <f>SUMIF(vuot2019_2020_I!$L$12:$L$741,C45,vuot2019_2020_I!$AM$12:$AM$741)</f>
        <v>2007.8</v>
      </c>
      <c r="P45" s="107">
        <f>SUMIF(vuot2019_2020_I!$L$12:$L$741,C45,vuot2019_2020_I!$AN$12:$AN$741)</f>
        <v>4223.4000000000005</v>
      </c>
      <c r="Q45" s="107">
        <f>SUMIF(vuot2019_2020_I!$L$12:$L$752,C45,vuot2019_2020_I!$AU$12:$AU$752)</f>
        <v>1918.7633333333335</v>
      </c>
      <c r="R45" s="107">
        <f>SUMIF(vuot2019_2020_I!$L$12:$L$752,C45,vuot2019_2020_I!$BK$12:$BK$752)</f>
        <v>0</v>
      </c>
      <c r="S45" s="107">
        <f>SUMIF(vuot2019_2020_I!$L$12:$L$741,C45,vuot2019_2020_I!$BL$12:$BL$741)</f>
        <v>2228.3300000000004</v>
      </c>
      <c r="T45" s="107">
        <f>SUMIF(vuot2019_2020_I!$L$12:$L$741,C45,vuot2019_2020_I!$BP$12:$BP$741)</f>
        <v>1184.9000000000001</v>
      </c>
      <c r="U45" s="108">
        <f>SUMIF(vuot2019_2020_I!$L$12:$L$741,C45,vuot2019_2020_I!$BR$12:$BR$741)</f>
        <v>86384000</v>
      </c>
      <c r="V45" s="107">
        <f>SUMIF(vuot2019_2020_I!$L$12:$L$741,C45,vuot2019_2020_I!$BS$12:$BS$741)</f>
        <v>1043.4300000000003</v>
      </c>
      <c r="W45" s="108">
        <f>SUMIF(vuot2019_2020_I!$L$12:$L$741,C45,vuot2019_2020_I!$BU$12:$BU$741)</f>
        <v>61079950</v>
      </c>
      <c r="X45" s="108">
        <f>SUMIF(vuot2019_2020_I!$L$12:$L$741,C45,vuot2019_2020_I!$BV$12:$BV$741)</f>
        <v>147463950</v>
      </c>
      <c r="Y45" s="108">
        <f>SUMIF(vuot2019_2020_I!$L$12:$L$741,C45,vuot2019_2020_I!$BW$12:$BW$741)</f>
        <v>0</v>
      </c>
      <c r="Z45" s="109">
        <f>SUMIF(vuot2019_2020_I!$L$12:$L$741,C45,vuot2019_2020_I!$BX$12:$BX$741)</f>
        <v>0</v>
      </c>
      <c r="AA45" s="109">
        <f>SUMIF(vuot2019_2020_I!$L$12:$L$741,C45,vuot2019_2020_I!$BY$12:$BY$741)+SUMIF(vuot2019_2020_I!$L$12:$L$741,C45,vuot2019_2020_I!$BZ$12:$BZ$741)</f>
        <v>0</v>
      </c>
      <c r="AB45" s="108">
        <f>SUMIF(vuot2019_2020_I!$L$12:$L$741,C45,vuot2019_2020_I!$CB$12:$CB$741)</f>
        <v>0</v>
      </c>
      <c r="AC45" s="108">
        <f>SUMIF(vuot2019_2020_I!$L$12:$L$741,C45,vuot2019_2020_I!$CC$12:$CC$741)+SUMIF(vuot2019_2020_I!$L$12:$L$741,C45,vuot2019_2020_I!$CA$12:$CA$741)</f>
        <v>147463950</v>
      </c>
      <c r="AD45" s="108">
        <f>SUMIF(vuot2019_2020_I!$L$12:$L$741,C45,vuot2019_2020_I!$CD$12:$CD$741)</f>
        <v>0</v>
      </c>
      <c r="AE45" s="110">
        <f t="shared" si="27"/>
        <v>324.87692307692311</v>
      </c>
      <c r="AF45" s="110">
        <f t="shared" si="8"/>
        <v>171.41000000000003</v>
      </c>
      <c r="AG45" s="87">
        <f t="shared" si="22"/>
        <v>193.47794871794875</v>
      </c>
      <c r="AH45" s="107">
        <f t="shared" si="23"/>
        <v>11343380.76923077</v>
      </c>
      <c r="AI45" s="87">
        <f t="shared" si="28"/>
        <v>324.87692307692311</v>
      </c>
      <c r="AJ45" s="88">
        <f t="shared" si="30"/>
        <v>13</v>
      </c>
      <c r="AK45" s="88"/>
      <c r="AL45" s="88">
        <f t="shared" si="31"/>
        <v>13</v>
      </c>
      <c r="AM45" s="88">
        <f t="shared" si="32"/>
        <v>7</v>
      </c>
      <c r="AN45" s="88"/>
    </row>
    <row r="46" spans="1:40" ht="17.100000000000001" customHeight="1" outlineLevel="2">
      <c r="A46" s="88">
        <v>38</v>
      </c>
      <c r="B46" s="88">
        <v>5</v>
      </c>
      <c r="C46" s="90" t="s">
        <v>1088</v>
      </c>
      <c r="D46" s="105">
        <f>COUNTIF(vuot2019_2020_I!$K$12:$K$741,C46)</f>
        <v>12</v>
      </c>
      <c r="E46" s="106">
        <f>SUMIF(vuot2019_2020_I!$L$12:$L$741,C46,vuot2019_2020_I!$AC$12:$AC$741)</f>
        <v>1714.5</v>
      </c>
      <c r="F46" s="106">
        <f>SUMIF(vuot2019_2020_I!$L$12:$L$741,C46,vuot2019_2020_I!$AD$12:$AD$741)</f>
        <v>732.5</v>
      </c>
      <c r="G46" s="106">
        <f>SUMIF(vuot2019_2020_I!$L$12:$L$741,C46,vuot2019_2020_I!$AE$12:$AE$741)</f>
        <v>1525.5</v>
      </c>
      <c r="H46" s="106">
        <f>SUMIF(vuot2019_2020_I!$L$12:$L$741,C46,vuot2019_2020_I!$AF$12:$AF$741)</f>
        <v>937.5</v>
      </c>
      <c r="I46" s="107">
        <f>SUMIF(vuot2019_2020_I!$L$12:$L$741,C46,vuot2019_2020_I!$AG$12:$AG$741)</f>
        <v>4113.623333333333</v>
      </c>
      <c r="J46" s="107">
        <f>SUMIF(vuot2019_2020_I!$L$12:$L$741,C46,vuot2019_2020_I!$AH$12:$AH$741)</f>
        <v>1740.0733333333333</v>
      </c>
      <c r="K46" s="107">
        <f>SUMIF(vuot2019_2020_I!$L$12:$L$741,C46,vuot2019_2020_I!$AI$12:$AI$741)</f>
        <v>2373.5499999999997</v>
      </c>
      <c r="L46" s="107">
        <f>SUMIF(vuot2019_2020_I!$L$12:$L$741,C46,vuot2019_2020_I!$AJ$12:$AJ$741)</f>
        <v>0</v>
      </c>
      <c r="M46" s="107">
        <f>SUMIF(vuot2019_2020_I!$L$12:$L$741,C46,vuot2019_2020_I!$AK$12:$AK$741)</f>
        <v>1525.5</v>
      </c>
      <c r="N46" s="107">
        <f>SUMIF(vuot2019_2020_I!$L$12:$L$741,C46,vuot2019_2020_I!$AL$12:$AL$741)</f>
        <v>2109.6999999999998</v>
      </c>
      <c r="O46" s="107">
        <f>SUMIF(vuot2019_2020_I!$L$12:$L$741,C46,vuot2019_2020_I!$AM$12:$AM$741)</f>
        <v>1707.3999999999996</v>
      </c>
      <c r="P46" s="107">
        <f>SUMIF(vuot2019_2020_I!$L$12:$L$741,C46,vuot2019_2020_I!$AN$12:$AN$741)</f>
        <v>3817.1</v>
      </c>
      <c r="Q46" s="107">
        <f>SUMIF(vuot2019_2020_I!$L$12:$L$752,C46,vuot2019_2020_I!$AU$12:$AU$752)</f>
        <v>2291.6000000000004</v>
      </c>
      <c r="R46" s="107">
        <f>SUMIF(vuot2019_2020_I!$L$12:$L$752,C46,vuot2019_2020_I!$BK$12:$BK$752)</f>
        <v>0</v>
      </c>
      <c r="S46" s="107">
        <f>SUMIF(vuot2019_2020_I!$L$12:$L$741,C46,vuot2019_2020_I!$BL$12:$BL$741)</f>
        <v>2291.6000000000004</v>
      </c>
      <c r="T46" s="107">
        <f>SUMIF(vuot2019_2020_I!$L$12:$L$741,C46,vuot2019_2020_I!$BP$12:$BP$741)</f>
        <v>1601.9</v>
      </c>
      <c r="U46" s="108">
        <f>SUMIF(vuot2019_2020_I!$L$12:$L$741,C46,vuot2019_2020_I!$BR$12:$BR$741)</f>
        <v>112417000</v>
      </c>
      <c r="V46" s="107">
        <f>SUMIF(vuot2019_2020_I!$L$12:$L$741,C46,vuot2019_2020_I!$BS$12:$BS$741)</f>
        <v>689.7</v>
      </c>
      <c r="W46" s="108">
        <f>SUMIF(vuot2019_2020_I!$L$12:$L$741,C46,vuot2019_2020_I!$BU$12:$BU$741)</f>
        <v>42831300</v>
      </c>
      <c r="X46" s="108">
        <f>SUMIF(vuot2019_2020_I!$L$12:$L$741,C46,vuot2019_2020_I!$BV$12:$BV$741)</f>
        <v>155248300</v>
      </c>
      <c r="Y46" s="108">
        <f>SUMIF(vuot2019_2020_I!$L$12:$L$741,C46,vuot2019_2020_I!$BW$12:$BW$741)</f>
        <v>0</v>
      </c>
      <c r="Z46" s="109">
        <f>SUMIF(vuot2019_2020_I!$L$12:$L$741,C46,vuot2019_2020_I!$BX$12:$BX$741)</f>
        <v>0</v>
      </c>
      <c r="AA46" s="109">
        <f>SUMIF(vuot2019_2020_I!$L$12:$L$741,C46,vuot2019_2020_I!$BY$12:$BY$741)+SUMIF(vuot2019_2020_I!$L$12:$L$741,C46,vuot2019_2020_I!$BZ$12:$BZ$741)</f>
        <v>0</v>
      </c>
      <c r="AB46" s="108">
        <f>SUMIF(vuot2019_2020_I!$L$12:$L$741,C46,vuot2019_2020_I!$CB$12:$CB$741)</f>
        <v>0</v>
      </c>
      <c r="AC46" s="108">
        <f>SUMIF(vuot2019_2020_I!$L$12:$L$741,C46,vuot2019_2020_I!$CC$12:$CC$741)+SUMIF(vuot2019_2020_I!$L$12:$L$741,C46,vuot2019_2020_I!$CA$12:$CA$741)</f>
        <v>155248300</v>
      </c>
      <c r="AD46" s="108">
        <f>SUMIF(vuot2019_2020_I!$L$12:$L$741,C46,vuot2019_2020_I!$CD$12:$CD$741)</f>
        <v>0</v>
      </c>
      <c r="AE46" s="110">
        <f t="shared" si="27"/>
        <v>318.09166666666664</v>
      </c>
      <c r="AF46" s="110">
        <f t="shared" si="8"/>
        <v>190.9666666666667</v>
      </c>
      <c r="AG46" s="87">
        <f t="shared" si="22"/>
        <v>342.80194444444442</v>
      </c>
      <c r="AH46" s="107">
        <f t="shared" si="23"/>
        <v>12937358.333333334</v>
      </c>
      <c r="AI46" s="87">
        <f t="shared" si="28"/>
        <v>318.09166666666664</v>
      </c>
      <c r="AJ46" s="88">
        <f t="shared" si="30"/>
        <v>12</v>
      </c>
      <c r="AK46" s="88"/>
      <c r="AL46" s="88">
        <f t="shared" si="31"/>
        <v>12</v>
      </c>
      <c r="AM46" s="88">
        <f t="shared" si="32"/>
        <v>6</v>
      </c>
      <c r="AN46" s="88"/>
    </row>
    <row r="47" spans="1:40" ht="17.100000000000001" customHeight="1" outlineLevel="2">
      <c r="A47" s="88">
        <v>39</v>
      </c>
      <c r="B47" s="88">
        <v>5</v>
      </c>
      <c r="C47" s="90" t="s">
        <v>2222</v>
      </c>
      <c r="D47" s="105">
        <f>COUNTIF(vuot2019_2020_I!$K$12:$K$741,C47)</f>
        <v>8</v>
      </c>
      <c r="E47" s="106">
        <f>SUMIF(vuot2019_2020_I!$L$12:$L$741,C47,vuot2019_2020_I!$AC$12:$AC$741)</f>
        <v>634.5</v>
      </c>
      <c r="F47" s="106">
        <f>SUMIF(vuot2019_2020_I!$L$12:$L$741,C47,vuot2019_2020_I!$AD$12:$AD$741)</f>
        <v>200</v>
      </c>
      <c r="G47" s="106">
        <f>SUMIF(vuot2019_2020_I!$L$12:$L$741,C47,vuot2019_2020_I!$AE$12:$AE$741)</f>
        <v>1525.5</v>
      </c>
      <c r="H47" s="106">
        <f>SUMIF(vuot2019_2020_I!$L$12:$L$741,C47,vuot2019_2020_I!$AF$12:$AF$741)</f>
        <v>880</v>
      </c>
      <c r="I47" s="107">
        <f>SUMIF(vuot2019_2020_I!$L$12:$L$741,C47,vuot2019_2020_I!$AG$12:$AG$741)</f>
        <v>2271.3500000000004</v>
      </c>
      <c r="J47" s="107">
        <f>SUMIF(vuot2019_2020_I!$L$12:$L$741,C47,vuot2019_2020_I!$AH$12:$AH$741)</f>
        <v>1161</v>
      </c>
      <c r="K47" s="107">
        <f>SUMIF(vuot2019_2020_I!$L$12:$L$741,C47,vuot2019_2020_I!$AI$12:$AI$741)</f>
        <v>1110.3499999999999</v>
      </c>
      <c r="L47" s="107">
        <f>SUMIF(vuot2019_2020_I!$L$12:$L$741,C47,vuot2019_2020_I!$AJ$12:$AJ$741)</f>
        <v>0</v>
      </c>
      <c r="M47" s="107">
        <f>SUMIF(vuot2019_2020_I!$L$12:$L$741,C47,vuot2019_2020_I!$AK$12:$AK$741)</f>
        <v>1525.5</v>
      </c>
      <c r="N47" s="107">
        <f>SUMIF(vuot2019_2020_I!$L$12:$L$741,C47,vuot2019_2020_I!$AL$12:$AL$741)</f>
        <v>854.3</v>
      </c>
      <c r="O47" s="107">
        <f>SUMIF(vuot2019_2020_I!$L$12:$L$741,C47,vuot2019_2020_I!$AM$12:$AM$741)</f>
        <v>2103.8000000000002</v>
      </c>
      <c r="P47" s="107">
        <f>SUMIF(vuot2019_2020_I!$L$12:$L$741,C47,vuot2019_2020_I!$AN$12:$AN$741)</f>
        <v>2958.1000000000004</v>
      </c>
      <c r="Q47" s="107">
        <f>SUMIF(vuot2019_2020_I!$L$12:$L$752,C47,vuot2019_2020_I!$AU$12:$AU$752)</f>
        <v>1432.6</v>
      </c>
      <c r="R47" s="107">
        <f>SUMIF(vuot2019_2020_I!$L$12:$L$752,C47,vuot2019_2020_I!$BK$12:$BK$752)</f>
        <v>0</v>
      </c>
      <c r="S47" s="107">
        <f>SUMIF(vuot2019_2020_I!$L$12:$L$741,C47,vuot2019_2020_I!$BL$12:$BL$741)</f>
        <v>1489.5</v>
      </c>
      <c r="T47" s="107">
        <f>SUMIF(vuot2019_2020_I!$L$12:$L$741,C47,vuot2019_2020_I!$BP$12:$BP$741)</f>
        <v>900.09999999999991</v>
      </c>
      <c r="U47" s="108">
        <f>SUMIF(vuot2019_2020_I!$L$12:$L$741,C47,vuot2019_2020_I!$BR$12:$BR$741)</f>
        <v>64506500</v>
      </c>
      <c r="V47" s="107">
        <f>SUMIF(vuot2019_2020_I!$L$12:$L$741,C47,vuot2019_2020_I!$BS$12:$BS$741)</f>
        <v>589.4</v>
      </c>
      <c r="W47" s="108">
        <f>SUMIF(vuot2019_2020_I!$L$12:$L$741,C47,vuot2019_2020_I!$BU$12:$BU$741)</f>
        <v>36583400</v>
      </c>
      <c r="X47" s="108">
        <f>SUMIF(vuot2019_2020_I!$L$12:$L$741,C47,vuot2019_2020_I!$BV$12:$BV$741)</f>
        <v>101089900</v>
      </c>
      <c r="Y47" s="108">
        <f>SUMIF(vuot2019_2020_I!$L$12:$L$741,C47,vuot2019_2020_I!$BW$12:$BW$741)</f>
        <v>0</v>
      </c>
      <c r="Z47" s="109">
        <f>SUMIF(vuot2019_2020_I!$L$12:$L$741,C47,vuot2019_2020_I!$BX$12:$BX$741)</f>
        <v>0</v>
      </c>
      <c r="AA47" s="109">
        <f>SUMIF(vuot2019_2020_I!$L$12:$L$741,C47,vuot2019_2020_I!$BY$12:$BY$741)+SUMIF(vuot2019_2020_I!$L$12:$L$741,C47,vuot2019_2020_I!$BZ$12:$BZ$741)</f>
        <v>0</v>
      </c>
      <c r="AB47" s="108">
        <f>SUMIF(vuot2019_2020_I!$L$12:$L$741,C47,vuot2019_2020_I!$CB$12:$CB$741)</f>
        <v>0</v>
      </c>
      <c r="AC47" s="108">
        <f>SUMIF(vuot2019_2020_I!$L$12:$L$741,C47,vuot2019_2020_I!$CC$12:$CC$741)+SUMIF(vuot2019_2020_I!$L$12:$L$741,C47,vuot2019_2020_I!$CA$12:$CA$741)</f>
        <v>101089900</v>
      </c>
      <c r="AD47" s="108">
        <f>SUMIF(vuot2019_2020_I!$L$12:$L$741,C47,vuot2019_2020_I!$CD$12:$CD$741)</f>
        <v>0</v>
      </c>
      <c r="AE47" s="110">
        <f t="shared" si="27"/>
        <v>369.76250000000005</v>
      </c>
      <c r="AF47" s="110">
        <f t="shared" si="8"/>
        <v>186.1875</v>
      </c>
      <c r="AG47" s="87">
        <f>I47/D47</f>
        <v>283.91875000000005</v>
      </c>
      <c r="AH47" s="107">
        <f>X47/D47</f>
        <v>12636237.5</v>
      </c>
      <c r="AI47" s="87">
        <f t="shared" si="28"/>
        <v>369.76250000000005</v>
      </c>
      <c r="AJ47" s="88">
        <f t="shared" si="30"/>
        <v>8</v>
      </c>
      <c r="AK47" s="88"/>
      <c r="AL47" s="88">
        <f t="shared" si="31"/>
        <v>8</v>
      </c>
      <c r="AM47" s="88">
        <f t="shared" si="32"/>
        <v>5</v>
      </c>
      <c r="AN47" s="88"/>
    </row>
    <row r="48" spans="1:40" ht="17.100000000000001" customHeight="1" outlineLevel="2">
      <c r="A48" s="88">
        <v>39</v>
      </c>
      <c r="B48" s="88">
        <v>5</v>
      </c>
      <c r="C48" s="90" t="s">
        <v>1089</v>
      </c>
      <c r="D48" s="105">
        <f>COUNTIF(vuot2019_2020_I!$K$12:$K$741,C48)</f>
        <v>15</v>
      </c>
      <c r="E48" s="106">
        <f>SUMIF(vuot2019_2020_I!$L$12:$L$741,C48,vuot2019_2020_I!$AC$12:$AC$741)</f>
        <v>1654.875</v>
      </c>
      <c r="F48" s="106">
        <f>SUMIF(vuot2019_2020_I!$L$12:$L$741,C48,vuot2019_2020_I!$AD$12:$AD$741)</f>
        <v>770</v>
      </c>
      <c r="G48" s="106">
        <f>SUMIF(vuot2019_2020_I!$L$12:$L$741,C48,vuot2019_2020_I!$AE$12:$AE$741)</f>
        <v>2282.625</v>
      </c>
      <c r="H48" s="106">
        <f>SUMIF(vuot2019_2020_I!$L$12:$L$741,C48,vuot2019_2020_I!$AF$12:$AF$741)</f>
        <v>1050</v>
      </c>
      <c r="I48" s="107">
        <f>SUMIF(vuot2019_2020_I!$L$12:$L$741,C48,vuot2019_2020_I!$AG$12:$AG$741)</f>
        <v>3451.1900000000005</v>
      </c>
      <c r="J48" s="107">
        <f>SUMIF(vuot2019_2020_I!$L$12:$L$741,C48,vuot2019_2020_I!$AH$12:$AH$741)</f>
        <v>1585.81</v>
      </c>
      <c r="K48" s="107">
        <f>SUMIF(vuot2019_2020_I!$L$12:$L$741,C48,vuot2019_2020_I!$AI$12:$AI$741)</f>
        <v>1865.38</v>
      </c>
      <c r="L48" s="107">
        <f>SUMIF(vuot2019_2020_I!$L$12:$L$741,C48,vuot2019_2020_I!$AJ$12:$AJ$741)</f>
        <v>-40.72</v>
      </c>
      <c r="M48" s="107">
        <f>SUMIF(vuot2019_2020_I!$L$12:$L$741,C48,vuot2019_2020_I!$AK$12:$AK$741)</f>
        <v>2323.3450000000003</v>
      </c>
      <c r="N48" s="107">
        <f>SUMIF(vuot2019_2020_I!$L$12:$L$741,C48,vuot2019_2020_I!$AL$12:$AL$741)</f>
        <v>2066.3000000000002</v>
      </c>
      <c r="O48" s="107">
        <f>SUMIF(vuot2019_2020_I!$L$12:$L$741,C48,vuot2019_2020_I!$AM$12:$AM$741)</f>
        <v>1863.5</v>
      </c>
      <c r="P48" s="107">
        <f>SUMIF(vuot2019_2020_I!$L$12:$L$741,C48,vuot2019_2020_I!$AN$12:$AN$741)</f>
        <v>3929.8</v>
      </c>
      <c r="Q48" s="107">
        <f>SUMIF(vuot2019_2020_I!$L$12:$L$752,C48,vuot2019_2020_I!$AU$12:$AU$752)</f>
        <v>1606.4549999999999</v>
      </c>
      <c r="R48" s="107">
        <f>SUMIF(vuot2019_2020_I!$L$12:$L$752,C48,vuot2019_2020_I!$BK$12:$BK$752)</f>
        <v>0</v>
      </c>
      <c r="S48" s="107">
        <f>SUMIF(vuot2019_2020_I!$L$12:$L$741,C48,vuot2019_2020_I!$BL$12:$BL$741)</f>
        <v>1796.4549999999999</v>
      </c>
      <c r="T48" s="107">
        <f>SUMIF(vuot2019_2020_I!$L$12:$L$741,C48,vuot2019_2020_I!$BP$12:$BP$741)</f>
        <v>1466.4549999999999</v>
      </c>
      <c r="U48" s="108">
        <f>SUMIF(vuot2019_2020_I!$L$12:$L$741,C48,vuot2019_2020_I!$BR$12:$BR$741)</f>
        <v>99787975</v>
      </c>
      <c r="V48" s="107">
        <f>SUMIF(vuot2019_2020_I!$L$12:$L$741,C48,vuot2019_2020_I!$BS$12:$BS$741)</f>
        <v>329.99999999999989</v>
      </c>
      <c r="W48" s="108">
        <f>SUMIF(vuot2019_2020_I!$L$12:$L$741,C48,vuot2019_2020_I!$BU$12:$BU$741)</f>
        <v>18959000</v>
      </c>
      <c r="X48" s="108">
        <f>SUMIF(vuot2019_2020_I!$L$12:$L$741,C48,vuot2019_2020_I!$BV$12:$BV$741)</f>
        <v>118746975</v>
      </c>
      <c r="Y48" s="108">
        <f>SUMIF(vuot2019_2020_I!$L$12:$L$741,C48,vuot2019_2020_I!$BW$12:$BW$741)</f>
        <v>0</v>
      </c>
      <c r="Z48" s="109">
        <f>SUMIF(vuot2019_2020_I!$L$12:$L$741,C48,vuot2019_2020_I!$BX$12:$BX$741)</f>
        <v>0</v>
      </c>
      <c r="AA48" s="109">
        <f>SUMIF(vuot2019_2020_I!$L$12:$L$741,C48,vuot2019_2020_I!$BY$12:$BY$741)+SUMIF(vuot2019_2020_I!$L$12:$L$741,C48,vuot2019_2020_I!$BZ$12:$BZ$741)</f>
        <v>0</v>
      </c>
      <c r="AB48" s="108">
        <f>SUMIF(vuot2019_2020_I!$L$12:$L$741,C48,vuot2019_2020_I!$CB$12:$CB$741)</f>
        <v>0</v>
      </c>
      <c r="AC48" s="108">
        <f>SUMIF(vuot2019_2020_I!$L$12:$L$741,C48,vuot2019_2020_I!$CC$12:$CC$741)+SUMIF(vuot2019_2020_I!$L$12:$L$741,C48,vuot2019_2020_I!$CA$12:$CA$741)</f>
        <v>118746975</v>
      </c>
      <c r="AD48" s="108">
        <f>SUMIF(vuot2019_2020_I!$L$12:$L$741,C48,vuot2019_2020_I!$CD$12:$CD$741)</f>
        <v>0</v>
      </c>
      <c r="AE48" s="110">
        <f t="shared" si="27"/>
        <v>261.98666666666668</v>
      </c>
      <c r="AF48" s="110">
        <f t="shared" si="8"/>
        <v>119.76366666666667</v>
      </c>
      <c r="AG48" s="87">
        <f t="shared" si="22"/>
        <v>230.07933333333338</v>
      </c>
      <c r="AH48" s="107">
        <f t="shared" si="23"/>
        <v>7916465</v>
      </c>
      <c r="AI48" s="87">
        <f t="shared" si="28"/>
        <v>261.98666666666668</v>
      </c>
      <c r="AJ48" s="88">
        <f t="shared" si="30"/>
        <v>15</v>
      </c>
      <c r="AK48" s="88"/>
      <c r="AL48" s="88">
        <f t="shared" si="31"/>
        <v>15</v>
      </c>
      <c r="AM48" s="88">
        <f t="shared" si="32"/>
        <v>6</v>
      </c>
      <c r="AN48" s="88"/>
    </row>
    <row r="49" spans="1:40" s="12" customFormat="1" ht="17.100000000000001" customHeight="1" outlineLevel="1">
      <c r="A49" s="97"/>
      <c r="B49" s="97" t="s">
        <v>3100</v>
      </c>
      <c r="C49" s="111"/>
      <c r="D49" s="96">
        <f t="shared" ref="D49:AD49" si="33">SUBTOTAL(9,D43:D48)</f>
        <v>72</v>
      </c>
      <c r="E49" s="112">
        <f t="shared" si="33"/>
        <v>8121.375</v>
      </c>
      <c r="F49" s="112">
        <f t="shared" si="33"/>
        <v>3302.5</v>
      </c>
      <c r="G49" s="112">
        <f t="shared" si="33"/>
        <v>10441.125</v>
      </c>
      <c r="H49" s="112">
        <f t="shared" si="33"/>
        <v>5540.833333333333</v>
      </c>
      <c r="I49" s="112">
        <f t="shared" si="33"/>
        <v>17051.726666666669</v>
      </c>
      <c r="J49" s="112">
        <f>SUBTOTAL(9,J43:J48)</f>
        <v>8493.0366666666669</v>
      </c>
      <c r="K49" s="112">
        <f>SUBTOTAL(9,K43:K48)</f>
        <v>8558.6899999999987</v>
      </c>
      <c r="L49" s="112">
        <f t="shared" si="33"/>
        <v>-205.57666666666668</v>
      </c>
      <c r="M49" s="112">
        <f t="shared" si="33"/>
        <v>10646.701666666668</v>
      </c>
      <c r="N49" s="112">
        <f t="shared" si="33"/>
        <v>11640.3</v>
      </c>
      <c r="O49" s="112">
        <f t="shared" si="33"/>
        <v>9370.0999999999985</v>
      </c>
      <c r="P49" s="112">
        <f t="shared" si="33"/>
        <v>21010.400000000001</v>
      </c>
      <c r="Q49" s="112">
        <f>SUBTOTAL(9,Q43:Q48)</f>
        <v>10363.698333333334</v>
      </c>
      <c r="R49" s="112">
        <f>SUBTOTAL(9,R43:R48)</f>
        <v>0</v>
      </c>
      <c r="S49" s="112">
        <f t="shared" si="33"/>
        <v>11316.585000000001</v>
      </c>
      <c r="T49" s="112">
        <f t="shared" si="33"/>
        <v>7315.6550000000007</v>
      </c>
      <c r="U49" s="113">
        <f t="shared" si="33"/>
        <v>505142475</v>
      </c>
      <c r="V49" s="112">
        <f t="shared" si="33"/>
        <v>4000.9300000000007</v>
      </c>
      <c r="W49" s="113">
        <f t="shared" si="33"/>
        <v>235633050</v>
      </c>
      <c r="X49" s="113">
        <f t="shared" si="33"/>
        <v>740775525</v>
      </c>
      <c r="Y49" s="113">
        <f>SUBTOTAL(9,Y43:Y48)</f>
        <v>0</v>
      </c>
      <c r="Z49" s="113">
        <f>SUBTOTAL(9,Z43:Z48)</f>
        <v>297000</v>
      </c>
      <c r="AA49" s="113">
        <f>SUBTOTAL(9,AA43:AA48)</f>
        <v>0</v>
      </c>
      <c r="AB49" s="113">
        <f>SUBTOTAL(9,AB43:AB48)</f>
        <v>0</v>
      </c>
      <c r="AC49" s="113">
        <f t="shared" si="33"/>
        <v>740775525</v>
      </c>
      <c r="AD49" s="113">
        <f t="shared" si="33"/>
        <v>297000</v>
      </c>
      <c r="AE49" s="114">
        <f t="shared" si="27"/>
        <v>291.81111111111113</v>
      </c>
      <c r="AF49" s="114">
        <f t="shared" si="8"/>
        <v>157.17479166666669</v>
      </c>
      <c r="AG49" s="96">
        <f t="shared" si="22"/>
        <v>236.82953703703708</v>
      </c>
      <c r="AH49" s="112">
        <f t="shared" si="23"/>
        <v>10288548.958333334</v>
      </c>
      <c r="AI49" s="96">
        <f t="shared" si="28"/>
        <v>291.81111111111113</v>
      </c>
      <c r="AJ49" s="115">
        <f>SUBTOTAL(9,AJ43:AJ48)</f>
        <v>72</v>
      </c>
      <c r="AK49" s="115">
        <f>SUBTOTAL(9,AK43:AK48)</f>
        <v>0</v>
      </c>
      <c r="AL49" s="115">
        <f>SUBTOTAL(9,AL43:AL48)</f>
        <v>72</v>
      </c>
      <c r="AM49" s="115">
        <f>SUBTOTAL(9,AM43:AM48)</f>
        <v>33</v>
      </c>
      <c r="AN49" s="97">
        <f>AM49-AJ49</f>
        <v>-39</v>
      </c>
    </row>
    <row r="50" spans="1:40" ht="17.100000000000001" customHeight="1" outlineLevel="2">
      <c r="A50" s="88">
        <v>40</v>
      </c>
      <c r="B50" s="88">
        <v>6</v>
      </c>
      <c r="C50" s="90" t="s">
        <v>1090</v>
      </c>
      <c r="D50" s="105">
        <f>COUNTIF(vuot2019_2020_I!$K$12:$K$741,C50)</f>
        <v>10</v>
      </c>
      <c r="E50" s="106">
        <f>SUMIF(vuot2019_2020_I!$L$12:$L$741,C50,vuot2019_2020_I!$AC$12:$AC$741)</f>
        <v>594</v>
      </c>
      <c r="F50" s="106">
        <f>SUMIF(vuot2019_2020_I!$L$12:$L$741,C50,vuot2019_2020_I!$AD$12:$AD$741)</f>
        <v>140</v>
      </c>
      <c r="G50" s="106">
        <f>SUMIF(vuot2019_2020_I!$L$12:$L$741,C50,vuot2019_2020_I!$AE$12:$AE$741)</f>
        <v>2106</v>
      </c>
      <c r="H50" s="106">
        <f>SUMIF(vuot2019_2020_I!$L$12:$L$741,C50,vuot2019_2020_I!$AF$12:$AF$741)</f>
        <v>620</v>
      </c>
      <c r="I50" s="107">
        <f>SUMIF(vuot2019_2020_I!$L$12:$L$741,C50,vuot2019_2020_I!$AG$12:$AG$741)</f>
        <v>1482.51</v>
      </c>
      <c r="J50" s="107">
        <f>SUMIF(vuot2019_2020_I!$L$12:$L$741,C50,vuot2019_2020_I!$AH$12:$AH$741)</f>
        <v>264.17999999999995</v>
      </c>
      <c r="K50" s="107">
        <f>SUMIF(vuot2019_2020_I!$L$12:$L$741,C50,vuot2019_2020_I!$AI$12:$AI$741)</f>
        <v>1218.3300000000002</v>
      </c>
      <c r="L50" s="107">
        <f>SUMIF(vuot2019_2020_I!$L$12:$L$741,C50,vuot2019_2020_I!$AJ$12:$AJ$741)</f>
        <v>-165</v>
      </c>
      <c r="M50" s="107">
        <f>SUMIF(vuot2019_2020_I!$L$12:$L$741,C50,vuot2019_2020_I!$AK$12:$AK$741)</f>
        <v>2271</v>
      </c>
      <c r="N50" s="107">
        <f>SUMIF(vuot2019_2020_I!$L$12:$L$741,C50,vuot2019_2020_I!$AL$12:$AL$741)</f>
        <v>2519.6</v>
      </c>
      <c r="O50" s="107">
        <f>SUMIF(vuot2019_2020_I!$L$12:$L$741,C50,vuot2019_2020_I!$AM$12:$AM$741)</f>
        <v>1164.3999999999999</v>
      </c>
      <c r="P50" s="107">
        <f>SUMIF(vuot2019_2020_I!$L$12:$L$741,C50,vuot2019_2020_I!$AN$12:$AN$741)</f>
        <v>3684</v>
      </c>
      <c r="Q50" s="107">
        <f>SUMIF(vuot2019_2020_I!$L$12:$L$752,C50,vuot2019_2020_I!$AU$12:$AU$752)</f>
        <v>1413</v>
      </c>
      <c r="R50" s="107">
        <f>SUMIF(vuot2019_2020_I!$L$12:$L$752,C50,vuot2019_2020_I!$BK$12:$BK$752)</f>
        <v>0</v>
      </c>
      <c r="S50" s="107">
        <f>SUMIF(vuot2019_2020_I!$L$12:$L$741,C50,vuot2019_2020_I!$BL$12:$BL$741)</f>
        <v>1693.2000000000003</v>
      </c>
      <c r="T50" s="107">
        <f>SUMIF(vuot2019_2020_I!$L$12:$L$741,C50,vuot2019_2020_I!$BP$12:$BP$741)</f>
        <v>1200</v>
      </c>
      <c r="U50" s="108">
        <f>SUMIF(vuot2019_2020_I!$L$12:$L$741,C50,vuot2019_2020_I!$BR$12:$BR$741)</f>
        <v>76000000</v>
      </c>
      <c r="V50" s="107">
        <f>SUMIF(vuot2019_2020_I!$L$12:$L$741,C50,vuot2019_2020_I!$BS$12:$BS$741)</f>
        <v>493.20000000000022</v>
      </c>
      <c r="W50" s="108">
        <f>SUMIF(vuot2019_2020_I!$L$12:$L$741,C50,vuot2019_2020_I!$BU$12:$BU$741)</f>
        <v>25153200</v>
      </c>
      <c r="X50" s="108">
        <f>SUMIF(vuot2019_2020_I!$L$12:$L$741,C50,vuot2019_2020_I!$BV$12:$BV$741)</f>
        <v>101153200</v>
      </c>
      <c r="Y50" s="108">
        <f>SUMIF(vuot2019_2020_I!$L$12:$L$741,C50,vuot2019_2020_I!$BW$12:$BW$741)</f>
        <v>0</v>
      </c>
      <c r="Z50" s="109">
        <f>SUMIF(vuot2019_2020_I!$L$12:$L$741,C50,vuot2019_2020_I!$BX$12:$BX$741)</f>
        <v>0</v>
      </c>
      <c r="AA50" s="109">
        <f>SUMIF(vuot2019_2020_I!$L$12:$L$741,C50,vuot2019_2020_I!$BY$12:$BY$741)+SUMIF(vuot2019_2020_I!$L$12:$L$741,C50,vuot2019_2020_I!$BZ$12:$BZ$741)</f>
        <v>0</v>
      </c>
      <c r="AB50" s="108">
        <f>SUMIF(vuot2019_2020_I!$L$12:$L$741,C50,vuot2019_2020_I!$CB$12:$CB$741)</f>
        <v>0</v>
      </c>
      <c r="AC50" s="108">
        <f>SUMIF(vuot2019_2020_I!$L$12:$L$741,C50,vuot2019_2020_I!$CC$12:$CC$741)+SUMIF(vuot2019_2020_I!$L$12:$L$741,C50,vuot2019_2020_I!$CA$12:$CA$741)</f>
        <v>101153200</v>
      </c>
      <c r="AD50" s="108">
        <f>SUMIF(vuot2019_2020_I!$L$12:$L$741,C50,vuot2019_2020_I!$CD$12:$CD$741)</f>
        <v>0</v>
      </c>
      <c r="AE50" s="110">
        <f t="shared" si="27"/>
        <v>368.4</v>
      </c>
      <c r="AF50" s="110">
        <f t="shared" si="8"/>
        <v>169.32000000000002</v>
      </c>
      <c r="AG50" s="87">
        <f t="shared" si="22"/>
        <v>148.251</v>
      </c>
      <c r="AH50" s="107">
        <f t="shared" si="23"/>
        <v>10115320</v>
      </c>
      <c r="AI50" s="87">
        <f t="shared" si="28"/>
        <v>368.4</v>
      </c>
      <c r="AJ50" s="88">
        <f>D50</f>
        <v>10</v>
      </c>
      <c r="AK50" s="88"/>
      <c r="AL50" s="88">
        <f>AK50+AJ50</f>
        <v>10</v>
      </c>
      <c r="AM50" s="88">
        <f>ROUND(P50/630,0)</f>
        <v>6</v>
      </c>
      <c r="AN50" s="88"/>
    </row>
    <row r="51" spans="1:40" ht="17.100000000000001" customHeight="1" outlineLevel="2">
      <c r="A51" s="88">
        <v>41</v>
      </c>
      <c r="B51" s="88">
        <v>6</v>
      </c>
      <c r="C51" s="90" t="s">
        <v>1091</v>
      </c>
      <c r="D51" s="105">
        <f>COUNTIF(vuot2019_2020_I!$K$12:$K$741,C51)</f>
        <v>6</v>
      </c>
      <c r="E51" s="106">
        <f>SUMIF(vuot2019_2020_I!$L$12:$L$741,C51,vuot2019_2020_I!$AC$12:$AC$741)</f>
        <v>364.5</v>
      </c>
      <c r="F51" s="106">
        <f>SUMIF(vuot2019_2020_I!$L$12:$L$741,C51,vuot2019_2020_I!$AD$12:$AD$741)</f>
        <v>60</v>
      </c>
      <c r="G51" s="106">
        <f>SUMIF(vuot2019_2020_I!$L$12:$L$741,C51,vuot2019_2020_I!$AE$12:$AE$741)</f>
        <v>1255.5</v>
      </c>
      <c r="H51" s="106">
        <f>SUMIF(vuot2019_2020_I!$L$12:$L$741,C51,vuot2019_2020_I!$AF$12:$AF$741)</f>
        <v>400</v>
      </c>
      <c r="I51" s="107">
        <f>SUMIF(vuot2019_2020_I!$L$12:$L$741,C51,vuot2019_2020_I!$AG$12:$AG$741)</f>
        <v>918.64</v>
      </c>
      <c r="J51" s="107">
        <f>SUMIF(vuot2019_2020_I!$L$12:$L$741,C51,vuot2019_2020_I!$AH$12:$AH$741)</f>
        <v>70.040000000000006</v>
      </c>
      <c r="K51" s="107">
        <f>SUMIF(vuot2019_2020_I!$L$12:$L$741,C51,vuot2019_2020_I!$AI$12:$AI$741)</f>
        <v>848.6</v>
      </c>
      <c r="L51" s="107">
        <f>SUMIF(vuot2019_2020_I!$L$12:$L$741,C51,vuot2019_2020_I!$AJ$12:$AJ$741)</f>
        <v>0</v>
      </c>
      <c r="M51" s="107">
        <f>SUMIF(vuot2019_2020_I!$L$12:$L$741,C51,vuot2019_2020_I!$AK$12:$AK$741)</f>
        <v>1255.5</v>
      </c>
      <c r="N51" s="107">
        <f>SUMIF(vuot2019_2020_I!$L$12:$L$741,C51,vuot2019_2020_I!$AL$12:$AL$741)</f>
        <v>1549.5000000000002</v>
      </c>
      <c r="O51" s="107">
        <f>SUMIF(vuot2019_2020_I!$L$12:$L$741,C51,vuot2019_2020_I!$AM$12:$AM$741)</f>
        <v>0</v>
      </c>
      <c r="P51" s="107">
        <f>SUMIF(vuot2019_2020_I!$L$12:$L$741,C51,vuot2019_2020_I!$AN$12:$AN$741)</f>
        <v>1549.5000000000002</v>
      </c>
      <c r="Q51" s="107">
        <f>SUMIF(vuot2019_2020_I!$L$12:$L$752,C51,vuot2019_2020_I!$AU$12:$AU$752)</f>
        <v>294</v>
      </c>
      <c r="R51" s="107">
        <f>SUMIF(vuot2019_2020_I!$L$12:$L$752,C51,vuot2019_2020_I!$BK$12:$BK$752)</f>
        <v>0</v>
      </c>
      <c r="S51" s="107">
        <f>SUMIF(vuot2019_2020_I!$L$12:$L$741,C51,vuot2019_2020_I!$BL$12:$BL$741)</f>
        <v>447.40000000000003</v>
      </c>
      <c r="T51" s="107">
        <f>SUMIF(vuot2019_2020_I!$L$12:$L$741,C51,vuot2019_2020_I!$BP$12:$BP$741)</f>
        <v>411.7</v>
      </c>
      <c r="U51" s="108">
        <f>SUMIF(vuot2019_2020_I!$L$12:$L$741,C51,vuot2019_2020_I!$BR$12:$BR$741)</f>
        <v>26760500</v>
      </c>
      <c r="V51" s="107">
        <f>SUMIF(vuot2019_2020_I!$L$12:$L$741,C51,vuot2019_2020_I!$BS$12:$BS$741)</f>
        <v>35.700000000000045</v>
      </c>
      <c r="W51" s="108">
        <f>SUMIF(vuot2019_2020_I!$L$12:$L$741,C51,vuot2019_2020_I!$BU$12:$BU$741)</f>
        <v>1820700</v>
      </c>
      <c r="X51" s="108">
        <f>SUMIF(vuot2019_2020_I!$L$12:$L$741,C51,vuot2019_2020_I!$BV$12:$BV$741)</f>
        <v>28581200</v>
      </c>
      <c r="Y51" s="108">
        <f>SUMIF(vuot2019_2020_I!$L$12:$L$741,C51,vuot2019_2020_I!$BW$12:$BW$741)</f>
        <v>0</v>
      </c>
      <c r="Z51" s="109">
        <f>SUMIF(vuot2019_2020_I!$L$12:$L$741,C51,vuot2019_2020_I!$BX$12:$BX$741)</f>
        <v>0</v>
      </c>
      <c r="AA51" s="109">
        <f>SUMIF(vuot2019_2020_I!$L$12:$L$741,C51,vuot2019_2020_I!$BY$12:$BY$741)+SUMIF(vuot2019_2020_I!$L$12:$L$741,C51,vuot2019_2020_I!$BZ$12:$BZ$741)</f>
        <v>0</v>
      </c>
      <c r="AB51" s="108">
        <f>SUMIF(vuot2019_2020_I!$L$12:$L$741,C51,vuot2019_2020_I!$CB$12:$CB$741)</f>
        <v>0</v>
      </c>
      <c r="AC51" s="108">
        <f>SUMIF(vuot2019_2020_I!$L$12:$L$741,C51,vuot2019_2020_I!$CC$12:$CC$741)+SUMIF(vuot2019_2020_I!$L$12:$L$741,C51,vuot2019_2020_I!$CA$12:$CA$741)</f>
        <v>28581200</v>
      </c>
      <c r="AD51" s="108">
        <f>SUMIF(vuot2019_2020_I!$L$12:$L$741,C51,vuot2019_2020_I!$CD$12:$CD$741)</f>
        <v>0</v>
      </c>
      <c r="AE51" s="110">
        <f t="shared" si="27"/>
        <v>258.25000000000006</v>
      </c>
      <c r="AF51" s="110">
        <f t="shared" si="8"/>
        <v>74.566666666666677</v>
      </c>
      <c r="AG51" s="87">
        <f t="shared" si="22"/>
        <v>153.10666666666665</v>
      </c>
      <c r="AH51" s="107">
        <f t="shared" si="23"/>
        <v>4763533.333333333</v>
      </c>
      <c r="AI51" s="87">
        <f t="shared" si="28"/>
        <v>258.25000000000006</v>
      </c>
      <c r="AJ51" s="88">
        <f>D51</f>
        <v>6</v>
      </c>
      <c r="AK51" s="88"/>
      <c r="AL51" s="88">
        <f>AK51+AJ51</f>
        <v>6</v>
      </c>
      <c r="AM51" s="88">
        <f>ROUND(P51/630,0)</f>
        <v>2</v>
      </c>
      <c r="AN51" s="88"/>
    </row>
    <row r="52" spans="1:40" ht="17.100000000000001" customHeight="1" outlineLevel="2">
      <c r="A52" s="88">
        <v>42</v>
      </c>
      <c r="B52" s="88">
        <v>6</v>
      </c>
      <c r="C52" s="90" t="s">
        <v>1092</v>
      </c>
      <c r="D52" s="105">
        <f>COUNTIF(vuot2019_2020_I!$K$12:$K$741,C52)</f>
        <v>5</v>
      </c>
      <c r="E52" s="106">
        <f>SUMIF(vuot2019_2020_I!$L$12:$L$741,C52,vuot2019_2020_I!$AC$12:$AC$741)</f>
        <v>148.5</v>
      </c>
      <c r="F52" s="106">
        <f>SUMIF(vuot2019_2020_I!$L$12:$L$741,C52,vuot2019_2020_I!$AD$12:$AD$741)</f>
        <v>16</v>
      </c>
      <c r="G52" s="106">
        <f>SUMIF(vuot2019_2020_I!$L$12:$L$741,C52,vuot2019_2020_I!$AE$12:$AE$741)</f>
        <v>1201.5</v>
      </c>
      <c r="H52" s="106">
        <f>SUMIF(vuot2019_2020_I!$L$12:$L$741,C52,vuot2019_2020_I!$AF$12:$AF$741)</f>
        <v>384</v>
      </c>
      <c r="I52" s="107">
        <f>SUMIF(vuot2019_2020_I!$L$12:$L$741,C52,vuot2019_2020_I!$AG$12:$AG$741)</f>
        <v>559.93000000000006</v>
      </c>
      <c r="J52" s="107">
        <f>SUMIF(vuot2019_2020_I!$L$12:$L$741,C52,vuot2019_2020_I!$AH$12:$AH$741)</f>
        <v>79.37</v>
      </c>
      <c r="K52" s="107">
        <f>SUMIF(vuot2019_2020_I!$L$12:$L$741,C52,vuot2019_2020_I!$AI$12:$AI$741)</f>
        <v>480.55999999999995</v>
      </c>
      <c r="L52" s="107">
        <f>SUMIF(vuot2019_2020_I!$L$12:$L$741,C52,vuot2019_2020_I!$AJ$12:$AJ$741)</f>
        <v>-19.979999999999997</v>
      </c>
      <c r="M52" s="107">
        <f>SUMIF(vuot2019_2020_I!$L$12:$L$741,C52,vuot2019_2020_I!$AK$12:$AK$741)</f>
        <v>1221.48</v>
      </c>
      <c r="N52" s="107">
        <f>SUMIF(vuot2019_2020_I!$L$12:$L$741,C52,vuot2019_2020_I!$AL$12:$AL$741)</f>
        <v>1329.6000000000001</v>
      </c>
      <c r="O52" s="107">
        <f>SUMIF(vuot2019_2020_I!$L$12:$L$741,C52,vuot2019_2020_I!$AM$12:$AM$741)</f>
        <v>0</v>
      </c>
      <c r="P52" s="107">
        <f>SUMIF(vuot2019_2020_I!$L$12:$L$741,C52,vuot2019_2020_I!$AN$12:$AN$741)</f>
        <v>1329.6000000000001</v>
      </c>
      <c r="Q52" s="107">
        <f>SUMIF(vuot2019_2020_I!$L$12:$L$752,C52,vuot2019_2020_I!$AU$12:$AU$752)</f>
        <v>108.12</v>
      </c>
      <c r="R52" s="107">
        <f>SUMIF(vuot2019_2020_I!$L$12:$L$752,C52,vuot2019_2020_I!$BK$12:$BK$752)</f>
        <v>0</v>
      </c>
      <c r="S52" s="107">
        <f>SUMIF(vuot2019_2020_I!$L$12:$L$741,C52,vuot2019_2020_I!$BL$12:$BL$741)</f>
        <v>147.12</v>
      </c>
      <c r="T52" s="107">
        <f>SUMIF(vuot2019_2020_I!$L$12:$L$741,C52,vuot2019_2020_I!$BP$12:$BP$741)</f>
        <v>147.12</v>
      </c>
      <c r="U52" s="108">
        <f>SUMIF(vuot2019_2020_I!$L$12:$L$741,C52,vuot2019_2020_I!$BR$12:$BR$741)</f>
        <v>9677300</v>
      </c>
      <c r="V52" s="107">
        <f>SUMIF(vuot2019_2020_I!$L$12:$L$741,C52,vuot2019_2020_I!$BS$12:$BS$741)</f>
        <v>0</v>
      </c>
      <c r="W52" s="108">
        <f>SUMIF(vuot2019_2020_I!$L$12:$L$741,C52,vuot2019_2020_I!$BU$12:$BU$741)</f>
        <v>0</v>
      </c>
      <c r="X52" s="108">
        <f>SUMIF(vuot2019_2020_I!$L$12:$L$741,C52,vuot2019_2020_I!$BV$12:$BV$741)</f>
        <v>9677300</v>
      </c>
      <c r="Y52" s="108">
        <f>SUMIF(vuot2019_2020_I!$L$12:$L$741,C52,vuot2019_2020_I!$BW$12:$BW$741)</f>
        <v>0</v>
      </c>
      <c r="Z52" s="109">
        <f>SUMIF(vuot2019_2020_I!$L$12:$L$741,C52,vuot2019_2020_I!$BX$12:$BX$741)</f>
        <v>0</v>
      </c>
      <c r="AA52" s="109">
        <f>SUMIF(vuot2019_2020_I!$L$12:$L$741,C52,vuot2019_2020_I!$BY$12:$BY$741)+SUMIF(vuot2019_2020_I!$L$12:$L$741,C52,vuot2019_2020_I!$BZ$12:$BZ$741)</f>
        <v>0</v>
      </c>
      <c r="AB52" s="108">
        <f>SUMIF(vuot2019_2020_I!$L$12:$L$741,C52,vuot2019_2020_I!$CB$12:$CB$741)</f>
        <v>0</v>
      </c>
      <c r="AC52" s="108">
        <f>SUMIF(vuot2019_2020_I!$L$12:$L$741,C52,vuot2019_2020_I!$CC$12:$CC$741)+SUMIF(vuot2019_2020_I!$L$12:$L$741,C52,vuot2019_2020_I!$CA$12:$CA$741)</f>
        <v>9677300</v>
      </c>
      <c r="AD52" s="108">
        <f>SUMIF(vuot2019_2020_I!$L$12:$L$741,C52,vuot2019_2020_I!$CD$12:$CD$741)</f>
        <v>0</v>
      </c>
      <c r="AE52" s="110">
        <f t="shared" si="27"/>
        <v>265.92</v>
      </c>
      <c r="AF52" s="110">
        <f t="shared" si="8"/>
        <v>29.423999999999999</v>
      </c>
      <c r="AG52" s="87">
        <f t="shared" si="22"/>
        <v>111.98600000000002</v>
      </c>
      <c r="AH52" s="107">
        <f t="shared" si="23"/>
        <v>1935460</v>
      </c>
      <c r="AI52" s="87">
        <f t="shared" si="28"/>
        <v>265.92</v>
      </c>
      <c r="AJ52" s="88">
        <f>D52</f>
        <v>5</v>
      </c>
      <c r="AK52" s="88"/>
      <c r="AL52" s="88">
        <f>AK52+AJ52</f>
        <v>5</v>
      </c>
      <c r="AM52" s="88">
        <f>ROUND(P52/630,0)</f>
        <v>2</v>
      </c>
      <c r="AN52" s="88"/>
    </row>
    <row r="53" spans="1:40" ht="17.100000000000001" customHeight="1" outlineLevel="2">
      <c r="A53" s="88">
        <v>43</v>
      </c>
      <c r="B53" s="88">
        <v>6</v>
      </c>
      <c r="C53" s="90" t="s">
        <v>1093</v>
      </c>
      <c r="D53" s="105">
        <f>COUNTIF(vuot2019_2020_I!$K$12:$K$741,C53)</f>
        <v>8</v>
      </c>
      <c r="E53" s="106">
        <f>SUMIF(vuot2019_2020_I!$L$12:$L$741,C53,vuot2019_2020_I!$AC$12:$AC$741)</f>
        <v>1161</v>
      </c>
      <c r="F53" s="106">
        <f>SUMIF(vuot2019_2020_I!$L$12:$L$741,C53,vuot2019_2020_I!$AD$12:$AD$741)</f>
        <v>252</v>
      </c>
      <c r="G53" s="106">
        <f>SUMIF(vuot2019_2020_I!$L$12:$L$741,C53,vuot2019_2020_I!$AE$12:$AE$741)</f>
        <v>999</v>
      </c>
      <c r="H53" s="106">
        <f>SUMIF(vuot2019_2020_I!$L$12:$L$741,C53,vuot2019_2020_I!$AF$12:$AF$741)</f>
        <v>348</v>
      </c>
      <c r="I53" s="107">
        <f>SUMIF(vuot2019_2020_I!$L$12:$L$741,C53,vuot2019_2020_I!$AG$12:$AG$741)</f>
        <v>1155.3499999999999</v>
      </c>
      <c r="J53" s="107">
        <f>SUMIF(vuot2019_2020_I!$L$12:$L$741,C53,vuot2019_2020_I!$AH$12:$AH$741)</f>
        <v>290.35000000000002</v>
      </c>
      <c r="K53" s="107">
        <f>SUMIF(vuot2019_2020_I!$L$12:$L$741,C53,vuot2019_2020_I!$AI$12:$AI$741)</f>
        <v>865</v>
      </c>
      <c r="L53" s="107">
        <f>SUMIF(vuot2019_2020_I!$L$12:$L$741,C53,vuot2019_2020_I!$AJ$12:$AJ$741)</f>
        <v>-62.5</v>
      </c>
      <c r="M53" s="107">
        <f>SUMIF(vuot2019_2020_I!$L$12:$L$741,C53,vuot2019_2020_I!$AK$12:$AK$741)</f>
        <v>1061.5</v>
      </c>
      <c r="N53" s="107">
        <f>SUMIF(vuot2019_2020_I!$L$12:$L$741,C53,vuot2019_2020_I!$AL$12:$AL$741)</f>
        <v>2223.6</v>
      </c>
      <c r="O53" s="107">
        <f>SUMIF(vuot2019_2020_I!$L$12:$L$741,C53,vuot2019_2020_I!$AM$12:$AM$741)</f>
        <v>0</v>
      </c>
      <c r="P53" s="107">
        <f>SUMIF(vuot2019_2020_I!$L$12:$L$741,C53,vuot2019_2020_I!$AN$12:$AN$741)</f>
        <v>2223.6</v>
      </c>
      <c r="Q53" s="107">
        <f>SUMIF(vuot2019_2020_I!$L$12:$L$752,C53,vuot2019_2020_I!$AU$12:$AU$752)</f>
        <v>1162.0999999999999</v>
      </c>
      <c r="R53" s="107">
        <f>SUMIF(vuot2019_2020_I!$L$12:$L$752,C53,vuot2019_2020_I!$BK$12:$BK$752)</f>
        <v>0</v>
      </c>
      <c r="S53" s="107">
        <f>SUMIF(vuot2019_2020_I!$L$12:$L$741,C53,vuot2019_2020_I!$BL$12:$BL$741)</f>
        <v>1162.0999999999999</v>
      </c>
      <c r="T53" s="107">
        <f>SUMIF(vuot2019_2020_I!$L$12:$L$741,C53,vuot2019_2020_I!$BP$12:$BP$741)</f>
        <v>848.9</v>
      </c>
      <c r="U53" s="108">
        <f>SUMIF(vuot2019_2020_I!$L$12:$L$741,C53,vuot2019_2020_I!$BR$12:$BR$741)</f>
        <v>54178500</v>
      </c>
      <c r="V53" s="107">
        <f>SUMIF(vuot2019_2020_I!$L$12:$L$741,C53,vuot2019_2020_I!$BS$12:$BS$741)</f>
        <v>313.2</v>
      </c>
      <c r="W53" s="108">
        <f>SUMIF(vuot2019_2020_I!$L$12:$L$741,C53,vuot2019_2020_I!$BU$12:$BU$741)</f>
        <v>16629600</v>
      </c>
      <c r="X53" s="108">
        <f>SUMIF(vuot2019_2020_I!$L$12:$L$741,C53,vuot2019_2020_I!$BV$12:$BV$741)</f>
        <v>70808100</v>
      </c>
      <c r="Y53" s="108">
        <f>SUMIF(vuot2019_2020_I!$L$12:$L$741,C53,vuot2019_2020_I!$BW$12:$BW$741)</f>
        <v>0</v>
      </c>
      <c r="Z53" s="109">
        <f>SUMIF(vuot2019_2020_I!$L$12:$L$741,C53,vuot2019_2020_I!$BX$12:$BX$741)</f>
        <v>0</v>
      </c>
      <c r="AA53" s="109">
        <f>SUMIF(vuot2019_2020_I!$L$12:$L$741,C53,vuot2019_2020_I!$BY$12:$BY$741)+SUMIF(vuot2019_2020_I!$L$12:$L$741,C53,vuot2019_2020_I!$BZ$12:$BZ$741)</f>
        <v>0</v>
      </c>
      <c r="AB53" s="108">
        <f>SUMIF(vuot2019_2020_I!$L$12:$L$741,C53,vuot2019_2020_I!$CB$12:$CB$741)</f>
        <v>0</v>
      </c>
      <c r="AC53" s="108">
        <f>SUMIF(vuot2019_2020_I!$L$12:$L$741,C53,vuot2019_2020_I!$CC$12:$CC$741)+SUMIF(vuot2019_2020_I!$L$12:$L$741,C53,vuot2019_2020_I!$CA$12:$CA$741)</f>
        <v>70808100</v>
      </c>
      <c r="AD53" s="108">
        <f>SUMIF(vuot2019_2020_I!$L$12:$L$741,C53,vuot2019_2020_I!$CD$12:$CD$741)</f>
        <v>0</v>
      </c>
      <c r="AE53" s="110">
        <f t="shared" si="27"/>
        <v>277.95</v>
      </c>
      <c r="AF53" s="110">
        <f t="shared" si="8"/>
        <v>145.26249999999999</v>
      </c>
      <c r="AG53" s="87">
        <f t="shared" si="22"/>
        <v>144.41874999999999</v>
      </c>
      <c r="AH53" s="107">
        <f t="shared" si="23"/>
        <v>8851012.5</v>
      </c>
      <c r="AI53" s="87">
        <f t="shared" si="28"/>
        <v>277.95</v>
      </c>
      <c r="AJ53" s="88">
        <f>D53</f>
        <v>8</v>
      </c>
      <c r="AK53" s="88"/>
      <c r="AL53" s="88">
        <f>AK53+AJ53</f>
        <v>8</v>
      </c>
      <c r="AM53" s="88">
        <f>ROUND(P53/630,0)</f>
        <v>4</v>
      </c>
      <c r="AN53" s="88"/>
    </row>
    <row r="54" spans="1:40" ht="17.100000000000001" customHeight="1" outlineLevel="2">
      <c r="A54" s="88">
        <v>44</v>
      </c>
      <c r="B54" s="88">
        <v>6</v>
      </c>
      <c r="C54" s="90" t="s">
        <v>1094</v>
      </c>
      <c r="D54" s="105">
        <f>COUNTIF(vuot2019_2020_I!$K$12:$K$741,C54)</f>
        <v>7</v>
      </c>
      <c r="E54" s="106">
        <f>SUMIF(vuot2019_2020_I!$L$12:$L$741,C54,vuot2019_2020_I!$AC$12:$AC$741)</f>
        <v>705.375</v>
      </c>
      <c r="F54" s="106">
        <f>SUMIF(vuot2019_2020_I!$L$12:$L$741,C54,vuot2019_2020_I!$AD$12:$AD$741)</f>
        <v>240</v>
      </c>
      <c r="G54" s="106">
        <f>SUMIF(vuot2019_2020_I!$L$12:$L$741,C54,vuot2019_2020_I!$AE$12:$AE$741)</f>
        <v>1117.125</v>
      </c>
      <c r="H54" s="106">
        <f>SUMIF(vuot2019_2020_I!$L$12:$L$741,C54,vuot2019_2020_I!$AF$12:$AF$741)</f>
        <v>600</v>
      </c>
      <c r="I54" s="107">
        <f>SUMIF(vuot2019_2020_I!$L$12:$L$741,C54,vuot2019_2020_I!$AG$12:$AG$741)</f>
        <v>1513.74</v>
      </c>
      <c r="J54" s="107">
        <f>SUMIF(vuot2019_2020_I!$L$12:$L$741,C54,vuot2019_2020_I!$AH$12:$AH$741)</f>
        <v>758.7399999999999</v>
      </c>
      <c r="K54" s="107">
        <f>SUMIF(vuot2019_2020_I!$L$12:$L$741,C54,vuot2019_2020_I!$AI$12:$AI$741)</f>
        <v>755</v>
      </c>
      <c r="L54" s="107">
        <f>SUMIF(vuot2019_2020_I!$L$12:$L$741,C54,vuot2019_2020_I!$AJ$12:$AJ$741)</f>
        <v>0</v>
      </c>
      <c r="M54" s="107">
        <f>SUMIF(vuot2019_2020_I!$L$12:$L$741,C54,vuot2019_2020_I!$AK$12:$AK$741)</f>
        <v>1117.125</v>
      </c>
      <c r="N54" s="107">
        <f>SUMIF(vuot2019_2020_I!$L$12:$L$741,C54,vuot2019_2020_I!$AL$12:$AL$741)</f>
        <v>718.30000000000007</v>
      </c>
      <c r="O54" s="107">
        <f>SUMIF(vuot2019_2020_I!$L$12:$L$741,C54,vuot2019_2020_I!$AM$12:$AM$741)</f>
        <v>0</v>
      </c>
      <c r="P54" s="107">
        <f>SUMIF(vuot2019_2020_I!$L$12:$L$741,C54,vuot2019_2020_I!$AN$12:$AN$741)</f>
        <v>718.30000000000007</v>
      </c>
      <c r="Q54" s="107">
        <f>SUMIF(vuot2019_2020_I!$L$12:$L$752,C54,vuot2019_2020_I!$AU$12:$AU$752)</f>
        <v>-398.82499999999999</v>
      </c>
      <c r="R54" s="107">
        <f>SUMIF(vuot2019_2020_I!$L$12:$L$752,C54,vuot2019_2020_I!$BK$12:$BK$752)</f>
        <v>0</v>
      </c>
      <c r="S54" s="107">
        <f>SUMIF(vuot2019_2020_I!$L$12:$L$741,C54,vuot2019_2020_I!$BL$12:$BL$741)</f>
        <v>2.1000000000000085</v>
      </c>
      <c r="T54" s="107">
        <f>SUMIF(vuot2019_2020_I!$L$12:$L$741,C54,vuot2019_2020_I!$BP$12:$BP$741)</f>
        <v>2.1000000000000085</v>
      </c>
      <c r="U54" s="108">
        <f>SUMIF(vuot2019_2020_I!$L$12:$L$741,C54,vuot2019_2020_I!$BR$12:$BR$741)</f>
        <v>136500</v>
      </c>
      <c r="V54" s="107">
        <f>SUMIF(vuot2019_2020_I!$L$12:$L$741,C54,vuot2019_2020_I!$BS$12:$BS$741)</f>
        <v>0</v>
      </c>
      <c r="W54" s="108">
        <f>SUMIF(vuot2019_2020_I!$L$12:$L$741,C54,vuot2019_2020_I!$BU$12:$BU$741)</f>
        <v>0</v>
      </c>
      <c r="X54" s="108">
        <f>SUMIF(vuot2019_2020_I!$L$12:$L$741,C54,vuot2019_2020_I!$BV$12:$BV$741)</f>
        <v>136500</v>
      </c>
      <c r="Y54" s="108">
        <f>SUMIF(vuot2019_2020_I!$L$12:$L$741,C54,vuot2019_2020_I!$BW$12:$BW$741)</f>
        <v>0</v>
      </c>
      <c r="Z54" s="109">
        <f>SUMIF(vuot2019_2020_I!$L$12:$L$741,C54,vuot2019_2020_I!$BX$12:$BX$741)</f>
        <v>0</v>
      </c>
      <c r="AA54" s="109">
        <f>SUMIF(vuot2019_2020_I!$L$12:$L$741,C54,vuot2019_2020_I!$BY$12:$BY$741)+SUMIF(vuot2019_2020_I!$L$12:$L$741,C54,vuot2019_2020_I!$BZ$12:$BZ$741)</f>
        <v>0</v>
      </c>
      <c r="AB54" s="108">
        <f>SUMIF(vuot2019_2020_I!$L$12:$L$741,C54,vuot2019_2020_I!$CB$12:$CB$741)</f>
        <v>0</v>
      </c>
      <c r="AC54" s="108">
        <f>SUMIF(vuot2019_2020_I!$L$12:$L$741,C54,vuot2019_2020_I!$CC$12:$CC$741)+SUMIF(vuot2019_2020_I!$L$12:$L$741,C54,vuot2019_2020_I!$CA$12:$CA$741)</f>
        <v>136500</v>
      </c>
      <c r="AD54" s="108">
        <f>SUMIF(vuot2019_2020_I!$L$12:$L$741,C54,vuot2019_2020_I!$CD$12:$CD$741)</f>
        <v>0</v>
      </c>
      <c r="AE54" s="110">
        <f t="shared" si="27"/>
        <v>102.61428571428573</v>
      </c>
      <c r="AF54" s="110">
        <f t="shared" si="8"/>
        <v>0.30000000000000121</v>
      </c>
      <c r="AG54" s="87">
        <f t="shared" si="22"/>
        <v>216.24857142857144</v>
      </c>
      <c r="AH54" s="107">
        <f t="shared" si="23"/>
        <v>19500</v>
      </c>
      <c r="AI54" s="87">
        <f t="shared" si="28"/>
        <v>102.61428571428573</v>
      </c>
      <c r="AJ54" s="88">
        <f>D54</f>
        <v>7</v>
      </c>
      <c r="AK54" s="88"/>
      <c r="AL54" s="88">
        <f>AK54+AJ54</f>
        <v>7</v>
      </c>
      <c r="AM54" s="88">
        <f>ROUND(P54/630,0)</f>
        <v>1</v>
      </c>
      <c r="AN54" s="88"/>
    </row>
    <row r="55" spans="1:40" s="12" customFormat="1" ht="17.100000000000001" customHeight="1" outlineLevel="1">
      <c r="A55" s="97"/>
      <c r="B55" s="97" t="s">
        <v>3101</v>
      </c>
      <c r="C55" s="111"/>
      <c r="D55" s="96">
        <f t="shared" ref="D55:AD55" si="34">SUBTOTAL(9,D50:D54)</f>
        <v>36</v>
      </c>
      <c r="E55" s="112">
        <f t="shared" si="34"/>
        <v>2973.375</v>
      </c>
      <c r="F55" s="112">
        <f t="shared" si="34"/>
        <v>708</v>
      </c>
      <c r="G55" s="112">
        <f t="shared" si="34"/>
        <v>6679.125</v>
      </c>
      <c r="H55" s="112">
        <f t="shared" si="34"/>
        <v>2352</v>
      </c>
      <c r="I55" s="112">
        <f t="shared" si="34"/>
        <v>5630.17</v>
      </c>
      <c r="J55" s="112">
        <f>SUBTOTAL(9,J50:J54)</f>
        <v>1462.6799999999998</v>
      </c>
      <c r="K55" s="112">
        <f>SUBTOTAL(9,K50:K54)</f>
        <v>4167.49</v>
      </c>
      <c r="L55" s="112">
        <f t="shared" si="34"/>
        <v>-247.48</v>
      </c>
      <c r="M55" s="112">
        <f t="shared" si="34"/>
        <v>6926.6049999999996</v>
      </c>
      <c r="N55" s="112">
        <f t="shared" si="34"/>
        <v>8340.6</v>
      </c>
      <c r="O55" s="112">
        <f t="shared" si="34"/>
        <v>1164.3999999999999</v>
      </c>
      <c r="P55" s="112">
        <f t="shared" si="34"/>
        <v>9505</v>
      </c>
      <c r="Q55" s="112">
        <f t="shared" si="34"/>
        <v>2578.395</v>
      </c>
      <c r="R55" s="112">
        <f t="shared" si="34"/>
        <v>0</v>
      </c>
      <c r="S55" s="112">
        <f t="shared" si="34"/>
        <v>3451.92</v>
      </c>
      <c r="T55" s="112">
        <f t="shared" si="34"/>
        <v>2609.8200000000002</v>
      </c>
      <c r="U55" s="113">
        <f t="shared" si="34"/>
        <v>166752800</v>
      </c>
      <c r="V55" s="112">
        <f t="shared" si="34"/>
        <v>842.10000000000036</v>
      </c>
      <c r="W55" s="113">
        <f t="shared" si="34"/>
        <v>43603500</v>
      </c>
      <c r="X55" s="113">
        <f t="shared" si="34"/>
        <v>210356300</v>
      </c>
      <c r="Y55" s="113">
        <f>SUBTOTAL(9,Y50:Y54)</f>
        <v>0</v>
      </c>
      <c r="Z55" s="113">
        <f>SUBTOTAL(9,Z50:Z54)</f>
        <v>0</v>
      </c>
      <c r="AA55" s="113">
        <f>SUBTOTAL(9,AA50:AA54)</f>
        <v>0</v>
      </c>
      <c r="AB55" s="113">
        <f>SUBTOTAL(9,AB50:AB54)</f>
        <v>0</v>
      </c>
      <c r="AC55" s="113">
        <f t="shared" si="34"/>
        <v>210356300</v>
      </c>
      <c r="AD55" s="113">
        <f t="shared" si="34"/>
        <v>0</v>
      </c>
      <c r="AE55" s="114">
        <f t="shared" si="27"/>
        <v>264.02777777777777</v>
      </c>
      <c r="AF55" s="114">
        <f t="shared" si="8"/>
        <v>95.88666666666667</v>
      </c>
      <c r="AG55" s="96">
        <f t="shared" si="22"/>
        <v>156.39361111111111</v>
      </c>
      <c r="AH55" s="112">
        <f t="shared" si="23"/>
        <v>5843230.555555556</v>
      </c>
      <c r="AI55" s="96">
        <f t="shared" si="28"/>
        <v>264.02777777777777</v>
      </c>
      <c r="AJ55" s="115">
        <f>SUBTOTAL(9,AJ50:AJ54)</f>
        <v>36</v>
      </c>
      <c r="AK55" s="115">
        <f>SUBTOTAL(9,AK50:AK54)</f>
        <v>0</v>
      </c>
      <c r="AL55" s="115">
        <f>SUBTOTAL(9,AL50:AL54)</f>
        <v>36</v>
      </c>
      <c r="AM55" s="115">
        <f>SUBTOTAL(9,AM50:AM54)</f>
        <v>15</v>
      </c>
      <c r="AN55" s="97">
        <f>AM55-AJ55</f>
        <v>-21</v>
      </c>
    </row>
    <row r="56" spans="1:40" ht="17.100000000000001" customHeight="1" outlineLevel="2">
      <c r="A56" s="88">
        <v>45</v>
      </c>
      <c r="B56" s="88">
        <v>7</v>
      </c>
      <c r="C56" s="90" t="s">
        <v>1095</v>
      </c>
      <c r="D56" s="105">
        <f>COUNTIF(vuot2019_2020_I!$K$12:$K$741,C56)</f>
        <v>5</v>
      </c>
      <c r="E56" s="106">
        <f>SUMIF(vuot2019_2020_I!$L$12:$L$741,C56,vuot2019_2020_I!$AC$12:$AC$741)</f>
        <v>580.5</v>
      </c>
      <c r="F56" s="106">
        <f>SUMIF(vuot2019_2020_I!$L$12:$L$741,C56,vuot2019_2020_I!$AD$12:$AD$741)</f>
        <v>180</v>
      </c>
      <c r="G56" s="106">
        <f>SUMIF(vuot2019_2020_I!$L$12:$L$741,C56,vuot2019_2020_I!$AE$12:$AE$741)</f>
        <v>634.5</v>
      </c>
      <c r="H56" s="106">
        <f>SUMIF(vuot2019_2020_I!$L$12:$L$741,C56,vuot2019_2020_I!$AF$12:$AF$741)</f>
        <v>330</v>
      </c>
      <c r="I56" s="107">
        <f>SUMIF(vuot2019_2020_I!$L$12:$L$741,C56,vuot2019_2020_I!$AG$12:$AG$741)</f>
        <v>786.43</v>
      </c>
      <c r="J56" s="107">
        <f>SUMIF(vuot2019_2020_I!$L$12:$L$741,C56,vuot2019_2020_I!$AH$12:$AH$741)</f>
        <v>489.77</v>
      </c>
      <c r="K56" s="107">
        <f>SUMIF(vuot2019_2020_I!$L$12:$L$741,C56,vuot2019_2020_I!$AI$12:$AI$741)</f>
        <v>296.65999999999997</v>
      </c>
      <c r="L56" s="107">
        <f>SUMIF(vuot2019_2020_I!$L$12:$L$741,C56,vuot2019_2020_I!$AJ$12:$AJ$741)</f>
        <v>0</v>
      </c>
      <c r="M56" s="107">
        <f>SUMIF(vuot2019_2020_I!$L$12:$L$741,C56,vuot2019_2020_I!$AK$12:$AK$741)</f>
        <v>634.5</v>
      </c>
      <c r="N56" s="107">
        <f>SUMIF(vuot2019_2020_I!$L$12:$L$741,C56,vuot2019_2020_I!$AL$12:$AL$741)</f>
        <v>337</v>
      </c>
      <c r="O56" s="107">
        <f>SUMIF(vuot2019_2020_I!$L$12:$L$741,C56,vuot2019_2020_I!$AM$12:$AM$741)</f>
        <v>0</v>
      </c>
      <c r="P56" s="107">
        <f>SUMIF(vuot2019_2020_I!$L$12:$L$741,C56,vuot2019_2020_I!$AN$12:$AN$741)</f>
        <v>337</v>
      </c>
      <c r="Q56" s="107">
        <f>SUMIF(vuot2019_2020_I!$L$12:$L$752,C56,vuot2019_2020_I!$AU$12:$AU$752)</f>
        <v>-297.5</v>
      </c>
      <c r="R56" s="107">
        <f>SUMIF(vuot2019_2020_I!$L$12:$L$752,C56,vuot2019_2020_I!$BK$12:$BK$752)</f>
        <v>0</v>
      </c>
      <c r="S56" s="107">
        <f>SUMIF(vuot2019_2020_I!$L$12:$L$741,C56,vuot2019_2020_I!$BL$12:$BL$741)</f>
        <v>0</v>
      </c>
      <c r="T56" s="107">
        <f>SUMIF(vuot2019_2020_I!$L$12:$L$741,C56,vuot2019_2020_I!$BP$12:$BP$741)</f>
        <v>0</v>
      </c>
      <c r="U56" s="108">
        <f>SUMIF(vuot2019_2020_I!$L$12:$L$741,C56,vuot2019_2020_I!$BR$12:$BR$741)</f>
        <v>0</v>
      </c>
      <c r="V56" s="107">
        <f>SUMIF(vuot2019_2020_I!$L$12:$L$741,C56,vuot2019_2020_I!$BS$12:$BS$741)</f>
        <v>0</v>
      </c>
      <c r="W56" s="108">
        <f>SUMIF(vuot2019_2020_I!$L$12:$L$741,C56,vuot2019_2020_I!$BU$12:$BU$741)</f>
        <v>0</v>
      </c>
      <c r="X56" s="108">
        <f>SUMIF(vuot2019_2020_I!$L$12:$L$741,C56,vuot2019_2020_I!$BV$12:$BV$741)</f>
        <v>0</v>
      </c>
      <c r="Y56" s="108">
        <f>SUMIF(vuot2019_2020_I!$L$12:$L$741,C56,vuot2019_2020_I!$BW$12:$BW$741)</f>
        <v>0</v>
      </c>
      <c r="Z56" s="109">
        <f>SUMIF(vuot2019_2020_I!$L$12:$L$741,C56,vuot2019_2020_I!$BX$12:$BX$741)</f>
        <v>0</v>
      </c>
      <c r="AA56" s="109">
        <f>SUMIF(vuot2019_2020_I!$L$12:$L$741,C56,vuot2019_2020_I!$BY$12:$BY$741)+SUMIF(vuot2019_2020_I!$L$12:$L$741,C56,vuot2019_2020_I!$BZ$12:$BZ$741)</f>
        <v>0</v>
      </c>
      <c r="AB56" s="108">
        <f>SUMIF(vuot2019_2020_I!$L$12:$L$741,C56,vuot2019_2020_I!$CB$12:$CB$741)</f>
        <v>0</v>
      </c>
      <c r="AC56" s="108">
        <f>SUMIF(vuot2019_2020_I!$L$12:$L$741,C56,vuot2019_2020_I!$CC$12:$CC$741)+SUMIF(vuot2019_2020_I!$L$12:$L$741,C56,vuot2019_2020_I!$CA$12:$CA$741)</f>
        <v>0</v>
      </c>
      <c r="AD56" s="108">
        <f>SUMIF(vuot2019_2020_I!$L$12:$L$741,C56,vuot2019_2020_I!$CD$12:$CD$741)</f>
        <v>0</v>
      </c>
      <c r="AE56" s="110">
        <f t="shared" si="27"/>
        <v>67.400000000000006</v>
      </c>
      <c r="AF56" s="110">
        <f t="shared" si="8"/>
        <v>0</v>
      </c>
      <c r="AG56" s="87">
        <f t="shared" si="22"/>
        <v>157.286</v>
      </c>
      <c r="AH56" s="107">
        <f t="shared" si="23"/>
        <v>0</v>
      </c>
      <c r="AI56" s="87">
        <f t="shared" si="28"/>
        <v>67.400000000000006</v>
      </c>
      <c r="AJ56" s="88">
        <f>D56</f>
        <v>5</v>
      </c>
      <c r="AK56" s="88"/>
      <c r="AL56" s="88">
        <f>AK56+AJ56</f>
        <v>5</v>
      </c>
      <c r="AM56" s="88">
        <f>ROUND(P56/630,0)</f>
        <v>1</v>
      </c>
      <c r="AN56" s="88"/>
    </row>
    <row r="57" spans="1:40" ht="17.100000000000001" customHeight="1" outlineLevel="2">
      <c r="A57" s="88">
        <v>46</v>
      </c>
      <c r="B57" s="88">
        <v>7</v>
      </c>
      <c r="C57" s="90" t="s">
        <v>1096</v>
      </c>
      <c r="D57" s="105">
        <f>COUNTIF(vuot2019_2020_I!$K$12:$K$741,C57)</f>
        <v>6</v>
      </c>
      <c r="E57" s="106">
        <f>SUMIF(vuot2019_2020_I!$L$12:$L$741,C57,vuot2019_2020_I!$AC$12:$AC$741)</f>
        <v>270</v>
      </c>
      <c r="F57" s="106">
        <f>SUMIF(vuot2019_2020_I!$L$12:$L$741,C57,vuot2019_2020_I!$AD$12:$AD$741)</f>
        <v>0</v>
      </c>
      <c r="G57" s="106">
        <f>SUMIF(vuot2019_2020_I!$L$12:$L$741,C57,vuot2019_2020_I!$AE$12:$AE$741)</f>
        <v>1350</v>
      </c>
      <c r="H57" s="106">
        <f>SUMIF(vuot2019_2020_I!$L$12:$L$741,C57,vuot2019_2020_I!$AF$12:$AF$741)</f>
        <v>710</v>
      </c>
      <c r="I57" s="107">
        <f>SUMIF(vuot2019_2020_I!$L$12:$L$741,C57,vuot2019_2020_I!$AG$12:$AG$741)</f>
        <v>866.62999999999988</v>
      </c>
      <c r="J57" s="107">
        <f>SUMIF(vuot2019_2020_I!$L$12:$L$741,C57,vuot2019_2020_I!$AH$12:$AH$741)</f>
        <v>366.63</v>
      </c>
      <c r="K57" s="107">
        <f>SUMIF(vuot2019_2020_I!$L$12:$L$741,C57,vuot2019_2020_I!$AI$12:$AI$741)</f>
        <v>500</v>
      </c>
      <c r="L57" s="107">
        <f>SUMIF(vuot2019_2020_I!$L$12:$L$741,C57,vuot2019_2020_I!$AJ$12:$AJ$741)</f>
        <v>-35.840000000000003</v>
      </c>
      <c r="M57" s="107">
        <f>SUMIF(vuot2019_2020_I!$L$12:$L$741,C57,vuot2019_2020_I!$AK$12:$AK$741)</f>
        <v>1385.84</v>
      </c>
      <c r="N57" s="107">
        <f>SUMIF(vuot2019_2020_I!$L$12:$L$741,C57,vuot2019_2020_I!$AL$12:$AL$741)</f>
        <v>605.6</v>
      </c>
      <c r="O57" s="107">
        <f>SUMIF(vuot2019_2020_I!$L$12:$L$741,C57,vuot2019_2020_I!$AM$12:$AM$741)</f>
        <v>0</v>
      </c>
      <c r="P57" s="107">
        <f>SUMIF(vuot2019_2020_I!$L$12:$L$741,C57,vuot2019_2020_I!$AN$12:$AN$741)</f>
        <v>605.6</v>
      </c>
      <c r="Q57" s="107">
        <f>SUMIF(vuot2019_2020_I!$L$12:$L$752,C57,vuot2019_2020_I!$AU$12:$AU$752)</f>
        <v>-780.24</v>
      </c>
      <c r="R57" s="107">
        <f>SUMIF(vuot2019_2020_I!$L$12:$L$752,C57,vuot2019_2020_I!$BK$12:$BK$752)</f>
        <v>0</v>
      </c>
      <c r="S57" s="107">
        <f>SUMIF(vuot2019_2020_I!$L$12:$L$741,C57,vuot2019_2020_I!$BL$12:$BL$741)</f>
        <v>0</v>
      </c>
      <c r="T57" s="107">
        <f>SUMIF(vuot2019_2020_I!$L$12:$L$741,C57,vuot2019_2020_I!$BP$12:$BP$741)</f>
        <v>0</v>
      </c>
      <c r="U57" s="108">
        <f>SUMIF(vuot2019_2020_I!$L$12:$L$741,C57,vuot2019_2020_I!$BR$12:$BR$741)</f>
        <v>0</v>
      </c>
      <c r="V57" s="107">
        <f>SUMIF(vuot2019_2020_I!$L$12:$L$741,C57,vuot2019_2020_I!$BS$12:$BS$741)</f>
        <v>0</v>
      </c>
      <c r="W57" s="108">
        <f>SUMIF(vuot2019_2020_I!$L$12:$L$741,C57,vuot2019_2020_I!$BU$12:$BU$741)</f>
        <v>0</v>
      </c>
      <c r="X57" s="108">
        <f>SUMIF(vuot2019_2020_I!$L$12:$L$741,C57,vuot2019_2020_I!$BV$12:$BV$741)</f>
        <v>0</v>
      </c>
      <c r="Y57" s="108">
        <f>SUMIF(vuot2019_2020_I!$L$12:$L$741,C57,vuot2019_2020_I!$BW$12:$BW$741)</f>
        <v>0</v>
      </c>
      <c r="Z57" s="109">
        <f>SUMIF(vuot2019_2020_I!$L$12:$L$741,C57,vuot2019_2020_I!$BX$12:$BX$741)</f>
        <v>0</v>
      </c>
      <c r="AA57" s="109">
        <f>SUMIF(vuot2019_2020_I!$L$12:$L$741,C57,vuot2019_2020_I!$BY$12:$BY$741)+SUMIF(vuot2019_2020_I!$L$12:$L$741,C57,vuot2019_2020_I!$BZ$12:$BZ$741)</f>
        <v>0</v>
      </c>
      <c r="AB57" s="108">
        <f>SUMIF(vuot2019_2020_I!$L$12:$L$741,C57,vuot2019_2020_I!$CB$12:$CB$741)</f>
        <v>0</v>
      </c>
      <c r="AC57" s="108">
        <f>SUMIF(vuot2019_2020_I!$L$12:$L$741,C57,vuot2019_2020_I!$CC$12:$CC$741)+SUMIF(vuot2019_2020_I!$L$12:$L$741,C57,vuot2019_2020_I!$CA$12:$CA$741)</f>
        <v>0</v>
      </c>
      <c r="AD57" s="108">
        <f>SUMIF(vuot2019_2020_I!$L$12:$L$741,C57,vuot2019_2020_I!$CD$12:$CD$741)</f>
        <v>0</v>
      </c>
      <c r="AE57" s="110">
        <f t="shared" si="27"/>
        <v>100.93333333333334</v>
      </c>
      <c r="AF57" s="110">
        <f t="shared" si="8"/>
        <v>0</v>
      </c>
      <c r="AG57" s="87">
        <f>I57/D57</f>
        <v>144.4383333333333</v>
      </c>
      <c r="AH57" s="107">
        <f>X57/D57</f>
        <v>0</v>
      </c>
      <c r="AI57" s="87">
        <f t="shared" si="28"/>
        <v>100.93333333333334</v>
      </c>
      <c r="AJ57" s="88">
        <f>D57</f>
        <v>6</v>
      </c>
      <c r="AK57" s="88"/>
      <c r="AL57" s="88">
        <f>AK57+AJ57</f>
        <v>6</v>
      </c>
      <c r="AM57" s="88">
        <f>ROUND(P57/630,0)</f>
        <v>1</v>
      </c>
      <c r="AN57" s="88"/>
    </row>
    <row r="58" spans="1:40" ht="17.100000000000001" customHeight="1" outlineLevel="2">
      <c r="A58" s="88">
        <v>46</v>
      </c>
      <c r="B58" s="88">
        <v>7</v>
      </c>
      <c r="C58" s="90" t="s">
        <v>1163</v>
      </c>
      <c r="D58" s="105">
        <f>COUNTIF(vuot2019_2020_I!$K$12:$K$741,C58)</f>
        <v>11</v>
      </c>
      <c r="E58" s="106">
        <f>SUMIF(vuot2019_2020_I!$L$12:$L$741,C58,vuot2019_2020_I!$AC$12:$AC$741)</f>
        <v>1026</v>
      </c>
      <c r="F58" s="106">
        <f>SUMIF(vuot2019_2020_I!$L$12:$L$741,C58,vuot2019_2020_I!$AD$12:$AD$741)</f>
        <v>180</v>
      </c>
      <c r="G58" s="106">
        <f>SUMIF(vuot2019_2020_I!$L$12:$L$741,C58,vuot2019_2020_I!$AE$12:$AE$741)</f>
        <v>1944</v>
      </c>
      <c r="H58" s="106">
        <f>SUMIF(vuot2019_2020_I!$L$12:$L$741,C58,vuot2019_2020_I!$AF$12:$AF$741)</f>
        <v>580</v>
      </c>
      <c r="I58" s="107">
        <f>SUMIF(vuot2019_2020_I!$L$12:$L$741,C58,vuot2019_2020_I!$AG$12:$AG$741)</f>
        <v>792.50000000000011</v>
      </c>
      <c r="J58" s="107">
        <f>SUMIF(vuot2019_2020_I!$L$12:$L$741,C58,vuot2019_2020_I!$AH$12:$AH$741)</f>
        <v>417.5</v>
      </c>
      <c r="K58" s="107">
        <f>SUMIF(vuot2019_2020_I!$L$12:$L$741,C58,vuot2019_2020_I!$AI$12:$AI$741)</f>
        <v>375</v>
      </c>
      <c r="L58" s="107">
        <f>SUMIF(vuot2019_2020_I!$L$12:$L$741,C58,vuot2019_2020_I!$AJ$12:$AJ$741)</f>
        <v>-223.33999999999997</v>
      </c>
      <c r="M58" s="107">
        <f>SUMIF(vuot2019_2020_I!$L$12:$L$741,C58,vuot2019_2020_I!$AK$12:$AK$741)</f>
        <v>2167.34</v>
      </c>
      <c r="N58" s="107">
        <f>SUMIF(vuot2019_2020_I!$L$12:$L$741,C58,vuot2019_2020_I!$AL$12:$AL$741)</f>
        <v>6251.3000000000011</v>
      </c>
      <c r="O58" s="107">
        <f>SUMIF(vuot2019_2020_I!$L$12:$L$741,C58,vuot2019_2020_I!$AM$12:$AM$741)</f>
        <v>0</v>
      </c>
      <c r="P58" s="107">
        <f>SUMIF(vuot2019_2020_I!$L$12:$L$741,C58,vuot2019_2020_I!$AN$12:$AN$741)</f>
        <v>6251.3000000000011</v>
      </c>
      <c r="Q58" s="107">
        <f>SUMIF(vuot2019_2020_I!$L$12:$L$752,C58,vuot2019_2020_I!$AU$12:$AU$752)</f>
        <v>4083.9599999999996</v>
      </c>
      <c r="R58" s="107">
        <f>SUMIF(vuot2019_2020_I!$L$12:$L$752,C58,vuot2019_2020_I!$BK$12:$BK$752)</f>
        <v>0</v>
      </c>
      <c r="S58" s="107">
        <f>SUMIF(vuot2019_2020_I!$L$12:$L$741,C58,vuot2019_2020_I!$BL$12:$BL$741)</f>
        <v>4083.9599999999996</v>
      </c>
      <c r="T58" s="107">
        <f>SUMIF(vuot2019_2020_I!$L$12:$L$741,C58,vuot2019_2020_I!$BP$12:$BP$741)</f>
        <v>1564.6</v>
      </c>
      <c r="U58" s="108">
        <f>SUMIF(vuot2019_2020_I!$L$12:$L$741,C58,vuot2019_2020_I!$BR$12:$BR$741)</f>
        <v>98876000</v>
      </c>
      <c r="V58" s="107">
        <f>SUMIF(vuot2019_2020_I!$L$12:$L$741,C58,vuot2019_2020_I!$BS$12:$BS$741)</f>
        <v>2519.3599999999997</v>
      </c>
      <c r="W58" s="108">
        <f>SUMIF(vuot2019_2020_I!$L$12:$L$741,C58,vuot2019_2020_I!$BU$12:$BU$741)</f>
        <v>130012160</v>
      </c>
      <c r="X58" s="108">
        <f>SUMIF(vuot2019_2020_I!$L$12:$L$741,C58,vuot2019_2020_I!$BV$12:$BV$741)</f>
        <v>228888160</v>
      </c>
      <c r="Y58" s="108">
        <f>SUMIF(vuot2019_2020_I!$L$12:$L$741,C58,vuot2019_2020_I!$BW$12:$BW$741)</f>
        <v>0</v>
      </c>
      <c r="Z58" s="109">
        <f>SUMIF(vuot2019_2020_I!$L$12:$L$741,C58,vuot2019_2020_I!$BX$12:$BX$741)</f>
        <v>0</v>
      </c>
      <c r="AA58" s="109">
        <f>SUMIF(vuot2019_2020_I!$L$12:$L$741,C58,vuot2019_2020_I!$BY$12:$BY$741)+SUMIF(vuot2019_2020_I!$L$12:$L$741,C58,vuot2019_2020_I!$BZ$12:$BZ$741)</f>
        <v>0</v>
      </c>
      <c r="AB58" s="108">
        <f>SUMIF(vuot2019_2020_I!$L$12:$L$741,C58,vuot2019_2020_I!$CB$12:$CB$741)</f>
        <v>0</v>
      </c>
      <c r="AC58" s="108">
        <f>SUMIF(vuot2019_2020_I!$L$12:$L$741,C58,vuot2019_2020_I!$CC$12:$CC$741)+SUMIF(vuot2019_2020_I!$L$12:$L$741,C58,vuot2019_2020_I!$CA$12:$CA$741)</f>
        <v>228888160</v>
      </c>
      <c r="AD58" s="108">
        <f>SUMIF(vuot2019_2020_I!$L$12:$L$741,C58,vuot2019_2020_I!$CD$12:$CD$741)</f>
        <v>0</v>
      </c>
      <c r="AE58" s="110">
        <f t="shared" si="27"/>
        <v>568.30000000000007</v>
      </c>
      <c r="AF58" s="110">
        <f t="shared" si="8"/>
        <v>371.26909090909089</v>
      </c>
      <c r="AG58" s="87">
        <f>I58/D58</f>
        <v>72.045454545454561</v>
      </c>
      <c r="AH58" s="107">
        <f>X58/D58</f>
        <v>20808014.545454547</v>
      </c>
      <c r="AI58" s="87">
        <f t="shared" si="28"/>
        <v>568.30000000000007</v>
      </c>
      <c r="AJ58" s="88">
        <f>D58</f>
        <v>11</v>
      </c>
      <c r="AK58" s="88"/>
      <c r="AL58" s="88">
        <f>AK58+AJ58</f>
        <v>11</v>
      </c>
      <c r="AM58" s="88">
        <f>ROUND(P58/630,0)</f>
        <v>10</v>
      </c>
      <c r="AN58" s="88"/>
    </row>
    <row r="59" spans="1:40" ht="17.100000000000001" customHeight="1" outlineLevel="2">
      <c r="A59" s="88">
        <v>46</v>
      </c>
      <c r="B59" s="88">
        <v>7</v>
      </c>
      <c r="C59" s="90" t="s">
        <v>1164</v>
      </c>
      <c r="D59" s="105">
        <f>COUNTIF(vuot2019_2020_I!$K$12:$K$741,C59)</f>
        <v>12</v>
      </c>
      <c r="E59" s="106">
        <f>SUMIF(vuot2019_2020_I!$L$12:$L$741,C59,vuot2019_2020_I!$AC$12:$AC$741)</f>
        <v>654.75</v>
      </c>
      <c r="F59" s="106">
        <f>SUMIF(vuot2019_2020_I!$L$12:$L$741,C59,vuot2019_2020_I!$AD$12:$AD$741)</f>
        <v>80</v>
      </c>
      <c r="G59" s="106">
        <f>SUMIF(vuot2019_2020_I!$L$12:$L$741,C59,vuot2019_2020_I!$AE$12:$AE$741)</f>
        <v>2157.75</v>
      </c>
      <c r="H59" s="106">
        <f>SUMIF(vuot2019_2020_I!$L$12:$L$741,C59,vuot2019_2020_I!$AF$12:$AF$741)</f>
        <v>720</v>
      </c>
      <c r="I59" s="107">
        <f>SUMIF(vuot2019_2020_I!$L$12:$L$741,C59,vuot2019_2020_I!$AG$12:$AG$741)</f>
        <v>1264.69</v>
      </c>
      <c r="J59" s="107">
        <f>SUMIF(vuot2019_2020_I!$L$12:$L$741,C59,vuot2019_2020_I!$AH$12:$AH$741)</f>
        <v>139.70000000000002</v>
      </c>
      <c r="K59" s="107">
        <f>SUMIF(vuot2019_2020_I!$L$12:$L$741,C59,vuot2019_2020_I!$AI$12:$AI$741)</f>
        <v>1124.99</v>
      </c>
      <c r="L59" s="107">
        <f>SUMIF(vuot2019_2020_I!$L$12:$L$741,C59,vuot2019_2020_I!$AJ$12:$AJ$741)</f>
        <v>-141.61000000000001</v>
      </c>
      <c r="M59" s="107">
        <f>SUMIF(vuot2019_2020_I!$L$12:$L$741,C59,vuot2019_2020_I!$AK$12:$AK$741)</f>
        <v>2299.3599999999997</v>
      </c>
      <c r="N59" s="107">
        <f>SUMIF(vuot2019_2020_I!$L$12:$L$741,C59,vuot2019_2020_I!$AL$12:$AL$741)</f>
        <v>5251.8</v>
      </c>
      <c r="O59" s="107">
        <f>SUMIF(vuot2019_2020_I!$L$12:$L$741,C59,vuot2019_2020_I!$AM$12:$AM$741)</f>
        <v>834.40000000000009</v>
      </c>
      <c r="P59" s="107">
        <f>SUMIF(vuot2019_2020_I!$L$12:$L$741,C59,vuot2019_2020_I!$AN$12:$AN$741)</f>
        <v>6086.2000000000007</v>
      </c>
      <c r="Q59" s="107">
        <f>SUMIF(vuot2019_2020_I!$L$12:$L$752,C59,vuot2019_2020_I!$AU$12:$AU$752)</f>
        <v>3786.8399999999997</v>
      </c>
      <c r="R59" s="107">
        <f>SUMIF(vuot2019_2020_I!$L$12:$L$752,C59,vuot2019_2020_I!$BK$12:$BK$752)</f>
        <v>0</v>
      </c>
      <c r="S59" s="107">
        <f>SUMIF(vuot2019_2020_I!$L$12:$L$741,C59,vuot2019_2020_I!$BL$12:$BL$741)</f>
        <v>3964.4</v>
      </c>
      <c r="T59" s="107">
        <f>SUMIF(vuot2019_2020_I!$L$12:$L$741,C59,vuot2019_2020_I!$BP$12:$BP$741)</f>
        <v>1716.75</v>
      </c>
      <c r="U59" s="108">
        <f>SUMIF(vuot2019_2020_I!$L$12:$L$741,C59,vuot2019_2020_I!$BR$12:$BR$741)</f>
        <v>109756250</v>
      </c>
      <c r="V59" s="107">
        <f>SUMIF(vuot2019_2020_I!$L$12:$L$741,C59,vuot2019_2020_I!$BS$12:$BS$741)</f>
        <v>2247.65</v>
      </c>
      <c r="W59" s="108">
        <f>SUMIF(vuot2019_2020_I!$L$12:$L$741,C59,vuot2019_2020_I!$BU$12:$BU$741)</f>
        <v>114630150</v>
      </c>
      <c r="X59" s="108">
        <f>SUMIF(vuot2019_2020_I!$L$12:$L$741,C59,vuot2019_2020_I!$BV$12:$BV$741)</f>
        <v>224386400</v>
      </c>
      <c r="Y59" s="108">
        <f>SUMIF(vuot2019_2020_I!$L$12:$L$741,C59,vuot2019_2020_I!$BW$12:$BW$741)</f>
        <v>0</v>
      </c>
      <c r="Z59" s="109">
        <f>SUMIF(vuot2019_2020_I!$L$12:$L$741,C59,vuot2019_2020_I!$BX$12:$BX$741)</f>
        <v>0</v>
      </c>
      <c r="AA59" s="109">
        <f>SUMIF(vuot2019_2020_I!$L$12:$L$741,C59,vuot2019_2020_I!$BY$12:$BY$741)+SUMIF(vuot2019_2020_I!$L$12:$L$741,C59,vuot2019_2020_I!$BZ$12:$BZ$741)</f>
        <v>0</v>
      </c>
      <c r="AB59" s="108">
        <f>SUMIF(vuot2019_2020_I!$L$12:$L$741,C59,vuot2019_2020_I!$CB$12:$CB$741)</f>
        <v>0</v>
      </c>
      <c r="AC59" s="108">
        <f>SUMIF(vuot2019_2020_I!$L$12:$L$741,C59,vuot2019_2020_I!$CC$12:$CC$741)+SUMIF(vuot2019_2020_I!$L$12:$L$741,C59,vuot2019_2020_I!$CA$12:$CA$741)</f>
        <v>224386400</v>
      </c>
      <c r="AD59" s="108">
        <f>SUMIF(vuot2019_2020_I!$L$12:$L$741,C59,vuot2019_2020_I!$CD$12:$CD$741)</f>
        <v>0</v>
      </c>
      <c r="AE59" s="110">
        <f t="shared" si="27"/>
        <v>507.18333333333339</v>
      </c>
      <c r="AF59" s="110">
        <f t="shared" si="8"/>
        <v>330.36666666666667</v>
      </c>
      <c r="AG59" s="87">
        <f t="shared" si="22"/>
        <v>105.39083333333333</v>
      </c>
      <c r="AH59" s="107">
        <f t="shared" si="23"/>
        <v>18698866.666666668</v>
      </c>
      <c r="AI59" s="87">
        <f t="shared" si="28"/>
        <v>507.18333333333339</v>
      </c>
      <c r="AJ59" s="88">
        <f>D59</f>
        <v>12</v>
      </c>
      <c r="AK59" s="88"/>
      <c r="AL59" s="88">
        <f>AK59+AJ59</f>
        <v>12</v>
      </c>
      <c r="AM59" s="88">
        <f>ROUND(P59/630,0)</f>
        <v>10</v>
      </c>
      <c r="AN59" s="88"/>
    </row>
    <row r="60" spans="1:40" s="12" customFormat="1" ht="17.100000000000001" customHeight="1" outlineLevel="1">
      <c r="A60" s="97"/>
      <c r="B60" s="97" t="s">
        <v>3102</v>
      </c>
      <c r="C60" s="111"/>
      <c r="D60" s="96">
        <f t="shared" ref="D60:AD60" si="35">SUBTOTAL(9,D56:D59)</f>
        <v>34</v>
      </c>
      <c r="E60" s="112">
        <f t="shared" si="35"/>
        <v>2531.25</v>
      </c>
      <c r="F60" s="112">
        <f t="shared" si="35"/>
        <v>440</v>
      </c>
      <c r="G60" s="112">
        <f t="shared" si="35"/>
        <v>6086.25</v>
      </c>
      <c r="H60" s="112">
        <f t="shared" si="35"/>
        <v>2340</v>
      </c>
      <c r="I60" s="112">
        <f t="shared" si="35"/>
        <v>3710.25</v>
      </c>
      <c r="J60" s="112">
        <f>SUBTOTAL(9,J56:J59)</f>
        <v>1413.6000000000001</v>
      </c>
      <c r="K60" s="112">
        <f>SUBTOTAL(9,K56:K59)</f>
        <v>2296.6499999999996</v>
      </c>
      <c r="L60" s="112">
        <f t="shared" si="35"/>
        <v>-400.78999999999996</v>
      </c>
      <c r="M60" s="112">
        <f t="shared" si="35"/>
        <v>6487.04</v>
      </c>
      <c r="N60" s="112">
        <f t="shared" si="35"/>
        <v>12445.7</v>
      </c>
      <c r="O60" s="112">
        <f t="shared" si="35"/>
        <v>834.40000000000009</v>
      </c>
      <c r="P60" s="112">
        <f t="shared" si="35"/>
        <v>13280.100000000002</v>
      </c>
      <c r="Q60" s="112">
        <f t="shared" si="35"/>
        <v>6793.0599999999995</v>
      </c>
      <c r="R60" s="112">
        <f t="shared" si="35"/>
        <v>0</v>
      </c>
      <c r="S60" s="112">
        <f t="shared" si="35"/>
        <v>8048.36</v>
      </c>
      <c r="T60" s="112">
        <f t="shared" si="35"/>
        <v>3281.35</v>
      </c>
      <c r="U60" s="113">
        <f t="shared" si="35"/>
        <v>208632250</v>
      </c>
      <c r="V60" s="112">
        <f t="shared" si="35"/>
        <v>4767.01</v>
      </c>
      <c r="W60" s="113">
        <f t="shared" si="35"/>
        <v>244642310</v>
      </c>
      <c r="X60" s="113">
        <f t="shared" si="35"/>
        <v>453274560</v>
      </c>
      <c r="Y60" s="113">
        <f t="shared" si="35"/>
        <v>0</v>
      </c>
      <c r="Z60" s="113">
        <f t="shared" si="35"/>
        <v>0</v>
      </c>
      <c r="AA60" s="113">
        <f t="shared" si="35"/>
        <v>0</v>
      </c>
      <c r="AB60" s="113">
        <f t="shared" si="35"/>
        <v>0</v>
      </c>
      <c r="AC60" s="113">
        <f t="shared" si="35"/>
        <v>453274560</v>
      </c>
      <c r="AD60" s="113">
        <f t="shared" si="35"/>
        <v>0</v>
      </c>
      <c r="AE60" s="114">
        <f t="shared" si="27"/>
        <v>390.59117647058832</v>
      </c>
      <c r="AF60" s="114">
        <f t="shared" si="8"/>
        <v>236.7164705882353</v>
      </c>
      <c r="AG60" s="96">
        <f t="shared" si="22"/>
        <v>109.125</v>
      </c>
      <c r="AH60" s="112">
        <f t="shared" si="23"/>
        <v>13331604.705882354</v>
      </c>
      <c r="AI60" s="96">
        <f t="shared" si="28"/>
        <v>390.59117647058832</v>
      </c>
      <c r="AJ60" s="115">
        <f>SUBTOTAL(9,AJ56:AJ59)</f>
        <v>34</v>
      </c>
      <c r="AK60" s="115">
        <f>SUBTOTAL(9,AK56:AK59)</f>
        <v>0</v>
      </c>
      <c r="AL60" s="115">
        <f>SUBTOTAL(9,AL56:AL59)</f>
        <v>34</v>
      </c>
      <c r="AM60" s="115">
        <f>SUBTOTAL(9,AM56:AM59)</f>
        <v>22</v>
      </c>
      <c r="AN60" s="97">
        <f>AM60-AJ60</f>
        <v>-12</v>
      </c>
    </row>
    <row r="61" spans="1:40" ht="17.100000000000001" customHeight="1" outlineLevel="2">
      <c r="A61" s="88">
        <v>48</v>
      </c>
      <c r="B61" s="88">
        <v>8</v>
      </c>
      <c r="C61" s="90" t="s">
        <v>1097</v>
      </c>
      <c r="D61" s="105">
        <f>COUNTIF(vuot2019_2020_I!$K$12:$K$741,C61)</f>
        <v>6</v>
      </c>
      <c r="E61" s="106">
        <f>SUMIF(vuot2019_2020_I!$L$12:$L$741,C61,vuot2019_2020_I!$AC$12:$AC$741)</f>
        <v>445.5</v>
      </c>
      <c r="F61" s="106">
        <f>SUMIF(vuot2019_2020_I!$L$12:$L$741,C61,vuot2019_2020_I!$AD$12:$AD$741)</f>
        <v>120</v>
      </c>
      <c r="G61" s="106">
        <f>SUMIF(vuot2019_2020_I!$L$12:$L$741,C61,vuot2019_2020_I!$AE$12:$AE$741)</f>
        <v>1152</v>
      </c>
      <c r="H61" s="106">
        <f>SUMIF(vuot2019_2020_I!$L$12:$L$741,C61,vuot2019_2020_I!$AF$12:$AF$741)</f>
        <v>651.66666666666663</v>
      </c>
      <c r="I61" s="107">
        <f>SUMIF(vuot2019_2020_I!$L$12:$L$741,C61,vuot2019_2020_I!$AG$12:$AG$741)</f>
        <v>886.12</v>
      </c>
      <c r="J61" s="107">
        <f>SUMIF(vuot2019_2020_I!$L$12:$L$741,C61,vuot2019_2020_I!$AH$12:$AH$741)</f>
        <v>189.00000000000003</v>
      </c>
      <c r="K61" s="107">
        <f>SUMIF(vuot2019_2020_I!$L$12:$L$741,C61,vuot2019_2020_I!$AI$12:$AI$741)</f>
        <v>697.12</v>
      </c>
      <c r="L61" s="107">
        <f>SUMIF(vuot2019_2020_I!$L$12:$L$741,C61,vuot2019_2020_I!$AJ$12:$AJ$741)</f>
        <v>-91.666666666666657</v>
      </c>
      <c r="M61" s="107">
        <f>SUMIF(vuot2019_2020_I!$L$12:$L$741,C61,vuot2019_2020_I!$AK$12:$AK$741)</f>
        <v>1243.6666666666665</v>
      </c>
      <c r="N61" s="107">
        <f>SUMIF(vuot2019_2020_I!$L$12:$L$741,C61,vuot2019_2020_I!$AL$12:$AL$741)</f>
        <v>877.2</v>
      </c>
      <c r="O61" s="107">
        <f>SUMIF(vuot2019_2020_I!$L$12:$L$741,C61,vuot2019_2020_I!$AM$12:$AM$741)</f>
        <v>0</v>
      </c>
      <c r="P61" s="107">
        <f>SUMIF(vuot2019_2020_I!$L$12:$L$741,C61,vuot2019_2020_I!$AN$12:$AN$741)</f>
        <v>877.2</v>
      </c>
      <c r="Q61" s="107">
        <f>SUMIF(vuot2019_2020_I!$L$12:$L$752,C61,vuot2019_2020_I!$AU$12:$AU$752)</f>
        <v>-366.46666666666664</v>
      </c>
      <c r="R61" s="107">
        <f>SUMIF(vuot2019_2020_I!$L$12:$L$752,C61,vuot2019_2020_I!$BK$12:$BK$752)</f>
        <v>0</v>
      </c>
      <c r="S61" s="107">
        <f>SUMIF(vuot2019_2020_I!$L$12:$L$741,C61,vuot2019_2020_I!$BL$12:$BL$741)</f>
        <v>113.89999999999998</v>
      </c>
      <c r="T61" s="107">
        <f>SUMIF(vuot2019_2020_I!$L$12:$L$741,C61,vuot2019_2020_I!$BP$12:$BP$741)</f>
        <v>113.89999999999998</v>
      </c>
      <c r="U61" s="108">
        <f>SUMIF(vuot2019_2020_I!$L$12:$L$741,C61,vuot2019_2020_I!$BR$12:$BR$741)</f>
        <v>7403500</v>
      </c>
      <c r="V61" s="107">
        <f>SUMIF(vuot2019_2020_I!$L$12:$L$741,C61,vuot2019_2020_I!$BS$12:$BS$741)</f>
        <v>0</v>
      </c>
      <c r="W61" s="108">
        <f>SUMIF(vuot2019_2020_I!$L$12:$L$741,C61,vuot2019_2020_I!$BU$12:$BU$741)</f>
        <v>0</v>
      </c>
      <c r="X61" s="108">
        <f>SUMIF(vuot2019_2020_I!$L$12:$L$741,C61,vuot2019_2020_I!$BV$12:$BV$741)</f>
        <v>7403500</v>
      </c>
      <c r="Y61" s="108">
        <f>SUMIF(vuot2019_2020_I!$L$12:$L$741,C61,vuot2019_2020_I!$BW$12:$BW$741)</f>
        <v>0</v>
      </c>
      <c r="Z61" s="109">
        <f>SUMIF(vuot2019_2020_I!$L$12:$L$741,C61,vuot2019_2020_I!$BX$12:$BX$741)</f>
        <v>0</v>
      </c>
      <c r="AA61" s="109">
        <f>SUMIF(vuot2019_2020_I!$L$12:$L$741,C61,vuot2019_2020_I!$BY$12:$BY$741)+SUMIF(vuot2019_2020_I!$L$12:$L$741,C61,vuot2019_2020_I!$BZ$12:$BZ$741)</f>
        <v>0</v>
      </c>
      <c r="AB61" s="108">
        <f>SUMIF(vuot2019_2020_I!$L$12:$L$741,C61,vuot2019_2020_I!$CB$12:$CB$741)</f>
        <v>0</v>
      </c>
      <c r="AC61" s="108">
        <f>SUMIF(vuot2019_2020_I!$L$12:$L$741,C61,vuot2019_2020_I!$CC$12:$CC$741)+SUMIF(vuot2019_2020_I!$L$12:$L$741,C61,vuot2019_2020_I!$CA$12:$CA$741)</f>
        <v>7403500</v>
      </c>
      <c r="AD61" s="108">
        <f>SUMIF(vuot2019_2020_I!$L$12:$L$741,C61,vuot2019_2020_I!$CD$12:$CD$741)</f>
        <v>0</v>
      </c>
      <c r="AE61" s="110">
        <f t="shared" si="27"/>
        <v>146.20000000000002</v>
      </c>
      <c r="AF61" s="110">
        <f t="shared" si="8"/>
        <v>18.983333333333331</v>
      </c>
      <c r="AG61" s="87">
        <f t="shared" si="22"/>
        <v>147.68666666666667</v>
      </c>
      <c r="AH61" s="107">
        <f t="shared" si="23"/>
        <v>1233916.6666666667</v>
      </c>
      <c r="AI61" s="87">
        <f t="shared" si="28"/>
        <v>146.20000000000002</v>
      </c>
      <c r="AJ61" s="88">
        <f>D61</f>
        <v>6</v>
      </c>
      <c r="AK61" s="88"/>
      <c r="AL61" s="88">
        <f>AK61+AJ61</f>
        <v>6</v>
      </c>
      <c r="AM61" s="88">
        <f>ROUND(P61/630,0)</f>
        <v>1</v>
      </c>
      <c r="AN61" s="88"/>
    </row>
    <row r="62" spans="1:40" ht="17.100000000000001" customHeight="1" outlineLevel="2">
      <c r="A62" s="88">
        <v>49</v>
      </c>
      <c r="B62" s="88">
        <v>8</v>
      </c>
      <c r="C62" s="90" t="s">
        <v>1098</v>
      </c>
      <c r="D62" s="105">
        <f>COUNTIF(vuot2019_2020_I!$K$12:$K$741,C62)</f>
        <v>7</v>
      </c>
      <c r="E62" s="106">
        <f>SUMIF(vuot2019_2020_I!$L$12:$L$741,C62,vuot2019_2020_I!$AC$12:$AC$741)</f>
        <v>259.875</v>
      </c>
      <c r="F62" s="106">
        <f>SUMIF(vuot2019_2020_I!$L$12:$L$741,C62,vuot2019_2020_I!$AD$12:$AD$741)</f>
        <v>25</v>
      </c>
      <c r="G62" s="106">
        <f>SUMIF(vuot2019_2020_I!$L$12:$L$741,C62,vuot2019_2020_I!$AE$12:$AE$741)</f>
        <v>1427.625</v>
      </c>
      <c r="H62" s="106">
        <f>SUMIF(vuot2019_2020_I!$L$12:$L$741,C62,vuot2019_2020_I!$AF$12:$AF$741)</f>
        <v>800</v>
      </c>
      <c r="I62" s="107">
        <f>SUMIF(vuot2019_2020_I!$L$12:$L$741,C62,vuot2019_2020_I!$AG$12:$AG$741)</f>
        <v>1264.6199999999999</v>
      </c>
      <c r="J62" s="107">
        <f>SUMIF(vuot2019_2020_I!$L$12:$L$741,C62,vuot2019_2020_I!$AH$12:$AH$741)</f>
        <v>329.53999999999996</v>
      </c>
      <c r="K62" s="107">
        <f>SUMIF(vuot2019_2020_I!$L$12:$L$741,C62,vuot2019_2020_I!$AI$12:$AI$741)</f>
        <v>935.07999999999993</v>
      </c>
      <c r="L62" s="107">
        <f>SUMIF(vuot2019_2020_I!$L$12:$L$741,C62,vuot2019_2020_I!$AJ$12:$AJ$741)</f>
        <v>-113.11000000000003</v>
      </c>
      <c r="M62" s="107">
        <f>SUMIF(vuot2019_2020_I!$L$12:$L$741,C62,vuot2019_2020_I!$AK$12:$AK$741)</f>
        <v>1540.7349999999999</v>
      </c>
      <c r="N62" s="107">
        <f>SUMIF(vuot2019_2020_I!$L$12:$L$741,C62,vuot2019_2020_I!$AL$12:$AL$741)</f>
        <v>2875.7999999999997</v>
      </c>
      <c r="O62" s="107">
        <f>SUMIF(vuot2019_2020_I!$L$12:$L$741,C62,vuot2019_2020_I!$AM$12:$AM$741)</f>
        <v>299.09999999999997</v>
      </c>
      <c r="P62" s="107">
        <f>SUMIF(vuot2019_2020_I!$L$12:$L$741,C62,vuot2019_2020_I!$AN$12:$AN$741)</f>
        <v>3174.9</v>
      </c>
      <c r="Q62" s="107">
        <f>SUMIF(vuot2019_2020_I!$L$12:$L$752,C62,vuot2019_2020_I!$AU$12:$AU$752)</f>
        <v>1634.165</v>
      </c>
      <c r="R62" s="107">
        <f>SUMIF(vuot2019_2020_I!$L$12:$L$752,C62,vuot2019_2020_I!$BK$12:$BK$752)</f>
        <v>0</v>
      </c>
      <c r="S62" s="107">
        <f>SUMIF(vuot2019_2020_I!$L$12:$L$741,C62,vuot2019_2020_I!$BL$12:$BL$741)</f>
        <v>1640.665</v>
      </c>
      <c r="T62" s="107">
        <f>SUMIF(vuot2019_2020_I!$L$12:$L$741,C62,vuot2019_2020_I!$BP$12:$BP$741)</f>
        <v>1090.675</v>
      </c>
      <c r="U62" s="108">
        <f>SUMIF(vuot2019_2020_I!$L$12:$L$741,C62,vuot2019_2020_I!$BR$12:$BR$741)</f>
        <v>73440500</v>
      </c>
      <c r="V62" s="107">
        <f>SUMIF(vuot2019_2020_I!$L$12:$L$741,C62,vuot2019_2020_I!$BS$12:$BS$741)</f>
        <v>549.99</v>
      </c>
      <c r="W62" s="108">
        <f>SUMIF(vuot2019_2020_I!$L$12:$L$741,C62,vuot2019_2020_I!$BU$12:$BU$741)</f>
        <v>30493450</v>
      </c>
      <c r="X62" s="108">
        <f>SUMIF(vuot2019_2020_I!$L$12:$L$741,C62,vuot2019_2020_I!$BV$12:$BV$741)</f>
        <v>103933950</v>
      </c>
      <c r="Y62" s="108">
        <f>SUMIF(vuot2019_2020_I!$L$12:$L$741,C62,vuot2019_2020_I!$BW$12:$BW$741)</f>
        <v>0</v>
      </c>
      <c r="Z62" s="109">
        <f>SUMIF(vuot2019_2020_I!$L$12:$L$741,C62,vuot2019_2020_I!$BX$12:$BX$741)</f>
        <v>0</v>
      </c>
      <c r="AA62" s="109">
        <f>SUMIF(vuot2019_2020_I!$L$12:$L$741,C62,vuot2019_2020_I!$BY$12:$BY$741)+SUMIF(vuot2019_2020_I!$L$12:$L$741,C62,vuot2019_2020_I!$BZ$12:$BZ$741)</f>
        <v>0</v>
      </c>
      <c r="AB62" s="108">
        <f>SUMIF(vuot2019_2020_I!$L$12:$L$741,C62,vuot2019_2020_I!$CB$12:$CB$741)</f>
        <v>0</v>
      </c>
      <c r="AC62" s="108">
        <f>SUMIF(vuot2019_2020_I!$L$12:$L$741,C62,vuot2019_2020_I!$CC$12:$CC$741)+SUMIF(vuot2019_2020_I!$L$12:$L$741,C62,vuot2019_2020_I!$CA$12:$CA$741)</f>
        <v>103933950</v>
      </c>
      <c r="AD62" s="108">
        <f>SUMIF(vuot2019_2020_I!$L$12:$L$741,C62,vuot2019_2020_I!$CD$12:$CD$741)</f>
        <v>0</v>
      </c>
      <c r="AE62" s="110">
        <f t="shared" si="27"/>
        <v>453.55714285714288</v>
      </c>
      <c r="AF62" s="110">
        <f t="shared" si="8"/>
        <v>234.38071428571428</v>
      </c>
      <c r="AG62" s="87">
        <f t="shared" si="22"/>
        <v>180.66</v>
      </c>
      <c r="AH62" s="107">
        <f t="shared" si="23"/>
        <v>14847707.142857144</v>
      </c>
      <c r="AI62" s="87">
        <f t="shared" si="28"/>
        <v>453.55714285714288</v>
      </c>
      <c r="AJ62" s="88">
        <f>D62</f>
        <v>7</v>
      </c>
      <c r="AK62" s="88"/>
      <c r="AL62" s="88">
        <f>AK62+AJ62</f>
        <v>7</v>
      </c>
      <c r="AM62" s="88">
        <f>ROUND(P62/630,0)</f>
        <v>5</v>
      </c>
      <c r="AN62" s="88"/>
    </row>
    <row r="63" spans="1:40" ht="17.100000000000001" customHeight="1" outlineLevel="2">
      <c r="A63" s="88">
        <v>50</v>
      </c>
      <c r="B63" s="88">
        <v>8</v>
      </c>
      <c r="C63" s="90" t="s">
        <v>1099</v>
      </c>
      <c r="D63" s="105">
        <f>COUNTIF(vuot2019_2020_I!$K$12:$K$741,C63)</f>
        <v>6</v>
      </c>
      <c r="E63" s="106">
        <f>SUMIF(vuot2019_2020_I!$L$12:$L$741,C63,vuot2019_2020_I!$AC$12:$AC$741)</f>
        <v>580.5</v>
      </c>
      <c r="F63" s="106">
        <f>SUMIF(vuot2019_2020_I!$L$12:$L$741,C63,vuot2019_2020_I!$AD$12:$AD$741)</f>
        <v>227.5</v>
      </c>
      <c r="G63" s="106">
        <f>SUMIF(vuot2019_2020_I!$L$12:$L$741,C63,vuot2019_2020_I!$AE$12:$AE$741)</f>
        <v>747</v>
      </c>
      <c r="H63" s="106">
        <f>SUMIF(vuot2019_2020_I!$L$12:$L$741,C63,vuot2019_2020_I!$AF$12:$AF$741)</f>
        <v>384.16666666666669</v>
      </c>
      <c r="I63" s="107">
        <f>SUMIF(vuot2019_2020_I!$L$12:$L$741,C63,vuot2019_2020_I!$AG$12:$AG$741)</f>
        <v>757.15000000000009</v>
      </c>
      <c r="J63" s="107">
        <f>SUMIF(vuot2019_2020_I!$L$12:$L$741,C63,vuot2019_2020_I!$AH$12:$AH$741)</f>
        <v>212.45</v>
      </c>
      <c r="K63" s="107">
        <f>SUMIF(vuot2019_2020_I!$L$12:$L$741,C63,vuot2019_2020_I!$AI$12:$AI$741)</f>
        <v>544.70000000000005</v>
      </c>
      <c r="L63" s="107">
        <f>SUMIF(vuot2019_2020_I!$L$12:$L$741,C63,vuot2019_2020_I!$AJ$12:$AJ$741)</f>
        <v>0</v>
      </c>
      <c r="M63" s="107">
        <f>SUMIF(vuot2019_2020_I!$L$12:$L$741,C63,vuot2019_2020_I!$AK$12:$AK$741)</f>
        <v>747</v>
      </c>
      <c r="N63" s="107">
        <f>SUMIF(vuot2019_2020_I!$L$12:$L$741,C63,vuot2019_2020_I!$AL$12:$AL$741)</f>
        <v>1257.7</v>
      </c>
      <c r="O63" s="107">
        <f>SUMIF(vuot2019_2020_I!$L$12:$L$741,C63,vuot2019_2020_I!$AM$12:$AM$741)</f>
        <v>55.3</v>
      </c>
      <c r="P63" s="107">
        <f>SUMIF(vuot2019_2020_I!$L$12:$L$741,C63,vuot2019_2020_I!$AN$12:$AN$741)</f>
        <v>1312.9999999999998</v>
      </c>
      <c r="Q63" s="107">
        <f>SUMIF(vuot2019_2020_I!$L$12:$L$752,C63,vuot2019_2020_I!$AU$12:$AU$752)</f>
        <v>566</v>
      </c>
      <c r="R63" s="107">
        <f>SUMIF(vuot2019_2020_I!$L$12:$L$752,C63,vuot2019_2020_I!$BK$12:$BK$752)</f>
        <v>0</v>
      </c>
      <c r="S63" s="107">
        <f>SUMIF(vuot2019_2020_I!$L$12:$L$741,C63,vuot2019_2020_I!$BL$12:$BL$741)</f>
        <v>566</v>
      </c>
      <c r="T63" s="107">
        <f>SUMIF(vuot2019_2020_I!$L$12:$L$741,C63,vuot2019_2020_I!$BP$12:$BP$741)</f>
        <v>566</v>
      </c>
      <c r="U63" s="108">
        <f>SUMIF(vuot2019_2020_I!$L$12:$L$741,C63,vuot2019_2020_I!$BR$12:$BR$741)</f>
        <v>38562500</v>
      </c>
      <c r="V63" s="107">
        <f>SUMIF(vuot2019_2020_I!$L$12:$L$741,C63,vuot2019_2020_I!$BS$12:$BS$741)</f>
        <v>0</v>
      </c>
      <c r="W63" s="108">
        <f>SUMIF(vuot2019_2020_I!$L$12:$L$741,C63,vuot2019_2020_I!$BU$12:$BU$741)</f>
        <v>0</v>
      </c>
      <c r="X63" s="108">
        <f>SUMIF(vuot2019_2020_I!$L$12:$L$741,C63,vuot2019_2020_I!$BV$12:$BV$741)</f>
        <v>38562500</v>
      </c>
      <c r="Y63" s="108">
        <f>SUMIF(vuot2019_2020_I!$L$12:$L$741,C63,vuot2019_2020_I!$BW$12:$BW$741)</f>
        <v>0</v>
      </c>
      <c r="Z63" s="109">
        <f>SUMIF(vuot2019_2020_I!$L$12:$L$741,C63,vuot2019_2020_I!$BX$12:$BX$741)</f>
        <v>1722000</v>
      </c>
      <c r="AA63" s="109">
        <f>SUMIF(vuot2019_2020_I!$L$12:$L$741,C63,vuot2019_2020_I!$BY$12:$BY$741)+SUMIF(vuot2019_2020_I!$L$12:$L$741,C63,vuot2019_2020_I!$BZ$12:$BZ$741)</f>
        <v>0</v>
      </c>
      <c r="AB63" s="108">
        <f>SUMIF(vuot2019_2020_I!$L$12:$L$741,C63,vuot2019_2020_I!$CB$12:$CB$741)</f>
        <v>0</v>
      </c>
      <c r="AC63" s="108">
        <f>SUMIF(vuot2019_2020_I!$L$12:$L$741,C63,vuot2019_2020_I!$CC$12:$CC$741)+SUMIF(vuot2019_2020_I!$L$12:$L$741,C63,vuot2019_2020_I!$CA$12:$CA$741)</f>
        <v>38562500</v>
      </c>
      <c r="AD63" s="108">
        <f>SUMIF(vuot2019_2020_I!$L$12:$L$741,C63,vuot2019_2020_I!$CD$12:$CD$741)</f>
        <v>1722000</v>
      </c>
      <c r="AE63" s="110">
        <f t="shared" si="27"/>
        <v>218.83333333333329</v>
      </c>
      <c r="AF63" s="110">
        <f t="shared" si="8"/>
        <v>94.333333333333329</v>
      </c>
      <c r="AG63" s="87">
        <f t="shared" si="22"/>
        <v>126.19166666666668</v>
      </c>
      <c r="AH63" s="107">
        <f t="shared" si="23"/>
        <v>6427083.333333333</v>
      </c>
      <c r="AI63" s="87">
        <f t="shared" si="28"/>
        <v>218.83333333333329</v>
      </c>
      <c r="AJ63" s="88">
        <f>D63</f>
        <v>6</v>
      </c>
      <c r="AK63" s="88"/>
      <c r="AL63" s="88">
        <f>AK63+AJ63</f>
        <v>6</v>
      </c>
      <c r="AM63" s="88">
        <f>ROUND(P63/630,0)</f>
        <v>2</v>
      </c>
      <c r="AN63" s="88"/>
    </row>
    <row r="64" spans="1:40" ht="17.100000000000001" customHeight="1" outlineLevel="2">
      <c r="A64" s="88">
        <v>50</v>
      </c>
      <c r="B64" s="88">
        <v>8</v>
      </c>
      <c r="C64" s="90" t="s">
        <v>1268</v>
      </c>
      <c r="D64" s="105">
        <f>COUNTIF(vuot2019_2020_I!$K$12:$K$741,C64)</f>
        <v>5</v>
      </c>
      <c r="E64" s="106">
        <f>SUMIF(vuot2019_2020_I!$L$12:$L$741,C64,vuot2019_2020_I!$AC$12:$AC$741)</f>
        <v>378</v>
      </c>
      <c r="F64" s="106">
        <f>SUMIF(vuot2019_2020_I!$L$12:$L$741,C64,vuot2019_2020_I!$AD$12:$AD$741)</f>
        <v>247.5</v>
      </c>
      <c r="G64" s="106">
        <f>SUMIF(vuot2019_2020_I!$L$12:$L$741,C64,vuot2019_2020_I!$AE$12:$AE$741)</f>
        <v>972</v>
      </c>
      <c r="H64" s="106">
        <f>SUMIF(vuot2019_2020_I!$L$12:$L$741,C64,vuot2019_2020_I!$AF$12:$AF$741)</f>
        <v>382.5</v>
      </c>
      <c r="I64" s="107">
        <f>SUMIF(vuot2019_2020_I!$L$12:$L$741,C64,vuot2019_2020_I!$AG$12:$AG$741)</f>
        <v>815.58999999999992</v>
      </c>
      <c r="J64" s="107">
        <f>SUMIF(vuot2019_2020_I!$L$12:$L$741,C64,vuot2019_2020_I!$AH$12:$AH$741)</f>
        <v>342.24</v>
      </c>
      <c r="K64" s="107">
        <f>SUMIF(vuot2019_2020_I!$L$12:$L$741,C64,vuot2019_2020_I!$AI$12:$AI$741)</f>
        <v>473.35</v>
      </c>
      <c r="L64" s="107">
        <f>SUMIF(vuot2019_2020_I!$L$12:$L$741,C64,vuot2019_2020_I!$AJ$12:$AJ$741)</f>
        <v>-136.88</v>
      </c>
      <c r="M64" s="107">
        <f>SUMIF(vuot2019_2020_I!$L$12:$L$741,C64,vuot2019_2020_I!$AK$12:$AK$741)</f>
        <v>1108.8800000000001</v>
      </c>
      <c r="N64" s="107">
        <f>SUMIF(vuot2019_2020_I!$L$12:$L$741,C64,vuot2019_2020_I!$AL$12:$AL$741)</f>
        <v>1463.6999999999998</v>
      </c>
      <c r="O64" s="107">
        <f>SUMIF(vuot2019_2020_I!$L$12:$L$741,C64,vuot2019_2020_I!$AM$12:$AM$741)</f>
        <v>0</v>
      </c>
      <c r="P64" s="107">
        <f>SUMIF(vuot2019_2020_I!$L$12:$L$741,C64,vuot2019_2020_I!$AN$12:$AN$741)</f>
        <v>1463.6999999999998</v>
      </c>
      <c r="Q64" s="107">
        <f>SUMIF(vuot2019_2020_I!$L$12:$L$752,C64,vuot2019_2020_I!$AU$12:$AU$752)</f>
        <v>354.82</v>
      </c>
      <c r="R64" s="107">
        <f>SUMIF(vuot2019_2020_I!$L$12:$L$752,C64,vuot2019_2020_I!$BK$12:$BK$752)</f>
        <v>0</v>
      </c>
      <c r="S64" s="107">
        <f>SUMIF(vuot2019_2020_I!$L$12:$L$741,C64,vuot2019_2020_I!$BL$12:$BL$741)</f>
        <v>354.82</v>
      </c>
      <c r="T64" s="107">
        <f>SUMIF(vuot2019_2020_I!$L$12:$L$741,C64,vuot2019_2020_I!$BP$12:$BP$741)</f>
        <v>354.82</v>
      </c>
      <c r="U64" s="108">
        <f>SUMIF(vuot2019_2020_I!$L$12:$L$741,C64,vuot2019_2020_I!$BR$12:$BR$741)</f>
        <v>24318950</v>
      </c>
      <c r="V64" s="107">
        <f>SUMIF(vuot2019_2020_I!$L$12:$L$741,C64,vuot2019_2020_I!$BS$12:$BS$741)</f>
        <v>0</v>
      </c>
      <c r="W64" s="108">
        <f>SUMIF(vuot2019_2020_I!$L$12:$L$741,C64,vuot2019_2020_I!$BU$12:$BU$741)</f>
        <v>0</v>
      </c>
      <c r="X64" s="108">
        <f>SUMIF(vuot2019_2020_I!$L$12:$L$741,C64,vuot2019_2020_I!$BV$12:$BV$741)</f>
        <v>24318950</v>
      </c>
      <c r="Y64" s="108">
        <f>SUMIF(vuot2019_2020_I!$L$12:$L$741,C64,vuot2019_2020_I!$BW$12:$BW$741)</f>
        <v>0</v>
      </c>
      <c r="Z64" s="109">
        <f>SUMIF(vuot2019_2020_I!$L$12:$L$741,C64,vuot2019_2020_I!$BX$12:$BX$741)</f>
        <v>0</v>
      </c>
      <c r="AA64" s="109">
        <f>SUMIF(vuot2019_2020_I!$L$12:$L$741,C64,vuot2019_2020_I!$BY$12:$BY$741)+SUMIF(vuot2019_2020_I!$L$12:$L$741,C64,vuot2019_2020_I!$BZ$12:$BZ$741)</f>
        <v>0</v>
      </c>
      <c r="AB64" s="108">
        <f>SUMIF(vuot2019_2020_I!$L$12:$L$741,C64,vuot2019_2020_I!$CB$12:$CB$741)</f>
        <v>0</v>
      </c>
      <c r="AC64" s="108">
        <f>SUMIF(vuot2019_2020_I!$L$12:$L$741,C64,vuot2019_2020_I!$CC$12:$CC$741)+SUMIF(vuot2019_2020_I!$L$12:$L$741,C64,vuot2019_2020_I!$CA$12:$CA$741)</f>
        <v>24318950</v>
      </c>
      <c r="AD64" s="108">
        <f>SUMIF(vuot2019_2020_I!$L$12:$L$741,C64,vuot2019_2020_I!$CD$12:$CD$741)</f>
        <v>0</v>
      </c>
      <c r="AE64" s="110">
        <f t="shared" si="27"/>
        <v>292.73999999999995</v>
      </c>
      <c r="AF64" s="110">
        <f t="shared" si="8"/>
        <v>70.963999999999999</v>
      </c>
      <c r="AG64" s="87">
        <f>I64/D64</f>
        <v>163.11799999999999</v>
      </c>
      <c r="AH64" s="107">
        <f>X64/D64</f>
        <v>4863790</v>
      </c>
      <c r="AI64" s="87">
        <f t="shared" si="28"/>
        <v>292.73999999999995</v>
      </c>
      <c r="AJ64" s="88">
        <f>D64</f>
        <v>5</v>
      </c>
      <c r="AK64" s="88"/>
      <c r="AL64" s="88">
        <f>AK64+AJ64</f>
        <v>5</v>
      </c>
      <c r="AM64" s="88">
        <f>ROUND(P64/630,0)</f>
        <v>2</v>
      </c>
      <c r="AN64" s="88"/>
    </row>
    <row r="65" spans="1:40" ht="17.100000000000001" customHeight="1" outlineLevel="2">
      <c r="A65" s="88">
        <v>51</v>
      </c>
      <c r="B65" s="88">
        <v>8</v>
      </c>
      <c r="C65" s="90" t="s">
        <v>1100</v>
      </c>
      <c r="D65" s="105">
        <f>COUNTIF(vuot2019_2020_I!$K$12:$K$741,C65)</f>
        <v>3</v>
      </c>
      <c r="E65" s="106">
        <f>SUMIF(vuot2019_2020_I!$L$12:$L$741,C65,vuot2019_2020_I!$AC$12:$AC$741)</f>
        <v>162</v>
      </c>
      <c r="F65" s="106">
        <f>SUMIF(vuot2019_2020_I!$L$12:$L$741,C65,vuot2019_2020_I!$AD$12:$AD$741)</f>
        <v>0</v>
      </c>
      <c r="G65" s="106">
        <f>SUMIF(vuot2019_2020_I!$L$12:$L$741,C65,vuot2019_2020_I!$AE$12:$AE$741)</f>
        <v>648</v>
      </c>
      <c r="H65" s="106">
        <f>SUMIF(vuot2019_2020_I!$L$12:$L$741,C65,vuot2019_2020_I!$AF$12:$AF$741)</f>
        <v>440</v>
      </c>
      <c r="I65" s="107">
        <f>SUMIF(vuot2019_2020_I!$L$12:$L$741,C65,vuot2019_2020_I!$AG$12:$AG$741)</f>
        <v>510.96999999999997</v>
      </c>
      <c r="J65" s="107">
        <f>SUMIF(vuot2019_2020_I!$L$12:$L$741,C65,vuot2019_2020_I!$AH$12:$AH$741)</f>
        <v>250.45</v>
      </c>
      <c r="K65" s="107">
        <f>SUMIF(vuot2019_2020_I!$L$12:$L$741,C65,vuot2019_2020_I!$AI$12:$AI$741)</f>
        <v>260.52</v>
      </c>
      <c r="L65" s="107">
        <f>SUMIF(vuot2019_2020_I!$L$12:$L$741,C65,vuot2019_2020_I!$AJ$12:$AJ$741)</f>
        <v>-5.6500000000000057</v>
      </c>
      <c r="M65" s="107">
        <f>SUMIF(vuot2019_2020_I!$L$12:$L$741,C65,vuot2019_2020_I!$AK$12:$AK$741)</f>
        <v>653.65</v>
      </c>
      <c r="N65" s="107">
        <f>SUMIF(vuot2019_2020_I!$L$12:$L$741,C65,vuot2019_2020_I!$AL$12:$AL$741)</f>
        <v>1299.8000000000002</v>
      </c>
      <c r="O65" s="107">
        <f>SUMIF(vuot2019_2020_I!$L$12:$L$741,C65,vuot2019_2020_I!$AM$12:$AM$741)</f>
        <v>82.300000000000011</v>
      </c>
      <c r="P65" s="107">
        <f>SUMIF(vuot2019_2020_I!$L$12:$L$741,C65,vuot2019_2020_I!$AN$12:$AN$741)</f>
        <v>1382.1</v>
      </c>
      <c r="Q65" s="107">
        <f>SUMIF(vuot2019_2020_I!$L$12:$L$752,C65,vuot2019_2020_I!$AU$12:$AU$752)</f>
        <v>728.45</v>
      </c>
      <c r="R65" s="107">
        <f>SUMIF(vuot2019_2020_I!$L$12:$L$752,C65,vuot2019_2020_I!$BK$12:$BK$752)</f>
        <v>0</v>
      </c>
      <c r="S65" s="107">
        <f>SUMIF(vuot2019_2020_I!$L$12:$L$741,C65,vuot2019_2020_I!$BL$12:$BL$741)</f>
        <v>728.45</v>
      </c>
      <c r="T65" s="107">
        <f>SUMIF(vuot2019_2020_I!$L$12:$L$741,C65,vuot2019_2020_I!$BP$12:$BP$741)</f>
        <v>499.6</v>
      </c>
      <c r="U65" s="108">
        <f>SUMIF(vuot2019_2020_I!$L$12:$L$741,C65,vuot2019_2020_I!$BR$12:$BR$741)</f>
        <v>34470000</v>
      </c>
      <c r="V65" s="107">
        <f>SUMIF(vuot2019_2020_I!$L$12:$L$741,C65,vuot2019_2020_I!$BS$12:$BS$741)</f>
        <v>228.85000000000002</v>
      </c>
      <c r="W65" s="108">
        <f>SUMIF(vuot2019_2020_I!$L$12:$L$741,C65,vuot2019_2020_I!$BU$12:$BU$741)</f>
        <v>12308350</v>
      </c>
      <c r="X65" s="108">
        <f>SUMIF(vuot2019_2020_I!$L$12:$L$741,C65,vuot2019_2020_I!$BV$12:$BV$741)</f>
        <v>46778350</v>
      </c>
      <c r="Y65" s="108">
        <f>SUMIF(vuot2019_2020_I!$L$12:$L$741,C65,vuot2019_2020_I!$BW$12:$BW$741)</f>
        <v>0</v>
      </c>
      <c r="Z65" s="109">
        <f>SUMIF(vuot2019_2020_I!$L$12:$L$741,C65,vuot2019_2020_I!$BX$12:$BX$741)</f>
        <v>0</v>
      </c>
      <c r="AA65" s="109">
        <f>SUMIF(vuot2019_2020_I!$L$12:$L$741,C65,vuot2019_2020_I!$BY$12:$BY$741)+SUMIF(vuot2019_2020_I!$L$12:$L$741,C65,vuot2019_2020_I!$BZ$12:$BZ$741)</f>
        <v>0</v>
      </c>
      <c r="AB65" s="108">
        <f>SUMIF(vuot2019_2020_I!$L$12:$L$741,C65,vuot2019_2020_I!$CB$12:$CB$741)</f>
        <v>0</v>
      </c>
      <c r="AC65" s="108">
        <f>SUMIF(vuot2019_2020_I!$L$12:$L$741,C65,vuot2019_2020_I!$CC$12:$CC$741)+SUMIF(vuot2019_2020_I!$L$12:$L$741,C65,vuot2019_2020_I!$CA$12:$CA$741)</f>
        <v>46778350</v>
      </c>
      <c r="AD65" s="108">
        <f>SUMIF(vuot2019_2020_I!$L$12:$L$741,C65,vuot2019_2020_I!$CD$12:$CD$741)</f>
        <v>0</v>
      </c>
      <c r="AE65" s="110">
        <f t="shared" si="27"/>
        <v>460.7</v>
      </c>
      <c r="AF65" s="110">
        <f t="shared" si="8"/>
        <v>242.81666666666669</v>
      </c>
      <c r="AG65" s="87">
        <f t="shared" si="22"/>
        <v>170.32333333333332</v>
      </c>
      <c r="AH65" s="107">
        <f t="shared" si="23"/>
        <v>15592783.333333334</v>
      </c>
      <c r="AI65" s="87">
        <f t="shared" si="28"/>
        <v>460.7</v>
      </c>
      <c r="AJ65" s="88">
        <f>D65</f>
        <v>3</v>
      </c>
      <c r="AK65" s="88"/>
      <c r="AL65" s="88">
        <f>AK65+AJ65</f>
        <v>3</v>
      </c>
      <c r="AM65" s="88">
        <f>ROUND(P65/630,0)</f>
        <v>2</v>
      </c>
      <c r="AN65" s="88"/>
    </row>
    <row r="66" spans="1:40" s="12" customFormat="1" ht="17.100000000000001" customHeight="1" outlineLevel="1">
      <c r="A66" s="97"/>
      <c r="B66" s="97" t="s">
        <v>3103</v>
      </c>
      <c r="C66" s="111"/>
      <c r="D66" s="96">
        <f t="shared" ref="D66:AD66" si="36">SUBTOTAL(9,D61:D65)</f>
        <v>27</v>
      </c>
      <c r="E66" s="112">
        <f t="shared" si="36"/>
        <v>1825.875</v>
      </c>
      <c r="F66" s="112">
        <f t="shared" si="36"/>
        <v>620</v>
      </c>
      <c r="G66" s="112">
        <f t="shared" si="36"/>
        <v>4946.625</v>
      </c>
      <c r="H66" s="112">
        <f t="shared" si="36"/>
        <v>2658.333333333333</v>
      </c>
      <c r="I66" s="112">
        <f t="shared" si="36"/>
        <v>4234.45</v>
      </c>
      <c r="J66" s="112">
        <f>SUBTOTAL(9,J61:J65)</f>
        <v>1323.68</v>
      </c>
      <c r="K66" s="112">
        <f>SUBTOTAL(9,K61:K65)</f>
        <v>2910.7699999999995</v>
      </c>
      <c r="L66" s="112">
        <f t="shared" si="36"/>
        <v>-347.30666666666673</v>
      </c>
      <c r="M66" s="112">
        <f t="shared" si="36"/>
        <v>5293.9316666666664</v>
      </c>
      <c r="N66" s="112">
        <f t="shared" si="36"/>
        <v>7774.2</v>
      </c>
      <c r="O66" s="112">
        <f t="shared" si="36"/>
        <v>436.7</v>
      </c>
      <c r="P66" s="112">
        <f t="shared" si="36"/>
        <v>8210.9</v>
      </c>
      <c r="Q66" s="112">
        <f>SUBTOTAL(9,Q61:Q65)</f>
        <v>2916.9683333333332</v>
      </c>
      <c r="R66" s="112">
        <f>SUBTOTAL(9,R61:R65)</f>
        <v>0</v>
      </c>
      <c r="S66" s="112">
        <f t="shared" si="36"/>
        <v>3403.835</v>
      </c>
      <c r="T66" s="112">
        <f t="shared" si="36"/>
        <v>2624.9949999999999</v>
      </c>
      <c r="U66" s="113">
        <f t="shared" si="36"/>
        <v>178195450</v>
      </c>
      <c r="V66" s="112">
        <f t="shared" si="36"/>
        <v>778.84</v>
      </c>
      <c r="W66" s="113">
        <f t="shared" si="36"/>
        <v>42801800</v>
      </c>
      <c r="X66" s="113">
        <f t="shared" si="36"/>
        <v>220997250</v>
      </c>
      <c r="Y66" s="113">
        <f>SUBTOTAL(9,Y61:Y65)</f>
        <v>0</v>
      </c>
      <c r="Z66" s="113">
        <f>SUBTOTAL(9,Z61:Z65)</f>
        <v>1722000</v>
      </c>
      <c r="AA66" s="113">
        <f>SUBTOTAL(9,AA61:AA65)</f>
        <v>0</v>
      </c>
      <c r="AB66" s="113">
        <f>SUBTOTAL(9,AB61:AB65)</f>
        <v>0</v>
      </c>
      <c r="AC66" s="113">
        <f t="shared" si="36"/>
        <v>220997250</v>
      </c>
      <c r="AD66" s="113">
        <f t="shared" si="36"/>
        <v>1722000</v>
      </c>
      <c r="AE66" s="114">
        <f t="shared" si="27"/>
        <v>304.10740740740738</v>
      </c>
      <c r="AF66" s="114">
        <f t="shared" si="8"/>
        <v>126.06796296296297</v>
      </c>
      <c r="AG66" s="96">
        <f t="shared" si="22"/>
        <v>156.83148148148146</v>
      </c>
      <c r="AH66" s="112">
        <f t="shared" si="23"/>
        <v>8185083.333333333</v>
      </c>
      <c r="AI66" s="96">
        <f t="shared" si="28"/>
        <v>304.10740740740738</v>
      </c>
      <c r="AJ66" s="115">
        <f>SUBTOTAL(9,AJ61:AJ65)</f>
        <v>27</v>
      </c>
      <c r="AK66" s="115">
        <f>SUBTOTAL(9,AK61:AK65)</f>
        <v>0</v>
      </c>
      <c r="AL66" s="115">
        <f>SUBTOTAL(9,AL61:AL65)</f>
        <v>27</v>
      </c>
      <c r="AM66" s="115">
        <f>SUBTOTAL(9,AM61:AM65)</f>
        <v>12</v>
      </c>
      <c r="AN66" s="97">
        <f>AM66-AJ66</f>
        <v>-15</v>
      </c>
    </row>
    <row r="67" spans="1:40" ht="17.100000000000001" customHeight="1" outlineLevel="2">
      <c r="A67" s="88">
        <v>52</v>
      </c>
      <c r="B67" s="88">
        <v>9</v>
      </c>
      <c r="C67" s="90" t="s">
        <v>1101</v>
      </c>
      <c r="D67" s="105">
        <f>COUNTIF(vuot2019_2020_I!$K$12:$K$741,C67)</f>
        <v>7</v>
      </c>
      <c r="E67" s="106">
        <f>SUMIF(vuot2019_2020_I!$L$12:$L$741,C67,vuot2019_2020_I!$AC$12:$AC$741)</f>
        <v>651.375</v>
      </c>
      <c r="F67" s="106">
        <f>SUMIF(vuot2019_2020_I!$L$12:$L$741,C67,vuot2019_2020_I!$AD$12:$AD$741)</f>
        <v>200</v>
      </c>
      <c r="G67" s="106">
        <f>SUMIF(vuot2019_2020_I!$L$12:$L$741,C67,vuot2019_2020_I!$AE$12:$AE$741)</f>
        <v>1036.125</v>
      </c>
      <c r="H67" s="106">
        <f>SUMIF(vuot2019_2020_I!$L$12:$L$741,C67,vuot2019_2020_I!$AF$12:$AF$741)</f>
        <v>550</v>
      </c>
      <c r="I67" s="107">
        <f>SUMIF(vuot2019_2020_I!$L$12:$L$741,C67,vuot2019_2020_I!$AG$12:$AG$741)</f>
        <v>1070.1199999999999</v>
      </c>
      <c r="J67" s="107">
        <f>SUMIF(vuot2019_2020_I!$L$12:$L$741,C67,vuot2019_2020_I!$AH$12:$AH$741)</f>
        <v>662.81999999999994</v>
      </c>
      <c r="K67" s="107">
        <f>SUMIF(vuot2019_2020_I!$L$12:$L$741,C67,vuot2019_2020_I!$AI$12:$AI$741)</f>
        <v>407.29999999999995</v>
      </c>
      <c r="L67" s="107">
        <f>SUMIF(vuot2019_2020_I!$L$12:$L$741,C67,vuot2019_2020_I!$AJ$12:$AJ$741)</f>
        <v>-53.64</v>
      </c>
      <c r="M67" s="107">
        <f>SUMIF(vuot2019_2020_I!$L$12:$L$741,C67,vuot2019_2020_I!$AK$12:$AK$741)</f>
        <v>1089.7649999999999</v>
      </c>
      <c r="N67" s="107">
        <f>SUMIF(vuot2019_2020_I!$L$12:$L$741,C67,vuot2019_2020_I!$AL$12:$AL$741)</f>
        <v>1459.2</v>
      </c>
      <c r="O67" s="107">
        <f>SUMIF(vuot2019_2020_I!$L$12:$L$741,C67,vuot2019_2020_I!$AM$12:$AM$741)</f>
        <v>114</v>
      </c>
      <c r="P67" s="107">
        <f>SUMIF(vuot2019_2020_I!$L$12:$L$741,C67,vuot2019_2020_I!$AN$12:$AN$741)</f>
        <v>1573.2</v>
      </c>
      <c r="Q67" s="107">
        <f>SUMIF(vuot2019_2020_I!$L$12:$L$752,C67,vuot2019_2020_I!$AU$12:$AU$752)</f>
        <v>483.43500000000006</v>
      </c>
      <c r="R67" s="107">
        <f>SUMIF(vuot2019_2020_I!$L$12:$L$752,C67,vuot2019_2020_I!$BK$12:$BK$752)</f>
        <v>0</v>
      </c>
      <c r="S67" s="107">
        <f>SUMIF(vuot2019_2020_I!$L$12:$L$741,C67,vuot2019_2020_I!$BL$12:$BL$741)</f>
        <v>569.43499999999995</v>
      </c>
      <c r="T67" s="107">
        <f>SUMIF(vuot2019_2020_I!$L$12:$L$741,C67,vuot2019_2020_I!$BP$12:$BP$741)</f>
        <v>538.70000000000005</v>
      </c>
      <c r="U67" s="108">
        <f>SUMIF(vuot2019_2020_I!$L$12:$L$741,C67,vuot2019_2020_I!$BR$12:$BR$741)</f>
        <v>39015500</v>
      </c>
      <c r="V67" s="107">
        <f>SUMIF(vuot2019_2020_I!$L$12:$L$741,C67,vuot2019_2020_I!$BS$12:$BS$741)</f>
        <v>30.735000000000014</v>
      </c>
      <c r="W67" s="108">
        <f>SUMIF(vuot2019_2020_I!$L$12:$L$741,C67,vuot2019_2020_I!$BU$12:$BU$741)</f>
        <v>1707485</v>
      </c>
      <c r="X67" s="108">
        <f>SUMIF(vuot2019_2020_I!$L$12:$L$741,C67,vuot2019_2020_I!$BV$12:$BV$741)</f>
        <v>40722985</v>
      </c>
      <c r="Y67" s="108">
        <f>SUMIF(vuot2019_2020_I!$L$12:$L$741,C67,vuot2019_2020_I!$BW$12:$BW$741)</f>
        <v>0</v>
      </c>
      <c r="Z67" s="109">
        <f>SUMIF(vuot2019_2020_I!$L$12:$L$741,C67,vuot2019_2020_I!$BX$12:$BX$741)</f>
        <v>0</v>
      </c>
      <c r="AA67" s="109">
        <f>SUMIF(vuot2019_2020_I!$L$12:$L$741,C67,vuot2019_2020_I!$BY$12:$BY$741)+SUMIF(vuot2019_2020_I!$L$12:$L$741,C67,vuot2019_2020_I!$BZ$12:$BZ$741)</f>
        <v>0</v>
      </c>
      <c r="AB67" s="108">
        <f>SUMIF(vuot2019_2020_I!$L$12:$L$741,C67,vuot2019_2020_I!$CB$12:$CB$741)</f>
        <v>0</v>
      </c>
      <c r="AC67" s="108">
        <f>SUMIF(vuot2019_2020_I!$L$12:$L$741,C67,vuot2019_2020_I!$CC$12:$CC$741)+SUMIF(vuot2019_2020_I!$L$12:$L$741,C67,vuot2019_2020_I!$CA$12:$CA$741)</f>
        <v>40722985</v>
      </c>
      <c r="AD67" s="108">
        <f>SUMIF(vuot2019_2020_I!$L$12:$L$741,C67,vuot2019_2020_I!$CD$12:$CD$741)</f>
        <v>0</v>
      </c>
      <c r="AE67" s="110">
        <f t="shared" si="27"/>
        <v>224.74285714285716</v>
      </c>
      <c r="AF67" s="110">
        <f t="shared" si="8"/>
        <v>81.347857142857137</v>
      </c>
      <c r="AG67" s="87">
        <f t="shared" si="22"/>
        <v>152.87428571428569</v>
      </c>
      <c r="AH67" s="107">
        <f t="shared" si="23"/>
        <v>5817569.2857142854</v>
      </c>
      <c r="AI67" s="87">
        <f t="shared" si="28"/>
        <v>224.74285714285716</v>
      </c>
      <c r="AJ67" s="88">
        <f t="shared" ref="AJ67:AJ74" si="37">D67</f>
        <v>7</v>
      </c>
      <c r="AK67" s="88"/>
      <c r="AL67" s="88">
        <f t="shared" ref="AL67:AL74" si="38">AK67+AJ67</f>
        <v>7</v>
      </c>
      <c r="AM67" s="88">
        <f t="shared" ref="AM67:AM74" si="39">ROUND(P67/630,0)</f>
        <v>2</v>
      </c>
      <c r="AN67" s="88"/>
    </row>
    <row r="68" spans="1:40" ht="17.100000000000001" customHeight="1" outlineLevel="2">
      <c r="A68" s="88">
        <v>53</v>
      </c>
      <c r="B68" s="88">
        <v>9</v>
      </c>
      <c r="C68" s="90" t="s">
        <v>1102</v>
      </c>
      <c r="D68" s="105">
        <f>COUNTIF(vuot2019_2020_I!$K$12:$K$741,C68)</f>
        <v>8</v>
      </c>
      <c r="E68" s="106">
        <f>SUMIF(vuot2019_2020_I!$L$12:$L$741,C68,vuot2019_2020_I!$AC$12:$AC$741)</f>
        <v>472.5</v>
      </c>
      <c r="F68" s="106">
        <f>SUMIF(vuot2019_2020_I!$L$12:$L$741,C68,vuot2019_2020_I!$AD$12:$AD$741)</f>
        <v>120</v>
      </c>
      <c r="G68" s="106">
        <f>SUMIF(vuot2019_2020_I!$L$12:$L$741,C68,vuot2019_2020_I!$AE$12:$AE$741)</f>
        <v>1620</v>
      </c>
      <c r="H68" s="106">
        <f>SUMIF(vuot2019_2020_I!$L$12:$L$741,C68,vuot2019_2020_I!$AF$12:$AF$741)</f>
        <v>865</v>
      </c>
      <c r="I68" s="107">
        <f>SUMIF(vuot2019_2020_I!$L$12:$L$741,C68,vuot2019_2020_I!$AG$12:$AG$741)</f>
        <v>1531.0033333333333</v>
      </c>
      <c r="J68" s="107">
        <f>SUMIF(vuot2019_2020_I!$L$12:$L$741,C68,vuot2019_2020_I!$AH$12:$AH$741)</f>
        <v>440.35333333333341</v>
      </c>
      <c r="K68" s="107">
        <f>SUMIF(vuot2019_2020_I!$L$12:$L$741,C68,vuot2019_2020_I!$AI$12:$AI$741)</f>
        <v>1090.6500000000001</v>
      </c>
      <c r="L68" s="107">
        <f>SUMIF(vuot2019_2020_I!$L$12:$L$741,C68,vuot2019_2020_I!$AJ$12:$AJ$741)</f>
        <v>-148.07</v>
      </c>
      <c r="M68" s="107">
        <f>SUMIF(vuot2019_2020_I!$L$12:$L$741,C68,vuot2019_2020_I!$AK$12:$AK$741)</f>
        <v>1768.0700000000002</v>
      </c>
      <c r="N68" s="107">
        <f>SUMIF(vuot2019_2020_I!$L$12:$L$741,C68,vuot2019_2020_I!$AL$12:$AL$741)</f>
        <v>2556.8000000000002</v>
      </c>
      <c r="O68" s="107">
        <f>SUMIF(vuot2019_2020_I!$L$12:$L$741,C68,vuot2019_2020_I!$AM$12:$AM$741)</f>
        <v>149.1</v>
      </c>
      <c r="P68" s="107">
        <f>SUMIF(vuot2019_2020_I!$L$12:$L$741,C68,vuot2019_2020_I!$AN$12:$AN$741)</f>
        <v>2705.8999999999996</v>
      </c>
      <c r="Q68" s="107">
        <f>SUMIF(vuot2019_2020_I!$L$12:$L$752,C68,vuot2019_2020_I!$AU$12:$AU$752)</f>
        <v>937.83</v>
      </c>
      <c r="R68" s="107">
        <f>SUMIF(vuot2019_2020_I!$L$12:$L$752,C68,vuot2019_2020_I!$BK$12:$BK$752)</f>
        <v>0</v>
      </c>
      <c r="S68" s="107">
        <f>SUMIF(vuot2019_2020_I!$L$12:$L$741,C68,vuot2019_2020_I!$BL$12:$BL$741)</f>
        <v>1103.0700000000002</v>
      </c>
      <c r="T68" s="107">
        <f>SUMIF(vuot2019_2020_I!$L$12:$L$741,C68,vuot2019_2020_I!$BP$12:$BP$741)</f>
        <v>788.87</v>
      </c>
      <c r="U68" s="108">
        <f>SUMIF(vuot2019_2020_I!$L$12:$L$741,C68,vuot2019_2020_I!$BR$12:$BR$741)</f>
        <v>49930100</v>
      </c>
      <c r="V68" s="107">
        <f>SUMIF(vuot2019_2020_I!$L$12:$L$741,C68,vuot2019_2020_I!$BS$12:$BS$741)</f>
        <v>314.2</v>
      </c>
      <c r="W68" s="108">
        <f>SUMIF(vuot2019_2020_I!$L$12:$L$741,C68,vuot2019_2020_I!$BU$12:$BU$741)</f>
        <v>16024200</v>
      </c>
      <c r="X68" s="108">
        <f>SUMIF(vuot2019_2020_I!$L$12:$L$741,C68,vuot2019_2020_I!$BV$12:$BV$741)</f>
        <v>65954300</v>
      </c>
      <c r="Y68" s="108">
        <f>SUMIF(vuot2019_2020_I!$L$12:$L$741,C68,vuot2019_2020_I!$BW$12:$BW$741)</f>
        <v>0</v>
      </c>
      <c r="Z68" s="109">
        <f>SUMIF(vuot2019_2020_I!$L$12:$L$741,C68,vuot2019_2020_I!$BX$12:$BX$741)</f>
        <v>0</v>
      </c>
      <c r="AA68" s="109">
        <f>SUMIF(vuot2019_2020_I!$L$12:$L$741,C68,vuot2019_2020_I!$BY$12:$BY$741)+SUMIF(vuot2019_2020_I!$L$12:$L$741,C68,vuot2019_2020_I!$BZ$12:$BZ$741)</f>
        <v>0</v>
      </c>
      <c r="AB68" s="108">
        <f>SUMIF(vuot2019_2020_I!$L$12:$L$741,C68,vuot2019_2020_I!$CB$12:$CB$741)</f>
        <v>0</v>
      </c>
      <c r="AC68" s="108">
        <f>SUMIF(vuot2019_2020_I!$L$12:$L$741,C68,vuot2019_2020_I!$CC$12:$CC$741)+SUMIF(vuot2019_2020_I!$L$12:$L$741,C68,vuot2019_2020_I!$CA$12:$CA$741)</f>
        <v>65954300</v>
      </c>
      <c r="AD68" s="108">
        <f>SUMIF(vuot2019_2020_I!$L$12:$L$741,C68,vuot2019_2020_I!$CD$12:$CD$741)</f>
        <v>0</v>
      </c>
      <c r="AE68" s="110">
        <f t="shared" si="27"/>
        <v>338.23749999999995</v>
      </c>
      <c r="AF68" s="110">
        <f t="shared" si="8"/>
        <v>137.88375000000002</v>
      </c>
      <c r="AG68" s="87">
        <f t="shared" si="22"/>
        <v>191.37541666666667</v>
      </c>
      <c r="AH68" s="107">
        <f t="shared" si="23"/>
        <v>8244287.5</v>
      </c>
      <c r="AI68" s="87">
        <f t="shared" si="28"/>
        <v>338.23749999999995</v>
      </c>
      <c r="AJ68" s="88">
        <f t="shared" si="37"/>
        <v>8</v>
      </c>
      <c r="AK68" s="88"/>
      <c r="AL68" s="88">
        <f t="shared" si="38"/>
        <v>8</v>
      </c>
      <c r="AM68" s="88">
        <f t="shared" si="39"/>
        <v>4</v>
      </c>
      <c r="AN68" s="88"/>
    </row>
    <row r="69" spans="1:40" ht="17.100000000000001" customHeight="1" outlineLevel="2">
      <c r="A69" s="88">
        <v>54</v>
      </c>
      <c r="B69" s="88">
        <v>9</v>
      </c>
      <c r="C69" s="90" t="s">
        <v>1103</v>
      </c>
      <c r="D69" s="105">
        <f>COUNTIF(vuot2019_2020_I!$K$12:$K$741,C69)</f>
        <v>10</v>
      </c>
      <c r="E69" s="106">
        <f>SUMIF(vuot2019_2020_I!$L$12:$L$741,C69,vuot2019_2020_I!$AC$12:$AC$741)</f>
        <v>1237.5</v>
      </c>
      <c r="F69" s="106">
        <f>SUMIF(vuot2019_2020_I!$L$12:$L$741,C69,vuot2019_2020_I!$AD$12:$AD$741)</f>
        <v>440</v>
      </c>
      <c r="G69" s="106">
        <f>SUMIF(vuot2019_2020_I!$L$12:$L$741,C69,vuot2019_2020_I!$AE$12:$AE$741)</f>
        <v>1147.5</v>
      </c>
      <c r="H69" s="106">
        <f>SUMIF(vuot2019_2020_I!$L$12:$L$741,C69,vuot2019_2020_I!$AF$12:$AF$741)</f>
        <v>758.33333333333326</v>
      </c>
      <c r="I69" s="107">
        <f>SUMIF(vuot2019_2020_I!$L$12:$L$741,C69,vuot2019_2020_I!$AG$12:$AG$741)</f>
        <v>1896.0900000000001</v>
      </c>
      <c r="J69" s="107">
        <f>SUMIF(vuot2019_2020_I!$L$12:$L$741,C69,vuot2019_2020_I!$AH$12:$AH$741)</f>
        <v>803.89</v>
      </c>
      <c r="K69" s="107">
        <f>SUMIF(vuot2019_2020_I!$L$12:$L$741,C69,vuot2019_2020_I!$AI$12:$AI$741)</f>
        <v>1092.1999999999998</v>
      </c>
      <c r="L69" s="107">
        <f>SUMIF(vuot2019_2020_I!$L$12:$L$741,C69,vuot2019_2020_I!$AJ$12:$AJ$741)</f>
        <v>-41.666666666666664</v>
      </c>
      <c r="M69" s="107">
        <f>SUMIF(vuot2019_2020_I!$L$12:$L$741,C69,vuot2019_2020_I!$AK$12:$AK$741)</f>
        <v>1189.1666666666665</v>
      </c>
      <c r="N69" s="107">
        <f>SUMIF(vuot2019_2020_I!$L$12:$L$741,C69,vuot2019_2020_I!$AL$12:$AL$741)</f>
        <v>1697.1</v>
      </c>
      <c r="O69" s="107">
        <f>SUMIF(vuot2019_2020_I!$L$12:$L$741,C69,vuot2019_2020_I!$AM$12:$AM$741)</f>
        <v>281.8</v>
      </c>
      <c r="P69" s="107">
        <f>SUMIF(vuot2019_2020_I!$L$12:$L$741,C69,vuot2019_2020_I!$AN$12:$AN$741)</f>
        <v>1978.9</v>
      </c>
      <c r="Q69" s="107">
        <f>SUMIF(vuot2019_2020_I!$L$12:$L$752,C69,vuot2019_2020_I!$AU$12:$AU$752)</f>
        <v>789.73333333333335</v>
      </c>
      <c r="R69" s="107">
        <f>SUMIF(vuot2019_2020_I!$L$12:$L$752,C69,vuot2019_2020_I!$BK$12:$BK$752)</f>
        <v>0</v>
      </c>
      <c r="S69" s="107">
        <f>SUMIF(vuot2019_2020_I!$L$12:$L$741,C69,vuot2019_2020_I!$BL$12:$BL$741)</f>
        <v>1075.4000000000001</v>
      </c>
      <c r="T69" s="107">
        <f>SUMIF(vuot2019_2020_I!$L$12:$L$741,C69,vuot2019_2020_I!$BP$12:$BP$741)</f>
        <v>737.2</v>
      </c>
      <c r="U69" s="108">
        <f>SUMIF(vuot2019_2020_I!$L$12:$L$741,C69,vuot2019_2020_I!$BR$12:$BR$741)</f>
        <v>50969000</v>
      </c>
      <c r="V69" s="107">
        <f>SUMIF(vuot2019_2020_I!$L$12:$L$741,C69,vuot2019_2020_I!$BS$12:$BS$741)</f>
        <v>338.2</v>
      </c>
      <c r="W69" s="108">
        <f>SUMIF(vuot2019_2020_I!$L$12:$L$741,C69,vuot2019_2020_I!$BU$12:$BU$741)</f>
        <v>17248200</v>
      </c>
      <c r="X69" s="108">
        <f>SUMIF(vuot2019_2020_I!$L$12:$L$741,C69,vuot2019_2020_I!$BV$12:$BV$741)</f>
        <v>68217200</v>
      </c>
      <c r="Y69" s="108">
        <f>SUMIF(vuot2019_2020_I!$L$12:$L$741,C69,vuot2019_2020_I!$BW$12:$BW$741)</f>
        <v>0</v>
      </c>
      <c r="Z69" s="109">
        <f>SUMIF(vuot2019_2020_I!$L$12:$L$741,C69,vuot2019_2020_I!$BX$12:$BX$741)</f>
        <v>0</v>
      </c>
      <c r="AA69" s="109">
        <f>SUMIF(vuot2019_2020_I!$L$12:$L$741,C69,vuot2019_2020_I!$BY$12:$BY$741)+SUMIF(vuot2019_2020_I!$L$12:$L$741,C69,vuot2019_2020_I!$BZ$12:$BZ$741)</f>
        <v>0</v>
      </c>
      <c r="AB69" s="108">
        <f>SUMIF(vuot2019_2020_I!$L$12:$L$741,C69,vuot2019_2020_I!$CB$12:$CB$741)</f>
        <v>0</v>
      </c>
      <c r="AC69" s="108">
        <f>SUMIF(vuot2019_2020_I!$L$12:$L$741,C69,vuot2019_2020_I!$CC$12:$CC$741)+SUMIF(vuot2019_2020_I!$L$12:$L$741,C69,vuot2019_2020_I!$CA$12:$CA$741)</f>
        <v>68217200</v>
      </c>
      <c r="AD69" s="108">
        <f>SUMIF(vuot2019_2020_I!$L$12:$L$741,C69,vuot2019_2020_I!$CD$12:$CD$741)</f>
        <v>0</v>
      </c>
      <c r="AE69" s="110">
        <f t="shared" si="27"/>
        <v>197.89000000000001</v>
      </c>
      <c r="AF69" s="110">
        <f t="shared" si="8"/>
        <v>107.54</v>
      </c>
      <c r="AG69" s="87">
        <f t="shared" si="22"/>
        <v>189.60900000000001</v>
      </c>
      <c r="AH69" s="107">
        <f t="shared" si="23"/>
        <v>6821720</v>
      </c>
      <c r="AI69" s="87">
        <f t="shared" si="28"/>
        <v>197.89000000000001</v>
      </c>
      <c r="AJ69" s="88">
        <f t="shared" si="37"/>
        <v>10</v>
      </c>
      <c r="AK69" s="88"/>
      <c r="AL69" s="88">
        <f t="shared" si="38"/>
        <v>10</v>
      </c>
      <c r="AM69" s="88">
        <f t="shared" si="39"/>
        <v>3</v>
      </c>
      <c r="AN69" s="88"/>
    </row>
    <row r="70" spans="1:40" ht="17.100000000000001" customHeight="1" outlineLevel="2">
      <c r="A70" s="88">
        <v>55</v>
      </c>
      <c r="B70" s="88">
        <v>9</v>
      </c>
      <c r="C70" s="90" t="s">
        <v>1104</v>
      </c>
      <c r="D70" s="105">
        <f>COUNTIF(vuot2019_2020_I!$K$12:$K$741,C70)</f>
        <v>9</v>
      </c>
      <c r="E70" s="106">
        <f>SUMIF(vuot2019_2020_I!$L$12:$L$741,C70,vuot2019_2020_I!$AC$12:$AC$741)</f>
        <v>751.5</v>
      </c>
      <c r="F70" s="106">
        <f>SUMIF(vuot2019_2020_I!$L$12:$L$741,C70,vuot2019_2020_I!$AD$12:$AD$741)</f>
        <v>220</v>
      </c>
      <c r="G70" s="106">
        <f>SUMIF(vuot2019_2020_I!$L$12:$L$741,C70,vuot2019_2020_I!$AE$12:$AE$741)</f>
        <v>1678.5</v>
      </c>
      <c r="H70" s="106">
        <f>SUMIF(vuot2019_2020_I!$L$12:$L$741,C70,vuot2019_2020_I!$AF$12:$AF$741)</f>
        <v>1010</v>
      </c>
      <c r="I70" s="107">
        <f>SUMIF(vuot2019_2020_I!$L$12:$L$741,C70,vuot2019_2020_I!$AG$12:$AG$741)</f>
        <v>1976.1399999999996</v>
      </c>
      <c r="J70" s="107">
        <f>SUMIF(vuot2019_2020_I!$L$12:$L$741,C70,vuot2019_2020_I!$AH$12:$AH$741)</f>
        <v>1409.6199999999997</v>
      </c>
      <c r="K70" s="107">
        <f>SUMIF(vuot2019_2020_I!$L$12:$L$741,C70,vuot2019_2020_I!$AI$12:$AI$741)</f>
        <v>566.52</v>
      </c>
      <c r="L70" s="107">
        <f>SUMIF(vuot2019_2020_I!$L$12:$L$741,C70,vuot2019_2020_I!$AJ$12:$AJ$741)</f>
        <v>-105.72</v>
      </c>
      <c r="M70" s="107">
        <f>SUMIF(vuot2019_2020_I!$L$12:$L$741,C70,vuot2019_2020_I!$AK$12:$AK$741)</f>
        <v>1784.22</v>
      </c>
      <c r="N70" s="107">
        <f>SUMIF(vuot2019_2020_I!$L$12:$L$741,C70,vuot2019_2020_I!$AL$12:$AL$741)</f>
        <v>2989.8</v>
      </c>
      <c r="O70" s="107">
        <f>SUMIF(vuot2019_2020_I!$L$12:$L$741,C70,vuot2019_2020_I!$AM$12:$AM$741)</f>
        <v>114.20000000000002</v>
      </c>
      <c r="P70" s="107">
        <f>SUMIF(vuot2019_2020_I!$L$12:$L$741,C70,vuot2019_2020_I!$AN$12:$AN$741)</f>
        <v>3104</v>
      </c>
      <c r="Q70" s="107">
        <f>SUMIF(vuot2019_2020_I!$L$12:$L$752,C70,vuot2019_2020_I!$AU$12:$AU$752)</f>
        <v>1319.78</v>
      </c>
      <c r="R70" s="107">
        <f>SUMIF(vuot2019_2020_I!$L$12:$L$752,C70,vuot2019_2020_I!$BK$12:$BK$752)</f>
        <v>0</v>
      </c>
      <c r="S70" s="107">
        <f>SUMIF(vuot2019_2020_I!$L$12:$L$741,C70,vuot2019_2020_I!$BL$12:$BL$741)</f>
        <v>1501.5</v>
      </c>
      <c r="T70" s="107">
        <f>SUMIF(vuot2019_2020_I!$L$12:$L$741,C70,vuot2019_2020_I!$BP$12:$BP$741)</f>
        <v>903.3</v>
      </c>
      <c r="U70" s="108">
        <f>SUMIF(vuot2019_2020_I!$L$12:$L$741,C70,vuot2019_2020_I!$BR$12:$BR$741)</f>
        <v>58668500</v>
      </c>
      <c r="V70" s="107">
        <f>SUMIF(vuot2019_2020_I!$L$12:$L$741,C70,vuot2019_2020_I!$BS$12:$BS$741)</f>
        <v>598.19999999999982</v>
      </c>
      <c r="W70" s="108">
        <f>SUMIF(vuot2019_2020_I!$L$12:$L$741,C70,vuot2019_2020_I!$BU$12:$BU$741)</f>
        <v>30508200</v>
      </c>
      <c r="X70" s="108">
        <f>SUMIF(vuot2019_2020_I!$L$12:$L$741,C70,vuot2019_2020_I!$BV$12:$BV$741)</f>
        <v>89176700</v>
      </c>
      <c r="Y70" s="108">
        <f>SUMIF(vuot2019_2020_I!$L$12:$L$741,C70,vuot2019_2020_I!$BW$12:$BW$741)</f>
        <v>0</v>
      </c>
      <c r="Z70" s="109">
        <f>SUMIF(vuot2019_2020_I!$L$12:$L$741,C70,vuot2019_2020_I!$BX$12:$BX$741)</f>
        <v>0</v>
      </c>
      <c r="AA70" s="109">
        <f>SUMIF(vuot2019_2020_I!$L$12:$L$741,C70,vuot2019_2020_I!$BY$12:$BY$741)+SUMIF(vuot2019_2020_I!$L$12:$L$741,C70,vuot2019_2020_I!$BZ$12:$BZ$741)</f>
        <v>0</v>
      </c>
      <c r="AB70" s="108">
        <f>SUMIF(vuot2019_2020_I!$L$12:$L$741,C70,vuot2019_2020_I!$CB$12:$CB$741)</f>
        <v>0</v>
      </c>
      <c r="AC70" s="108">
        <f>SUMIF(vuot2019_2020_I!$L$12:$L$741,C70,vuot2019_2020_I!$CC$12:$CC$741)+SUMIF(vuot2019_2020_I!$L$12:$L$741,C70,vuot2019_2020_I!$CA$12:$CA$741)</f>
        <v>89176700</v>
      </c>
      <c r="AD70" s="108">
        <f>SUMIF(vuot2019_2020_I!$L$12:$L$741,C70,vuot2019_2020_I!$CD$12:$CD$741)</f>
        <v>0</v>
      </c>
      <c r="AE70" s="110">
        <f t="shared" si="27"/>
        <v>344.88888888888891</v>
      </c>
      <c r="AF70" s="110">
        <f t="shared" si="8"/>
        <v>166.83333333333334</v>
      </c>
      <c r="AG70" s="87">
        <f t="shared" si="22"/>
        <v>219.57111111111107</v>
      </c>
      <c r="AH70" s="107">
        <f t="shared" si="23"/>
        <v>9908522.222222222</v>
      </c>
      <c r="AI70" s="87">
        <f t="shared" si="28"/>
        <v>344.88888888888891</v>
      </c>
      <c r="AJ70" s="88">
        <f t="shared" si="37"/>
        <v>9</v>
      </c>
      <c r="AK70" s="88"/>
      <c r="AL70" s="88">
        <f t="shared" si="38"/>
        <v>9</v>
      </c>
      <c r="AM70" s="88">
        <f t="shared" si="39"/>
        <v>5</v>
      </c>
      <c r="AN70" s="88"/>
    </row>
    <row r="71" spans="1:40" ht="17.100000000000001" customHeight="1" outlineLevel="2">
      <c r="A71" s="88">
        <v>56</v>
      </c>
      <c r="B71" s="88">
        <v>9</v>
      </c>
      <c r="C71" s="90" t="s">
        <v>1105</v>
      </c>
      <c r="D71" s="105">
        <f>COUNTIF(vuot2019_2020_I!$K$12:$K$741,C71)</f>
        <v>10</v>
      </c>
      <c r="E71" s="106">
        <f>SUMIF(vuot2019_2020_I!$L$12:$L$741,C71,vuot2019_2020_I!$AC$12:$AC$741)</f>
        <v>1120.5</v>
      </c>
      <c r="F71" s="106">
        <f>SUMIF(vuot2019_2020_I!$L$12:$L$741,C71,vuot2019_2020_I!$AD$12:$AD$741)</f>
        <v>320</v>
      </c>
      <c r="G71" s="106">
        <f>SUMIF(vuot2019_2020_I!$L$12:$L$741,C71,vuot2019_2020_I!$AE$12:$AE$741)</f>
        <v>1579.5</v>
      </c>
      <c r="H71" s="106">
        <f>SUMIF(vuot2019_2020_I!$L$12:$L$741,C71,vuot2019_2020_I!$AF$12:$AF$741)</f>
        <v>980</v>
      </c>
      <c r="I71" s="107">
        <f>SUMIF(vuot2019_2020_I!$L$12:$L$741,C71,vuot2019_2020_I!$AG$12:$AG$741)</f>
        <v>867</v>
      </c>
      <c r="J71" s="107">
        <f>SUMIF(vuot2019_2020_I!$L$12:$L$741,C71,vuot2019_2020_I!$AH$12:$AH$741)</f>
        <v>512.79</v>
      </c>
      <c r="K71" s="107">
        <f>SUMIF(vuot2019_2020_I!$L$12:$L$741,C71,vuot2019_2020_I!$AI$12:$AI$741)</f>
        <v>354.21</v>
      </c>
      <c r="L71" s="107">
        <f>SUMIF(vuot2019_2020_I!$L$12:$L$741,C71,vuot2019_2020_I!$AJ$12:$AJ$741)</f>
        <v>-472.61</v>
      </c>
      <c r="M71" s="107">
        <f>SUMIF(vuot2019_2020_I!$L$12:$L$741,C71,vuot2019_2020_I!$AK$12:$AK$741)</f>
        <v>2052.11</v>
      </c>
      <c r="N71" s="107">
        <f>SUMIF(vuot2019_2020_I!$L$12:$L$741,C71,vuot2019_2020_I!$AL$12:$AL$741)</f>
        <v>3633.8</v>
      </c>
      <c r="O71" s="107">
        <f>SUMIF(vuot2019_2020_I!$L$12:$L$741,C71,vuot2019_2020_I!$AM$12:$AM$741)</f>
        <v>28.999999999999996</v>
      </c>
      <c r="P71" s="107">
        <f>SUMIF(vuot2019_2020_I!$L$12:$L$741,C71,vuot2019_2020_I!$AN$12:$AN$741)</f>
        <v>3662.8</v>
      </c>
      <c r="Q71" s="107">
        <f>SUMIF(vuot2019_2020_I!$L$12:$L$752,C71,vuot2019_2020_I!$AU$12:$AU$752)</f>
        <v>1610.6899999999998</v>
      </c>
      <c r="R71" s="107">
        <f>SUMIF(vuot2019_2020_I!$L$12:$L$752,C71,vuot2019_2020_I!$BK$12:$BK$752)</f>
        <v>0</v>
      </c>
      <c r="S71" s="107">
        <f>SUMIF(vuot2019_2020_I!$L$12:$L$741,C71,vuot2019_2020_I!$BL$12:$BL$741)</f>
        <v>1625.9399999999998</v>
      </c>
      <c r="T71" s="107">
        <f>SUMIF(vuot2019_2020_I!$L$12:$L$741,C71,vuot2019_2020_I!$BP$12:$BP$741)</f>
        <v>1101.5</v>
      </c>
      <c r="U71" s="108">
        <f>SUMIF(vuot2019_2020_I!$L$12:$L$741,C71,vuot2019_2020_I!$BR$12:$BR$741)</f>
        <v>73287500</v>
      </c>
      <c r="V71" s="107">
        <f>SUMIF(vuot2019_2020_I!$L$12:$L$741,C71,vuot2019_2020_I!$BS$12:$BS$741)</f>
        <v>524.43999999999994</v>
      </c>
      <c r="W71" s="108">
        <f>SUMIF(vuot2019_2020_I!$L$12:$L$741,C71,vuot2019_2020_I!$BU$12:$BU$741)</f>
        <v>26938040</v>
      </c>
      <c r="X71" s="108">
        <f>SUMIF(vuot2019_2020_I!$L$12:$L$741,C71,vuot2019_2020_I!$BV$12:$BV$741)</f>
        <v>100225540</v>
      </c>
      <c r="Y71" s="108">
        <f>SUMIF(vuot2019_2020_I!$L$12:$L$741,C71,vuot2019_2020_I!$BW$12:$BW$741)</f>
        <v>0</v>
      </c>
      <c r="Z71" s="109">
        <f>SUMIF(vuot2019_2020_I!$L$12:$L$741,C71,vuot2019_2020_I!$BX$12:$BX$741)</f>
        <v>0</v>
      </c>
      <c r="AA71" s="109">
        <f>SUMIF(vuot2019_2020_I!$L$12:$L$741,C71,vuot2019_2020_I!$BY$12:$BY$741)+SUMIF(vuot2019_2020_I!$L$12:$L$741,C71,vuot2019_2020_I!$BZ$12:$BZ$741)</f>
        <v>0</v>
      </c>
      <c r="AB71" s="108">
        <f>SUMIF(vuot2019_2020_I!$L$12:$L$741,C71,vuot2019_2020_I!$CB$12:$CB$741)</f>
        <v>0</v>
      </c>
      <c r="AC71" s="108">
        <f>SUMIF(vuot2019_2020_I!$L$12:$L$741,C71,vuot2019_2020_I!$CC$12:$CC$741)+SUMIF(vuot2019_2020_I!$L$12:$L$741,C71,vuot2019_2020_I!$CA$12:$CA$741)</f>
        <v>100225540</v>
      </c>
      <c r="AD71" s="108">
        <f>SUMIF(vuot2019_2020_I!$L$12:$L$741,C71,vuot2019_2020_I!$CD$12:$CD$741)</f>
        <v>0</v>
      </c>
      <c r="AE71" s="110">
        <f t="shared" si="27"/>
        <v>366.28000000000003</v>
      </c>
      <c r="AF71" s="110">
        <f t="shared" si="8"/>
        <v>162.59399999999999</v>
      </c>
      <c r="AG71" s="87">
        <f t="shared" si="22"/>
        <v>86.7</v>
      </c>
      <c r="AH71" s="107">
        <f t="shared" si="23"/>
        <v>10022554</v>
      </c>
      <c r="AI71" s="87">
        <f t="shared" si="28"/>
        <v>366.28000000000003</v>
      </c>
      <c r="AJ71" s="88">
        <f t="shared" si="37"/>
        <v>10</v>
      </c>
      <c r="AK71" s="88"/>
      <c r="AL71" s="88">
        <f t="shared" si="38"/>
        <v>10</v>
      </c>
      <c r="AM71" s="88">
        <f t="shared" si="39"/>
        <v>6</v>
      </c>
      <c r="AN71" s="88"/>
    </row>
    <row r="72" spans="1:40" ht="17.100000000000001" customHeight="1" outlineLevel="2">
      <c r="A72" s="88">
        <v>57</v>
      </c>
      <c r="B72" s="88">
        <v>9</v>
      </c>
      <c r="C72" s="90" t="s">
        <v>1106</v>
      </c>
      <c r="D72" s="105">
        <f>COUNTIF(vuot2019_2020_I!$K$12:$K$741,C72)</f>
        <v>13</v>
      </c>
      <c r="E72" s="106">
        <f>SUMIF(vuot2019_2020_I!$L$12:$L$741,C72,vuot2019_2020_I!$AC$12:$AC$741)</f>
        <v>999</v>
      </c>
      <c r="F72" s="106">
        <f>SUMIF(vuot2019_2020_I!$L$12:$L$741,C72,vuot2019_2020_I!$AD$12:$AD$741)</f>
        <v>360</v>
      </c>
      <c r="G72" s="106">
        <f>SUMIF(vuot2019_2020_I!$L$12:$L$741,C72,vuot2019_2020_I!$AE$12:$AE$741)</f>
        <v>2353.5</v>
      </c>
      <c r="H72" s="106">
        <f>SUMIF(vuot2019_2020_I!$L$12:$L$741,C72,vuot2019_2020_I!$AF$12:$AF$741)</f>
        <v>1306.6666666666665</v>
      </c>
      <c r="I72" s="107">
        <f>SUMIF(vuot2019_2020_I!$L$12:$L$741,C72,vuot2019_2020_I!$AG$12:$AG$741)</f>
        <v>2128.15</v>
      </c>
      <c r="J72" s="107">
        <f>SUMIF(vuot2019_2020_I!$L$12:$L$741,C72,vuot2019_2020_I!$AH$12:$AH$741)</f>
        <v>786.41</v>
      </c>
      <c r="K72" s="107">
        <f>SUMIF(vuot2019_2020_I!$L$12:$L$741,C72,vuot2019_2020_I!$AI$12:$AI$741)</f>
        <v>1341.7399999999998</v>
      </c>
      <c r="L72" s="107">
        <f>SUMIF(vuot2019_2020_I!$L$12:$L$741,C72,vuot2019_2020_I!$AJ$12:$AJ$741)</f>
        <v>0</v>
      </c>
      <c r="M72" s="107">
        <f>SUMIF(vuot2019_2020_I!$L$12:$L$741,C72,vuot2019_2020_I!$AK$12:$AK$741)</f>
        <v>2353.5</v>
      </c>
      <c r="N72" s="107">
        <f>SUMIF(vuot2019_2020_I!$L$12:$L$741,C72,vuot2019_2020_I!$AL$12:$AL$741)</f>
        <v>4067.2</v>
      </c>
      <c r="O72" s="107">
        <f>SUMIF(vuot2019_2020_I!$L$12:$L$741,C72,vuot2019_2020_I!$AM$12:$AM$741)</f>
        <v>114.19999999999999</v>
      </c>
      <c r="P72" s="107">
        <f>SUMIF(vuot2019_2020_I!$L$12:$L$741,C72,vuot2019_2020_I!$AN$12:$AN$741)</f>
        <v>4181.3999999999996</v>
      </c>
      <c r="Q72" s="107">
        <f>SUMIF(vuot2019_2020_I!$L$12:$L$752,C72,vuot2019_2020_I!$AU$12:$AU$752)</f>
        <v>1827.9</v>
      </c>
      <c r="R72" s="107">
        <f>SUMIF(vuot2019_2020_I!$L$12:$L$752,C72,vuot2019_2020_I!$BK$12:$BK$752)</f>
        <v>0</v>
      </c>
      <c r="S72" s="107">
        <f>SUMIF(vuot2019_2020_I!$L$12:$L$741,C72,vuot2019_2020_I!$BL$12:$BL$741)</f>
        <v>1827.9</v>
      </c>
      <c r="T72" s="107">
        <f>SUMIF(vuot2019_2020_I!$L$12:$L$741,C72,vuot2019_2020_I!$BP$12:$BP$741)</f>
        <v>1415.5</v>
      </c>
      <c r="U72" s="108">
        <f>SUMIF(vuot2019_2020_I!$L$12:$L$741,C72,vuot2019_2020_I!$BR$12:$BR$741)</f>
        <v>94182000</v>
      </c>
      <c r="V72" s="107">
        <f>SUMIF(vuot2019_2020_I!$L$12:$L$741,C72,vuot2019_2020_I!$BS$12:$BS$741)</f>
        <v>412.40000000000003</v>
      </c>
      <c r="W72" s="108">
        <f>SUMIF(vuot2019_2020_I!$L$12:$L$741,C72,vuot2019_2020_I!$BU$12:$BU$741)</f>
        <v>21288600</v>
      </c>
      <c r="X72" s="108">
        <f>SUMIF(vuot2019_2020_I!$L$12:$L$741,C72,vuot2019_2020_I!$BV$12:$BV$741)</f>
        <v>115470600</v>
      </c>
      <c r="Y72" s="108">
        <f>SUMIF(vuot2019_2020_I!$L$12:$L$741,C72,vuot2019_2020_I!$BW$12:$BW$741)</f>
        <v>0</v>
      </c>
      <c r="Z72" s="109">
        <f>SUMIF(vuot2019_2020_I!$L$12:$L$741,C72,vuot2019_2020_I!$BX$12:$BX$741)</f>
        <v>0</v>
      </c>
      <c r="AA72" s="109">
        <f>SUMIF(vuot2019_2020_I!$L$12:$L$741,C72,vuot2019_2020_I!$BY$12:$BY$741)+SUMIF(vuot2019_2020_I!$L$12:$L$741,C72,vuot2019_2020_I!$BZ$12:$BZ$741)</f>
        <v>0</v>
      </c>
      <c r="AB72" s="108">
        <f>SUMIF(vuot2019_2020_I!$L$12:$L$741,C72,vuot2019_2020_I!$CB$12:$CB$741)</f>
        <v>0</v>
      </c>
      <c r="AC72" s="108">
        <f>SUMIF(vuot2019_2020_I!$L$12:$L$741,C72,vuot2019_2020_I!$CC$12:$CC$741)+SUMIF(vuot2019_2020_I!$L$12:$L$741,C72,vuot2019_2020_I!$CA$12:$CA$741)</f>
        <v>115470600</v>
      </c>
      <c r="AD72" s="108">
        <f>SUMIF(vuot2019_2020_I!$L$12:$L$741,C72,vuot2019_2020_I!$CD$12:$CD$741)</f>
        <v>0</v>
      </c>
      <c r="AE72" s="110">
        <f t="shared" ref="AE72:AE103" si="40">P72/D72</f>
        <v>321.64615384615382</v>
      </c>
      <c r="AF72" s="110">
        <f t="shared" si="8"/>
        <v>140.6076923076923</v>
      </c>
      <c r="AG72" s="87">
        <f t="shared" si="22"/>
        <v>163.70384615384617</v>
      </c>
      <c r="AH72" s="107">
        <f t="shared" si="23"/>
        <v>8882353.846153846</v>
      </c>
      <c r="AI72" s="87">
        <f t="shared" ref="AI72:AI103" si="41">P72/(AJ72+AK72)</f>
        <v>321.64615384615382</v>
      </c>
      <c r="AJ72" s="88">
        <f t="shared" si="37"/>
        <v>13</v>
      </c>
      <c r="AK72" s="88"/>
      <c r="AL72" s="88">
        <f t="shared" si="38"/>
        <v>13</v>
      </c>
      <c r="AM72" s="88">
        <f t="shared" si="39"/>
        <v>7</v>
      </c>
      <c r="AN72" s="88"/>
    </row>
    <row r="73" spans="1:40" ht="17.100000000000001" customHeight="1" outlineLevel="2">
      <c r="A73" s="88">
        <v>58</v>
      </c>
      <c r="B73" s="88">
        <v>9</v>
      </c>
      <c r="C73" s="90" t="s">
        <v>1107</v>
      </c>
      <c r="D73" s="105">
        <f>COUNTIF(vuot2019_2020_I!$K$12:$K$741,C73)</f>
        <v>6</v>
      </c>
      <c r="E73" s="106">
        <f>SUMIF(vuot2019_2020_I!$L$12:$L$741,C73,vuot2019_2020_I!$AC$12:$AC$741)</f>
        <v>621</v>
      </c>
      <c r="F73" s="106">
        <f>SUMIF(vuot2019_2020_I!$L$12:$L$741,C73,vuot2019_2020_I!$AD$12:$AD$741)</f>
        <v>270</v>
      </c>
      <c r="G73" s="106">
        <f>SUMIF(vuot2019_2020_I!$L$12:$L$741,C73,vuot2019_2020_I!$AE$12:$AE$741)</f>
        <v>999</v>
      </c>
      <c r="H73" s="106">
        <f>SUMIF(vuot2019_2020_I!$L$12:$L$741,C73,vuot2019_2020_I!$AF$12:$AF$741)</f>
        <v>730</v>
      </c>
      <c r="I73" s="107">
        <f>SUMIF(vuot2019_2020_I!$L$12:$L$741,C73,vuot2019_2020_I!$AG$12:$AG$741)</f>
        <v>2536.5499999999997</v>
      </c>
      <c r="J73" s="107">
        <f>SUMIF(vuot2019_2020_I!$L$12:$L$741,C73,vuot2019_2020_I!$AH$12:$AH$741)</f>
        <v>937.31999999999994</v>
      </c>
      <c r="K73" s="107">
        <f>SUMIF(vuot2019_2020_I!$L$12:$L$741,C73,vuot2019_2020_I!$AI$12:$AI$741)</f>
        <v>1599.2299999999998</v>
      </c>
      <c r="L73" s="107">
        <f>SUMIF(vuot2019_2020_I!$L$12:$L$741,C73,vuot2019_2020_I!$AJ$12:$AJ$741)</f>
        <v>-0.65999999999999659</v>
      </c>
      <c r="M73" s="107">
        <f>SUMIF(vuot2019_2020_I!$L$12:$L$741,C73,vuot2019_2020_I!$AK$12:$AK$741)</f>
        <v>999.66</v>
      </c>
      <c r="N73" s="107">
        <f>SUMIF(vuot2019_2020_I!$L$12:$L$741,C73,vuot2019_2020_I!$AL$12:$AL$741)</f>
        <v>1100.6999999999998</v>
      </c>
      <c r="O73" s="107">
        <f>SUMIF(vuot2019_2020_I!$L$12:$L$741,C73,vuot2019_2020_I!$AM$12:$AM$741)</f>
        <v>143.60000000000002</v>
      </c>
      <c r="P73" s="107">
        <f>SUMIF(vuot2019_2020_I!$L$12:$L$741,C73,vuot2019_2020_I!$AN$12:$AN$741)</f>
        <v>1244.3</v>
      </c>
      <c r="Q73" s="107">
        <f>SUMIF(vuot2019_2020_I!$L$12:$L$752,C73,vuot2019_2020_I!$AU$12:$AU$752)</f>
        <v>244.64</v>
      </c>
      <c r="R73" s="107">
        <f>SUMIF(vuot2019_2020_I!$L$12:$L$752,C73,vuot2019_2020_I!$BK$12:$BK$752)</f>
        <v>0</v>
      </c>
      <c r="S73" s="107">
        <f>SUMIF(vuot2019_2020_I!$L$12:$L$741,C73,vuot2019_2020_I!$BL$12:$BL$741)</f>
        <v>410.54</v>
      </c>
      <c r="T73" s="107">
        <f>SUMIF(vuot2019_2020_I!$L$12:$L$741,C73,vuot2019_2020_I!$BP$12:$BP$741)</f>
        <v>225.3</v>
      </c>
      <c r="U73" s="108">
        <f>SUMIF(vuot2019_2020_I!$L$12:$L$741,C73,vuot2019_2020_I!$BR$12:$BR$741)</f>
        <v>14024000</v>
      </c>
      <c r="V73" s="107">
        <f>SUMIF(vuot2019_2020_I!$L$12:$L$741,C73,vuot2019_2020_I!$BS$12:$BS$741)</f>
        <v>185.24</v>
      </c>
      <c r="W73" s="108">
        <f>SUMIF(vuot2019_2020_I!$L$12:$L$741,C73,vuot2019_2020_I!$BU$12:$BU$741)</f>
        <v>9447240</v>
      </c>
      <c r="X73" s="108">
        <f>SUMIF(vuot2019_2020_I!$L$12:$L$741,C73,vuot2019_2020_I!$BV$12:$BV$741)</f>
        <v>23471240</v>
      </c>
      <c r="Y73" s="108">
        <f>SUMIF(vuot2019_2020_I!$L$12:$L$741,C73,vuot2019_2020_I!$BW$12:$BW$741)</f>
        <v>0</v>
      </c>
      <c r="Z73" s="109">
        <f>SUMIF(vuot2019_2020_I!$L$12:$L$741,C73,vuot2019_2020_I!$BX$12:$BX$741)</f>
        <v>0</v>
      </c>
      <c r="AA73" s="109">
        <f>SUMIF(vuot2019_2020_I!$L$12:$L$741,C73,vuot2019_2020_I!$BY$12:$BY$741)+SUMIF(vuot2019_2020_I!$L$12:$L$741,C73,vuot2019_2020_I!$BZ$12:$BZ$741)</f>
        <v>0</v>
      </c>
      <c r="AB73" s="108">
        <f>SUMIF(vuot2019_2020_I!$L$12:$L$741,C73,vuot2019_2020_I!$CB$12:$CB$741)</f>
        <v>0</v>
      </c>
      <c r="AC73" s="108">
        <f>SUMIF(vuot2019_2020_I!$L$12:$L$741,C73,vuot2019_2020_I!$CC$12:$CC$741)+SUMIF(vuot2019_2020_I!$L$12:$L$741,C73,vuot2019_2020_I!$CA$12:$CA$741)</f>
        <v>23471240</v>
      </c>
      <c r="AD73" s="108">
        <f>SUMIF(vuot2019_2020_I!$L$12:$L$741,C73,vuot2019_2020_I!$CD$12:$CD$741)</f>
        <v>0</v>
      </c>
      <c r="AE73" s="110">
        <f t="shared" si="40"/>
        <v>207.38333333333333</v>
      </c>
      <c r="AF73" s="110">
        <f t="shared" ref="AF73:AF112" si="42">S73/D73</f>
        <v>68.423333333333332</v>
      </c>
      <c r="AG73" s="87">
        <f t="shared" si="22"/>
        <v>422.75833333333327</v>
      </c>
      <c r="AH73" s="107">
        <f t="shared" si="23"/>
        <v>3911873.3333333335</v>
      </c>
      <c r="AI73" s="87">
        <f t="shared" si="41"/>
        <v>207.38333333333333</v>
      </c>
      <c r="AJ73" s="88">
        <f t="shared" si="37"/>
        <v>6</v>
      </c>
      <c r="AK73" s="88"/>
      <c r="AL73" s="88">
        <f t="shared" si="38"/>
        <v>6</v>
      </c>
      <c r="AM73" s="88">
        <f t="shared" si="39"/>
        <v>2</v>
      </c>
      <c r="AN73" s="88"/>
    </row>
    <row r="74" spans="1:40" ht="17.100000000000001" customHeight="1" outlineLevel="2">
      <c r="A74" s="88">
        <v>59</v>
      </c>
      <c r="B74" s="88">
        <v>9</v>
      </c>
      <c r="C74" s="90" t="s">
        <v>1108</v>
      </c>
      <c r="D74" s="105">
        <f>COUNTIF(vuot2019_2020_I!$K$12:$K$741,C74)</f>
        <v>3</v>
      </c>
      <c r="E74" s="106">
        <f>SUMIF(vuot2019_2020_I!$L$12:$L$741,C74,vuot2019_2020_I!$AC$12:$AC$741)</f>
        <v>108</v>
      </c>
      <c r="F74" s="106">
        <f>SUMIF(vuot2019_2020_I!$L$12:$L$741,C74,vuot2019_2020_I!$AD$12:$AD$741)</f>
        <v>0</v>
      </c>
      <c r="G74" s="106">
        <f>SUMIF(vuot2019_2020_I!$L$12:$L$741,C74,vuot2019_2020_I!$AE$12:$AE$741)</f>
        <v>702</v>
      </c>
      <c r="H74" s="106">
        <f>SUMIF(vuot2019_2020_I!$L$12:$L$741,C74,vuot2019_2020_I!$AF$12:$AF$741)</f>
        <v>260</v>
      </c>
      <c r="I74" s="107">
        <f>SUMIF(vuot2019_2020_I!$L$12:$L$741,C74,vuot2019_2020_I!$AG$12:$AG$741)</f>
        <v>0</v>
      </c>
      <c r="J74" s="107">
        <f>SUMIF(vuot2019_2020_I!$L$12:$L$741,C74,vuot2019_2020_I!$AH$12:$AH$741)</f>
        <v>0</v>
      </c>
      <c r="K74" s="107">
        <f>SUMIF(vuot2019_2020_I!$L$12:$L$741,C74,vuot2019_2020_I!$AI$12:$AI$741)</f>
        <v>0</v>
      </c>
      <c r="L74" s="107">
        <f>SUMIF(vuot2019_2020_I!$L$12:$L$741,C74,vuot2019_2020_I!$AJ$12:$AJ$741)</f>
        <v>-260</v>
      </c>
      <c r="M74" s="107">
        <f>SUMIF(vuot2019_2020_I!$L$12:$L$741,C74,vuot2019_2020_I!$AK$12:$AK$741)</f>
        <v>962</v>
      </c>
      <c r="N74" s="107">
        <f>SUMIF(vuot2019_2020_I!$L$12:$L$741,C74,vuot2019_2020_I!$AL$12:$AL$741)</f>
        <v>1555.8</v>
      </c>
      <c r="O74" s="107">
        <f>SUMIF(vuot2019_2020_I!$L$12:$L$741,C74,vuot2019_2020_I!$AM$12:$AM$741)</f>
        <v>0</v>
      </c>
      <c r="P74" s="107">
        <f>SUMIF(vuot2019_2020_I!$L$12:$L$741,C74,vuot2019_2020_I!$AN$12:$AN$741)</f>
        <v>1555.8</v>
      </c>
      <c r="Q74" s="107">
        <f>SUMIF(vuot2019_2020_I!$L$12:$L$752,C74,vuot2019_2020_I!$AU$12:$AU$752)</f>
        <v>593.79999999999995</v>
      </c>
      <c r="R74" s="107">
        <f>SUMIF(vuot2019_2020_I!$L$12:$L$752,C74,vuot2019_2020_I!$BK$12:$BK$752)</f>
        <v>0</v>
      </c>
      <c r="S74" s="107">
        <f>SUMIF(vuot2019_2020_I!$L$12:$L$741,C74,vuot2019_2020_I!$BL$12:$BL$741)</f>
        <v>743.1</v>
      </c>
      <c r="T74" s="107">
        <f>SUMIF(vuot2019_2020_I!$L$12:$L$741,C74,vuot2019_2020_I!$BP$12:$BP$741)</f>
        <v>400</v>
      </c>
      <c r="U74" s="108">
        <f>SUMIF(vuot2019_2020_I!$L$12:$L$741,C74,vuot2019_2020_I!$BR$12:$BR$741)</f>
        <v>23000000</v>
      </c>
      <c r="V74" s="107">
        <f>SUMIF(vuot2019_2020_I!$L$12:$L$741,C74,vuot2019_2020_I!$BS$12:$BS$741)</f>
        <v>343.1</v>
      </c>
      <c r="W74" s="108">
        <f>SUMIF(vuot2019_2020_I!$L$12:$L$741,C74,vuot2019_2020_I!$BU$12:$BU$741)</f>
        <v>17498100</v>
      </c>
      <c r="X74" s="108">
        <f>SUMIF(vuot2019_2020_I!$L$12:$L$741,C74,vuot2019_2020_I!$BV$12:$BV$741)</f>
        <v>40498100</v>
      </c>
      <c r="Y74" s="108">
        <f>SUMIF(vuot2019_2020_I!$L$12:$L$741,C74,vuot2019_2020_I!$BW$12:$BW$741)</f>
        <v>0</v>
      </c>
      <c r="Z74" s="109">
        <f>SUMIF(vuot2019_2020_I!$L$12:$L$741,C74,vuot2019_2020_I!$BX$12:$BX$741)</f>
        <v>0</v>
      </c>
      <c r="AA74" s="109">
        <f>SUMIF(vuot2019_2020_I!$L$12:$L$741,C74,vuot2019_2020_I!$BY$12:$BY$741)+SUMIF(vuot2019_2020_I!$L$12:$L$741,C74,vuot2019_2020_I!$BZ$12:$BZ$741)</f>
        <v>0</v>
      </c>
      <c r="AB74" s="108">
        <f>SUMIF(vuot2019_2020_I!$L$12:$L$741,C74,vuot2019_2020_I!$CB$12:$CB$741)</f>
        <v>0</v>
      </c>
      <c r="AC74" s="108">
        <f>SUMIF(vuot2019_2020_I!$L$12:$L$741,C74,vuot2019_2020_I!$CC$12:$CC$741)+SUMIF(vuot2019_2020_I!$L$12:$L$741,C74,vuot2019_2020_I!$CA$12:$CA$741)</f>
        <v>40498100</v>
      </c>
      <c r="AD74" s="108">
        <f>SUMIF(vuot2019_2020_I!$L$12:$L$741,C74,vuot2019_2020_I!$CD$12:$CD$741)</f>
        <v>0</v>
      </c>
      <c r="AE74" s="110">
        <f t="shared" si="40"/>
        <v>518.6</v>
      </c>
      <c r="AF74" s="110">
        <f t="shared" si="42"/>
        <v>247.70000000000002</v>
      </c>
      <c r="AG74" s="87">
        <f t="shared" si="22"/>
        <v>0</v>
      </c>
      <c r="AH74" s="107">
        <f t="shared" si="23"/>
        <v>13499366.666666666</v>
      </c>
      <c r="AI74" s="87">
        <f t="shared" si="41"/>
        <v>518.6</v>
      </c>
      <c r="AJ74" s="88">
        <f t="shared" si="37"/>
        <v>3</v>
      </c>
      <c r="AK74" s="88"/>
      <c r="AL74" s="88">
        <f t="shared" si="38"/>
        <v>3</v>
      </c>
      <c r="AM74" s="88">
        <f t="shared" si="39"/>
        <v>2</v>
      </c>
      <c r="AN74" s="88"/>
    </row>
    <row r="75" spans="1:40" s="12" customFormat="1" ht="17.100000000000001" customHeight="1" outlineLevel="1">
      <c r="A75" s="97"/>
      <c r="B75" s="97" t="s">
        <v>3104</v>
      </c>
      <c r="C75" s="111"/>
      <c r="D75" s="96">
        <f t="shared" ref="D75:AD75" si="43">SUBTOTAL(9,D67:D74)</f>
        <v>66</v>
      </c>
      <c r="E75" s="112">
        <f t="shared" si="43"/>
        <v>5961.375</v>
      </c>
      <c r="F75" s="112">
        <f t="shared" si="43"/>
        <v>1930</v>
      </c>
      <c r="G75" s="112">
        <f t="shared" si="43"/>
        <v>11116.125</v>
      </c>
      <c r="H75" s="112">
        <f t="shared" si="43"/>
        <v>6460</v>
      </c>
      <c r="I75" s="112">
        <f t="shared" si="43"/>
        <v>12005.053333333331</v>
      </c>
      <c r="J75" s="112">
        <f>SUBTOTAL(9,J67:J74)</f>
        <v>5553.2033333333329</v>
      </c>
      <c r="K75" s="112">
        <f>SUBTOTAL(9,K67:K74)</f>
        <v>6451.8499999999985</v>
      </c>
      <c r="L75" s="112">
        <f t="shared" si="43"/>
        <v>-1082.3666666666668</v>
      </c>
      <c r="M75" s="112">
        <f t="shared" si="43"/>
        <v>12198.491666666667</v>
      </c>
      <c r="N75" s="112">
        <f t="shared" si="43"/>
        <v>19060.400000000001</v>
      </c>
      <c r="O75" s="112">
        <f t="shared" si="43"/>
        <v>945.9000000000002</v>
      </c>
      <c r="P75" s="112">
        <f t="shared" si="43"/>
        <v>20006.299999999996</v>
      </c>
      <c r="Q75" s="112">
        <f>SUBTOTAL(9,Q67:Q74)</f>
        <v>7807.8083333333343</v>
      </c>
      <c r="R75" s="112">
        <f>SUBTOTAL(9,R67:R74)</f>
        <v>0</v>
      </c>
      <c r="S75" s="112">
        <f t="shared" si="43"/>
        <v>8856.8850000000002</v>
      </c>
      <c r="T75" s="112">
        <f t="shared" si="43"/>
        <v>6110.3700000000008</v>
      </c>
      <c r="U75" s="113">
        <f t="shared" si="43"/>
        <v>403076600</v>
      </c>
      <c r="V75" s="112">
        <f t="shared" si="43"/>
        <v>2746.5149999999999</v>
      </c>
      <c r="W75" s="113">
        <f t="shared" si="43"/>
        <v>140660065</v>
      </c>
      <c r="X75" s="113">
        <f t="shared" si="43"/>
        <v>543736665</v>
      </c>
      <c r="Y75" s="113">
        <f>SUBTOTAL(9,Y67:Y74)</f>
        <v>0</v>
      </c>
      <c r="Z75" s="113">
        <f>SUBTOTAL(9,Z67:Z74)</f>
        <v>0</v>
      </c>
      <c r="AA75" s="113">
        <f>SUBTOTAL(9,AA67:AA74)</f>
        <v>0</v>
      </c>
      <c r="AB75" s="113">
        <f>SUBTOTAL(9,AB67:AB74)</f>
        <v>0</v>
      </c>
      <c r="AC75" s="113">
        <f t="shared" si="43"/>
        <v>543736665</v>
      </c>
      <c r="AD75" s="113">
        <f t="shared" si="43"/>
        <v>0</v>
      </c>
      <c r="AE75" s="114">
        <f t="shared" si="40"/>
        <v>303.12575757575752</v>
      </c>
      <c r="AF75" s="114">
        <f t="shared" si="42"/>
        <v>134.19522727272727</v>
      </c>
      <c r="AG75" s="96">
        <f t="shared" si="22"/>
        <v>181.89474747474745</v>
      </c>
      <c r="AH75" s="112">
        <f t="shared" si="23"/>
        <v>8238434.3181818184</v>
      </c>
      <c r="AI75" s="96">
        <f t="shared" si="41"/>
        <v>303.12575757575752</v>
      </c>
      <c r="AJ75" s="115">
        <f>SUBTOTAL(9,AJ67:AJ74)</f>
        <v>66</v>
      </c>
      <c r="AK75" s="115">
        <f>SUBTOTAL(9,AK67:AK74)</f>
        <v>0</v>
      </c>
      <c r="AL75" s="115">
        <f>SUBTOTAL(9,AL67:AL74)</f>
        <v>66</v>
      </c>
      <c r="AM75" s="115">
        <f>SUBTOTAL(9,AM67:AM74)</f>
        <v>31</v>
      </c>
      <c r="AN75" s="97">
        <f>AM75-AJ75</f>
        <v>-35</v>
      </c>
    </row>
    <row r="76" spans="1:40" ht="17.100000000000001" customHeight="1" outlineLevel="2">
      <c r="A76" s="88">
        <v>60</v>
      </c>
      <c r="B76" s="88">
        <v>10</v>
      </c>
      <c r="C76" s="90" t="s">
        <v>1109</v>
      </c>
      <c r="D76" s="105">
        <f>COUNTIF(vuot2019_2020_I!$K$12:$K$741,C76)</f>
        <v>16</v>
      </c>
      <c r="E76" s="106">
        <f>SUMIF(vuot2019_2020_I!$L$12:$L$741,C76,vuot2019_2020_I!$AC$12:$AC$741)</f>
        <v>580.5</v>
      </c>
      <c r="F76" s="106">
        <f>SUMIF(vuot2019_2020_I!$L$12:$L$741,C76,vuot2019_2020_I!$AD$12:$AD$741)</f>
        <v>80</v>
      </c>
      <c r="G76" s="106">
        <f>SUMIF(vuot2019_2020_I!$L$12:$L$741,C76,vuot2019_2020_I!$AE$12:$AE$741)</f>
        <v>3627</v>
      </c>
      <c r="H76" s="106">
        <f>SUMIF(vuot2019_2020_I!$L$12:$L$741,C76,vuot2019_2020_I!$AF$12:$AF$741)</f>
        <v>1106.6666666666667</v>
      </c>
      <c r="I76" s="107">
        <f>SUMIF(vuot2019_2020_I!$L$12:$L$741,C76,vuot2019_2020_I!$AG$12:$AG$741)</f>
        <v>866.44</v>
      </c>
      <c r="J76" s="107">
        <f>SUMIF(vuot2019_2020_I!$L$12:$L$741,C76,vuot2019_2020_I!$AH$12:$AH$741)</f>
        <v>128.09999999999997</v>
      </c>
      <c r="K76" s="107">
        <f>SUMIF(vuot2019_2020_I!$L$12:$L$741,C76,vuot2019_2020_I!$AI$12:$AI$741)</f>
        <v>738.34</v>
      </c>
      <c r="L76" s="107">
        <f>SUMIF(vuot2019_2020_I!$L$12:$L$741,C76,vuot2019_2020_I!$AJ$12:$AJ$741)</f>
        <v>-596.36666666666667</v>
      </c>
      <c r="M76" s="107">
        <f>SUMIF(vuot2019_2020_I!$L$12:$L$741,C76,vuot2019_2020_I!$AK$12:$AK$741)</f>
        <v>4223.3666666666668</v>
      </c>
      <c r="N76" s="107">
        <f>SUMIF(vuot2019_2020_I!$L$12:$L$741,C76,vuot2019_2020_I!$AL$12:$AL$741)</f>
        <v>2594.6</v>
      </c>
      <c r="O76" s="107">
        <f>SUMIF(vuot2019_2020_I!$L$12:$L$741,C76,vuot2019_2020_I!$AM$12:$AM$741)</f>
        <v>0</v>
      </c>
      <c r="P76" s="107">
        <f>SUMIF(vuot2019_2020_I!$L$12:$L$741,C76,vuot2019_2020_I!$AN$12:$AN$741)</f>
        <v>2594.6</v>
      </c>
      <c r="Q76" s="107">
        <f>SUMIF(vuot2019_2020_I!$L$12:$L$752,C76,vuot2019_2020_I!$AU$12:$AU$752)</f>
        <v>-1628.7666666666669</v>
      </c>
      <c r="R76" s="107">
        <f>SUMIF(vuot2019_2020_I!$L$12:$L$752,C76,vuot2019_2020_I!$BK$12:$BK$752)</f>
        <v>0</v>
      </c>
      <c r="S76" s="107">
        <f>SUMIF(vuot2019_2020_I!$L$12:$L$741,C76,vuot2019_2020_I!$BL$12:$BL$741)</f>
        <v>6.5</v>
      </c>
      <c r="T76" s="107">
        <f>SUMIF(vuot2019_2020_I!$L$12:$L$741,C76,vuot2019_2020_I!$BP$12:$BP$741)</f>
        <v>6.5</v>
      </c>
      <c r="U76" s="108">
        <f>SUMIF(vuot2019_2020_I!$L$12:$L$741,C76,vuot2019_2020_I!$BR$12:$BR$741)</f>
        <v>422500</v>
      </c>
      <c r="V76" s="107">
        <f>SUMIF(vuot2019_2020_I!$L$12:$L$741,C76,vuot2019_2020_I!$BS$12:$BS$741)</f>
        <v>0</v>
      </c>
      <c r="W76" s="108">
        <f>SUMIF(vuot2019_2020_I!$L$12:$L$741,C76,vuot2019_2020_I!$BU$12:$BU$741)</f>
        <v>0</v>
      </c>
      <c r="X76" s="108">
        <f>SUMIF(vuot2019_2020_I!$L$12:$L$741,C76,vuot2019_2020_I!$BV$12:$BV$741)</f>
        <v>422500</v>
      </c>
      <c r="Y76" s="108">
        <f>SUMIF(vuot2019_2020_I!$L$12:$L$741,C76,vuot2019_2020_I!$BW$12:$BW$741)</f>
        <v>0</v>
      </c>
      <c r="Z76" s="109">
        <f>SUMIF(vuot2019_2020_I!$L$12:$L$741,C76,vuot2019_2020_I!$BX$12:$BX$741)</f>
        <v>0</v>
      </c>
      <c r="AA76" s="109">
        <f>SUMIF(vuot2019_2020_I!$L$12:$L$741,C76,vuot2019_2020_I!$BY$12:$BY$741)+SUMIF(vuot2019_2020_I!$L$12:$L$741,C76,vuot2019_2020_I!$BZ$12:$BZ$741)</f>
        <v>0</v>
      </c>
      <c r="AB76" s="108">
        <f>SUMIF(vuot2019_2020_I!$L$12:$L$741,C76,vuot2019_2020_I!$CB$12:$CB$741)</f>
        <v>0</v>
      </c>
      <c r="AC76" s="108">
        <f>SUMIF(vuot2019_2020_I!$L$12:$L$741,C76,vuot2019_2020_I!$CC$12:$CC$741)+SUMIF(vuot2019_2020_I!$L$12:$L$741,C76,vuot2019_2020_I!$CA$12:$CA$741)</f>
        <v>422500</v>
      </c>
      <c r="AD76" s="108">
        <f>SUMIF(vuot2019_2020_I!$L$12:$L$741,C76,vuot2019_2020_I!$CD$12:$CD$741)</f>
        <v>0</v>
      </c>
      <c r="AE76" s="110">
        <f t="shared" si="40"/>
        <v>162.16249999999999</v>
      </c>
      <c r="AF76" s="110">
        <f t="shared" si="42"/>
        <v>0.40625</v>
      </c>
      <c r="AG76" s="87">
        <f t="shared" si="22"/>
        <v>54.152500000000003</v>
      </c>
      <c r="AH76" s="107">
        <f t="shared" si="23"/>
        <v>26406.25</v>
      </c>
      <c r="AI76" s="87">
        <f t="shared" si="41"/>
        <v>162.16249999999999</v>
      </c>
      <c r="AJ76" s="88">
        <f>D76</f>
        <v>16</v>
      </c>
      <c r="AK76" s="88"/>
      <c r="AL76" s="88">
        <f>AK76+AJ76</f>
        <v>16</v>
      </c>
      <c r="AM76" s="88">
        <f>ROUND(P76/630,0)</f>
        <v>4</v>
      </c>
      <c r="AN76" s="88"/>
    </row>
    <row r="77" spans="1:40" ht="17.100000000000001" customHeight="1" outlineLevel="2">
      <c r="A77" s="88">
        <v>61</v>
      </c>
      <c r="B77" s="88">
        <v>10</v>
      </c>
      <c r="C77" s="90" t="s">
        <v>1110</v>
      </c>
      <c r="D77" s="105">
        <f>COUNTIF(vuot2019_2020_I!$K$12:$K$741,C77)</f>
        <v>8</v>
      </c>
      <c r="E77" s="106">
        <f>SUMIF(vuot2019_2020_I!$L$12:$L$741,C77,vuot2019_2020_I!$AC$12:$AC$741)</f>
        <v>256.5</v>
      </c>
      <c r="F77" s="106">
        <f>SUMIF(vuot2019_2020_I!$L$12:$L$741,C77,vuot2019_2020_I!$AD$12:$AD$741)</f>
        <v>0</v>
      </c>
      <c r="G77" s="106">
        <f>SUMIF(vuot2019_2020_I!$L$12:$L$741,C77,vuot2019_2020_I!$AE$12:$AE$741)</f>
        <v>1768.5</v>
      </c>
      <c r="H77" s="106">
        <f>SUMIF(vuot2019_2020_I!$L$12:$L$741,C77,vuot2019_2020_I!$AF$12:$AF$741)</f>
        <v>600</v>
      </c>
      <c r="I77" s="107">
        <f>SUMIF(vuot2019_2020_I!$L$12:$L$741,C77,vuot2019_2020_I!$AG$12:$AG$741)</f>
        <v>142.5</v>
      </c>
      <c r="J77" s="107">
        <f>SUMIF(vuot2019_2020_I!$L$12:$L$741,C77,vuot2019_2020_I!$AH$12:$AH$741)</f>
        <v>0</v>
      </c>
      <c r="K77" s="107">
        <f>SUMIF(vuot2019_2020_I!$L$12:$L$741,C77,vuot2019_2020_I!$AI$12:$AI$741)</f>
        <v>142.5</v>
      </c>
      <c r="L77" s="107">
        <f>SUMIF(vuot2019_2020_I!$L$12:$L$741,C77,vuot2019_2020_I!$AJ$12:$AJ$741)</f>
        <v>-457.5</v>
      </c>
      <c r="M77" s="107">
        <f>SUMIF(vuot2019_2020_I!$L$12:$L$741,C77,vuot2019_2020_I!$AK$12:$AK$741)</f>
        <v>2226</v>
      </c>
      <c r="N77" s="107">
        <f>SUMIF(vuot2019_2020_I!$L$12:$L$741,C77,vuot2019_2020_I!$AL$12:$AL$741)</f>
        <v>1306</v>
      </c>
      <c r="O77" s="107">
        <f>SUMIF(vuot2019_2020_I!$L$12:$L$741,C77,vuot2019_2020_I!$AM$12:$AM$741)</f>
        <v>0</v>
      </c>
      <c r="P77" s="107">
        <f>SUMIF(vuot2019_2020_I!$L$12:$L$741,C77,vuot2019_2020_I!$AN$12:$AN$741)</f>
        <v>1306</v>
      </c>
      <c r="Q77" s="107">
        <f>SUMIF(vuot2019_2020_I!$L$12:$L$752,C77,vuot2019_2020_I!$AU$12:$AU$752)</f>
        <v>-920</v>
      </c>
      <c r="R77" s="107">
        <f>SUMIF(vuot2019_2020_I!$L$12:$L$752,C77,vuot2019_2020_I!$BK$12:$BK$752)</f>
        <v>0</v>
      </c>
      <c r="S77" s="107">
        <f>SUMIF(vuot2019_2020_I!$L$12:$L$741,C77,vuot2019_2020_I!$BL$12:$BL$741)</f>
        <v>0</v>
      </c>
      <c r="T77" s="107">
        <f>SUMIF(vuot2019_2020_I!$L$12:$L$741,C77,vuot2019_2020_I!$BP$12:$BP$741)</f>
        <v>0</v>
      </c>
      <c r="U77" s="108">
        <f>SUMIF(vuot2019_2020_I!$L$12:$L$741,C77,vuot2019_2020_I!$BR$12:$BR$741)</f>
        <v>0</v>
      </c>
      <c r="V77" s="107">
        <f>SUMIF(vuot2019_2020_I!$L$12:$L$741,C77,vuot2019_2020_I!$BS$12:$BS$741)</f>
        <v>0</v>
      </c>
      <c r="W77" s="108">
        <f>SUMIF(vuot2019_2020_I!$L$12:$L$741,C77,vuot2019_2020_I!$BU$12:$BU$741)</f>
        <v>0</v>
      </c>
      <c r="X77" s="108">
        <f>SUMIF(vuot2019_2020_I!$L$12:$L$741,C77,vuot2019_2020_I!$BV$12:$BV$741)</f>
        <v>0</v>
      </c>
      <c r="Y77" s="108">
        <f>SUMIF(vuot2019_2020_I!$L$12:$L$741,C77,vuot2019_2020_I!$BW$12:$BW$741)</f>
        <v>0</v>
      </c>
      <c r="Z77" s="109">
        <f>SUMIF(vuot2019_2020_I!$L$12:$L$741,C77,vuot2019_2020_I!$BX$12:$BX$741)</f>
        <v>0</v>
      </c>
      <c r="AA77" s="109">
        <f>SUMIF(vuot2019_2020_I!$L$12:$L$741,C77,vuot2019_2020_I!$BY$12:$BY$741)+SUMIF(vuot2019_2020_I!$L$12:$L$741,C77,vuot2019_2020_I!$BZ$12:$BZ$741)</f>
        <v>0</v>
      </c>
      <c r="AB77" s="108">
        <f>SUMIF(vuot2019_2020_I!$L$12:$L$741,C77,vuot2019_2020_I!$CB$12:$CB$741)</f>
        <v>0</v>
      </c>
      <c r="AC77" s="108">
        <f>SUMIF(vuot2019_2020_I!$L$12:$L$741,C77,vuot2019_2020_I!$CC$12:$CC$741)+SUMIF(vuot2019_2020_I!$L$12:$L$741,C77,vuot2019_2020_I!$CA$12:$CA$741)</f>
        <v>0</v>
      </c>
      <c r="AD77" s="108">
        <f>SUMIF(vuot2019_2020_I!$L$12:$L$741,C77,vuot2019_2020_I!$CD$12:$CD$741)</f>
        <v>0</v>
      </c>
      <c r="AE77" s="110">
        <f t="shared" si="40"/>
        <v>163.25</v>
      </c>
      <c r="AF77" s="110">
        <f t="shared" si="42"/>
        <v>0</v>
      </c>
      <c r="AG77" s="87">
        <f t="shared" si="22"/>
        <v>17.8125</v>
      </c>
      <c r="AH77" s="107">
        <f t="shared" si="23"/>
        <v>0</v>
      </c>
      <c r="AI77" s="87">
        <f t="shared" si="41"/>
        <v>163.25</v>
      </c>
      <c r="AJ77" s="88">
        <f>D77</f>
        <v>8</v>
      </c>
      <c r="AK77" s="88"/>
      <c r="AL77" s="88">
        <f>AK77+AJ77</f>
        <v>8</v>
      </c>
      <c r="AM77" s="88">
        <f>ROUND(P77/630,0)</f>
        <v>2</v>
      </c>
      <c r="AN77" s="88"/>
    </row>
    <row r="78" spans="1:40" ht="17.100000000000001" customHeight="1" outlineLevel="2">
      <c r="A78" s="88">
        <v>62</v>
      </c>
      <c r="B78" s="88">
        <v>10</v>
      </c>
      <c r="C78" s="90" t="s">
        <v>1111</v>
      </c>
      <c r="D78" s="105">
        <f>COUNTIF(vuot2019_2020_I!$K$12:$K$741,C78)</f>
        <v>8</v>
      </c>
      <c r="E78" s="106">
        <f>SUMIF(vuot2019_2020_I!$L$12:$L$741,C78,vuot2019_2020_I!$AC$12:$AC$741)</f>
        <v>418.5</v>
      </c>
      <c r="F78" s="106">
        <f>SUMIF(vuot2019_2020_I!$L$12:$L$741,C78,vuot2019_2020_I!$AD$12:$AD$741)</f>
        <v>120</v>
      </c>
      <c r="G78" s="106">
        <f>SUMIF(vuot2019_2020_I!$L$12:$L$741,C78,vuot2019_2020_I!$AE$12:$AE$741)</f>
        <v>1741.5</v>
      </c>
      <c r="H78" s="106">
        <f>SUMIF(vuot2019_2020_I!$L$12:$L$741,C78,vuot2019_2020_I!$AF$12:$AF$741)</f>
        <v>800</v>
      </c>
      <c r="I78" s="107">
        <f>SUMIF(vuot2019_2020_I!$L$12:$L$741,C78,vuot2019_2020_I!$AG$12:$AG$741)</f>
        <v>405.23</v>
      </c>
      <c r="J78" s="107">
        <f>SUMIF(vuot2019_2020_I!$L$12:$L$741,C78,vuot2019_2020_I!$AH$12:$AH$741)</f>
        <v>5.2300000000000182</v>
      </c>
      <c r="K78" s="107">
        <f>SUMIF(vuot2019_2020_I!$L$12:$L$741,C78,vuot2019_2020_I!$AI$12:$AI$741)</f>
        <v>400</v>
      </c>
      <c r="L78" s="107">
        <f>SUMIF(vuot2019_2020_I!$L$12:$L$741,C78,vuot2019_2020_I!$AJ$12:$AJ$741)</f>
        <v>-454.91999999999996</v>
      </c>
      <c r="M78" s="107">
        <f>SUMIF(vuot2019_2020_I!$L$12:$L$741,C78,vuot2019_2020_I!$AK$12:$AK$741)</f>
        <v>2196.42</v>
      </c>
      <c r="N78" s="107">
        <f>SUMIF(vuot2019_2020_I!$L$12:$L$741,C78,vuot2019_2020_I!$AL$12:$AL$741)</f>
        <v>2701.3</v>
      </c>
      <c r="O78" s="107">
        <f>SUMIF(vuot2019_2020_I!$L$12:$L$741,C78,vuot2019_2020_I!$AM$12:$AM$741)</f>
        <v>0</v>
      </c>
      <c r="P78" s="107">
        <f>SUMIF(vuot2019_2020_I!$L$12:$L$741,C78,vuot2019_2020_I!$AN$12:$AN$741)</f>
        <v>2701.3</v>
      </c>
      <c r="Q78" s="107">
        <f>SUMIF(vuot2019_2020_I!$L$12:$L$752,C78,vuot2019_2020_I!$AU$12:$AU$752)</f>
        <v>504.88</v>
      </c>
      <c r="R78" s="107">
        <f>SUMIF(vuot2019_2020_I!$L$12:$L$752,C78,vuot2019_2020_I!$BK$12:$BK$752)</f>
        <v>0</v>
      </c>
      <c r="S78" s="107">
        <f>SUMIF(vuot2019_2020_I!$L$12:$L$741,C78,vuot2019_2020_I!$BL$12:$BL$741)</f>
        <v>605.78</v>
      </c>
      <c r="T78" s="107">
        <f>SUMIF(vuot2019_2020_I!$L$12:$L$741,C78,vuot2019_2020_I!$BP$12:$BP$741)</f>
        <v>405.87999999999994</v>
      </c>
      <c r="U78" s="108">
        <f>SUMIF(vuot2019_2020_I!$L$12:$L$741,C78,vuot2019_2020_I!$BR$12:$BR$741)</f>
        <v>26186050</v>
      </c>
      <c r="V78" s="107">
        <f>SUMIF(vuot2019_2020_I!$L$12:$L$741,C78,vuot2019_2020_I!$BS$12:$BS$741)</f>
        <v>199.90000000000009</v>
      </c>
      <c r="W78" s="108">
        <f>SUMIF(vuot2019_2020_I!$L$12:$L$741,C78,vuot2019_2020_I!$BU$12:$BU$741)</f>
        <v>10194900</v>
      </c>
      <c r="X78" s="108">
        <f>SUMIF(vuot2019_2020_I!$L$12:$L$741,C78,vuot2019_2020_I!$BV$12:$BV$741)</f>
        <v>36380950</v>
      </c>
      <c r="Y78" s="108">
        <f>SUMIF(vuot2019_2020_I!$L$12:$L$741,C78,vuot2019_2020_I!$BW$12:$BW$741)</f>
        <v>0</v>
      </c>
      <c r="Z78" s="109">
        <f>SUMIF(vuot2019_2020_I!$L$12:$L$741,C78,vuot2019_2020_I!$BX$12:$BX$741)</f>
        <v>0</v>
      </c>
      <c r="AA78" s="109">
        <f>SUMIF(vuot2019_2020_I!$L$12:$L$741,C78,vuot2019_2020_I!$BY$12:$BY$741)+SUMIF(vuot2019_2020_I!$L$12:$L$741,C78,vuot2019_2020_I!$BZ$12:$BZ$741)</f>
        <v>0</v>
      </c>
      <c r="AB78" s="108">
        <f>SUMIF(vuot2019_2020_I!$L$12:$L$741,C78,vuot2019_2020_I!$CB$12:$CB$741)</f>
        <v>0</v>
      </c>
      <c r="AC78" s="108">
        <f>SUMIF(vuot2019_2020_I!$L$12:$L$741,C78,vuot2019_2020_I!$CC$12:$CC$741)+SUMIF(vuot2019_2020_I!$L$12:$L$741,C78,vuot2019_2020_I!$CA$12:$CA$741)</f>
        <v>36380950</v>
      </c>
      <c r="AD78" s="108">
        <f>SUMIF(vuot2019_2020_I!$L$12:$L$741,C78,vuot2019_2020_I!$CD$12:$CD$741)</f>
        <v>0</v>
      </c>
      <c r="AE78" s="110">
        <f t="shared" si="40"/>
        <v>337.66250000000002</v>
      </c>
      <c r="AF78" s="110">
        <f t="shared" si="42"/>
        <v>75.722499999999997</v>
      </c>
      <c r="AG78" s="87">
        <f t="shared" si="22"/>
        <v>50.653750000000002</v>
      </c>
      <c r="AH78" s="107">
        <f t="shared" si="23"/>
        <v>4547618.75</v>
      </c>
      <c r="AI78" s="87">
        <f t="shared" si="41"/>
        <v>337.66250000000002</v>
      </c>
      <c r="AJ78" s="88">
        <f>D78</f>
        <v>8</v>
      </c>
      <c r="AK78" s="88"/>
      <c r="AL78" s="88">
        <f>AK78+AJ78</f>
        <v>8</v>
      </c>
      <c r="AM78" s="88">
        <f>ROUND(P78/630,0)</f>
        <v>4</v>
      </c>
      <c r="AN78" s="88"/>
    </row>
    <row r="79" spans="1:40" ht="17.100000000000001" customHeight="1" outlineLevel="2">
      <c r="A79" s="88">
        <v>63</v>
      </c>
      <c r="B79" s="88">
        <v>10</v>
      </c>
      <c r="C79" s="90" t="s">
        <v>1112</v>
      </c>
      <c r="D79" s="105">
        <f>COUNTIF(vuot2019_2020_I!$K$12:$K$741,C79)</f>
        <v>13</v>
      </c>
      <c r="E79" s="106">
        <f>SUMIF(vuot2019_2020_I!$L$12:$L$741,C79,vuot2019_2020_I!$AC$12:$AC$741)</f>
        <v>337.5</v>
      </c>
      <c r="F79" s="106">
        <f>SUMIF(vuot2019_2020_I!$L$12:$L$741,C79,vuot2019_2020_I!$AD$12:$AD$741)</f>
        <v>0</v>
      </c>
      <c r="G79" s="106">
        <f>SUMIF(vuot2019_2020_I!$L$12:$L$741,C79,vuot2019_2020_I!$AE$12:$AE$741)</f>
        <v>3037.5</v>
      </c>
      <c r="H79" s="106">
        <f>SUMIF(vuot2019_2020_I!$L$12:$L$741,C79,vuot2019_2020_I!$AF$12:$AF$741)</f>
        <v>1550</v>
      </c>
      <c r="I79" s="107">
        <f>SUMIF(vuot2019_2020_I!$L$12:$L$741,C79,vuot2019_2020_I!$AG$12:$AG$741)</f>
        <v>551.75</v>
      </c>
      <c r="J79" s="107">
        <f>SUMIF(vuot2019_2020_I!$L$12:$L$741,C79,vuot2019_2020_I!$AH$12:$AH$741)</f>
        <v>99.670000000000016</v>
      </c>
      <c r="K79" s="107">
        <f>SUMIF(vuot2019_2020_I!$L$12:$L$741,C79,vuot2019_2020_I!$AI$12:$AI$741)</f>
        <v>452.08</v>
      </c>
      <c r="L79" s="107">
        <f>SUMIF(vuot2019_2020_I!$L$12:$L$741,C79,vuot2019_2020_I!$AJ$12:$AJ$741)</f>
        <v>-1069.9099999999999</v>
      </c>
      <c r="M79" s="107">
        <f>SUMIF(vuot2019_2020_I!$L$12:$L$741,C79,vuot2019_2020_I!$AK$12:$AK$741)</f>
        <v>4107.41</v>
      </c>
      <c r="N79" s="107">
        <f>SUMIF(vuot2019_2020_I!$L$12:$L$741,C79,vuot2019_2020_I!$AL$12:$AL$741)</f>
        <v>2768.2</v>
      </c>
      <c r="O79" s="107">
        <f>SUMIF(vuot2019_2020_I!$L$12:$L$741,C79,vuot2019_2020_I!$AM$12:$AM$741)</f>
        <v>81.600000000000009</v>
      </c>
      <c r="P79" s="107">
        <f>SUMIF(vuot2019_2020_I!$L$12:$L$741,C79,vuot2019_2020_I!$AN$12:$AN$741)</f>
        <v>2849.8</v>
      </c>
      <c r="Q79" s="107">
        <f>SUMIF(vuot2019_2020_I!$L$12:$L$752,C79,vuot2019_2020_I!$AU$12:$AU$752)</f>
        <v>-1257.6099999999997</v>
      </c>
      <c r="R79" s="107">
        <f>SUMIF(vuot2019_2020_I!$L$12:$L$752,C79,vuot2019_2020_I!$BK$12:$BK$752)</f>
        <v>0</v>
      </c>
      <c r="S79" s="107">
        <f>SUMIF(vuot2019_2020_I!$L$12:$L$741,C79,vuot2019_2020_I!$BL$12:$BL$741)</f>
        <v>256.5</v>
      </c>
      <c r="T79" s="107">
        <f>SUMIF(vuot2019_2020_I!$L$12:$L$741,C79,vuot2019_2020_I!$BP$12:$BP$741)</f>
        <v>256.5</v>
      </c>
      <c r="U79" s="108">
        <f>SUMIF(vuot2019_2020_I!$L$12:$L$741,C79,vuot2019_2020_I!$BR$12:$BR$741)</f>
        <v>16267500</v>
      </c>
      <c r="V79" s="107">
        <f>SUMIF(vuot2019_2020_I!$L$12:$L$741,C79,vuot2019_2020_I!$BS$12:$BS$741)</f>
        <v>0</v>
      </c>
      <c r="W79" s="108">
        <f>SUMIF(vuot2019_2020_I!$L$12:$L$741,C79,vuot2019_2020_I!$BU$12:$BU$741)</f>
        <v>0</v>
      </c>
      <c r="X79" s="108">
        <f>SUMIF(vuot2019_2020_I!$L$12:$L$741,C79,vuot2019_2020_I!$BV$12:$BV$741)</f>
        <v>16267500</v>
      </c>
      <c r="Y79" s="108">
        <f>SUMIF(vuot2019_2020_I!$L$12:$L$741,C79,vuot2019_2020_I!$BW$12:$BW$741)</f>
        <v>0</v>
      </c>
      <c r="Z79" s="109">
        <f>SUMIF(vuot2019_2020_I!$L$12:$L$741,C79,vuot2019_2020_I!$BX$12:$BX$741)</f>
        <v>0</v>
      </c>
      <c r="AA79" s="109">
        <f>SUMIF(vuot2019_2020_I!$L$12:$L$741,C79,vuot2019_2020_I!$BY$12:$BY$741)+SUMIF(vuot2019_2020_I!$L$12:$L$741,C79,vuot2019_2020_I!$BZ$12:$BZ$741)</f>
        <v>0</v>
      </c>
      <c r="AB79" s="108">
        <f>SUMIF(vuot2019_2020_I!$L$12:$L$741,C79,vuot2019_2020_I!$CB$12:$CB$741)</f>
        <v>0</v>
      </c>
      <c r="AC79" s="108">
        <f>SUMIF(vuot2019_2020_I!$L$12:$L$741,C79,vuot2019_2020_I!$CC$12:$CC$741)+SUMIF(vuot2019_2020_I!$L$12:$L$741,C79,vuot2019_2020_I!$CA$12:$CA$741)</f>
        <v>16267500</v>
      </c>
      <c r="AD79" s="108">
        <f>SUMIF(vuot2019_2020_I!$L$12:$L$741,C79,vuot2019_2020_I!$CD$12:$CD$741)</f>
        <v>0</v>
      </c>
      <c r="AE79" s="110">
        <f t="shared" si="40"/>
        <v>219.21538461538464</v>
      </c>
      <c r="AF79" s="110">
        <f t="shared" si="42"/>
        <v>19.73076923076923</v>
      </c>
      <c r="AG79" s="87">
        <f t="shared" si="22"/>
        <v>42.442307692307693</v>
      </c>
      <c r="AH79" s="107">
        <f t="shared" si="23"/>
        <v>1251346.1538461538</v>
      </c>
      <c r="AI79" s="87">
        <f t="shared" si="41"/>
        <v>219.21538461538464</v>
      </c>
      <c r="AJ79" s="88">
        <f>D79</f>
        <v>13</v>
      </c>
      <c r="AK79" s="88"/>
      <c r="AL79" s="88">
        <f>AK79+AJ79</f>
        <v>13</v>
      </c>
      <c r="AM79" s="88">
        <f>ROUND(P79/630,0)</f>
        <v>5</v>
      </c>
      <c r="AN79" s="88"/>
    </row>
    <row r="80" spans="1:40" ht="17.100000000000001" customHeight="1" outlineLevel="2">
      <c r="A80" s="88">
        <v>64</v>
      </c>
      <c r="B80" s="88">
        <v>10</v>
      </c>
      <c r="C80" s="90" t="s">
        <v>1660</v>
      </c>
      <c r="D80" s="105">
        <f>COUNTIF(vuot2019_2020_I!$K$12:$K$741,C80)</f>
        <v>8</v>
      </c>
      <c r="E80" s="106">
        <f>SUMIF(vuot2019_2020_I!$L$12:$L$741,C80,vuot2019_2020_I!$AC$12:$AC$741)</f>
        <v>94.5</v>
      </c>
      <c r="F80" s="106">
        <f>SUMIF(vuot2019_2020_I!$L$12:$L$741,C80,vuot2019_2020_I!$AD$12:$AD$741)</f>
        <v>0</v>
      </c>
      <c r="G80" s="106">
        <f>SUMIF(vuot2019_2020_I!$L$12:$L$741,C80,vuot2019_2020_I!$AE$12:$AE$741)</f>
        <v>1885.5</v>
      </c>
      <c r="H80" s="106">
        <f>SUMIF(vuot2019_2020_I!$L$12:$L$741,C80,vuot2019_2020_I!$AF$12:$AF$741)</f>
        <v>913.33333333333326</v>
      </c>
      <c r="I80" s="107">
        <f>SUMIF(vuot2019_2020_I!$L$12:$L$741,C80,vuot2019_2020_I!$AG$12:$AG$741)</f>
        <v>730.65</v>
      </c>
      <c r="J80" s="107">
        <f>SUMIF(vuot2019_2020_I!$L$12:$L$741,C80,vuot2019_2020_I!$AH$12:$AH$741)</f>
        <v>150.65000000000003</v>
      </c>
      <c r="K80" s="107">
        <f>SUMIF(vuot2019_2020_I!$L$12:$L$741,C80,vuot2019_2020_I!$AI$12:$AI$741)</f>
        <v>580</v>
      </c>
      <c r="L80" s="107">
        <f>SUMIF(vuot2019_2020_I!$L$12:$L$741,C80,vuot2019_2020_I!$AJ$12:$AJ$741)</f>
        <v>-432.83333333333326</v>
      </c>
      <c r="M80" s="107">
        <f>SUMIF(vuot2019_2020_I!$L$12:$L$741,C80,vuot2019_2020_I!$AK$12:$AK$741)</f>
        <v>2318.3333333333335</v>
      </c>
      <c r="N80" s="107">
        <f>SUMIF(vuot2019_2020_I!$L$12:$L$741,C80,vuot2019_2020_I!$AL$12:$AL$741)</f>
        <v>2086.3000000000002</v>
      </c>
      <c r="O80" s="107">
        <f>SUMIF(vuot2019_2020_I!$L$12:$L$741,C80,vuot2019_2020_I!$AM$12:$AM$741)</f>
        <v>163.20000000000002</v>
      </c>
      <c r="P80" s="107">
        <f>SUMIF(vuot2019_2020_I!$L$12:$L$741,C80,vuot2019_2020_I!$AN$12:$AN$741)</f>
        <v>2249.5</v>
      </c>
      <c r="Q80" s="107">
        <f>SUMIF(vuot2019_2020_I!$L$12:$L$752,C80,vuot2019_2020_I!$AU$12:$AU$752)</f>
        <v>-68.833333333333314</v>
      </c>
      <c r="R80" s="107">
        <f>SUMIF(vuot2019_2020_I!$L$12:$L$752,C80,vuot2019_2020_I!$BK$12:$BK$752)</f>
        <v>0</v>
      </c>
      <c r="S80" s="107">
        <f>SUMIF(vuot2019_2020_I!$L$12:$L$741,C80,vuot2019_2020_I!$BL$12:$BL$741)</f>
        <v>432.2166666666667</v>
      </c>
      <c r="T80" s="107">
        <f>SUMIF(vuot2019_2020_I!$L$12:$L$741,C80,vuot2019_2020_I!$BP$12:$BP$741)</f>
        <v>432.2166666666667</v>
      </c>
      <c r="U80" s="108">
        <f>SUMIF(vuot2019_2020_I!$L$12:$L$741,C80,vuot2019_2020_I!$BR$12:$BR$741)</f>
        <v>30510917</v>
      </c>
      <c r="V80" s="107">
        <f>SUMIF(vuot2019_2020_I!$L$12:$L$741,C80,vuot2019_2020_I!$BS$12:$BS$741)</f>
        <v>0</v>
      </c>
      <c r="W80" s="108">
        <f>SUMIF(vuot2019_2020_I!$L$12:$L$741,C80,vuot2019_2020_I!$BU$12:$BU$741)</f>
        <v>0</v>
      </c>
      <c r="X80" s="108">
        <f>SUMIF(vuot2019_2020_I!$L$12:$L$741,C80,vuot2019_2020_I!$BV$12:$BV$741)</f>
        <v>30510917</v>
      </c>
      <c r="Y80" s="108">
        <f>SUMIF(vuot2019_2020_I!$L$12:$L$741,C80,vuot2019_2020_I!$BW$12:$BW$741)</f>
        <v>0</v>
      </c>
      <c r="Z80" s="109">
        <f>SUMIF(vuot2019_2020_I!$L$12:$L$741,C80,vuot2019_2020_I!$BX$12:$BX$741)</f>
        <v>0</v>
      </c>
      <c r="AA80" s="109">
        <f>SUMIF(vuot2019_2020_I!$L$12:$L$741,C80,vuot2019_2020_I!$BY$12:$BY$741)+SUMIF(vuot2019_2020_I!$L$12:$L$741,C80,vuot2019_2020_I!$BZ$12:$BZ$741)</f>
        <v>0</v>
      </c>
      <c r="AB80" s="108">
        <f>SUMIF(vuot2019_2020_I!$L$12:$L$741,C80,vuot2019_2020_I!$CB$12:$CB$741)</f>
        <v>0</v>
      </c>
      <c r="AC80" s="108">
        <f>SUMIF(vuot2019_2020_I!$L$12:$L$741,C80,vuot2019_2020_I!$CC$12:$CC$741)+SUMIF(vuot2019_2020_I!$L$12:$L$741,C80,vuot2019_2020_I!$CA$12:$CA$741)</f>
        <v>30510917</v>
      </c>
      <c r="AD80" s="108">
        <f>SUMIF(vuot2019_2020_I!$L$12:$L$741,C80,vuot2019_2020_I!$CD$12:$CD$741)</f>
        <v>0</v>
      </c>
      <c r="AE80" s="110">
        <f t="shared" si="40"/>
        <v>281.1875</v>
      </c>
      <c r="AF80" s="110">
        <f t="shared" si="42"/>
        <v>54.027083333333337</v>
      </c>
      <c r="AG80" s="87">
        <f t="shared" si="22"/>
        <v>91.331249999999997</v>
      </c>
      <c r="AH80" s="107">
        <f t="shared" si="23"/>
        <v>3813864.625</v>
      </c>
      <c r="AI80" s="87">
        <f t="shared" si="41"/>
        <v>281.1875</v>
      </c>
      <c r="AJ80" s="88">
        <f>D80</f>
        <v>8</v>
      </c>
      <c r="AK80" s="88"/>
      <c r="AL80" s="88">
        <f>AK80+AJ80</f>
        <v>8</v>
      </c>
      <c r="AM80" s="88">
        <f>ROUND(P80/630,0)</f>
        <v>4</v>
      </c>
      <c r="AN80" s="88"/>
    </row>
    <row r="81" spans="1:40" s="12" customFormat="1" ht="17.100000000000001" customHeight="1" outlineLevel="1">
      <c r="A81" s="97"/>
      <c r="B81" s="97" t="s">
        <v>532</v>
      </c>
      <c r="C81" s="111"/>
      <c r="D81" s="96">
        <f t="shared" ref="D81:AD81" si="44">SUBTOTAL(9,D76:D80)</f>
        <v>53</v>
      </c>
      <c r="E81" s="112">
        <f t="shared" si="44"/>
        <v>1687.5</v>
      </c>
      <c r="F81" s="112">
        <f t="shared" si="44"/>
        <v>200</v>
      </c>
      <c r="G81" s="112">
        <f t="shared" si="44"/>
        <v>12060</v>
      </c>
      <c r="H81" s="112">
        <f t="shared" si="44"/>
        <v>4970</v>
      </c>
      <c r="I81" s="112">
        <f t="shared" si="44"/>
        <v>2696.57</v>
      </c>
      <c r="J81" s="112">
        <f>SUBTOTAL(9,J76:J80)</f>
        <v>383.65000000000003</v>
      </c>
      <c r="K81" s="112">
        <f>SUBTOTAL(9,K76:K80)</f>
        <v>2312.92</v>
      </c>
      <c r="L81" s="112">
        <f t="shared" si="44"/>
        <v>-3011.5299999999997</v>
      </c>
      <c r="M81" s="112">
        <f t="shared" si="44"/>
        <v>15071.53</v>
      </c>
      <c r="N81" s="112">
        <f t="shared" si="44"/>
        <v>11456.399999999998</v>
      </c>
      <c r="O81" s="112">
        <f t="shared" si="44"/>
        <v>244.8</v>
      </c>
      <c r="P81" s="112">
        <f t="shared" si="44"/>
        <v>11701.2</v>
      </c>
      <c r="Q81" s="112">
        <f>SUBTOTAL(9,Q76:Q80)</f>
        <v>-3370.33</v>
      </c>
      <c r="R81" s="112">
        <f>SUBTOTAL(9,R76:R80)</f>
        <v>0</v>
      </c>
      <c r="S81" s="112">
        <f t="shared" si="44"/>
        <v>1300.9966666666667</v>
      </c>
      <c r="T81" s="112">
        <f t="shared" si="44"/>
        <v>1101.0966666666666</v>
      </c>
      <c r="U81" s="113">
        <f t="shared" si="44"/>
        <v>73386967</v>
      </c>
      <c r="V81" s="112">
        <f t="shared" si="44"/>
        <v>199.90000000000009</v>
      </c>
      <c r="W81" s="113">
        <f t="shared" si="44"/>
        <v>10194900</v>
      </c>
      <c r="X81" s="113">
        <f t="shared" si="44"/>
        <v>83581867</v>
      </c>
      <c r="Y81" s="113">
        <f>SUBTOTAL(9,Y76:Y80)</f>
        <v>0</v>
      </c>
      <c r="Z81" s="113">
        <f>SUBTOTAL(9,Z76:Z80)</f>
        <v>0</v>
      </c>
      <c r="AA81" s="113">
        <f>SUBTOTAL(9,AA76:AA80)</f>
        <v>0</v>
      </c>
      <c r="AB81" s="113">
        <f>SUBTOTAL(9,AB76:AB80)</f>
        <v>0</v>
      </c>
      <c r="AC81" s="113">
        <f t="shared" si="44"/>
        <v>83581867</v>
      </c>
      <c r="AD81" s="113">
        <f t="shared" si="44"/>
        <v>0</v>
      </c>
      <c r="AE81" s="114">
        <f t="shared" si="40"/>
        <v>220.77735849056606</v>
      </c>
      <c r="AF81" s="114">
        <f t="shared" si="42"/>
        <v>24.547106918238995</v>
      </c>
      <c r="AG81" s="96">
        <f t="shared" si="22"/>
        <v>50.878679245283024</v>
      </c>
      <c r="AH81" s="112">
        <f t="shared" si="23"/>
        <v>1577016.358490566</v>
      </c>
      <c r="AI81" s="96">
        <f t="shared" si="41"/>
        <v>220.77735849056606</v>
      </c>
      <c r="AJ81" s="115">
        <f>SUBTOTAL(9,AJ76:AJ80)</f>
        <v>53</v>
      </c>
      <c r="AK81" s="115">
        <f>SUBTOTAL(9,AK76:AK80)</f>
        <v>0</v>
      </c>
      <c r="AL81" s="115">
        <f>SUBTOTAL(9,AL76:AL80)</f>
        <v>53</v>
      </c>
      <c r="AM81" s="115">
        <f>SUBTOTAL(9,AM76:AM80)</f>
        <v>19</v>
      </c>
      <c r="AN81" s="97">
        <f>AM81-AJ81</f>
        <v>-34</v>
      </c>
    </row>
    <row r="82" spans="1:40" ht="17.100000000000001" customHeight="1" outlineLevel="2">
      <c r="A82" s="88">
        <v>65</v>
      </c>
      <c r="B82" s="88">
        <v>11</v>
      </c>
      <c r="C82" s="89" t="s">
        <v>1661</v>
      </c>
      <c r="D82" s="105">
        <f>COUNTIF(vuot2019_2020_I!$K$12:$K$741,C82)</f>
        <v>12</v>
      </c>
      <c r="E82" s="106">
        <f>SUMIF(vuot2019_2020_I!$L$12:$L$741,C82,vuot2019_2020_I!$AC$12:$AC$741)</f>
        <v>1444.5</v>
      </c>
      <c r="F82" s="106">
        <f>SUMIF(vuot2019_2020_I!$L$12:$L$741,C82,vuot2019_2020_I!$AD$12:$AD$741)</f>
        <v>440</v>
      </c>
      <c r="G82" s="106">
        <f>SUMIF(vuot2019_2020_I!$L$12:$L$741,C82,vuot2019_2020_I!$AE$12:$AE$741)</f>
        <v>1795.5</v>
      </c>
      <c r="H82" s="106">
        <f>SUMIF(vuot2019_2020_I!$L$12:$L$741,C82,vuot2019_2020_I!$AF$12:$AF$741)</f>
        <v>950</v>
      </c>
      <c r="I82" s="107">
        <f>SUMIF(vuot2019_2020_I!$L$12:$L$741,C82,vuot2019_2020_I!$AG$12:$AG$741)</f>
        <v>1426.91</v>
      </c>
      <c r="J82" s="107">
        <f>SUMIF(vuot2019_2020_I!$L$12:$L$741,C82,vuot2019_2020_I!$AH$12:$AH$741)</f>
        <v>785.42</v>
      </c>
      <c r="K82" s="107">
        <f>SUMIF(vuot2019_2020_I!$L$12:$L$741,C82,vuot2019_2020_I!$AI$12:$AI$741)</f>
        <v>641.49</v>
      </c>
      <c r="L82" s="107">
        <f>SUMIF(vuot2019_2020_I!$L$12:$L$741,C82,vuot2019_2020_I!$AJ$12:$AJ$741)</f>
        <v>-249.17000000000002</v>
      </c>
      <c r="M82" s="107">
        <f>SUMIF(vuot2019_2020_I!$L$12:$L$741,C82,vuot2019_2020_I!$AK$12:$AK$741)</f>
        <v>2044.67</v>
      </c>
      <c r="N82" s="107">
        <f>SUMIF(vuot2019_2020_I!$L$12:$L$741,C82,vuot2019_2020_I!$AL$12:$AL$741)</f>
        <v>3100.6000000000004</v>
      </c>
      <c r="O82" s="107">
        <f>SUMIF(vuot2019_2020_I!$L$12:$L$741,C82,vuot2019_2020_I!$AM$12:$AM$741)</f>
        <v>570.79999999999995</v>
      </c>
      <c r="P82" s="107">
        <f>SUMIF(vuot2019_2020_I!$L$12:$L$741,C82,vuot2019_2020_I!$AN$12:$AN$741)</f>
        <v>3671.3999999999996</v>
      </c>
      <c r="Q82" s="107">
        <f>SUMIF(vuot2019_2020_I!$L$12:$L$752,C82,vuot2019_2020_I!$AU$12:$AU$752)</f>
        <v>1626.73</v>
      </c>
      <c r="R82" s="107">
        <f>SUMIF(vuot2019_2020_I!$L$12:$L$752,C82,vuot2019_2020_I!$BK$12:$BK$752)</f>
        <v>0</v>
      </c>
      <c r="S82" s="107">
        <f>SUMIF(vuot2019_2020_I!$L$12:$L$741,C82,vuot2019_2020_I!$BL$12:$BL$741)</f>
        <v>1689.03</v>
      </c>
      <c r="T82" s="107">
        <f>SUMIF(vuot2019_2020_I!$L$12:$L$741,C82,vuot2019_2020_I!$BP$12:$BP$741)</f>
        <v>1382.23</v>
      </c>
      <c r="U82" s="108">
        <f>SUMIF(vuot2019_2020_I!$L$12:$L$741,C82,vuot2019_2020_I!$BR$12:$BR$741)</f>
        <v>88615450</v>
      </c>
      <c r="V82" s="107">
        <f>SUMIF(vuot2019_2020_I!$L$12:$L$741,C82,vuot2019_2020_I!$BS$12:$BS$741)</f>
        <v>306.79999999999995</v>
      </c>
      <c r="W82" s="108">
        <f>SUMIF(vuot2019_2020_I!$L$12:$L$741,C82,vuot2019_2020_I!$BU$12:$BU$741)</f>
        <v>15646800</v>
      </c>
      <c r="X82" s="108">
        <f>SUMIF(vuot2019_2020_I!$L$12:$L$741,C82,vuot2019_2020_I!$BV$12:$BV$741)</f>
        <v>104262250</v>
      </c>
      <c r="Y82" s="108">
        <f>SUMIF(vuot2019_2020_I!$L$12:$L$741,C82,vuot2019_2020_I!$BW$12:$BW$741)</f>
        <v>0</v>
      </c>
      <c r="Z82" s="109">
        <f>SUMIF(vuot2019_2020_I!$L$12:$L$741,C82,vuot2019_2020_I!$BX$12:$BX$741)</f>
        <v>0</v>
      </c>
      <c r="AA82" s="109">
        <f>SUMIF(vuot2019_2020_I!$L$12:$L$741,C82,vuot2019_2020_I!$BY$12:$BY$741)+SUMIF(vuot2019_2020_I!$L$12:$L$741,C82,vuot2019_2020_I!$BZ$12:$BZ$741)</f>
        <v>0</v>
      </c>
      <c r="AB82" s="108">
        <f>SUMIF(vuot2019_2020_I!$L$12:$L$741,C82,vuot2019_2020_I!$CB$12:$CB$741)</f>
        <v>0</v>
      </c>
      <c r="AC82" s="108">
        <f>SUMIF(vuot2019_2020_I!$L$12:$L$741,C82,vuot2019_2020_I!$CC$12:$CC$741)+SUMIF(vuot2019_2020_I!$L$12:$L$741,C82,vuot2019_2020_I!$CA$12:$CA$741)</f>
        <v>104262250</v>
      </c>
      <c r="AD82" s="108">
        <f>SUMIF(vuot2019_2020_I!$L$12:$L$741,C82,vuot2019_2020_I!$CD$12:$CD$741)</f>
        <v>0</v>
      </c>
      <c r="AE82" s="110">
        <f t="shared" si="40"/>
        <v>305.95</v>
      </c>
      <c r="AF82" s="110">
        <f t="shared" si="42"/>
        <v>140.7525</v>
      </c>
      <c r="AG82" s="87">
        <f t="shared" si="22"/>
        <v>118.90916666666668</v>
      </c>
      <c r="AH82" s="107">
        <f t="shared" si="23"/>
        <v>8688520.833333334</v>
      </c>
      <c r="AI82" s="87">
        <f t="shared" si="41"/>
        <v>305.95</v>
      </c>
      <c r="AJ82" s="88">
        <f>D82</f>
        <v>12</v>
      </c>
      <c r="AK82" s="88"/>
      <c r="AL82" s="88">
        <f>AK82+AJ82</f>
        <v>12</v>
      </c>
      <c r="AM82" s="88">
        <f>ROUND(P82/630,0)</f>
        <v>6</v>
      </c>
      <c r="AN82" s="88"/>
    </row>
    <row r="83" spans="1:40" ht="17.100000000000001" customHeight="1" outlineLevel="2">
      <c r="A83" s="88">
        <v>66</v>
      </c>
      <c r="B83" s="88">
        <v>11</v>
      </c>
      <c r="C83" s="89" t="s">
        <v>1662</v>
      </c>
      <c r="D83" s="105">
        <f>COUNTIF(vuot2019_2020_I!$K$12:$K$741,C83)</f>
        <v>9</v>
      </c>
      <c r="E83" s="106">
        <f>SUMIF(vuot2019_2020_I!$L$12:$L$741,C83,vuot2019_2020_I!$AC$12:$AC$741)</f>
        <v>945</v>
      </c>
      <c r="F83" s="106">
        <f>SUMIF(vuot2019_2020_I!$L$12:$L$741,C83,vuot2019_2020_I!$AD$12:$AD$741)</f>
        <v>459</v>
      </c>
      <c r="G83" s="106">
        <f>SUMIF(vuot2019_2020_I!$L$12:$L$741,C83,vuot2019_2020_I!$AE$12:$AE$741)</f>
        <v>1350</v>
      </c>
      <c r="H83" s="106">
        <f>SUMIF(vuot2019_2020_I!$L$12:$L$741,C83,vuot2019_2020_I!$AF$12:$AF$741)</f>
        <v>611</v>
      </c>
      <c r="I83" s="107">
        <f>SUMIF(vuot2019_2020_I!$L$12:$L$741,C83,vuot2019_2020_I!$AG$12:$AG$741)</f>
        <v>1688.02</v>
      </c>
      <c r="J83" s="107">
        <f>SUMIF(vuot2019_2020_I!$L$12:$L$741,C83,vuot2019_2020_I!$AH$12:$AH$741)</f>
        <v>570.72</v>
      </c>
      <c r="K83" s="107">
        <f>SUMIF(vuot2019_2020_I!$L$12:$L$741,C83,vuot2019_2020_I!$AI$12:$AI$741)</f>
        <v>1117.3</v>
      </c>
      <c r="L83" s="107">
        <f>SUMIF(vuot2019_2020_I!$L$12:$L$741,C83,vuot2019_2020_I!$AJ$12:$AJ$741)</f>
        <v>-11.670000000000002</v>
      </c>
      <c r="M83" s="107">
        <f>SUMIF(vuot2019_2020_I!$L$12:$L$741,C83,vuot2019_2020_I!$AK$12:$AK$741)</f>
        <v>1361.67</v>
      </c>
      <c r="N83" s="107">
        <f>SUMIF(vuot2019_2020_I!$L$12:$L$741,C83,vuot2019_2020_I!$AL$12:$AL$741)</f>
        <v>2261.6000000000004</v>
      </c>
      <c r="O83" s="107">
        <f>SUMIF(vuot2019_2020_I!$L$12:$L$741,C83,vuot2019_2020_I!$AM$12:$AM$741)</f>
        <v>568.6</v>
      </c>
      <c r="P83" s="107">
        <f>SUMIF(vuot2019_2020_I!$L$12:$L$741,C83,vuot2019_2020_I!$AN$12:$AN$741)</f>
        <v>2830.2000000000003</v>
      </c>
      <c r="Q83" s="107">
        <f>SUMIF(vuot2019_2020_I!$L$12:$L$752,C83,vuot2019_2020_I!$AU$12:$AU$752)</f>
        <v>1468.53</v>
      </c>
      <c r="R83" s="107">
        <f>SUMIF(vuot2019_2020_I!$L$12:$L$752,C83,vuot2019_2020_I!$BK$12:$BK$752)</f>
        <v>0</v>
      </c>
      <c r="S83" s="107">
        <f>SUMIF(vuot2019_2020_I!$L$12:$L$741,C83,vuot2019_2020_I!$BL$12:$BL$741)</f>
        <v>1588.2</v>
      </c>
      <c r="T83" s="107">
        <f>SUMIF(vuot2019_2020_I!$L$12:$L$741,C83,vuot2019_2020_I!$BP$12:$BP$741)</f>
        <v>1068.8</v>
      </c>
      <c r="U83" s="108">
        <f>SUMIF(vuot2019_2020_I!$L$12:$L$741,C83,vuot2019_2020_I!$BR$12:$BR$741)</f>
        <v>72155500</v>
      </c>
      <c r="V83" s="107">
        <f>SUMIF(vuot2019_2020_I!$L$12:$L$741,C83,vuot2019_2020_I!$BS$12:$BS$741)</f>
        <v>519.4</v>
      </c>
      <c r="W83" s="108">
        <f>SUMIF(vuot2019_2020_I!$L$12:$L$741,C83,vuot2019_2020_I!$BU$12:$BU$741)</f>
        <v>33416000</v>
      </c>
      <c r="X83" s="108">
        <f>SUMIF(vuot2019_2020_I!$L$12:$L$741,C83,vuot2019_2020_I!$BV$12:$BV$741)</f>
        <v>105571500</v>
      </c>
      <c r="Y83" s="108">
        <f>SUMIF(vuot2019_2020_I!$L$12:$L$741,C83,vuot2019_2020_I!$BW$12:$BW$741)</f>
        <v>0</v>
      </c>
      <c r="Z83" s="109">
        <f>SUMIF(vuot2019_2020_I!$L$12:$L$741,C83,vuot2019_2020_I!$BX$12:$BX$741)</f>
        <v>0</v>
      </c>
      <c r="AA83" s="109">
        <f>SUMIF(vuot2019_2020_I!$L$12:$L$741,C83,vuot2019_2020_I!$BY$12:$BY$741)+SUMIF(vuot2019_2020_I!$L$12:$L$741,C83,vuot2019_2020_I!$BZ$12:$BZ$741)</f>
        <v>0</v>
      </c>
      <c r="AB83" s="108">
        <f>SUMIF(vuot2019_2020_I!$L$12:$L$741,C83,vuot2019_2020_I!$CB$12:$CB$741)</f>
        <v>0</v>
      </c>
      <c r="AC83" s="108">
        <f>SUMIF(vuot2019_2020_I!$L$12:$L$741,C83,vuot2019_2020_I!$CC$12:$CC$741)+SUMIF(vuot2019_2020_I!$L$12:$L$741,C83,vuot2019_2020_I!$CA$12:$CA$741)</f>
        <v>105571500</v>
      </c>
      <c r="AD83" s="108">
        <f>SUMIF(vuot2019_2020_I!$L$12:$L$741,C83,vuot2019_2020_I!$CD$12:$CD$741)</f>
        <v>0</v>
      </c>
      <c r="AE83" s="110">
        <f t="shared" si="40"/>
        <v>314.4666666666667</v>
      </c>
      <c r="AF83" s="110">
        <f t="shared" si="42"/>
        <v>176.46666666666667</v>
      </c>
      <c r="AG83" s="87">
        <f t="shared" ref="AG83:AG93" si="45">I83/D83</f>
        <v>187.55777777777777</v>
      </c>
      <c r="AH83" s="107">
        <f t="shared" ref="AH83:AH93" si="46">X83/D83</f>
        <v>11730166.666666666</v>
      </c>
      <c r="AI83" s="87">
        <f t="shared" si="41"/>
        <v>314.4666666666667</v>
      </c>
      <c r="AJ83" s="88">
        <f>D83</f>
        <v>9</v>
      </c>
      <c r="AK83" s="88"/>
      <c r="AL83" s="88">
        <f>AK83+AJ83</f>
        <v>9</v>
      </c>
      <c r="AM83" s="88">
        <f>ROUND(P83/630,0)</f>
        <v>4</v>
      </c>
      <c r="AN83" s="88"/>
    </row>
    <row r="84" spans="1:40" ht="17.100000000000001" customHeight="1" outlineLevel="2">
      <c r="A84" s="88">
        <v>66</v>
      </c>
      <c r="B84" s="88">
        <v>11</v>
      </c>
      <c r="C84" s="90" t="s">
        <v>1663</v>
      </c>
      <c r="D84" s="105">
        <f>COUNTIF(vuot2019_2020_I!$K$12:$K$741,C84)</f>
        <v>11</v>
      </c>
      <c r="E84" s="106">
        <f>SUMIF(vuot2019_2020_I!$L$12:$L$741,C84,vuot2019_2020_I!$AC$12:$AC$741)</f>
        <v>1647</v>
      </c>
      <c r="F84" s="106">
        <f>SUMIF(vuot2019_2020_I!$L$12:$L$741,C84,vuot2019_2020_I!$AD$12:$AD$741)</f>
        <v>700</v>
      </c>
      <c r="G84" s="106">
        <f>SUMIF(vuot2019_2020_I!$L$12:$L$741,C84,vuot2019_2020_I!$AE$12:$AE$741)</f>
        <v>1188</v>
      </c>
      <c r="H84" s="106">
        <f>SUMIF(vuot2019_2020_I!$L$12:$L$741,C84,vuot2019_2020_I!$AF$12:$AF$741)</f>
        <v>650</v>
      </c>
      <c r="I84" s="107">
        <f>SUMIF(vuot2019_2020_I!$L$12:$L$741,C84,vuot2019_2020_I!$AG$12:$AG$741)</f>
        <v>1451.63</v>
      </c>
      <c r="J84" s="107">
        <f>SUMIF(vuot2019_2020_I!$L$12:$L$741,C84,vuot2019_2020_I!$AH$12:$AH$741)</f>
        <v>860.79999999999984</v>
      </c>
      <c r="K84" s="107">
        <f>SUMIF(vuot2019_2020_I!$L$12:$L$741,C84,vuot2019_2020_I!$AI$12:$AI$741)</f>
        <v>590.82999999999993</v>
      </c>
      <c r="L84" s="107">
        <f>SUMIF(vuot2019_2020_I!$L$12:$L$741,C84,vuot2019_2020_I!$AJ$12:$AJ$741)</f>
        <v>0</v>
      </c>
      <c r="M84" s="107">
        <f>SUMIF(vuot2019_2020_I!$L$12:$L$741,C84,vuot2019_2020_I!$AK$12:$AK$741)</f>
        <v>1188</v>
      </c>
      <c r="N84" s="107">
        <f>SUMIF(vuot2019_2020_I!$L$12:$L$741,C84,vuot2019_2020_I!$AL$12:$AL$741)</f>
        <v>1909</v>
      </c>
      <c r="O84" s="107">
        <f>SUMIF(vuot2019_2020_I!$L$12:$L$741,C84,vuot2019_2020_I!$AM$12:$AM$741)</f>
        <v>226.2</v>
      </c>
      <c r="P84" s="107">
        <f>SUMIF(vuot2019_2020_I!$L$12:$L$741,C84,vuot2019_2020_I!$AN$12:$AN$741)</f>
        <v>2135.1999999999998</v>
      </c>
      <c r="Q84" s="107">
        <f>SUMIF(vuot2019_2020_I!$L$12:$L$752,C84,vuot2019_2020_I!$AU$12:$AU$752)</f>
        <v>947.2</v>
      </c>
      <c r="R84" s="107">
        <f>SUMIF(vuot2019_2020_I!$L$12:$L$752,C84,vuot2019_2020_I!$BK$12:$BK$752)</f>
        <v>0</v>
      </c>
      <c r="S84" s="107">
        <f>SUMIF(vuot2019_2020_I!$L$12:$L$741,C84,vuot2019_2020_I!$BL$12:$BL$741)</f>
        <v>991</v>
      </c>
      <c r="T84" s="107">
        <f>SUMIF(vuot2019_2020_I!$L$12:$L$741,C84,vuot2019_2020_I!$BP$12:$BP$741)</f>
        <v>791.2</v>
      </c>
      <c r="U84" s="108">
        <f>SUMIF(vuot2019_2020_I!$L$12:$L$741,C84,vuot2019_2020_I!$BR$12:$BR$741)</f>
        <v>49472000</v>
      </c>
      <c r="V84" s="107">
        <f>SUMIF(vuot2019_2020_I!$L$12:$L$741,C84,vuot2019_2020_I!$BS$12:$BS$741)</f>
        <v>199.8</v>
      </c>
      <c r="W84" s="108">
        <f>SUMIF(vuot2019_2020_I!$L$12:$L$741,C84,vuot2019_2020_I!$BU$12:$BU$741)</f>
        <v>10189800</v>
      </c>
      <c r="X84" s="108">
        <f>SUMIF(vuot2019_2020_I!$L$12:$L$741,C84,vuot2019_2020_I!$BV$12:$BV$741)</f>
        <v>59661800</v>
      </c>
      <c r="Y84" s="108">
        <f>SUMIF(vuot2019_2020_I!$L$12:$L$741,C84,vuot2019_2020_I!$BW$12:$BW$741)</f>
        <v>0</v>
      </c>
      <c r="Z84" s="109">
        <f>SUMIF(vuot2019_2020_I!$L$12:$L$741,C84,vuot2019_2020_I!$BX$12:$BX$741)</f>
        <v>0</v>
      </c>
      <c r="AA84" s="109">
        <f>SUMIF(vuot2019_2020_I!$L$12:$L$741,C84,vuot2019_2020_I!$BY$12:$BY$741)+SUMIF(vuot2019_2020_I!$L$12:$L$741,C84,vuot2019_2020_I!$BZ$12:$BZ$741)</f>
        <v>0</v>
      </c>
      <c r="AB84" s="108">
        <f>SUMIF(vuot2019_2020_I!$L$12:$L$741,C84,vuot2019_2020_I!$CB$12:$CB$741)</f>
        <v>0</v>
      </c>
      <c r="AC84" s="108">
        <f>SUMIF(vuot2019_2020_I!$L$12:$L$741,C84,vuot2019_2020_I!$CC$12:$CC$741)+SUMIF(vuot2019_2020_I!$L$12:$L$741,C84,vuot2019_2020_I!$CA$12:$CA$741)</f>
        <v>59661800</v>
      </c>
      <c r="AD84" s="108">
        <f>SUMIF(vuot2019_2020_I!$L$12:$L$741,C84,vuot2019_2020_I!$CD$12:$CD$741)</f>
        <v>0</v>
      </c>
      <c r="AE84" s="110">
        <f t="shared" si="40"/>
        <v>194.1090909090909</v>
      </c>
      <c r="AF84" s="110">
        <f t="shared" si="42"/>
        <v>90.090909090909093</v>
      </c>
      <c r="AG84" s="87">
        <f t="shared" si="45"/>
        <v>131.96636363636364</v>
      </c>
      <c r="AH84" s="107">
        <f t="shared" si="46"/>
        <v>5423800</v>
      </c>
      <c r="AI84" s="87">
        <f t="shared" si="41"/>
        <v>194.1090909090909</v>
      </c>
      <c r="AJ84" s="88">
        <f>D84</f>
        <v>11</v>
      </c>
      <c r="AK84" s="88"/>
      <c r="AL84" s="88">
        <f>AK84+AJ84</f>
        <v>11</v>
      </c>
      <c r="AM84" s="88">
        <f>ROUND(P84/630,0)</f>
        <v>3</v>
      </c>
      <c r="AN84" s="88"/>
    </row>
    <row r="85" spans="1:40" ht="17.100000000000001" customHeight="1" outlineLevel="2">
      <c r="A85" s="88">
        <v>67</v>
      </c>
      <c r="B85" s="88">
        <v>11</v>
      </c>
      <c r="C85" s="91" t="s">
        <v>1021</v>
      </c>
      <c r="D85" s="105">
        <f>COUNTIF(vuot2019_2020_I!$K$12:$K$741,C85)</f>
        <v>15</v>
      </c>
      <c r="E85" s="106">
        <f>SUMIF(vuot2019_2020_I!$L$12:$L$741,C85,vuot2019_2020_I!$AC$12:$AC$741)</f>
        <v>2092.5</v>
      </c>
      <c r="F85" s="106">
        <f>SUMIF(vuot2019_2020_I!$L$12:$L$741,C85,vuot2019_2020_I!$AD$12:$AD$741)</f>
        <v>800</v>
      </c>
      <c r="G85" s="106">
        <f>SUMIF(vuot2019_2020_I!$L$12:$L$741,C85,vuot2019_2020_I!$AE$12:$AE$741)</f>
        <v>1935</v>
      </c>
      <c r="H85" s="106">
        <f>SUMIF(vuot2019_2020_I!$L$12:$L$741,C85,vuot2019_2020_I!$AF$12:$AF$741)</f>
        <v>980</v>
      </c>
      <c r="I85" s="107">
        <f>SUMIF(vuot2019_2020_I!$L$12:$L$741,C85,vuot2019_2020_I!$AG$12:$AG$741)</f>
        <v>2578.0899999999997</v>
      </c>
      <c r="J85" s="107">
        <f>SUMIF(vuot2019_2020_I!$L$12:$L$741,C85,vuot2019_2020_I!$AH$12:$AH$741)</f>
        <v>1448.51</v>
      </c>
      <c r="K85" s="107">
        <f>SUMIF(vuot2019_2020_I!$L$12:$L$741,C85,vuot2019_2020_I!$AI$12:$AI$741)</f>
        <v>1129.58</v>
      </c>
      <c r="L85" s="107">
        <f>SUMIF(vuot2019_2020_I!$L$12:$L$741,C85,vuot2019_2020_I!$AJ$12:$AJ$741)</f>
        <v>-191.9</v>
      </c>
      <c r="M85" s="107">
        <f>SUMIF(vuot2019_2020_I!$L$12:$L$741,C85,vuot2019_2020_I!$AK$12:$AK$741)</f>
        <v>2126.9</v>
      </c>
      <c r="N85" s="107">
        <f>SUMIF(vuot2019_2020_I!$L$12:$L$741,C85,vuot2019_2020_I!$AL$12:$AL$741)</f>
        <v>3126</v>
      </c>
      <c r="O85" s="107">
        <f>SUMIF(vuot2019_2020_I!$L$12:$L$741,C85,vuot2019_2020_I!$AM$12:$AM$741)</f>
        <v>791.40000000000009</v>
      </c>
      <c r="P85" s="107">
        <f>SUMIF(vuot2019_2020_I!$L$12:$L$741,C85,vuot2019_2020_I!$AN$12:$AN$741)</f>
        <v>3917.4000000000005</v>
      </c>
      <c r="Q85" s="107">
        <f>SUMIF(vuot2019_2020_I!$L$12:$L$752,C85,vuot2019_2020_I!$AU$12:$AU$752)</f>
        <v>1790.5</v>
      </c>
      <c r="R85" s="107">
        <f>SUMIF(vuot2019_2020_I!$L$12:$L$752,C85,vuot2019_2020_I!$BK$12:$BK$752)</f>
        <v>0</v>
      </c>
      <c r="S85" s="107">
        <f>SUMIF(vuot2019_2020_I!$L$12:$L$741,C85,vuot2019_2020_I!$BL$12:$BL$741)</f>
        <v>1949.4</v>
      </c>
      <c r="T85" s="107">
        <f>SUMIF(vuot2019_2020_I!$L$12:$L$741,C85,vuot2019_2020_I!$BP$12:$BP$741)</f>
        <v>1267.3</v>
      </c>
      <c r="U85" s="108">
        <f>SUMIF(vuot2019_2020_I!$L$12:$L$741,C85,vuot2019_2020_I!$BR$12:$BR$741)</f>
        <v>83405000</v>
      </c>
      <c r="V85" s="107">
        <f>SUMIF(vuot2019_2020_I!$L$12:$L$741,C85,vuot2019_2020_I!$BS$12:$BS$741)</f>
        <v>682.10000000000014</v>
      </c>
      <c r="W85" s="108">
        <f>SUMIF(vuot2019_2020_I!$L$12:$L$741,C85,vuot2019_2020_I!$BU$12:$BU$741)</f>
        <v>37511500</v>
      </c>
      <c r="X85" s="108">
        <f>SUMIF(vuot2019_2020_I!$L$12:$L$741,C85,vuot2019_2020_I!$BV$12:$BV$741)</f>
        <v>120916500</v>
      </c>
      <c r="Y85" s="108">
        <f>SUMIF(vuot2019_2020_I!$L$12:$L$741,C85,vuot2019_2020_I!$BW$12:$BW$741)</f>
        <v>0</v>
      </c>
      <c r="Z85" s="109">
        <f>SUMIF(vuot2019_2020_I!$L$12:$L$741,C85,vuot2019_2020_I!$BX$12:$BX$741)</f>
        <v>0</v>
      </c>
      <c r="AA85" s="109">
        <f>SUMIF(vuot2019_2020_I!$L$12:$L$741,C85,vuot2019_2020_I!$BY$12:$BY$741)+SUMIF(vuot2019_2020_I!$L$12:$L$741,C85,vuot2019_2020_I!$BZ$12:$BZ$741)</f>
        <v>0</v>
      </c>
      <c r="AB85" s="108">
        <f>SUMIF(vuot2019_2020_I!$L$12:$L$741,C85,vuot2019_2020_I!$CB$12:$CB$741)</f>
        <v>0</v>
      </c>
      <c r="AC85" s="108">
        <f>SUMIF(vuot2019_2020_I!$L$12:$L$741,C85,vuot2019_2020_I!$CC$12:$CC$741)+SUMIF(vuot2019_2020_I!$L$12:$L$741,C85,vuot2019_2020_I!$CA$12:$CA$741)</f>
        <v>120916500</v>
      </c>
      <c r="AD85" s="108">
        <f>SUMIF(vuot2019_2020_I!$L$12:$L$741,C85,vuot2019_2020_I!$CD$12:$CD$741)</f>
        <v>0</v>
      </c>
      <c r="AE85" s="110">
        <f t="shared" si="40"/>
        <v>261.16000000000003</v>
      </c>
      <c r="AF85" s="110">
        <f t="shared" si="42"/>
        <v>129.96</v>
      </c>
      <c r="AG85" s="87">
        <f t="shared" si="45"/>
        <v>171.87266666666665</v>
      </c>
      <c r="AH85" s="107">
        <f t="shared" si="46"/>
        <v>8061100</v>
      </c>
      <c r="AI85" s="87">
        <f t="shared" si="41"/>
        <v>261.16000000000003</v>
      </c>
      <c r="AJ85" s="88">
        <f>D85</f>
        <v>15</v>
      </c>
      <c r="AK85" s="88"/>
      <c r="AL85" s="88">
        <f>AK85+AJ85</f>
        <v>15</v>
      </c>
      <c r="AM85" s="88">
        <f>ROUND(P85/630,0)</f>
        <v>6</v>
      </c>
      <c r="AN85" s="88"/>
    </row>
    <row r="86" spans="1:40" ht="17.100000000000001" customHeight="1" outlineLevel="2">
      <c r="A86" s="88">
        <v>68</v>
      </c>
      <c r="B86" s="88">
        <v>11</v>
      </c>
      <c r="C86" s="90" t="s">
        <v>1665</v>
      </c>
      <c r="D86" s="105">
        <f>COUNTIF(vuot2019_2020_I!$K$12:$K$741,C86)</f>
        <v>15</v>
      </c>
      <c r="E86" s="106">
        <f>SUMIF(vuot2019_2020_I!$L$12:$L$741,C86,vuot2019_2020_I!$AC$12:$AC$741)</f>
        <v>1620</v>
      </c>
      <c r="F86" s="106">
        <f>SUMIF(vuot2019_2020_I!$L$12:$L$741,C86,vuot2019_2020_I!$AD$12:$AD$741)</f>
        <v>610</v>
      </c>
      <c r="G86" s="106">
        <f>SUMIF(vuot2019_2020_I!$L$12:$L$741,C86,vuot2019_2020_I!$AE$12:$AE$741)</f>
        <v>2340</v>
      </c>
      <c r="H86" s="106">
        <f>SUMIF(vuot2019_2020_I!$L$12:$L$741,C86,vuot2019_2020_I!$AF$12:$AF$741)</f>
        <v>1266.6666666666665</v>
      </c>
      <c r="I86" s="107">
        <f>SUMIF(vuot2019_2020_I!$L$12:$L$741,C86,vuot2019_2020_I!$AG$12:$AG$741)</f>
        <v>4588.4699999999993</v>
      </c>
      <c r="J86" s="107">
        <f>SUMIF(vuot2019_2020_I!$L$12:$L$741,C86,vuot2019_2020_I!$AH$12:$AH$741)</f>
        <v>3681.2000000000003</v>
      </c>
      <c r="K86" s="107">
        <f>SUMIF(vuot2019_2020_I!$L$12:$L$741,C86,vuot2019_2020_I!$AI$12:$AI$741)</f>
        <v>907.2700000000001</v>
      </c>
      <c r="L86" s="107">
        <f>SUMIF(vuot2019_2020_I!$L$12:$L$741,C86,vuot2019_2020_I!$AJ$12:$AJ$741)</f>
        <v>-82.32</v>
      </c>
      <c r="M86" s="107">
        <f>SUMIF(vuot2019_2020_I!$L$12:$L$741,C86,vuot2019_2020_I!$AK$12:$AK$741)</f>
        <v>2422.3199999999997</v>
      </c>
      <c r="N86" s="107">
        <f>SUMIF(vuot2019_2020_I!$L$12:$L$741,C86,vuot2019_2020_I!$AL$12:$AL$741)</f>
        <v>3976.0999999999995</v>
      </c>
      <c r="O86" s="107">
        <f>SUMIF(vuot2019_2020_I!$L$12:$L$741,C86,vuot2019_2020_I!$AM$12:$AM$741)</f>
        <v>568.4</v>
      </c>
      <c r="P86" s="107">
        <f>SUMIF(vuot2019_2020_I!$L$12:$L$741,C86,vuot2019_2020_I!$AN$12:$AN$741)</f>
        <v>4544.5</v>
      </c>
      <c r="Q86" s="107">
        <f>SUMIF(vuot2019_2020_I!$L$12:$L$752,C86,vuot2019_2020_I!$AU$12:$AU$752)</f>
        <v>2122.1799999999998</v>
      </c>
      <c r="R86" s="107">
        <f>SUMIF(vuot2019_2020_I!$L$12:$L$752,C86,vuot2019_2020_I!$BK$12:$BK$752)</f>
        <v>0</v>
      </c>
      <c r="S86" s="107">
        <f>SUMIF(vuot2019_2020_I!$L$12:$L$741,C86,vuot2019_2020_I!$BL$12:$BL$741)</f>
        <v>2122.1799999999998</v>
      </c>
      <c r="T86" s="107">
        <f>SUMIF(vuot2019_2020_I!$L$12:$L$741,C86,vuot2019_2020_I!$BP$12:$BP$741)</f>
        <v>1683</v>
      </c>
      <c r="U86" s="108">
        <f>SUMIF(vuot2019_2020_I!$L$12:$L$741,C86,vuot2019_2020_I!$BR$12:$BR$741)</f>
        <v>115416000</v>
      </c>
      <c r="V86" s="107">
        <f>SUMIF(vuot2019_2020_I!$L$12:$L$741,C86,vuot2019_2020_I!$BS$12:$BS$741)</f>
        <v>439.17999999999995</v>
      </c>
      <c r="W86" s="108">
        <f>SUMIF(vuot2019_2020_I!$L$12:$L$741,C86,vuot2019_2020_I!$BU$12:$BU$741)</f>
        <v>23128500</v>
      </c>
      <c r="X86" s="108">
        <f>SUMIF(vuot2019_2020_I!$L$12:$L$741,C86,vuot2019_2020_I!$BV$12:$BV$741)</f>
        <v>138544500</v>
      </c>
      <c r="Y86" s="108">
        <f>SUMIF(vuot2019_2020_I!$L$12:$L$741,C86,vuot2019_2020_I!$BW$12:$BW$741)</f>
        <v>0</v>
      </c>
      <c r="Z86" s="109">
        <f>SUMIF(vuot2019_2020_I!$L$12:$L$741,C86,vuot2019_2020_I!$BX$12:$BX$741)</f>
        <v>0</v>
      </c>
      <c r="AA86" s="109">
        <f>SUMIF(vuot2019_2020_I!$L$12:$L$741,C86,vuot2019_2020_I!$BY$12:$BY$741)+SUMIF(vuot2019_2020_I!$L$12:$L$741,C86,vuot2019_2020_I!$BZ$12:$BZ$741)</f>
        <v>0</v>
      </c>
      <c r="AB86" s="108">
        <f>SUMIF(vuot2019_2020_I!$L$12:$L$741,C86,vuot2019_2020_I!$CB$12:$CB$741)</f>
        <v>0</v>
      </c>
      <c r="AC86" s="108">
        <f>SUMIF(vuot2019_2020_I!$L$12:$L$741,C86,vuot2019_2020_I!$CC$12:$CC$741)+SUMIF(vuot2019_2020_I!$L$12:$L$741,C86,vuot2019_2020_I!$CA$12:$CA$741)</f>
        <v>138544500</v>
      </c>
      <c r="AD86" s="108">
        <f>SUMIF(vuot2019_2020_I!$L$12:$L$741,C86,vuot2019_2020_I!$CD$12:$CD$741)</f>
        <v>0</v>
      </c>
      <c r="AE86" s="110">
        <f t="shared" si="40"/>
        <v>302.96666666666664</v>
      </c>
      <c r="AF86" s="110">
        <f t="shared" si="42"/>
        <v>141.47866666666667</v>
      </c>
      <c r="AG86" s="87">
        <f t="shared" si="45"/>
        <v>305.89799999999997</v>
      </c>
      <c r="AH86" s="107">
        <f t="shared" si="46"/>
        <v>9236300</v>
      </c>
      <c r="AI86" s="87">
        <f t="shared" si="41"/>
        <v>302.96666666666664</v>
      </c>
      <c r="AJ86" s="88">
        <f>D86</f>
        <v>15</v>
      </c>
      <c r="AK86" s="88"/>
      <c r="AL86" s="88">
        <f>AK86+AJ86</f>
        <v>15</v>
      </c>
      <c r="AM86" s="88">
        <f>ROUND(P86/630,0)</f>
        <v>7</v>
      </c>
      <c r="AN86" s="88"/>
    </row>
    <row r="87" spans="1:40" s="12" customFormat="1" ht="17.100000000000001" customHeight="1" outlineLevel="1">
      <c r="A87" s="97"/>
      <c r="B87" s="97" t="s">
        <v>533</v>
      </c>
      <c r="C87" s="111"/>
      <c r="D87" s="96">
        <f t="shared" ref="D87:AD87" si="47">SUBTOTAL(9,D82:D86)</f>
        <v>62</v>
      </c>
      <c r="E87" s="112">
        <f t="shared" si="47"/>
        <v>7749</v>
      </c>
      <c r="F87" s="112">
        <f t="shared" si="47"/>
        <v>3009</v>
      </c>
      <c r="G87" s="112">
        <f t="shared" si="47"/>
        <v>8608.5</v>
      </c>
      <c r="H87" s="112">
        <f t="shared" si="47"/>
        <v>4457.6666666666661</v>
      </c>
      <c r="I87" s="112">
        <f t="shared" si="47"/>
        <v>11733.119999999999</v>
      </c>
      <c r="J87" s="112">
        <f>SUBTOTAL(9,J82:J86)</f>
        <v>7346.65</v>
      </c>
      <c r="K87" s="112">
        <f>SUBTOTAL(9,K82:K86)</f>
        <v>4386.47</v>
      </c>
      <c r="L87" s="112">
        <f t="shared" si="47"/>
        <v>-535.05999999999995</v>
      </c>
      <c r="M87" s="112">
        <f t="shared" si="47"/>
        <v>9143.56</v>
      </c>
      <c r="N87" s="112">
        <f t="shared" si="47"/>
        <v>14373.3</v>
      </c>
      <c r="O87" s="112">
        <f t="shared" si="47"/>
        <v>2725.4</v>
      </c>
      <c r="P87" s="112">
        <f t="shared" si="47"/>
        <v>17098.7</v>
      </c>
      <c r="Q87" s="112">
        <f>SUBTOTAL(9,Q82:Q86)</f>
        <v>7955.1399999999994</v>
      </c>
      <c r="R87" s="112">
        <f>SUBTOTAL(9,R82:R86)</f>
        <v>0</v>
      </c>
      <c r="S87" s="112">
        <f t="shared" si="47"/>
        <v>8339.81</v>
      </c>
      <c r="T87" s="112">
        <f t="shared" si="47"/>
        <v>6192.53</v>
      </c>
      <c r="U87" s="113">
        <f t="shared" si="47"/>
        <v>409063950</v>
      </c>
      <c r="V87" s="112">
        <f t="shared" si="47"/>
        <v>2147.2800000000002</v>
      </c>
      <c r="W87" s="113">
        <f t="shared" si="47"/>
        <v>119892600</v>
      </c>
      <c r="X87" s="113">
        <f t="shared" si="47"/>
        <v>528956550</v>
      </c>
      <c r="Y87" s="113">
        <f>SUBTOTAL(9,Y82:Y86)</f>
        <v>0</v>
      </c>
      <c r="Z87" s="113">
        <f>SUBTOTAL(9,Z82:Z86)</f>
        <v>0</v>
      </c>
      <c r="AA87" s="113">
        <f>SUBTOTAL(9,AA82:AA86)</f>
        <v>0</v>
      </c>
      <c r="AB87" s="113">
        <f>SUBTOTAL(9,AB82:AB86)</f>
        <v>0</v>
      </c>
      <c r="AC87" s="113">
        <f t="shared" si="47"/>
        <v>528956550</v>
      </c>
      <c r="AD87" s="113">
        <f t="shared" si="47"/>
        <v>0</v>
      </c>
      <c r="AE87" s="114">
        <f t="shared" si="40"/>
        <v>275.78548387096777</v>
      </c>
      <c r="AF87" s="114">
        <f t="shared" si="42"/>
        <v>134.51306451612902</v>
      </c>
      <c r="AG87" s="96">
        <f t="shared" si="45"/>
        <v>189.24387096774191</v>
      </c>
      <c r="AH87" s="112">
        <f t="shared" si="46"/>
        <v>8531557.2580645159</v>
      </c>
      <c r="AI87" s="96">
        <f t="shared" si="41"/>
        <v>275.78548387096777</v>
      </c>
      <c r="AJ87" s="115">
        <f>SUBTOTAL(9,AJ82:AJ86)</f>
        <v>62</v>
      </c>
      <c r="AK87" s="115">
        <f>SUBTOTAL(9,AK82:AK86)</f>
        <v>0</v>
      </c>
      <c r="AL87" s="115">
        <f>SUBTOTAL(9,AL82:AL86)</f>
        <v>62</v>
      </c>
      <c r="AM87" s="115">
        <f>SUBTOTAL(9,AM82:AM86)</f>
        <v>26</v>
      </c>
      <c r="AN87" s="97">
        <f>AM87-AJ87</f>
        <v>-36</v>
      </c>
    </row>
    <row r="88" spans="1:40" ht="17.100000000000001" customHeight="1" outlineLevel="2">
      <c r="A88" s="88">
        <v>69</v>
      </c>
      <c r="B88" s="88">
        <v>12</v>
      </c>
      <c r="C88" s="89" t="s">
        <v>2846</v>
      </c>
      <c r="D88" s="105">
        <f>COUNTIF(vuot2019_2020_I!$K$12:$K$741,C88)</f>
        <v>5</v>
      </c>
      <c r="E88" s="106">
        <f>SUMIF(vuot2019_2020_I!$L$12:$L$741,C88,vuot2019_2020_I!$AC$12:$AC$741)</f>
        <v>654.75</v>
      </c>
      <c r="F88" s="106">
        <f>SUMIF(vuot2019_2020_I!$L$12:$L$741,C88,vuot2019_2020_I!$AD$12:$AD$741)</f>
        <v>300</v>
      </c>
      <c r="G88" s="106">
        <f>SUMIF(vuot2019_2020_I!$L$12:$L$741,C88,vuot2019_2020_I!$AE$12:$AE$741)</f>
        <v>560.25</v>
      </c>
      <c r="H88" s="106">
        <f>SUMIF(vuot2019_2020_I!$L$12:$L$741,C88,vuot2019_2020_I!$AF$12:$AF$741)</f>
        <v>450</v>
      </c>
      <c r="I88" s="107">
        <f>SUMIF(vuot2019_2020_I!$L$12:$L$741,C88,vuot2019_2020_I!$AG$12:$AG$741)</f>
        <v>1016.03</v>
      </c>
      <c r="J88" s="107">
        <f>SUMIF(vuot2019_2020_I!$L$12:$L$741,C88,vuot2019_2020_I!$AH$12:$AH$741)</f>
        <v>371.27</v>
      </c>
      <c r="K88" s="107">
        <f>SUMIF(vuot2019_2020_I!$L$12:$L$741,C88,vuot2019_2020_I!$AI$12:$AI$741)</f>
        <v>644.76</v>
      </c>
      <c r="L88" s="107">
        <f>SUMIF(vuot2019_2020_I!$L$12:$L$741,C88,vuot2019_2020_I!$AJ$12:$AJ$741)</f>
        <v>-277.73</v>
      </c>
      <c r="M88" s="107">
        <f>SUMIF(vuot2019_2020_I!$L$12:$L$741,C88,vuot2019_2020_I!$AK$12:$AK$741)</f>
        <v>837.98</v>
      </c>
      <c r="N88" s="107">
        <f>SUMIF(vuot2019_2020_I!$L$12:$L$741,C88,vuot2019_2020_I!$AL$12:$AL$741)</f>
        <v>1030.2</v>
      </c>
      <c r="O88" s="107">
        <f>SUMIF(vuot2019_2020_I!$L$12:$L$741,C88,vuot2019_2020_I!$AM$12:$AM$741)</f>
        <v>0</v>
      </c>
      <c r="P88" s="107">
        <f>SUMIF(vuot2019_2020_I!$L$12:$L$741,C88,vuot2019_2020_I!$AN$12:$AN$741)</f>
        <v>1030.2</v>
      </c>
      <c r="Q88" s="107">
        <f>SUMIF(vuot2019_2020_I!$L$12:$L$752,C88,vuot2019_2020_I!$AU$12:$AU$752)</f>
        <v>192.21999999999997</v>
      </c>
      <c r="R88" s="107">
        <f>SUMIF(vuot2019_2020_I!$L$12:$L$752,C88,vuot2019_2020_I!$BK$12:$BK$752)</f>
        <v>0</v>
      </c>
      <c r="S88" s="107">
        <f>SUMIF(vuot2019_2020_I!$L$12:$L$741,C88,vuot2019_2020_I!$BL$12:$BL$741)</f>
        <v>501.55</v>
      </c>
      <c r="T88" s="107">
        <f>SUMIF(vuot2019_2020_I!$L$12:$L$741,C88,vuot2019_2020_I!$BP$12:$BP$741)</f>
        <v>400.95</v>
      </c>
      <c r="U88" s="108">
        <f>SUMIF(vuot2019_2020_I!$L$12:$L$741,C88,vuot2019_2020_I!$BR$12:$BR$741)</f>
        <v>27158750</v>
      </c>
      <c r="V88" s="107">
        <f>SUMIF(vuot2019_2020_I!$L$12:$L$741,C88,vuot2019_2020_I!$BS$12:$BS$741)</f>
        <v>100.60000000000002</v>
      </c>
      <c r="W88" s="108">
        <f>SUMIF(vuot2019_2020_I!$L$12:$L$741,C88,vuot2019_2020_I!$BU$12:$BU$741)</f>
        <v>5130600</v>
      </c>
      <c r="X88" s="108">
        <f>SUMIF(vuot2019_2020_I!$L$12:$L$741,C88,vuot2019_2020_I!$BV$12:$BV$741)</f>
        <v>32289350</v>
      </c>
      <c r="Y88" s="108">
        <f>SUMIF(vuot2019_2020_I!$L$12:$L$741,C88,vuot2019_2020_I!$BW$12:$BW$741)</f>
        <v>1667500</v>
      </c>
      <c r="Z88" s="109">
        <f>SUMIF(vuot2019_2020_I!$L$12:$L$741,C88,vuot2019_2020_I!$BX$12:$BX$741)</f>
        <v>0</v>
      </c>
      <c r="AA88" s="109">
        <f>SUMIF(vuot2019_2020_I!$L$12:$L$741,C88,vuot2019_2020_I!$BY$12:$BY$741)+SUMIF(vuot2019_2020_I!$L$12:$L$741,C88,vuot2019_2020_I!$BZ$12:$BZ$741)</f>
        <v>0</v>
      </c>
      <c r="AB88" s="108">
        <f>SUMIF(vuot2019_2020_I!$L$12:$L$741,C88,vuot2019_2020_I!$CB$12:$CB$741)</f>
        <v>0</v>
      </c>
      <c r="AC88" s="108">
        <f>SUMIF(vuot2019_2020_I!$L$12:$L$741,C88,vuot2019_2020_I!$CC$12:$CC$741)+SUMIF(vuot2019_2020_I!$L$12:$L$741,C88,vuot2019_2020_I!$CA$12:$CA$741)</f>
        <v>33956850</v>
      </c>
      <c r="AD88" s="108">
        <f>SUMIF(vuot2019_2020_I!$L$12:$L$741,C88,vuot2019_2020_I!$CD$12:$CD$741)</f>
        <v>0</v>
      </c>
      <c r="AE88" s="110">
        <f t="shared" si="40"/>
        <v>206.04000000000002</v>
      </c>
      <c r="AF88" s="110">
        <f t="shared" si="42"/>
        <v>100.31</v>
      </c>
      <c r="AG88" s="87">
        <f t="shared" si="45"/>
        <v>203.20599999999999</v>
      </c>
      <c r="AH88" s="107">
        <f t="shared" si="46"/>
        <v>6457870</v>
      </c>
      <c r="AI88" s="87">
        <f t="shared" si="41"/>
        <v>206.04000000000002</v>
      </c>
      <c r="AJ88" s="88">
        <f>D88</f>
        <v>5</v>
      </c>
      <c r="AK88" s="88"/>
      <c r="AL88" s="88">
        <f>AK88+AJ88</f>
        <v>5</v>
      </c>
      <c r="AM88" s="88">
        <f>ROUND(P88/630,0)</f>
        <v>2</v>
      </c>
      <c r="AN88" s="88"/>
    </row>
    <row r="89" spans="1:40" ht="17.100000000000001" customHeight="1" outlineLevel="2">
      <c r="A89" s="88">
        <v>70</v>
      </c>
      <c r="B89" s="88">
        <v>12</v>
      </c>
      <c r="C89" s="90" t="s">
        <v>2847</v>
      </c>
      <c r="D89" s="105">
        <f>COUNTIF(vuot2019_2020_I!$K$12:$K$741,C89)</f>
        <v>7</v>
      </c>
      <c r="E89" s="106">
        <f>SUMIF(vuot2019_2020_I!$L$12:$L$741,C89,vuot2019_2020_I!$AC$12:$AC$741)</f>
        <v>972</v>
      </c>
      <c r="F89" s="106">
        <f>SUMIF(vuot2019_2020_I!$L$12:$L$741,C89,vuot2019_2020_I!$AD$12:$AD$741)</f>
        <v>359</v>
      </c>
      <c r="G89" s="106">
        <f>SUMIF(vuot2019_2020_I!$L$12:$L$741,C89,vuot2019_2020_I!$AE$12:$AE$741)</f>
        <v>715.5</v>
      </c>
      <c r="H89" s="106">
        <f>SUMIF(vuot2019_2020_I!$L$12:$L$741,C89,vuot2019_2020_I!$AF$12:$AF$741)</f>
        <v>436</v>
      </c>
      <c r="I89" s="107">
        <f>SUMIF(vuot2019_2020_I!$L$12:$L$741,C89,vuot2019_2020_I!$AG$12:$AG$741)</f>
        <v>1503.6833333333332</v>
      </c>
      <c r="J89" s="107">
        <f>SUMIF(vuot2019_2020_I!$L$12:$L$741,C89,vuot2019_2020_I!$AH$12:$AH$741)</f>
        <v>649.57333333333327</v>
      </c>
      <c r="K89" s="107">
        <f>SUMIF(vuot2019_2020_I!$L$12:$L$741,C89,vuot2019_2020_I!$AI$12:$AI$741)</f>
        <v>854.1099999999999</v>
      </c>
      <c r="L89" s="107">
        <f>SUMIF(vuot2019_2020_I!$L$12:$L$741,C89,vuot2019_2020_I!$AJ$12:$AJ$741)</f>
        <v>-25.776666666666657</v>
      </c>
      <c r="M89" s="107">
        <f>SUMIF(vuot2019_2020_I!$L$12:$L$741,C89,vuot2019_2020_I!$AK$12:$AK$741)</f>
        <v>741.27666666666664</v>
      </c>
      <c r="N89" s="107">
        <f>SUMIF(vuot2019_2020_I!$L$12:$L$741,C89,vuot2019_2020_I!$AL$12:$AL$741)</f>
        <v>899.4</v>
      </c>
      <c r="O89" s="107">
        <f>SUMIF(vuot2019_2020_I!$L$12:$L$741,C89,vuot2019_2020_I!$AM$12:$AM$741)</f>
        <v>95.6</v>
      </c>
      <c r="P89" s="107">
        <f>SUMIF(vuot2019_2020_I!$L$12:$L$741,C89,vuot2019_2020_I!$AN$12:$AN$741)</f>
        <v>995</v>
      </c>
      <c r="Q89" s="107">
        <f>SUMIF(vuot2019_2020_I!$L$12:$L$752,C89,vuot2019_2020_I!$AU$12:$AU$752)</f>
        <v>253.72333333333339</v>
      </c>
      <c r="R89" s="107">
        <f>SUMIF(vuot2019_2020_I!$L$12:$L$752,C89,vuot2019_2020_I!$BK$12:$BK$752)</f>
        <v>0</v>
      </c>
      <c r="S89" s="107">
        <f>SUMIF(vuot2019_2020_I!$L$12:$L$741,C89,vuot2019_2020_I!$BL$12:$BL$741)</f>
        <v>283.79999999999995</v>
      </c>
      <c r="T89" s="107">
        <f>SUMIF(vuot2019_2020_I!$L$12:$L$741,C89,vuot2019_2020_I!$BP$12:$BP$741)</f>
        <v>283.79999999999995</v>
      </c>
      <c r="U89" s="108">
        <f>SUMIF(vuot2019_2020_I!$L$12:$L$741,C89,vuot2019_2020_I!$BR$12:$BR$741)</f>
        <v>19805000</v>
      </c>
      <c r="V89" s="107">
        <f>SUMIF(vuot2019_2020_I!$L$12:$L$741,C89,vuot2019_2020_I!$BS$12:$BS$741)</f>
        <v>0</v>
      </c>
      <c r="W89" s="108">
        <f>SUMIF(vuot2019_2020_I!$L$12:$L$741,C89,vuot2019_2020_I!$BU$12:$BU$741)</f>
        <v>0</v>
      </c>
      <c r="X89" s="108">
        <f>SUMIF(vuot2019_2020_I!$L$12:$L$741,C89,vuot2019_2020_I!$BV$12:$BV$741)</f>
        <v>19805000</v>
      </c>
      <c r="Y89" s="108">
        <f>SUMIF(vuot2019_2020_I!$L$12:$L$741,C89,vuot2019_2020_I!$BW$12:$BW$741)</f>
        <v>0</v>
      </c>
      <c r="Z89" s="109">
        <f>SUMIF(vuot2019_2020_I!$L$12:$L$741,C89,vuot2019_2020_I!$BX$12:$BX$741)</f>
        <v>3302000</v>
      </c>
      <c r="AA89" s="109">
        <f>SUMIF(vuot2019_2020_I!$L$12:$L$741,C89,vuot2019_2020_I!$BY$12:$BY$741)+SUMIF(vuot2019_2020_I!$L$12:$L$741,C89,vuot2019_2020_I!$BZ$12:$BZ$741)</f>
        <v>0</v>
      </c>
      <c r="AB89" s="108">
        <f>SUMIF(vuot2019_2020_I!$L$12:$L$741,C89,vuot2019_2020_I!$CB$12:$CB$741)</f>
        <v>0</v>
      </c>
      <c r="AC89" s="108">
        <f>SUMIF(vuot2019_2020_I!$L$12:$L$741,C89,vuot2019_2020_I!$CC$12:$CC$741)+SUMIF(vuot2019_2020_I!$L$12:$L$741,C89,vuot2019_2020_I!$CA$12:$CA$741)</f>
        <v>18257000</v>
      </c>
      <c r="AD89" s="108">
        <f>SUMIF(vuot2019_2020_I!$L$12:$L$741,C89,vuot2019_2020_I!$CD$12:$CD$741)</f>
        <v>1754000</v>
      </c>
      <c r="AE89" s="110">
        <f t="shared" si="40"/>
        <v>142.14285714285714</v>
      </c>
      <c r="AF89" s="110">
        <f t="shared" si="42"/>
        <v>40.542857142857137</v>
      </c>
      <c r="AG89" s="87">
        <f t="shared" si="45"/>
        <v>214.81190476190474</v>
      </c>
      <c r="AH89" s="107">
        <f t="shared" si="46"/>
        <v>2829285.7142857141</v>
      </c>
      <c r="AI89" s="87">
        <f t="shared" si="41"/>
        <v>142.14285714285714</v>
      </c>
      <c r="AJ89" s="88">
        <f>D89</f>
        <v>7</v>
      </c>
      <c r="AK89" s="88"/>
      <c r="AL89" s="88">
        <f>AK89+AJ89</f>
        <v>7</v>
      </c>
      <c r="AM89" s="88">
        <f>ROUND(P89/630,0)</f>
        <v>2</v>
      </c>
      <c r="AN89" s="88"/>
    </row>
    <row r="90" spans="1:40" ht="17.100000000000001" customHeight="1" outlineLevel="2">
      <c r="A90" s="88">
        <v>71</v>
      </c>
      <c r="B90" s="88">
        <v>12</v>
      </c>
      <c r="C90" s="90" t="s">
        <v>2848</v>
      </c>
      <c r="D90" s="105">
        <f>COUNTIF(vuot2019_2020_I!$K$12:$K$741,C90)</f>
        <v>4</v>
      </c>
      <c r="E90" s="106">
        <f>SUMIF(vuot2019_2020_I!$L$12:$L$741,C90,vuot2019_2020_I!$AC$12:$AC$741)</f>
        <v>594</v>
      </c>
      <c r="F90" s="106">
        <f>SUMIF(vuot2019_2020_I!$L$12:$L$741,C90,vuot2019_2020_I!$AD$12:$AD$741)</f>
        <v>220</v>
      </c>
      <c r="G90" s="106">
        <f>SUMIF(vuot2019_2020_I!$L$12:$L$741,C90,vuot2019_2020_I!$AE$12:$AE$741)</f>
        <v>486</v>
      </c>
      <c r="H90" s="106">
        <f>SUMIF(vuot2019_2020_I!$L$12:$L$741,C90,vuot2019_2020_I!$AF$12:$AF$741)</f>
        <v>270</v>
      </c>
      <c r="I90" s="107">
        <f>SUMIF(vuot2019_2020_I!$L$12:$L$741,C90,vuot2019_2020_I!$AG$12:$AG$741)</f>
        <v>260.86</v>
      </c>
      <c r="J90" s="107">
        <f>SUMIF(vuot2019_2020_I!$L$12:$L$741,C90,vuot2019_2020_I!$AH$12:$AH$741)</f>
        <v>112.99000000000001</v>
      </c>
      <c r="K90" s="107">
        <f>SUMIF(vuot2019_2020_I!$L$12:$L$741,C90,vuot2019_2020_I!$AI$12:$AI$741)</f>
        <v>147.87</v>
      </c>
      <c r="L90" s="107">
        <f>SUMIF(vuot2019_2020_I!$L$12:$L$741,C90,vuot2019_2020_I!$AJ$12:$AJ$741)</f>
        <v>-76.42</v>
      </c>
      <c r="M90" s="107">
        <f>SUMIF(vuot2019_2020_I!$L$12:$L$741,C90,vuot2019_2020_I!$AK$12:$AK$741)</f>
        <v>562.42000000000007</v>
      </c>
      <c r="N90" s="107">
        <f>SUMIF(vuot2019_2020_I!$L$12:$L$741,C90,vuot2019_2020_I!$AL$12:$AL$741)</f>
        <v>915.1</v>
      </c>
      <c r="O90" s="107">
        <f>SUMIF(vuot2019_2020_I!$L$12:$L$741,C90,vuot2019_2020_I!$AM$12:$AM$741)</f>
        <v>56.8</v>
      </c>
      <c r="P90" s="107">
        <f>SUMIF(vuot2019_2020_I!$L$12:$L$741,C90,vuot2019_2020_I!$AN$12:$AN$741)</f>
        <v>971.90000000000009</v>
      </c>
      <c r="Q90" s="107">
        <f>SUMIF(vuot2019_2020_I!$L$12:$L$752,C90,vuot2019_2020_I!$AU$12:$AU$752)</f>
        <v>409.48</v>
      </c>
      <c r="R90" s="107">
        <f>SUMIF(vuot2019_2020_I!$L$12:$L$752,C90,vuot2019_2020_I!$BK$12:$BK$752)</f>
        <v>0</v>
      </c>
      <c r="S90" s="107">
        <f>SUMIF(vuot2019_2020_I!$L$12:$L$741,C90,vuot2019_2020_I!$BL$12:$BL$741)</f>
        <v>409.48</v>
      </c>
      <c r="T90" s="107">
        <f>SUMIF(vuot2019_2020_I!$L$12:$L$741,C90,vuot2019_2020_I!$BP$12:$BP$741)</f>
        <v>347.3</v>
      </c>
      <c r="U90" s="108">
        <f>SUMIF(vuot2019_2020_I!$L$12:$L$741,C90,vuot2019_2020_I!$BR$12:$BR$741)</f>
        <v>23574500</v>
      </c>
      <c r="V90" s="107">
        <f>SUMIF(vuot2019_2020_I!$L$12:$L$741,C90,vuot2019_2020_I!$BS$12:$BS$741)</f>
        <v>62.180000000000007</v>
      </c>
      <c r="W90" s="108">
        <f>SUMIF(vuot2019_2020_I!$L$12:$L$741,C90,vuot2019_2020_I!$BU$12:$BU$741)</f>
        <v>3171180</v>
      </c>
      <c r="X90" s="108">
        <f>SUMIF(vuot2019_2020_I!$L$12:$L$741,C90,vuot2019_2020_I!$BV$12:$BV$741)</f>
        <v>26745680</v>
      </c>
      <c r="Y90" s="108">
        <f>SUMIF(vuot2019_2020_I!$L$12:$L$741,C90,vuot2019_2020_I!$BW$12:$BW$741)</f>
        <v>0</v>
      </c>
      <c r="Z90" s="109">
        <f>SUMIF(vuot2019_2020_I!$L$12:$L$741,C90,vuot2019_2020_I!$BX$12:$BX$741)</f>
        <v>0</v>
      </c>
      <c r="AA90" s="109">
        <f>SUMIF(vuot2019_2020_I!$L$12:$L$741,C90,vuot2019_2020_I!$BY$12:$BY$741)+SUMIF(vuot2019_2020_I!$L$12:$L$741,C90,vuot2019_2020_I!$BZ$12:$BZ$741)</f>
        <v>0</v>
      </c>
      <c r="AB90" s="108">
        <f>SUMIF(vuot2019_2020_I!$L$12:$L$741,C90,vuot2019_2020_I!$CB$12:$CB$741)</f>
        <v>0</v>
      </c>
      <c r="AC90" s="108">
        <f>SUMIF(vuot2019_2020_I!$L$12:$L$741,C90,vuot2019_2020_I!$CC$12:$CC$741)+SUMIF(vuot2019_2020_I!$L$12:$L$741,C90,vuot2019_2020_I!$CA$12:$CA$741)</f>
        <v>26745680</v>
      </c>
      <c r="AD90" s="108">
        <f>SUMIF(vuot2019_2020_I!$L$12:$L$741,C90,vuot2019_2020_I!$CD$12:$CD$741)</f>
        <v>0</v>
      </c>
      <c r="AE90" s="110">
        <f t="shared" si="40"/>
        <v>242.97500000000002</v>
      </c>
      <c r="AF90" s="110">
        <f t="shared" si="42"/>
        <v>102.37</v>
      </c>
      <c r="AG90" s="87">
        <f t="shared" si="45"/>
        <v>65.215000000000003</v>
      </c>
      <c r="AH90" s="107">
        <f t="shared" si="46"/>
        <v>6686420</v>
      </c>
      <c r="AI90" s="87">
        <f t="shared" si="41"/>
        <v>242.97500000000002</v>
      </c>
      <c r="AJ90" s="88">
        <f>D90</f>
        <v>4</v>
      </c>
      <c r="AK90" s="88"/>
      <c r="AL90" s="88">
        <f>AK90+AJ90</f>
        <v>4</v>
      </c>
      <c r="AM90" s="88">
        <f>ROUND(P90/630,0)</f>
        <v>2</v>
      </c>
      <c r="AN90" s="88"/>
    </row>
    <row r="91" spans="1:40" ht="17.100000000000001" customHeight="1" outlineLevel="2">
      <c r="A91" s="88">
        <v>72</v>
      </c>
      <c r="B91" s="88">
        <v>12</v>
      </c>
      <c r="C91" s="90" t="s">
        <v>2849</v>
      </c>
      <c r="D91" s="105">
        <f>COUNTIF(vuot2019_2020_I!$K$12:$K$741,C91)</f>
        <v>8</v>
      </c>
      <c r="E91" s="106">
        <f>SUMIF(vuot2019_2020_I!$L$12:$L$741,C91,vuot2019_2020_I!$AC$12:$AC$741)</f>
        <v>432</v>
      </c>
      <c r="F91" s="106">
        <f>SUMIF(vuot2019_2020_I!$L$12:$L$741,C91,vuot2019_2020_I!$AD$12:$AD$741)</f>
        <v>120</v>
      </c>
      <c r="G91" s="106">
        <f>SUMIF(vuot2019_2020_I!$L$12:$L$741,C91,vuot2019_2020_I!$AE$12:$AE$741)</f>
        <v>1716.75</v>
      </c>
      <c r="H91" s="106">
        <f>SUMIF(vuot2019_2020_I!$L$12:$L$741,C91,vuot2019_2020_I!$AF$12:$AF$741)</f>
        <v>903.75</v>
      </c>
      <c r="I91" s="107">
        <f>SUMIF(vuot2019_2020_I!$L$12:$L$741,C91,vuot2019_2020_I!$AG$12:$AG$741)</f>
        <v>1449.3833333333332</v>
      </c>
      <c r="J91" s="107">
        <f>SUMIF(vuot2019_2020_I!$L$12:$L$741,C91,vuot2019_2020_I!$AH$12:$AH$741)</f>
        <v>468.00333333333333</v>
      </c>
      <c r="K91" s="107">
        <f>SUMIF(vuot2019_2020_I!$L$12:$L$741,C91,vuot2019_2020_I!$AI$12:$AI$741)</f>
        <v>981.37999999999988</v>
      </c>
      <c r="L91" s="107">
        <f>SUMIF(vuot2019_2020_I!$L$12:$L$741,C91,vuot2019_2020_I!$AJ$12:$AJ$741)</f>
        <v>0</v>
      </c>
      <c r="M91" s="107">
        <f>SUMIF(vuot2019_2020_I!$L$12:$L$741,C91,vuot2019_2020_I!$AK$12:$AK$741)</f>
        <v>1716.75</v>
      </c>
      <c r="N91" s="107">
        <f>SUMIF(vuot2019_2020_I!$L$12:$L$741,C91,vuot2019_2020_I!$AL$12:$AL$741)</f>
        <v>1839.3000000000002</v>
      </c>
      <c r="O91" s="107">
        <f>SUMIF(vuot2019_2020_I!$L$12:$L$741,C91,vuot2019_2020_I!$AM$12:$AM$741)</f>
        <v>170.39999999999998</v>
      </c>
      <c r="P91" s="107">
        <f>SUMIF(vuot2019_2020_I!$L$12:$L$741,C91,vuot2019_2020_I!$AN$12:$AN$741)</f>
        <v>2009.7</v>
      </c>
      <c r="Q91" s="107">
        <f>SUMIF(vuot2019_2020_I!$L$12:$L$752,C91,vuot2019_2020_I!$AU$12:$AU$752)</f>
        <v>292.94999999999987</v>
      </c>
      <c r="R91" s="107">
        <f>SUMIF(vuot2019_2020_I!$L$12:$L$752,C91,vuot2019_2020_I!$BK$12:$BK$752)</f>
        <v>0</v>
      </c>
      <c r="S91" s="107">
        <f>SUMIF(vuot2019_2020_I!$L$12:$L$741,C91,vuot2019_2020_I!$BL$12:$BL$741)</f>
        <v>688.8</v>
      </c>
      <c r="T91" s="107">
        <f>SUMIF(vuot2019_2020_I!$L$12:$L$741,C91,vuot2019_2020_I!$BP$12:$BP$741)</f>
        <v>537.1</v>
      </c>
      <c r="U91" s="108">
        <f>SUMIF(vuot2019_2020_I!$L$12:$L$741,C91,vuot2019_2020_I!$BR$12:$BR$741)</f>
        <v>36226000</v>
      </c>
      <c r="V91" s="107">
        <f>SUMIF(vuot2019_2020_I!$L$12:$L$741,C91,vuot2019_2020_I!$BS$12:$BS$741)</f>
        <v>151.69999999999993</v>
      </c>
      <c r="W91" s="108">
        <f>SUMIF(vuot2019_2020_I!$L$12:$L$741,C91,vuot2019_2020_I!$BU$12:$BU$741)</f>
        <v>8141300</v>
      </c>
      <c r="X91" s="108">
        <f>SUMIF(vuot2019_2020_I!$L$12:$L$741,C91,vuot2019_2020_I!$BV$12:$BV$741)</f>
        <v>44367300</v>
      </c>
      <c r="Y91" s="108">
        <f>SUMIF(vuot2019_2020_I!$L$12:$L$741,C91,vuot2019_2020_I!$BW$12:$BW$741)</f>
        <v>0</v>
      </c>
      <c r="Z91" s="109">
        <f>SUMIF(vuot2019_2020_I!$L$12:$L$741,C91,vuot2019_2020_I!$BX$12:$BX$741)</f>
        <v>0</v>
      </c>
      <c r="AA91" s="109">
        <f>SUMIF(vuot2019_2020_I!$L$12:$L$741,C91,vuot2019_2020_I!$BY$12:$BY$741)+SUMIF(vuot2019_2020_I!$L$12:$L$741,C91,vuot2019_2020_I!$BZ$12:$BZ$741)</f>
        <v>0</v>
      </c>
      <c r="AB91" s="108">
        <f>SUMIF(vuot2019_2020_I!$L$12:$L$741,C91,vuot2019_2020_I!$CB$12:$CB$741)</f>
        <v>0</v>
      </c>
      <c r="AC91" s="108">
        <f>SUMIF(vuot2019_2020_I!$L$12:$L$741,C91,vuot2019_2020_I!$CC$12:$CC$741)+SUMIF(vuot2019_2020_I!$L$12:$L$741,C91,vuot2019_2020_I!$CA$12:$CA$741)</f>
        <v>44367300</v>
      </c>
      <c r="AD91" s="108">
        <f>SUMIF(vuot2019_2020_I!$L$12:$L$741,C91,vuot2019_2020_I!$CD$12:$CD$741)</f>
        <v>0</v>
      </c>
      <c r="AE91" s="110">
        <f t="shared" si="40"/>
        <v>251.21250000000001</v>
      </c>
      <c r="AF91" s="110">
        <f t="shared" si="42"/>
        <v>86.1</v>
      </c>
      <c r="AG91" s="87">
        <f t="shared" si="45"/>
        <v>181.17291666666665</v>
      </c>
      <c r="AH91" s="107">
        <f t="shared" si="46"/>
        <v>5545912.5</v>
      </c>
      <c r="AI91" s="87">
        <f t="shared" si="41"/>
        <v>251.21250000000001</v>
      </c>
      <c r="AJ91" s="88">
        <f>D91</f>
        <v>8</v>
      </c>
      <c r="AK91" s="88"/>
      <c r="AL91" s="88">
        <f>AK91+AJ91</f>
        <v>8</v>
      </c>
      <c r="AM91" s="88">
        <f>ROUND(P91/630,0)</f>
        <v>3</v>
      </c>
      <c r="AN91" s="88"/>
    </row>
    <row r="92" spans="1:40" ht="17.100000000000001" customHeight="1" outlineLevel="2">
      <c r="A92" s="88">
        <v>72</v>
      </c>
      <c r="B92" s="88">
        <v>12</v>
      </c>
      <c r="C92" s="91" t="s">
        <v>3084</v>
      </c>
      <c r="D92" s="105">
        <f>COUNTIF(vuot2019_2020_I!$K$12:$K$741,C92)</f>
        <v>5</v>
      </c>
      <c r="E92" s="106">
        <f>SUMIF(vuot2019_2020_I!$L$12:$L$741,C92,vuot2019_2020_I!$AC$12:$AC$741)</f>
        <v>607.5</v>
      </c>
      <c r="F92" s="106">
        <f>SUMIF(vuot2019_2020_I!$L$12:$L$741,C92,vuot2019_2020_I!$AD$12:$AD$741)</f>
        <v>120</v>
      </c>
      <c r="G92" s="106">
        <f>SUMIF(vuot2019_2020_I!$L$12:$L$741,C92,vuot2019_2020_I!$AE$12:$AE$741)</f>
        <v>742.5</v>
      </c>
      <c r="H92" s="106">
        <f>SUMIF(vuot2019_2020_I!$L$12:$L$741,C92,vuot2019_2020_I!$AF$12:$AF$741)</f>
        <v>280</v>
      </c>
      <c r="I92" s="107">
        <f>SUMIF(vuot2019_2020_I!$L$12:$L$741,C92,vuot2019_2020_I!$AG$12:$AG$741)</f>
        <v>1082.9299999999998</v>
      </c>
      <c r="J92" s="107">
        <f>SUMIF(vuot2019_2020_I!$L$12:$L$741,C92,vuot2019_2020_I!$AH$12:$AH$741)</f>
        <v>373.59</v>
      </c>
      <c r="K92" s="107">
        <f>SUMIF(vuot2019_2020_I!$L$12:$L$741,C92,vuot2019_2020_I!$AI$12:$AI$741)</f>
        <v>709.34</v>
      </c>
      <c r="L92" s="107">
        <f>SUMIF(vuot2019_2020_I!$L$12:$L$741,C92,vuot2019_2020_I!$AJ$12:$AJ$741)</f>
        <v>0</v>
      </c>
      <c r="M92" s="107">
        <f>SUMIF(vuot2019_2020_I!$L$12:$L$741,C92,vuot2019_2020_I!$AK$12:$AK$741)</f>
        <v>742.5</v>
      </c>
      <c r="N92" s="107">
        <f>SUMIF(vuot2019_2020_I!$L$12:$L$741,C92,vuot2019_2020_I!$AL$12:$AL$741)</f>
        <v>1454.6</v>
      </c>
      <c r="O92" s="107">
        <f>SUMIF(vuot2019_2020_I!$L$12:$L$741,C92,vuot2019_2020_I!$AM$12:$AM$741)</f>
        <v>56.8</v>
      </c>
      <c r="P92" s="107">
        <f>SUMIF(vuot2019_2020_I!$L$12:$L$741,C92,vuot2019_2020_I!$AN$12:$AN$741)</f>
        <v>1511.4</v>
      </c>
      <c r="Q92" s="107">
        <f>SUMIF(vuot2019_2020_I!$L$12:$L$752,C92,vuot2019_2020_I!$AU$12:$AU$752)</f>
        <v>768.90000000000009</v>
      </c>
      <c r="R92" s="107">
        <f>SUMIF(vuot2019_2020_I!$L$12:$L$752,C92,vuot2019_2020_I!$BK$12:$BK$752)</f>
        <v>0</v>
      </c>
      <c r="S92" s="107">
        <f>SUMIF(vuot2019_2020_I!$L$12:$L$741,C92,vuot2019_2020_I!$BL$12:$BL$741)</f>
        <v>768.90000000000009</v>
      </c>
      <c r="T92" s="107">
        <f>SUMIF(vuot2019_2020_I!$L$12:$L$741,C92,vuot2019_2020_I!$BP$12:$BP$741)</f>
        <v>618.9</v>
      </c>
      <c r="U92" s="108">
        <f>SUMIF(vuot2019_2020_I!$L$12:$L$741,C92,vuot2019_2020_I!$BR$12:$BR$741)</f>
        <v>41648000</v>
      </c>
      <c r="V92" s="107">
        <f>SUMIF(vuot2019_2020_I!$L$12:$L$741,C92,vuot2019_2020_I!$BS$12:$BS$741)</f>
        <v>150.00000000000006</v>
      </c>
      <c r="W92" s="108">
        <f>SUMIF(vuot2019_2020_I!$L$12:$L$741,C92,vuot2019_2020_I!$BU$12:$BU$741)</f>
        <v>8435400</v>
      </c>
      <c r="X92" s="108">
        <f>SUMIF(vuot2019_2020_I!$L$12:$L$741,C92,vuot2019_2020_I!$BV$12:$BV$741)</f>
        <v>50083400</v>
      </c>
      <c r="Y92" s="108">
        <f>SUMIF(vuot2019_2020_I!$L$12:$L$741,C92,vuot2019_2020_I!$BW$12:$BW$741)</f>
        <v>0</v>
      </c>
      <c r="Z92" s="109">
        <f>SUMIF(vuot2019_2020_I!$L$12:$L$741,C92,vuot2019_2020_I!$BX$12:$BX$741)</f>
        <v>0</v>
      </c>
      <c r="AA92" s="109">
        <f>SUMIF(vuot2019_2020_I!$L$12:$L$741,C92,vuot2019_2020_I!$BY$12:$BY$741)+SUMIF(vuot2019_2020_I!$L$12:$L$741,C92,vuot2019_2020_I!$BZ$12:$BZ$741)</f>
        <v>0</v>
      </c>
      <c r="AB92" s="108">
        <f>SUMIF(vuot2019_2020_I!$L$12:$L$741,C92,vuot2019_2020_I!$CB$12:$CB$741)</f>
        <v>0</v>
      </c>
      <c r="AC92" s="108">
        <f>SUMIF(vuot2019_2020_I!$L$12:$L$741,C92,vuot2019_2020_I!$CC$12:$CC$741)+SUMIF(vuot2019_2020_I!$L$12:$L$741,C92,vuot2019_2020_I!$CA$12:$CA$741)</f>
        <v>50083400</v>
      </c>
      <c r="AD92" s="108">
        <f>SUMIF(vuot2019_2020_I!$L$12:$L$741,C92,vuot2019_2020_I!$CD$12:$CD$741)</f>
        <v>0</v>
      </c>
      <c r="AE92" s="110">
        <f t="shared" si="40"/>
        <v>302.28000000000003</v>
      </c>
      <c r="AF92" s="110">
        <f t="shared" si="42"/>
        <v>153.78000000000003</v>
      </c>
      <c r="AG92" s="87">
        <f t="shared" si="45"/>
        <v>216.58599999999996</v>
      </c>
      <c r="AH92" s="107">
        <f t="shared" si="46"/>
        <v>10016680</v>
      </c>
      <c r="AI92" s="87">
        <f t="shared" si="41"/>
        <v>302.28000000000003</v>
      </c>
      <c r="AJ92" s="88">
        <f>D92</f>
        <v>5</v>
      </c>
      <c r="AK92" s="88"/>
      <c r="AL92" s="88">
        <f>AK92+AJ92</f>
        <v>5</v>
      </c>
      <c r="AM92" s="88">
        <f>ROUND(P92/630,0)</f>
        <v>2</v>
      </c>
      <c r="AN92" s="88"/>
    </row>
    <row r="93" spans="1:40" s="12" customFormat="1" ht="17.100000000000001" customHeight="1" outlineLevel="1">
      <c r="A93" s="97"/>
      <c r="B93" s="97" t="s">
        <v>534</v>
      </c>
      <c r="C93" s="111"/>
      <c r="D93" s="96">
        <f t="shared" ref="D93:AD93" si="48">SUBTOTAL(9,D88:D92)</f>
        <v>29</v>
      </c>
      <c r="E93" s="112">
        <f t="shared" si="48"/>
        <v>3260.25</v>
      </c>
      <c r="F93" s="112">
        <f t="shared" si="48"/>
        <v>1119</v>
      </c>
      <c r="G93" s="112">
        <f t="shared" si="48"/>
        <v>4221</v>
      </c>
      <c r="H93" s="112">
        <f t="shared" si="48"/>
        <v>2339.75</v>
      </c>
      <c r="I93" s="112">
        <f t="shared" si="48"/>
        <v>5312.8866666666672</v>
      </c>
      <c r="J93" s="112">
        <f>SUBTOTAL(9,J88:J92)</f>
        <v>1975.4266666666665</v>
      </c>
      <c r="K93" s="112">
        <f>SUBTOTAL(9,K88:K92)</f>
        <v>3337.46</v>
      </c>
      <c r="L93" s="112">
        <f t="shared" si="48"/>
        <v>-379.92666666666668</v>
      </c>
      <c r="M93" s="112">
        <f t="shared" si="48"/>
        <v>4600.9266666666663</v>
      </c>
      <c r="N93" s="112">
        <f t="shared" si="48"/>
        <v>6138.6</v>
      </c>
      <c r="O93" s="112">
        <f t="shared" si="48"/>
        <v>379.59999999999997</v>
      </c>
      <c r="P93" s="112">
        <f t="shared" si="48"/>
        <v>6518.2000000000007</v>
      </c>
      <c r="Q93" s="112">
        <f t="shared" si="48"/>
        <v>1917.2733333333333</v>
      </c>
      <c r="R93" s="112">
        <f t="shared" si="48"/>
        <v>0</v>
      </c>
      <c r="S93" s="112">
        <f t="shared" si="48"/>
        <v>2652.5299999999997</v>
      </c>
      <c r="T93" s="112">
        <f t="shared" si="48"/>
        <v>2188.0500000000002</v>
      </c>
      <c r="U93" s="113">
        <f t="shared" si="48"/>
        <v>148412250</v>
      </c>
      <c r="V93" s="112">
        <f t="shared" si="48"/>
        <v>464.48</v>
      </c>
      <c r="W93" s="113">
        <f t="shared" si="48"/>
        <v>24878480</v>
      </c>
      <c r="X93" s="113">
        <f t="shared" si="48"/>
        <v>173290730</v>
      </c>
      <c r="Y93" s="113">
        <f>SUBTOTAL(9,Y88:Y92)</f>
        <v>1667500</v>
      </c>
      <c r="Z93" s="113">
        <f>SUBTOTAL(9,Z88:Z92)</f>
        <v>3302000</v>
      </c>
      <c r="AA93" s="113">
        <f>SUBTOTAL(9,AA88:AA92)</f>
        <v>0</v>
      </c>
      <c r="AB93" s="113">
        <f>SUBTOTAL(9,AB88:AB92)</f>
        <v>0</v>
      </c>
      <c r="AC93" s="113">
        <f t="shared" si="48"/>
        <v>173410230</v>
      </c>
      <c r="AD93" s="113">
        <f t="shared" si="48"/>
        <v>1754000</v>
      </c>
      <c r="AE93" s="114">
        <f t="shared" si="40"/>
        <v>224.76551724137934</v>
      </c>
      <c r="AF93" s="114">
        <f t="shared" si="42"/>
        <v>91.466551724137929</v>
      </c>
      <c r="AG93" s="96">
        <f t="shared" si="45"/>
        <v>183.20298850574716</v>
      </c>
      <c r="AH93" s="112">
        <f t="shared" si="46"/>
        <v>5975542.4137931038</v>
      </c>
      <c r="AI93" s="96">
        <f t="shared" si="41"/>
        <v>224.76551724137934</v>
      </c>
      <c r="AJ93" s="115">
        <f>SUBTOTAL(9,AJ88:AJ92)</f>
        <v>29</v>
      </c>
      <c r="AK93" s="115">
        <f>SUBTOTAL(9,AK88:AK92)</f>
        <v>0</v>
      </c>
      <c r="AL93" s="115">
        <f>SUBTOTAL(9,AL88:AL92)</f>
        <v>29</v>
      </c>
      <c r="AM93" s="115">
        <f>SUBTOTAL(9,AM88:AM92)</f>
        <v>11</v>
      </c>
      <c r="AN93" s="97">
        <f>AM93-AJ93</f>
        <v>-18</v>
      </c>
    </row>
    <row r="94" spans="1:40" ht="17.100000000000001" customHeight="1" outlineLevel="2">
      <c r="A94" s="88">
        <v>69</v>
      </c>
      <c r="B94" s="88">
        <v>13</v>
      </c>
      <c r="C94" s="90" t="s">
        <v>1617</v>
      </c>
      <c r="D94" s="105">
        <f>COUNTIF(vuot2019_2020_I!$K$12:$K$741,C94)</f>
        <v>12</v>
      </c>
      <c r="E94" s="106">
        <f>SUMIF(vuot2019_2020_I!$L$12:$L$741,C94,vuot2019_2020_I!$AC$12:$AC$741)</f>
        <v>243</v>
      </c>
      <c r="F94" s="106">
        <f>SUMIF(vuot2019_2020_I!$L$12:$L$741,C94,vuot2019_2020_I!$AD$12:$AD$741)</f>
        <v>0</v>
      </c>
      <c r="G94" s="106">
        <f>SUMIF(vuot2019_2020_I!$L$12:$L$741,C94,vuot2019_2020_I!$AE$12:$AE$741)</f>
        <v>2997</v>
      </c>
      <c r="H94" s="106">
        <f>SUMIF(vuot2019_2020_I!$L$12:$L$741,C94,vuot2019_2020_I!$AF$12:$AF$741)</f>
        <v>960</v>
      </c>
      <c r="I94" s="107">
        <f>SUMIF(vuot2019_2020_I!$L$12:$L$741,C94,vuot2019_2020_I!$AG$12:$AG$741)</f>
        <v>2330.2200000000003</v>
      </c>
      <c r="J94" s="107">
        <f>SUMIF(vuot2019_2020_I!$L$12:$L$741,C94,vuot2019_2020_I!$AH$12:$AH$741)</f>
        <v>1129.8900000000001</v>
      </c>
      <c r="K94" s="107">
        <f>SUMIF(vuot2019_2020_I!$L$12:$L$741,C94,vuot2019_2020_I!$AI$12:$AI$741)</f>
        <v>1200.33</v>
      </c>
      <c r="L94" s="107">
        <f>SUMIF(vuot2019_2020_I!$L$12:$L$741,C94,vuot2019_2020_I!$AJ$12:$AJ$741)</f>
        <v>-38.33</v>
      </c>
      <c r="M94" s="107">
        <f>SUMIF(vuot2019_2020_I!$L$12:$L$741,C94,vuot2019_2020_I!$AK$12:$AK$741)</f>
        <v>3035.33</v>
      </c>
      <c r="N94" s="107">
        <f>SUMIF(vuot2019_2020_I!$L$12:$L$741,C94,vuot2019_2020_I!$AL$12:$AL$741)</f>
        <v>3996.7000000000007</v>
      </c>
      <c r="O94" s="107">
        <f>SUMIF(vuot2019_2020_I!$L$12:$L$741,C94,vuot2019_2020_I!$AM$12:$AM$741)</f>
        <v>57.7</v>
      </c>
      <c r="P94" s="107">
        <f>SUMIF(vuot2019_2020_I!$L$12:$L$741,C94,vuot2019_2020_I!$AN$12:$AN$741)</f>
        <v>4054.400000000001</v>
      </c>
      <c r="Q94" s="107">
        <f>SUMIF(vuot2019_2020_I!$L$12:$L$752,C94,vuot2019_2020_I!$AU$12:$AU$752)</f>
        <v>1019.0699999999999</v>
      </c>
      <c r="R94" s="107">
        <f>SUMIF(vuot2019_2020_I!$L$12:$L$752,C94,vuot2019_2020_I!$BK$12:$BK$752)</f>
        <v>0</v>
      </c>
      <c r="S94" s="107">
        <f>SUMIF(vuot2019_2020_I!$L$12:$L$741,C94,vuot2019_2020_I!$BL$12:$BL$741)</f>
        <v>1165.8700000000001</v>
      </c>
      <c r="T94" s="107">
        <f>SUMIF(vuot2019_2020_I!$L$12:$L$741,C94,vuot2019_2020_I!$BP$12:$BP$741)</f>
        <v>913.96999999999991</v>
      </c>
      <c r="U94" s="108">
        <f>SUMIF(vuot2019_2020_I!$L$12:$L$741,C94,vuot2019_2020_I!$BR$12:$BR$741)</f>
        <v>58113250</v>
      </c>
      <c r="V94" s="107">
        <f>SUMIF(vuot2019_2020_I!$L$12:$L$741,C94,vuot2019_2020_I!$BS$12:$BS$741)</f>
        <v>251.90000000000009</v>
      </c>
      <c r="W94" s="108">
        <f>SUMIF(vuot2019_2020_I!$L$12:$L$741,C94,vuot2019_2020_I!$BU$12:$BU$741)</f>
        <v>12846900</v>
      </c>
      <c r="X94" s="108">
        <f>SUMIF(vuot2019_2020_I!$L$12:$L$741,C94,vuot2019_2020_I!$BV$12:$BV$741)</f>
        <v>70960150</v>
      </c>
      <c r="Y94" s="108">
        <f>SUMIF(vuot2019_2020_I!$L$12:$L$741,C94,vuot2019_2020_I!$BW$12:$BW$741)</f>
        <v>0</v>
      </c>
      <c r="Z94" s="109">
        <f>SUMIF(vuot2019_2020_I!$L$12:$L$741,C94,vuot2019_2020_I!$BX$12:$BX$741)</f>
        <v>0</v>
      </c>
      <c r="AA94" s="109">
        <f>SUMIF(vuot2019_2020_I!$L$12:$L$741,C94,vuot2019_2020_I!$BY$12:$BY$741)+SUMIF(vuot2019_2020_I!$L$12:$L$741,C94,vuot2019_2020_I!$BZ$12:$BZ$741)</f>
        <v>0</v>
      </c>
      <c r="AB94" s="108">
        <f>SUMIF(vuot2019_2020_I!$L$12:$L$741,C94,vuot2019_2020_I!$CB$12:$CB$741)</f>
        <v>0</v>
      </c>
      <c r="AC94" s="108">
        <f>SUMIF(vuot2019_2020_I!$L$12:$L$741,C94,vuot2019_2020_I!$CC$12:$CC$741)+SUMIF(vuot2019_2020_I!$L$12:$L$741,C94,vuot2019_2020_I!$CA$12:$CA$741)</f>
        <v>70960150</v>
      </c>
      <c r="AD94" s="108">
        <f>SUMIF(vuot2019_2020_I!$L$12:$L$741,C94,vuot2019_2020_I!$CD$12:$CD$741)</f>
        <v>0</v>
      </c>
      <c r="AE94" s="110">
        <f t="shared" si="40"/>
        <v>337.86666666666673</v>
      </c>
      <c r="AF94" s="110">
        <f t="shared" si="42"/>
        <v>97.155833333333348</v>
      </c>
      <c r="AG94" s="87">
        <f>I94/D94</f>
        <v>194.18500000000003</v>
      </c>
      <c r="AH94" s="107">
        <f t="shared" ref="AH94:AH99" si="49">X94/D94</f>
        <v>5913345.833333333</v>
      </c>
      <c r="AI94" s="87">
        <f t="shared" si="41"/>
        <v>337.86666666666673</v>
      </c>
      <c r="AJ94" s="88">
        <f>D94</f>
        <v>12</v>
      </c>
      <c r="AK94" s="88"/>
      <c r="AL94" s="88">
        <f>AK94+AJ94</f>
        <v>12</v>
      </c>
      <c r="AM94" s="88">
        <f>ROUND(P94/630,0)</f>
        <v>6</v>
      </c>
      <c r="AN94" s="88"/>
    </row>
    <row r="95" spans="1:40" ht="17.100000000000001" customHeight="1" outlineLevel="2">
      <c r="A95" s="88">
        <v>70</v>
      </c>
      <c r="B95" s="88">
        <v>13</v>
      </c>
      <c r="C95" s="90" t="s">
        <v>1619</v>
      </c>
      <c r="D95" s="105">
        <f>COUNTIF(vuot2019_2020_I!$K$12:$K$741,C95)</f>
        <v>7</v>
      </c>
      <c r="E95" s="106">
        <f>SUMIF(vuot2019_2020_I!$L$12:$L$741,C95,vuot2019_2020_I!$AC$12:$AC$741)</f>
        <v>243</v>
      </c>
      <c r="F95" s="106">
        <f>SUMIF(vuot2019_2020_I!$L$12:$L$741,C95,vuot2019_2020_I!$AD$12:$AD$741)</f>
        <v>0</v>
      </c>
      <c r="G95" s="106">
        <f>SUMIF(vuot2019_2020_I!$L$12:$L$741,C95,vuot2019_2020_I!$AE$12:$AE$741)</f>
        <v>1647</v>
      </c>
      <c r="H95" s="106">
        <f>SUMIF(vuot2019_2020_I!$L$12:$L$741,C95,vuot2019_2020_I!$AF$12:$AF$741)</f>
        <v>830</v>
      </c>
      <c r="I95" s="107">
        <f>SUMIF(vuot2019_2020_I!$L$12:$L$741,C95,vuot2019_2020_I!$AG$12:$AG$741)</f>
        <v>962.4</v>
      </c>
      <c r="J95" s="107">
        <f>SUMIF(vuot2019_2020_I!$L$12:$L$741,C95,vuot2019_2020_I!$AH$12:$AH$741)</f>
        <v>279.32</v>
      </c>
      <c r="K95" s="107">
        <f>SUMIF(vuot2019_2020_I!$L$12:$L$741,C95,vuot2019_2020_I!$AI$12:$AI$741)</f>
        <v>683.08</v>
      </c>
      <c r="L95" s="107">
        <f>SUMIF(vuot2019_2020_I!$L$12:$L$741,C95,vuot2019_2020_I!$AJ$12:$AJ$741)</f>
        <v>-153.25</v>
      </c>
      <c r="M95" s="107">
        <f>SUMIF(vuot2019_2020_I!$L$12:$L$741,C95,vuot2019_2020_I!$AK$12:$AK$741)</f>
        <v>1800.25</v>
      </c>
      <c r="N95" s="107">
        <f>SUMIF(vuot2019_2020_I!$L$12:$L$741,C95,vuot2019_2020_I!$AL$12:$AL$741)</f>
        <v>240.39999999999998</v>
      </c>
      <c r="O95" s="107">
        <f>SUMIF(vuot2019_2020_I!$L$12:$L$741,C95,vuot2019_2020_I!$AM$12:$AM$741)</f>
        <v>84</v>
      </c>
      <c r="P95" s="107">
        <f>SUMIF(vuot2019_2020_I!$L$12:$L$741,C95,vuot2019_2020_I!$AN$12:$AN$741)</f>
        <v>324.39999999999998</v>
      </c>
      <c r="Q95" s="107">
        <f>SUMIF(vuot2019_2020_I!$L$12:$L$752,C95,vuot2019_2020_I!$AU$12:$AU$752)</f>
        <v>-1475.85</v>
      </c>
      <c r="R95" s="107">
        <f>SUMIF(vuot2019_2020_I!$L$12:$L$752,C95,vuot2019_2020_I!$BK$12:$BK$752)</f>
        <v>0</v>
      </c>
      <c r="S95" s="107">
        <f>SUMIF(vuot2019_2020_I!$L$12:$L$741,C95,vuot2019_2020_I!$BL$12:$BL$741)</f>
        <v>0</v>
      </c>
      <c r="T95" s="107">
        <f>SUMIF(vuot2019_2020_I!$L$12:$L$741,C95,vuot2019_2020_I!$BP$12:$BP$741)</f>
        <v>0</v>
      </c>
      <c r="U95" s="108">
        <f>SUMIF(vuot2019_2020_I!$L$12:$L$741,C95,vuot2019_2020_I!$BR$12:$BR$741)</f>
        <v>0</v>
      </c>
      <c r="V95" s="107">
        <f>SUMIF(vuot2019_2020_I!$L$12:$L$741,C95,vuot2019_2020_I!$BS$12:$BS$741)</f>
        <v>0</v>
      </c>
      <c r="W95" s="108">
        <f>SUMIF(vuot2019_2020_I!$L$12:$L$741,C95,vuot2019_2020_I!$BU$12:$BU$741)</f>
        <v>0</v>
      </c>
      <c r="X95" s="108">
        <f>SUMIF(vuot2019_2020_I!$L$12:$L$741,C95,vuot2019_2020_I!$BV$12:$BV$741)</f>
        <v>0</v>
      </c>
      <c r="Y95" s="108">
        <f>SUMIF(vuot2019_2020_I!$L$12:$L$741,C95,vuot2019_2020_I!$BW$12:$BW$741)</f>
        <v>0</v>
      </c>
      <c r="Z95" s="109">
        <f>SUMIF(vuot2019_2020_I!$L$12:$L$741,C95,vuot2019_2020_I!$BX$12:$BX$741)</f>
        <v>29500</v>
      </c>
      <c r="AA95" s="109">
        <f>SUMIF(vuot2019_2020_I!$L$12:$L$741,C95,vuot2019_2020_I!$BY$12:$BY$741)+SUMIF(vuot2019_2020_I!$L$12:$L$741,C95,vuot2019_2020_I!$BZ$12:$BZ$741)</f>
        <v>0</v>
      </c>
      <c r="AB95" s="108">
        <f>SUMIF(vuot2019_2020_I!$L$12:$L$741,C95,vuot2019_2020_I!$CB$12:$CB$741)</f>
        <v>0</v>
      </c>
      <c r="AC95" s="108">
        <f>SUMIF(vuot2019_2020_I!$L$12:$L$741,C95,vuot2019_2020_I!$CC$12:$CC$741)+SUMIF(vuot2019_2020_I!$L$12:$L$741,C95,vuot2019_2020_I!$CA$12:$CA$741)</f>
        <v>0</v>
      </c>
      <c r="AD95" s="108">
        <f>SUMIF(vuot2019_2020_I!$L$12:$L$741,C95,vuot2019_2020_I!$CD$12:$CD$741)</f>
        <v>29500</v>
      </c>
      <c r="AE95" s="110">
        <f t="shared" si="40"/>
        <v>46.342857142857142</v>
      </c>
      <c r="AF95" s="110">
        <f t="shared" si="42"/>
        <v>0</v>
      </c>
      <c r="AG95" s="87">
        <f>I95/D95</f>
        <v>137.48571428571429</v>
      </c>
      <c r="AH95" s="107">
        <f t="shared" si="49"/>
        <v>0</v>
      </c>
      <c r="AI95" s="87">
        <f t="shared" si="41"/>
        <v>46.342857142857142</v>
      </c>
      <c r="AJ95" s="88">
        <f>D95</f>
        <v>7</v>
      </c>
      <c r="AK95" s="88"/>
      <c r="AL95" s="88">
        <f>AK95+AJ95</f>
        <v>7</v>
      </c>
      <c r="AM95" s="88">
        <f>ROUND(P95/630,0)</f>
        <v>1</v>
      </c>
      <c r="AN95" s="88"/>
    </row>
    <row r="96" spans="1:40" ht="17.100000000000001" customHeight="1" outlineLevel="2">
      <c r="A96" s="88">
        <v>71</v>
      </c>
      <c r="B96" s="88">
        <v>13</v>
      </c>
      <c r="C96" s="90" t="s">
        <v>2443</v>
      </c>
      <c r="D96" s="105">
        <f>COUNTIF(vuot2019_2020_I!$K$12:$K$741,C96)</f>
        <v>14</v>
      </c>
      <c r="E96" s="106">
        <f>SUMIF(vuot2019_2020_I!$L$12:$L$741,C96,vuot2019_2020_I!$AC$12:$AC$741)</f>
        <v>1548</v>
      </c>
      <c r="F96" s="106">
        <f>SUMIF(vuot2019_2020_I!$L$12:$L$741,C96,vuot2019_2020_I!$AD$12:$AD$741)</f>
        <v>669</v>
      </c>
      <c r="G96" s="106">
        <f>SUMIF(vuot2019_2020_I!$L$12:$L$741,C96,vuot2019_2020_I!$AE$12:$AE$741)</f>
        <v>2007</v>
      </c>
      <c r="H96" s="106">
        <f>SUMIF(vuot2019_2020_I!$L$12:$L$741,C96,vuot2019_2020_I!$AF$12:$AF$741)</f>
        <v>1111</v>
      </c>
      <c r="I96" s="107">
        <f>SUMIF(vuot2019_2020_I!$L$12:$L$741,C96,vuot2019_2020_I!$AG$12:$AG$741)</f>
        <v>2309.5200000000004</v>
      </c>
      <c r="J96" s="107">
        <f>SUMIF(vuot2019_2020_I!$L$12:$L$741,C96,vuot2019_2020_I!$AH$12:$AH$741)</f>
        <v>1199.1299999999999</v>
      </c>
      <c r="K96" s="107">
        <f>SUMIF(vuot2019_2020_I!$L$12:$L$741,C96,vuot2019_2020_I!$AI$12:$AI$741)</f>
        <v>1110.3899999999999</v>
      </c>
      <c r="L96" s="107">
        <f>SUMIF(vuot2019_2020_I!$L$12:$L$741,C96,vuot2019_2020_I!$AJ$12:$AJ$741)</f>
        <v>-82.71</v>
      </c>
      <c r="M96" s="107">
        <f>SUMIF(vuot2019_2020_I!$L$12:$L$741,C96,vuot2019_2020_I!$AK$12:$AK$741)</f>
        <v>2089.71</v>
      </c>
      <c r="N96" s="107">
        <f>SUMIF(vuot2019_2020_I!$L$12:$L$741,C96,vuot2019_2020_I!$AL$12:$AL$741)</f>
        <v>684.19999999999993</v>
      </c>
      <c r="O96" s="107">
        <f>SUMIF(vuot2019_2020_I!$L$12:$L$741,C96,vuot2019_2020_I!$AM$12:$AM$741)</f>
        <v>645.90000000000009</v>
      </c>
      <c r="P96" s="107">
        <f>SUMIF(vuot2019_2020_I!$L$12:$L$741,C96,vuot2019_2020_I!$AN$12:$AN$741)</f>
        <v>1330.1000000000001</v>
      </c>
      <c r="Q96" s="107">
        <f>SUMIF(vuot2019_2020_I!$L$12:$L$752,C96,vuot2019_2020_I!$AU$12:$AU$752)</f>
        <v>-759.61</v>
      </c>
      <c r="R96" s="107">
        <f>SUMIF(vuot2019_2020_I!$L$12:$L$752,C96,vuot2019_2020_I!$BK$12:$BK$752)</f>
        <v>0</v>
      </c>
      <c r="S96" s="107">
        <f>SUMIF(vuot2019_2020_I!$L$12:$L$741,C96,vuot2019_2020_I!$BL$12:$BL$741)</f>
        <v>139.06000000000003</v>
      </c>
      <c r="T96" s="107">
        <f>SUMIF(vuot2019_2020_I!$L$12:$L$741,C96,vuot2019_2020_I!$BP$12:$BP$741)</f>
        <v>139.06000000000003</v>
      </c>
      <c r="U96" s="108">
        <f>SUMIF(vuot2019_2020_I!$L$12:$L$741,C96,vuot2019_2020_I!$BR$12:$BR$741)</f>
        <v>9038900</v>
      </c>
      <c r="V96" s="107">
        <f>SUMIF(vuot2019_2020_I!$L$12:$L$741,C96,vuot2019_2020_I!$BS$12:$BS$741)</f>
        <v>0</v>
      </c>
      <c r="W96" s="108">
        <f>SUMIF(vuot2019_2020_I!$L$12:$L$741,C96,vuot2019_2020_I!$BU$12:$BU$741)</f>
        <v>0</v>
      </c>
      <c r="X96" s="108">
        <f>SUMIF(vuot2019_2020_I!$L$12:$L$741,C96,vuot2019_2020_I!$BV$12:$BV$741)</f>
        <v>9038900</v>
      </c>
      <c r="Y96" s="108">
        <f>SUMIF(vuot2019_2020_I!$L$12:$L$741,C96,vuot2019_2020_I!$BW$12:$BW$741)</f>
        <v>0</v>
      </c>
      <c r="Z96" s="109">
        <f>SUMIF(vuot2019_2020_I!$L$12:$L$741,C96,vuot2019_2020_I!$BX$12:$BX$741)</f>
        <v>0</v>
      </c>
      <c r="AA96" s="109">
        <f>SUMIF(vuot2019_2020_I!$L$12:$L$741,C96,vuot2019_2020_I!$BY$12:$BY$741)+SUMIF(vuot2019_2020_I!$L$12:$L$741,C96,vuot2019_2020_I!$BZ$12:$BZ$741)</f>
        <v>0</v>
      </c>
      <c r="AB96" s="108">
        <f>SUMIF(vuot2019_2020_I!$L$12:$L$741,C96,vuot2019_2020_I!$CB$12:$CB$741)</f>
        <v>0</v>
      </c>
      <c r="AC96" s="108">
        <f>SUMIF(vuot2019_2020_I!$L$12:$L$741,C96,vuot2019_2020_I!$CC$12:$CC$741)+SUMIF(vuot2019_2020_I!$L$12:$L$741,C96,vuot2019_2020_I!$CA$12:$CA$741)</f>
        <v>9038900</v>
      </c>
      <c r="AD96" s="108">
        <f>SUMIF(vuot2019_2020_I!$L$12:$L$741,C96,vuot2019_2020_I!$CD$12:$CD$741)</f>
        <v>0</v>
      </c>
      <c r="AE96" s="110">
        <f t="shared" si="40"/>
        <v>95.007142857142867</v>
      </c>
      <c r="AF96" s="110">
        <f t="shared" si="42"/>
        <v>9.932857142857145</v>
      </c>
      <c r="AG96" s="87">
        <f>I96/D96</f>
        <v>164.96571428571431</v>
      </c>
      <c r="AH96" s="107">
        <f t="shared" si="49"/>
        <v>645635.71428571432</v>
      </c>
      <c r="AI96" s="87">
        <f t="shared" si="41"/>
        <v>95.007142857142867</v>
      </c>
      <c r="AJ96" s="88">
        <f>D96</f>
        <v>14</v>
      </c>
      <c r="AK96" s="88"/>
      <c r="AL96" s="88">
        <f>AK96+AJ96</f>
        <v>14</v>
      </c>
      <c r="AM96" s="88">
        <f>ROUND(P96/630,0)</f>
        <v>2</v>
      </c>
      <c r="AN96" s="88"/>
    </row>
    <row r="97" spans="1:40" ht="17.100000000000001" customHeight="1" outlineLevel="2">
      <c r="A97" s="88">
        <v>72</v>
      </c>
      <c r="B97" s="88">
        <v>13</v>
      </c>
      <c r="C97" s="90" t="s">
        <v>2444</v>
      </c>
      <c r="D97" s="105">
        <f>COUNTIF(vuot2019_2020_I!$K$12:$K$741,C97)</f>
        <v>8</v>
      </c>
      <c r="E97" s="106">
        <f>SUMIF(vuot2019_2020_I!$L$12:$L$741,C97,vuot2019_2020_I!$AC$12:$AC$741)</f>
        <v>675</v>
      </c>
      <c r="F97" s="106">
        <f>SUMIF(vuot2019_2020_I!$L$12:$L$741,C97,vuot2019_2020_I!$AD$12:$AD$741)</f>
        <v>220</v>
      </c>
      <c r="G97" s="106">
        <f>SUMIF(vuot2019_2020_I!$L$12:$L$741,C97,vuot2019_2020_I!$AE$12:$AE$741)</f>
        <v>1485</v>
      </c>
      <c r="H97" s="106">
        <f>SUMIF(vuot2019_2020_I!$L$12:$L$741,C97,vuot2019_2020_I!$AF$12:$AF$741)</f>
        <v>710</v>
      </c>
      <c r="I97" s="107">
        <f>SUMIF(vuot2019_2020_I!$L$12:$L$741,C97,vuot2019_2020_I!$AG$12:$AG$741)</f>
        <v>1362.9299999999998</v>
      </c>
      <c r="J97" s="107">
        <f>SUMIF(vuot2019_2020_I!$L$12:$L$741,C97,vuot2019_2020_I!$AH$12:$AH$741)</f>
        <v>932.33</v>
      </c>
      <c r="K97" s="107">
        <f>SUMIF(vuot2019_2020_I!$L$12:$L$741,C97,vuot2019_2020_I!$AI$12:$AI$741)</f>
        <v>430.6</v>
      </c>
      <c r="L97" s="107">
        <f>SUMIF(vuot2019_2020_I!$L$12:$L$741,C97,vuot2019_2020_I!$AJ$12:$AJ$741)</f>
        <v>-122.94</v>
      </c>
      <c r="M97" s="107">
        <f>SUMIF(vuot2019_2020_I!$L$12:$L$741,C97,vuot2019_2020_I!$AK$12:$AK$741)</f>
        <v>1607.94</v>
      </c>
      <c r="N97" s="107">
        <f>SUMIF(vuot2019_2020_I!$L$12:$L$741,C97,vuot2019_2020_I!$AL$12:$AL$741)</f>
        <v>586.1</v>
      </c>
      <c r="O97" s="107">
        <f>SUMIF(vuot2019_2020_I!$L$12:$L$741,C97,vuot2019_2020_I!$AM$12:$AM$741)</f>
        <v>451.4</v>
      </c>
      <c r="P97" s="107">
        <f>SUMIF(vuot2019_2020_I!$L$12:$L$741,C97,vuot2019_2020_I!$AN$12:$AN$741)</f>
        <v>1037.4999999999998</v>
      </c>
      <c r="Q97" s="107">
        <f>SUMIF(vuot2019_2020_I!$L$12:$L$752,C97,vuot2019_2020_I!$AU$12:$AU$752)</f>
        <v>-570.44000000000005</v>
      </c>
      <c r="R97" s="107">
        <f>SUMIF(vuot2019_2020_I!$L$12:$L$752,C97,vuot2019_2020_I!$BK$12:$BK$752)</f>
        <v>0</v>
      </c>
      <c r="S97" s="107">
        <f>SUMIF(vuot2019_2020_I!$L$12:$L$741,C97,vuot2019_2020_I!$BL$12:$BL$741)</f>
        <v>223.08999999999992</v>
      </c>
      <c r="T97" s="107">
        <f>SUMIF(vuot2019_2020_I!$L$12:$L$741,C97,vuot2019_2020_I!$BP$12:$BP$741)</f>
        <v>200</v>
      </c>
      <c r="U97" s="108">
        <f>SUMIF(vuot2019_2020_I!$L$12:$L$741,C97,vuot2019_2020_I!$BR$12:$BR$741)</f>
        <v>14000000</v>
      </c>
      <c r="V97" s="107">
        <f>SUMIF(vuot2019_2020_I!$L$12:$L$741,C97,vuot2019_2020_I!$BS$12:$BS$741)</f>
        <v>23.089999999999918</v>
      </c>
      <c r="W97" s="108">
        <f>SUMIF(vuot2019_2020_I!$L$12:$L$741,C97,vuot2019_2020_I!$BU$12:$BU$741)</f>
        <v>1269950</v>
      </c>
      <c r="X97" s="108">
        <f>SUMIF(vuot2019_2020_I!$L$12:$L$741,C97,vuot2019_2020_I!$BV$12:$BV$741)</f>
        <v>15269950</v>
      </c>
      <c r="Y97" s="108">
        <f>SUMIF(vuot2019_2020_I!$L$12:$L$741,C97,vuot2019_2020_I!$BW$12:$BW$741)</f>
        <v>0</v>
      </c>
      <c r="Z97" s="109">
        <f>SUMIF(vuot2019_2020_I!$L$12:$L$741,C97,vuot2019_2020_I!$BX$12:$BX$741)</f>
        <v>3252000</v>
      </c>
      <c r="AA97" s="109">
        <f>SUMIF(vuot2019_2020_I!$L$12:$L$741,C97,vuot2019_2020_I!$BY$12:$BY$741)+SUMIF(vuot2019_2020_I!$L$12:$L$741,C97,vuot2019_2020_I!$BZ$12:$BZ$741)</f>
        <v>0</v>
      </c>
      <c r="AB97" s="108">
        <f>SUMIF(vuot2019_2020_I!$L$12:$L$741,C97,vuot2019_2020_I!$CB$12:$CB$741)</f>
        <v>0</v>
      </c>
      <c r="AC97" s="108">
        <f>SUMIF(vuot2019_2020_I!$L$12:$L$741,C97,vuot2019_2020_I!$CC$12:$CC$741)+SUMIF(vuot2019_2020_I!$L$12:$L$741,C97,vuot2019_2020_I!$CA$12:$CA$741)</f>
        <v>15269950</v>
      </c>
      <c r="AD97" s="108">
        <f>SUMIF(vuot2019_2020_I!$L$12:$L$741,C97,vuot2019_2020_I!$CD$12:$CD$741)</f>
        <v>3252000</v>
      </c>
      <c r="AE97" s="110">
        <f t="shared" si="40"/>
        <v>129.68749999999997</v>
      </c>
      <c r="AF97" s="110">
        <f t="shared" si="42"/>
        <v>27.88624999999999</v>
      </c>
      <c r="AG97" s="87">
        <f t="shared" ref="AG97:AG111" si="50">I97/D97</f>
        <v>170.36624999999998</v>
      </c>
      <c r="AH97" s="107">
        <f t="shared" si="49"/>
        <v>1908743.75</v>
      </c>
      <c r="AI97" s="87">
        <f t="shared" si="41"/>
        <v>129.68749999999997</v>
      </c>
      <c r="AJ97" s="88">
        <f>D97</f>
        <v>8</v>
      </c>
      <c r="AK97" s="88"/>
      <c r="AL97" s="88">
        <f>AK97+AJ97</f>
        <v>8</v>
      </c>
      <c r="AM97" s="88">
        <f>ROUND(P97/630,0)</f>
        <v>2</v>
      </c>
      <c r="AN97" s="88"/>
    </row>
    <row r="98" spans="1:40" ht="17.100000000000001" customHeight="1" outlineLevel="2">
      <c r="A98" s="88">
        <v>72</v>
      </c>
      <c r="B98" s="88">
        <v>13</v>
      </c>
      <c r="C98" s="90" t="s">
        <v>2979</v>
      </c>
      <c r="D98" s="105">
        <f>COUNTIF(vuot2019_2020_I!$K$12:$K$741,C98)</f>
        <v>8</v>
      </c>
      <c r="E98" s="106">
        <f>SUMIF(vuot2019_2020_I!$L$12:$L$741,C98,vuot2019_2020_I!$AC$12:$AC$741)</f>
        <v>523.125</v>
      </c>
      <c r="F98" s="106">
        <f>SUMIF(vuot2019_2020_I!$L$12:$L$741,C98,vuot2019_2020_I!$AD$12:$AD$741)</f>
        <v>210</v>
      </c>
      <c r="G98" s="106">
        <f>SUMIF(vuot2019_2020_I!$L$12:$L$741,C98,vuot2019_2020_I!$AE$12:$AE$741)</f>
        <v>1434.375</v>
      </c>
      <c r="H98" s="106">
        <f>SUMIF(vuot2019_2020_I!$L$12:$L$741,C98,vuot2019_2020_I!$AF$12:$AF$741)</f>
        <v>700</v>
      </c>
      <c r="I98" s="107">
        <f>SUMIF(vuot2019_2020_I!$L$12:$L$741,C98,vuot2019_2020_I!$AG$12:$AG$741)</f>
        <v>1511.26</v>
      </c>
      <c r="J98" s="107">
        <f>SUMIF(vuot2019_2020_I!$L$12:$L$741,C98,vuot2019_2020_I!$AH$12:$AH$741)</f>
        <v>746.26</v>
      </c>
      <c r="K98" s="107">
        <f>SUMIF(vuot2019_2020_I!$L$12:$L$741,C98,vuot2019_2020_I!$AI$12:$AI$741)</f>
        <v>765</v>
      </c>
      <c r="L98" s="107">
        <f>SUMIF(vuot2019_2020_I!$L$12:$L$741,C98,vuot2019_2020_I!$AJ$12:$AJ$741)</f>
        <v>-50</v>
      </c>
      <c r="M98" s="107">
        <f>SUMIF(vuot2019_2020_I!$L$12:$L$741,C98,vuot2019_2020_I!$AK$12:$AK$741)</f>
        <v>1484.375</v>
      </c>
      <c r="N98" s="107">
        <f>SUMIF(vuot2019_2020_I!$L$12:$L$741,C98,vuot2019_2020_I!$AL$12:$AL$741)</f>
        <v>1290.7</v>
      </c>
      <c r="O98" s="107">
        <f>SUMIF(vuot2019_2020_I!$L$12:$L$741,C98,vuot2019_2020_I!$AM$12:$AM$741)</f>
        <v>339.1</v>
      </c>
      <c r="P98" s="107">
        <f>SUMIF(vuot2019_2020_I!$L$12:$L$741,C98,vuot2019_2020_I!$AN$12:$AN$741)</f>
        <v>1629.8</v>
      </c>
      <c r="Q98" s="107">
        <f>SUMIF(vuot2019_2020_I!$L$12:$L$752,C98,vuot2019_2020_I!$AU$12:$AU$752)</f>
        <v>145.42500000000001</v>
      </c>
      <c r="R98" s="107">
        <f>SUMIF(vuot2019_2020_I!$L$12:$L$752,C98,vuot2019_2020_I!$BK$12:$BK$752)</f>
        <v>0</v>
      </c>
      <c r="S98" s="107">
        <f>SUMIF(vuot2019_2020_I!$L$12:$L$741,C98,vuot2019_2020_I!$BL$12:$BL$741)</f>
        <v>392.6</v>
      </c>
      <c r="T98" s="107">
        <f>SUMIF(vuot2019_2020_I!$L$12:$L$741,C98,vuot2019_2020_I!$BP$12:$BP$741)</f>
        <v>350.6</v>
      </c>
      <c r="U98" s="108">
        <f>SUMIF(vuot2019_2020_I!$L$12:$L$741,C98,vuot2019_2020_I!$BR$12:$BR$741)</f>
        <v>23032000</v>
      </c>
      <c r="V98" s="107">
        <f>SUMIF(vuot2019_2020_I!$L$12:$L$741,C98,vuot2019_2020_I!$BS$12:$BS$741)</f>
        <v>42</v>
      </c>
      <c r="W98" s="108">
        <f>SUMIF(vuot2019_2020_I!$L$12:$L$741,C98,vuot2019_2020_I!$BU$12:$BU$741)</f>
        <v>2142000</v>
      </c>
      <c r="X98" s="108">
        <f>SUMIF(vuot2019_2020_I!$L$12:$L$741,C98,vuot2019_2020_I!$BV$12:$BV$741)</f>
        <v>25174000</v>
      </c>
      <c r="Y98" s="108">
        <f>SUMIF(vuot2019_2020_I!$L$12:$L$741,C98,vuot2019_2020_I!$BW$12:$BW$741)</f>
        <v>0</v>
      </c>
      <c r="Z98" s="109">
        <f>SUMIF(vuot2019_2020_I!$L$12:$L$741,C98,vuot2019_2020_I!$BX$12:$BX$741)</f>
        <v>2600000</v>
      </c>
      <c r="AA98" s="109">
        <f>SUMIF(vuot2019_2020_I!$L$12:$L$741,C98,vuot2019_2020_I!$BY$12:$BY$741)+SUMIF(vuot2019_2020_I!$L$12:$L$741,C98,vuot2019_2020_I!$BZ$12:$BZ$741)</f>
        <v>0</v>
      </c>
      <c r="AB98" s="108">
        <f>SUMIF(vuot2019_2020_I!$L$12:$L$741,C98,vuot2019_2020_I!$CB$12:$CB$741)</f>
        <v>0</v>
      </c>
      <c r="AC98" s="108">
        <f>SUMIF(vuot2019_2020_I!$L$12:$L$741,C98,vuot2019_2020_I!$CC$12:$CC$741)+SUMIF(vuot2019_2020_I!$L$12:$L$741,C98,vuot2019_2020_I!$CA$12:$CA$741)</f>
        <v>25174000</v>
      </c>
      <c r="AD98" s="108">
        <f>SUMIF(vuot2019_2020_I!$L$12:$L$741,C98,vuot2019_2020_I!$CD$12:$CD$741)</f>
        <v>2600000</v>
      </c>
      <c r="AE98" s="110">
        <f t="shared" si="40"/>
        <v>203.72499999999999</v>
      </c>
      <c r="AF98" s="110">
        <f t="shared" si="42"/>
        <v>49.075000000000003</v>
      </c>
      <c r="AG98" s="87">
        <f t="shared" si="50"/>
        <v>188.9075</v>
      </c>
      <c r="AH98" s="107">
        <f t="shared" si="49"/>
        <v>3146750</v>
      </c>
      <c r="AI98" s="87">
        <f t="shared" si="41"/>
        <v>203.72499999999999</v>
      </c>
      <c r="AJ98" s="88">
        <f>D98</f>
        <v>8</v>
      </c>
      <c r="AK98" s="88"/>
      <c r="AL98" s="88">
        <f>AK98+AJ98</f>
        <v>8</v>
      </c>
      <c r="AM98" s="88">
        <f>ROUND(P98/630,0)</f>
        <v>3</v>
      </c>
      <c r="AN98" s="88"/>
    </row>
    <row r="99" spans="1:40" s="12" customFormat="1" ht="17.100000000000001" customHeight="1" outlineLevel="1">
      <c r="A99" s="97"/>
      <c r="B99" s="97" t="s">
        <v>2931</v>
      </c>
      <c r="C99" s="111"/>
      <c r="D99" s="96">
        <f t="shared" ref="D99:AD99" si="51">SUBTOTAL(9,D94:D98)</f>
        <v>49</v>
      </c>
      <c r="E99" s="112">
        <f t="shared" si="51"/>
        <v>3232.125</v>
      </c>
      <c r="F99" s="112">
        <f t="shared" si="51"/>
        <v>1099</v>
      </c>
      <c r="G99" s="112">
        <f t="shared" si="51"/>
        <v>9570.375</v>
      </c>
      <c r="H99" s="112">
        <f t="shared" si="51"/>
        <v>4311</v>
      </c>
      <c r="I99" s="112">
        <f t="shared" si="51"/>
        <v>8476.3300000000017</v>
      </c>
      <c r="J99" s="112">
        <f>SUBTOTAL(9,J94:J98)</f>
        <v>4286.93</v>
      </c>
      <c r="K99" s="112">
        <f>SUBTOTAL(9,K94:K98)</f>
        <v>4189.3999999999996</v>
      </c>
      <c r="L99" s="112">
        <f t="shared" si="51"/>
        <v>-447.22999999999996</v>
      </c>
      <c r="M99" s="112">
        <f t="shared" si="51"/>
        <v>10017.605</v>
      </c>
      <c r="N99" s="112">
        <f t="shared" si="51"/>
        <v>6798.1</v>
      </c>
      <c r="O99" s="112">
        <f t="shared" si="51"/>
        <v>1578.1</v>
      </c>
      <c r="P99" s="112">
        <f t="shared" si="51"/>
        <v>8376.2000000000007</v>
      </c>
      <c r="Q99" s="112">
        <f t="shared" si="51"/>
        <v>-1641.405</v>
      </c>
      <c r="R99" s="112">
        <f t="shared" si="51"/>
        <v>0</v>
      </c>
      <c r="S99" s="112">
        <f t="shared" si="51"/>
        <v>1920.62</v>
      </c>
      <c r="T99" s="112">
        <f t="shared" si="51"/>
        <v>1603.63</v>
      </c>
      <c r="U99" s="113">
        <f t="shared" si="51"/>
        <v>104184150</v>
      </c>
      <c r="V99" s="112">
        <f t="shared" si="51"/>
        <v>316.99</v>
      </c>
      <c r="W99" s="113">
        <f t="shared" si="51"/>
        <v>16258850</v>
      </c>
      <c r="X99" s="113">
        <f t="shared" si="51"/>
        <v>120443000</v>
      </c>
      <c r="Y99" s="113">
        <f t="shared" si="51"/>
        <v>0</v>
      </c>
      <c r="Z99" s="113">
        <f t="shared" si="51"/>
        <v>5881500</v>
      </c>
      <c r="AA99" s="113">
        <f t="shared" si="51"/>
        <v>0</v>
      </c>
      <c r="AB99" s="113">
        <f t="shared" si="51"/>
        <v>0</v>
      </c>
      <c r="AC99" s="113">
        <f t="shared" si="51"/>
        <v>120443000</v>
      </c>
      <c r="AD99" s="113">
        <f t="shared" si="51"/>
        <v>5881500</v>
      </c>
      <c r="AE99" s="114">
        <f t="shared" si="40"/>
        <v>170.94285714285715</v>
      </c>
      <c r="AF99" s="114">
        <f t="shared" si="42"/>
        <v>39.196326530612239</v>
      </c>
      <c r="AG99" s="96">
        <f t="shared" si="50"/>
        <v>172.98632653061227</v>
      </c>
      <c r="AH99" s="112">
        <f t="shared" si="49"/>
        <v>2458020.4081632653</v>
      </c>
      <c r="AI99" s="96">
        <f t="shared" si="41"/>
        <v>170.94285714285715</v>
      </c>
      <c r="AJ99" s="115">
        <f>SUBTOTAL(9,AJ94:AJ98)</f>
        <v>49</v>
      </c>
      <c r="AK99" s="115">
        <f>SUBTOTAL(9,AK94:AK98)</f>
        <v>0</v>
      </c>
      <c r="AL99" s="115">
        <f>SUBTOTAL(9,AL94:AL98)</f>
        <v>49</v>
      </c>
      <c r="AM99" s="115">
        <f>SUBTOTAL(9,AM94:AM98)</f>
        <v>14</v>
      </c>
      <c r="AN99" s="97">
        <f>AM99-AJ99</f>
        <v>-35</v>
      </c>
    </row>
    <row r="100" spans="1:40" ht="17.100000000000001" customHeight="1" outlineLevel="2">
      <c r="A100" s="88">
        <v>15</v>
      </c>
      <c r="B100" s="88">
        <v>14</v>
      </c>
      <c r="C100" s="90" t="s">
        <v>1615</v>
      </c>
      <c r="D100" s="105">
        <f>COUNTIF(vuot2019_2020_I!$K$12:$K$741,C100)</f>
        <v>7</v>
      </c>
      <c r="E100" s="106">
        <f>SUMIF(vuot2019_2020_I!$L$12:$L$741,C100,vuot2019_2020_I!$AC$12:$AC$741)</f>
        <v>329.625</v>
      </c>
      <c r="F100" s="106">
        <f>SUMIF(vuot2019_2020_I!$L$12:$L$741,C100,vuot2019_2020_I!$AD$12:$AD$741)</f>
        <v>50</v>
      </c>
      <c r="G100" s="106">
        <f>SUMIF(vuot2019_2020_I!$L$12:$L$741,C100,vuot2019_2020_I!$AE$12:$AE$741)</f>
        <v>1402.875</v>
      </c>
      <c r="H100" s="106">
        <f>SUMIF(vuot2019_2020_I!$L$12:$L$741,C100,vuot2019_2020_I!$AF$12:$AF$741)</f>
        <v>680</v>
      </c>
      <c r="I100" s="107">
        <f>SUMIF(vuot2019_2020_I!$L$12:$L$741,C100,vuot2019_2020_I!$AG$12:$AG$741)</f>
        <v>1314.6899999999998</v>
      </c>
      <c r="J100" s="107">
        <f>SUMIF(vuot2019_2020_I!$L$12:$L$741,C100,vuot2019_2020_I!$AH$12:$AH$741)</f>
        <v>695.93</v>
      </c>
      <c r="K100" s="107">
        <f>SUMIF(vuot2019_2020_I!$L$12:$L$741,C100,vuot2019_2020_I!$AI$12:$AI$741)</f>
        <v>618.76</v>
      </c>
      <c r="L100" s="107">
        <f>SUMIF(vuot2019_2020_I!$L$12:$L$741,C100,vuot2019_2020_I!$AJ$12:$AJ$741)</f>
        <v>-56.64</v>
      </c>
      <c r="M100" s="107">
        <f>SUMIF(vuot2019_2020_I!$L$12:$L$741,C100,vuot2019_2020_I!$AK$12:$AK$741)</f>
        <v>1459.5150000000001</v>
      </c>
      <c r="N100" s="107">
        <f>SUMIF(vuot2019_2020_I!$L$12:$L$741,C100,vuot2019_2020_I!$AL$12:$AL$741)</f>
        <v>446.4</v>
      </c>
      <c r="O100" s="107">
        <f>SUMIF(vuot2019_2020_I!$L$12:$L$741,C100,vuot2019_2020_I!$AM$12:$AM$741)</f>
        <v>157.69999999999999</v>
      </c>
      <c r="P100" s="107">
        <f>SUMIF(vuot2019_2020_I!$L$12:$L$741,C100,vuot2019_2020_I!$AN$12:$AN$741)</f>
        <v>604.1</v>
      </c>
      <c r="Q100" s="107">
        <f>SUMIF(vuot2019_2020_I!$L$12:$L$752,C100,vuot2019_2020_I!$AU$12:$AU$752)</f>
        <v>-855.41499999999996</v>
      </c>
      <c r="R100" s="107">
        <f>SUMIF(vuot2019_2020_I!$L$12:$L$752,C100,vuot2019_2020_I!$BK$12:$BK$752)</f>
        <v>0</v>
      </c>
      <c r="S100" s="107">
        <f>SUMIF(vuot2019_2020_I!$L$12:$L$741,C100,vuot2019_2020_I!$BL$12:$BL$741)</f>
        <v>0</v>
      </c>
      <c r="T100" s="107">
        <f>SUMIF(vuot2019_2020_I!$L$12:$L$741,C100,vuot2019_2020_I!$BP$12:$BP$741)</f>
        <v>0</v>
      </c>
      <c r="U100" s="108">
        <f>SUMIF(vuot2019_2020_I!$L$12:$L$741,C100,vuot2019_2020_I!$BR$12:$BR$741)</f>
        <v>0</v>
      </c>
      <c r="V100" s="107">
        <f>SUMIF(vuot2019_2020_I!$L$12:$L$741,C100,vuot2019_2020_I!$BS$12:$BS$741)</f>
        <v>0</v>
      </c>
      <c r="W100" s="108">
        <f>SUMIF(vuot2019_2020_I!$L$12:$L$741,C100,vuot2019_2020_I!$BU$12:$BU$741)</f>
        <v>0</v>
      </c>
      <c r="X100" s="108">
        <f>SUMIF(vuot2019_2020_I!$L$12:$L$741,C100,vuot2019_2020_I!$BV$12:$BV$741)</f>
        <v>0</v>
      </c>
      <c r="Y100" s="108">
        <f>SUMIF(vuot2019_2020_I!$L$12:$L$741,C100,vuot2019_2020_I!$BW$12:$BW$741)</f>
        <v>0</v>
      </c>
      <c r="Z100" s="109">
        <f>SUMIF(vuot2019_2020_I!$L$12:$L$741,C100,vuot2019_2020_I!$BX$12:$BX$741)</f>
        <v>0</v>
      </c>
      <c r="AA100" s="109">
        <f>SUMIF(vuot2019_2020_I!$L$12:$L$741,C100,vuot2019_2020_I!$BY$12:$BY$741)+SUMIF(vuot2019_2020_I!$L$12:$L$741,C100,vuot2019_2020_I!$BZ$12:$BZ$741)</f>
        <v>0</v>
      </c>
      <c r="AB100" s="108">
        <f>SUMIF(vuot2019_2020_I!$L$12:$L$741,C100,vuot2019_2020_I!$CB$12:$CB$741)</f>
        <v>0</v>
      </c>
      <c r="AC100" s="108">
        <f>SUMIF(vuot2019_2020_I!$L$12:$L$741,C100,vuot2019_2020_I!$CC$12:$CC$741)+SUMIF(vuot2019_2020_I!$L$12:$L$741,C100,vuot2019_2020_I!$CA$12:$CA$741)</f>
        <v>0</v>
      </c>
      <c r="AD100" s="108">
        <f>SUMIF(vuot2019_2020_I!$L$12:$L$741,C100,vuot2019_2020_I!$CD$12:$CD$741)</f>
        <v>0</v>
      </c>
      <c r="AE100" s="110">
        <f t="shared" si="40"/>
        <v>86.3</v>
      </c>
      <c r="AF100" s="110">
        <f t="shared" si="42"/>
        <v>0</v>
      </c>
      <c r="AG100" s="87">
        <f>I100/D100</f>
        <v>187.81285714285713</v>
      </c>
      <c r="AH100" s="107">
        <f t="shared" ref="AH100:AH112" si="52">X100/D100</f>
        <v>0</v>
      </c>
      <c r="AI100" s="87">
        <f t="shared" si="41"/>
        <v>86.3</v>
      </c>
      <c r="AJ100" s="88">
        <f>D100</f>
        <v>7</v>
      </c>
      <c r="AK100" s="88"/>
      <c r="AL100" s="88">
        <f>AK100+AJ100</f>
        <v>7</v>
      </c>
      <c r="AM100" s="88">
        <f>ROUND(P100/630,0)</f>
        <v>1</v>
      </c>
      <c r="AN100" s="88"/>
    </row>
    <row r="101" spans="1:40" ht="17.100000000000001" customHeight="1" outlineLevel="2">
      <c r="A101" s="88">
        <v>15</v>
      </c>
      <c r="B101" s="88">
        <v>14</v>
      </c>
      <c r="C101" s="90" t="s">
        <v>1616</v>
      </c>
      <c r="D101" s="105">
        <f>COUNTIF(vuot2019_2020_I!$K$12:$K$741,C101)</f>
        <v>6</v>
      </c>
      <c r="E101" s="106">
        <f>SUMIF(vuot2019_2020_I!$L$12:$L$741,C101,vuot2019_2020_I!$AC$12:$AC$741)</f>
        <v>461.25</v>
      </c>
      <c r="F101" s="106">
        <f>SUMIF(vuot2019_2020_I!$L$12:$L$741,C101,vuot2019_2020_I!$AD$12:$AD$741)</f>
        <v>100</v>
      </c>
      <c r="G101" s="106">
        <f>SUMIF(vuot2019_2020_I!$L$12:$L$741,C101,vuot2019_2020_I!$AE$12:$AE$741)</f>
        <v>1068.75</v>
      </c>
      <c r="H101" s="106">
        <f>SUMIF(vuot2019_2020_I!$L$12:$L$741,C101,vuot2019_2020_I!$AF$12:$AF$741)</f>
        <v>553.33333333333326</v>
      </c>
      <c r="I101" s="107">
        <f>SUMIF(vuot2019_2020_I!$L$12:$L$741,C101,vuot2019_2020_I!$AG$12:$AG$741)</f>
        <v>2726.1466666666665</v>
      </c>
      <c r="J101" s="107">
        <f>SUMIF(vuot2019_2020_I!$L$12:$L$741,C101,vuot2019_2020_I!$AH$12:$AH$741)</f>
        <v>923.92666666666673</v>
      </c>
      <c r="K101" s="107">
        <f>SUMIF(vuot2019_2020_I!$L$12:$L$741,C101,vuot2019_2020_I!$AI$12:$AI$741)</f>
        <v>1802.2199999999998</v>
      </c>
      <c r="L101" s="107">
        <f>SUMIF(vuot2019_2020_I!$L$12:$L$741,C101,vuot2019_2020_I!$AJ$12:$AJ$741)</f>
        <v>-30.353333333333332</v>
      </c>
      <c r="M101" s="107">
        <f>SUMIF(vuot2019_2020_I!$L$12:$L$741,C101,vuot2019_2020_I!$AK$12:$AK$741)</f>
        <v>1099.1033333333335</v>
      </c>
      <c r="N101" s="107">
        <f>SUMIF(vuot2019_2020_I!$L$12:$L$741,C101,vuot2019_2020_I!$AL$12:$AL$741)</f>
        <v>362.79999999999995</v>
      </c>
      <c r="O101" s="107">
        <f>SUMIF(vuot2019_2020_I!$L$12:$L$741,C101,vuot2019_2020_I!$AM$12:$AM$741)</f>
        <v>176.99999999999997</v>
      </c>
      <c r="P101" s="107">
        <f>SUMIF(vuot2019_2020_I!$L$12:$L$741,C101,vuot2019_2020_I!$AN$12:$AN$741)</f>
        <v>539.79999999999995</v>
      </c>
      <c r="Q101" s="107">
        <f>SUMIF(vuot2019_2020_I!$L$12:$L$752,C101,vuot2019_2020_I!$AU$12:$AU$752)</f>
        <v>-559.3033333333334</v>
      </c>
      <c r="R101" s="107">
        <f>SUMIF(vuot2019_2020_I!$L$12:$L$752,C101,vuot2019_2020_I!$BK$12:$BK$752)</f>
        <v>0</v>
      </c>
      <c r="S101" s="107">
        <f>SUMIF(vuot2019_2020_I!$L$12:$L$741,C101,vuot2019_2020_I!$BL$12:$BL$741)</f>
        <v>52.149999999999977</v>
      </c>
      <c r="T101" s="107">
        <f>SUMIF(vuot2019_2020_I!$L$12:$L$741,C101,vuot2019_2020_I!$BP$12:$BP$741)</f>
        <v>52.149999999999977</v>
      </c>
      <c r="U101" s="108">
        <f>SUMIF(vuot2019_2020_I!$L$12:$L$741,C101,vuot2019_2020_I!$BR$12:$BR$741)</f>
        <v>3389750</v>
      </c>
      <c r="V101" s="107">
        <f>SUMIF(vuot2019_2020_I!$L$12:$L$741,C101,vuot2019_2020_I!$BS$12:$BS$741)</f>
        <v>0</v>
      </c>
      <c r="W101" s="108">
        <f>SUMIF(vuot2019_2020_I!$L$12:$L$741,C101,vuot2019_2020_I!$BU$12:$BU$741)</f>
        <v>0</v>
      </c>
      <c r="X101" s="108">
        <f>SUMIF(vuot2019_2020_I!$L$12:$L$741,C101,vuot2019_2020_I!$BV$12:$BV$741)</f>
        <v>3389750</v>
      </c>
      <c r="Y101" s="108">
        <f>SUMIF(vuot2019_2020_I!$L$12:$L$741,C101,vuot2019_2020_I!$BW$12:$BW$741)</f>
        <v>0</v>
      </c>
      <c r="Z101" s="109">
        <f>SUMIF(vuot2019_2020_I!$L$12:$L$741,C101,vuot2019_2020_I!$BX$12:$BX$741)</f>
        <v>0</v>
      </c>
      <c r="AA101" s="109">
        <f>SUMIF(vuot2019_2020_I!$L$12:$L$741,C101,vuot2019_2020_I!$BY$12:$BY$741)+SUMIF(vuot2019_2020_I!$L$12:$L$741,C101,vuot2019_2020_I!$BZ$12:$BZ$741)</f>
        <v>0</v>
      </c>
      <c r="AB101" s="108">
        <f>SUMIF(vuot2019_2020_I!$L$12:$L$741,C101,vuot2019_2020_I!$CB$12:$CB$741)</f>
        <v>0</v>
      </c>
      <c r="AC101" s="108">
        <f>SUMIF(vuot2019_2020_I!$L$12:$L$741,C101,vuot2019_2020_I!$CC$12:$CC$741)+SUMIF(vuot2019_2020_I!$L$12:$L$741,C101,vuot2019_2020_I!$CA$12:$CA$741)</f>
        <v>3389750</v>
      </c>
      <c r="AD101" s="108">
        <f>SUMIF(vuot2019_2020_I!$L$12:$L$741,C101,vuot2019_2020_I!$CD$12:$CD$741)</f>
        <v>0</v>
      </c>
      <c r="AE101" s="110">
        <f t="shared" si="40"/>
        <v>89.966666666666654</v>
      </c>
      <c r="AF101" s="110">
        <f t="shared" si="42"/>
        <v>8.6916666666666629</v>
      </c>
      <c r="AG101" s="87">
        <f>I101/D101</f>
        <v>454.35777777777776</v>
      </c>
      <c r="AH101" s="107">
        <f t="shared" si="52"/>
        <v>564958.33333333337</v>
      </c>
      <c r="AI101" s="87">
        <f t="shared" si="41"/>
        <v>89.966666666666654</v>
      </c>
      <c r="AJ101" s="88">
        <f>D101</f>
        <v>6</v>
      </c>
      <c r="AK101" s="88"/>
      <c r="AL101" s="88">
        <f>AK101+AJ101</f>
        <v>6</v>
      </c>
      <c r="AM101" s="88">
        <f>ROUND(P101/630,0)</f>
        <v>1</v>
      </c>
      <c r="AN101" s="88"/>
    </row>
    <row r="102" spans="1:40" ht="17.100000000000001" customHeight="1" outlineLevel="2">
      <c r="A102" s="88">
        <v>70</v>
      </c>
      <c r="B102" s="88">
        <v>14</v>
      </c>
      <c r="C102" s="90" t="s">
        <v>219</v>
      </c>
      <c r="D102" s="105">
        <f>COUNTIF(vuot2019_2020_I!$K$12:$K$741,C102)</f>
        <v>2</v>
      </c>
      <c r="E102" s="106">
        <f>SUMIF(vuot2019_2020_I!$L$12:$L$741,C102,vuot2019_2020_I!$AC$12:$AC$741)</f>
        <v>108</v>
      </c>
      <c r="F102" s="106">
        <f>SUMIF(vuot2019_2020_I!$L$12:$L$741,C102,vuot2019_2020_I!$AD$12:$AD$741)</f>
        <v>0</v>
      </c>
      <c r="G102" s="106">
        <f>SUMIF(vuot2019_2020_I!$L$12:$L$741,C102,vuot2019_2020_I!$AE$12:$AE$741)</f>
        <v>432</v>
      </c>
      <c r="H102" s="106">
        <f>SUMIF(vuot2019_2020_I!$L$12:$L$741,C102,vuot2019_2020_I!$AF$12:$AF$741)</f>
        <v>290</v>
      </c>
      <c r="I102" s="107">
        <f>SUMIF(vuot2019_2020_I!$L$12:$L$741,C102,vuot2019_2020_I!$AG$12:$AG$741)</f>
        <v>798.76</v>
      </c>
      <c r="J102" s="107">
        <f>SUMIF(vuot2019_2020_I!$L$12:$L$741,C102,vuot2019_2020_I!$AH$12:$AH$741)</f>
        <v>93.339999999999989</v>
      </c>
      <c r="K102" s="107">
        <f>SUMIF(vuot2019_2020_I!$L$12:$L$741,C102,vuot2019_2020_I!$AI$12:$AI$741)</f>
        <v>705.42000000000007</v>
      </c>
      <c r="L102" s="107">
        <f>SUMIF(vuot2019_2020_I!$L$12:$L$741,C102,vuot2019_2020_I!$AJ$12:$AJ$741)</f>
        <v>0</v>
      </c>
      <c r="M102" s="107">
        <f>SUMIF(vuot2019_2020_I!$L$12:$L$741,C102,vuot2019_2020_I!$AK$12:$AK$741)</f>
        <v>432</v>
      </c>
      <c r="N102" s="107">
        <f>SUMIF(vuot2019_2020_I!$L$12:$L$741,C102,vuot2019_2020_I!$AL$12:$AL$741)</f>
        <v>124.6</v>
      </c>
      <c r="O102" s="107">
        <f>SUMIF(vuot2019_2020_I!$L$12:$L$741,C102,vuot2019_2020_I!$AM$12:$AM$741)</f>
        <v>110.7</v>
      </c>
      <c r="P102" s="107">
        <f>SUMIF(vuot2019_2020_I!$L$12:$L$741,C102,vuot2019_2020_I!$AN$12:$AN$741)</f>
        <v>235.29999999999998</v>
      </c>
      <c r="Q102" s="107">
        <f>SUMIF(vuot2019_2020_I!$L$12:$L$752,C102,vuot2019_2020_I!$AU$12:$AU$752)</f>
        <v>-196.70000000000002</v>
      </c>
      <c r="R102" s="107">
        <f>SUMIF(vuot2019_2020_I!$L$12:$L$752,C102,vuot2019_2020_I!$BK$12:$BK$752)</f>
        <v>0</v>
      </c>
      <c r="S102" s="107">
        <f>SUMIF(vuot2019_2020_I!$L$12:$L$741,C102,vuot2019_2020_I!$BL$12:$BL$741)</f>
        <v>0</v>
      </c>
      <c r="T102" s="107">
        <f>SUMIF(vuot2019_2020_I!$L$12:$L$741,C102,vuot2019_2020_I!$BP$12:$BP$741)</f>
        <v>0</v>
      </c>
      <c r="U102" s="108">
        <f>SUMIF(vuot2019_2020_I!$L$12:$L$741,C102,vuot2019_2020_I!$BR$12:$BR$741)</f>
        <v>0</v>
      </c>
      <c r="V102" s="107">
        <f>SUMIF(vuot2019_2020_I!$L$12:$L$741,C102,vuot2019_2020_I!$BS$12:$BS$741)</f>
        <v>0</v>
      </c>
      <c r="W102" s="108">
        <f>SUMIF(vuot2019_2020_I!$L$12:$L$741,C102,vuot2019_2020_I!$BU$12:$BU$741)</f>
        <v>0</v>
      </c>
      <c r="X102" s="108">
        <f>SUMIF(vuot2019_2020_I!$L$12:$L$741,C102,vuot2019_2020_I!$BV$12:$BV$741)</f>
        <v>0</v>
      </c>
      <c r="Y102" s="108">
        <f>SUMIF(vuot2019_2020_I!$L$12:$L$741,C102,vuot2019_2020_I!$BW$12:$BW$741)</f>
        <v>0</v>
      </c>
      <c r="Z102" s="109">
        <f>SUMIF(vuot2019_2020_I!$L$12:$L$741,C102,vuot2019_2020_I!$BX$12:$BX$741)</f>
        <v>100500</v>
      </c>
      <c r="AA102" s="109">
        <f>SUMIF(vuot2019_2020_I!$L$12:$L$741,C102,vuot2019_2020_I!$BY$12:$BY$741)+SUMIF(vuot2019_2020_I!$L$12:$L$741,C102,vuot2019_2020_I!$BZ$12:$BZ$741)</f>
        <v>0</v>
      </c>
      <c r="AB102" s="108">
        <f>SUMIF(vuot2019_2020_I!$L$12:$L$741,C102,vuot2019_2020_I!$CB$12:$CB$741)</f>
        <v>0</v>
      </c>
      <c r="AC102" s="108">
        <f>SUMIF(vuot2019_2020_I!$L$12:$L$741,C102,vuot2019_2020_I!$CC$12:$CC$741)+SUMIF(vuot2019_2020_I!$L$12:$L$741,C102,vuot2019_2020_I!$CA$12:$CA$741)</f>
        <v>0</v>
      </c>
      <c r="AD102" s="108">
        <f>SUMIF(vuot2019_2020_I!$L$12:$L$741,C102,vuot2019_2020_I!$CD$12:$CD$741)</f>
        <v>100500</v>
      </c>
      <c r="AE102" s="110">
        <f t="shared" si="40"/>
        <v>117.64999999999999</v>
      </c>
      <c r="AF102" s="110">
        <f t="shared" si="42"/>
        <v>0</v>
      </c>
      <c r="AG102" s="87">
        <f>I102/D102</f>
        <v>399.38</v>
      </c>
      <c r="AH102" s="107">
        <f t="shared" si="52"/>
        <v>0</v>
      </c>
      <c r="AI102" s="87">
        <f t="shared" si="41"/>
        <v>117.64999999999999</v>
      </c>
      <c r="AJ102" s="88">
        <f>D102</f>
        <v>2</v>
      </c>
      <c r="AK102" s="88"/>
      <c r="AL102" s="88">
        <f>AK102+AJ102</f>
        <v>2</v>
      </c>
      <c r="AM102" s="88">
        <f>ROUND(P102/630,0)</f>
        <v>0</v>
      </c>
      <c r="AN102" s="88"/>
    </row>
    <row r="103" spans="1:40" s="12" customFormat="1" ht="17.100000000000001" customHeight="1" outlineLevel="1">
      <c r="A103" s="97"/>
      <c r="B103" s="97" t="s">
        <v>218</v>
      </c>
      <c r="C103" s="111"/>
      <c r="D103" s="96">
        <f t="shared" ref="D103:AD103" si="53">SUBTOTAL(9,D100:D102)</f>
        <v>15</v>
      </c>
      <c r="E103" s="112">
        <f t="shared" si="53"/>
        <v>898.875</v>
      </c>
      <c r="F103" s="112">
        <f t="shared" si="53"/>
        <v>150</v>
      </c>
      <c r="G103" s="112">
        <f t="shared" si="53"/>
        <v>2903.625</v>
      </c>
      <c r="H103" s="112">
        <f t="shared" si="53"/>
        <v>1523.3333333333333</v>
      </c>
      <c r="I103" s="112">
        <f t="shared" si="53"/>
        <v>4839.5966666666664</v>
      </c>
      <c r="J103" s="112">
        <f>SUBTOTAL(9,J100:J102)</f>
        <v>1713.1966666666665</v>
      </c>
      <c r="K103" s="112">
        <f>SUBTOTAL(9,K100:K102)</f>
        <v>3126.3999999999996</v>
      </c>
      <c r="L103" s="112">
        <f t="shared" si="53"/>
        <v>-86.993333333333339</v>
      </c>
      <c r="M103" s="112">
        <f t="shared" si="53"/>
        <v>2990.6183333333338</v>
      </c>
      <c r="N103" s="112">
        <f t="shared" si="53"/>
        <v>933.8</v>
      </c>
      <c r="O103" s="112">
        <f t="shared" si="53"/>
        <v>445.39999999999992</v>
      </c>
      <c r="P103" s="112">
        <f t="shared" si="53"/>
        <v>1379.2</v>
      </c>
      <c r="Q103" s="112">
        <f t="shared" si="53"/>
        <v>-1611.4183333333333</v>
      </c>
      <c r="R103" s="112">
        <f t="shared" si="53"/>
        <v>0</v>
      </c>
      <c r="S103" s="112">
        <f t="shared" si="53"/>
        <v>52.149999999999977</v>
      </c>
      <c r="T103" s="112">
        <f t="shared" si="53"/>
        <v>52.149999999999977</v>
      </c>
      <c r="U103" s="113">
        <f t="shared" si="53"/>
        <v>3389750</v>
      </c>
      <c r="V103" s="112">
        <f t="shared" si="53"/>
        <v>0</v>
      </c>
      <c r="W103" s="113">
        <f t="shared" si="53"/>
        <v>0</v>
      </c>
      <c r="X103" s="113">
        <f t="shared" si="53"/>
        <v>3389750</v>
      </c>
      <c r="Y103" s="113">
        <f t="shared" si="53"/>
        <v>0</v>
      </c>
      <c r="Z103" s="113">
        <f t="shared" si="53"/>
        <v>100500</v>
      </c>
      <c r="AA103" s="113">
        <f t="shared" si="53"/>
        <v>0</v>
      </c>
      <c r="AB103" s="113">
        <f t="shared" si="53"/>
        <v>0</v>
      </c>
      <c r="AC103" s="113">
        <f t="shared" si="53"/>
        <v>3389750</v>
      </c>
      <c r="AD103" s="113">
        <f t="shared" si="53"/>
        <v>100500</v>
      </c>
      <c r="AE103" s="114">
        <f t="shared" si="40"/>
        <v>91.946666666666673</v>
      </c>
      <c r="AF103" s="110">
        <f t="shared" si="42"/>
        <v>3.4766666666666652</v>
      </c>
      <c r="AG103" s="96">
        <f>I103/D103</f>
        <v>322.63977777777774</v>
      </c>
      <c r="AH103" s="112">
        <f t="shared" si="52"/>
        <v>225983.33333333334</v>
      </c>
      <c r="AI103" s="96">
        <f t="shared" si="41"/>
        <v>91.946666666666673</v>
      </c>
      <c r="AJ103" s="115">
        <f>SUBTOTAL(9,AJ100:AJ102)</f>
        <v>15</v>
      </c>
      <c r="AK103" s="115">
        <f>SUBTOTAL(9,AK100:AK102)</f>
        <v>0</v>
      </c>
      <c r="AL103" s="115">
        <f>SUBTOTAL(9,AL100:AL102)</f>
        <v>15</v>
      </c>
      <c r="AM103" s="115">
        <f>SUBTOTAL(9,AM100:AM102)</f>
        <v>2</v>
      </c>
      <c r="AN103" s="88">
        <f>AM103-AJ103</f>
        <v>-13</v>
      </c>
    </row>
    <row r="104" spans="1:40" ht="17.100000000000001" customHeight="1" outlineLevel="2">
      <c r="A104" s="88">
        <v>73</v>
      </c>
      <c r="B104" s="88">
        <v>20</v>
      </c>
      <c r="C104" s="91" t="s">
        <v>2440</v>
      </c>
      <c r="D104" s="105">
        <f>COUNTIF(vuot2019_2020_I!$K$12:$K$741,C104)</f>
        <v>18</v>
      </c>
      <c r="E104" s="106">
        <f>SUMIF(vuot2019_2020_I!$L$12:$L$741,C104,vuot2019_2020_I!$AC$12:$AC$741)</f>
        <v>526.5</v>
      </c>
      <c r="F104" s="106">
        <f>SUMIF(vuot2019_2020_I!$L$12:$L$741,C104,vuot2019_2020_I!$AD$12:$AD$741)</f>
        <v>174</v>
      </c>
      <c r="G104" s="106">
        <f>SUMIF(vuot2019_2020_I!$L$12:$L$741,C104,vuot2019_2020_I!$AE$12:$AE$741)</f>
        <v>4333.5</v>
      </c>
      <c r="H104" s="106">
        <f>SUMIF(vuot2019_2020_I!$L$12:$L$741,C104,vuot2019_2020_I!$AF$12:$AF$741)</f>
        <v>1206</v>
      </c>
      <c r="I104" s="107">
        <f>SUMIF(vuot2019_2020_I!$L$12:$L$741,C104,vuot2019_2020_I!$AG$12:$AG$741)</f>
        <v>729.97</v>
      </c>
      <c r="J104" s="107">
        <f>SUMIF(vuot2019_2020_I!$L$12:$L$741,C104,vuot2019_2020_I!$AH$12:$AH$741)</f>
        <v>629.9799999999999</v>
      </c>
      <c r="K104" s="107">
        <f>SUMIF(vuot2019_2020_I!$L$12:$L$741,C104,vuot2019_2020_I!$AI$12:$AI$741)</f>
        <v>99.99</v>
      </c>
      <c r="L104" s="107">
        <f>SUMIF(vuot2019_2020_I!$L$12:$L$741,C104,vuot2019_2020_I!$AJ$12:$AJ$741)</f>
        <v>-971.02</v>
      </c>
      <c r="M104" s="107">
        <f>SUMIF(vuot2019_2020_I!$L$12:$L$741,C104,vuot2019_2020_I!$AK$12:$AK$741)</f>
        <v>5304.52</v>
      </c>
      <c r="N104" s="107">
        <f>SUMIF(vuot2019_2020_I!$L$12:$L$741,C104,vuot2019_2020_I!$AL$12:$AL$741)</f>
        <v>8808.8000000000011</v>
      </c>
      <c r="O104" s="107">
        <f>SUMIF(vuot2019_2020_I!$L$12:$L$741,C104,vuot2019_2020_I!$AM$12:$AM$741)</f>
        <v>0</v>
      </c>
      <c r="P104" s="107">
        <f>SUMIF(vuot2019_2020_I!$L$12:$L$741,C104,vuot2019_2020_I!$AN$12:$AN$741)</f>
        <v>8808.8000000000011</v>
      </c>
      <c r="Q104" s="107">
        <f>SUMIF(vuot2019_2020_I!$L$12:$L$752,C104,vuot2019_2020_I!$AU$12:$AU$752)</f>
        <v>3504.2799999999993</v>
      </c>
      <c r="R104" s="107">
        <f>SUMIF(vuot2019_2020_I!$L$12:$L$752,C104,vuot2019_2020_I!$BK$12:$BK$752)</f>
        <v>0</v>
      </c>
      <c r="S104" s="107">
        <f>SUMIF(vuot2019_2020_I!$L$12:$L$741,C104,vuot2019_2020_I!$BL$12:$BL$741)</f>
        <v>3647.0799999999995</v>
      </c>
      <c r="T104" s="107">
        <f>SUMIF(vuot2019_2020_I!$L$12:$L$741,C104,vuot2019_2020_I!$BP$12:$BP$741)</f>
        <v>2693.0000000000005</v>
      </c>
      <c r="U104" s="108">
        <f>SUMIF(vuot2019_2020_I!$L$12:$L$741,C104,vuot2019_2020_I!$BR$12:$BR$741)</f>
        <v>149034000</v>
      </c>
      <c r="V104" s="107">
        <f>SUMIF(vuot2019_2020_I!$L$12:$L$741,C104,vuot2019_2020_I!$BS$12:$BS$741)</f>
        <v>954.08000000000015</v>
      </c>
      <c r="W104" s="108">
        <f>SUMIF(vuot2019_2020_I!$L$12:$L$741,C104,vuot2019_2020_I!$BU$12:$BU$741)</f>
        <v>49989680</v>
      </c>
      <c r="X104" s="108">
        <f>SUMIF(vuot2019_2020_I!$L$12:$L$741,C104,vuot2019_2020_I!$BV$12:$BV$741)</f>
        <v>199023680</v>
      </c>
      <c r="Y104" s="108">
        <f>SUMIF(vuot2019_2020_I!$L$12:$L$741,C104,vuot2019_2020_I!$BW$12:$BW$741)</f>
        <v>0</v>
      </c>
      <c r="Z104" s="109">
        <f>SUMIF(vuot2019_2020_I!$L$12:$L$741,C104,vuot2019_2020_I!$BX$12:$BX$741)</f>
        <v>0</v>
      </c>
      <c r="AA104" s="109">
        <f>SUMIF(vuot2019_2020_I!$L$12:$L$741,C104,vuot2019_2020_I!$BY$12:$BY$741)+SUMIF(vuot2019_2020_I!$L$12:$L$741,C104,vuot2019_2020_I!$BZ$12:$BZ$741)</f>
        <v>0</v>
      </c>
      <c r="AB104" s="108">
        <f>SUMIF(vuot2019_2020_I!$L$12:$L$741,C104,vuot2019_2020_I!$CB$12:$CB$741)</f>
        <v>0</v>
      </c>
      <c r="AC104" s="108">
        <f>SUMIF(vuot2019_2020_I!$L$12:$L$741,C104,vuot2019_2020_I!$CC$12:$CC$741)+SUMIF(vuot2019_2020_I!$L$12:$L$741,C104,vuot2019_2020_I!$CA$12:$CA$741)</f>
        <v>199023680</v>
      </c>
      <c r="AD104" s="108">
        <f>SUMIF(vuot2019_2020_I!$L$12:$L$741,C104,vuot2019_2020_I!$CD$12:$CD$741)</f>
        <v>0</v>
      </c>
      <c r="AE104" s="110">
        <f t="shared" ref="AE104:AE112" si="54">P104/D104</f>
        <v>489.37777777777785</v>
      </c>
      <c r="AF104" s="110">
        <f t="shared" si="42"/>
        <v>202.61555555555552</v>
      </c>
      <c r="AG104" s="87">
        <f t="shared" si="50"/>
        <v>40.553888888888892</v>
      </c>
      <c r="AH104" s="107">
        <f t="shared" si="52"/>
        <v>11056871.111111112</v>
      </c>
      <c r="AI104" s="87">
        <f t="shared" ref="AI104:AI110" si="55">P104/(AJ104+AK104)</f>
        <v>489.37777777777785</v>
      </c>
      <c r="AJ104" s="88">
        <f>D104</f>
        <v>18</v>
      </c>
      <c r="AK104" s="88"/>
      <c r="AL104" s="88">
        <f>AK104+AJ104</f>
        <v>18</v>
      </c>
      <c r="AM104" s="88">
        <f>ROUND(P104/630,0)</f>
        <v>14</v>
      </c>
      <c r="AN104" s="88"/>
    </row>
    <row r="105" spans="1:40" s="12" customFormat="1" ht="17.100000000000001" customHeight="1" outlineLevel="1">
      <c r="A105" s="97"/>
      <c r="B105" s="97" t="s">
        <v>535</v>
      </c>
      <c r="C105" s="111"/>
      <c r="D105" s="96">
        <f t="shared" ref="D105:AD105" si="56">SUBTOTAL(9,D104:D104)</f>
        <v>18</v>
      </c>
      <c r="E105" s="112">
        <f t="shared" si="56"/>
        <v>526.5</v>
      </c>
      <c r="F105" s="112">
        <f t="shared" si="56"/>
        <v>174</v>
      </c>
      <c r="G105" s="112">
        <f t="shared" si="56"/>
        <v>4333.5</v>
      </c>
      <c r="H105" s="112">
        <f t="shared" si="56"/>
        <v>1206</v>
      </c>
      <c r="I105" s="112">
        <f t="shared" si="56"/>
        <v>729.97</v>
      </c>
      <c r="J105" s="112">
        <f>SUBTOTAL(9,J104:J104)</f>
        <v>629.9799999999999</v>
      </c>
      <c r="K105" s="112">
        <f>SUBTOTAL(9,K104:K104)</f>
        <v>99.99</v>
      </c>
      <c r="L105" s="112">
        <f t="shared" si="56"/>
        <v>-971.02</v>
      </c>
      <c r="M105" s="112">
        <f t="shared" si="56"/>
        <v>5304.52</v>
      </c>
      <c r="N105" s="112">
        <f t="shared" si="56"/>
        <v>8808.8000000000011</v>
      </c>
      <c r="O105" s="112">
        <f t="shared" si="56"/>
        <v>0</v>
      </c>
      <c r="P105" s="112">
        <f t="shared" si="56"/>
        <v>8808.8000000000011</v>
      </c>
      <c r="Q105" s="112">
        <f>SUBTOTAL(9,Q104:Q104)</f>
        <v>3504.2799999999993</v>
      </c>
      <c r="R105" s="112">
        <f>SUMIF(vuot2019_2020_I!$L$12:$L$752,C105,vuot2019_2020_I!$BK$12:$BK$752)</f>
        <v>0</v>
      </c>
      <c r="S105" s="112">
        <f t="shared" si="56"/>
        <v>3647.0799999999995</v>
      </c>
      <c r="T105" s="112">
        <f t="shared" si="56"/>
        <v>2693.0000000000005</v>
      </c>
      <c r="U105" s="113">
        <f t="shared" si="56"/>
        <v>149034000</v>
      </c>
      <c r="V105" s="112">
        <f t="shared" si="56"/>
        <v>954.08000000000015</v>
      </c>
      <c r="W105" s="113">
        <f t="shared" si="56"/>
        <v>49989680</v>
      </c>
      <c r="X105" s="113">
        <f t="shared" si="56"/>
        <v>199023680</v>
      </c>
      <c r="Y105" s="113">
        <f>SUBTOTAL(9,Y104:Y104)</f>
        <v>0</v>
      </c>
      <c r="Z105" s="113">
        <f>SUBTOTAL(9,Z104:Z104)</f>
        <v>0</v>
      </c>
      <c r="AA105" s="113">
        <f>SUBTOTAL(9,AA104:AA104)</f>
        <v>0</v>
      </c>
      <c r="AB105" s="113">
        <f>SUBTOTAL(9,AB104:AB104)</f>
        <v>0</v>
      </c>
      <c r="AC105" s="113">
        <f t="shared" si="56"/>
        <v>199023680</v>
      </c>
      <c r="AD105" s="113">
        <f t="shared" si="56"/>
        <v>0</v>
      </c>
      <c r="AE105" s="114">
        <f t="shared" si="54"/>
        <v>489.37777777777785</v>
      </c>
      <c r="AF105" s="114">
        <f t="shared" si="42"/>
        <v>202.61555555555552</v>
      </c>
      <c r="AG105" s="96">
        <f t="shared" si="50"/>
        <v>40.553888888888892</v>
      </c>
      <c r="AH105" s="112">
        <f t="shared" si="52"/>
        <v>11056871.111111112</v>
      </c>
      <c r="AI105" s="96">
        <f t="shared" si="55"/>
        <v>489.37777777777785</v>
      </c>
      <c r="AJ105" s="115">
        <f>SUBTOTAL(9,AJ104:AJ104)</f>
        <v>18</v>
      </c>
      <c r="AK105" s="115">
        <f>SUBTOTAL(9,AK104:AK104)</f>
        <v>0</v>
      </c>
      <c r="AL105" s="115">
        <f>SUBTOTAL(9,AL104:AL104)</f>
        <v>18</v>
      </c>
      <c r="AM105" s="115">
        <f>SUBTOTAL(9,AM104:AM104)</f>
        <v>14</v>
      </c>
      <c r="AN105" s="97">
        <f>AM105-AJ105</f>
        <v>-4</v>
      </c>
    </row>
    <row r="106" spans="1:40" ht="17.100000000000001" customHeight="1" outlineLevel="2">
      <c r="A106" s="88">
        <f>A104+1</f>
        <v>74</v>
      </c>
      <c r="B106" s="88">
        <v>23</v>
      </c>
      <c r="C106" s="89" t="s">
        <v>2468</v>
      </c>
      <c r="D106" s="105">
        <f>COUNTIF(vuot2019_2020_I!$K$12:$K$741,C106)</f>
        <v>4</v>
      </c>
      <c r="E106" s="106">
        <f>SUMIF(vuot2019_2020_I!$L$12:$L$741,C106,vuot2019_2020_I!$AC$12:$AC$741)</f>
        <v>171</v>
      </c>
      <c r="F106" s="106">
        <f>SUMIF(vuot2019_2020_I!$L$12:$L$741,C106,vuot2019_2020_I!$AD$12:$AD$741)</f>
        <v>0</v>
      </c>
      <c r="G106" s="106">
        <f>SUMIF(vuot2019_2020_I!$L$12:$L$741,C106,vuot2019_2020_I!$AE$12:$AE$741)</f>
        <v>909</v>
      </c>
      <c r="H106" s="106">
        <f>SUMIF(vuot2019_2020_I!$L$12:$L$741,C106,vuot2019_2020_I!$AF$12:$AF$741)</f>
        <v>320</v>
      </c>
      <c r="I106" s="107">
        <f>SUMIF(vuot2019_2020_I!$L$12:$L$741,C106,vuot2019_2020_I!$AG$12:$AG$741)</f>
        <v>0</v>
      </c>
      <c r="J106" s="107">
        <f>SUMIF(vuot2019_2020_I!$L$12:$L$741,C106,vuot2019_2020_I!$AH$12:$AH$741)</f>
        <v>0</v>
      </c>
      <c r="K106" s="107">
        <f>SUMIF(vuot2019_2020_I!$L$12:$L$741,C106,vuot2019_2020_I!$AI$12:$AI$741)</f>
        <v>0</v>
      </c>
      <c r="L106" s="107">
        <f>SUMIF(vuot2019_2020_I!$L$12:$L$741,C106,vuot2019_2020_I!$AJ$12:$AJ$741)</f>
        <v>-320</v>
      </c>
      <c r="M106" s="107">
        <f>SUMIF(vuot2019_2020_I!$L$12:$L$741,C106,vuot2019_2020_I!$AK$12:$AK$741)</f>
        <v>1229</v>
      </c>
      <c r="N106" s="107">
        <f>SUMIF(vuot2019_2020_I!$L$12:$L$741,C106,vuot2019_2020_I!$AL$12:$AL$741)</f>
        <v>2121.2999999999997</v>
      </c>
      <c r="O106" s="107">
        <f>SUMIF(vuot2019_2020_I!$L$12:$L$741,C106,vuot2019_2020_I!$AM$12:$AM$741)</f>
        <v>0</v>
      </c>
      <c r="P106" s="107">
        <f>SUMIF(vuot2019_2020_I!$L$12:$L$741,C106,vuot2019_2020_I!$AN$12:$AN$741)</f>
        <v>2121.2999999999997</v>
      </c>
      <c r="Q106" s="107">
        <f>SUMIF(vuot2019_2020_I!$L$12:$L$752,C106,vuot2019_2020_I!$AU$12:$AU$752)</f>
        <v>892.3</v>
      </c>
      <c r="R106" s="107">
        <f>SUMIF(vuot2019_2020_I!$L$12:$L$752,C106,vuot2019_2020_I!$BK$12:$BK$752)</f>
        <v>0</v>
      </c>
      <c r="S106" s="107">
        <f>SUMIF(vuot2019_2020_I!$L$12:$L$741,C106,vuot2019_2020_I!$BL$12:$BL$741)</f>
        <v>892.3</v>
      </c>
      <c r="T106" s="107">
        <f>SUMIF(vuot2019_2020_I!$L$12:$L$741,C106,vuot2019_2020_I!$BP$12:$BP$741)</f>
        <v>643.20000000000005</v>
      </c>
      <c r="U106" s="108">
        <f>SUMIF(vuot2019_2020_I!$L$12:$L$741,C106,vuot2019_2020_I!$BR$12:$BR$741)</f>
        <v>41808000</v>
      </c>
      <c r="V106" s="107">
        <f>SUMIF(vuot2019_2020_I!$L$12:$L$741,C106,vuot2019_2020_I!$BS$12:$BS$741)</f>
        <v>249.10000000000002</v>
      </c>
      <c r="W106" s="108">
        <f>SUMIF(vuot2019_2020_I!$L$12:$L$741,C106,vuot2019_2020_I!$BU$12:$BU$741)</f>
        <v>12704100</v>
      </c>
      <c r="X106" s="108">
        <f>SUMIF(vuot2019_2020_I!$L$12:$L$741,C106,vuot2019_2020_I!$BV$12:$BV$741)</f>
        <v>54512100</v>
      </c>
      <c r="Y106" s="108">
        <f>SUMIF(vuot2019_2020_I!$L$12:$L$741,C106,vuot2019_2020_I!$BW$12:$BW$741)</f>
        <v>0</v>
      </c>
      <c r="Z106" s="109">
        <f>SUMIF(vuot2019_2020_I!$L$12:$L$741,C106,vuot2019_2020_I!$BX$12:$BX$741)</f>
        <v>0</v>
      </c>
      <c r="AA106" s="109">
        <f>SUMIF(vuot2019_2020_I!$L$12:$L$741,C106,vuot2019_2020_I!$BY$12:$BY$741)+SUMIF(vuot2019_2020_I!$L$12:$L$741,C106,vuot2019_2020_I!$BZ$12:$BZ$741)</f>
        <v>0</v>
      </c>
      <c r="AB106" s="108">
        <f>SUMIF(vuot2019_2020_I!$L$12:$L$741,C106,vuot2019_2020_I!$CB$12:$CB$741)</f>
        <v>0</v>
      </c>
      <c r="AC106" s="108">
        <f>SUMIF(vuot2019_2020_I!$L$12:$L$741,C106,vuot2019_2020_I!$CC$12:$CC$741)+SUMIF(vuot2019_2020_I!$L$12:$L$741,C106,vuot2019_2020_I!$CA$12:$CA$741)</f>
        <v>54512100</v>
      </c>
      <c r="AD106" s="108">
        <f>SUMIF(vuot2019_2020_I!$L$12:$L$741,C106,vuot2019_2020_I!$CD$12:$CD$741)</f>
        <v>0</v>
      </c>
      <c r="AE106" s="110">
        <f t="shared" si="54"/>
        <v>530.32499999999993</v>
      </c>
      <c r="AF106" s="110">
        <f t="shared" si="42"/>
        <v>223.07499999999999</v>
      </c>
      <c r="AG106" s="87">
        <f t="shared" si="50"/>
        <v>0</v>
      </c>
      <c r="AH106" s="107">
        <f t="shared" si="52"/>
        <v>13628025</v>
      </c>
      <c r="AI106" s="87">
        <f t="shared" si="55"/>
        <v>530.32499999999993</v>
      </c>
      <c r="AJ106" s="88">
        <f>D106</f>
        <v>4</v>
      </c>
      <c r="AK106" s="88"/>
      <c r="AL106" s="88">
        <f>AK106+AJ106</f>
        <v>4</v>
      </c>
      <c r="AM106" s="88">
        <f>ROUND(P106/630,0)</f>
        <v>3</v>
      </c>
      <c r="AN106" s="88"/>
    </row>
    <row r="107" spans="1:40" ht="17.100000000000001" customHeight="1" outlineLevel="2">
      <c r="A107" s="88">
        <f>A106+1</f>
        <v>75</v>
      </c>
      <c r="B107" s="88">
        <v>23</v>
      </c>
      <c r="C107" s="89" t="s">
        <v>2850</v>
      </c>
      <c r="D107" s="105">
        <f>COUNTIF(vuot2019_2020_I!$K$12:$K$741,C107)</f>
        <v>2</v>
      </c>
      <c r="E107" s="106">
        <f>SUMIF(vuot2019_2020_I!$L$12:$L$741,C107,vuot2019_2020_I!$AC$12:$AC$741)</f>
        <v>247.5</v>
      </c>
      <c r="F107" s="106">
        <f>SUMIF(vuot2019_2020_I!$L$12:$L$741,C107,vuot2019_2020_I!$AD$12:$AD$741)</f>
        <v>0</v>
      </c>
      <c r="G107" s="106">
        <f>SUMIF(vuot2019_2020_I!$L$12:$L$741,C107,vuot2019_2020_I!$AE$12:$AE$741)</f>
        <v>135</v>
      </c>
      <c r="H107" s="106">
        <f>SUMIF(vuot2019_2020_I!$L$12:$L$741,C107,vuot2019_2020_I!$AF$12:$AF$741)</f>
        <v>113.33333333333334</v>
      </c>
      <c r="I107" s="107">
        <f>SUMIF(vuot2019_2020_I!$L$12:$L$741,C107,vuot2019_2020_I!$AG$12:$AG$741)</f>
        <v>0</v>
      </c>
      <c r="J107" s="107">
        <f>SUMIF(vuot2019_2020_I!$L$12:$L$741,C107,vuot2019_2020_I!$AH$12:$AH$741)</f>
        <v>0</v>
      </c>
      <c r="K107" s="107">
        <f>SUMIF(vuot2019_2020_I!$L$12:$L$741,C107,vuot2019_2020_I!$AI$12:$AI$741)</f>
        <v>0</v>
      </c>
      <c r="L107" s="107">
        <f>SUMIF(vuot2019_2020_I!$L$12:$L$741,C107,vuot2019_2020_I!$AJ$12:$AJ$741)</f>
        <v>-113.33333333333334</v>
      </c>
      <c r="M107" s="107">
        <f>SUMIF(vuot2019_2020_I!$L$12:$L$741,C107,vuot2019_2020_I!$AK$12:$AK$741)</f>
        <v>248.33333333333334</v>
      </c>
      <c r="N107" s="107">
        <f>SUMIF(vuot2019_2020_I!$L$12:$L$741,C107,vuot2019_2020_I!$AL$12:$AL$741)</f>
        <v>931.2</v>
      </c>
      <c r="O107" s="107">
        <f>SUMIF(vuot2019_2020_I!$L$12:$L$741,C107,vuot2019_2020_I!$AM$12:$AM$741)</f>
        <v>0</v>
      </c>
      <c r="P107" s="107">
        <f>SUMIF(vuot2019_2020_I!$L$12:$L$741,C107,vuot2019_2020_I!$AN$12:$AN$741)</f>
        <v>931.2</v>
      </c>
      <c r="Q107" s="107">
        <f>SUMIF(vuot2019_2020_I!$L$12:$L$752,C107,vuot2019_2020_I!$AU$12:$AU$752)</f>
        <v>682.86666666666656</v>
      </c>
      <c r="R107" s="107">
        <f>SUMIF(vuot2019_2020_I!$L$12:$L$752,C107,vuot2019_2020_I!$BK$12:$BK$752)</f>
        <v>0</v>
      </c>
      <c r="S107" s="107">
        <f>SUMIF(vuot2019_2020_I!$L$12:$L$741,C107,vuot2019_2020_I!$BL$12:$BL$741)</f>
        <v>682.86666666666656</v>
      </c>
      <c r="T107" s="107">
        <f>SUMIF(vuot2019_2020_I!$L$12:$L$741,C107,vuot2019_2020_I!$BP$12:$BP$741)</f>
        <v>400</v>
      </c>
      <c r="U107" s="108">
        <f>SUMIF(vuot2019_2020_I!$L$12:$L$741,C107,vuot2019_2020_I!$BR$12:$BR$741)</f>
        <v>26000000</v>
      </c>
      <c r="V107" s="107">
        <f>SUMIF(vuot2019_2020_I!$L$12:$L$741,C107,vuot2019_2020_I!$BS$12:$BS$741)</f>
        <v>282.86666666666662</v>
      </c>
      <c r="W107" s="108">
        <f>SUMIF(vuot2019_2020_I!$L$12:$L$741,C107,vuot2019_2020_I!$BU$12:$BU$741)</f>
        <v>14426200</v>
      </c>
      <c r="X107" s="108">
        <f>SUMIF(vuot2019_2020_I!$L$12:$L$741,C107,vuot2019_2020_I!$BV$12:$BV$741)</f>
        <v>40426200</v>
      </c>
      <c r="Y107" s="108">
        <f>SUMIF(vuot2019_2020_I!$L$12:$L$741,C107,vuot2019_2020_I!$BW$12:$BW$741)</f>
        <v>0</v>
      </c>
      <c r="Z107" s="109">
        <f>SUMIF(vuot2019_2020_I!$L$12:$L$741,C107,vuot2019_2020_I!$BX$12:$BX$741)</f>
        <v>0</v>
      </c>
      <c r="AA107" s="109">
        <f>SUMIF(vuot2019_2020_I!$L$12:$L$741,C107,vuot2019_2020_I!$BY$12:$BY$741)+SUMIF(vuot2019_2020_I!$L$12:$L$741,C107,vuot2019_2020_I!$BZ$12:$BZ$741)</f>
        <v>0</v>
      </c>
      <c r="AB107" s="108">
        <f>SUMIF(vuot2019_2020_I!$L$12:$L$741,C107,vuot2019_2020_I!$CB$12:$CB$741)</f>
        <v>0</v>
      </c>
      <c r="AC107" s="108">
        <f>SUMIF(vuot2019_2020_I!$L$12:$L$741,C107,vuot2019_2020_I!$CC$12:$CC$741)+SUMIF(vuot2019_2020_I!$L$12:$L$741,C107,vuot2019_2020_I!$CA$12:$CA$741)</f>
        <v>40426200</v>
      </c>
      <c r="AD107" s="108">
        <f>SUMIF(vuot2019_2020_I!$L$12:$L$741,C107,vuot2019_2020_I!$CD$12:$CD$741)</f>
        <v>0</v>
      </c>
      <c r="AE107" s="110">
        <f t="shared" si="54"/>
        <v>465.6</v>
      </c>
      <c r="AF107" s="110">
        <f t="shared" si="42"/>
        <v>341.43333333333328</v>
      </c>
      <c r="AG107" s="87">
        <f>I107/D107</f>
        <v>0</v>
      </c>
      <c r="AH107" s="107">
        <f>X107/D107</f>
        <v>20213100</v>
      </c>
      <c r="AI107" s="87">
        <f t="shared" si="55"/>
        <v>465.6</v>
      </c>
      <c r="AJ107" s="88">
        <f>D107</f>
        <v>2</v>
      </c>
      <c r="AK107" s="88"/>
      <c r="AL107" s="88">
        <f>AK107+AJ107</f>
        <v>2</v>
      </c>
      <c r="AM107" s="88">
        <f>ROUND(P107/630,0)</f>
        <v>1</v>
      </c>
      <c r="AN107" s="88"/>
    </row>
    <row r="108" spans="1:40" ht="17.100000000000001" customHeight="1" outlineLevel="2">
      <c r="A108" s="88">
        <f>A107+1</f>
        <v>76</v>
      </c>
      <c r="B108" s="88">
        <v>23</v>
      </c>
      <c r="C108" s="186" t="s">
        <v>2470</v>
      </c>
      <c r="D108" s="105">
        <f>COUNTIF(vuot2019_2020_I!$K$12:$K$741,C108)</f>
        <v>5</v>
      </c>
      <c r="E108" s="106">
        <f>SUMIF(vuot2019_2020_I!$L$12:$L$741,C108,vuot2019_2020_I!$AC$12:$AC$741)</f>
        <v>108</v>
      </c>
      <c r="F108" s="106">
        <f>SUMIF(vuot2019_2020_I!$L$12:$L$741,C108,vuot2019_2020_I!$AD$12:$AD$741)</f>
        <v>0</v>
      </c>
      <c r="G108" s="106">
        <f>SUMIF(vuot2019_2020_I!$L$12:$L$741,C108,vuot2019_2020_I!$AE$12:$AE$741)</f>
        <v>1242</v>
      </c>
      <c r="H108" s="106">
        <f>SUMIF(vuot2019_2020_I!$L$12:$L$741,C108,vuot2019_2020_I!$AF$12:$AF$741)</f>
        <v>400</v>
      </c>
      <c r="I108" s="107">
        <f>SUMIF(vuot2019_2020_I!$L$12:$L$741,C108,vuot2019_2020_I!$AG$12:$AG$741)</f>
        <v>0</v>
      </c>
      <c r="J108" s="107">
        <f>SUMIF(vuot2019_2020_I!$L$12:$L$741,C108,vuot2019_2020_I!$AH$12:$AH$741)</f>
        <v>0</v>
      </c>
      <c r="K108" s="107">
        <f>SUMIF(vuot2019_2020_I!$L$12:$L$741,C108,vuot2019_2020_I!$AI$12:$AI$741)</f>
        <v>0</v>
      </c>
      <c r="L108" s="107">
        <f>SUMIF(vuot2019_2020_I!$L$12:$L$741,C108,vuot2019_2020_I!$AJ$12:$AJ$741)</f>
        <v>-400</v>
      </c>
      <c r="M108" s="107">
        <f>SUMIF(vuot2019_2020_I!$L$12:$L$741,C108,vuot2019_2020_I!$AK$12:$AK$741)</f>
        <v>1642</v>
      </c>
      <c r="N108" s="107">
        <f>SUMIF(vuot2019_2020_I!$L$12:$L$741,C108,vuot2019_2020_I!$AL$12:$AL$741)</f>
        <v>2237.1</v>
      </c>
      <c r="O108" s="107">
        <f>SUMIF(vuot2019_2020_I!$L$12:$L$741,C108,vuot2019_2020_I!$AM$12:$AM$741)</f>
        <v>0</v>
      </c>
      <c r="P108" s="107">
        <f>SUMIF(vuot2019_2020_I!$L$12:$L$741,C108,vuot2019_2020_I!$AN$12:$AN$741)</f>
        <v>2237.1</v>
      </c>
      <c r="Q108" s="107">
        <f>SUMIF(vuot2019_2020_I!$L$12:$L$752,C108,vuot2019_2020_I!$AU$12:$AU$752)</f>
        <v>595.10000000000014</v>
      </c>
      <c r="R108" s="107">
        <f>SUMIF(vuot2019_2020_I!$L$12:$L$752,C108,vuot2019_2020_I!$BK$12:$BK$752)</f>
        <v>0</v>
      </c>
      <c r="S108" s="107">
        <f>SUMIF(vuot2019_2020_I!$L$12:$L$741,C108,vuot2019_2020_I!$BL$12:$BL$741)</f>
        <v>595.10000000000014</v>
      </c>
      <c r="T108" s="107">
        <f>SUMIF(vuot2019_2020_I!$L$12:$L$741,C108,vuot2019_2020_I!$BP$12:$BP$741)</f>
        <v>487.9</v>
      </c>
      <c r="U108" s="108">
        <f>SUMIF(vuot2019_2020_I!$L$12:$L$741,C108,vuot2019_2020_I!$BR$12:$BR$741)</f>
        <v>31713500</v>
      </c>
      <c r="V108" s="107">
        <f>SUMIF(vuot2019_2020_I!$L$12:$L$741,C108,vuot2019_2020_I!$BS$12:$BS$741)</f>
        <v>107.20000000000005</v>
      </c>
      <c r="W108" s="108">
        <f>SUMIF(vuot2019_2020_I!$L$12:$L$741,C108,vuot2019_2020_I!$BU$12:$BU$741)</f>
        <v>5467200</v>
      </c>
      <c r="X108" s="108">
        <f>SUMIF(vuot2019_2020_I!$L$12:$L$741,C108,vuot2019_2020_I!$BV$12:$BV$741)</f>
        <v>37180700</v>
      </c>
      <c r="Y108" s="108">
        <f>SUMIF(vuot2019_2020_I!$L$12:$L$741,C108,vuot2019_2020_I!$BW$12:$BW$741)</f>
        <v>0</v>
      </c>
      <c r="Z108" s="109">
        <f>SUMIF(vuot2019_2020_I!$L$12:$L$741,C108,vuot2019_2020_I!$BX$12:$BX$741)</f>
        <v>0</v>
      </c>
      <c r="AA108" s="109">
        <f>SUMIF(vuot2019_2020_I!$L$12:$L$741,C108,vuot2019_2020_I!$BY$12:$BY$741)+SUMIF(vuot2019_2020_I!$L$12:$L$741,C108,vuot2019_2020_I!$BZ$12:$BZ$741)</f>
        <v>0</v>
      </c>
      <c r="AB108" s="108">
        <f>SUMIF(vuot2019_2020_I!$L$12:$L$741,C108,vuot2019_2020_I!$CB$12:$CB$741)</f>
        <v>0</v>
      </c>
      <c r="AC108" s="108">
        <f>SUMIF(vuot2019_2020_I!$L$12:$L$741,C108,vuot2019_2020_I!$CC$12:$CC$741)+SUMIF(vuot2019_2020_I!$L$12:$L$741,C108,vuot2019_2020_I!$CA$12:$CA$741)</f>
        <v>37180700</v>
      </c>
      <c r="AD108" s="108">
        <f>SUMIF(vuot2019_2020_I!$L$12:$L$741,C108,vuot2019_2020_I!$CD$12:$CD$741)</f>
        <v>0</v>
      </c>
      <c r="AE108" s="110">
        <f t="shared" si="54"/>
        <v>447.41999999999996</v>
      </c>
      <c r="AF108" s="110">
        <f t="shared" si="42"/>
        <v>119.02000000000002</v>
      </c>
      <c r="AG108" s="87">
        <f t="shared" si="50"/>
        <v>0</v>
      </c>
      <c r="AH108" s="107">
        <f t="shared" si="52"/>
        <v>7436140</v>
      </c>
      <c r="AI108" s="87">
        <f t="shared" si="55"/>
        <v>447.41999999999996</v>
      </c>
      <c r="AJ108" s="88">
        <f>D108</f>
        <v>5</v>
      </c>
      <c r="AK108" s="88"/>
      <c r="AL108" s="88">
        <f>AK108+AJ108</f>
        <v>5</v>
      </c>
      <c r="AM108" s="88">
        <f>ROUND(P108/630,0)</f>
        <v>4</v>
      </c>
      <c r="AN108" s="88"/>
    </row>
    <row r="109" spans="1:40" s="12" customFormat="1" ht="17.100000000000001" customHeight="1" outlineLevel="1">
      <c r="A109" s="97"/>
      <c r="B109" s="97" t="s">
        <v>536</v>
      </c>
      <c r="C109" s="111"/>
      <c r="D109" s="96">
        <f t="shared" ref="D109:AC109" si="57">SUBTOTAL(9,D106:D108)</f>
        <v>11</v>
      </c>
      <c r="E109" s="112">
        <f t="shared" si="57"/>
        <v>526.5</v>
      </c>
      <c r="F109" s="112">
        <f t="shared" si="57"/>
        <v>0</v>
      </c>
      <c r="G109" s="112">
        <f t="shared" si="57"/>
        <v>2286</v>
      </c>
      <c r="H109" s="112">
        <f t="shared" si="57"/>
        <v>833.33333333333337</v>
      </c>
      <c r="I109" s="112">
        <f>SUBTOTAL(9,I106:I108)</f>
        <v>0</v>
      </c>
      <c r="J109" s="112">
        <f>SUBTOTAL(9,J106:J108)</f>
        <v>0</v>
      </c>
      <c r="K109" s="112">
        <f>SUBTOTAL(9,K106:K108)</f>
        <v>0</v>
      </c>
      <c r="L109" s="112">
        <f t="shared" si="57"/>
        <v>-833.33333333333337</v>
      </c>
      <c r="M109" s="112">
        <f t="shared" si="57"/>
        <v>3119.333333333333</v>
      </c>
      <c r="N109" s="112">
        <f t="shared" si="57"/>
        <v>5289.6</v>
      </c>
      <c r="O109" s="112">
        <f t="shared" si="57"/>
        <v>0</v>
      </c>
      <c r="P109" s="112">
        <f t="shared" si="57"/>
        <v>5289.6</v>
      </c>
      <c r="Q109" s="112">
        <f t="shared" si="57"/>
        <v>2170.2666666666664</v>
      </c>
      <c r="R109" s="112">
        <f t="shared" si="57"/>
        <v>0</v>
      </c>
      <c r="S109" s="112">
        <f t="shared" si="57"/>
        <v>2170.2666666666664</v>
      </c>
      <c r="T109" s="112">
        <f t="shared" si="57"/>
        <v>1531.1</v>
      </c>
      <c r="U109" s="112">
        <f t="shared" si="57"/>
        <v>99521500</v>
      </c>
      <c r="V109" s="112">
        <f t="shared" si="57"/>
        <v>639.16666666666674</v>
      </c>
      <c r="W109" s="112">
        <f t="shared" si="57"/>
        <v>32597500</v>
      </c>
      <c r="X109" s="112">
        <f t="shared" si="57"/>
        <v>132119000</v>
      </c>
      <c r="Y109" s="112">
        <f t="shared" si="57"/>
        <v>0</v>
      </c>
      <c r="Z109" s="112">
        <f t="shared" si="57"/>
        <v>0</v>
      </c>
      <c r="AA109" s="112">
        <f t="shared" si="57"/>
        <v>0</v>
      </c>
      <c r="AB109" s="112">
        <f t="shared" si="57"/>
        <v>0</v>
      </c>
      <c r="AC109" s="112">
        <f t="shared" si="57"/>
        <v>132119000</v>
      </c>
      <c r="AD109" s="113">
        <f>SUBTOTAL(9,AD106:AD106)</f>
        <v>0</v>
      </c>
      <c r="AE109" s="114">
        <f t="shared" si="54"/>
        <v>480.87272727272733</v>
      </c>
      <c r="AF109" s="114">
        <f t="shared" si="42"/>
        <v>197.29696969696968</v>
      </c>
      <c r="AG109" s="96">
        <f t="shared" si="50"/>
        <v>0</v>
      </c>
      <c r="AH109" s="112">
        <f t="shared" si="52"/>
        <v>12010818.181818182</v>
      </c>
      <c r="AI109" s="96">
        <f t="shared" si="55"/>
        <v>1322.4</v>
      </c>
      <c r="AJ109" s="115">
        <f>SUBTOTAL(9,AJ106:AJ106)</f>
        <v>4</v>
      </c>
      <c r="AK109" s="115">
        <f>SUBTOTAL(9,AK106:AK106)</f>
        <v>0</v>
      </c>
      <c r="AL109" s="115">
        <f>SUBTOTAL(9,AL106:AL106)</f>
        <v>4</v>
      </c>
      <c r="AM109" s="115">
        <f>SUBTOTAL(9,AM106:AM106)</f>
        <v>3</v>
      </c>
      <c r="AN109" s="97">
        <f>AM109-AJ109</f>
        <v>-1</v>
      </c>
    </row>
    <row r="110" spans="1:40" ht="17.100000000000001" customHeight="1" outlineLevel="2">
      <c r="A110" s="88">
        <f>A108+1</f>
        <v>77</v>
      </c>
      <c r="B110" s="88">
        <v>29</v>
      </c>
      <c r="C110" s="90" t="s">
        <v>3119</v>
      </c>
      <c r="D110" s="105">
        <f>COUNTIF(vuot2019_2020_I!$K$12:$K$741,C110)</f>
        <v>1</v>
      </c>
      <c r="E110" s="106">
        <f>SUMIF(vuot2019_2020_I!$L$12:$L$741,C110,vuot2019_2020_I!$AC$12:$AC$741)</f>
        <v>0</v>
      </c>
      <c r="F110" s="106">
        <f>SUMIF(vuot2019_2020_I!$L$12:$L$741,C110,vuot2019_2020_I!$AD$12:$AD$741)</f>
        <v>0</v>
      </c>
      <c r="G110" s="106">
        <f>SUMIF(vuot2019_2020_I!$L$12:$L$741,C110,vuot2019_2020_I!$AE$12:$AE$741)</f>
        <v>270</v>
      </c>
      <c r="H110" s="106">
        <f>SUMIF(vuot2019_2020_I!$L$12:$L$741,C110,vuot2019_2020_I!$AF$12:$AF$741)</f>
        <v>60</v>
      </c>
      <c r="I110" s="107">
        <f>SUMIF(vuot2019_2020_I!$L$12:$L$741,C110,vuot2019_2020_I!$AG$12:$AG$741)</f>
        <v>0</v>
      </c>
      <c r="J110" s="107">
        <f>SUMIF(vuot2019_2020_I!$L$12:$L$741,C110,vuot2019_2020_I!$AH$12:$AH$741)</f>
        <v>0</v>
      </c>
      <c r="K110" s="107">
        <f>SUMIF(vuot2019_2020_I!$L$12:$L$741,C110,vuot2019_2020_I!$AI$12:$AI$741)</f>
        <v>0</v>
      </c>
      <c r="L110" s="107">
        <f>SUMIF(vuot2019_2020_I!$L$12:$L$741,C110,vuot2019_2020_I!$AJ$12:$AJ$741)</f>
        <v>-60</v>
      </c>
      <c r="M110" s="107">
        <f>SUMIF(vuot2019_2020_I!$L$12:$L$741,C110,vuot2019_2020_I!$AK$12:$AK$741)</f>
        <v>330</v>
      </c>
      <c r="N110" s="107">
        <f>SUMIF(vuot2019_2020_I!$L$12:$L$741,C110,vuot2019_2020_I!$AL$12:$AL$741)</f>
        <v>0</v>
      </c>
      <c r="O110" s="107">
        <f>SUMIF(vuot2019_2020_I!$L$12:$L$741,C110,vuot2019_2020_I!$AM$12:$AM$741)</f>
        <v>0</v>
      </c>
      <c r="P110" s="107">
        <f>SUMIF(vuot2019_2020_I!$L$12:$L$741,C110,vuot2019_2020_I!$AT$12:$AT$741)</f>
        <v>0</v>
      </c>
      <c r="Q110" s="107">
        <f>SUMIF(vuot2019_2020_I!$L$12:$L$752,C110,vuot2019_2020_I!$AU$12:$AU$752)</f>
        <v>-330</v>
      </c>
      <c r="R110" s="107">
        <f>SUMIF(vuot2019_2020_I!$L$12:$L$752,C110,vuot2019_2020_I!$BK$12:$BK$752)</f>
        <v>0</v>
      </c>
      <c r="S110" s="107">
        <f>SUMIF(vuot2019_2020_I!$L$12:$L$741,C110,vuot2019_2020_I!$BL$12:$BL$741)</f>
        <v>0</v>
      </c>
      <c r="T110" s="107">
        <f>SUMIF(vuot2019_2020_I!$L$12:$L$741,C110,vuot2019_2020_I!$BP$12:$BP$741)</f>
        <v>0</v>
      </c>
      <c r="U110" s="108">
        <f>SUMIF(vuot2019_2020_I!$L$12:$L$741,C110,vuot2019_2020_I!$BR$12:$BR$741)</f>
        <v>0</v>
      </c>
      <c r="V110" s="107">
        <f>SUMIF(vuot2019_2020_I!$L$12:$L$741,C110,vuot2019_2020_I!$BS$12:$BS$741)</f>
        <v>0</v>
      </c>
      <c r="W110" s="108">
        <f>SUMIF(vuot2019_2020_I!$L$12:$L$741,C110,vuot2019_2020_I!$BU$12:$BU$741)</f>
        <v>0</v>
      </c>
      <c r="X110" s="108">
        <f>SUMIF(vuot2019_2020_I!$L$12:$L$741,C110,vuot2019_2020_I!$BV$12:$BV$741)</f>
        <v>0</v>
      </c>
      <c r="Y110" s="108">
        <f>SUMIF(vuot2019_2020_I!$L$12:$L$741,C110,vuot2019_2020_I!$BW$12:$BW$741)</f>
        <v>0</v>
      </c>
      <c r="Z110" s="109">
        <f>SUMIF(vuot2019_2020_I!$L$12:$L$741,C110,vuot2019_2020_I!$BX$12:$BX$741)</f>
        <v>0</v>
      </c>
      <c r="AA110" s="109">
        <f>SUMIF(vuot2019_2020_I!$L$12:$L$741,C110,vuot2019_2020_I!$BY$12:$BY$741)+SUMIF(vuot2019_2020_I!$L$12:$L$741,C110,vuot2019_2020_I!$BZ$12:$BZ$741)</f>
        <v>0</v>
      </c>
      <c r="AB110" s="108">
        <f>SUMIF(vuot2019_2020_I!$L$12:$L$741,C110,vuot2019_2020_I!$CB$12:$CB$741)</f>
        <v>0</v>
      </c>
      <c r="AC110" s="108">
        <f>SUMIF(vuot2019_2020_I!$L$12:$L$741,C110,vuot2019_2020_I!$CC$12:$CC$741)+SUMIF(vuot2019_2020_I!$L$12:$L$741,C110,vuot2019_2020_I!$CA$12:$CA$741)</f>
        <v>0</v>
      </c>
      <c r="AD110" s="108">
        <f>SUMIF(vuot2019_2020_I!$L$12:$L$741,C110,vuot2019_2020_I!$CD$12:$CD$741)</f>
        <v>0</v>
      </c>
      <c r="AE110" s="110">
        <f t="shared" si="54"/>
        <v>0</v>
      </c>
      <c r="AF110" s="110">
        <f t="shared" si="42"/>
        <v>0</v>
      </c>
      <c r="AG110" s="87">
        <f t="shared" si="50"/>
        <v>0</v>
      </c>
      <c r="AH110" s="107">
        <f t="shared" si="52"/>
        <v>0</v>
      </c>
      <c r="AI110" s="87">
        <f t="shared" si="55"/>
        <v>0</v>
      </c>
      <c r="AJ110" s="88">
        <f>D110</f>
        <v>1</v>
      </c>
      <c r="AK110" s="88"/>
      <c r="AL110" s="88">
        <f>AK110+AJ110</f>
        <v>1</v>
      </c>
      <c r="AM110" s="88">
        <f>ROUND(P110/630,0)</f>
        <v>0</v>
      </c>
      <c r="AN110" s="88"/>
    </row>
    <row r="111" spans="1:40" s="12" customFormat="1" ht="17.100000000000001" customHeight="1" outlineLevel="1">
      <c r="A111" s="97"/>
      <c r="B111" s="97" t="s">
        <v>537</v>
      </c>
      <c r="C111" s="111"/>
      <c r="D111" s="96">
        <f t="shared" ref="D111:AD111" si="58">SUBTOTAL(9,D110:D110)</f>
        <v>1</v>
      </c>
      <c r="E111" s="112">
        <f t="shared" si="58"/>
        <v>0</v>
      </c>
      <c r="F111" s="112">
        <f t="shared" si="58"/>
        <v>0</v>
      </c>
      <c r="G111" s="112">
        <f t="shared" si="58"/>
        <v>270</v>
      </c>
      <c r="H111" s="112">
        <f t="shared" si="58"/>
        <v>60</v>
      </c>
      <c r="I111" s="112">
        <f>SUBTOTAL(9,I110:I110)</f>
        <v>0</v>
      </c>
      <c r="J111" s="112">
        <f>SUBTOTAL(9,J110:J110)</f>
        <v>0</v>
      </c>
      <c r="K111" s="112">
        <f>SUBTOTAL(9,K110:K110)</f>
        <v>0</v>
      </c>
      <c r="L111" s="112">
        <f t="shared" si="58"/>
        <v>-60</v>
      </c>
      <c r="M111" s="112">
        <f t="shared" si="58"/>
        <v>330</v>
      </c>
      <c r="N111" s="112">
        <f t="shared" si="58"/>
        <v>0</v>
      </c>
      <c r="O111" s="112">
        <f t="shared" si="58"/>
        <v>0</v>
      </c>
      <c r="P111" s="112">
        <f t="shared" si="58"/>
        <v>0</v>
      </c>
      <c r="Q111" s="112">
        <f>SUBTOTAL(9,Q110:Q110)</f>
        <v>-330</v>
      </c>
      <c r="R111" s="112">
        <f>SUBTOTAL(9,R110:R110)</f>
        <v>0</v>
      </c>
      <c r="S111" s="112">
        <f t="shared" si="58"/>
        <v>0</v>
      </c>
      <c r="T111" s="112">
        <f t="shared" si="58"/>
        <v>0</v>
      </c>
      <c r="U111" s="113">
        <f t="shared" si="58"/>
        <v>0</v>
      </c>
      <c r="V111" s="112">
        <f t="shared" si="58"/>
        <v>0</v>
      </c>
      <c r="W111" s="113">
        <f t="shared" si="58"/>
        <v>0</v>
      </c>
      <c r="X111" s="113">
        <f t="shared" si="58"/>
        <v>0</v>
      </c>
      <c r="Y111" s="113">
        <f>SUBTOTAL(9,Y110:Y110)</f>
        <v>0</v>
      </c>
      <c r="Z111" s="113"/>
      <c r="AA111" s="113">
        <f>SUBTOTAL(9,AA110:AA110)</f>
        <v>0</v>
      </c>
      <c r="AB111" s="113">
        <f>SUBTOTAL(9,AB110:AB110)</f>
        <v>0</v>
      </c>
      <c r="AC111" s="113">
        <f t="shared" si="58"/>
        <v>0</v>
      </c>
      <c r="AD111" s="113">
        <f t="shared" si="58"/>
        <v>0</v>
      </c>
      <c r="AE111" s="114">
        <f t="shared" si="54"/>
        <v>0</v>
      </c>
      <c r="AF111" s="110">
        <f t="shared" si="42"/>
        <v>0</v>
      </c>
      <c r="AG111" s="96">
        <f t="shared" si="50"/>
        <v>0</v>
      </c>
      <c r="AH111" s="112">
        <f t="shared" si="52"/>
        <v>0</v>
      </c>
      <c r="AI111" s="97"/>
      <c r="AJ111" s="97"/>
      <c r="AK111" s="97"/>
      <c r="AL111" s="97"/>
      <c r="AM111" s="97"/>
      <c r="AN111" s="97"/>
    </row>
    <row r="112" spans="1:40" s="12" customFormat="1" ht="17.100000000000001" customHeight="1">
      <c r="A112" s="98"/>
      <c r="B112" s="98" t="s">
        <v>2404</v>
      </c>
      <c r="C112" s="116"/>
      <c r="D112" s="117">
        <f t="shared" ref="D112:AD112" si="59">SUBTOTAL(9,D8:D111)</f>
        <v>683</v>
      </c>
      <c r="E112" s="118">
        <f t="shared" si="59"/>
        <v>56461.5</v>
      </c>
      <c r="F112" s="118">
        <f t="shared" si="59"/>
        <v>19139</v>
      </c>
      <c r="G112" s="118">
        <f t="shared" si="59"/>
        <v>121164.75</v>
      </c>
      <c r="H112" s="118">
        <f t="shared" si="59"/>
        <v>61113.083333333336</v>
      </c>
      <c r="I112" s="118">
        <f t="shared" si="59"/>
        <v>114274.89999999995</v>
      </c>
      <c r="J112" s="118">
        <f>SUBTOTAL(9,J8:J111)</f>
        <v>50397.55</v>
      </c>
      <c r="K112" s="118">
        <f>SUBTOTAL(9,K8:K111)</f>
        <v>63877.349999999991</v>
      </c>
      <c r="L112" s="118">
        <f t="shared" si="59"/>
        <v>-14306.616666666665</v>
      </c>
      <c r="M112" s="118">
        <f t="shared" si="59"/>
        <v>135471.3666666667</v>
      </c>
      <c r="N112" s="118">
        <f t="shared" si="59"/>
        <v>144092.30000000002</v>
      </c>
      <c r="O112" s="118">
        <f t="shared" si="59"/>
        <v>24398.6</v>
      </c>
      <c r="P112" s="118">
        <f t="shared" si="59"/>
        <v>168490.89999999997</v>
      </c>
      <c r="Q112" s="118">
        <f t="shared" si="59"/>
        <v>33019.53333333334</v>
      </c>
      <c r="R112" s="118">
        <f t="shared" si="59"/>
        <v>0</v>
      </c>
      <c r="S112" s="118">
        <f t="shared" si="59"/>
        <v>63254.506666666683</v>
      </c>
      <c r="T112" s="118">
        <f t="shared" si="59"/>
        <v>42985.084999999999</v>
      </c>
      <c r="U112" s="119">
        <f t="shared" si="59"/>
        <v>2860840617</v>
      </c>
      <c r="V112" s="118">
        <f t="shared" si="59"/>
        <v>20269.421666666665</v>
      </c>
      <c r="W112" s="119">
        <f t="shared" si="59"/>
        <v>1103750185</v>
      </c>
      <c r="X112" s="119">
        <f t="shared" si="59"/>
        <v>3964590802</v>
      </c>
      <c r="Y112" s="119">
        <f t="shared" si="59"/>
        <v>2577000</v>
      </c>
      <c r="Z112" s="119">
        <f t="shared" si="59"/>
        <v>15315481</v>
      </c>
      <c r="AA112" s="119">
        <f t="shared" si="59"/>
        <v>0</v>
      </c>
      <c r="AB112" s="119">
        <f t="shared" si="59"/>
        <v>0</v>
      </c>
      <c r="AC112" s="119">
        <f t="shared" si="59"/>
        <v>3965619802</v>
      </c>
      <c r="AD112" s="119">
        <f t="shared" si="59"/>
        <v>13767481</v>
      </c>
      <c r="AE112" s="120">
        <f t="shared" si="54"/>
        <v>246.6923865300146</v>
      </c>
      <c r="AF112" s="120">
        <f t="shared" si="42"/>
        <v>92.612747681796023</v>
      </c>
      <c r="AG112" s="117">
        <f>I112/D112</f>
        <v>167.31317715958997</v>
      </c>
      <c r="AH112" s="118">
        <f t="shared" si="52"/>
        <v>5804671.7452415815</v>
      </c>
      <c r="AI112" s="117">
        <f>P112/(AJ112+AK112)</f>
        <v>246.6923865300146</v>
      </c>
      <c r="AJ112" s="121">
        <f>SUBTOTAL(9,AJ8:AJ111)</f>
        <v>683</v>
      </c>
      <c r="AK112" s="121">
        <f>SUBTOTAL(9,AK8:AK111)</f>
        <v>0</v>
      </c>
      <c r="AL112" s="121">
        <f>SUBTOTAL(9,AL8:AL111)</f>
        <v>683</v>
      </c>
      <c r="AM112" s="121">
        <f>SUBTOTAL(9,AM8:AM111)</f>
        <v>266</v>
      </c>
      <c r="AN112" s="98">
        <f>AM112-AJ112</f>
        <v>-417</v>
      </c>
    </row>
    <row r="113" spans="1:34" ht="18" hidden="1" customHeight="1">
      <c r="A113" s="16"/>
      <c r="B113" s="16"/>
      <c r="C113" s="17"/>
      <c r="D113" s="16"/>
      <c r="E113" s="51"/>
      <c r="F113" s="51"/>
      <c r="G113" s="51"/>
      <c r="H113" s="51"/>
      <c r="I113" s="51"/>
      <c r="J113" s="51"/>
      <c r="K113" s="51"/>
      <c r="L113" s="51"/>
      <c r="M113" s="51"/>
      <c r="N113" s="51"/>
      <c r="O113" s="51"/>
      <c r="P113" s="51"/>
      <c r="Q113" s="51"/>
      <c r="R113" s="51"/>
      <c r="S113" s="51"/>
      <c r="T113" s="51"/>
      <c r="U113" s="51"/>
      <c r="V113" s="51"/>
      <c r="W113" s="52"/>
      <c r="X113" s="52"/>
      <c r="Y113" s="52"/>
      <c r="Z113" s="52"/>
      <c r="AA113" s="52"/>
      <c r="AB113" s="52"/>
      <c r="AC113" s="52"/>
      <c r="AD113" s="52"/>
      <c r="AE113" s="16"/>
      <c r="AF113" s="16"/>
      <c r="AG113" s="16"/>
      <c r="AH113" s="17"/>
    </row>
    <row r="114" spans="1:34" ht="18" hidden="1" customHeight="1">
      <c r="A114" s="14"/>
      <c r="B114" s="14"/>
      <c r="C114" s="83" t="s">
        <v>1351</v>
      </c>
      <c r="D114" s="47">
        <f t="shared" ref="D114:P114" si="60">SUBTOTAL(9,D8:D111)</f>
        <v>683</v>
      </c>
      <c r="E114" s="48">
        <f t="shared" si="60"/>
        <v>56461.5</v>
      </c>
      <c r="F114" s="48">
        <f t="shared" si="60"/>
        <v>19139</v>
      </c>
      <c r="G114" s="48">
        <f t="shared" si="60"/>
        <v>121164.75</v>
      </c>
      <c r="H114" s="48">
        <f t="shared" si="60"/>
        <v>61113.083333333336</v>
      </c>
      <c r="I114" s="48">
        <f t="shared" si="60"/>
        <v>114274.89999999995</v>
      </c>
      <c r="J114" s="48"/>
      <c r="K114" s="48"/>
      <c r="L114" s="48">
        <f t="shared" si="60"/>
        <v>-14306.616666666665</v>
      </c>
      <c r="M114" s="48">
        <f t="shared" si="60"/>
        <v>135471.3666666667</v>
      </c>
      <c r="N114" s="48">
        <f t="shared" si="60"/>
        <v>144092.30000000002</v>
      </c>
      <c r="O114" s="48">
        <f t="shared" si="60"/>
        <v>24398.6</v>
      </c>
      <c r="P114" s="48">
        <f t="shared" si="60"/>
        <v>168490.89999999997</v>
      </c>
      <c r="Q114" s="48"/>
      <c r="R114" s="48"/>
      <c r="S114" s="48">
        <f t="shared" ref="S114:X114" si="61">SUBTOTAL(9,S8:S111)</f>
        <v>63254.506666666683</v>
      </c>
      <c r="T114" s="48">
        <f t="shared" si="61"/>
        <v>42985.084999999999</v>
      </c>
      <c r="U114" s="49">
        <f t="shared" si="61"/>
        <v>2860840617</v>
      </c>
      <c r="V114" s="48">
        <f t="shared" si="61"/>
        <v>20269.421666666665</v>
      </c>
      <c r="W114" s="49">
        <f t="shared" si="61"/>
        <v>1103750185</v>
      </c>
      <c r="X114" s="49">
        <f t="shared" si="61"/>
        <v>3964590802</v>
      </c>
      <c r="Y114" s="49"/>
      <c r="Z114" s="49"/>
      <c r="AA114" s="49"/>
      <c r="AB114" s="49">
        <f>SUBTOTAL(9,AB8:AB111)</f>
        <v>0</v>
      </c>
      <c r="AC114" s="49">
        <f>SUBTOTAL(9,AC8:AC111)</f>
        <v>3965619802</v>
      </c>
      <c r="AD114" s="49">
        <f>SUBTOTAL(9,AD8:AD111)</f>
        <v>13767481</v>
      </c>
      <c r="AE114" s="50">
        <f>P114/D114</f>
        <v>246.6923865300146</v>
      </c>
      <c r="AF114" s="50">
        <f>Q114/E114</f>
        <v>0</v>
      </c>
      <c r="AG114" s="47">
        <f>I114/D114</f>
        <v>167.31317715958997</v>
      </c>
      <c r="AH114" s="48">
        <f>X114/D114</f>
        <v>5804671.7452415815</v>
      </c>
    </row>
    <row r="115" spans="1:34">
      <c r="AD115" s="18"/>
      <c r="AE115" s="179"/>
      <c r="AF115" s="179"/>
    </row>
  </sheetData>
  <autoFilter ref="A7:AH111"/>
  <mergeCells count="34">
    <mergeCell ref="Y3:Y5"/>
    <mergeCell ref="AA3:AA5"/>
    <mergeCell ref="AB3:AB5"/>
    <mergeCell ref="I3:K3"/>
    <mergeCell ref="I4:I5"/>
    <mergeCell ref="J4:K4"/>
    <mergeCell ref="T3:X4"/>
    <mergeCell ref="N3:P4"/>
    <mergeCell ref="AD3:AD5"/>
    <mergeCell ref="AE3:AE5"/>
    <mergeCell ref="AG3:AG5"/>
    <mergeCell ref="AM4:AM6"/>
    <mergeCell ref="AF3:AF5"/>
    <mergeCell ref="Z3:Z5"/>
    <mergeCell ref="E3:F4"/>
    <mergeCell ref="AI3:AN3"/>
    <mergeCell ref="AI4:AI5"/>
    <mergeCell ref="AJ4:AJ5"/>
    <mergeCell ref="AK4:AK5"/>
    <mergeCell ref="AL4:AL5"/>
    <mergeCell ref="Q3:Q5"/>
    <mergeCell ref="R3:R5"/>
    <mergeCell ref="AN4:AN5"/>
    <mergeCell ref="AC3:AC5"/>
    <mergeCell ref="A1:AH1"/>
    <mergeCell ref="AH3:AH5"/>
    <mergeCell ref="L3:L5"/>
    <mergeCell ref="M3:M5"/>
    <mergeCell ref="S3:S5"/>
    <mergeCell ref="C3:C5"/>
    <mergeCell ref="B3:B5"/>
    <mergeCell ref="A3:A5"/>
    <mergeCell ref="D3:D5"/>
    <mergeCell ref="G3:H4"/>
  </mergeCells>
  <phoneticPr fontId="0" type="noConversion"/>
  <pageMargins left="0.33" right="0.22" top="0.19" bottom="0.3" header="0.17" footer="0.18"/>
  <pageSetup paperSize="8" scale="72" orientation="landscape"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sheetPr codeName="Sheet6"/>
  <dimension ref="A1:M80"/>
  <sheetViews>
    <sheetView topLeftCell="A19" workbookViewId="0">
      <selection activeCell="J4" sqref="J4"/>
    </sheetView>
  </sheetViews>
  <sheetFormatPr defaultRowHeight="15"/>
  <cols>
    <col min="1" max="1" width="7.25" bestFit="1" customWidth="1"/>
    <col min="2" max="2" width="3.875" bestFit="1" customWidth="1"/>
    <col min="3" max="3" width="6.375" bestFit="1" customWidth="1"/>
    <col min="4" max="4" width="24.75" bestFit="1" customWidth="1"/>
    <col min="5" max="5" width="18.625" customWidth="1"/>
    <col min="6" max="6" width="7.875" bestFit="1" customWidth="1"/>
    <col min="7" max="7" width="7.5" bestFit="1" customWidth="1"/>
    <col min="8" max="8" width="6.375" bestFit="1" customWidth="1"/>
    <col min="9" max="9" width="10.125" style="19" bestFit="1" customWidth="1"/>
    <col min="10" max="11" width="9.125" bestFit="1" customWidth="1"/>
    <col min="12" max="13" width="9.875" bestFit="1" customWidth="1"/>
  </cols>
  <sheetData>
    <row r="1" spans="1:13">
      <c r="A1" s="1" t="s">
        <v>1313</v>
      </c>
      <c r="B1" s="2" t="s">
        <v>1314</v>
      </c>
      <c r="C1" s="2" t="s">
        <v>1315</v>
      </c>
      <c r="D1" s="1" t="s">
        <v>1316</v>
      </c>
      <c r="E1" s="3" t="s">
        <v>1317</v>
      </c>
      <c r="F1" s="3" t="s">
        <v>1318</v>
      </c>
      <c r="G1" s="3" t="s">
        <v>1319</v>
      </c>
      <c r="H1" s="3">
        <v>601</v>
      </c>
      <c r="I1" s="19" t="s">
        <v>200</v>
      </c>
      <c r="J1" s="3" t="s">
        <v>1148</v>
      </c>
      <c r="K1" t="s">
        <v>1029</v>
      </c>
    </row>
    <row r="2" spans="1:13">
      <c r="A2" s="4" t="s">
        <v>608</v>
      </c>
      <c r="B2" s="4">
        <v>140</v>
      </c>
      <c r="C2" s="4"/>
      <c r="D2" s="3" t="s">
        <v>1320</v>
      </c>
      <c r="E2" s="5">
        <v>19000</v>
      </c>
      <c r="F2" s="6">
        <v>18000</v>
      </c>
      <c r="G2" s="5">
        <v>17000</v>
      </c>
      <c r="H2" s="7">
        <v>13000</v>
      </c>
      <c r="I2" s="19">
        <v>37000</v>
      </c>
      <c r="J2" s="68">
        <f>I2+10000</f>
        <v>47000</v>
      </c>
      <c r="K2">
        <v>27000</v>
      </c>
    </row>
    <row r="3" spans="1:13">
      <c r="A3" s="4" t="s">
        <v>1804</v>
      </c>
      <c r="B3" s="4">
        <v>280</v>
      </c>
      <c r="C3" s="4">
        <v>150</v>
      </c>
      <c r="D3" s="3" t="s">
        <v>1321</v>
      </c>
      <c r="E3" s="5">
        <v>25000</v>
      </c>
      <c r="F3" s="8">
        <v>23000</v>
      </c>
      <c r="G3" s="8">
        <v>19000</v>
      </c>
      <c r="H3" s="8">
        <v>15000</v>
      </c>
      <c r="I3" s="19">
        <v>41000</v>
      </c>
      <c r="J3" s="68">
        <f t="shared" ref="J3:J31" si="0">I3+10000</f>
        <v>51000</v>
      </c>
      <c r="K3" s="9">
        <v>31000</v>
      </c>
      <c r="L3" s="9"/>
      <c r="M3" s="9"/>
    </row>
    <row r="4" spans="1:13">
      <c r="A4" s="4" t="s">
        <v>606</v>
      </c>
      <c r="B4" s="4">
        <v>320</v>
      </c>
      <c r="C4" s="4">
        <v>200</v>
      </c>
      <c r="D4" s="3" t="s">
        <v>1324</v>
      </c>
      <c r="E4" s="5">
        <v>30000</v>
      </c>
      <c r="F4" s="8">
        <v>28000</v>
      </c>
      <c r="G4" s="8">
        <v>22000</v>
      </c>
      <c r="H4" s="8">
        <v>17000</v>
      </c>
      <c r="I4" s="19">
        <v>45000</v>
      </c>
      <c r="J4" s="68">
        <f t="shared" si="0"/>
        <v>55000</v>
      </c>
      <c r="K4" s="9">
        <v>35000</v>
      </c>
      <c r="L4" s="9"/>
      <c r="M4" s="9"/>
    </row>
    <row r="5" spans="1:13" s="72" customFormat="1">
      <c r="A5" s="1" t="s">
        <v>1118</v>
      </c>
      <c r="B5" s="1">
        <v>320</v>
      </c>
      <c r="C5" s="1">
        <v>200</v>
      </c>
      <c r="D5" s="72" t="s">
        <v>1120</v>
      </c>
      <c r="E5" s="73">
        <v>30000</v>
      </c>
      <c r="F5" s="74">
        <v>28000</v>
      </c>
      <c r="G5" s="74">
        <v>22000</v>
      </c>
      <c r="H5" s="74">
        <v>17000</v>
      </c>
      <c r="I5" s="70">
        <v>50000</v>
      </c>
      <c r="J5" s="71">
        <f t="shared" si="0"/>
        <v>60000</v>
      </c>
      <c r="K5" s="73">
        <v>35000</v>
      </c>
      <c r="L5" s="73"/>
      <c r="M5" s="73"/>
    </row>
    <row r="6" spans="1:13">
      <c r="A6" s="4" t="s">
        <v>605</v>
      </c>
      <c r="B6" s="4">
        <v>360</v>
      </c>
      <c r="C6" s="4">
        <v>280</v>
      </c>
      <c r="D6" s="3" t="s">
        <v>1012</v>
      </c>
      <c r="E6" s="7">
        <v>40000</v>
      </c>
      <c r="F6" s="8">
        <v>35000</v>
      </c>
      <c r="G6" s="8">
        <v>25000</v>
      </c>
      <c r="H6" s="8">
        <v>20000</v>
      </c>
      <c r="I6" s="67">
        <v>55000</v>
      </c>
      <c r="J6" s="69">
        <f t="shared" si="0"/>
        <v>65000</v>
      </c>
      <c r="K6">
        <v>40000</v>
      </c>
    </row>
    <row r="7" spans="1:13">
      <c r="A7" s="4" t="s">
        <v>1650</v>
      </c>
      <c r="B7" s="4">
        <v>140</v>
      </c>
      <c r="C7" s="4"/>
      <c r="D7" s="3" t="s">
        <v>1015</v>
      </c>
      <c r="E7" s="5">
        <f t="shared" ref="E7:H16" si="1">E2</f>
        <v>19000</v>
      </c>
      <c r="F7" s="5">
        <f t="shared" si="1"/>
        <v>18000</v>
      </c>
      <c r="G7" s="5">
        <f t="shared" si="1"/>
        <v>17000</v>
      </c>
      <c r="H7" s="5">
        <f t="shared" si="1"/>
        <v>13000</v>
      </c>
      <c r="I7" s="19">
        <v>37000</v>
      </c>
      <c r="J7" s="68">
        <f t="shared" si="0"/>
        <v>47000</v>
      </c>
      <c r="K7">
        <v>27000</v>
      </c>
    </row>
    <row r="8" spans="1:13">
      <c r="A8" s="4" t="s">
        <v>1179</v>
      </c>
      <c r="B8" s="4">
        <v>280</v>
      </c>
      <c r="C8" s="4">
        <v>100</v>
      </c>
      <c r="D8" s="3" t="s">
        <v>2362</v>
      </c>
      <c r="E8" s="5">
        <f t="shared" si="1"/>
        <v>25000</v>
      </c>
      <c r="F8" s="5">
        <f t="shared" si="1"/>
        <v>23000</v>
      </c>
      <c r="G8" s="5">
        <f t="shared" si="1"/>
        <v>19000</v>
      </c>
      <c r="H8" s="5">
        <f t="shared" si="1"/>
        <v>15000</v>
      </c>
      <c r="I8" s="19">
        <v>41000</v>
      </c>
      <c r="J8" s="68">
        <f t="shared" si="0"/>
        <v>51000</v>
      </c>
      <c r="K8">
        <v>31000</v>
      </c>
    </row>
    <row r="9" spans="1:13">
      <c r="A9" s="4" t="s">
        <v>1178</v>
      </c>
      <c r="B9" s="4">
        <v>320</v>
      </c>
      <c r="C9" s="4">
        <v>150</v>
      </c>
      <c r="D9" s="3" t="s">
        <v>1036</v>
      </c>
      <c r="E9" s="5">
        <f t="shared" si="1"/>
        <v>30000</v>
      </c>
      <c r="F9" s="5">
        <f t="shared" si="1"/>
        <v>28000</v>
      </c>
      <c r="G9" s="5">
        <f t="shared" si="1"/>
        <v>22000</v>
      </c>
      <c r="H9" s="5">
        <f t="shared" si="1"/>
        <v>17000</v>
      </c>
      <c r="I9" s="19">
        <v>45000</v>
      </c>
      <c r="J9" s="68">
        <f t="shared" si="0"/>
        <v>55000</v>
      </c>
      <c r="K9">
        <v>35000</v>
      </c>
    </row>
    <row r="10" spans="1:13" s="78" customFormat="1">
      <c r="A10" s="75" t="s">
        <v>1119</v>
      </c>
      <c r="B10" s="75">
        <v>320</v>
      </c>
      <c r="C10" s="75">
        <v>150</v>
      </c>
      <c r="D10" s="76" t="s">
        <v>1121</v>
      </c>
      <c r="E10" s="77">
        <f t="shared" si="1"/>
        <v>30000</v>
      </c>
      <c r="F10" s="77">
        <f t="shared" si="1"/>
        <v>28000</v>
      </c>
      <c r="G10" s="77">
        <f t="shared" si="1"/>
        <v>22000</v>
      </c>
      <c r="H10" s="77">
        <f t="shared" si="1"/>
        <v>17000</v>
      </c>
      <c r="I10" s="70">
        <v>50000</v>
      </c>
      <c r="J10" s="69">
        <f t="shared" si="0"/>
        <v>60000</v>
      </c>
      <c r="K10" s="78">
        <v>35000</v>
      </c>
    </row>
    <row r="11" spans="1:13">
      <c r="A11" s="4" t="s">
        <v>1037</v>
      </c>
      <c r="B11" s="4">
        <v>360</v>
      </c>
      <c r="C11" s="4">
        <v>230</v>
      </c>
      <c r="D11" s="3" t="s">
        <v>1038</v>
      </c>
      <c r="E11" s="5">
        <f t="shared" si="1"/>
        <v>40000</v>
      </c>
      <c r="F11" s="5">
        <f t="shared" si="1"/>
        <v>35000</v>
      </c>
      <c r="G11" s="5">
        <f t="shared" si="1"/>
        <v>25000</v>
      </c>
      <c r="H11" s="5">
        <f t="shared" si="1"/>
        <v>20000</v>
      </c>
      <c r="I11" s="67">
        <v>55000</v>
      </c>
      <c r="J11" s="69">
        <f t="shared" si="0"/>
        <v>65000</v>
      </c>
      <c r="K11">
        <v>40000</v>
      </c>
    </row>
    <row r="12" spans="1:13" s="42" customFormat="1">
      <c r="A12" s="41" t="s">
        <v>1174</v>
      </c>
      <c r="B12" s="41">
        <v>140</v>
      </c>
      <c r="C12" s="41"/>
      <c r="D12" s="42" t="s">
        <v>36</v>
      </c>
      <c r="E12" s="43">
        <f t="shared" si="1"/>
        <v>19000</v>
      </c>
      <c r="F12" s="43">
        <f t="shared" si="1"/>
        <v>18000</v>
      </c>
      <c r="G12" s="43">
        <f t="shared" si="1"/>
        <v>17000</v>
      </c>
      <c r="H12" s="43">
        <f t="shared" si="1"/>
        <v>13000</v>
      </c>
      <c r="I12" s="19">
        <v>37000</v>
      </c>
      <c r="J12" s="68">
        <f t="shared" si="0"/>
        <v>47000</v>
      </c>
      <c r="K12" s="42">
        <v>27000</v>
      </c>
    </row>
    <row r="13" spans="1:13" s="42" customFormat="1">
      <c r="A13" s="41" t="s">
        <v>37</v>
      </c>
      <c r="B13" s="41">
        <v>280</v>
      </c>
      <c r="C13" s="41">
        <v>100</v>
      </c>
      <c r="D13" s="42" t="s">
        <v>38</v>
      </c>
      <c r="E13" s="43">
        <f t="shared" si="1"/>
        <v>25000</v>
      </c>
      <c r="F13" s="43">
        <f t="shared" si="1"/>
        <v>23000</v>
      </c>
      <c r="G13" s="43">
        <f t="shared" si="1"/>
        <v>19000</v>
      </c>
      <c r="H13" s="43">
        <f t="shared" si="1"/>
        <v>15000</v>
      </c>
      <c r="I13" s="19">
        <v>41000</v>
      </c>
      <c r="J13" s="68">
        <f t="shared" si="0"/>
        <v>51000</v>
      </c>
      <c r="K13" s="42">
        <v>31000</v>
      </c>
    </row>
    <row r="14" spans="1:13" s="42" customFormat="1">
      <c r="A14" s="41" t="s">
        <v>39</v>
      </c>
      <c r="B14" s="41">
        <v>320</v>
      </c>
      <c r="C14" s="41">
        <v>150</v>
      </c>
      <c r="D14" s="42" t="s">
        <v>1207</v>
      </c>
      <c r="E14" s="43">
        <f t="shared" si="1"/>
        <v>30000</v>
      </c>
      <c r="F14" s="43">
        <f t="shared" si="1"/>
        <v>28000</v>
      </c>
      <c r="G14" s="43">
        <f t="shared" si="1"/>
        <v>22000</v>
      </c>
      <c r="H14" s="43">
        <f t="shared" si="1"/>
        <v>17000</v>
      </c>
      <c r="I14" s="19">
        <v>45000</v>
      </c>
      <c r="J14" s="68">
        <f t="shared" si="0"/>
        <v>55000</v>
      </c>
      <c r="K14" s="42">
        <v>35000</v>
      </c>
    </row>
    <row r="15" spans="1:13" s="72" customFormat="1">
      <c r="A15" s="1" t="s">
        <v>1122</v>
      </c>
      <c r="B15" s="1">
        <v>320</v>
      </c>
      <c r="C15" s="1">
        <v>150</v>
      </c>
      <c r="D15" s="72" t="s">
        <v>1123</v>
      </c>
      <c r="E15" s="73">
        <f t="shared" si="1"/>
        <v>30000</v>
      </c>
      <c r="F15" s="73">
        <f t="shared" si="1"/>
        <v>28000</v>
      </c>
      <c r="G15" s="73">
        <f t="shared" si="1"/>
        <v>22000</v>
      </c>
      <c r="H15" s="73">
        <f t="shared" si="1"/>
        <v>17000</v>
      </c>
      <c r="I15" s="70">
        <v>50000</v>
      </c>
      <c r="J15" s="69">
        <f t="shared" si="0"/>
        <v>60000</v>
      </c>
      <c r="K15" s="72">
        <v>35000</v>
      </c>
    </row>
    <row r="16" spans="1:13" s="42" customFormat="1">
      <c r="A16" s="41" t="s">
        <v>1208</v>
      </c>
      <c r="B16" s="41">
        <v>360</v>
      </c>
      <c r="C16" s="41">
        <v>230</v>
      </c>
      <c r="D16" s="42" t="s">
        <v>1166</v>
      </c>
      <c r="E16" s="43">
        <f t="shared" si="1"/>
        <v>40000</v>
      </c>
      <c r="F16" s="43">
        <f t="shared" si="1"/>
        <v>35000</v>
      </c>
      <c r="G16" s="43">
        <f t="shared" si="1"/>
        <v>25000</v>
      </c>
      <c r="H16" s="43">
        <f t="shared" si="1"/>
        <v>20000</v>
      </c>
      <c r="I16" s="67">
        <v>55000</v>
      </c>
      <c r="J16" s="69">
        <f t="shared" si="0"/>
        <v>65000</v>
      </c>
      <c r="K16" s="42">
        <v>40000</v>
      </c>
    </row>
    <row r="17" spans="1:13">
      <c r="A17" s="4" t="s">
        <v>2221</v>
      </c>
      <c r="B17" s="4">
        <v>210</v>
      </c>
      <c r="C17" s="4"/>
      <c r="D17" s="3" t="s">
        <v>1039</v>
      </c>
      <c r="E17" s="5">
        <f t="shared" ref="E17:H21" si="2">E7</f>
        <v>19000</v>
      </c>
      <c r="F17" s="5">
        <f t="shared" si="2"/>
        <v>18000</v>
      </c>
      <c r="G17" s="5">
        <f t="shared" si="2"/>
        <v>17000</v>
      </c>
      <c r="H17" s="5">
        <f t="shared" si="2"/>
        <v>13000</v>
      </c>
      <c r="I17" s="19">
        <v>37000</v>
      </c>
      <c r="J17" s="68">
        <f t="shared" si="0"/>
        <v>47000</v>
      </c>
      <c r="K17">
        <v>27000</v>
      </c>
    </row>
    <row r="18" spans="1:13">
      <c r="A18" s="4" t="s">
        <v>2219</v>
      </c>
      <c r="B18" s="4">
        <v>420</v>
      </c>
      <c r="C18" s="4">
        <v>100</v>
      </c>
      <c r="D18" s="3" t="s">
        <v>1040</v>
      </c>
      <c r="E18" s="5">
        <f t="shared" si="2"/>
        <v>25000</v>
      </c>
      <c r="F18" s="5">
        <f t="shared" si="2"/>
        <v>23000</v>
      </c>
      <c r="G18" s="5">
        <f t="shared" si="2"/>
        <v>19000</v>
      </c>
      <c r="H18" s="5">
        <f t="shared" si="2"/>
        <v>15000</v>
      </c>
      <c r="I18" s="19">
        <v>41000</v>
      </c>
      <c r="J18" s="68">
        <f t="shared" si="0"/>
        <v>51000</v>
      </c>
      <c r="K18">
        <v>31000</v>
      </c>
    </row>
    <row r="19" spans="1:13">
      <c r="A19" s="4" t="s">
        <v>2220</v>
      </c>
      <c r="B19" s="4">
        <v>460</v>
      </c>
      <c r="C19" s="4">
        <v>150</v>
      </c>
      <c r="D19" s="3" t="s">
        <v>1041</v>
      </c>
      <c r="E19" s="5">
        <f t="shared" si="2"/>
        <v>30000</v>
      </c>
      <c r="F19" s="5">
        <f t="shared" si="2"/>
        <v>28000</v>
      </c>
      <c r="G19" s="5">
        <f t="shared" si="2"/>
        <v>22000</v>
      </c>
      <c r="H19" s="5">
        <f t="shared" si="2"/>
        <v>17000</v>
      </c>
      <c r="I19" s="19">
        <v>45000</v>
      </c>
      <c r="J19" s="68">
        <f t="shared" si="0"/>
        <v>55000</v>
      </c>
      <c r="K19">
        <v>35000</v>
      </c>
    </row>
    <row r="20" spans="1:13" s="78" customFormat="1">
      <c r="A20" s="75" t="s">
        <v>1124</v>
      </c>
      <c r="B20" s="75">
        <v>460</v>
      </c>
      <c r="C20" s="75">
        <v>150</v>
      </c>
      <c r="D20" s="76" t="s">
        <v>1028</v>
      </c>
      <c r="E20" s="77">
        <f t="shared" si="2"/>
        <v>30000</v>
      </c>
      <c r="F20" s="77">
        <f t="shared" si="2"/>
        <v>28000</v>
      </c>
      <c r="G20" s="77">
        <f t="shared" si="2"/>
        <v>22000</v>
      </c>
      <c r="H20" s="77">
        <f t="shared" si="2"/>
        <v>17000</v>
      </c>
      <c r="I20" s="70">
        <v>50000</v>
      </c>
      <c r="J20" s="69">
        <f t="shared" si="0"/>
        <v>60000</v>
      </c>
      <c r="K20" s="78">
        <v>35000</v>
      </c>
    </row>
    <row r="21" spans="1:13">
      <c r="A21" s="4" t="s">
        <v>2437</v>
      </c>
      <c r="B21" s="4">
        <v>500</v>
      </c>
      <c r="C21" s="4">
        <v>230</v>
      </c>
      <c r="D21" s="3" t="s">
        <v>2436</v>
      </c>
      <c r="E21" s="5">
        <f t="shared" si="2"/>
        <v>40000</v>
      </c>
      <c r="F21" s="5">
        <f t="shared" si="2"/>
        <v>35000</v>
      </c>
      <c r="G21" s="5">
        <f t="shared" si="2"/>
        <v>25000</v>
      </c>
      <c r="H21" s="5">
        <f t="shared" si="2"/>
        <v>20000</v>
      </c>
      <c r="I21" s="67">
        <v>55000</v>
      </c>
      <c r="J21" s="69">
        <f t="shared" si="0"/>
        <v>65000</v>
      </c>
      <c r="K21">
        <v>40000</v>
      </c>
    </row>
    <row r="22" spans="1:13">
      <c r="A22" s="4" t="s">
        <v>1042</v>
      </c>
      <c r="B22" s="4">
        <v>210</v>
      </c>
      <c r="C22" s="4">
        <v>0</v>
      </c>
      <c r="D22" s="3" t="s">
        <v>1043</v>
      </c>
      <c r="E22" s="5">
        <v>25000</v>
      </c>
      <c r="F22" s="8">
        <v>23000</v>
      </c>
      <c r="G22" s="8">
        <v>19000</v>
      </c>
      <c r="H22" s="8">
        <v>15000</v>
      </c>
      <c r="I22" s="19">
        <v>41000</v>
      </c>
      <c r="J22" s="68">
        <f t="shared" si="0"/>
        <v>51000</v>
      </c>
      <c r="K22">
        <v>31000</v>
      </c>
    </row>
    <row r="23" spans="1:13">
      <c r="A23" s="4" t="s">
        <v>1044</v>
      </c>
      <c r="B23" s="4">
        <v>280</v>
      </c>
      <c r="C23" s="4">
        <v>80</v>
      </c>
      <c r="D23" s="3" t="s">
        <v>1747</v>
      </c>
      <c r="E23" s="5">
        <v>25000</v>
      </c>
      <c r="F23" s="8">
        <v>23000</v>
      </c>
      <c r="G23" s="8">
        <v>19000</v>
      </c>
      <c r="H23" s="8">
        <v>15000</v>
      </c>
      <c r="I23" s="19">
        <v>41000</v>
      </c>
      <c r="J23" s="68">
        <f t="shared" si="0"/>
        <v>51000</v>
      </c>
      <c r="K23">
        <v>31000</v>
      </c>
    </row>
    <row r="24" spans="1:13">
      <c r="A24" s="4" t="s">
        <v>1748</v>
      </c>
      <c r="B24" s="4">
        <v>310</v>
      </c>
      <c r="C24" s="4">
        <v>80</v>
      </c>
      <c r="D24" s="3" t="s">
        <v>287</v>
      </c>
      <c r="E24" s="5">
        <v>25000</v>
      </c>
      <c r="F24" s="8">
        <v>23000</v>
      </c>
      <c r="G24" s="8">
        <v>19000</v>
      </c>
      <c r="H24" s="8">
        <v>15000</v>
      </c>
      <c r="I24" s="19">
        <v>41000</v>
      </c>
      <c r="J24" s="68">
        <f t="shared" si="0"/>
        <v>51000</v>
      </c>
      <c r="K24">
        <v>31000</v>
      </c>
    </row>
    <row r="25" spans="1:13">
      <c r="A25" s="4" t="s">
        <v>2438</v>
      </c>
      <c r="B25" s="4">
        <v>420</v>
      </c>
      <c r="C25" s="4">
        <v>100</v>
      </c>
      <c r="D25" s="3" t="s">
        <v>2954</v>
      </c>
      <c r="E25" s="5">
        <v>25000</v>
      </c>
      <c r="F25" s="8">
        <v>23000</v>
      </c>
      <c r="G25" s="8">
        <v>19000</v>
      </c>
      <c r="H25" s="8">
        <v>15000</v>
      </c>
      <c r="I25" s="19">
        <v>41000</v>
      </c>
      <c r="J25" s="68">
        <f t="shared" si="0"/>
        <v>51000</v>
      </c>
      <c r="K25">
        <v>31000</v>
      </c>
    </row>
    <row r="26" spans="1:13">
      <c r="A26" s="4" t="s">
        <v>3019</v>
      </c>
      <c r="B26" s="4">
        <v>180</v>
      </c>
      <c r="C26" s="4"/>
      <c r="D26" s="3" t="s">
        <v>3008</v>
      </c>
      <c r="E26" s="5">
        <v>25000</v>
      </c>
      <c r="F26" s="8">
        <v>23000</v>
      </c>
      <c r="G26" s="8">
        <v>19000</v>
      </c>
      <c r="H26" s="8">
        <v>15000</v>
      </c>
      <c r="I26" s="19">
        <v>41000</v>
      </c>
      <c r="J26" s="68">
        <f t="shared" si="0"/>
        <v>51000</v>
      </c>
      <c r="K26" s="9">
        <v>31000</v>
      </c>
      <c r="L26" s="9"/>
      <c r="M26" s="9"/>
    </row>
    <row r="27" spans="1:13">
      <c r="A27" s="4" t="s">
        <v>3020</v>
      </c>
      <c r="B27" s="4">
        <v>420</v>
      </c>
      <c r="C27" s="4">
        <v>100</v>
      </c>
      <c r="D27" s="3" t="s">
        <v>3008</v>
      </c>
      <c r="E27" s="5">
        <v>25000</v>
      </c>
      <c r="F27" s="8">
        <v>23000</v>
      </c>
      <c r="G27" s="8">
        <v>19000</v>
      </c>
      <c r="H27" s="8">
        <v>15000</v>
      </c>
      <c r="I27" s="19">
        <v>41000</v>
      </c>
      <c r="J27" s="68">
        <f t="shared" si="0"/>
        <v>51000</v>
      </c>
      <c r="K27" s="9">
        <v>31000</v>
      </c>
      <c r="L27" s="9"/>
      <c r="M27" s="9"/>
    </row>
    <row r="28" spans="1:13">
      <c r="A28" s="4" t="s">
        <v>1940</v>
      </c>
      <c r="B28" s="4">
        <v>390</v>
      </c>
      <c r="C28" s="4">
        <v>60</v>
      </c>
      <c r="D28" s="3" t="s">
        <v>3008</v>
      </c>
      <c r="E28" s="5">
        <v>25000</v>
      </c>
      <c r="F28" s="8">
        <v>23000</v>
      </c>
      <c r="G28" s="8">
        <v>19000</v>
      </c>
      <c r="H28" s="8">
        <v>15000</v>
      </c>
      <c r="I28" s="19">
        <v>45000</v>
      </c>
      <c r="J28" s="68">
        <f t="shared" si="0"/>
        <v>55000</v>
      </c>
      <c r="K28" s="9">
        <v>31000</v>
      </c>
      <c r="L28" s="9"/>
      <c r="M28" s="9"/>
    </row>
    <row r="29" spans="1:13">
      <c r="A29" s="4" t="s">
        <v>288</v>
      </c>
      <c r="B29" s="4">
        <v>420</v>
      </c>
      <c r="C29" s="4">
        <v>100</v>
      </c>
      <c r="D29" s="3" t="s">
        <v>3008</v>
      </c>
      <c r="E29" s="5">
        <v>25000</v>
      </c>
      <c r="F29" s="8">
        <v>23000</v>
      </c>
      <c r="G29" s="8">
        <v>19000</v>
      </c>
      <c r="H29" s="8">
        <v>15000</v>
      </c>
      <c r="I29" s="19">
        <v>41000</v>
      </c>
      <c r="J29" s="68">
        <f t="shared" si="0"/>
        <v>51000</v>
      </c>
      <c r="K29" s="9">
        <v>31000</v>
      </c>
      <c r="L29" s="9"/>
      <c r="M29" s="9"/>
    </row>
    <row r="30" spans="1:13">
      <c r="A30" s="4" t="s">
        <v>1322</v>
      </c>
      <c r="B30" s="4">
        <v>0</v>
      </c>
      <c r="C30" s="4">
        <v>0</v>
      </c>
      <c r="D30" s="3" t="s">
        <v>1323</v>
      </c>
      <c r="E30" s="5">
        <v>25000</v>
      </c>
      <c r="F30" s="8">
        <v>23000</v>
      </c>
      <c r="G30" s="8">
        <v>19000</v>
      </c>
      <c r="H30" s="8">
        <v>15000</v>
      </c>
      <c r="I30" s="19">
        <v>41000</v>
      </c>
      <c r="J30" s="68">
        <f t="shared" si="0"/>
        <v>51000</v>
      </c>
      <c r="K30" s="9">
        <v>31000</v>
      </c>
      <c r="L30" s="9"/>
      <c r="M30" s="9"/>
    </row>
    <row r="31" spans="1:13">
      <c r="A31" s="4" t="s">
        <v>1325</v>
      </c>
      <c r="B31" s="4">
        <v>0</v>
      </c>
      <c r="C31" s="4">
        <v>0</v>
      </c>
      <c r="D31" s="3" t="s">
        <v>1011</v>
      </c>
      <c r="E31" s="5">
        <v>30000</v>
      </c>
      <c r="F31" s="8">
        <v>28000</v>
      </c>
      <c r="G31" s="8">
        <v>22000</v>
      </c>
      <c r="H31" s="8">
        <v>17000</v>
      </c>
      <c r="I31" s="19">
        <v>41000</v>
      </c>
      <c r="J31" s="68">
        <f t="shared" si="0"/>
        <v>51000</v>
      </c>
      <c r="K31" s="9">
        <v>31000</v>
      </c>
      <c r="L31" s="9"/>
      <c r="M31" s="9"/>
    </row>
    <row r="33" spans="1:12">
      <c r="A33" s="344" t="s">
        <v>201</v>
      </c>
      <c r="B33" s="344"/>
      <c r="C33" s="344"/>
      <c r="D33" s="344"/>
      <c r="E33" s="344"/>
      <c r="F33" s="344"/>
      <c r="G33" s="344"/>
      <c r="H33" s="344"/>
      <c r="I33" s="19">
        <v>25000</v>
      </c>
    </row>
    <row r="35" spans="1:12">
      <c r="A35">
        <v>1</v>
      </c>
      <c r="B35">
        <v>2</v>
      </c>
      <c r="C35">
        <v>3</v>
      </c>
      <c r="D35">
        <v>4</v>
      </c>
      <c r="E35">
        <v>5</v>
      </c>
      <c r="F35">
        <v>6</v>
      </c>
      <c r="G35">
        <v>7</v>
      </c>
      <c r="H35">
        <v>8</v>
      </c>
    </row>
    <row r="37" spans="1:12">
      <c r="A37" t="s">
        <v>1482</v>
      </c>
      <c r="B37" t="s">
        <v>645</v>
      </c>
      <c r="C37" t="s">
        <v>1315</v>
      </c>
      <c r="D37" t="s">
        <v>1481</v>
      </c>
      <c r="I37" s="19" t="s">
        <v>1030</v>
      </c>
      <c r="J37" t="s">
        <v>1029</v>
      </c>
      <c r="K37" t="s">
        <v>2873</v>
      </c>
      <c r="L37" t="s">
        <v>2874</v>
      </c>
    </row>
    <row r="38" spans="1:12">
      <c r="A38" t="s">
        <v>637</v>
      </c>
      <c r="B38">
        <f>270/2</f>
        <v>135</v>
      </c>
      <c r="C38">
        <v>50</v>
      </c>
      <c r="D38" s="61">
        <v>45000</v>
      </c>
      <c r="E38" t="s">
        <v>2875</v>
      </c>
      <c r="I38" s="19">
        <f>D38+10000</f>
        <v>55000</v>
      </c>
      <c r="J38">
        <v>35000</v>
      </c>
      <c r="K38">
        <v>140</v>
      </c>
      <c r="L38">
        <v>50</v>
      </c>
    </row>
    <row r="39" spans="1:12">
      <c r="A39" t="s">
        <v>638</v>
      </c>
      <c r="B39">
        <f>270/2</f>
        <v>135</v>
      </c>
      <c r="C39">
        <v>50</v>
      </c>
      <c r="D39" s="61">
        <v>45000</v>
      </c>
      <c r="E39" t="s">
        <v>1673</v>
      </c>
      <c r="I39" s="19">
        <f t="shared" ref="I39:I66" si="3">D39+10000</f>
        <v>55000</v>
      </c>
      <c r="J39">
        <v>35000</v>
      </c>
      <c r="K39">
        <v>130</v>
      </c>
      <c r="L39">
        <v>0</v>
      </c>
    </row>
    <row r="40" spans="1:12">
      <c r="A40" t="s">
        <v>639</v>
      </c>
      <c r="B40">
        <v>270</v>
      </c>
      <c r="C40">
        <v>100</v>
      </c>
      <c r="D40" s="61">
        <v>60000</v>
      </c>
      <c r="E40" t="s">
        <v>1450</v>
      </c>
      <c r="I40" s="19">
        <f t="shared" si="3"/>
        <v>70000</v>
      </c>
      <c r="J40">
        <v>50000</v>
      </c>
      <c r="K40">
        <v>260</v>
      </c>
      <c r="L40">
        <v>100</v>
      </c>
    </row>
    <row r="41" spans="1:12">
      <c r="A41" t="s">
        <v>2795</v>
      </c>
      <c r="B41">
        <v>270</v>
      </c>
      <c r="C41">
        <v>120</v>
      </c>
      <c r="D41" s="61">
        <v>65000</v>
      </c>
      <c r="E41" t="s">
        <v>1450</v>
      </c>
      <c r="I41" s="19">
        <f t="shared" si="3"/>
        <v>75000</v>
      </c>
      <c r="J41">
        <v>55000</v>
      </c>
      <c r="K41">
        <v>280</v>
      </c>
      <c r="L41">
        <v>120</v>
      </c>
    </row>
    <row r="42" spans="1:12">
      <c r="A42" t="s">
        <v>2796</v>
      </c>
      <c r="B42">
        <v>270</v>
      </c>
      <c r="C42">
        <v>150</v>
      </c>
      <c r="D42" s="61">
        <v>70000</v>
      </c>
      <c r="E42" t="s">
        <v>1450</v>
      </c>
      <c r="I42" s="19">
        <f t="shared" si="3"/>
        <v>80000</v>
      </c>
      <c r="J42">
        <v>60000</v>
      </c>
      <c r="K42">
        <v>300</v>
      </c>
      <c r="L42">
        <v>150</v>
      </c>
    </row>
    <row r="43" spans="1:12">
      <c r="A43" t="s">
        <v>2797</v>
      </c>
      <c r="B43">
        <v>270</v>
      </c>
      <c r="C43">
        <v>170</v>
      </c>
      <c r="D43" s="61">
        <v>75000</v>
      </c>
      <c r="E43" t="s">
        <v>1450</v>
      </c>
      <c r="I43" s="19">
        <f t="shared" si="3"/>
        <v>85000</v>
      </c>
      <c r="J43">
        <v>65000</v>
      </c>
      <c r="K43">
        <v>320</v>
      </c>
      <c r="L43">
        <v>170</v>
      </c>
    </row>
    <row r="44" spans="1:12">
      <c r="A44" t="s">
        <v>2798</v>
      </c>
      <c r="B44">
        <v>270</v>
      </c>
      <c r="C44">
        <v>200</v>
      </c>
      <c r="D44" s="61">
        <v>80000</v>
      </c>
      <c r="E44" t="s">
        <v>1450</v>
      </c>
      <c r="I44" s="19">
        <f t="shared" si="3"/>
        <v>90000</v>
      </c>
      <c r="J44">
        <v>70000</v>
      </c>
      <c r="K44">
        <v>360</v>
      </c>
      <c r="L44">
        <v>200</v>
      </c>
    </row>
    <row r="45" spans="1:12">
      <c r="A45" t="s">
        <v>2799</v>
      </c>
      <c r="B45">
        <v>270</v>
      </c>
      <c r="C45">
        <v>280</v>
      </c>
      <c r="D45" s="61">
        <v>85000</v>
      </c>
      <c r="E45" t="s">
        <v>1450</v>
      </c>
      <c r="I45" s="19">
        <f t="shared" si="3"/>
        <v>95000</v>
      </c>
      <c r="J45">
        <v>75000</v>
      </c>
      <c r="K45">
        <v>400</v>
      </c>
      <c r="L45">
        <v>280</v>
      </c>
    </row>
    <row r="46" spans="1:12">
      <c r="A46" t="s">
        <v>1596</v>
      </c>
      <c r="B46">
        <f>270/2</f>
        <v>135</v>
      </c>
      <c r="C46">
        <v>30</v>
      </c>
      <c r="D46" s="61">
        <v>45000</v>
      </c>
      <c r="E46" t="s">
        <v>1234</v>
      </c>
      <c r="I46" s="19">
        <f t="shared" si="3"/>
        <v>55000</v>
      </c>
      <c r="J46">
        <v>35000</v>
      </c>
      <c r="K46">
        <v>140</v>
      </c>
      <c r="L46">
        <v>30</v>
      </c>
    </row>
    <row r="47" spans="1:12">
      <c r="A47" t="s">
        <v>1597</v>
      </c>
      <c r="B47">
        <f>270/2</f>
        <v>135</v>
      </c>
      <c r="C47">
        <v>30</v>
      </c>
      <c r="D47" s="61">
        <v>45000</v>
      </c>
      <c r="E47" t="s">
        <v>1231</v>
      </c>
      <c r="I47" s="19">
        <f t="shared" si="3"/>
        <v>55000</v>
      </c>
      <c r="J47">
        <v>35000</v>
      </c>
      <c r="K47">
        <v>130</v>
      </c>
      <c r="L47">
        <v>0</v>
      </c>
    </row>
    <row r="48" spans="1:12">
      <c r="A48" t="s">
        <v>1444</v>
      </c>
      <c r="B48">
        <v>270</v>
      </c>
      <c r="C48">
        <v>60</v>
      </c>
      <c r="D48" s="61">
        <v>60000</v>
      </c>
      <c r="E48" t="s">
        <v>1451</v>
      </c>
      <c r="I48" s="19">
        <f t="shared" si="3"/>
        <v>70000</v>
      </c>
      <c r="J48">
        <v>50000</v>
      </c>
      <c r="K48">
        <v>260</v>
      </c>
      <c r="L48">
        <v>60</v>
      </c>
    </row>
    <row r="49" spans="1:12">
      <c r="A49" t="s">
        <v>1445</v>
      </c>
      <c r="B49">
        <v>270</v>
      </c>
      <c r="C49">
        <v>80</v>
      </c>
      <c r="D49" s="61">
        <v>65000</v>
      </c>
      <c r="E49" t="s">
        <v>1451</v>
      </c>
      <c r="I49" s="19">
        <f t="shared" si="3"/>
        <v>75000</v>
      </c>
      <c r="J49">
        <v>55000</v>
      </c>
      <c r="K49">
        <v>280</v>
      </c>
      <c r="L49">
        <v>80</v>
      </c>
    </row>
    <row r="50" spans="1:12">
      <c r="A50" t="s">
        <v>1446</v>
      </c>
      <c r="B50">
        <v>270</v>
      </c>
      <c r="C50">
        <v>100</v>
      </c>
      <c r="D50" s="61">
        <v>70000</v>
      </c>
      <c r="E50" t="s">
        <v>1451</v>
      </c>
      <c r="I50" s="19">
        <f t="shared" si="3"/>
        <v>80000</v>
      </c>
      <c r="J50">
        <v>60000</v>
      </c>
      <c r="K50">
        <v>300</v>
      </c>
      <c r="L50">
        <v>100</v>
      </c>
    </row>
    <row r="51" spans="1:12">
      <c r="A51" t="s">
        <v>1447</v>
      </c>
      <c r="B51">
        <v>270</v>
      </c>
      <c r="C51">
        <v>120</v>
      </c>
      <c r="D51" s="61">
        <v>75000</v>
      </c>
      <c r="E51" t="s">
        <v>1451</v>
      </c>
      <c r="I51" s="19">
        <f t="shared" si="3"/>
        <v>85000</v>
      </c>
      <c r="J51">
        <v>65000</v>
      </c>
      <c r="K51">
        <v>320</v>
      </c>
      <c r="L51">
        <v>120</v>
      </c>
    </row>
    <row r="52" spans="1:12">
      <c r="A52" t="s">
        <v>1448</v>
      </c>
      <c r="B52">
        <v>270</v>
      </c>
      <c r="C52">
        <v>150</v>
      </c>
      <c r="D52" s="61">
        <v>80000</v>
      </c>
      <c r="E52" t="s">
        <v>1451</v>
      </c>
      <c r="I52" s="19">
        <f t="shared" si="3"/>
        <v>90000</v>
      </c>
      <c r="J52">
        <v>70000</v>
      </c>
      <c r="K52">
        <v>360</v>
      </c>
      <c r="L52">
        <v>150</v>
      </c>
    </row>
    <row r="53" spans="1:12">
      <c r="A53" t="s">
        <v>1449</v>
      </c>
      <c r="B53">
        <v>270</v>
      </c>
      <c r="C53">
        <v>230</v>
      </c>
      <c r="D53" s="61">
        <v>85000</v>
      </c>
      <c r="E53" t="s">
        <v>1451</v>
      </c>
      <c r="I53" s="19">
        <f t="shared" si="3"/>
        <v>95000</v>
      </c>
      <c r="J53">
        <v>75000</v>
      </c>
      <c r="K53">
        <v>400</v>
      </c>
      <c r="L53">
        <v>230</v>
      </c>
    </row>
    <row r="54" spans="1:12">
      <c r="A54" t="s">
        <v>2800</v>
      </c>
      <c r="B54">
        <f>270/2</f>
        <v>135</v>
      </c>
      <c r="C54">
        <v>30</v>
      </c>
      <c r="D54" s="61">
        <v>41000</v>
      </c>
      <c r="E54" t="s">
        <v>1235</v>
      </c>
      <c r="I54" s="19">
        <f t="shared" si="3"/>
        <v>51000</v>
      </c>
      <c r="J54">
        <v>31000</v>
      </c>
      <c r="K54">
        <v>210</v>
      </c>
      <c r="L54">
        <v>30</v>
      </c>
    </row>
    <row r="55" spans="1:12">
      <c r="A55" t="s">
        <v>2801</v>
      </c>
      <c r="B55">
        <f>270/2</f>
        <v>135</v>
      </c>
      <c r="C55">
        <v>30</v>
      </c>
      <c r="D55" s="61">
        <v>41000</v>
      </c>
      <c r="E55" t="s">
        <v>1232</v>
      </c>
      <c r="I55" s="19">
        <f t="shared" si="3"/>
        <v>51000</v>
      </c>
      <c r="J55">
        <v>31000</v>
      </c>
      <c r="K55">
        <v>200</v>
      </c>
      <c r="L55">
        <v>0</v>
      </c>
    </row>
    <row r="56" spans="1:12">
      <c r="A56" t="s">
        <v>2802</v>
      </c>
      <c r="B56">
        <v>270</v>
      </c>
      <c r="C56">
        <v>60</v>
      </c>
      <c r="D56" s="61">
        <v>50000</v>
      </c>
      <c r="E56" t="s">
        <v>2440</v>
      </c>
      <c r="I56" s="19">
        <f t="shared" si="3"/>
        <v>60000</v>
      </c>
      <c r="J56">
        <v>40000</v>
      </c>
      <c r="K56">
        <v>400</v>
      </c>
      <c r="L56">
        <v>60</v>
      </c>
    </row>
    <row r="57" spans="1:12">
      <c r="A57" t="s">
        <v>2803</v>
      </c>
      <c r="B57">
        <v>270</v>
      </c>
      <c r="C57">
        <v>80</v>
      </c>
      <c r="D57" s="61">
        <v>55000</v>
      </c>
      <c r="E57" t="s">
        <v>2440</v>
      </c>
      <c r="I57" s="19">
        <f t="shared" si="3"/>
        <v>65000</v>
      </c>
      <c r="J57">
        <v>45000</v>
      </c>
      <c r="K57">
        <v>420</v>
      </c>
      <c r="L57">
        <v>80</v>
      </c>
    </row>
    <row r="58" spans="1:12">
      <c r="A58" t="s">
        <v>2804</v>
      </c>
      <c r="B58">
        <v>270</v>
      </c>
      <c r="C58">
        <v>100</v>
      </c>
      <c r="D58" s="61">
        <v>60000</v>
      </c>
      <c r="E58" t="s">
        <v>2440</v>
      </c>
      <c r="I58" s="19">
        <f t="shared" si="3"/>
        <v>70000</v>
      </c>
      <c r="J58">
        <v>50000</v>
      </c>
      <c r="K58">
        <v>440</v>
      </c>
      <c r="L58">
        <v>100</v>
      </c>
    </row>
    <row r="59" spans="1:12">
      <c r="A59" t="s">
        <v>2805</v>
      </c>
      <c r="B59">
        <v>270</v>
      </c>
      <c r="C59">
        <v>120</v>
      </c>
      <c r="D59" s="61">
        <v>65000</v>
      </c>
      <c r="E59" t="s">
        <v>2440</v>
      </c>
      <c r="I59" s="19">
        <f t="shared" si="3"/>
        <v>75000</v>
      </c>
      <c r="J59">
        <v>55000</v>
      </c>
      <c r="K59">
        <v>460</v>
      </c>
      <c r="L59">
        <v>120</v>
      </c>
    </row>
    <row r="60" spans="1:12">
      <c r="A60" t="s">
        <v>2806</v>
      </c>
      <c r="B60">
        <v>270</v>
      </c>
      <c r="C60">
        <v>150</v>
      </c>
      <c r="D60" s="61">
        <v>70000</v>
      </c>
      <c r="E60" t="s">
        <v>2440</v>
      </c>
      <c r="I60" s="19">
        <f t="shared" si="3"/>
        <v>80000</v>
      </c>
      <c r="J60">
        <v>60000</v>
      </c>
      <c r="K60">
        <v>500</v>
      </c>
      <c r="L60">
        <v>150</v>
      </c>
    </row>
    <row r="61" spans="1:12">
      <c r="A61" t="s">
        <v>2807</v>
      </c>
      <c r="B61">
        <v>270</v>
      </c>
      <c r="C61">
        <v>230</v>
      </c>
      <c r="D61" s="61">
        <v>75000</v>
      </c>
      <c r="E61" t="s">
        <v>2440</v>
      </c>
      <c r="I61" s="19">
        <f t="shared" si="3"/>
        <v>85000</v>
      </c>
      <c r="J61">
        <v>65000</v>
      </c>
      <c r="K61">
        <v>550</v>
      </c>
      <c r="L61">
        <v>230</v>
      </c>
    </row>
    <row r="62" spans="1:12">
      <c r="A62" t="s">
        <v>640</v>
      </c>
      <c r="B62">
        <f>270/2</f>
        <v>135</v>
      </c>
      <c r="C62">
        <v>30</v>
      </c>
      <c r="D62" s="61">
        <v>41000</v>
      </c>
      <c r="E62" t="s">
        <v>1236</v>
      </c>
      <c r="I62" s="19">
        <f t="shared" si="3"/>
        <v>51000</v>
      </c>
      <c r="J62">
        <v>31000</v>
      </c>
      <c r="K62">
        <v>220</v>
      </c>
      <c r="L62">
        <v>30</v>
      </c>
    </row>
    <row r="63" spans="1:12">
      <c r="A63" t="s">
        <v>641</v>
      </c>
      <c r="B63">
        <v>270</v>
      </c>
      <c r="C63">
        <v>30</v>
      </c>
      <c r="D63" s="61">
        <v>41000</v>
      </c>
      <c r="E63" t="s">
        <v>1233</v>
      </c>
      <c r="I63" s="19">
        <f t="shared" si="3"/>
        <v>51000</v>
      </c>
      <c r="J63">
        <v>31000</v>
      </c>
      <c r="K63">
        <v>200</v>
      </c>
      <c r="L63">
        <v>0</v>
      </c>
    </row>
    <row r="64" spans="1:12">
      <c r="A64" t="s">
        <v>642</v>
      </c>
      <c r="B64">
        <v>270</v>
      </c>
      <c r="C64">
        <v>60</v>
      </c>
      <c r="D64" s="61">
        <v>50000</v>
      </c>
      <c r="E64" t="s">
        <v>636</v>
      </c>
      <c r="I64" s="19">
        <f t="shared" si="3"/>
        <v>60000</v>
      </c>
      <c r="J64">
        <v>40000</v>
      </c>
      <c r="K64">
        <v>400</v>
      </c>
      <c r="L64">
        <v>60</v>
      </c>
    </row>
    <row r="65" spans="1:12">
      <c r="A65" t="s">
        <v>643</v>
      </c>
      <c r="B65">
        <v>270</v>
      </c>
      <c r="C65">
        <v>80</v>
      </c>
      <c r="D65" s="61">
        <v>55000</v>
      </c>
      <c r="E65" t="s">
        <v>636</v>
      </c>
      <c r="I65" s="19">
        <f t="shared" si="3"/>
        <v>65000</v>
      </c>
      <c r="J65">
        <v>45000</v>
      </c>
      <c r="K65">
        <v>420</v>
      </c>
      <c r="L65">
        <v>80</v>
      </c>
    </row>
    <row r="66" spans="1:12">
      <c r="A66" t="s">
        <v>644</v>
      </c>
      <c r="B66">
        <v>270</v>
      </c>
      <c r="C66">
        <v>100</v>
      </c>
      <c r="D66" s="61">
        <v>60000</v>
      </c>
      <c r="E66" t="s">
        <v>636</v>
      </c>
      <c r="I66" s="19">
        <f t="shared" si="3"/>
        <v>70000</v>
      </c>
      <c r="J66">
        <v>50000</v>
      </c>
      <c r="K66">
        <v>440</v>
      </c>
      <c r="L66">
        <v>100</v>
      </c>
    </row>
    <row r="73" spans="1:12">
      <c r="A73" t="s">
        <v>1596</v>
      </c>
      <c r="B73">
        <v>140</v>
      </c>
      <c r="C73">
        <v>30</v>
      </c>
      <c r="D73" s="61">
        <v>35000</v>
      </c>
    </row>
    <row r="74" spans="1:12">
      <c r="A74" t="s">
        <v>1597</v>
      </c>
      <c r="B74">
        <v>130</v>
      </c>
      <c r="C74">
        <v>0</v>
      </c>
      <c r="D74" s="61">
        <v>35000</v>
      </c>
    </row>
    <row r="75" spans="1:12">
      <c r="A75" t="s">
        <v>1444</v>
      </c>
      <c r="B75">
        <v>260</v>
      </c>
      <c r="C75">
        <v>60</v>
      </c>
      <c r="D75" s="61">
        <v>50000</v>
      </c>
    </row>
    <row r="76" spans="1:12">
      <c r="A76" t="s">
        <v>1445</v>
      </c>
      <c r="B76">
        <v>280</v>
      </c>
      <c r="C76">
        <v>80</v>
      </c>
      <c r="D76" s="61">
        <v>55000</v>
      </c>
    </row>
    <row r="77" spans="1:12">
      <c r="A77" t="s">
        <v>1446</v>
      </c>
      <c r="B77">
        <v>300</v>
      </c>
      <c r="C77">
        <v>100</v>
      </c>
      <c r="D77" s="61">
        <v>60000</v>
      </c>
    </row>
    <row r="78" spans="1:12">
      <c r="A78" t="s">
        <v>1447</v>
      </c>
      <c r="B78">
        <v>320</v>
      </c>
      <c r="C78">
        <v>120</v>
      </c>
      <c r="D78" s="61">
        <v>65000</v>
      </c>
    </row>
    <row r="79" spans="1:12">
      <c r="A79" t="s">
        <v>1448</v>
      </c>
      <c r="B79">
        <v>360</v>
      </c>
      <c r="C79">
        <v>150</v>
      </c>
      <c r="D79" s="61">
        <v>70000</v>
      </c>
    </row>
    <row r="80" spans="1:12">
      <c r="A80" t="s">
        <v>1449</v>
      </c>
      <c r="B80">
        <v>400</v>
      </c>
      <c r="C80">
        <v>230</v>
      </c>
      <c r="D80" s="61">
        <v>75000</v>
      </c>
    </row>
  </sheetData>
  <autoFilter ref="A1:M31"/>
  <mergeCells count="1">
    <mergeCell ref="A33:H3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7"/>
  <dimension ref="A2:F62"/>
  <sheetViews>
    <sheetView topLeftCell="A43" workbookViewId="0">
      <selection activeCell="C49" sqref="C49"/>
    </sheetView>
  </sheetViews>
  <sheetFormatPr defaultColWidth="25.625" defaultRowHeight="15"/>
  <cols>
    <col min="1" max="1" width="4" style="38" bestFit="1" customWidth="1"/>
    <col min="2" max="2" width="19.625" style="29" bestFit="1" customWidth="1"/>
    <col min="3" max="3" width="27" style="29" bestFit="1" customWidth="1"/>
    <col min="4" max="4" width="13.75" style="29" bestFit="1" customWidth="1"/>
    <col min="5" max="5" width="3.625" style="38" bestFit="1" customWidth="1"/>
    <col min="6" max="6" width="18.375" style="29" customWidth="1"/>
    <col min="7" max="16384" width="25.625" style="29"/>
  </cols>
  <sheetData>
    <row r="2" spans="1:6" s="22" customFormat="1" ht="18.75" customHeight="1">
      <c r="A2" s="23" t="s">
        <v>1312</v>
      </c>
      <c r="B2" s="23" t="s">
        <v>2359</v>
      </c>
      <c r="C2" s="23" t="s">
        <v>202</v>
      </c>
      <c r="D2" s="23" t="s">
        <v>1828</v>
      </c>
      <c r="E2" s="24" t="s">
        <v>947</v>
      </c>
      <c r="F2" s="24" t="s">
        <v>1167</v>
      </c>
    </row>
    <row r="3" spans="1:6" ht="20.25" customHeight="1">
      <c r="A3" s="25">
        <v>1</v>
      </c>
      <c r="B3" s="26" t="s">
        <v>1667</v>
      </c>
      <c r="C3" s="26" t="s">
        <v>1668</v>
      </c>
      <c r="D3" s="26"/>
      <c r="E3" s="27">
        <v>8</v>
      </c>
      <c r="F3" s="28"/>
    </row>
    <row r="4" spans="1:6" ht="20.25" customHeight="1">
      <c r="A4" s="30">
        <v>2</v>
      </c>
      <c r="B4" s="31" t="s">
        <v>813</v>
      </c>
      <c r="C4" s="31" t="s">
        <v>3016</v>
      </c>
      <c r="D4" s="31"/>
      <c r="E4" s="32">
        <v>8</v>
      </c>
      <c r="F4" s="33"/>
    </row>
    <row r="5" spans="1:6" ht="20.25" customHeight="1">
      <c r="A5" s="30">
        <v>3</v>
      </c>
      <c r="B5" s="31" t="s">
        <v>1452</v>
      </c>
      <c r="C5" s="31" t="s">
        <v>3016</v>
      </c>
      <c r="D5" s="31" t="s">
        <v>1453</v>
      </c>
      <c r="E5" s="32">
        <v>8</v>
      </c>
      <c r="F5" s="33"/>
    </row>
    <row r="6" spans="1:6" ht="20.25" customHeight="1">
      <c r="A6" s="30">
        <v>4</v>
      </c>
      <c r="B6" s="31" t="s">
        <v>1595</v>
      </c>
      <c r="C6" s="31" t="s">
        <v>3015</v>
      </c>
      <c r="D6" s="31"/>
      <c r="E6" s="32">
        <v>8</v>
      </c>
      <c r="F6" s="33"/>
    </row>
    <row r="7" spans="1:6" ht="20.25" customHeight="1">
      <c r="A7" s="30">
        <v>5</v>
      </c>
      <c r="B7" s="31" t="s">
        <v>2356</v>
      </c>
      <c r="C7" s="31" t="s">
        <v>946</v>
      </c>
      <c r="D7" s="31"/>
      <c r="E7" s="32">
        <v>8</v>
      </c>
      <c r="F7" s="33"/>
    </row>
    <row r="8" spans="1:6" ht="20.25" customHeight="1">
      <c r="A8" s="30">
        <v>6</v>
      </c>
      <c r="B8" s="31" t="s">
        <v>1454</v>
      </c>
      <c r="C8" s="31" t="s">
        <v>946</v>
      </c>
      <c r="D8" s="31" t="s">
        <v>1455</v>
      </c>
      <c r="E8" s="32">
        <v>8</v>
      </c>
      <c r="F8" s="33" t="s">
        <v>1168</v>
      </c>
    </row>
    <row r="9" spans="1:6" ht="20.25" customHeight="1">
      <c r="A9" s="30">
        <v>7</v>
      </c>
      <c r="B9" s="31" t="s">
        <v>2522</v>
      </c>
      <c r="C9" s="31" t="s">
        <v>1668</v>
      </c>
      <c r="D9" s="31"/>
      <c r="E9" s="32">
        <v>2</v>
      </c>
      <c r="F9" s="33"/>
    </row>
    <row r="10" spans="1:6" ht="20.25" customHeight="1">
      <c r="A10" s="30">
        <v>8</v>
      </c>
      <c r="B10" s="31" t="s">
        <v>2523</v>
      </c>
      <c r="C10" s="31" t="s">
        <v>946</v>
      </c>
      <c r="D10" s="31"/>
      <c r="E10" s="32">
        <v>2</v>
      </c>
      <c r="F10" s="33"/>
    </row>
    <row r="11" spans="1:6" ht="20.25" customHeight="1">
      <c r="A11" s="30">
        <v>9</v>
      </c>
      <c r="B11" s="31" t="s">
        <v>1589</v>
      </c>
      <c r="C11" s="31" t="s">
        <v>3015</v>
      </c>
      <c r="D11" s="31"/>
      <c r="E11" s="32">
        <v>2</v>
      </c>
      <c r="F11" s="33"/>
    </row>
    <row r="12" spans="1:6" ht="20.25" customHeight="1">
      <c r="A12" s="30">
        <v>10</v>
      </c>
      <c r="B12" s="31" t="s">
        <v>1464</v>
      </c>
      <c r="C12" s="31" t="s">
        <v>3015</v>
      </c>
      <c r="D12" s="31" t="s">
        <v>1463</v>
      </c>
      <c r="E12" s="32">
        <v>2</v>
      </c>
      <c r="F12" s="33"/>
    </row>
    <row r="13" spans="1:6" ht="20.25" customHeight="1">
      <c r="A13" s="30">
        <v>11</v>
      </c>
      <c r="B13" s="31" t="s">
        <v>2524</v>
      </c>
      <c r="C13" s="31" t="s">
        <v>3016</v>
      </c>
      <c r="D13" s="31"/>
      <c r="E13" s="32">
        <v>2</v>
      </c>
      <c r="F13" s="33"/>
    </row>
    <row r="14" spans="1:6" ht="20.25" customHeight="1">
      <c r="A14" s="30">
        <v>12</v>
      </c>
      <c r="B14" s="33" t="s">
        <v>1776</v>
      </c>
      <c r="C14" s="31" t="s">
        <v>3016</v>
      </c>
      <c r="D14" s="31" t="s">
        <v>1829</v>
      </c>
      <c r="E14" s="32">
        <v>2</v>
      </c>
      <c r="F14" s="33"/>
    </row>
    <row r="15" spans="1:6" ht="20.25" customHeight="1">
      <c r="A15" s="30">
        <v>13</v>
      </c>
      <c r="B15" s="31" t="s">
        <v>2357</v>
      </c>
      <c r="C15" s="31" t="s">
        <v>1668</v>
      </c>
      <c r="D15" s="31"/>
      <c r="E15" s="32">
        <v>10</v>
      </c>
      <c r="F15" s="33"/>
    </row>
    <row r="16" spans="1:6" ht="20.25" customHeight="1">
      <c r="A16" s="30">
        <v>14</v>
      </c>
      <c r="B16" s="31" t="s">
        <v>2270</v>
      </c>
      <c r="C16" s="31" t="s">
        <v>946</v>
      </c>
      <c r="D16" s="31"/>
      <c r="E16" s="32">
        <v>10</v>
      </c>
      <c r="F16" s="33" t="s">
        <v>284</v>
      </c>
    </row>
    <row r="17" spans="1:6" ht="20.25" customHeight="1">
      <c r="A17" s="30">
        <v>15</v>
      </c>
      <c r="B17" s="31" t="s">
        <v>1270</v>
      </c>
      <c r="C17" s="31" t="s">
        <v>946</v>
      </c>
      <c r="D17" s="31" t="s">
        <v>1271</v>
      </c>
      <c r="E17" s="32">
        <v>10</v>
      </c>
      <c r="F17" s="33" t="s">
        <v>1498</v>
      </c>
    </row>
    <row r="18" spans="1:6" ht="20.25" customHeight="1">
      <c r="A18" s="30">
        <v>16</v>
      </c>
      <c r="B18" s="31" t="s">
        <v>2271</v>
      </c>
      <c r="C18" s="31" t="s">
        <v>3015</v>
      </c>
      <c r="D18" s="31"/>
      <c r="E18" s="32">
        <v>10</v>
      </c>
      <c r="F18" s="33"/>
    </row>
    <row r="19" spans="1:6" ht="20.25" customHeight="1">
      <c r="A19" s="30">
        <v>17</v>
      </c>
      <c r="B19" s="31" t="s">
        <v>2358</v>
      </c>
      <c r="C19" s="31" t="s">
        <v>3015</v>
      </c>
      <c r="D19" s="31" t="s">
        <v>451</v>
      </c>
      <c r="E19" s="32">
        <v>10</v>
      </c>
      <c r="F19" s="33"/>
    </row>
    <row r="20" spans="1:6" ht="20.25" customHeight="1">
      <c r="A20" s="30">
        <v>18</v>
      </c>
      <c r="B20" s="31" t="s">
        <v>569</v>
      </c>
      <c r="C20" s="31" t="s">
        <v>3016</v>
      </c>
      <c r="D20" s="31"/>
      <c r="E20" s="32">
        <v>10</v>
      </c>
      <c r="F20" s="33"/>
    </row>
    <row r="21" spans="1:6" ht="20.25" customHeight="1">
      <c r="A21" s="30">
        <v>19</v>
      </c>
      <c r="B21" s="31" t="s">
        <v>2072</v>
      </c>
      <c r="C21" s="31" t="s">
        <v>1668</v>
      </c>
      <c r="D21" s="31"/>
      <c r="E21" s="32">
        <v>1</v>
      </c>
      <c r="F21" s="33"/>
    </row>
    <row r="22" spans="1:6" ht="20.25" customHeight="1">
      <c r="A22" s="30">
        <v>20</v>
      </c>
      <c r="B22" s="31" t="s">
        <v>2073</v>
      </c>
      <c r="C22" s="31" t="s">
        <v>1668</v>
      </c>
      <c r="D22" s="31" t="s">
        <v>3018</v>
      </c>
      <c r="E22" s="32">
        <v>1</v>
      </c>
      <c r="F22" s="33" t="s">
        <v>1169</v>
      </c>
    </row>
    <row r="23" spans="1:6" ht="20.25" customHeight="1">
      <c r="A23" s="30">
        <v>21</v>
      </c>
      <c r="B23" s="31" t="s">
        <v>1485</v>
      </c>
      <c r="C23" s="31" t="s">
        <v>570</v>
      </c>
      <c r="D23" s="31"/>
      <c r="E23" s="32">
        <v>1</v>
      </c>
      <c r="F23" s="33"/>
    </row>
    <row r="24" spans="1:6" ht="20.25" customHeight="1">
      <c r="A24" s="30">
        <v>22</v>
      </c>
      <c r="B24" s="31" t="s">
        <v>1466</v>
      </c>
      <c r="C24" s="31" t="s">
        <v>570</v>
      </c>
      <c r="D24" s="31" t="s">
        <v>3017</v>
      </c>
      <c r="E24" s="32">
        <v>1</v>
      </c>
      <c r="F24" s="33" t="s">
        <v>1169</v>
      </c>
    </row>
    <row r="25" spans="1:6" ht="20.25" customHeight="1">
      <c r="A25" s="30">
        <v>23</v>
      </c>
      <c r="B25" s="31" t="s">
        <v>1588</v>
      </c>
      <c r="C25" s="31" t="s">
        <v>3015</v>
      </c>
      <c r="D25" s="31"/>
      <c r="E25" s="32">
        <v>1</v>
      </c>
      <c r="F25" s="33"/>
    </row>
    <row r="26" spans="1:6" ht="20.25" customHeight="1">
      <c r="A26" s="30">
        <v>24</v>
      </c>
      <c r="B26" s="31" t="s">
        <v>2280</v>
      </c>
      <c r="C26" s="31" t="s">
        <v>3016</v>
      </c>
      <c r="D26" s="31"/>
      <c r="E26" s="32">
        <v>1</v>
      </c>
      <c r="F26" s="33"/>
    </row>
    <row r="27" spans="1:6" ht="20.25" customHeight="1">
      <c r="A27" s="30">
        <v>25</v>
      </c>
      <c r="B27" s="31" t="s">
        <v>2074</v>
      </c>
      <c r="C27" s="31" t="s">
        <v>2281</v>
      </c>
      <c r="D27" s="31"/>
      <c r="E27" s="32">
        <v>1</v>
      </c>
      <c r="F27" s="33"/>
    </row>
    <row r="28" spans="1:6" ht="20.25" customHeight="1">
      <c r="A28" s="30">
        <v>26</v>
      </c>
      <c r="B28" s="31" t="s">
        <v>2282</v>
      </c>
      <c r="C28" s="31" t="s">
        <v>3015</v>
      </c>
      <c r="D28" s="31"/>
      <c r="E28" s="32">
        <v>6</v>
      </c>
      <c r="F28" s="33"/>
    </row>
    <row r="29" spans="1:6" ht="20.25" customHeight="1">
      <c r="A29" s="30">
        <v>27</v>
      </c>
      <c r="B29" s="31" t="s">
        <v>1936</v>
      </c>
      <c r="C29" s="31" t="s">
        <v>2283</v>
      </c>
      <c r="D29" s="31"/>
      <c r="E29" s="32">
        <v>6</v>
      </c>
      <c r="F29" s="33"/>
    </row>
    <row r="30" spans="1:6" ht="20.25" customHeight="1">
      <c r="A30" s="30">
        <v>28</v>
      </c>
      <c r="B30" s="31" t="s">
        <v>1354</v>
      </c>
      <c r="C30" s="31" t="s">
        <v>1355</v>
      </c>
      <c r="D30" s="31" t="s">
        <v>1356</v>
      </c>
      <c r="E30" s="32">
        <v>6</v>
      </c>
      <c r="F30" s="33"/>
    </row>
    <row r="31" spans="1:6" ht="20.25" customHeight="1">
      <c r="A31" s="30">
        <v>29</v>
      </c>
      <c r="B31" s="31" t="s">
        <v>1347</v>
      </c>
      <c r="C31" s="31" t="s">
        <v>570</v>
      </c>
      <c r="D31" s="31"/>
      <c r="E31" s="32">
        <v>3</v>
      </c>
      <c r="F31" s="33"/>
    </row>
    <row r="32" spans="1:6" ht="20.25" customHeight="1">
      <c r="A32" s="30">
        <v>30</v>
      </c>
      <c r="B32" s="31" t="s">
        <v>2485</v>
      </c>
      <c r="C32" s="31" t="s">
        <v>1668</v>
      </c>
      <c r="D32" s="31"/>
      <c r="E32" s="32">
        <v>3</v>
      </c>
      <c r="F32" s="33"/>
    </row>
    <row r="33" spans="1:6" ht="20.25" customHeight="1">
      <c r="A33" s="30">
        <v>31</v>
      </c>
      <c r="B33" s="31" t="s">
        <v>1928</v>
      </c>
      <c r="C33" s="31" t="s">
        <v>2284</v>
      </c>
      <c r="D33" s="31"/>
      <c r="E33" s="32">
        <v>3</v>
      </c>
      <c r="F33" s="33"/>
    </row>
    <row r="34" spans="1:6" ht="20.25" customHeight="1">
      <c r="A34" s="30">
        <v>32</v>
      </c>
      <c r="B34" s="31" t="s">
        <v>1458</v>
      </c>
      <c r="C34" s="31" t="s">
        <v>1459</v>
      </c>
      <c r="D34" s="31" t="s">
        <v>1460</v>
      </c>
      <c r="E34" s="32">
        <v>3</v>
      </c>
      <c r="F34" s="33"/>
    </row>
    <row r="35" spans="1:6" ht="20.25" customHeight="1">
      <c r="A35" s="30">
        <v>33</v>
      </c>
      <c r="B35" s="31" t="s">
        <v>1348</v>
      </c>
      <c r="C35" s="31" t="s">
        <v>3016</v>
      </c>
      <c r="D35" s="31"/>
      <c r="E35" s="32">
        <v>3</v>
      </c>
      <c r="F35" s="33"/>
    </row>
    <row r="36" spans="1:6" ht="20.25" customHeight="1">
      <c r="A36" s="30">
        <v>34</v>
      </c>
      <c r="B36" s="31" t="s">
        <v>2486</v>
      </c>
      <c r="C36" s="31" t="s">
        <v>2281</v>
      </c>
      <c r="D36" s="31"/>
      <c r="E36" s="32">
        <v>3</v>
      </c>
      <c r="F36" s="33"/>
    </row>
    <row r="37" spans="1:6" ht="20.25" customHeight="1">
      <c r="A37" s="30">
        <v>35</v>
      </c>
      <c r="B37" s="31" t="s">
        <v>1937</v>
      </c>
      <c r="C37" s="31" t="s">
        <v>570</v>
      </c>
      <c r="D37" s="31"/>
      <c r="E37" s="32">
        <v>7</v>
      </c>
      <c r="F37" s="33"/>
    </row>
    <row r="38" spans="1:6" ht="20.25" customHeight="1">
      <c r="A38" s="30">
        <v>36</v>
      </c>
      <c r="B38" s="31" t="s">
        <v>2285</v>
      </c>
      <c r="C38" s="31" t="s">
        <v>1668</v>
      </c>
      <c r="D38" s="31"/>
      <c r="E38" s="32">
        <v>7</v>
      </c>
      <c r="F38" s="33"/>
    </row>
    <row r="39" spans="1:6" ht="20.25" customHeight="1">
      <c r="A39" s="30">
        <v>37</v>
      </c>
      <c r="B39" s="31" t="s">
        <v>1358</v>
      </c>
      <c r="C39" s="31" t="s">
        <v>1668</v>
      </c>
      <c r="D39" s="31" t="s">
        <v>2326</v>
      </c>
      <c r="E39" s="32">
        <v>7</v>
      </c>
      <c r="F39" s="33"/>
    </row>
    <row r="40" spans="1:6" ht="20.25" customHeight="1">
      <c r="A40" s="30">
        <v>38</v>
      </c>
      <c r="B40" s="31" t="s">
        <v>1938</v>
      </c>
      <c r="C40" s="31" t="s">
        <v>2284</v>
      </c>
      <c r="D40" s="31"/>
      <c r="E40" s="32">
        <v>7</v>
      </c>
      <c r="F40" s="33"/>
    </row>
    <row r="41" spans="1:6" ht="20.25" customHeight="1">
      <c r="A41" s="30">
        <v>39</v>
      </c>
      <c r="B41" s="31" t="s">
        <v>1456</v>
      </c>
      <c r="C41" s="31" t="s">
        <v>2284</v>
      </c>
      <c r="D41" s="31" t="s">
        <v>1457</v>
      </c>
      <c r="E41" s="32">
        <v>7</v>
      </c>
      <c r="F41" s="33"/>
    </row>
    <row r="42" spans="1:6" ht="20.25" customHeight="1">
      <c r="A42" s="30">
        <v>40</v>
      </c>
      <c r="B42" s="31" t="s">
        <v>2286</v>
      </c>
      <c r="C42" s="31" t="s">
        <v>3016</v>
      </c>
      <c r="D42" s="31"/>
      <c r="E42" s="32">
        <v>7</v>
      </c>
      <c r="F42" s="33"/>
    </row>
    <row r="43" spans="1:6" ht="20.25" customHeight="1">
      <c r="A43" s="30">
        <v>41</v>
      </c>
      <c r="B43" s="31" t="s">
        <v>2287</v>
      </c>
      <c r="C43" s="31" t="s">
        <v>1810</v>
      </c>
      <c r="D43" s="31"/>
      <c r="E43" s="32">
        <v>9</v>
      </c>
      <c r="F43" s="33"/>
    </row>
    <row r="44" spans="1:6" ht="20.25" customHeight="1">
      <c r="A44" s="30">
        <v>42</v>
      </c>
      <c r="B44" s="31" t="s">
        <v>1591</v>
      </c>
      <c r="C44" s="31" t="s">
        <v>1811</v>
      </c>
      <c r="D44" s="31"/>
      <c r="E44" s="32">
        <v>9</v>
      </c>
      <c r="F44" s="33"/>
    </row>
    <row r="45" spans="1:6" ht="20.25" customHeight="1">
      <c r="A45" s="30">
        <v>43</v>
      </c>
      <c r="B45" s="31" t="s">
        <v>1590</v>
      </c>
      <c r="C45" s="31" t="s">
        <v>1668</v>
      </c>
      <c r="D45" s="31"/>
      <c r="E45" s="32">
        <v>9</v>
      </c>
      <c r="F45" s="33"/>
    </row>
    <row r="46" spans="1:6" ht="20.25" customHeight="1">
      <c r="A46" s="30">
        <v>44</v>
      </c>
      <c r="B46" s="31" t="s">
        <v>2288</v>
      </c>
      <c r="C46" s="31" t="s">
        <v>2284</v>
      </c>
      <c r="D46" s="31"/>
      <c r="E46" s="32">
        <v>9</v>
      </c>
      <c r="F46" s="33"/>
    </row>
    <row r="47" spans="1:6" ht="20.25" customHeight="1">
      <c r="A47" s="30">
        <v>45</v>
      </c>
      <c r="B47" s="31" t="s">
        <v>2360</v>
      </c>
      <c r="C47" s="31" t="s">
        <v>2284</v>
      </c>
      <c r="D47" s="31" t="s">
        <v>448</v>
      </c>
      <c r="E47" s="32">
        <v>9</v>
      </c>
      <c r="F47" s="33"/>
    </row>
    <row r="48" spans="1:6" ht="20.25" customHeight="1">
      <c r="A48" s="30">
        <v>46</v>
      </c>
      <c r="B48" s="31" t="s">
        <v>2289</v>
      </c>
      <c r="C48" s="31" t="s">
        <v>3016</v>
      </c>
      <c r="D48" s="31"/>
      <c r="E48" s="32">
        <v>9</v>
      </c>
      <c r="F48" s="33"/>
    </row>
    <row r="49" spans="1:6" ht="20.25" customHeight="1">
      <c r="A49" s="30">
        <v>47</v>
      </c>
      <c r="B49" s="31" t="s">
        <v>449</v>
      </c>
      <c r="C49" s="31" t="s">
        <v>3016</v>
      </c>
      <c r="D49" s="31" t="s">
        <v>450</v>
      </c>
      <c r="E49" s="32">
        <v>9</v>
      </c>
      <c r="F49" s="33"/>
    </row>
    <row r="50" spans="1:6" ht="20.25" customHeight="1">
      <c r="A50" s="30">
        <v>48</v>
      </c>
      <c r="B50" s="31" t="s">
        <v>2290</v>
      </c>
      <c r="C50" s="31" t="s">
        <v>946</v>
      </c>
      <c r="D50" s="31"/>
      <c r="E50" s="32">
        <v>4</v>
      </c>
      <c r="F50" s="33"/>
    </row>
    <row r="51" spans="1:6" ht="20.25" customHeight="1">
      <c r="A51" s="30">
        <v>49</v>
      </c>
      <c r="B51" s="31" t="s">
        <v>1774</v>
      </c>
      <c r="C51" s="31" t="s">
        <v>1668</v>
      </c>
      <c r="D51" s="31"/>
      <c r="E51" s="32">
        <v>4</v>
      </c>
      <c r="F51" s="33"/>
    </row>
    <row r="52" spans="1:6" ht="20.25" customHeight="1">
      <c r="A52" s="30">
        <v>50</v>
      </c>
      <c r="B52" s="31" t="s">
        <v>1775</v>
      </c>
      <c r="C52" s="31" t="s">
        <v>2284</v>
      </c>
      <c r="D52" s="31"/>
      <c r="E52" s="32">
        <v>4</v>
      </c>
      <c r="F52" s="33"/>
    </row>
    <row r="53" spans="1:6" ht="20.25" customHeight="1">
      <c r="A53" s="30">
        <v>51</v>
      </c>
      <c r="B53" s="31" t="s">
        <v>1815</v>
      </c>
      <c r="C53" s="31" t="s">
        <v>2284</v>
      </c>
      <c r="D53" s="31" t="s">
        <v>1269</v>
      </c>
      <c r="E53" s="32">
        <v>4</v>
      </c>
      <c r="F53" s="33"/>
    </row>
    <row r="54" spans="1:6" ht="20.25" customHeight="1">
      <c r="A54" s="30">
        <v>52</v>
      </c>
      <c r="B54" s="31" t="s">
        <v>1929</v>
      </c>
      <c r="C54" s="31" t="s">
        <v>3016</v>
      </c>
      <c r="D54" s="31"/>
      <c r="E54" s="32">
        <v>4</v>
      </c>
      <c r="F54" s="33"/>
    </row>
    <row r="55" spans="1:6" ht="20.25" customHeight="1">
      <c r="A55" s="30">
        <v>53</v>
      </c>
      <c r="B55" s="31" t="s">
        <v>1930</v>
      </c>
      <c r="C55" s="31" t="s">
        <v>1357</v>
      </c>
      <c r="D55" s="33"/>
      <c r="E55" s="32">
        <v>5</v>
      </c>
      <c r="F55" s="33"/>
    </row>
    <row r="56" spans="1:6" ht="20.25" customHeight="1">
      <c r="A56" s="30">
        <v>54</v>
      </c>
      <c r="B56" s="31" t="s">
        <v>1931</v>
      </c>
      <c r="C56" s="31" t="s">
        <v>1357</v>
      </c>
      <c r="D56" s="33" t="s">
        <v>1465</v>
      </c>
      <c r="E56" s="32">
        <v>5</v>
      </c>
      <c r="F56" s="33"/>
    </row>
    <row r="57" spans="1:6" ht="20.25" customHeight="1">
      <c r="A57" s="30">
        <v>55</v>
      </c>
      <c r="B57" s="31" t="s">
        <v>1932</v>
      </c>
      <c r="C57" s="31" t="s">
        <v>946</v>
      </c>
      <c r="D57" s="33"/>
      <c r="E57" s="32">
        <v>11</v>
      </c>
      <c r="F57" s="33"/>
    </row>
    <row r="58" spans="1:6" ht="20.25" customHeight="1">
      <c r="A58" s="30">
        <v>56</v>
      </c>
      <c r="B58" s="31" t="s">
        <v>1461</v>
      </c>
      <c r="C58" s="31" t="s">
        <v>946</v>
      </c>
      <c r="D58" s="33" t="s">
        <v>1462</v>
      </c>
      <c r="E58" s="32">
        <v>11</v>
      </c>
      <c r="F58" s="33" t="s">
        <v>2434</v>
      </c>
    </row>
    <row r="59" spans="1:6" ht="20.25" customHeight="1">
      <c r="A59" s="30"/>
      <c r="B59" s="31" t="s">
        <v>285</v>
      </c>
      <c r="C59" s="31" t="s">
        <v>946</v>
      </c>
      <c r="D59" s="33" t="s">
        <v>286</v>
      </c>
      <c r="E59" s="32">
        <v>11</v>
      </c>
      <c r="F59" s="33" t="s">
        <v>648</v>
      </c>
    </row>
    <row r="60" spans="1:6" ht="20.25" customHeight="1">
      <c r="A60" s="30">
        <v>57</v>
      </c>
      <c r="B60" s="31" t="s">
        <v>1812</v>
      </c>
      <c r="C60" s="31" t="s">
        <v>1668</v>
      </c>
      <c r="D60" s="33"/>
      <c r="E60" s="32">
        <v>11</v>
      </c>
      <c r="F60" s="33"/>
    </row>
    <row r="61" spans="1:6" ht="20.25" customHeight="1">
      <c r="A61" s="30">
        <v>58</v>
      </c>
      <c r="B61" s="31" t="s">
        <v>1813</v>
      </c>
      <c r="C61" s="31" t="s">
        <v>2284</v>
      </c>
      <c r="D61" s="33"/>
      <c r="E61" s="32">
        <v>11</v>
      </c>
      <c r="F61" s="33"/>
    </row>
    <row r="62" spans="1:6" ht="20.25" customHeight="1">
      <c r="A62" s="34">
        <v>59</v>
      </c>
      <c r="B62" s="35" t="s">
        <v>1814</v>
      </c>
      <c r="C62" s="35" t="s">
        <v>3016</v>
      </c>
      <c r="D62" s="36"/>
      <c r="E62" s="37">
        <v>11</v>
      </c>
      <c r="F62" s="36"/>
    </row>
  </sheetData>
  <phoneticPr fontId="0" type="noConversion"/>
  <pageMargins left="0.47" right="0.2" top="0.38" bottom="0.34" header="0.2" footer="0.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8"/>
  <dimension ref="A1:E80"/>
  <sheetViews>
    <sheetView topLeftCell="A51" workbookViewId="0">
      <selection activeCell="C66" sqref="C66"/>
    </sheetView>
  </sheetViews>
  <sheetFormatPr defaultRowHeight="15"/>
  <cols>
    <col min="1" max="1" width="9.5" style="20" bestFit="1" customWidth="1"/>
    <col min="2" max="2" width="4.875" style="20" bestFit="1" customWidth="1"/>
    <col min="3" max="3" width="94.875" style="20" bestFit="1" customWidth="1"/>
    <col min="4" max="4" width="7.75" style="20" bestFit="1" customWidth="1"/>
    <col min="5" max="16384" width="9" style="20"/>
  </cols>
  <sheetData>
    <row r="1" spans="1:4" ht="15.75">
      <c r="A1" s="345" t="s">
        <v>458</v>
      </c>
      <c r="B1" s="346"/>
      <c r="C1" s="346"/>
      <c r="D1" s="346"/>
    </row>
    <row r="3" spans="1:4" ht="15.75">
      <c r="A3" s="99" t="s">
        <v>1749</v>
      </c>
      <c r="B3" s="99" t="s">
        <v>1750</v>
      </c>
      <c r="C3" s="100" t="s">
        <v>1669</v>
      </c>
      <c r="D3" s="99" t="s">
        <v>2435</v>
      </c>
    </row>
    <row r="4" spans="1:4" ht="15.75">
      <c r="A4" s="99" t="s">
        <v>3088</v>
      </c>
      <c r="B4" s="21">
        <v>0</v>
      </c>
      <c r="C4" s="100" t="s">
        <v>1670</v>
      </c>
      <c r="D4" s="20">
        <v>0</v>
      </c>
    </row>
    <row r="5" spans="1:4" ht="15.75">
      <c r="A5" s="99" t="s">
        <v>1035</v>
      </c>
      <c r="B5" s="21">
        <v>0.05</v>
      </c>
    </row>
    <row r="6" spans="1:4" ht="15.75">
      <c r="A6" s="99" t="s">
        <v>3089</v>
      </c>
      <c r="B6" s="21">
        <v>0.1</v>
      </c>
      <c r="C6" s="100" t="s">
        <v>1671</v>
      </c>
      <c r="D6" s="20">
        <v>0.05</v>
      </c>
    </row>
    <row r="7" spans="1:4" ht="15.75">
      <c r="A7" s="99" t="s">
        <v>2439</v>
      </c>
      <c r="B7" s="21">
        <v>0.11</v>
      </c>
      <c r="D7" s="20">
        <v>0.05</v>
      </c>
    </row>
    <row r="8" spans="1:4" ht="15.75">
      <c r="A8" s="99" t="s">
        <v>388</v>
      </c>
      <c r="B8" s="21">
        <v>0.12</v>
      </c>
      <c r="D8" s="20">
        <v>0.05</v>
      </c>
    </row>
    <row r="9" spans="1:4" ht="15.75">
      <c r="A9" s="99" t="s">
        <v>389</v>
      </c>
      <c r="B9" s="21">
        <v>0.13</v>
      </c>
      <c r="D9" s="20">
        <v>0.05</v>
      </c>
    </row>
    <row r="10" spans="1:4" ht="15.75">
      <c r="A10" s="99" t="s">
        <v>1497</v>
      </c>
      <c r="B10" s="21">
        <v>0.14000000000000001</v>
      </c>
      <c r="D10" s="20">
        <v>0.05</v>
      </c>
    </row>
    <row r="11" spans="1:4" ht="15.75">
      <c r="A11" s="99" t="s">
        <v>3090</v>
      </c>
      <c r="B11" s="21">
        <v>0.15</v>
      </c>
      <c r="C11" s="100" t="s">
        <v>206</v>
      </c>
      <c r="D11" s="20">
        <v>0.1</v>
      </c>
    </row>
    <row r="12" spans="1:4" ht="15.75">
      <c r="A12" s="99" t="s">
        <v>538</v>
      </c>
      <c r="B12" s="21">
        <v>0.16</v>
      </c>
      <c r="D12" s="20">
        <v>0.1</v>
      </c>
    </row>
    <row r="13" spans="1:4" ht="15.75">
      <c r="A13" s="99" t="s">
        <v>539</v>
      </c>
      <c r="B13" s="21">
        <v>0.17</v>
      </c>
      <c r="D13" s="20">
        <v>0.1</v>
      </c>
    </row>
    <row r="14" spans="1:4" ht="15.75">
      <c r="A14" s="99" t="s">
        <v>540</v>
      </c>
      <c r="B14" s="21">
        <v>0.18</v>
      </c>
      <c r="D14" s="20">
        <v>0.1</v>
      </c>
    </row>
    <row r="15" spans="1:4" ht="15.75">
      <c r="A15" s="99" t="s">
        <v>541</v>
      </c>
      <c r="B15" s="21">
        <v>0.19</v>
      </c>
      <c r="D15" s="20">
        <v>0.1</v>
      </c>
    </row>
    <row r="16" spans="1:4" ht="15.75">
      <c r="A16" s="99" t="s">
        <v>3091</v>
      </c>
      <c r="B16" s="21">
        <v>0.2</v>
      </c>
      <c r="C16" s="100" t="s">
        <v>207</v>
      </c>
      <c r="D16" s="20">
        <v>0.15</v>
      </c>
    </row>
    <row r="17" spans="1:4" ht="15.75">
      <c r="A17" s="99" t="s">
        <v>1047</v>
      </c>
      <c r="B17" s="21">
        <v>0.21</v>
      </c>
    </row>
    <row r="18" spans="1:4" ht="15.75">
      <c r="A18" s="99" t="s">
        <v>1048</v>
      </c>
      <c r="B18" s="21">
        <v>0.22</v>
      </c>
    </row>
    <row r="19" spans="1:4" ht="15.75">
      <c r="A19" s="99" t="s">
        <v>1049</v>
      </c>
      <c r="B19" s="21">
        <v>0.23</v>
      </c>
    </row>
    <row r="20" spans="1:4" ht="15.75">
      <c r="A20" s="99" t="s">
        <v>2757</v>
      </c>
      <c r="B20" s="21">
        <v>0.24</v>
      </c>
    </row>
    <row r="21" spans="1:4" ht="15.75">
      <c r="A21" s="99" t="s">
        <v>2758</v>
      </c>
      <c r="B21" s="21">
        <v>0.26</v>
      </c>
    </row>
    <row r="22" spans="1:4" ht="15.75">
      <c r="A22" s="99" t="s">
        <v>2759</v>
      </c>
      <c r="B22" s="21">
        <v>0.27</v>
      </c>
    </row>
    <row r="23" spans="1:4" ht="15.75">
      <c r="A23" s="99" t="s">
        <v>2760</v>
      </c>
      <c r="B23" s="21">
        <v>0.28000000000000003</v>
      </c>
    </row>
    <row r="24" spans="1:4" ht="15.75">
      <c r="A24" s="99" t="s">
        <v>2761</v>
      </c>
      <c r="B24" s="21">
        <v>0.28999999999999998</v>
      </c>
    </row>
    <row r="25" spans="1:4" ht="15.75">
      <c r="A25" s="99" t="s">
        <v>3092</v>
      </c>
      <c r="B25" s="21">
        <v>0.25</v>
      </c>
      <c r="C25" s="100" t="s">
        <v>208</v>
      </c>
      <c r="D25" s="20">
        <v>0.2</v>
      </c>
    </row>
    <row r="26" spans="1:4" ht="15.75">
      <c r="A26" s="99" t="s">
        <v>3093</v>
      </c>
      <c r="B26" s="21">
        <v>0.3</v>
      </c>
      <c r="C26" s="100" t="s">
        <v>209</v>
      </c>
      <c r="D26" s="20">
        <v>0.25</v>
      </c>
    </row>
    <row r="27" spans="1:4" ht="15.75">
      <c r="A27" s="99" t="s">
        <v>2193</v>
      </c>
      <c r="B27" s="21">
        <v>0.31</v>
      </c>
      <c r="D27" s="20">
        <v>0.25</v>
      </c>
    </row>
    <row r="28" spans="1:4" ht="15.75">
      <c r="A28" s="99" t="s">
        <v>2194</v>
      </c>
      <c r="B28" s="21">
        <v>0.32</v>
      </c>
      <c r="D28" s="20">
        <v>0.25</v>
      </c>
    </row>
    <row r="29" spans="1:4" ht="15.75">
      <c r="A29" s="99" t="s">
        <v>2195</v>
      </c>
      <c r="B29" s="21">
        <v>0.33</v>
      </c>
    </row>
    <row r="30" spans="1:4" ht="15.75">
      <c r="A30" s="99" t="s">
        <v>2196</v>
      </c>
      <c r="B30" s="21">
        <v>0.34</v>
      </c>
    </row>
    <row r="31" spans="1:4" ht="15.75">
      <c r="A31" s="99" t="s">
        <v>2197</v>
      </c>
      <c r="B31" s="21">
        <v>0.36</v>
      </c>
    </row>
    <row r="32" spans="1:4" ht="15.75">
      <c r="A32" s="99" t="s">
        <v>1933</v>
      </c>
      <c r="B32" s="21">
        <v>0.37</v>
      </c>
    </row>
    <row r="33" spans="1:4" ht="15.75">
      <c r="A33" s="99" t="s">
        <v>1934</v>
      </c>
      <c r="B33" s="21">
        <v>0.38</v>
      </c>
    </row>
    <row r="34" spans="1:4" ht="15.75">
      <c r="A34" s="99" t="s">
        <v>1935</v>
      </c>
      <c r="B34" s="21">
        <v>0.39</v>
      </c>
    </row>
    <row r="35" spans="1:4" ht="15.75">
      <c r="A35" s="99" t="s">
        <v>3094</v>
      </c>
      <c r="B35" s="21">
        <v>0.35</v>
      </c>
      <c r="C35" s="100" t="s">
        <v>3055</v>
      </c>
      <c r="D35" s="20">
        <v>0.3</v>
      </c>
    </row>
    <row r="36" spans="1:4" ht="15.75">
      <c r="A36" s="99" t="s">
        <v>3095</v>
      </c>
      <c r="B36" s="21">
        <v>0.4</v>
      </c>
      <c r="C36" s="100" t="s">
        <v>3056</v>
      </c>
      <c r="D36" s="20">
        <v>0.5</v>
      </c>
    </row>
    <row r="37" spans="1:4" ht="15.75">
      <c r="A37" s="99" t="s">
        <v>1727</v>
      </c>
      <c r="B37" s="21">
        <v>0.41</v>
      </c>
      <c r="C37" s="100" t="s">
        <v>3057</v>
      </c>
    </row>
    <row r="38" spans="1:4" ht="15.75">
      <c r="A38" s="99" t="s">
        <v>1728</v>
      </c>
      <c r="B38" s="21">
        <v>0.42</v>
      </c>
    </row>
    <row r="39" spans="1:4" ht="15.75">
      <c r="A39" s="99" t="s">
        <v>1729</v>
      </c>
      <c r="B39" s="21">
        <v>0.43</v>
      </c>
    </row>
    <row r="40" spans="1:4" ht="15.75">
      <c r="A40" s="99" t="s">
        <v>1730</v>
      </c>
      <c r="B40" s="21">
        <v>0.44</v>
      </c>
    </row>
    <row r="41" spans="1:4" ht="15.75">
      <c r="A41" s="99" t="s">
        <v>1731</v>
      </c>
      <c r="B41" s="21">
        <v>0.46</v>
      </c>
    </row>
    <row r="42" spans="1:4" ht="15.75">
      <c r="A42" s="99" t="s">
        <v>1732</v>
      </c>
      <c r="B42" s="21">
        <v>0.47</v>
      </c>
    </row>
    <row r="43" spans="1:4" ht="15.75">
      <c r="A43" s="99" t="s">
        <v>1733</v>
      </c>
      <c r="B43" s="21">
        <v>0.48</v>
      </c>
    </row>
    <row r="44" spans="1:4" ht="15.75">
      <c r="A44" s="99" t="s">
        <v>1734</v>
      </c>
      <c r="B44" s="21">
        <v>0.49</v>
      </c>
    </row>
    <row r="45" spans="1:4" ht="15.75">
      <c r="A45" s="99" t="s">
        <v>1751</v>
      </c>
      <c r="B45" s="21">
        <v>0.45</v>
      </c>
      <c r="C45" s="100" t="s">
        <v>3058</v>
      </c>
      <c r="D45" s="20">
        <v>0.65</v>
      </c>
    </row>
    <row r="46" spans="1:4" ht="15.75">
      <c r="A46" s="99" t="s">
        <v>1769</v>
      </c>
      <c r="B46" s="21">
        <v>0.5</v>
      </c>
      <c r="C46" s="100" t="s">
        <v>2084</v>
      </c>
      <c r="D46" s="20">
        <v>0.4</v>
      </c>
    </row>
    <row r="47" spans="1:4" ht="15.75">
      <c r="A47" s="99" t="s">
        <v>609</v>
      </c>
      <c r="B47" s="21">
        <v>0.55000000000000004</v>
      </c>
      <c r="D47" s="20">
        <v>0.4</v>
      </c>
    </row>
    <row r="48" spans="1:4" ht="15.75">
      <c r="A48" s="99" t="s">
        <v>610</v>
      </c>
      <c r="B48" s="21">
        <v>0.6</v>
      </c>
      <c r="D48" s="20">
        <v>0.4</v>
      </c>
    </row>
    <row r="49" spans="1:5" ht="15.75">
      <c r="A49" s="99" t="s">
        <v>611</v>
      </c>
      <c r="B49" s="21">
        <v>0.65</v>
      </c>
      <c r="C49" s="100" t="s">
        <v>2291</v>
      </c>
      <c r="D49" s="20">
        <v>0.4</v>
      </c>
    </row>
    <row r="50" spans="1:5" ht="15.75">
      <c r="A50" s="99" t="s">
        <v>612</v>
      </c>
      <c r="B50" s="21">
        <v>0.7</v>
      </c>
      <c r="C50" s="100"/>
      <c r="D50" s="20">
        <v>0.4</v>
      </c>
    </row>
    <row r="51" spans="1:5" ht="15.75">
      <c r="A51" s="99" t="s">
        <v>1013</v>
      </c>
      <c r="B51" s="21">
        <v>0.75</v>
      </c>
      <c r="C51" s="100" t="s">
        <v>1014</v>
      </c>
      <c r="D51" s="20">
        <v>0.4</v>
      </c>
    </row>
    <row r="52" spans="1:5" ht="15.75">
      <c r="A52" s="99" t="s">
        <v>3007</v>
      </c>
      <c r="B52" s="21">
        <v>0.2</v>
      </c>
      <c r="C52" s="100" t="s">
        <v>7</v>
      </c>
      <c r="D52" s="20">
        <v>0.2</v>
      </c>
    </row>
    <row r="53" spans="1:5" ht="15.75">
      <c r="A53" s="99" t="s">
        <v>1752</v>
      </c>
      <c r="B53" s="21">
        <v>0.2</v>
      </c>
      <c r="C53" s="100" t="s">
        <v>2962</v>
      </c>
      <c r="D53" s="20">
        <v>0.2</v>
      </c>
    </row>
    <row r="54" spans="1:5" ht="15.75">
      <c r="A54" s="100" t="s">
        <v>3069</v>
      </c>
      <c r="B54" s="21">
        <v>0.5</v>
      </c>
      <c r="C54" s="100" t="s">
        <v>2963</v>
      </c>
      <c r="D54" s="20">
        <v>0.3</v>
      </c>
    </row>
    <row r="55" spans="1:5" ht="15.75">
      <c r="A55" s="100" t="s">
        <v>1957</v>
      </c>
      <c r="B55" s="21">
        <v>0.2</v>
      </c>
      <c r="C55" s="100" t="s">
        <v>2964</v>
      </c>
      <c r="D55" s="20">
        <v>0.3</v>
      </c>
    </row>
    <row r="56" spans="1:5" ht="15.75">
      <c r="A56" s="100" t="s">
        <v>805</v>
      </c>
      <c r="B56" s="21">
        <v>0.7</v>
      </c>
      <c r="C56" s="100" t="s">
        <v>2965</v>
      </c>
      <c r="D56" s="20">
        <v>0.6</v>
      </c>
    </row>
    <row r="57" spans="1:5" ht="15.75">
      <c r="A57" s="100" t="s">
        <v>1956</v>
      </c>
      <c r="B57" s="21">
        <v>0.6</v>
      </c>
      <c r="C57" s="100" t="s">
        <v>1556</v>
      </c>
      <c r="D57" s="20">
        <v>0.4</v>
      </c>
    </row>
    <row r="58" spans="1:5" ht="15.75">
      <c r="A58" s="100" t="s">
        <v>4</v>
      </c>
      <c r="B58" s="21">
        <v>0.2</v>
      </c>
      <c r="C58" s="100" t="s">
        <v>5</v>
      </c>
      <c r="D58" s="20">
        <v>0.4</v>
      </c>
    </row>
    <row r="59" spans="1:5" ht="15.75">
      <c r="A59" s="99" t="s">
        <v>3025</v>
      </c>
      <c r="B59" s="21">
        <v>0.6</v>
      </c>
      <c r="C59" s="100" t="s">
        <v>2966</v>
      </c>
      <c r="D59" s="20">
        <v>0.6</v>
      </c>
      <c r="E59" s="100" t="s">
        <v>1175</v>
      </c>
    </row>
    <row r="60" spans="1:5" ht="15.75">
      <c r="A60" s="99" t="s">
        <v>1198</v>
      </c>
      <c r="B60" s="21">
        <v>0.65</v>
      </c>
      <c r="C60" s="100" t="s">
        <v>2967</v>
      </c>
      <c r="D60" s="20">
        <v>0.65</v>
      </c>
      <c r="E60" s="100" t="s">
        <v>1175</v>
      </c>
    </row>
    <row r="61" spans="1:5" ht="15.75">
      <c r="A61" s="99" t="s">
        <v>660</v>
      </c>
      <c r="B61" s="21">
        <v>0.3</v>
      </c>
      <c r="C61" s="100" t="s">
        <v>2968</v>
      </c>
      <c r="D61" s="20">
        <v>0.3</v>
      </c>
      <c r="E61" s="100" t="s">
        <v>1175</v>
      </c>
    </row>
    <row r="62" spans="1:5" ht="15.75">
      <c r="A62" s="99" t="s">
        <v>2564</v>
      </c>
      <c r="B62" s="21">
        <v>0.4</v>
      </c>
      <c r="C62" s="100" t="s">
        <v>2332</v>
      </c>
      <c r="D62" s="20">
        <v>0.3</v>
      </c>
      <c r="E62" s="100" t="s">
        <v>1175</v>
      </c>
    </row>
    <row r="63" spans="1:5" ht="15.75">
      <c r="A63" s="99" t="s">
        <v>1743</v>
      </c>
      <c r="B63" s="21">
        <v>0.5</v>
      </c>
      <c r="C63" s="100" t="s">
        <v>1744</v>
      </c>
      <c r="D63" s="20">
        <v>0.3</v>
      </c>
      <c r="E63" s="100" t="s">
        <v>1175</v>
      </c>
    </row>
    <row r="64" spans="1:5" ht="15.75">
      <c r="A64" s="99" t="s">
        <v>531</v>
      </c>
      <c r="B64" s="21">
        <v>0.65</v>
      </c>
      <c r="C64" s="100" t="s">
        <v>2333</v>
      </c>
      <c r="D64" s="20">
        <v>0.65</v>
      </c>
      <c r="E64" s="100" t="s">
        <v>1175</v>
      </c>
    </row>
    <row r="65" spans="1:5" ht="16.5">
      <c r="A65" s="99" t="s">
        <v>530</v>
      </c>
      <c r="B65" s="21">
        <v>0.7</v>
      </c>
      <c r="C65" s="100" t="s">
        <v>1067</v>
      </c>
      <c r="D65" s="20">
        <v>0.7</v>
      </c>
      <c r="E65" s="39" t="s">
        <v>529</v>
      </c>
    </row>
    <row r="66" spans="1:5" ht="16.5">
      <c r="A66" s="99" t="s">
        <v>1753</v>
      </c>
      <c r="B66" s="21">
        <v>0.7</v>
      </c>
      <c r="C66" s="100" t="s">
        <v>2333</v>
      </c>
      <c r="D66" s="20">
        <v>0.7</v>
      </c>
      <c r="E66" s="39" t="s">
        <v>529</v>
      </c>
    </row>
    <row r="67" spans="1:5" ht="16.5">
      <c r="A67" s="99" t="s">
        <v>1754</v>
      </c>
      <c r="B67" s="21">
        <v>0.75</v>
      </c>
      <c r="C67" s="100" t="s">
        <v>1067</v>
      </c>
      <c r="D67" s="20">
        <v>0.75</v>
      </c>
      <c r="E67" s="39" t="s">
        <v>529</v>
      </c>
    </row>
    <row r="68" spans="1:5" ht="15.75">
      <c r="A68" s="99" t="s">
        <v>1755</v>
      </c>
      <c r="B68" s="21">
        <v>0.8</v>
      </c>
      <c r="C68" s="100" t="s">
        <v>2334</v>
      </c>
      <c r="D68" s="20">
        <v>0.8</v>
      </c>
    </row>
    <row r="69" spans="1:5" ht="15.75">
      <c r="A69" s="99" t="s">
        <v>1010</v>
      </c>
      <c r="B69" s="21">
        <v>0.85</v>
      </c>
      <c r="C69" s="100" t="s">
        <v>808</v>
      </c>
      <c r="D69" s="20">
        <v>0.85</v>
      </c>
    </row>
    <row r="70" spans="1:5" ht="15.75">
      <c r="A70" s="99" t="s">
        <v>371</v>
      </c>
      <c r="B70" s="21">
        <v>0.8</v>
      </c>
      <c r="C70" s="100" t="s">
        <v>2266</v>
      </c>
      <c r="D70" s="20">
        <v>0.85</v>
      </c>
    </row>
    <row r="71" spans="1:5" ht="15.75">
      <c r="A71" s="99" t="s">
        <v>371</v>
      </c>
      <c r="B71" s="21">
        <v>0.75</v>
      </c>
      <c r="C71" s="100" t="s">
        <v>2267</v>
      </c>
      <c r="D71" s="20">
        <v>0.85</v>
      </c>
    </row>
    <row r="72" spans="1:5" ht="15.75">
      <c r="A72" s="99" t="s">
        <v>2268</v>
      </c>
      <c r="B72" s="21">
        <v>0.75</v>
      </c>
      <c r="C72" s="100" t="s">
        <v>2269</v>
      </c>
      <c r="D72" s="20">
        <v>0.85</v>
      </c>
    </row>
    <row r="73" spans="1:5" ht="15.75">
      <c r="A73" s="99" t="s">
        <v>2122</v>
      </c>
      <c r="B73" s="21">
        <v>0.65</v>
      </c>
      <c r="C73" s="100" t="s">
        <v>2335</v>
      </c>
      <c r="D73" s="20">
        <v>0.7</v>
      </c>
    </row>
    <row r="74" spans="1:5" ht="15.75">
      <c r="A74" s="99" t="s">
        <v>2563</v>
      </c>
      <c r="B74" s="21">
        <v>0.3</v>
      </c>
      <c r="C74" s="100" t="s">
        <v>2336</v>
      </c>
      <c r="D74" s="20">
        <v>0.3</v>
      </c>
    </row>
    <row r="75" spans="1:5" ht="15.75">
      <c r="A75" s="99" t="s">
        <v>967</v>
      </c>
      <c r="B75" s="21">
        <v>0.25</v>
      </c>
      <c r="C75" s="100" t="s">
        <v>2337</v>
      </c>
      <c r="D75" s="20">
        <v>0.25</v>
      </c>
    </row>
    <row r="76" spans="1:5" ht="15.75">
      <c r="A76" s="99" t="s">
        <v>1022</v>
      </c>
      <c r="B76" s="21">
        <v>0.4</v>
      </c>
      <c r="C76" s="100" t="s">
        <v>2462</v>
      </c>
      <c r="D76" s="20">
        <v>0.4</v>
      </c>
    </row>
    <row r="77" spans="1:5" ht="15.75">
      <c r="A77" s="99" t="s">
        <v>2961</v>
      </c>
      <c r="B77" s="21">
        <v>1</v>
      </c>
      <c r="C77" s="100" t="s">
        <v>1155</v>
      </c>
    </row>
    <row r="78" spans="1:5" ht="15.75">
      <c r="A78" s="99" t="s">
        <v>2123</v>
      </c>
      <c r="B78" s="21">
        <v>0.7</v>
      </c>
      <c r="C78" s="100" t="s">
        <v>1156</v>
      </c>
      <c r="D78" s="20">
        <v>0.7</v>
      </c>
    </row>
    <row r="79" spans="1:5" ht="15.75">
      <c r="A79" s="100" t="s">
        <v>1326</v>
      </c>
      <c r="B79" s="21">
        <v>0.65</v>
      </c>
      <c r="C79" s="100" t="s">
        <v>1157</v>
      </c>
      <c r="D79" s="20">
        <v>0.65</v>
      </c>
    </row>
    <row r="80" spans="1:5" ht="15.75">
      <c r="A80" s="99" t="s">
        <v>1893</v>
      </c>
      <c r="B80" s="21">
        <v>0.1</v>
      </c>
      <c r="C80" s="100" t="s">
        <v>1158</v>
      </c>
      <c r="D80" s="20">
        <v>0.1</v>
      </c>
    </row>
  </sheetData>
  <mergeCells count="1">
    <mergeCell ref="A1:D1"/>
  </mergeCells>
  <phoneticPr fontId="0" type="noConversion"/>
  <printOptions gridLines="1"/>
  <pageMargins left="0.27" right="0.3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sheetPr codeName="Sheet13"/>
  <dimension ref="A1:D15"/>
  <sheetViews>
    <sheetView workbookViewId="0">
      <selection activeCell="H19" sqref="H19"/>
    </sheetView>
  </sheetViews>
  <sheetFormatPr defaultRowHeight="15"/>
  <sheetData>
    <row r="1" spans="1:4">
      <c r="A1" t="s">
        <v>1894</v>
      </c>
      <c r="B1" t="s">
        <v>210</v>
      </c>
      <c r="C1">
        <v>200</v>
      </c>
      <c r="D1">
        <f>C1+1</f>
        <v>201</v>
      </c>
    </row>
    <row r="2" spans="1:4">
      <c r="B2" t="s">
        <v>1045</v>
      </c>
      <c r="C2">
        <v>400</v>
      </c>
      <c r="D2">
        <f>C2+1</f>
        <v>401</v>
      </c>
    </row>
    <row r="3" spans="1:4">
      <c r="B3" t="s">
        <v>1046</v>
      </c>
      <c r="C3">
        <v>600</v>
      </c>
      <c r="D3">
        <v>600.1</v>
      </c>
    </row>
    <row r="4" spans="1:4">
      <c r="B4" t="s">
        <v>1652</v>
      </c>
      <c r="C4">
        <v>601</v>
      </c>
    </row>
    <row r="9" spans="1:4" ht="15.75">
      <c r="A9" t="s">
        <v>1653</v>
      </c>
      <c r="B9" s="10">
        <v>1200000</v>
      </c>
    </row>
    <row r="11" spans="1:4" ht="15.75">
      <c r="A11" t="s">
        <v>1654</v>
      </c>
      <c r="B11" s="10">
        <v>5000000</v>
      </c>
    </row>
    <row r="13" spans="1:4" ht="15.75">
      <c r="A13" t="s">
        <v>1655</v>
      </c>
      <c r="B13" s="10">
        <v>290000</v>
      </c>
    </row>
    <row r="15" spans="1:4" ht="15.75">
      <c r="A15" t="s">
        <v>1656</v>
      </c>
      <c r="B15" s="10">
        <v>250000</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Sheet2</vt:lpstr>
      <vt:lpstr>tong_hop_khoa</vt:lpstr>
      <vt:lpstr>Sheet1</vt:lpstr>
      <vt:lpstr>vuot2019_2020_I</vt:lpstr>
      <vt:lpstr>TH_Bo_mon</vt:lpstr>
      <vt:lpstr>ma_dinhmuc</vt:lpstr>
      <vt:lpstr>Tro_Ly</vt:lpstr>
      <vt:lpstr>ma_miengiam</vt:lpstr>
      <vt:lpstr>tiet</vt:lpstr>
      <vt:lpstr>tien_so</vt:lpstr>
      <vt:lpstr>ma_dinhmuc_moi</vt:lpstr>
      <vt:lpstr>madvi</vt:lpstr>
      <vt:lpstr>madvi1</vt:lpstr>
      <vt:lpstr>vuot2019_2020_I!Print_Area</vt:lpstr>
      <vt:lpstr>TH_Bo_mon!Print_Titles</vt:lpstr>
      <vt:lpstr>Tro_Ly!Print_Titles</vt:lpstr>
      <vt:lpstr>vuot2019_2020_I!Print_Titles</vt:lpstr>
    </vt:vector>
  </TitlesOfParts>
  <Company>NGocTu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TCCB</dc:creator>
  <cp:lastModifiedBy>Pc-Admin</cp:lastModifiedBy>
  <cp:lastPrinted>2020-01-18T03:14:46Z</cp:lastPrinted>
  <dcterms:created xsi:type="dcterms:W3CDTF">2005-12-24T00:20:58Z</dcterms:created>
  <dcterms:modified xsi:type="dcterms:W3CDTF">2020-01-18T03:17:22Z</dcterms:modified>
</cp:coreProperties>
</file>